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6.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0000000-0000-0000-0000-000000000000}"/>
  <workbookPr codeName="ThisWorkbook"/>
  <mc:AlternateContent xmlns:mc="http://schemas.openxmlformats.org/markup-compatibility/2006">
    <mc:Choice Requires="x15">
      <x15ac:absPath xmlns:x15ac="http://schemas.microsoft.com/office/spreadsheetml/2010/11/ac" url="C:\Users\Hp\Desktop\GROUP OF COMPANIES\PLYGROUND\"/>
    </mc:Choice>
  </mc:AlternateContent>
  <xr:revisionPtr revIDLastSave="0" documentId="13_ncr:1000001_{D2343AD9-5913-9746-8593-32FF34594613}" xr6:coauthVersionLast="47" xr6:coauthVersionMax="47" xr10:uidLastSave="{00000000-0000-0000-0000-000000000000}"/>
  <bookViews>
    <workbookView xWindow="-108" yWindow="-108" windowWidth="23256" windowHeight="13176" tabRatio="855" firstSheet="36" activeTab="65" xr2:uid="{00000000-000D-0000-FFFF-FFFF00000000}"/>
  </bookViews>
  <sheets>
    <sheet name="Mx Monthly" sheetId="40" state="hidden" r:id="rId1"/>
    <sheet name="Country Lookup" sheetId="50" state="hidden" r:id="rId2"/>
    <sheet name="nigeria-inflation-rate-cpi" sheetId="69" state="hidden" r:id="rId3"/>
    <sheet name="CONTENTS" sheetId="66" r:id="rId4"/>
    <sheet name="Sheet4" sheetId="59" state="hidden" r:id="rId5"/>
    <sheet name="Assumption " sheetId="22" r:id="rId6"/>
    <sheet name="Kano Ammonia " sheetId="63" state="hidden" r:id="rId7"/>
    <sheet name="Abuja Ammonia " sheetId="64" state="hidden" r:id="rId8"/>
    <sheet name="Ammonia Cost" sheetId="62" state="hidden" r:id="rId9"/>
    <sheet name="Land " sheetId="57" state="hidden" r:id="rId10"/>
    <sheet name="YIELD (2)" sheetId="68" state="hidden" r:id="rId11"/>
    <sheet name="Input " sheetId="1" r:id="rId12"/>
    <sheet name="CofCapital" sheetId="46" state="hidden" r:id="rId13"/>
    <sheet name="Project Cost Monthly" sheetId="7" r:id="rId14"/>
    <sheet name="Sens WIP" sheetId="2" r:id="rId15"/>
    <sheet name="New Graph" sheetId="67" state="hidden" r:id="rId16"/>
    <sheet name="Graph Data " sheetId="48" state="hidden" r:id="rId17"/>
    <sheet name="comparatives" sheetId="65" state="hidden" r:id="rId18"/>
    <sheet name="Summary" sheetId="19" r:id="rId19"/>
    <sheet name="IS" sheetId="14" r:id="rId20"/>
    <sheet name="BS" sheetId="9" r:id="rId21"/>
    <sheet name="CF" sheetId="15" r:id="rId22"/>
    <sheet name="Valuation" sheetId="56" r:id="rId23"/>
    <sheet name="Capex Phasing Urea" sheetId="28" r:id="rId24"/>
    <sheet name="Capex Phasing Methanol" sheetId="30" r:id="rId25"/>
    <sheet name="Power " sheetId="44" r:id="rId26"/>
    <sheet name="Support infra Nasarawa State " sheetId="25" state="hidden" r:id="rId27"/>
    <sheet name="Rev &amp; Receivables" sheetId="12" r:id="rId28"/>
    <sheet name="Raw Material " sheetId="43" r:id="rId29"/>
    <sheet name="Scenario 2" sheetId="53" state="hidden" r:id="rId30"/>
    <sheet name="Scenario " sheetId="52" state="hidden" r:id="rId31"/>
    <sheet name="Product Costing Sheet" sheetId="47" r:id="rId32"/>
    <sheet name="staff Cost " sheetId="49" state="hidden" r:id="rId33"/>
    <sheet name="YIELD" sheetId="45" state="hidden" r:id="rId34"/>
    <sheet name="Sheet3" sheetId="54" state="hidden" r:id="rId35"/>
    <sheet name="Sheet8" sheetId="61" state="hidden" r:id="rId36"/>
    <sheet name="Power Plant " sheetId="27" r:id="rId37"/>
    <sheet name="Sheet5" sheetId="60" state="hidden" r:id="rId38"/>
    <sheet name="SUMMARY SHEET " sheetId="51" state="hidden" r:id="rId39"/>
    <sheet name="Ratios (2)" sheetId="41" state="hidden" r:id="rId40"/>
    <sheet name="Fixed Assets" sheetId="4" r:id="rId41"/>
    <sheet name="Methanol Margin Sheet " sheetId="35" state="hidden" r:id="rId42"/>
    <sheet name="Debt Schedule" sheetId="8" r:id="rId43"/>
    <sheet name="Sheet6" sheetId="38" state="hidden" r:id="rId44"/>
    <sheet name="Sheet7" sheetId="39" state="hidden" r:id="rId45"/>
    <sheet name="Returns" sheetId="18" state="hidden" r:id="rId46"/>
    <sheet name="Revenue Analysis 1 Pager " sheetId="33" state="hidden" r:id="rId47"/>
    <sheet name="Sheet1" sheetId="26" state="hidden" r:id="rId48"/>
    <sheet name="support infra Gombe " sheetId="24" state="hidden" r:id="rId49"/>
    <sheet name="O&amp;M Costs" sheetId="11" r:id="rId50"/>
    <sheet name="Capex " sheetId="23" state="hidden" r:id="rId51"/>
    <sheet name="Notes" sheetId="20" state="hidden" r:id="rId52"/>
    <sheet name="Ratios" sheetId="16" r:id="rId53"/>
    <sheet name="Dividend" sheetId="13" r:id="rId54"/>
    <sheet name="Sheet2" sheetId="21" state="hidden" r:id="rId55"/>
    <sheet name="Methanol Data " sheetId="32" state="hidden" r:id="rId56"/>
    <sheet name="Urea Data  " sheetId="31" state="hidden" r:id="rId57"/>
    <sheet name="Taxation" sheetId="10" r:id="rId58"/>
    <sheet name="Reserve Accounts" sheetId="3" r:id="rId59"/>
    <sheet name="Drop down list" sheetId="6" r:id="rId60"/>
    <sheet name="Overview" sheetId="36" state="hidden" r:id="rId61"/>
    <sheet name="Data 2" sheetId="34" state="hidden" r:id="rId62"/>
    <sheet name="Casting " sheetId="58" state="hidden" r:id="rId63"/>
    <sheet name="Data" sheetId="37" state="hidden" r:id="rId64"/>
    <sheet name="Checks" sheetId="17" r:id="rId65"/>
    <sheet name="Timing &amp; Flags" sheetId="5" r:id="rId66"/>
    <sheet name="Valuation " sheetId="55" state="hidden" r:id="rId67"/>
  </sheets>
  <externalReferences>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s>
  <definedNames>
    <definedName name="__1__123Graph_AG_BILAN" localSheetId="3">#REF!</definedName>
    <definedName name="__1__123Graph_AG_BILAN">#REF!</definedName>
    <definedName name="__10__123Graph_DREPART_CA" localSheetId="3">#REF!</definedName>
    <definedName name="__10__123Graph_DREPART_CA">#REF!</definedName>
    <definedName name="__11__123Graph_EG_BILAN">#REF!</definedName>
    <definedName name="__12__123Graph_EREPART_CA">#REF!</definedName>
    <definedName name="__123Graph_A">#REF!</definedName>
    <definedName name="__123Graph_AASSQLTY">#REF!</definedName>
    <definedName name="__123Graph_ADEPOSIT">#REF!</definedName>
    <definedName name="__123Graph_AEANMIX92">#REF!</definedName>
    <definedName name="__123Graph_AINTEREST">#REF!</definedName>
    <definedName name="__123Graph_ASIG">#REF!</definedName>
    <definedName name="__123Graph_ASTAFF">#REF!</definedName>
    <definedName name="__123Graph_B">#REF!</definedName>
    <definedName name="__123Graph_BASSQLTY">#REF!</definedName>
    <definedName name="__123Graph_BDEPOSIT">#REF!</definedName>
    <definedName name="__123Graph_BEANMIX92">#REF!</definedName>
    <definedName name="__123Graph_BINTEREST">#REF!</definedName>
    <definedName name="__123Graph_BSIG">#REF!</definedName>
    <definedName name="__123Graph_BSTAFF">#REF!</definedName>
    <definedName name="__123Graph_C">#REF!</definedName>
    <definedName name="__123Graph_CDEPOSIT">#REF!</definedName>
    <definedName name="__123Graph_CSIG">#REF!</definedName>
    <definedName name="__123Graph_D">#REF!</definedName>
    <definedName name="__123Graph_DDEPOSIT">#REF!</definedName>
    <definedName name="__123Graph_DSIG">#REF!</definedName>
    <definedName name="__123Graph_E">#REF!</definedName>
    <definedName name="__123Graph_LBL_ADEPOSIT">#REF!</definedName>
    <definedName name="__123Graph_X">#REF!</definedName>
    <definedName name="__123Graph_XASSQLTY">#REF!</definedName>
    <definedName name="__123Graph_XDEPOSIT">#REF!</definedName>
    <definedName name="__123Graph_XEANMIX92">#REF!</definedName>
    <definedName name="__123Graph_XINTEREST">#REF!</definedName>
    <definedName name="__123Graph_XSIG">#REF!</definedName>
    <definedName name="__123Graph_XSTAFF">#REF!</definedName>
    <definedName name="__13__123Graph_FG_BILAN">#REF!</definedName>
    <definedName name="__14__123Graph_XG_BILAN">#REF!</definedName>
    <definedName name="__15__123Graph_XREP_CA91">#REF!</definedName>
    <definedName name="__16__123Graph_XREP_CA94">#REF!</definedName>
    <definedName name="__17__123Graph_XREPART_CA">#REF!</definedName>
    <definedName name="__18_00int_Area_MI">#REF!</definedName>
    <definedName name="__2__123Graph_AREP_CA91">#REF!</definedName>
    <definedName name="__3__123Graph_AREP_CA94">#REF!</definedName>
    <definedName name="__4__123Graph_AREPART_CA">#REF!</definedName>
    <definedName name="__5__123Graph_BG_BILAN">#REF!</definedName>
    <definedName name="__6__123Graph_BREPART_CA">#REF!</definedName>
    <definedName name="__7__123Graph_CG_BILAN">#REF!</definedName>
    <definedName name="__8__123Graph_CREPART_CA">#REF!</definedName>
    <definedName name="__9__123Graph_DG_BILAN">#REF!</definedName>
    <definedName name="__cat1">#REF!</definedName>
    <definedName name="__cat2">#REF!</definedName>
    <definedName name="__cat3">#REF!</definedName>
    <definedName name="__cat4">#REF!</definedName>
    <definedName name="__cat5">#REF!</definedName>
    <definedName name="_000">#REF!</definedName>
    <definedName name="_1__123Graph_AG_BILAN">#REF!</definedName>
    <definedName name="_1__123Graph_AROA_E">#REF!</definedName>
    <definedName name="_10__123Graph_DREPART_CA">#REF!</definedName>
    <definedName name="_100">#REF!</definedName>
    <definedName name="_101">#REF!</definedName>
    <definedName name="_102">#REF!</definedName>
    <definedName name="_103">#REF!</definedName>
    <definedName name="_104">#REF!</definedName>
    <definedName name="_105">#REF!</definedName>
    <definedName name="_106">#REF!</definedName>
    <definedName name="_107">#REF!</definedName>
    <definedName name="_108">#REF!</definedName>
    <definedName name="_109">#REF!</definedName>
    <definedName name="_11__123Graph_EG_BILAN">#REF!</definedName>
    <definedName name="_110">#REF!</definedName>
    <definedName name="_1101">#REF!</definedName>
    <definedName name="_1102">#REF!</definedName>
    <definedName name="_1103">#REF!</definedName>
    <definedName name="_1104">#REF!</definedName>
    <definedName name="_1105">#REF!</definedName>
    <definedName name="_111">#REF!</definedName>
    <definedName name="_112">#REF!</definedName>
    <definedName name="_113">#REF!</definedName>
    <definedName name="_114">#REF!</definedName>
    <definedName name="_115">#REF!</definedName>
    <definedName name="_116">#REF!</definedName>
    <definedName name="_117">#REF!</definedName>
    <definedName name="_118">#REF!</definedName>
    <definedName name="_119">#REF!</definedName>
    <definedName name="_12__123Graph_EREPART_CA">#REF!</definedName>
    <definedName name="_120">#REF!</definedName>
    <definedName name="_1208">#REF!</definedName>
    <definedName name="_1209">#REF!</definedName>
    <definedName name="_121">#REF!</definedName>
    <definedName name="_1210">#REF!</definedName>
    <definedName name="_122">#REF!</definedName>
    <definedName name="_123">#REF!</definedName>
    <definedName name="_124">#REF!</definedName>
    <definedName name="_125">#REF!</definedName>
    <definedName name="_126">#REF!</definedName>
    <definedName name="_127">#REF!</definedName>
    <definedName name="_128">#REF!</definedName>
    <definedName name="_129">#REF!</definedName>
    <definedName name="_13__123Graph_FG_BILAN">#REF!</definedName>
    <definedName name="_130">#REF!</definedName>
    <definedName name="_131">#REF!</definedName>
    <definedName name="_1311">#REF!</definedName>
    <definedName name="_1312">#REF!</definedName>
    <definedName name="_132">#REF!</definedName>
    <definedName name="_133">#REF!</definedName>
    <definedName name="_134">#REF!</definedName>
    <definedName name="_135">#REF!</definedName>
    <definedName name="_136">#REF!</definedName>
    <definedName name="_138">#REF!</definedName>
    <definedName name="_14__123Graph_XG_BILAN">#REF!</definedName>
    <definedName name="_140">#REF!</definedName>
    <definedName name="_142">#REF!</definedName>
    <definedName name="_144">#REF!</definedName>
    <definedName name="_146">#REF!</definedName>
    <definedName name="_148">#REF!</definedName>
    <definedName name="_15__123Graph_XREP_CA91">#REF!</definedName>
    <definedName name="_150">#REF!</definedName>
    <definedName name="_153">#REF!</definedName>
    <definedName name="_155">#REF!</definedName>
    <definedName name="_156">#REF!</definedName>
    <definedName name="_157">#REF!</definedName>
    <definedName name="_158">#REF!</definedName>
    <definedName name="_159">#REF!</definedName>
    <definedName name="_16__123Graph_XREP_CA94">#REF!</definedName>
    <definedName name="_160">#REF!</definedName>
    <definedName name="_162">#REF!</definedName>
    <definedName name="_163">#REF!</definedName>
    <definedName name="_17__123Graph_XREPART_CA">#REF!</definedName>
    <definedName name="_18_00int_Area_MI">#REF!</definedName>
    <definedName name="_182">#REF!</definedName>
    <definedName name="_183">#REF!</definedName>
    <definedName name="_184">#REF!</definedName>
    <definedName name="_186">#REF!</definedName>
    <definedName name="_187">#REF!</definedName>
    <definedName name="_188">#REF!</definedName>
    <definedName name="_189">#REF!</definedName>
    <definedName name="_190">#REF!</definedName>
    <definedName name="_196">#REF!</definedName>
    <definedName name="_197">#REF!</definedName>
    <definedName name="_198">#REF!</definedName>
    <definedName name="_199">#REF!</definedName>
    <definedName name="_1998">#REF!</definedName>
    <definedName name="_1999">#REF!</definedName>
    <definedName name="_2__123Graph_AREP_CA91">#REF!</definedName>
    <definedName name="_2__123Graph_BROA_E">#REF!</definedName>
    <definedName name="_200">#REF!</definedName>
    <definedName name="_201C">#REF!</definedName>
    <definedName name="_202">#REF!</definedName>
    <definedName name="_204">#REF!</definedName>
    <definedName name="_206">#REF!</definedName>
    <definedName name="_207">#REF!</definedName>
    <definedName name="_208">#REF!</definedName>
    <definedName name="_209">#REF!</definedName>
    <definedName name="_210">#REF!</definedName>
    <definedName name="_211">#REF!</definedName>
    <definedName name="_212">#REF!</definedName>
    <definedName name="_213">#REF!</definedName>
    <definedName name="_214">#REF!</definedName>
    <definedName name="_220">#REF!</definedName>
    <definedName name="_2552">#REF!</definedName>
    <definedName name="_2552B">#REF!</definedName>
    <definedName name="_2553">#REF!</definedName>
    <definedName name="_2554">#REF!</definedName>
    <definedName name="_2555">#REF!</definedName>
    <definedName name="_2556">#REF!</definedName>
    <definedName name="_2557">#REF!</definedName>
    <definedName name="_261">#REF!</definedName>
    <definedName name="_2998">#REF!</definedName>
    <definedName name="_2999">#REF!</definedName>
    <definedName name="_3__123Graph_AREP_CA94">#REF!</definedName>
    <definedName name="_3__123Graph_XROA_E">#REF!</definedName>
    <definedName name="_3091">#REF!</definedName>
    <definedName name="_3092">#REF!</definedName>
    <definedName name="_3093">#REF!</definedName>
    <definedName name="_3094">#REF!</definedName>
    <definedName name="_3099">#REF!</definedName>
    <definedName name="_312">#REF!</definedName>
    <definedName name="_314">#REF!</definedName>
    <definedName name="_316">#REF!</definedName>
    <definedName name="_318">#REF!</definedName>
    <definedName name="_3999">#REF!</definedName>
    <definedName name="_4__123Graph_AREPART_CA">#REF!</definedName>
    <definedName name="_406">#REF!</definedName>
    <definedName name="_5__123Graph_BG_BILAN">#REF!</definedName>
    <definedName name="_500">#REF!</definedName>
    <definedName name="_501">#REF!</definedName>
    <definedName name="_502">#REF!</definedName>
    <definedName name="_503">#REF!</definedName>
    <definedName name="_504">#REF!</definedName>
    <definedName name="_505">#REF!</definedName>
    <definedName name="_507">#REF!</definedName>
    <definedName name="_508">#REF!</definedName>
    <definedName name="_509">#REF!</definedName>
    <definedName name="_513">#REF!</definedName>
    <definedName name="_514">#REF!</definedName>
    <definedName name="_515">#REF!</definedName>
    <definedName name="_516">#REF!</definedName>
    <definedName name="_517">#REF!</definedName>
    <definedName name="_518">#REF!</definedName>
    <definedName name="_519">#REF!</definedName>
    <definedName name="_521">#REF!</definedName>
    <definedName name="_526C">#REF!</definedName>
    <definedName name="_527">#REF!</definedName>
    <definedName name="_528">#REF!</definedName>
    <definedName name="_529">#REF!</definedName>
    <definedName name="_530">#REF!</definedName>
    <definedName name="_531">#REF!</definedName>
    <definedName name="_532">#REF!</definedName>
    <definedName name="_533">#REF!</definedName>
    <definedName name="_537">#REF!</definedName>
    <definedName name="_539">#REF!</definedName>
    <definedName name="_540">#REF!</definedName>
    <definedName name="_541">#REF!</definedName>
    <definedName name="_542">#REF!</definedName>
    <definedName name="_543">#REF!</definedName>
    <definedName name="_544">#REF!</definedName>
    <definedName name="_545">#REF!</definedName>
    <definedName name="_546">#REF!</definedName>
    <definedName name="_547">#REF!</definedName>
    <definedName name="_548">#REF!</definedName>
    <definedName name="_549">#REF!</definedName>
    <definedName name="_550">#REF!</definedName>
    <definedName name="_551">#REF!</definedName>
    <definedName name="_552">#REF!</definedName>
    <definedName name="_558">#REF!</definedName>
    <definedName name="_560">#REF!</definedName>
    <definedName name="_598">#REF!</definedName>
    <definedName name="_599C">#REF!</definedName>
    <definedName name="_6__123Graph_BREPART_CA">#REF!</definedName>
    <definedName name="_600">#REF!</definedName>
    <definedName name="_600E">#REF!</definedName>
    <definedName name="_601">#REF!</definedName>
    <definedName name="_601C">#REF!</definedName>
    <definedName name="_601E">#REF!</definedName>
    <definedName name="_602C">#REF!</definedName>
    <definedName name="_602E">#REF!</definedName>
    <definedName name="_6206">#REF!</definedName>
    <definedName name="_6207">#REF!</definedName>
    <definedName name="_7__123Graph_CG_BILAN">#REF!</definedName>
    <definedName name="_701C">#REF!</definedName>
    <definedName name="_701E">#REF!</definedName>
    <definedName name="_702C">#REF!</definedName>
    <definedName name="_702E">#REF!</definedName>
    <definedName name="_7551">#REF!</definedName>
    <definedName name="_7558">#REF!</definedName>
    <definedName name="_7559">#REF!</definedName>
    <definedName name="_8__123Graph_CREPART_CA">#REF!</definedName>
    <definedName name="_801">#REF!</definedName>
    <definedName name="_802">#REF!</definedName>
    <definedName name="_803">#REF!</definedName>
    <definedName name="_804">#REF!</definedName>
    <definedName name="_805">#REF!</definedName>
    <definedName name="_806">#REF!</definedName>
    <definedName name="_807">#REF!</definedName>
    <definedName name="_808">#REF!</definedName>
    <definedName name="_809">#REF!</definedName>
    <definedName name="_810">#REF!</definedName>
    <definedName name="_811">#REF!</definedName>
    <definedName name="_831">#REF!</definedName>
    <definedName name="_832">#REF!</definedName>
    <definedName name="_833">#REF!</definedName>
    <definedName name="_834">#REF!</definedName>
    <definedName name="_841">#REF!</definedName>
    <definedName name="_842">#REF!</definedName>
    <definedName name="_843">#REF!</definedName>
    <definedName name="_849">#REF!</definedName>
    <definedName name="_851">#REF!</definedName>
    <definedName name="_852">#REF!</definedName>
    <definedName name="_853">#REF!</definedName>
    <definedName name="_857">#REF!</definedName>
    <definedName name="_858">#REF!</definedName>
    <definedName name="_9__123Graph_DG_BILAN">#REF!</definedName>
    <definedName name="_900">#REF!</definedName>
    <definedName name="_901">#REF!</definedName>
    <definedName name="_902">#REF!</definedName>
    <definedName name="_9553">#REF!</definedName>
    <definedName name="_9554">#REF!</definedName>
    <definedName name="_9555">#REF!</definedName>
    <definedName name="_ADS1">#REF!</definedName>
    <definedName name="_as1">#REF!</definedName>
    <definedName name="_AS2">#REF!</definedName>
    <definedName name="_as3">#REF!</definedName>
    <definedName name="_AS4">#REF!</definedName>
    <definedName name="_as6">#REF!</definedName>
    <definedName name="_AS7">#REF!</definedName>
    <definedName name="_bdm.986263FE353247559DDFA6EC4C6F0964.edm">#REF!</definedName>
    <definedName name="_bdm.B92C2B91984E46C7BDED20FC0AD79ADD.edm">#REF!</definedName>
    <definedName name="_BQ4.1">#REF!</definedName>
    <definedName name="_BQ4.10">#REF!</definedName>
    <definedName name="_BQ4.11">#REF!</definedName>
    <definedName name="_BQ4.12">#REF!</definedName>
    <definedName name="_BQ4.13">#REF!</definedName>
    <definedName name="_BQ4.14">#REF!</definedName>
    <definedName name="_BQ4.15">#REF!</definedName>
    <definedName name="_BQ4.16">#REF!</definedName>
    <definedName name="_BQ4.17">#REF!</definedName>
    <definedName name="_BQ4.18">#REF!</definedName>
    <definedName name="_BQ4.19">#REF!</definedName>
    <definedName name="_BQ4.2">#REF!</definedName>
    <definedName name="_BQ4.20">#REF!</definedName>
    <definedName name="_BQ4.21">#REF!</definedName>
    <definedName name="_BQ4.22">#REF!</definedName>
    <definedName name="_BQ4.23">#REF!</definedName>
    <definedName name="_BQ4.24">#REF!</definedName>
    <definedName name="_BQ4.25">#REF!</definedName>
    <definedName name="_BQ4.26">#REF!</definedName>
    <definedName name="_BQ4.27">#REF!</definedName>
    <definedName name="_BQ4.28">#REF!</definedName>
    <definedName name="_BQ4.29">#REF!</definedName>
    <definedName name="_BQ4.3">#REF!</definedName>
    <definedName name="_BQ4.30">#REF!</definedName>
    <definedName name="_BQ4.31">#REF!</definedName>
    <definedName name="_BQ4.32">#REF!</definedName>
    <definedName name="_BQ4.33">#REF!</definedName>
    <definedName name="_BQ4.34">#REF!</definedName>
    <definedName name="_BQ4.35">#REF!</definedName>
    <definedName name="_BQ4.36">#REF!</definedName>
    <definedName name="_BQ4.37">#REF!</definedName>
    <definedName name="_BQ4.38">#REF!</definedName>
    <definedName name="_BQ4.39">#REF!</definedName>
    <definedName name="_BQ4.4">#REF!</definedName>
    <definedName name="_BQ4.40">#REF!</definedName>
    <definedName name="_BQ4.41">#REF!</definedName>
    <definedName name="_BQ4.42">#REF!</definedName>
    <definedName name="_BQ4.43">#REF!</definedName>
    <definedName name="_BQ4.44">#REF!</definedName>
    <definedName name="_BQ4.45">#REF!</definedName>
    <definedName name="_BQ4.46">#REF!</definedName>
    <definedName name="_BQ4.47">#REF!</definedName>
    <definedName name="_BQ4.48">#REF!</definedName>
    <definedName name="_BQ4.49">#REF!</definedName>
    <definedName name="_BQ4.5">#REF!</definedName>
    <definedName name="_BQ4.50">#REF!</definedName>
    <definedName name="_BQ4.51">#REF!</definedName>
    <definedName name="_BQ4.52">#REF!</definedName>
    <definedName name="_BQ4.53">#REF!</definedName>
    <definedName name="_BQ4.54">#REF!</definedName>
    <definedName name="_BQ4.55">#REF!</definedName>
    <definedName name="_BQ4.56">#REF!</definedName>
    <definedName name="_BQ4.6">#REF!</definedName>
    <definedName name="_BQ4.7">#REF!</definedName>
    <definedName name="_BQ4.8">#REF!</definedName>
    <definedName name="_BQ4.9">#REF!</definedName>
    <definedName name="_dfd1">#REF!</definedName>
    <definedName name="_Fill">#REF!</definedName>
    <definedName name="_Key1">#REF!</definedName>
    <definedName name="_Key2">#REF!</definedName>
    <definedName name="_MRG2">#REF!</definedName>
    <definedName name="_opt1550">#REF!</definedName>
    <definedName name="_Parse_Out">#REF!</definedName>
    <definedName name="_RT1">#REF!</definedName>
    <definedName name="_Sort">#REF!</definedName>
    <definedName name="_Table1_In1">#REF!</definedName>
    <definedName name="_Table1_Out">#REF!</definedName>
    <definedName name="_Table2_Out">#REF!</definedName>
    <definedName name="_wrn1">#REF!</definedName>
    <definedName name="_wrn9">#REF!</definedName>
    <definedName name="a" localSheetId="3">#REF!</definedName>
    <definedName name="a">#REF!</definedName>
    <definedName name="aaaaa" localSheetId="3">#REF!</definedName>
    <definedName name="aaaaa">#REF!</definedName>
    <definedName name="Accessible_Lodge_Bedspace">'[1]ASSUMPTION SHEET'!$E$88</definedName>
    <definedName name="Accessible_Lodge_non_bed_revenue">'[1]ASSUMPTION SHEET'!$E$103</definedName>
    <definedName name="Accessible_Lodge_Occupancy_Lodge">'[1]ASSUMPTION SHEET'!$E$92</definedName>
    <definedName name="Accessible_Lodge_Price_Sensitivty">'[1]OUTPUT SHEET'!$E$27</definedName>
    <definedName name="Accessible_Lodges_Selling_Price">'[1]ASSUMPTION SHEET'!$E$99</definedName>
    <definedName name="Activation" localSheetId="3">#REF!</definedName>
    <definedName name="Activation">#REF!</definedName>
    <definedName name="ad">#REF!</definedName>
    <definedName name="Admin_cost_m3">'[2]Assumption Sheet'!#REF!</definedName>
    <definedName name="Admin_cost_museum" localSheetId="3">'[3]ASSUMPTION SHEET'!$E$114</definedName>
    <definedName name="Admin_cost_museum">'[4]ASSUMPTION SHEET'!$E$119</definedName>
    <definedName name="Admin_cost_per_meter">'[2]Assumption Sheet'!$E$182</definedName>
    <definedName name="ads" localSheetId="3">#REF!</definedName>
    <definedName name="ads">#REF!</definedName>
    <definedName name="adsew" localSheetId="3">#REF!</definedName>
    <definedName name="adsew">#REF!</definedName>
    <definedName name="adsfaw" localSheetId="3">#REF!</definedName>
    <definedName name="adsfaw">#REF!</definedName>
    <definedName name="adsfca">#REF!</definedName>
    <definedName name="adsfeklj">#REF!</definedName>
    <definedName name="adsfkl">#REF!</definedName>
    <definedName name="adsga">#REF!</definedName>
    <definedName name="adsgawe">#REF!</definedName>
    <definedName name="adwdlkj">#REF!</definedName>
    <definedName name="afge">#REF!</definedName>
    <definedName name="agne">#REF!</definedName>
    <definedName name="ahge">#REF!</definedName>
    <definedName name="ahp">#REF!</definedName>
    <definedName name="All">#REF!</definedName>
    <definedName name="amara">#REF!</definedName>
    <definedName name="AMERFIDELITYPR1">#REF!</definedName>
    <definedName name="AMERFIDELITYPRO">#REF!</definedName>
    <definedName name="Ammonia_flag" localSheetId="3">'[5]Assumption '!$J$29</definedName>
    <definedName name="Ammonia_flag">'Assumption '!$J$29</definedName>
    <definedName name="Ammonia_location" localSheetId="3">'[5]Assumption '!$J$105</definedName>
    <definedName name="Ammonia_location">'Assumption '!$J$105</definedName>
    <definedName name="Ammonia_Price" localSheetId="3">'[5]Input '!#REF!</definedName>
    <definedName name="Ammonia_Price">'Input '!#REF!</definedName>
    <definedName name="Amplifier_">'[6]Assumption Sheet'!#REF!</definedName>
    <definedName name="ANC" localSheetId="3">#REF!</definedName>
    <definedName name="ANC">#REF!</definedName>
    <definedName name="Annual_Cap_all" localSheetId="24">'[7]Assumption Sheet'!$C$81</definedName>
    <definedName name="Annual_Cap_all" localSheetId="23">'[7]Assumption Sheet'!$C$81</definedName>
    <definedName name="Annual_Cap_all" localSheetId="3">'[7]Assumption Sheet'!$C$81</definedName>
    <definedName name="Annual_Cap_all" localSheetId="36">'[7]Assumption Sheet'!$C$81</definedName>
    <definedName name="Annual_cap_all">'[6]Assumption Sheet'!$D$45</definedName>
    <definedName name="Annual_conc_fee">[7]Output!$D$24</definedName>
    <definedName name="Annual_concession_fee" localSheetId="24">[8]Assumptions!$E$63</definedName>
    <definedName name="Annual_concession_fee" localSheetId="23">[8]Assumptions!$E$63</definedName>
    <definedName name="Annual_concession_fee" localSheetId="3">[8]Assumptions!$E$63</definedName>
    <definedName name="Annual_concession_fee" localSheetId="36">[8]Assumptions!$E$63</definedName>
    <definedName name="Annual_Concession_Fee">'[6]Assumption Sheet'!#REF!</definedName>
    <definedName name="Annual_crudeprice_increase">'Input '!$F$145</definedName>
    <definedName name="Annual_incr_std_participation_rate" localSheetId="3">'[3]ASSUMPTION SHEET'!$E$44</definedName>
    <definedName name="Annual_incr_std_participation_rate">'[4]ASSUMPTION SHEET'!$E$46</definedName>
    <definedName name="Annual_Naira_Dep_Rate">'[9]Assumption Sheet'!#REF!</definedName>
    <definedName name="Annual_Naira_Depreciation_rate">'[1]ASSUMPTION SHEET'!$E$132</definedName>
    <definedName name="Annual_Renovation" localSheetId="3">'[3]ASSUMPTION SHEET'!$E$86</definedName>
    <definedName name="Annual_Renovation">'[4]ASSUMPTION SHEET'!$E$91</definedName>
    <definedName name="ANNUALCASH" localSheetId="3">#REF!</definedName>
    <definedName name="ANNUALCASH">#REF!</definedName>
    <definedName name="Apartment_sales_price_sensitivity">'[10]Output Sheet '!$D$34</definedName>
    <definedName name="Apartmt_sales_price_sensitivity">'[11]OUTPUT SHEET'!$E$25</definedName>
    <definedName name="AREATL" localSheetId="3">#REF!</definedName>
    <definedName name="AREATL">#REF!</definedName>
    <definedName name="AREAUSD" localSheetId="3">#REF!</definedName>
    <definedName name="AREAUSD">#REF!</definedName>
    <definedName name="AS2StaticLS" localSheetId="3">#REF!</definedName>
    <definedName name="AS2StaticLS">#REF!</definedName>
    <definedName name="AS2TickmarkLS">#REF!</definedName>
    <definedName name="asdaw">#REF!</definedName>
    <definedName name="asdf">#REF!</definedName>
    <definedName name="asdfe">#REF!</definedName>
    <definedName name="asdfn">#REF!</definedName>
    <definedName name="asdgaew">#REF!</definedName>
    <definedName name="asdr5">#REF!</definedName>
    <definedName name="asfd">#REF!</definedName>
    <definedName name="ASG">#REF!</definedName>
    <definedName name="Asphalt_extraction_rate">'[6]Assumption Sheet'!$D$155</definedName>
    <definedName name="assdsd" localSheetId="3">#REF!</definedName>
    <definedName name="assdsd">#REF!</definedName>
    <definedName name="Asset_Replacement_Exp_Year_11_20">'[1]ASSUMPTION SHEET'!$E$142</definedName>
    <definedName name="Asset_replacement_freq">'[6]Assumption Sheet'!$D$250</definedName>
    <definedName name="Asset_replacement_yr_1_10">'[1]ASSUMPTION SHEET'!$E$141</definedName>
    <definedName name="assetsale" localSheetId="3">#REF!</definedName>
    <definedName name="assetsale">#REF!</definedName>
    <definedName name="ASSS" localSheetId="3">#REF!</definedName>
    <definedName name="ASSS">#REF!</definedName>
    <definedName name="assssss" localSheetId="3">#REF!</definedName>
    <definedName name="assssss">#REF!</definedName>
    <definedName name="Assume">#REF!</definedName>
    <definedName name="assumptions">#REF!</definedName>
    <definedName name="ate">#REF!</definedName>
    <definedName name="attendees_per_day_theme_park">'[9]Assumption Sheet'!$E$159</definedName>
    <definedName name="Avail_Commissioning">'Input '!$F$24</definedName>
    <definedName name="Avail_TAM_year" localSheetId="3">'[5]Input '!$F$23</definedName>
    <definedName name="Avail_TAM_year">'Input '!$F$23</definedName>
    <definedName name="Ave_Accessible_Lodge_Bed_Rate">'[1]ASSUMPTION SHEET'!$E$100</definedName>
    <definedName name="ave_attraction_per_attendee">'[9]Assumption Sheet'!$E$160</definedName>
    <definedName name="ave_daily_visitors_acquarium">'[9]Assumption Sheet'!$E$168</definedName>
    <definedName name="Ave_daily_visitors_Museum">'[9]Assumption Sheet'!$E$164</definedName>
    <definedName name="Ave_daily_waste_delivery">'[9]Assumption Sheet'!#REF!</definedName>
    <definedName name="Ave_fee_online_visitors" localSheetId="3">'[3]ASSUMPTION SHEET'!$E$98</definedName>
    <definedName name="Ave_fee_online_visitors">'[4]ASSUMPTION SHEET'!$E$103</definedName>
    <definedName name="Ave_Liters_per_month">'[12]Assumption '!#REF!</definedName>
    <definedName name="Ave_min_per_trip_peak_period">'[12]Assumption '!#REF!</definedName>
    <definedName name="Ave_no_trips_peak_period" localSheetId="3">'[12]Assumption '!#REF!</definedName>
    <definedName name="Ave_no_trips_peak_period">'[12]Assumption '!#REF!</definedName>
    <definedName name="Ave_room_rate_3_star_hotel">'[9]Assumption Sheet'!$E$63</definedName>
    <definedName name="Ave_room_rate_4_star_hotel">'[9]Assumption Sheet'!$E$56</definedName>
    <definedName name="Ave_room_rate_5star_hotel">'[9]Assumption Sheet'!$E$49</definedName>
    <definedName name="Average_Eco_Lodge_bed_rate">'[1]ASSUMPTION SHEET'!$E$72</definedName>
    <definedName name="Average_fee_onsite_visitor" localSheetId="3">'[3]ASSUMPTION SHEET'!$E$97</definedName>
    <definedName name="Average_fee_onsite_visitor">'[4]ASSUMPTION SHEET'!$E$102</definedName>
    <definedName name="Average_no_clients_per_months">'[12]Assumption '!$F$69</definedName>
    <definedName name="Avg_Freight_and_handlg_charges">'[7]Assumption Sheet'!$C$97</definedName>
    <definedName name="Avg_savings_int_rate">'[7]Assumption Sheet'!$C$96</definedName>
    <definedName name="Avg_Sub" localSheetId="3">#REF!</definedName>
    <definedName name="Avg_Sub">#REF!</definedName>
    <definedName name="Avg_water_demand_per_person">'[2]Assumption Sheet'!$E$207</definedName>
    <definedName name="awe" localSheetId="3">#REF!</definedName>
    <definedName name="awe">#REF!</definedName>
    <definedName name="awea" localSheetId="3">#REF!</definedName>
    <definedName name="awea">#REF!</definedName>
    <definedName name="b" localSheetId="3">#REF!</definedName>
    <definedName name="b">#REF!</definedName>
    <definedName name="ba">#REF!</definedName>
    <definedName name="Base_Date" localSheetId="24">'[7]Assumption Sheet'!$C$34</definedName>
    <definedName name="Base_Date" localSheetId="23">'[7]Assumption Sheet'!$C$34</definedName>
    <definedName name="Base_Date" localSheetId="3">'[13]Assumption Sheet'!$C$34</definedName>
    <definedName name="Base_Date" localSheetId="36">'[7]Assumption Sheet'!$C$34</definedName>
    <definedName name="Base_Date">'[6]Assumption Sheet'!$D$35</definedName>
    <definedName name="Base_fare" localSheetId="3">'[12]Assumption '!#REF!</definedName>
    <definedName name="Base_fare">'[12]Assumption '!#REF!</definedName>
    <definedName name="Base_year_water_loss">'[2]Assumption Sheet'!$E$308</definedName>
    <definedName name="BENEF_COR" localSheetId="3">#REF!</definedName>
    <definedName name="BENEF_COR">#REF!</definedName>
    <definedName name="bidon" localSheetId="3">#REF!</definedName>
    <definedName name="bidon">#REF!</definedName>
    <definedName name="Breakeven_Prod" localSheetId="3">#REF!</definedName>
    <definedName name="Breakeven_Prod">#REF!</definedName>
    <definedName name="bs.date">#REF!</definedName>
    <definedName name="BSHEETALL">#REF!</definedName>
    <definedName name="BUC">#REF!</definedName>
    <definedName name="c_date">#REF!</definedName>
    <definedName name="Cable_connectors">'[6]Assumption Sheet'!#REF!</definedName>
    <definedName name="Cabling_infr_revenue">'[7]Assumption Sheet'!$C$267</definedName>
    <definedName name="cade" localSheetId="3">#REF!</definedName>
    <definedName name="cade">#REF!</definedName>
    <definedName name="cads" localSheetId="3">#REF!</definedName>
    <definedName name="cads">#REF!</definedName>
    <definedName name="cadsf" localSheetId="3">#REF!</definedName>
    <definedName name="cadsf">#REF!</definedName>
    <definedName name="CAE">#REF!</definedName>
    <definedName name="caega">#REF!</definedName>
    <definedName name="caer">#REF!</definedName>
    <definedName name="cagare">#REF!</definedName>
    <definedName name="Cap_Phase1" localSheetId="3">'[5]Input '!$F$26</definedName>
    <definedName name="Cap_Phase1">'Input '!$F$26</definedName>
    <definedName name="Cap_Phase2" localSheetId="3">'[5]Input '!$F$27</definedName>
    <definedName name="Cap_Phase2">'Input '!$F$27</definedName>
    <definedName name="Cap_Rate_for_Convention_center">'[9]Assumption Sheet'!#REF!</definedName>
    <definedName name="Cap_rate_for_hotel_building">'[9]Assumption Sheet'!#REF!</definedName>
    <definedName name="Cap_Rate_for_office_retail_comm_space">'[9]Assumption Sheet'!#REF!</definedName>
    <definedName name="Cap_total" localSheetId="3">'[5]Input '!$F$31</definedName>
    <definedName name="Cap_total">'Input '!$F$31</definedName>
    <definedName name="capex" localSheetId="3">#REF!</definedName>
    <definedName name="capex">#REF!</definedName>
    <definedName name="Capex_for_MovinginfrastructureII">'[14]Assumption Sheet'!$C$159</definedName>
    <definedName name="Capex_Phasing_sensitivity" localSheetId="3">'[5]Sens WIP'!$D$53</definedName>
    <definedName name="Capex_Phasing_sensitivity">'Sens WIP'!$D$53</definedName>
    <definedName name="capex200opt4" localSheetId="3">#REF!</definedName>
    <definedName name="capex200opt4">#REF!</definedName>
    <definedName name="capex200opt5" localSheetId="3">#REF!</definedName>
    <definedName name="capex200opt5">#REF!</definedName>
    <definedName name="capex200opt6" localSheetId="3">#REF!</definedName>
    <definedName name="capex200opt6">#REF!</definedName>
    <definedName name="capex200opt6r">#REF!</definedName>
    <definedName name="capex350opt4">#REF!</definedName>
    <definedName name="capex350opt5">#REF!</definedName>
    <definedName name="capex350opt6">#REF!</definedName>
    <definedName name="capex350opt6r">#REF!</definedName>
    <definedName name="capex450opt1">#REF!</definedName>
    <definedName name="capex450opt1r">#REF!</definedName>
    <definedName name="capex450opt2">#REF!</definedName>
    <definedName name="capex450opt3">#REF!</definedName>
    <definedName name="capex450opt5">#REF!</definedName>
    <definedName name="capex450opt6">#REF!</definedName>
    <definedName name="capex450opt6r">#REF!</definedName>
    <definedName name="capex500opt1">#REF!</definedName>
    <definedName name="capex500opt1r">#REF!</definedName>
    <definedName name="capex500opt2">#REF!</definedName>
    <definedName name="capex500opt3">#REF!</definedName>
    <definedName name="capex550opt1">#REF!</definedName>
    <definedName name="capex550opt1r">#REF!</definedName>
    <definedName name="capex550opt2">#REF!</definedName>
    <definedName name="capex550opt3">#REF!</definedName>
    <definedName name="capexcapex5001r">#REF!</definedName>
    <definedName name="CAPITAUX">#REF!</definedName>
    <definedName name="Cargo_Export_Enugu">'[3]ASSUMPTION SHEET'!#REF!</definedName>
    <definedName name="Cargo_Export_Kano">'[3]ASSUMPTION SHEET'!#REF!</definedName>
    <definedName name="Cargo_Growth_Rate" localSheetId="3">'[3]ASSUMPTION SHEET'!#REF!</definedName>
    <definedName name="Cargo_Growth_Rate">'[4]ASSUMPTION SHEET'!$E$31</definedName>
    <definedName name="Cargo_Import_Enugu">'[3]ASSUMPTION SHEET'!#REF!</definedName>
    <definedName name="Cargo_Import_Kano" localSheetId="3">'[3]ASSUMPTION SHEET'!#REF!</definedName>
    <definedName name="Cargo_Import_Kano">'[4]ASSUMPTION SHEET'!$E$70</definedName>
    <definedName name="CAS_">'[6]Assumption Sheet'!#REF!</definedName>
    <definedName name="CASHFLOWALL" localSheetId="3">#REF!</definedName>
    <definedName name="CASHFLOWALL">#REF!</definedName>
    <definedName name="cavde" localSheetId="3">#REF!</definedName>
    <definedName name="cavde">#REF!</definedName>
    <definedName name="cb" localSheetId="3">#REF!</definedName>
    <definedName name="cb">#REF!</definedName>
    <definedName name="CB1_">#REF!</definedName>
    <definedName name="CB2_">#REF!</definedName>
    <definedName name="CB3_">#REF!</definedName>
    <definedName name="cball">#REF!</definedName>
    <definedName name="cball1">#REF!</definedName>
    <definedName name="cball2">#REF!</definedName>
    <definedName name="cball3">#REF!</definedName>
    <definedName name="cball4">#REF!</definedName>
    <definedName name="cball5">#REF!</definedName>
    <definedName name="ceramics_ass">#REF!</definedName>
    <definedName name="Ceramics_Factory">#REF!</definedName>
    <definedName name="Ceramics_Factory__cost_per_unit">#REF!</definedName>
    <definedName name="Ceramics_proj">#REF!</definedName>
    <definedName name="certamics">#REF!</definedName>
    <definedName name="cgaf">#REF!</definedName>
    <definedName name="cgafde">#REF!</definedName>
    <definedName name="Chalet_Occupancy_Rate" localSheetId="3">'[3]ASSUMPTION SHEET'!$E$132</definedName>
    <definedName name="Chalet_Occupancy_Rate">'[4]ASSUMPTION SHEET'!$E$137</definedName>
    <definedName name="chalet_operating_days" localSheetId="3">'[3]ASSUMPTION SHEET'!$E$129</definedName>
    <definedName name="chalet_operating_days">'[4]ASSUMPTION SHEET'!$E$134</definedName>
    <definedName name="Chalet_operating_period" localSheetId="3">'[3]ASSUMPTION SHEET'!$E$122</definedName>
    <definedName name="Chalet_operating_period">'[4]ASSUMPTION SHEET'!$E$127</definedName>
    <definedName name="Chalet_room_rate">'[3]OUTPUT SHEET'!$E$52</definedName>
    <definedName name="chalet_room_rate_freq" localSheetId="3">'[3]ASSUMPTION SHEET'!$E$128</definedName>
    <definedName name="chalet_room_rate_freq">'[4]ASSUMPTION SHEET'!$E$133</definedName>
    <definedName name="Chemical_cost_m3">'[2]Assumption Sheet'!#REF!</definedName>
    <definedName name="chgeas" localSheetId="3">#REF!</definedName>
    <definedName name="chgeas">#REF!</definedName>
    <definedName name="Churn" localSheetId="3">#REF!</definedName>
    <definedName name="Churn">#REF!</definedName>
    <definedName name="churn1" localSheetId="3">#REF!</definedName>
    <definedName name="churn1">#REF!</definedName>
    <definedName name="ChurnTable">#REF!</definedName>
    <definedName name="cntigency_">'[6]Assumption Sheet'!$D$19</definedName>
    <definedName name="Coke_extraction_rate">'[6]Assumption Sheet'!$D$151</definedName>
    <definedName name="collection_period_1">'[15]Assumption '!$E$141</definedName>
    <definedName name="collection_period_2">'[15]Assumption '!$E$142</definedName>
    <definedName name="Comm_completion_premium">'[16]Assumption Sheet'!$F$152</definedName>
    <definedName name="Comm_Land_to_Aso_Hills">'[16]Assumption Sheet'!$D$126</definedName>
    <definedName name="comm_off_spaces_occupancy_sensitivity">'[11]OUTPUT SHEET'!$E$26</definedName>
    <definedName name="Comm_offplan_discount">'[16]Assumption Sheet'!$D$152</definedName>
    <definedName name="Comm_space_Occupancy_rate">'[9]Assumption Sheet'!$E$112</definedName>
    <definedName name="Comm_Space_rent_incr_rate">'[9]Assumption Sheet'!$E$110</definedName>
    <definedName name="Comm_Standard_Price">'[16]Assumption Sheet'!$E$152</definedName>
    <definedName name="Commercial_Sales_of_Land">'[9]Assumption Sheet'!#REF!</definedName>
    <definedName name="Commitment_fee_annual_payment_frequency">'[2]Assumption Sheet'!$E$258</definedName>
    <definedName name="common_area_facility_mgt_fee">'[1]ASSUMPTION SHEET'!#REF!</definedName>
    <definedName name="Community_expenses">'[7]Assumption Sheet'!$D$252</definedName>
    <definedName name="Compensation_Per_Retail_Task" localSheetId="3">#REF!</definedName>
    <definedName name="Compensation_Per_Retail_Task">#REF!</definedName>
    <definedName name="con" localSheetId="3">#REF!</definedName>
    <definedName name="con">#REF!</definedName>
    <definedName name="Concert_Mgt_Fee">'[1]ASSUMPTION SHEET'!#REF!</definedName>
    <definedName name="Concert_rate_freq">'[1]ASSUMPTION SHEET'!$E$109</definedName>
    <definedName name="Concess_Mark_up">[7]Output!$D$27</definedName>
    <definedName name="Concess_other_expenses">[7]Output!$D$26</definedName>
    <definedName name="Concession_markup">'[6]Assumption Sheet'!#REF!</definedName>
    <definedName name="Concession_Period" localSheetId="3">'[3]ASSUMPTION SHEET'!$E$29</definedName>
    <definedName name="Concession_Period" localSheetId="22">'[9]Assumption Sheet'!$E$41</definedName>
    <definedName name="Concession_Period">'[4]ASSUMPTION SHEET'!$E$29</definedName>
    <definedName name="Consession_Other_Exp">'[6]Assumption Sheet'!#REF!</definedName>
    <definedName name="Const_duration" localSheetId="3">'[5]Input '!$F$47</definedName>
    <definedName name="Const_duration">'Input '!$F$47</definedName>
    <definedName name="Const_end" localSheetId="3">'[5]Input '!$F$48</definedName>
    <definedName name="Const_end">'Input '!$F$48</definedName>
    <definedName name="Const_start" localSheetId="3">'[5]Input '!$F$46</definedName>
    <definedName name="Const_start">'Input '!$F$46</definedName>
    <definedName name="Constr_Cost_K_City">'[9]Assumption Sheet'!$E$7</definedName>
    <definedName name="Constr_Period" localSheetId="22">'[9]Assumption Sheet'!$E$39</definedName>
    <definedName name="Constr_Period">'[7]Assumption Sheet'!$C$36</definedName>
    <definedName name="constr_period_">'[6]Assumption Sheet'!$D$37</definedName>
    <definedName name="Construction_cost_sensitivity" localSheetId="3">'[1]OUTPUT SHEET'!$E$20</definedName>
    <definedName name="Construction_cost_sensitivity" localSheetId="22">'[9]Output Sheet '!$E$16</definedName>
    <definedName name="Construction_cost_sensitivity">'[4]OUTPUT SHEET'!$E$18</definedName>
    <definedName name="Construction_End" localSheetId="22">'[9]Assumption Sheet'!$E$40</definedName>
    <definedName name="Construction_End">'[10]Assumption Sheet'!$E$123</definedName>
    <definedName name="Construction_end_date" localSheetId="3">'[1]ASSUMPTION SHEET'!$E$46</definedName>
    <definedName name="Construction_End_Date">'[4]ASSUMPTION SHEET'!$E$28</definedName>
    <definedName name="Construction_End_Year">'[2]Assumption Sheet'!$E$87</definedName>
    <definedName name="Construction_period" localSheetId="3">'[1]ASSUMPTION SHEET'!$E$45</definedName>
    <definedName name="Construction_period">'[4]ASSUMPTION SHEET'!$E$25</definedName>
    <definedName name="Construction_Period_months" localSheetId="3">'[3]ASSUMPTION SHEET'!$E$27</definedName>
    <definedName name="Construction_Period_months">'[4]ASSUMPTION SHEET'!$E$27</definedName>
    <definedName name="Construction_Period_Years">'[17]Assumption Sheet'!$J$11</definedName>
    <definedName name="Contigency">'[1]ASSUMPTION SHEET'!$E$15</definedName>
    <definedName name="contigency_phase_1">'[10]Assumption Sheet'!$F$46</definedName>
    <definedName name="Contigency_Phase_3">'[10]Assumption Sheet'!$F$83</definedName>
    <definedName name="Contigency_phs_2">'[10]Assumption Sheet'!$F$64</definedName>
    <definedName name="contigency_rate">'[6]Assumption Sheet'!$D$66</definedName>
    <definedName name="Contingency_Rate" localSheetId="3">'[5]Input '!$F$12</definedName>
    <definedName name="Contingency_Rate">'Input '!$F$12</definedName>
    <definedName name="ConversionTable" localSheetId="3">#REF!</definedName>
    <definedName name="ConversionTable">#REF!</definedName>
    <definedName name="Corp_Tax_rate">'[6]Assumption Sheet'!$D$50</definedName>
    <definedName name="Corporate_tax" localSheetId="3">'[5]Input '!$E$378</definedName>
    <definedName name="Corporate_tax">'Input '!$E$378</definedName>
    <definedName name="Corporation_Tax">[2]Output!$E$30</definedName>
    <definedName name="Cost_Natural_Gas">'Input '!$F$143</definedName>
    <definedName name="Cost_od_Land">'[1]ASSUMPTION SHEET'!$E$5</definedName>
    <definedName name="Cost_of_Accessible_Lodge">'[1]ASSUMPTION SHEET'!$E$8</definedName>
    <definedName name="Cost_of_Constr_Eco_Lodge_2">'[1]ASSUMPTION SHEET'!$E$7</definedName>
    <definedName name="Cost_of_Constr_Hotel">'[18]ASSUMPTION SHEET'!$E$6</definedName>
    <definedName name="Cost_of_Constr_Multipurpose_Tent">'[18]ASSUMPTION SHEET'!$E$8</definedName>
    <definedName name="Cost_of_Constr_Shopping_Mall">'[18]ASSUMPTION SHEET'!$E$7</definedName>
    <definedName name="cost_of_crude_oil">'[6]Assumption Sheet'!$E$136</definedName>
    <definedName name="Cost_of_Eco_Lodge_1">'[1]ASSUMPTION SHEET'!$E$6</definedName>
    <definedName name="Cost_of_Equip">'[3]ASSUMPTION SHEET'!$E$9</definedName>
    <definedName name="Cost_of_equity" localSheetId="3">[7]Output!$D$100</definedName>
    <definedName name="Cost_of_Equity">'Input '!$E$404</definedName>
    <definedName name="Cost_of_Fixed_Infrastructure" localSheetId="3">'[3]ASSUMPTION SHEET'!$E$7</definedName>
    <definedName name="Cost_of_Fixed_Infrastructure">'[4]ASSUMPTION SHEET'!$E$7</definedName>
    <definedName name="Cost_of_grant_funding">[7]Output!$D$99</definedName>
    <definedName name="Cost_of_Land" localSheetId="22">'[9]Assumption Sheet'!$E$5</definedName>
    <definedName name="Cost_of_Land">'[10]Assumption Sheet'!$E$5</definedName>
    <definedName name="Cost_of_Ranger_Kit" localSheetId="3">'[3]ASSUMPTION SHEET'!$E$62</definedName>
    <definedName name="Cost_of_Ranger_Kit">'[4]ASSUMPTION SHEET'!$E$64</definedName>
    <definedName name="Cost_of_renovation_percentage_of_hotel_revenue" localSheetId="3">'[1]ASSUMPTION SHEET'!#REF!</definedName>
    <definedName name="Cost_of_renovation_percentage_of_hotel_revenue">'[4]ASSUMPTION SHEET'!#REF!</definedName>
    <definedName name="Cost_of_Term_Infra" localSheetId="3">'[3]ASSUMPTION SHEET'!$E$8</definedName>
    <definedName name="Cost_of_Term_Infra">'[4]ASSUMPTION SHEET'!$E$8</definedName>
    <definedName name="Cost_of_Trucks">'[12]Assumption '!$E$10</definedName>
    <definedName name="Cost_of_Water" localSheetId="3">'[5]Assumption '!$J$201</definedName>
    <definedName name="Cost_of_Water">'Assumption '!$J$217</definedName>
    <definedName name="Cost_one_Truck" localSheetId="3">'[12]Assumption '!#REF!</definedName>
    <definedName name="Cost_one_Truck">'[12]Assumption '!#REF!</definedName>
    <definedName name="cost_per_meter">'[2]Assumption Sheet'!$E$159</definedName>
    <definedName name="Cost_Power_Plant">'[15]Assumption '!$D$7</definedName>
    <definedName name="Cost_Trucks" localSheetId="3">'[12]Assumption '!#REF!</definedName>
    <definedName name="Cost_Trucks">'[12]Assumption '!#REF!</definedName>
    <definedName name="couple_adequate_offsite">'[12]Assumption '!$F$60</definedName>
    <definedName name="Couple_Adequate_Theraphy">'[12]Assumption '!$F$56</definedName>
    <definedName name="Couple_Full_offsite">'[12]Assumption '!$F$61</definedName>
    <definedName name="Couple_full_Theraphy">'[12]Assumption '!$F$57</definedName>
    <definedName name="Couple_min_offsite">'[12]Assumption '!$F$59</definedName>
    <definedName name="Couple_Min_Therapy">'[12]Assumption '!$F$55</definedName>
    <definedName name="Coy_driver_salary">'[12]Assumption '!#REF!</definedName>
    <definedName name="Credit" localSheetId="3">#REF!</definedName>
    <definedName name="Credit">#REF!</definedName>
    <definedName name="crude_oil_price_sensitivity">[6]Output!$D$54</definedName>
    <definedName name="CUMTL" localSheetId="3">#REF!</definedName>
    <definedName name="CUMTL">#REF!</definedName>
    <definedName name="CUMUSD" localSheetId="3">#REF!</definedName>
    <definedName name="CUMUSD">#REF!</definedName>
    <definedName name="Currency_Rate" localSheetId="3">#REF!</definedName>
    <definedName name="Currency_Rate">#REF!</definedName>
    <definedName name="current_FCTWB_Tariff">'[2]Assumption Sheet'!$E$320</definedName>
    <definedName name="Current_Price_Methanol">'Assumption '!$J$253</definedName>
    <definedName name="Current_Prod" localSheetId="3">#REF!</definedName>
    <definedName name="Current_Prod">#REF!</definedName>
    <definedName name="Currrent_Gas_Price_Urea" localSheetId="3">'[5]Assumption '!$J$224</definedName>
    <definedName name="Currrent_Gas_Price_Urea">'Assumption '!$J$240</definedName>
    <definedName name="Customer_Care_Inf_opex">'[2]Assumption Sheet'!$E$62</definedName>
    <definedName name="cvade" localSheetId="3">#REF!</definedName>
    <definedName name="cvade">#REF!</definedName>
    <definedName name="daeklj" localSheetId="3">#REF!</definedName>
    <definedName name="daeklj">#REF!</definedName>
    <definedName name="daewkl" localSheetId="3">#REF!</definedName>
    <definedName name="daewkl">#REF!</definedName>
    <definedName name="Daily_water_demand_in_Liters">'[2]Assumption Sheet'!$E$206</definedName>
    <definedName name="das" localSheetId="3">#REF!</definedName>
    <definedName name="das">#REF!</definedName>
    <definedName name="dasgfdag" localSheetId="3">#REF!</definedName>
    <definedName name="dasgfdag">#REF!</definedName>
    <definedName name="dasklej" localSheetId="3">#REF!</definedName>
    <definedName name="dasklej">#REF!</definedName>
    <definedName name="Days_in_a_Year">[19]Input!$E$28</definedName>
    <definedName name="days_per_year">'[15]Assumption '!$E$32</definedName>
    <definedName name="Days_per_yr">'[7]Assumption Sheet'!$C$44</definedName>
    <definedName name="Days_Year" localSheetId="3">'[5]Input '!$F$15</definedName>
    <definedName name="Days_Year">'Input '!$F$15</definedName>
    <definedName name="DaysInYr" localSheetId="3">'[5]Assumption '!$J$19</definedName>
    <definedName name="DaysInYr">'Assumption '!$J$19</definedName>
    <definedName name="DC_Watt">'Input '!$F$36</definedName>
    <definedName name="dcfyear" localSheetId="3">#REF!</definedName>
    <definedName name="dcfyear">#REF!</definedName>
    <definedName name="dd" localSheetId="3">#REF!</definedName>
    <definedName name="dd">#REF!</definedName>
    <definedName name="de" localSheetId="3">#REF!</definedName>
    <definedName name="de">#REF!</definedName>
    <definedName name="Debt">'[16]Assumption Sheet'!$D$21</definedName>
    <definedName name="Debt_Amount" localSheetId="24">'[4]ASSUMPTION SHEET'!$F$19</definedName>
    <definedName name="Debt_Amount" localSheetId="23">'[4]ASSUMPTION SHEET'!$F$19</definedName>
    <definedName name="Debt_Amount" localSheetId="3">'[1]ASSUMPTION SHEET'!$F$39</definedName>
    <definedName name="Debt_Amount" localSheetId="36">'[4]ASSUMPTION SHEET'!$F$19</definedName>
    <definedName name="Debt_Amount" localSheetId="22">'[9]Assumption Sheet'!$F$33</definedName>
    <definedName name="Debt_Amount">'[15]Assumption '!$E$19</definedName>
    <definedName name="Debt_fin_percentage">[7]Output!$E$93</definedName>
    <definedName name="Debt_percentage" localSheetId="3">'[1]ASSUMPTION SHEET'!$E$39</definedName>
    <definedName name="Debt_Percentage" localSheetId="22">'[9]Assumption Sheet'!$E$33</definedName>
    <definedName name="Debt_percentage">'[4]ASSUMPTION SHEET'!$E$19</definedName>
    <definedName name="Debt_percentg">'[15]Assumption '!$D$19</definedName>
    <definedName name="Debt_perctg">'[12]Assumption '!$E$34</definedName>
    <definedName name="Decommission_cost" localSheetId="3">'[5]Assumption '!$M$372</definedName>
    <definedName name="Decommission_cost">'Assumption '!$M$388</definedName>
    <definedName name="Dep_Equip_Mach">'[9]Assumption Sheet'!$E$187</definedName>
    <definedName name="Dep_for_Build">'[9]Assumption Sheet'!$E$185</definedName>
    <definedName name="Dep_for_FFE">'[9]Assumption Sheet'!$E$186</definedName>
    <definedName name="Dep_rate_for_building">'[4]ASSUMPTION SHEET'!$E$199</definedName>
    <definedName name="deple" localSheetId="3">#REF!</definedName>
    <definedName name="deple">#REF!</definedName>
    <definedName name="depre" localSheetId="3">#REF!</definedName>
    <definedName name="depre">#REF!</definedName>
    <definedName name="dfd" localSheetId="3">#REF!</definedName>
    <definedName name="dfd">#REF!</definedName>
    <definedName name="dfdas">#REF!</definedName>
    <definedName name="dfdas1">#REF!</definedName>
    <definedName name="dfdfd">#REF!</definedName>
    <definedName name="dfdfdd">#REF!</definedName>
    <definedName name="dfdfdfd">#REF!</definedName>
    <definedName name="dfdfdfd1">#REF!</definedName>
    <definedName name="dfdsf">#REF!</definedName>
    <definedName name="dfgdgd">#REF!</definedName>
    <definedName name="dfgdxfv">#REF!</definedName>
    <definedName name="dfgsdf">#REF!</definedName>
    <definedName name="DFI_Mezannine_finance_commitment_fee">'[14]Assumption Sheet'!$C$239</definedName>
    <definedName name="DFI_Mezannine_finance_front_end_fee">'[14]Assumption Sheet'!$C$238</definedName>
    <definedName name="DFI_Mezannine_finance_loan_spread">'[14]Assumption Sheet'!$C$230</definedName>
    <definedName name="DFI_Mezannine_finance_loan_term">'[14]Assumption Sheet'!$C$232</definedName>
    <definedName name="DFI_Mezannine_finance_percentage_OandM">[14]Output!$D$60</definedName>
    <definedName name="DFI_Mezannine_finance_principal">'[14]Assumption Sheet'!$C$237</definedName>
    <definedName name="dfsafd" localSheetId="3">#REF!</definedName>
    <definedName name="dfsafd">#REF!</definedName>
    <definedName name="dfsfa" localSheetId="3">#REF!</definedName>
    <definedName name="dfsfa">#REF!</definedName>
    <definedName name="dgtdf" localSheetId="3">#REF!</definedName>
    <definedName name="dgtdf">#REF!</definedName>
    <definedName name="Diesel_export">[6]Output!$D$62</definedName>
    <definedName name="Diesel_extraction_percentage">'[6]Assumption Sheet'!$D$148</definedName>
    <definedName name="Diesel_local_distrib_sensitivity">[6]Output!$D$58</definedName>
    <definedName name="Diesel_price" localSheetId="3">'[5]Input '!#REF!</definedName>
    <definedName name="Diesel_price">'Input '!#REF!</definedName>
    <definedName name="DINVESTEDCAP" localSheetId="3">#REF!</definedName>
    <definedName name="DINVESTEDCAP">#REF!</definedName>
    <definedName name="Dir_op_cost_chalet" localSheetId="3">'[3]ASSUMPTION SHEET'!$E$137</definedName>
    <definedName name="Dir_op_cost_chalet">'[4]ASSUMPTION SHEET'!$E$142</definedName>
    <definedName name="disc_years" localSheetId="3">#REF!</definedName>
    <definedName name="disc_years">#REF!</definedName>
    <definedName name="Discount_on_Sales" localSheetId="3">'[12]Assumption '!#REF!</definedName>
    <definedName name="Discount_on_Sales">'[12]Assumption '!#REF!</definedName>
    <definedName name="Discount_rate_for_Project">'[14]Assumption Sheet'!$E$191</definedName>
    <definedName name="Dividend">'Assumption '!$J$647</definedName>
    <definedName name="DIVIDENDE" localSheetId="3">#REF!</definedName>
    <definedName name="DIVIDENDE">#REF!</definedName>
    <definedName name="Dollar_Exch_rate" localSheetId="24">'[7]Assumption Sheet'!$C$85</definedName>
    <definedName name="Dollar_Exch_rate" localSheetId="23">'[7]Assumption Sheet'!$C$85</definedName>
    <definedName name="Dollar_Exch_rate" localSheetId="3">'[7]Assumption Sheet'!$C$85</definedName>
    <definedName name="Dollar_Exch_rate" localSheetId="36">'[7]Assumption Sheet'!$C$85</definedName>
    <definedName name="Dollar_Exch_rate">'[6]Assumption Sheet'!$D$58</definedName>
    <definedName name="Dollar_Naira_Exch_Rate">'[15]Assumption '!$E$42</definedName>
    <definedName name="Dollar_Naira_Exchange_rate" localSheetId="3">'[1]ASSUMPTION SHEET'!$E$131</definedName>
    <definedName name="Dollar_Naira_Exchange_rate">'[4]ASSUMPTION SHEET'!$E$192</definedName>
    <definedName name="Dollar_Naira_Fx_Rate" localSheetId="22">'[9]Assumption Sheet'!$E$181</definedName>
    <definedName name="Dollar_Naira_fx_rate">'[10]Assumption Sheet'!$E$552</definedName>
    <definedName name="drgd" localSheetId="3">#REF!</definedName>
    <definedName name="drgd">#REF!</definedName>
    <definedName name="drtd" localSheetId="3">#REF!</definedName>
    <definedName name="drtd">#REF!</definedName>
    <definedName name="drtg" localSheetId="3">#REF!</definedName>
    <definedName name="drtg">#REF!</definedName>
    <definedName name="drtgdg">#REF!</definedName>
    <definedName name="DRYRINVEST">#REF!</definedName>
    <definedName name="dsafd">#REF!</definedName>
    <definedName name="dsaflkj">#REF!</definedName>
    <definedName name="dsaflkje">#REF!</definedName>
    <definedName name="dsafwlekj">#REF!</definedName>
    <definedName name="dsea">#REF!</definedName>
    <definedName name="dsfgr">#REF!</definedName>
    <definedName name="DTRYRINVEST">#REF!</definedName>
    <definedName name="DTYRINVEST">#REF!</definedName>
    <definedName name="Dur_of_Warranty">'[12]Assumption '!$F$94</definedName>
    <definedName name="Duration_to_complete_Phase1_mths">'[2]Assumption Sheet'!$E$89</definedName>
    <definedName name="Duration_to_complete_Phase1_Yrs">'[2]Assumption Sheet'!$E$88</definedName>
    <definedName name="Duration_to_complete_phase2_months">'[2]Assumption Sheet'!$E$91</definedName>
    <definedName name="DYRINVEST" localSheetId="3">#REF!</definedName>
    <definedName name="DYRINVEST">#REF!</definedName>
    <definedName name="e" localSheetId="3">#REF!</definedName>
    <definedName name="e">#REF!</definedName>
    <definedName name="E89Meter_deplor_month_3">'[2]Assumption Sheet'!$E$162</definedName>
    <definedName name="EAnchor" localSheetId="3">#REF!</definedName>
    <definedName name="EAnchor">#REF!</definedName>
    <definedName name="ebdiat_mult" localSheetId="3">#REF!</definedName>
    <definedName name="ebdiat_mult">#REF!</definedName>
    <definedName name="ebdiat_mult_sen" localSheetId="3">#REF!</definedName>
    <definedName name="ebdiat_mult_sen">#REF!</definedName>
    <definedName name="ebdiat_mult1">#REF!</definedName>
    <definedName name="ebdiat_mult2">#REF!</definedName>
    <definedName name="ebdiat_mult3">#REF!</definedName>
    <definedName name="ebdiat_mult4">#REF!</definedName>
    <definedName name="ebdiat_mult5">#REF!</definedName>
    <definedName name="ebdiat_terminal">#REF!</definedName>
    <definedName name="Ebitda_Limit_Concession">'[6]Assumption Sheet'!#REF!</definedName>
    <definedName name="EBITDA_limit_for_Conc_Fee">[7]Output!$D$25</definedName>
    <definedName name="EBITDA_mult" localSheetId="3">#REF!</definedName>
    <definedName name="EBITDA_mult">#REF!</definedName>
    <definedName name="EBITDA_mult1" localSheetId="3">#REF!</definedName>
    <definedName name="EBITDA_mult1">#REF!</definedName>
    <definedName name="EBITDA_mult2" localSheetId="3">#REF!</definedName>
    <definedName name="EBITDA_mult2">#REF!</definedName>
    <definedName name="EBITDA_mult3">#REF!</definedName>
    <definedName name="EBITDA_mult4">#REF!</definedName>
    <definedName name="EBITDA_mult5">#REF!</definedName>
    <definedName name="ECA_Committment_Fee">'[14]Assumption Sheet'!$C$224</definedName>
    <definedName name="ECA_front_end_Fee">'[14]Assumption Sheet'!$C$223</definedName>
    <definedName name="ECA_Funding_percentage_OandM">[14]Output!$D$59</definedName>
    <definedName name="ECA_No_of_Repayments">'[14]Assumption Sheet'!$C$219</definedName>
    <definedName name="ECA_principal">'[14]Assumption Sheet'!$C$221</definedName>
    <definedName name="Eco_life_furniture_fittings">'[12]Assumption '!$E$115</definedName>
    <definedName name="Eco_life_Infras">'[15]Assumption '!$D$149</definedName>
    <definedName name="Eco_life_land_buiilding">'[12]Assumption '!$E$113</definedName>
    <definedName name="Eco_life_minibus">'[12]Assumption '!$E$112</definedName>
    <definedName name="Eco_life_office_equip_software">'[12]Assumption '!$E$116</definedName>
    <definedName name="Eco_life_plant_Equipment">'[12]Assumption '!$E$114</definedName>
    <definedName name="Eco_Life_Plant_Mach_Gen">'[6]Assumption Sheet'!$D$196</definedName>
    <definedName name="Eco_Life_Vehicle">'[1]ASSUMPTION SHEET'!$E$153</definedName>
    <definedName name="Eco_Lodge_1_Operating_Year">'[1]ASSUMPTION SHEET'!$E$80</definedName>
    <definedName name="Eco_Lodge_2_Operating_Year">'[1]ASSUMPTION SHEET'!$E$81</definedName>
    <definedName name="Eco_Lodge_Bed_rate_sensitivity">'[1]OUTPUT SHEET'!$E$26</definedName>
    <definedName name="Eco_Lodge_first_operating_year">'[1]ASSUMPTION SHEET'!$E$74</definedName>
    <definedName name="eco_useful_life_of_land_building">'[9]Assumption Sheet'!$E$190</definedName>
    <definedName name="Econ_life_Contigency">'[6]Assumption Sheet'!$D$199</definedName>
    <definedName name="Econ_life_DTH_license">'[6]Assumption Sheet'!$D$194</definedName>
    <definedName name="Econ_life_Eqpt_machines" localSheetId="24">'[4]ASSUMPTION SHEET'!$E$208</definedName>
    <definedName name="Econ_life_Eqpt_machines" localSheetId="23">'[4]ASSUMPTION SHEET'!$E$208</definedName>
    <definedName name="Econ_life_Eqpt_machines" localSheetId="3">'[1]ASSUMPTION SHEET'!$E$152</definedName>
    <definedName name="Econ_life_Eqpt_machines" localSheetId="36">'[4]ASSUMPTION SHEET'!$E$208</definedName>
    <definedName name="Econ_life_Eqpt_machines">'[15]Fixed Asset'!$F$159</definedName>
    <definedName name="Econ_life_FFE" localSheetId="24">'[4]ASSUMPTION SHEET'!$E$207</definedName>
    <definedName name="Econ_life_FFE" localSheetId="23">'[4]ASSUMPTION SHEET'!$E$207</definedName>
    <definedName name="Econ_life_FFE" localSheetId="3">'[1]ASSUMPTION SHEET'!$E$151</definedName>
    <definedName name="Econ_life_FFE" localSheetId="36">'[4]ASSUMPTION SHEET'!$E$207</definedName>
    <definedName name="Econ_life_FFE">'[15]Fixed Asset'!$F$158</definedName>
    <definedName name="Econ_Life_Furniture_Fittings">'[6]Assumption Sheet'!$D$198</definedName>
    <definedName name="Econ_life_land_and_Bldg" localSheetId="24">'[4]ASSUMPTION SHEET'!$E$206</definedName>
    <definedName name="Econ_life_land_and_Bldg" localSheetId="23">'[4]ASSUMPTION SHEET'!$E$206</definedName>
    <definedName name="Econ_life_land_and_Bldg" localSheetId="3">'[1]ASSUMPTION SHEET'!$E$150</definedName>
    <definedName name="Econ_life_land_and_Bldg" localSheetId="36">'[4]ASSUMPTION SHEET'!$E$206</definedName>
    <definedName name="Econ_life_land_and_Bldg">'[15]Fixed Asset'!$F$157</definedName>
    <definedName name="Econ_Life_Land_Building">'[6]Assumption Sheet'!$D$197</definedName>
    <definedName name="Econ_Life_Motor_Vech">'[6]Assumption Sheet'!$D$195</definedName>
    <definedName name="Econ_life_process_plant">'[15]Assumption '!$D$150</definedName>
    <definedName name="Econ_life_Tech_Infrastructure">'[6]Assumption Sheet'!$D$193</definedName>
    <definedName name="Economic_Cost_of_capital">'[7]Assumption Sheet'!$C$95</definedName>
    <definedName name="Economic_Infra_Hachery">'[15]Assumption '!$D$152</definedName>
    <definedName name="Economic_life_Nursery">'[15]Assumption '!$D$151</definedName>
    <definedName name="Economic_life_of_buildinginfrastructure">'[7]Assumption Sheet'!$C$114</definedName>
    <definedName name="Economic_life_of_Infrastructure">'[7]Assumption Sheet'!$C$113</definedName>
    <definedName name="Economic_life_of_Otherassets">'[7]Assumption Sheet'!$C$116</definedName>
    <definedName name="Economic_life_of_Primary_Network">'[2]Assumption Sheet'!$E$284</definedName>
    <definedName name="Economic_life_of_secondary_Network">'[2]Assumption Sheet'!$E$285</definedName>
    <definedName name="Economic_life_of_Toll_Equipment">'[7]Assumption Sheet'!$C$115</definedName>
    <definedName name="Economic_Revenue_collection_Platform">'[2]Assumption Sheet'!$E$287</definedName>
    <definedName name="Education_tax" localSheetId="3">'[5]Input '!$E$379</definedName>
    <definedName name="Education_tax">'Input '!$E$379</definedName>
    <definedName name="Education_Tax_rate">'[6]Assumption Sheet'!$D$49</definedName>
    <definedName name="efefe" localSheetId="3">#REF!</definedName>
    <definedName name="efefe">#REF!</definedName>
    <definedName name="Electrical_Eng_phase_2">'[10]Assumption Sheet'!$F$60</definedName>
    <definedName name="Electrical_Eng_Phase_3">'[10]Assumption Sheet'!$F$78</definedName>
    <definedName name="Electricty_Cost_per_Month">'[12]Assumption '!#REF!</definedName>
    <definedName name="emcoder_">'[6]Assumption Sheet'!#REF!</definedName>
    <definedName name="Emergency_Maint_frequency">'[7]Assumption Sheet'!$C$262</definedName>
    <definedName name="Emergency_Maint_yrs">'[7]Flags &amp; Switches'!$55:$55</definedName>
    <definedName name="Emergency_session">'[12]Assumption '!$F$51</definedName>
    <definedName name="End_of_Loan_Period_Flag">'[6]Flags '!$50:$50</definedName>
    <definedName name="Energy_Cost_Per_m3" localSheetId="3">'[2]Assumption Sheet'!#REF!</definedName>
    <definedName name="Energy_Cost_Per_m3">'[2]Assumption Sheet'!#REF!</definedName>
    <definedName name="EPC_Construction_cost_sensitivity">[6]Output!$D$52</definedName>
    <definedName name="EPC_Cost">'[6]Assumption Sheet'!$D$11</definedName>
    <definedName name="Equipment_Cost">'[1]ASSUMPTION SHEET'!$E$10</definedName>
    <definedName name="Equity">'[16]Assumption Sheet'!$D$20</definedName>
    <definedName name="Equity_amount" localSheetId="24">'[4]ASSUMPTION SHEET'!$F$18</definedName>
    <definedName name="Equity_amount" localSheetId="23">'[4]ASSUMPTION SHEET'!$F$18</definedName>
    <definedName name="Equity_amount" localSheetId="3">'[1]ASSUMPTION SHEET'!$F$38</definedName>
    <definedName name="Equity_amount" localSheetId="36">'[4]ASSUMPTION SHEET'!$F$18</definedName>
    <definedName name="Equity_Amount" localSheetId="22">'[9]Assumption Sheet'!$F$32</definedName>
    <definedName name="Equity_Amount">'[15]Assumption '!$E$18</definedName>
    <definedName name="Equity_Amt">'[12]Assumption '!$F$33</definedName>
    <definedName name="Equity_contr_Sensitivity" localSheetId="3">'[1]OUTPUT SHEET'!$E$21</definedName>
    <definedName name="Equity_contr_Sensitivity">'[4]OUTPUT SHEET'!$E$19</definedName>
    <definedName name="Equity_Contribution_sensitivity" localSheetId="22">'[9]Output Sheet '!$E$17</definedName>
    <definedName name="Equity_Contribution_sensitivity">'[10]Output Sheet '!$D$32</definedName>
    <definedName name="Equity_contribution_sensitivty">'[10]Output Sheet '!$D$24</definedName>
    <definedName name="Equity_fin_percentage">[7]Output!$E$92</definedName>
    <definedName name="Equity_Funding_Cost" localSheetId="3">'[1]OUTPUT SHEET'!$E$40</definedName>
    <definedName name="Equity_funding_cost" localSheetId="22">'[9]Output Sheet '!$E$40</definedName>
    <definedName name="Equity_Funding_Cost">'[4]OUTPUT SHEET'!$E$36</definedName>
    <definedName name="Equity_percentage" localSheetId="24">'[4]ASSUMPTION SHEET'!$E$18</definedName>
    <definedName name="Equity_percentage" localSheetId="23">'[4]ASSUMPTION SHEET'!$E$18</definedName>
    <definedName name="Equity_percentage" localSheetId="3">'[1]ASSUMPTION SHEET'!$E$38</definedName>
    <definedName name="Equity_percentage" localSheetId="36">'[4]ASSUMPTION SHEET'!$E$18</definedName>
    <definedName name="Equity_Percentage" localSheetId="22">'[9]Assumption Sheet'!$E$32</definedName>
    <definedName name="Equity_percentage">'[15]Assumption '!$D$18</definedName>
    <definedName name="Equity_percentage_sensitivity">[6]Output!$D$56</definedName>
    <definedName name="Equity_Perctg">'[12]Assumption '!$E$33</definedName>
    <definedName name="Equiv_btu" localSheetId="3">#REF!</definedName>
    <definedName name="Equiv_btu">#REF!</definedName>
    <definedName name="erer" localSheetId="3">#REF!</definedName>
    <definedName name="erer">#REF!</definedName>
    <definedName name="ers" localSheetId="3">#REF!</definedName>
    <definedName name="ers">#REF!</definedName>
    <definedName name="ersdf">#REF!</definedName>
    <definedName name="erser">#REF!</definedName>
    <definedName name="es">#REF!</definedName>
    <definedName name="esr">#REF!</definedName>
    <definedName name="esrs">#REF!</definedName>
    <definedName name="Estate_Apart_cost_sensitivity">'[10]Output Sheet '!$D$25</definedName>
    <definedName name="eu" localSheetId="3">#REF!</definedName>
    <definedName name="eu">#REF!</definedName>
    <definedName name="EW" localSheetId="3">#REF!</definedName>
    <definedName name="EW">#REF!</definedName>
    <definedName name="Exch_Rate">'Assumption '!$51:$51</definedName>
    <definedName name="Exchange_Rate" localSheetId="3">'[5]Input '!$F$10</definedName>
    <definedName name="Exchange_Rate">'Input '!$F$10</definedName>
    <definedName name="Exchange_Rate_sensitivity">'[3]OUTPUT SHEET'!$E$53</definedName>
    <definedName name="Excise_Tax">'[7]Assumption Sheet'!$C$101</definedName>
    <definedName name="Execut_rm_price" localSheetId="3">'[3]ASSUMPTION SHEET'!$E$127</definedName>
    <definedName name="Execut_rm_price">'[4]ASSUMPTION SHEET'!$E$132</definedName>
    <definedName name="Executive_Session">'[12]Assumption '!$F$52</definedName>
    <definedName name="Exhibition_Hall_Mgt_Fees">'[1]ASSUMPTION SHEET'!#REF!</definedName>
    <definedName name="Export_Asphalt">'[6]Assumption Sheet'!$E$185</definedName>
    <definedName name="Export_Coke">'[6]Assumption Sheet'!$E$181</definedName>
    <definedName name="Export_Diesel">'[6]Assumption Sheet'!$E$178</definedName>
    <definedName name="Export_gasoline">'[6]Assumption Sheet'!$E$177</definedName>
    <definedName name="Export_HFO">'[6]Assumption Sheet'!$E$182</definedName>
    <definedName name="Export_jet_fuel">'[6]Assumption Sheet'!$E$179</definedName>
    <definedName name="Export_kerosen">'[6]Assumption Sheet'!$E$180</definedName>
    <definedName name="Export_LRG">'[6]Assumption Sheet'!$E$183</definedName>
    <definedName name="Export_Lubricants">'[6]Assumption Sheet'!$E$187</definedName>
    <definedName name="Export_Other_Products">'[6]Assumption Sheet'!$E$188</definedName>
    <definedName name="Export_PFS">'[6]Assumption Sheet'!$E$186</definedName>
    <definedName name="Export_Production_percentage">'[6]Assumption Sheet'!$E$137</definedName>
    <definedName name="Export_Still_Gas">'[6]Assumption Sheet'!$E$184</definedName>
    <definedName name="facility_maintenace_costs">'[9]Assumption Sheet'!$G$124</definedName>
    <definedName name="Faculty_Mgt_Fee" localSheetId="3">'[3]ASSUMPTION SHEET'!$E$85</definedName>
    <definedName name="Faculty_Mgt_Fee">'[4]ASSUMPTION SHEET'!$E$90</definedName>
    <definedName name="fd" localSheetId="3">#REF!</definedName>
    <definedName name="fd">#REF!</definedName>
    <definedName name="fdgfdg" localSheetId="3">#REF!</definedName>
    <definedName name="fdgfdg">#REF!</definedName>
    <definedName name="fds" localSheetId="3">#REF!</definedName>
    <definedName name="fds">#REF!</definedName>
    <definedName name="fdsag">#REF!</definedName>
    <definedName name="fdsakfjds">#REF!</definedName>
    <definedName name="fdsg">#REF!</definedName>
    <definedName name="Fee">#REF!</definedName>
    <definedName name="FFE_Reserve_yr1" localSheetId="3">'[2]Assumption Sheet'!#REF!</definedName>
    <definedName name="FFE_Reserve_yr1">'[2]Assumption Sheet'!#REF!</definedName>
    <definedName name="fffff" localSheetId="3">#REF!</definedName>
    <definedName name="fffff">#REF!</definedName>
    <definedName name="fgfdg" localSheetId="3">#REF!</definedName>
    <definedName name="fgfdg">#REF!</definedName>
    <definedName name="Film_house_mgt_fee">'[1]ASSUMPTION SHEET'!#REF!</definedName>
    <definedName name="Financing_Cost" localSheetId="22">'[9]Assumption Sheet'!$E$14</definedName>
    <definedName name="Financing_cost">'[2]Assumption Sheet'!$E$71</definedName>
    <definedName name="Fines_and_Penalties_Revenue">[8]Assumptions!$E$175</definedName>
    <definedName name="First_hotel_operatg_yr">'[20]ASSUMPTION SHEET'!$E$106</definedName>
    <definedName name="First_hotel_opert_yr">'[9]Assumption Sheet'!$E$71</definedName>
    <definedName name="First_operating_Month">'[2]Assumption Sheet'!$E$93</definedName>
    <definedName name="First_Operating_Year_Accessible_Lodge">'[1]ASSUMPTION SHEET'!$E$96</definedName>
    <definedName name="First_Rental_yr_Office_space" localSheetId="3">'[3]ASSUMPTION SHEET'!$E$30</definedName>
    <definedName name="First_Rental_yr_Office_space">'[4]ASSUMPTION SHEET'!$E$30</definedName>
    <definedName name="First_Rental_yrs">'[1]ASSUMPTION SHEET'!$E$184</definedName>
    <definedName name="First_Year_of_general_rental_and_operations">'[9]Assumption Sheet'!$G$126</definedName>
    <definedName name="First_Year_of_Recreatioal_activity">'[9]Assumption Sheet'!$E$156</definedName>
    <definedName name="First_yr_general_occupancy_rate">'[9]Assumption Sheet'!$G$125</definedName>
    <definedName name="Fish_sk_ratio_prod">'[15]Assumption '!#REF!</definedName>
    <definedName name="Fisrt_yr_occupancy_rate" localSheetId="3">'[1]ASSUMPTION SHEET'!$E$185</definedName>
    <definedName name="Fisrt_yr_occupancy_rate">'[4]ASSUMPTION SHEET'!#REF!</definedName>
    <definedName name="fore" localSheetId="3">#REF!</definedName>
    <definedName name="fore">#REF!</definedName>
    <definedName name="Foreign_loan_int_rate">'[21]Assumption '!$D$336</definedName>
    <definedName name="Foreign_Loan_to_be_guaranteed">'[1]ASSUMPTION SHEET'!$E$227</definedName>
    <definedName name="FOREX_Dep_factor">'[7]Assumption Sheet'!$C$86</definedName>
    <definedName name="FOREX_Premium">'[7]Assumption Sheet'!$C$87</definedName>
    <definedName name="Four_Bedroom_room_rate" localSheetId="3">'[3]ASSUMPTION SHEET'!$H$73</definedName>
    <definedName name="Four_Bedroom_room_rate">'[4]ASSUMPTION SHEET'!$H$78</definedName>
    <definedName name="four_room_bedspace" localSheetId="3">'[3]ASSUMPTION SHEET'!$G$73</definedName>
    <definedName name="four_room_bedspace">'[4]ASSUMPTION SHEET'!$G$78</definedName>
    <definedName name="fourth_toll_operations_start_date">[7]Output!$D$33</definedName>
    <definedName name="Free_Royalty_Period">[2]Output!$E$33</definedName>
    <definedName name="Freq_of_incre">'[2]Assumption Sheet'!$E$111</definedName>
    <definedName name="fsdsfafd" localSheetId="3">#REF!</definedName>
    <definedName name="fsdsfafd">#REF!</definedName>
    <definedName name="fsgdr" localSheetId="3">#REF!</definedName>
    <definedName name="fsgdr">#REF!</definedName>
    <definedName name="fsr" localSheetId="3">#REF!</definedName>
    <definedName name="fsr">#REF!</definedName>
    <definedName name="fsv">#REF!</definedName>
    <definedName name="ftyf">#REF!</definedName>
    <definedName name="Fuel_cost_per_month">'[12]Assumption '!#REF!</definedName>
    <definedName name="Fuel_Tanks">'[12]Assumption '!$E$17</definedName>
    <definedName name="Fund_Diff" localSheetId="3">#REF!</definedName>
    <definedName name="Fund_Diff">#REF!</definedName>
    <definedName name="Furniture_and_Fittings">'[1]ASSUMPTION SHEET'!$E$9</definedName>
    <definedName name="Fx_Dep_factor">'[6]Assumption Sheet'!$D$60</definedName>
    <definedName name="Fx_Rate" localSheetId="3">'[5]Assumption '!$J$51</definedName>
    <definedName name="Fx_Rate">'Assumption '!$J$51</definedName>
    <definedName name="g_pdp" localSheetId="3">#REF!</definedName>
    <definedName name="g_pdp">#REF!</definedName>
    <definedName name="g_Proved" localSheetId="3">#REF!</definedName>
    <definedName name="g_Proved">#REF!</definedName>
    <definedName name="g_proved_adj" localSheetId="3">#REF!</definedName>
    <definedName name="g_proved_adj">#REF!</definedName>
    <definedName name="g1_name1">#REF!</definedName>
    <definedName name="g1_name2">#REF!</definedName>
    <definedName name="g1_name3">#REF!</definedName>
    <definedName name="g1_name4">#REF!</definedName>
    <definedName name="g1_t4">#REF!</definedName>
    <definedName name="g1_xlabels">#REF!</definedName>
    <definedName name="g1_y1">#REF!</definedName>
    <definedName name="g1_y2">#REF!</definedName>
    <definedName name="g1_y3">#REF!</definedName>
    <definedName name="g1_y4">#REF!</definedName>
    <definedName name="g2_name1">#REF!</definedName>
    <definedName name="g2_name2">#REF!</definedName>
    <definedName name="g2_name3">#REF!</definedName>
    <definedName name="g2_name4">#REF!</definedName>
    <definedName name="g2_name5">#REF!</definedName>
    <definedName name="g2_xlabels">#REF!</definedName>
    <definedName name="g4_name3">#REF!</definedName>
    <definedName name="g4_proved">#REF!</definedName>
    <definedName name="g5_name3">#REF!</definedName>
    <definedName name="g5_proved">#REF!</definedName>
    <definedName name="gadew">#REF!</definedName>
    <definedName name="gadfsh">#REF!</definedName>
    <definedName name="gads">#REF!</definedName>
    <definedName name="gadse">#REF!</definedName>
    <definedName name="Gas_Transportation_Price" localSheetId="3">'[5]Assumption '!$J$225</definedName>
    <definedName name="Gas_Transportation_Price">'Assumption '!$J$241</definedName>
    <definedName name="Gasoline_export">[6]Output!$D$61</definedName>
    <definedName name="Gasoline_extraction_percentage">'[6]Assumption Sheet'!$D$147</definedName>
    <definedName name="Gasoline_local_dist_sensitivity">[6]Output!$D$57</definedName>
    <definedName name="Gasoline_price" localSheetId="3">'[5]Input '!#REF!</definedName>
    <definedName name="Gasoline_price">'Input '!#REF!</definedName>
    <definedName name="gawea" localSheetId="3">#REF!</definedName>
    <definedName name="gawea">#REF!</definedName>
    <definedName name="gawen" localSheetId="3">#REF!</definedName>
    <definedName name="gawen">#REF!</definedName>
    <definedName name="GEE" localSheetId="3">#REF!</definedName>
    <definedName name="GEE">#REF!</definedName>
    <definedName name="Gen_Infla_Rate">'[10]Assumption Sheet'!$E$560</definedName>
    <definedName name="Gen_Inflation_Rate">'[6]Assumption Sheet'!$D$67</definedName>
    <definedName name="Gen_Inflation_Rate_sensitivity">[6]Output!$D$50</definedName>
    <definedName name="General_admins_exp" localSheetId="3">'[3]ASSUMPTION SHEET'!$E$143</definedName>
    <definedName name="General_admins_exp">'[4]ASSUMPTION SHEET'!$E$148</definedName>
    <definedName name="General_Infl">'[7]Flags &amp; Switches'!$34:$34</definedName>
    <definedName name="General_Inflation_rate">'[4]ASSUMPTION SHEET'!$E$202</definedName>
    <definedName name="gfasd" localSheetId="3">#REF!</definedName>
    <definedName name="gfasd">#REF!</definedName>
    <definedName name="gfsdn" localSheetId="3">#REF!</definedName>
    <definedName name="gfsdn">#REF!</definedName>
    <definedName name="ghj" localSheetId="3">#REF!</definedName>
    <definedName name="ghj">#REF!</definedName>
    <definedName name="ghjk">#REF!</definedName>
    <definedName name="gjv">#REF!</definedName>
    <definedName name="gjvv">#REF!</definedName>
    <definedName name="GPRS_Operating_Cost_per_meter">'[2]Assumption Sheet'!$E$181</definedName>
    <definedName name="Grant">[7]Output!$D$94</definedName>
    <definedName name="Grant_percentage">[7]Output!$E$94</definedName>
    <definedName name="Graph_TCE" localSheetId="3">#REF!</definedName>
    <definedName name="Graph_TCE">#REF!</definedName>
    <definedName name="gross" localSheetId="3">#REF!</definedName>
    <definedName name="gross">#REF!</definedName>
    <definedName name="Growth_rate" localSheetId="24">'[4]OUTPUT SHEET'!$G$41</definedName>
    <definedName name="Growth_rate" localSheetId="23">'[4]OUTPUT SHEET'!$G$41</definedName>
    <definedName name="Growth_rate" localSheetId="3">'[1]OUTPUT SHEET'!$G$46</definedName>
    <definedName name="Growth_rate" localSheetId="36">'[4]OUTPUT SHEET'!$G$41</definedName>
    <definedName name="Growth_Rate" localSheetId="22">'[9]Output Sheet '!$G$44</definedName>
    <definedName name="Growth_Rate">'Input '!$E$405</definedName>
    <definedName name="GrowthAdj" localSheetId="3">#REF!</definedName>
    <definedName name="GrowthAdj">#REF!</definedName>
    <definedName name="GS" localSheetId="3">#REF!</definedName>
    <definedName name="GS">#REF!</definedName>
    <definedName name="GS1_" localSheetId="3">#REF!</definedName>
    <definedName name="GS1_">#REF!</definedName>
    <definedName name="GS2_">#REF!</definedName>
    <definedName name="GTC">#REF!</definedName>
    <definedName name="GUAR2YR">#REF!</definedName>
    <definedName name="Guarantee_fee">'[1]ASSUMPTION SHEET'!$E$228</definedName>
    <definedName name="Guarantee_fee_sensitivity" localSheetId="3">'[1]OUTPUT SHEET'!$E$23</definedName>
    <definedName name="Guarantee_fee_sensitivity" localSheetId="22">'[9]Output Sheet '!$E$19</definedName>
    <definedName name="Guarantee_fee_sensitivity">'[4]OUTPUT SHEET'!$E$21</definedName>
    <definedName name="GUARR2YR" localSheetId="3">#REF!</definedName>
    <definedName name="GUARR2YR">#REF!</definedName>
    <definedName name="GW" localSheetId="3">#REF!</definedName>
    <definedName name="GW">#REF!</definedName>
    <definedName name="h" localSheetId="3">#REF!</definedName>
    <definedName name="h">#REF!</definedName>
    <definedName name="Happy">#REF!</definedName>
    <definedName name="HDR_Completion_Premium">'[16]Assumption Sheet'!$F$149</definedName>
    <definedName name="HDR_land_to_Aso_Hills">'[16]Assumption Sheet'!$D$121</definedName>
    <definedName name="HDR_Offplan_Discount">'[16]Assumption Sheet'!$D$149</definedName>
    <definedName name="HDR_Standard_Price">'[16]Assumption Sheet'!$E$149</definedName>
    <definedName name="Headcount" localSheetId="3">#REF!</definedName>
    <definedName name="Headcount">#REF!</definedName>
    <definedName name="heavy" localSheetId="3">#REF!</definedName>
    <definedName name="heavy">#REF!</definedName>
    <definedName name="Heavy_trucks_average_estimated_daily_traffic_adjustedfor_variance">'[8]Summary Output'!$F$50</definedName>
    <definedName name="Heavy_trucks_induced_traffic">[8]Assumptions!$G$168</definedName>
    <definedName name="Heavy_Trucks_Tariffs_adjusted_for_sensitivity">'[8]Summary Output'!$D$50</definedName>
    <definedName name="Heavytrucks_annual_traffic_growth_rate">[8]Assumptions!$H$168</definedName>
    <definedName name="hfd" localSheetId="3">#REF!</definedName>
    <definedName name="hfd">#REF!</definedName>
    <definedName name="HFO_extraction_rate">'[6]Assumption Sheet'!$D$152</definedName>
    <definedName name="hfydf" localSheetId="3">#REF!</definedName>
    <definedName name="hfydf">#REF!</definedName>
    <definedName name="hgsrt" localSheetId="3">#REF!</definedName>
    <definedName name="hgsrt">#REF!</definedName>
    <definedName name="hig" localSheetId="3">#REF!</definedName>
    <definedName name="hig">#REF!</definedName>
    <definedName name="high">#REF!</definedName>
    <definedName name="HOL">#REF!</definedName>
    <definedName name="Hostel_Occupancy" localSheetId="3">'[3]ASSUMPTION SHEET'!$E$81</definedName>
    <definedName name="Hostel_Occupancy">'[4]ASSUMPTION SHEET'!$E$86</definedName>
    <definedName name="Hostel_operating_days" localSheetId="3">'[3]ASSUMPTION SHEET'!$E$77</definedName>
    <definedName name="Hostel_operating_days">'[4]ASSUMPTION SHEET'!$E$82</definedName>
    <definedName name="Hostel_operating_Year" localSheetId="3">'[3]ASSUMPTION SHEET'!$E$80</definedName>
    <definedName name="Hostel_operating_Year">'[4]ASSUMPTION SHEET'!$E$85</definedName>
    <definedName name="Hostel_Room_sensitivity">'[3]OUTPUT SHEET'!$E$50</definedName>
    <definedName name="Hotel_Cost">'[9]Assumption Sheet'!$E$22</definedName>
    <definedName name="Hotel_Mgt_Fee">'[1]ASSUMPTION SHEET'!#REF!</definedName>
    <definedName name="Hotel_occupancy_sensitivity">'[9]Output Sheet '!$E$26</definedName>
    <definedName name="Hotel_Operating_Days">'[9]Assumption Sheet'!$E$66</definedName>
    <definedName name="Hotel_operating_days_per_annum">'[1]ASSUMPTION SHEET'!$E$78</definedName>
    <definedName name="Hotel_rm_incre_rate">'[9]Assumption Sheet'!$E$69</definedName>
    <definedName name="Hotel_Rm_Occupancy_Rate">'[9]Assumption Sheet'!$E$68</definedName>
    <definedName name="hotel_rm_rate_incre_freq">'[9]Assumption Sheet'!$E$70</definedName>
    <definedName name="Hotel_room_rate_Increase_frequency">'[1]ASSUMPTION SHEET'!$E$77</definedName>
    <definedName name="Hotel_room_sensitivity">'[9]Output Sheet '!$E$22</definedName>
    <definedName name="Hours_day" localSheetId="3">'[5]Input '!$F$17</definedName>
    <definedName name="Hours_day">'Input '!$F$17</definedName>
    <definedName name="Hours_month">'Input '!$F$19</definedName>
    <definedName name="Hours_year">'Input '!$F$18</definedName>
    <definedName name="HTML_CodePage" hidden="1">1252</definedName>
    <definedName name="HTML_Control" localSheetId="3" hidden="1">{"'Sheet1'!$A$1:$H$145"}</definedName>
    <definedName name="HTML_Control" hidden="1">{"'Sheet1'!$A$1:$H$145"}</definedName>
    <definedName name="HTML_Description" hidden="1">""</definedName>
    <definedName name="HTML_Email" hidden="1">""</definedName>
    <definedName name="HTML_Header" hidden="1">"Country Risk Premiums"</definedName>
    <definedName name="HTML_LastUpdate" hidden="1">"2/19/99"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HD:HomePageStuff:New_Home_Page:datafile:ctryprem.html"</definedName>
    <definedName name="HTML_Title" hidden="1">"Country Risk Premiums"</definedName>
    <definedName name="Ibadan_toll_operations_Start_date">[7]Output!$D$32</definedName>
    <definedName name="ICRC_5_Years">'[2]Assumption Sheet'!$E$144</definedName>
    <definedName name="ICRC_6_10_YRS">'[2]Assumption Sheet'!$E$145</definedName>
    <definedName name="ICRC_fEE" localSheetId="3">'[3]ASSUMPTION SHEET'!$E$64</definedName>
    <definedName name="ICRC_fEE">'[4]ASSUMPTION SHEET'!$E$66</definedName>
    <definedName name="ICRC_Fee_after_10_yrs">'[2]Assumption Sheet'!$E$146</definedName>
    <definedName name="ICRC_Fee_chalet" localSheetId="3">'[3]ASSUMPTION SHEET'!$E$147</definedName>
    <definedName name="ICRC_Fee_chalet">'[4]ASSUMPTION SHEET'!$E$152</definedName>
    <definedName name="ICRC_Fee_museum" localSheetId="3">'[3]ASSUMPTION SHEET'!$E$113</definedName>
    <definedName name="ICRC_Fee_museum">'[4]ASSUMPTION SHEET'!$E$118</definedName>
    <definedName name="ICRC_Fees" localSheetId="3">'[1]ASSUMPTION SHEET'!$E$181</definedName>
    <definedName name="ICRC_Fees">'[4]ASSUMPTION SHEET'!$E$93</definedName>
    <definedName name="Import_Duty">'[7]Assumption Sheet'!$C$100</definedName>
    <definedName name="In_Currency" localSheetId="3">#REF!</definedName>
    <definedName name="In_Currency">#REF!</definedName>
    <definedName name="Incentive_fee_for_Operators">'[9]Assumption Sheet'!$E$74</definedName>
    <definedName name="Increase_Chalet_Occupany_Rate" localSheetId="3">'[3]ASSUMPTION SHEET'!$E$133</definedName>
    <definedName name="Increase_Chalet_Occupany_Rate">'[4]ASSUMPTION SHEET'!$E$138</definedName>
    <definedName name="Indexation" localSheetId="3">'[5]Timing &amp; Flags'!$B$89:$B$91</definedName>
    <definedName name="Indexation">'Timing &amp; Flags'!$B$89:$B$91</definedName>
    <definedName name="Induced_traffic">'[7]Revenue Sheet'!$4:$4</definedName>
    <definedName name="Inflation_Rate">'[7]Assumption Sheet'!$C$90</definedName>
    <definedName name="Infra_Constr">'[10]Assumption Sheet'!$E$124</definedName>
    <definedName name="Infrastr_constr_cost">'[16]Assumption Sheet'!$D$9</definedName>
    <definedName name="Infrastructure_Cost">'[4]ASSUMPTION SHEET'!#REF!</definedName>
    <definedName name="Infrastructure_cost_sensitivity">'[10]Output Sheet '!$D$19</definedName>
    <definedName name="Ini_cap_all" localSheetId="24">'[7]Assumption Sheet'!$C$80</definedName>
    <definedName name="Ini_cap_all" localSheetId="23">'[7]Assumption Sheet'!$C$80</definedName>
    <definedName name="Ini_cap_all" localSheetId="3">'[7]Assumption Sheet'!$C$80</definedName>
    <definedName name="Ini_cap_all" localSheetId="36">'[7]Assumption Sheet'!$C$80</definedName>
    <definedName name="ini_cap_all">'[6]Assumption Sheet'!$D$44</definedName>
    <definedName name="Initial_induced_traffic_per_annum">'[7]Assumption Sheet'!$C$73</definedName>
    <definedName name="Initial_Periodic_increase_in_water_loss">'[2]Assumption Sheet'!$E$309</definedName>
    <definedName name="Initial_water_loss_period">'[2]Assumption Sheet'!$E$311</definedName>
    <definedName name="Ins_Premium_toll_eqpt">'[7]Assumption Sheet'!$C$105</definedName>
    <definedName name="Insur_fee_phase_2">'[10]Assumption Sheet'!$F$63</definedName>
    <definedName name="Insurance_adv">'[12]Assumption '!$E$11</definedName>
    <definedName name="Insurance_phase_3">'[10]Assumption Sheet'!$F$82</definedName>
    <definedName name="Insurance_Phs_1">'[10]Assumption Sheet'!$F$45</definedName>
    <definedName name="Insurance_premium_paid" localSheetId="3">'[3]ASSUMPTION SHEET'!$E$139</definedName>
    <definedName name="Insurance_premium_paid">'[4]ASSUMPTION SHEET'!$E$144</definedName>
    <definedName name="Insurance_Rate" localSheetId="20">'Input '!#REF!</definedName>
    <definedName name="Insurance_Rate" localSheetId="21">'Input '!#REF!</definedName>
    <definedName name="Insurance_Rate" localSheetId="3">'[5]Input '!#REF!</definedName>
    <definedName name="Insurance_Rate" localSheetId="53">'Input '!#REF!</definedName>
    <definedName name="Insurance_Rate" localSheetId="19">'Input '!#REF!</definedName>
    <definedName name="Insurance_Rate" localSheetId="49">'Input '!#REF!</definedName>
    <definedName name="Insurance_Rate" localSheetId="31">'Input '!#REF!</definedName>
    <definedName name="Insurance_Rate" localSheetId="52">'Input '!#REF!</definedName>
    <definedName name="Insurance_Rate" localSheetId="39">'Input '!#REF!</definedName>
    <definedName name="Insurance_Rate" localSheetId="45">'Input '!#REF!</definedName>
    <definedName name="Insurance_Rate" localSheetId="27">'Input '!#REF!</definedName>
    <definedName name="Insurance_Rate" localSheetId="18">'Input '!#REF!</definedName>
    <definedName name="Insurance_Rate" localSheetId="57">'Input '!#REF!</definedName>
    <definedName name="Insurance_Rate" localSheetId="66">'Input '!#REF!</definedName>
    <definedName name="Insurance_Rate">'Input '!#REF!</definedName>
    <definedName name="Insurance_Rate_" localSheetId="3">'[5]Input '!$F$191</definedName>
    <definedName name="Insurance_Rate_">'Input '!$F$191</definedName>
    <definedName name="Interest_durg_constr" localSheetId="3">'[1]ASSUMPTION SHEET'!$E$17</definedName>
    <definedName name="Interest_durg_constr">'[4]ASSUMPTION SHEET'!$E$11</definedName>
    <definedName name="Interest_rate_sensitivity" localSheetId="3">'[1]OUTPUT SHEET'!$E$22</definedName>
    <definedName name="interest_rate_sensitivity" localSheetId="22">'[9]Output Sheet '!$E$18</definedName>
    <definedName name="Interest_rate_sensitivity">'[4]OUTPUT SHEET'!$E$20</definedName>
    <definedName name="Interest_Rate_Spread_Sensitivity">[6]Output!$D$48</definedName>
    <definedName name="Inv_recov_cost" localSheetId="3">'[2]Assumption Sheet'!#REF!</definedName>
    <definedName name="Inv_recov_cost">'[2]Assumption Sheet'!#REF!</definedName>
    <definedName name="Inventory_AGO">'[12]Assumption '!$E$12</definedName>
    <definedName name="Inventory_days">'[6]Assumption Sheet'!$D$124</definedName>
    <definedName name="INVESTEDCAP" localSheetId="3">#REF!</definedName>
    <definedName name="INVESTEDCAP">#REF!</definedName>
    <definedName name="Investment_Allowance">'[6]Assumption Sheet'!$D$46</definedName>
    <definedName name="IOM" localSheetId="3">#REF!</definedName>
    <definedName name="IOM">#REF!</definedName>
    <definedName name="IP_multiviewer">'[6]Assumption Sheet'!#REF!</definedName>
    <definedName name="IRD_">'[6]Assumption Sheet'!#REF!</definedName>
    <definedName name="IS" localSheetId="3">#REF!</definedName>
    <definedName name="IS">#REF!</definedName>
    <definedName name="IT_Equipment">'[6]Assumption Sheet'!#REF!</definedName>
    <definedName name="IT_Maintenance_related_cost" localSheetId="3">'[3]ASSUMPTION SHEET'!$E$115</definedName>
    <definedName name="IT_Maintenance_related_cost">'[4]ASSUMPTION SHEET'!$E$120</definedName>
    <definedName name="ITC" localSheetId="3">#REF!</definedName>
    <definedName name="ITC">#REF!</definedName>
    <definedName name="ITCE" localSheetId="3">#REF!</definedName>
    <definedName name="ITCE">#REF!</definedName>
    <definedName name="Jet_fuel_export">[6]Output!$D$63</definedName>
    <definedName name="Jet_fuel_local_dist_sensitivity">[6]Output!$D$59</definedName>
    <definedName name="Jet_gallon_extraction_rate">'[6]Assumption Sheet'!$D$149</definedName>
    <definedName name="JetFuel_price" localSheetId="3">'[5]Input '!#REF!</definedName>
    <definedName name="JetFuel_price">'Input '!#REF!</definedName>
    <definedName name="jhgj" localSheetId="3">#REF!</definedName>
    <definedName name="jhgj">#REF!</definedName>
    <definedName name="Kerosene_export">[6]Output!$D$64</definedName>
    <definedName name="Kerosene_extraction_rate">'[6]Assumption Sheet'!$D$150</definedName>
    <definedName name="Kerosene_price" localSheetId="3">'[5]Input '!#REF!</definedName>
    <definedName name="Kerosene_price">'Input '!#REF!</definedName>
    <definedName name="kerosene_sensitivity">[6]Output!$D$60</definedName>
    <definedName name="KW_W" localSheetId="3">'[5]Input '!$F$22</definedName>
    <definedName name="KW_W">'Input '!$F$22</definedName>
    <definedName name="Land_Area_Aso_Hills">'[16]Assumption Sheet'!$D$55</definedName>
    <definedName name="Land_Cost">'[6]Assumption Sheet'!$D$10</definedName>
    <definedName name="Land_cost_sensitivity">'[10]Output Sheet '!$D$18</definedName>
    <definedName name="Land_Pre_Development_Cost">'[10]Assumption Sheet'!$F$32</definedName>
    <definedName name="land_prices_factor">'[16]Output Sheet'!$D$20</definedName>
    <definedName name="Land_Utilisation_Year_1">'[15]Assumption '!$E$58</definedName>
    <definedName name="Lasg_latter_royalty">[2]Output!$E$29</definedName>
    <definedName name="LASG_Royalty">'[9]Lagos State Equity Valuation'!$D$14</definedName>
    <definedName name="Latter_increase_unaccounted_water_rate">'[2]Assumption Sheet'!$E$312</definedName>
    <definedName name="Latter_induced_traffic_per_annum">'[7]Assumption Sheet'!$C$74</definedName>
    <definedName name="LDR_Completion_Premium">'[16]Assumption Sheet'!$F$151</definedName>
    <definedName name="LDR_land_to_Aso_Hills">'[16]Assumption Sheet'!$D$123</definedName>
    <definedName name="LDR_Offplan_Discount">'[16]Assumption Sheet'!$D$151</definedName>
    <definedName name="LDR_Standard_Price">'[16]Assumption Sheet'!$E$151</definedName>
    <definedName name="Lease_Revenue_Rate">'[10]Assumption Sheet'!$E$561</definedName>
    <definedName name="Lenght_of_Road">[8]Assumptions!$E$5</definedName>
    <definedName name="Length_of_Road">'[7]Assumption Sheet'!$C$143</definedName>
    <definedName name="lhl" localSheetId="3">#REF!</definedName>
    <definedName name="lhl">#REF!</definedName>
    <definedName name="Licence_and_Permits_for_Trucks">'[12]Assumption '!$E$14</definedName>
    <definedName name="Light_truck_estimated_daily_traffic_ajusted_for_variance">'[8]Summary Output'!$F$49</definedName>
    <definedName name="Light_Trucks_traffic_annual_growth_rate">[8]Assumptions!$H$167</definedName>
    <definedName name="Lighttrucks_adjusted_for_sensitivity">'[8]Summary Output'!$D$49</definedName>
    <definedName name="Lighttrucks_induced_traffic">[8]Assumptions!$G$167</definedName>
    <definedName name="Limit_Cap_all_addback" localSheetId="24">'[7]Assumption Sheet'!$C$83</definedName>
    <definedName name="Limit_Cap_all_addback" localSheetId="23">'[7]Assumption Sheet'!$C$83</definedName>
    <definedName name="Limit_Cap_all_addback" localSheetId="3">'[7]Assumption Sheet'!$C$83</definedName>
    <definedName name="Limit_Cap_all_addback" localSheetId="36">'[7]Assumption Sheet'!$C$83</definedName>
    <definedName name="Limit_Cap_all_addback">'[6]Assumption Sheet'!$D$48</definedName>
    <definedName name="Limit_on_cap_allowed">'[15]Assumption '!$E$41</definedName>
    <definedName name="Liters_Barrel">'[6]Assumption Sheet'!$E$141</definedName>
    <definedName name="Litres_Metric_Ton">'[6]Assumption Sheet'!$E$140</definedName>
    <definedName name="lk" localSheetId="3">#REF!</definedName>
    <definedName name="lk">#REF!</definedName>
    <definedName name="Loan_1_amt_to_be_guaranted">'[10]Assumption Sheet'!$E$599</definedName>
    <definedName name="Loan_1_beg_balance">'[10]Assumption Sheet'!$E$581</definedName>
    <definedName name="Loan_1_beginning_balance" localSheetId="3">'[1]ASSUMPTION SHEET'!$E$206</definedName>
    <definedName name="Loan_1_beginning_balance">'[4]ASSUMPTION SHEET'!$E$243</definedName>
    <definedName name="Loan_1_commiment_fee_pmt_frq">'[10]Assumption Sheet'!$E$579</definedName>
    <definedName name="Loan_1_Commitment_end_fee">'[10]Assumption Sheet'!$E$580</definedName>
    <definedName name="Loan_1_Commitment_fee" localSheetId="24">'[4]ASSUMPTION SHEET'!$E$240</definedName>
    <definedName name="Loan_1_Commitment_fee" localSheetId="23">'[4]ASSUMPTION SHEET'!$E$240</definedName>
    <definedName name="Loan_1_Commitment_fee" localSheetId="3">'[1]ASSUMPTION SHEET'!$E$203</definedName>
    <definedName name="Loan_1_Commitment_fee" localSheetId="36">'[4]ASSUMPTION SHEET'!$E$240</definedName>
    <definedName name="Loan_1_commitment_Fee">'[6]Assumption Sheet'!$D$303</definedName>
    <definedName name="Loan_1_Commitment_fee_end" localSheetId="3">'[1]ASSUMPTION SHEET'!$E$205</definedName>
    <definedName name="Loan_1_Commitment_fee_end">'[4]ASSUMPTION SHEET'!$E$242</definedName>
    <definedName name="Loan_1_commitment_fee_pmt_frequency" localSheetId="3">'[1]ASSUMPTION SHEET'!$E$204</definedName>
    <definedName name="Loan_1_commitment_fee_pmt_frequency">'[4]ASSUMPTION SHEET'!$E$241</definedName>
    <definedName name="Loan_1_commitmt_fee_annual_pmt_freq">'[16]Assumption Sheet'!$D$225</definedName>
    <definedName name="Loan_1_commitmt_fee_end">'[16]Assumption Sheet'!$D$226</definedName>
    <definedName name="Loan_1_committment_fee">'[15]Assumption '!$D$197</definedName>
    <definedName name="Loan_1_Front_End_Fee" localSheetId="24">'[7]Assumption Sheet'!$C$286</definedName>
    <definedName name="Loan_1_Front_End_Fee" localSheetId="23">'[7]Assumption Sheet'!$C$286</definedName>
    <definedName name="Loan_1_Front_End_Fee" localSheetId="3">'[7]Assumption Sheet'!$C$286</definedName>
    <definedName name="Loan_1_Front_End_Fee" localSheetId="36">'[7]Assumption Sheet'!$C$286</definedName>
    <definedName name="Loan_1_Front_End_Fee">'[6]Assumption Sheet'!$D$302</definedName>
    <definedName name="Loan_1_Int_rate" localSheetId="24">'[7]Assumption Sheet'!$C$279</definedName>
    <definedName name="Loan_1_Int_rate" localSheetId="23">'[7]Assumption Sheet'!$C$279</definedName>
    <definedName name="Loan_1_Int_rate" localSheetId="3">'[7]Assumption Sheet'!$C$279</definedName>
    <definedName name="Loan_1_Int_rate" localSheetId="36">'[7]Assumption Sheet'!$C$279</definedName>
    <definedName name="Loan_1_int_rate">'[15]Assumption '!$D$189</definedName>
    <definedName name="Loan_1_interest_rate" localSheetId="3">'[1]ASSUMPTION SHEET'!$E$195</definedName>
    <definedName name="Loan_1_interest_rate">'[4]ASSUMPTION SHEET'!$E$232</definedName>
    <definedName name="Loan_1_mgt_fee" localSheetId="24">'[4]ASSUMPTION SHEET'!$E$239</definedName>
    <definedName name="Loan_1_mgt_fee" localSheetId="23">'[4]ASSUMPTION SHEET'!$E$239</definedName>
    <definedName name="Loan_1_mgt_fee" localSheetId="3">'[1]ASSUMPTION SHEET'!$E$202</definedName>
    <definedName name="Loan_1_mgt_fee" localSheetId="36">'[4]ASSUMPTION SHEET'!$E$239</definedName>
    <definedName name="Loan_1_Mgt_fee">'[15]Assumption '!$D$196</definedName>
    <definedName name="Loan_1_mgt_fees">'[2]Assumption Sheet'!$E$256</definedName>
    <definedName name="Loan_1_moratorium" localSheetId="24">'[4]ASSUMPTION SHEET'!$E$234</definedName>
    <definedName name="Loan_1_moratorium" localSheetId="23">'[4]ASSUMPTION SHEET'!$E$234</definedName>
    <definedName name="Loan_1_moratorium" localSheetId="3">'[1]ASSUMPTION SHEET'!$E$197</definedName>
    <definedName name="Loan_1_moratorium" localSheetId="36">'[4]ASSUMPTION SHEET'!$E$234</definedName>
    <definedName name="Loan_1_moratorium">'[15]Assumption '!$D$191</definedName>
    <definedName name="Loan_1_no_of_repayts_per_yr" localSheetId="3">'[1]ASSUMPTION SHEET'!$E$199</definedName>
    <definedName name="Loan_1_no_of_repayts_per_yr">'[4]ASSUMPTION SHEET'!$E$236</definedName>
    <definedName name="Loan_1_no_of_repmt_per_year">'[2]Assumption Sheet'!$E$253</definedName>
    <definedName name="Loan_1_no_of_repyts" localSheetId="24">'[7]Assumption Sheet'!$C$283</definedName>
    <definedName name="Loan_1_no_of_repyts" localSheetId="23">'[7]Assumption Sheet'!$C$283</definedName>
    <definedName name="Loan_1_no_of_repyts" localSheetId="3">'[7]Assumption Sheet'!$C$283</definedName>
    <definedName name="Loan_1_no_of_repyts" localSheetId="36">'[7]Assumption Sheet'!$C$283</definedName>
    <definedName name="Loan_1_no_of_repyts">'[6]Assumption Sheet'!$D$299</definedName>
    <definedName name="Loan_1_no_of_Repyts_per_yr">'[16]Assumption Sheet'!$D$221</definedName>
    <definedName name="Loan_1_no_repmt_per_year">'[10]Assumption Sheet'!$E$574</definedName>
    <definedName name="Loan_1_percentage">'[16]Assumption Sheet'!$D$212</definedName>
    <definedName name="Loan_1_perctg">'[15]Assumption '!$D$185</definedName>
    <definedName name="Loan_1_Principal" localSheetId="3">'[1]ASSUMPTION SHEET'!$E$201</definedName>
    <definedName name="Loan_1_Principal">'[4]ASSUMPTION SHEET'!$E$238</definedName>
    <definedName name="Loan_1_Principe">'[15]Assumption '!$D$195</definedName>
    <definedName name="Loan_1_Principle">'[6]Assumption Sheet'!$D$301</definedName>
    <definedName name="Loan_1_ref_rate">'[7]Assumption Sheet'!$C$277</definedName>
    <definedName name="Loan_1_reference_rate" localSheetId="24">'[2]Assumption Sheet'!$E$247</definedName>
    <definedName name="Loan_1_reference_rate" localSheetId="23">'[2]Assumption Sheet'!$E$247</definedName>
    <definedName name="Loan_1_reference_rate" localSheetId="3">'[2]Assumption Sheet'!$E$247</definedName>
    <definedName name="Loan_1_reference_rate" localSheetId="36">'[2]Assumption Sheet'!$E$247</definedName>
    <definedName name="Loan_1_reference_rate">'[15]Assumption '!$D$187</definedName>
    <definedName name="Loan_1_repayement_period">'[2]Assumption Sheet'!$E$252</definedName>
    <definedName name="Loan_1_repayment_period" localSheetId="3">'[1]ASSUMPTION SHEET'!$E$198</definedName>
    <definedName name="Loan_1_repayment_period">'[4]ASSUMPTION SHEET'!$E$235</definedName>
    <definedName name="Loan_1_repyt_period">'[7]Assumption Sheet'!$C$282</definedName>
    <definedName name="Loan_1_repyts_per_yr" localSheetId="24">'[7]Assumption Sheet'!$C$284</definedName>
    <definedName name="Loan_1_repyts_per_yr" localSheetId="23">'[7]Assumption Sheet'!$C$284</definedName>
    <definedName name="Loan_1_repyts_per_yr" localSheetId="3">'[7]Assumption Sheet'!$C$284</definedName>
    <definedName name="Loan_1_repyts_per_yr" localSheetId="36">'[7]Assumption Sheet'!$C$284</definedName>
    <definedName name="Loan_1_repyts_per_yr">'[6]Assumption Sheet'!$D$300</definedName>
    <definedName name="Loan_1_Spread" localSheetId="24">'[4]ASSUMPTION SHEET'!$E$231</definedName>
    <definedName name="Loan_1_Spread" localSheetId="23">'[4]ASSUMPTION SHEET'!$E$231</definedName>
    <definedName name="Loan_1_Spread" localSheetId="3">'[1]ASSUMPTION SHEET'!$E$194</definedName>
    <definedName name="Loan_1_Spread" localSheetId="36">'[4]ASSUMPTION SHEET'!$E$231</definedName>
    <definedName name="Loan_1_spread">'[15]Assumption '!$D$188</definedName>
    <definedName name="Loan_1_Tenor_sensitivity">'[10]Output Sheet '!$D$28</definedName>
    <definedName name="Loan_1_term" localSheetId="3">'[1]ASSUMPTION SHEET'!$E$196</definedName>
    <definedName name="Loan_1_term">'[4]ASSUMPTION SHEET'!$E$233</definedName>
    <definedName name="Loan_1_total_no_of_repayts" localSheetId="3">'[1]ASSUMPTION SHEET'!$E$200</definedName>
    <definedName name="Loan_1_total_no_of_repayts">'[4]ASSUMPTION SHEET'!$E$237</definedName>
    <definedName name="Loan_1_total_no_of_repmt">'[2]Assumption Sheet'!$E$254</definedName>
    <definedName name="Loan_1_total_no_repmt">'[10]Assumption Sheet'!$E$575</definedName>
    <definedName name="Loan_1b_int_rate">'[21]Assumption '!$D$317</definedName>
    <definedName name="Loan_2_beginning_balance" localSheetId="3">'[1]ASSUMPTION SHEET'!$E$223</definedName>
    <definedName name="Loan_2_beginning_balance">'[4]ASSUMPTION SHEET'!$E$260</definedName>
    <definedName name="Loan_2_commitment_fee" localSheetId="3">'[1]ASSUMPTION SHEET'!$E$220</definedName>
    <definedName name="Loan_2_commitment_fee">'[4]ASSUMPTION SHEET'!$E$257</definedName>
    <definedName name="Loan_2_Commitment_fee_end">'[22]Assumption Sheet'!$E$124</definedName>
    <definedName name="Loan_2_commitmt_fee">'[7]Assumption Sheet'!$C$303</definedName>
    <definedName name="Loan_2_front_end_fee" localSheetId="24">'[4]ASSUMPTION SHEET'!$E$256</definedName>
    <definedName name="Loan_2_front_end_fee" localSheetId="23">'[4]ASSUMPTION SHEET'!$E$256</definedName>
    <definedName name="Loan_2_front_end_fee" localSheetId="3">'[1]ASSUMPTION SHEET'!$E$219</definedName>
    <definedName name="Loan_2_front_end_fee" localSheetId="36">'[4]ASSUMPTION SHEET'!$E$256</definedName>
    <definedName name="Loan_2_Front_End_Fee">'[6]Assumption Sheet'!$D$318</definedName>
    <definedName name="Loan_2_Frontend_Fee">'[16]Assumption Sheet'!$D$242</definedName>
    <definedName name="Loan_2_Int_spread">'[7]Assumption Sheet'!$C$293</definedName>
    <definedName name="Loan_2_Interest_rate">'[10]Assumption Sheet'!$E$586</definedName>
    <definedName name="Loan_2_moratorium" localSheetId="24">'[4]ASSUMPTION SHEET'!$E$251</definedName>
    <definedName name="Loan_2_moratorium" localSheetId="23">'[4]ASSUMPTION SHEET'!$E$251</definedName>
    <definedName name="Loan_2_moratorium" localSheetId="3">'[1]ASSUMPTION SHEET'!$E$214</definedName>
    <definedName name="Loan_2_moratorium" localSheetId="36">'[4]ASSUMPTION SHEET'!$E$251</definedName>
    <definedName name="Loan_2_moratorium">'[15]Assumption '!$D$208</definedName>
    <definedName name="Loan_2_no_of_repayts_per_year" localSheetId="3">'[1]ASSUMPTION SHEET'!$E$216</definedName>
    <definedName name="Loan_2_no_of_repayts_per_year">'[4]ASSUMPTION SHEET'!$E$253</definedName>
    <definedName name="Loan_2_no_of_repayts_per_yr">'[7]Assumption Sheet'!$C$299</definedName>
    <definedName name="Loan_2_no_of_Repyts" localSheetId="24">'[16]Assumption Sheet'!$D$239</definedName>
    <definedName name="Loan_2_no_of_Repyts" localSheetId="23">'[16]Assumption Sheet'!$D$239</definedName>
    <definedName name="Loan_2_no_of_Repyts" localSheetId="3">'[16]Assumption Sheet'!$D$239</definedName>
    <definedName name="Loan_2_no_of_Repyts" localSheetId="36">'[16]Assumption Sheet'!$D$239</definedName>
    <definedName name="Loan_2_no_of_repyts">'[6]Assumption Sheet'!$D$314</definedName>
    <definedName name="Loan_2_no_of_Repyts_per_yr" localSheetId="24">'[16]Assumption Sheet'!$D$240</definedName>
    <definedName name="Loan_2_no_of_Repyts_per_yr" localSheetId="23">'[16]Assumption Sheet'!$D$240</definedName>
    <definedName name="Loan_2_no_of_Repyts_per_yr" localSheetId="3">'[16]Assumption Sheet'!$D$240</definedName>
    <definedName name="Loan_2_no_of_Repyts_per_yr" localSheetId="36">'[16]Assumption Sheet'!$D$240</definedName>
    <definedName name="Loan_2_no_of_repyts_per_yr">'[6]Assumption Sheet'!$D$315</definedName>
    <definedName name="Loan_2_percentage">'[16]Assumption Sheet'!$D$231</definedName>
    <definedName name="Loan_2_perctg">'[15]Assumption '!$D$202</definedName>
    <definedName name="Loan_2_principal" localSheetId="3">'[1]ASSUMPTION SHEET'!$E$218</definedName>
    <definedName name="Loan_2_principal">'[4]ASSUMPTION SHEET'!$E$255</definedName>
    <definedName name="Loan_2_ref_rate">'[7]Assumption Sheet'!$C$292</definedName>
    <definedName name="Loan_2_reference_rate" localSheetId="3">'[1]ASSUMPTION SHEET'!$E$210</definedName>
    <definedName name="Loan_2_reference_rate">'[4]ASSUMPTION SHEET'!$E$247</definedName>
    <definedName name="Loan_2_repayt_period" localSheetId="3">'[1]ASSUMPTION SHEET'!$E$215</definedName>
    <definedName name="Loan_2_repayt_period">'[4]ASSUMPTION SHEET'!$E$252</definedName>
    <definedName name="Loan_2_repmt_period">'[10]Assumption Sheet'!$E$589</definedName>
    <definedName name="Loan_2_repyt_flag">[16]Flags!$14:$14</definedName>
    <definedName name="Loan_2_spread" localSheetId="3">'[1]ASSUMPTION SHEET'!$E$211</definedName>
    <definedName name="Loan_2_spread">'[4]ASSUMPTION SHEET'!$E$248</definedName>
    <definedName name="Loan_2_term" localSheetId="3">'[1]ASSUMPTION SHEET'!$E$213</definedName>
    <definedName name="Loan_2_term">'[4]ASSUMPTION SHEET'!$E$250</definedName>
    <definedName name="Loan_2_total_int_rate">'[7]Assumption Sheet'!$C$294</definedName>
    <definedName name="Loan_2_Total_Interest_Rate" localSheetId="3">'[1]ASSUMPTION SHEET'!$E$212</definedName>
    <definedName name="Loan_2_Total_Interest_Rate">'[4]ASSUMPTION SHEET'!$E$249</definedName>
    <definedName name="Loan_2_total_no_of_repayts" localSheetId="3">'[1]ASSUMPTION SHEET'!$E$217</definedName>
    <definedName name="Loan_2_total_no_of_repayts">'[4]ASSUMPTION SHEET'!$E$254</definedName>
    <definedName name="Loan_2_total_no_repayment">'[10]Assumption Sheet'!$E$591</definedName>
    <definedName name="Loan_3_Commitment_Fee">'[16]Assumption Sheet'!$D$260</definedName>
    <definedName name="Loan_3_commitmt_fee">'[7]Assumption Sheet'!$C$318</definedName>
    <definedName name="Loan_3_front_end_fee" localSheetId="24">'[7]Assumption Sheet'!$C$317</definedName>
    <definedName name="Loan_3_front_end_fee" localSheetId="23">'[7]Assumption Sheet'!$C$317</definedName>
    <definedName name="Loan_3_front_end_fee" localSheetId="3">'[7]Assumption Sheet'!$C$317</definedName>
    <definedName name="Loan_3_front_end_fee" localSheetId="36">'[7]Assumption Sheet'!$C$317</definedName>
    <definedName name="Loan_3_Front_End_Fee">'[6]Assumption Sheet'!$D$333</definedName>
    <definedName name="Loan_3_Frontend_Fee">'[16]Assumption Sheet'!$D$259</definedName>
    <definedName name="Loan_3_int_rate">'[6]Assumption Sheet'!$D$326</definedName>
    <definedName name="Loan_3_int_spread">'[7]Assumption Sheet'!$C$309</definedName>
    <definedName name="Loan_3_Interest_rate">'[16]Assumption Sheet'!$D$252</definedName>
    <definedName name="Loan_3_moratorium" localSheetId="24">'[7]Assumption Sheet'!$C$312</definedName>
    <definedName name="Loan_3_moratorium" localSheetId="23">'[7]Assumption Sheet'!$C$312</definedName>
    <definedName name="Loan_3_moratorium" localSheetId="3">'[7]Assumption Sheet'!$C$312</definedName>
    <definedName name="Loan_3_moratorium" localSheetId="36">'[7]Assumption Sheet'!$C$312</definedName>
    <definedName name="Loan_3_moratorium">'[6]Assumption Sheet'!$D$328</definedName>
    <definedName name="Loan_3_no_of_repayts_per_yr">'[7]Assumption Sheet'!$C$315</definedName>
    <definedName name="Loan_3_no_of_Repyts" localSheetId="24">'[16]Assumption Sheet'!$D$256</definedName>
    <definedName name="Loan_3_no_of_Repyts" localSheetId="23">'[16]Assumption Sheet'!$D$256</definedName>
    <definedName name="Loan_3_no_of_Repyts" localSheetId="3">'[16]Assumption Sheet'!$D$256</definedName>
    <definedName name="Loan_3_no_of_Repyts" localSheetId="36">'[16]Assumption Sheet'!$D$256</definedName>
    <definedName name="Loan_3_no_of_repyts">'[6]Assumption Sheet'!$D$330</definedName>
    <definedName name="Loan_3_no_of_Repyts_per_yr" localSheetId="24">'[16]Assumption Sheet'!$D$257</definedName>
    <definedName name="Loan_3_no_of_Repyts_per_yr" localSheetId="23">'[16]Assumption Sheet'!$D$257</definedName>
    <definedName name="Loan_3_no_of_Repyts_per_yr" localSheetId="3">'[16]Assumption Sheet'!$D$257</definedName>
    <definedName name="Loan_3_no_of_Repyts_per_yr" localSheetId="36">'[16]Assumption Sheet'!$D$257</definedName>
    <definedName name="Loan_3_no_of_repyts_per_yr">'[6]Assumption Sheet'!$D$331</definedName>
    <definedName name="Loan_3_percentage">'[16]Assumption Sheet'!$D$248</definedName>
    <definedName name="Loan_3_perctg">'[15]Assumption '!#REF!</definedName>
    <definedName name="Loan_3_principal" localSheetId="24">'[7]Assumption Sheet'!$C$316</definedName>
    <definedName name="Loan_3_principal" localSheetId="23">'[7]Assumption Sheet'!$C$316</definedName>
    <definedName name="Loan_3_principal" localSheetId="3">'[7]Assumption Sheet'!$C$316</definedName>
    <definedName name="Loan_3_principal" localSheetId="36">'[7]Assumption Sheet'!$C$316</definedName>
    <definedName name="Loan_3_principal">'[6]Assumption Sheet'!$D$332</definedName>
    <definedName name="Loan_3_ref_rate">'[7]Assumption Sheet'!$C$308</definedName>
    <definedName name="Loan_3_repayt_period">'[7]Assumption Sheet'!$C$313</definedName>
    <definedName name="Loan_3_repyt_flag">[16]Flags!$16:$16</definedName>
    <definedName name="Loan_3_Repyt_Period" localSheetId="24">'[16]Assumption Sheet'!$D$255</definedName>
    <definedName name="Loan_3_Repyt_Period" localSheetId="23">'[16]Assumption Sheet'!$D$255</definedName>
    <definedName name="Loan_3_Repyt_Period" localSheetId="3">'[16]Assumption Sheet'!$D$255</definedName>
    <definedName name="Loan_3_Repyt_Period" localSheetId="36">'[16]Assumption Sheet'!$D$255</definedName>
    <definedName name="Loan_3_repyt_period">'[6]Assumption Sheet'!$D$329</definedName>
    <definedName name="Loan_3_Spread">'[16]Assumption Sheet'!$D$251</definedName>
    <definedName name="Loan_3_term" localSheetId="24">'[7]Assumption Sheet'!$C$311</definedName>
    <definedName name="Loan_3_term" localSheetId="23">'[7]Assumption Sheet'!$C$311</definedName>
    <definedName name="Loan_3_term" localSheetId="3">'[7]Assumption Sheet'!$C$311</definedName>
    <definedName name="Loan_3_term" localSheetId="36">'[7]Assumption Sheet'!$C$311</definedName>
    <definedName name="Loan_3_term">'[6]Assumption Sheet'!$D$327</definedName>
    <definedName name="Loan_3_total_int_rate">'[7]Assumption Sheet'!$C$310</definedName>
    <definedName name="Loan_4_commitmt_fee">'[7]Assumption Sheet'!$C$334</definedName>
    <definedName name="Loan_4_Committment_Fee">'[6]Assumption Sheet'!$D$350</definedName>
    <definedName name="Loan_4_front_end_fee" localSheetId="24">'[7]Assumption Sheet'!$C$333</definedName>
    <definedName name="Loan_4_front_end_fee" localSheetId="23">'[7]Assumption Sheet'!$C$333</definedName>
    <definedName name="Loan_4_front_end_fee" localSheetId="3">'[7]Assumption Sheet'!$C$333</definedName>
    <definedName name="Loan_4_front_end_fee" localSheetId="36">'[7]Assumption Sheet'!$C$333</definedName>
    <definedName name="Loan_4_Front_End_Fee">'[6]Assumption Sheet'!$D$349</definedName>
    <definedName name="Loan_4_int_rate">'[6]Assumption Sheet'!$D$341</definedName>
    <definedName name="Loan_4_int_Spread">'[7]Assumption Sheet'!$C$324</definedName>
    <definedName name="Loan_4_moratorium" localSheetId="24">'[7]Assumption Sheet'!$C$327</definedName>
    <definedName name="Loan_4_moratorium" localSheetId="23">'[7]Assumption Sheet'!$C$327</definedName>
    <definedName name="Loan_4_moratorium" localSheetId="3">'[7]Assumption Sheet'!$C$327</definedName>
    <definedName name="Loan_4_moratorium" localSheetId="36">'[7]Assumption Sheet'!$C$327</definedName>
    <definedName name="Loan_4_moratorium">'[6]Assumption Sheet'!$D$343</definedName>
    <definedName name="Loan_4_no_of_repyts_per_yr">'[6]Assumption Sheet'!$D$346</definedName>
    <definedName name="Loan_4_perctg">'[15]Assumption '!#REF!</definedName>
    <definedName name="Loan_4_principal" localSheetId="24">'[7]Assumption Sheet'!$C$331</definedName>
    <definedName name="Loan_4_principal" localSheetId="23">'[7]Assumption Sheet'!$C$331</definedName>
    <definedName name="Loan_4_principal" localSheetId="3">'[7]Assumption Sheet'!$C$331</definedName>
    <definedName name="Loan_4_principal" localSheetId="36">'[7]Assumption Sheet'!$C$331</definedName>
    <definedName name="Loan_4_principal">'[6]Assumption Sheet'!$D$347</definedName>
    <definedName name="Loan_4_ref_rate" localSheetId="24">'[7]Assumption Sheet'!$C$323</definedName>
    <definedName name="Loan_4_ref_rate" localSheetId="23">'[7]Assumption Sheet'!$C$323</definedName>
    <definedName name="Loan_4_ref_rate" localSheetId="3">'[7]Assumption Sheet'!$C$323</definedName>
    <definedName name="Loan_4_ref_rate" localSheetId="36">'[7]Assumption Sheet'!$C$323</definedName>
    <definedName name="Loan_4_ref_rate">'[6]Assumption Sheet'!$D$339</definedName>
    <definedName name="Loan_4_repayt_period">'[7]Assumption Sheet'!$C$328</definedName>
    <definedName name="Loan_4_repayts_per_yr">'[7]Assumption Sheet'!$C$330</definedName>
    <definedName name="Loan_4_Spread">'[6]Assumption Sheet'!$D$340</definedName>
    <definedName name="Loan_4_term" localSheetId="24">'[7]Assumption Sheet'!$C$326</definedName>
    <definedName name="Loan_4_term" localSheetId="23">'[7]Assumption Sheet'!$C$326</definedName>
    <definedName name="Loan_4_term" localSheetId="3">'[7]Assumption Sheet'!$C$326</definedName>
    <definedName name="Loan_4_term" localSheetId="36">'[7]Assumption Sheet'!$C$326</definedName>
    <definedName name="Loan_4_term">'[6]Assumption Sheet'!$D$342</definedName>
    <definedName name="Loan_4_total_int_rate">'[7]Assumption Sheet'!$C$325</definedName>
    <definedName name="Loan_5_commitmt_fee">'[7]Assumption Sheet'!$C$349</definedName>
    <definedName name="Loan_5_Committment_Fee">'[6]Assumption Sheet'!$D$365</definedName>
    <definedName name="Loan_5_Front_End_Fee">'[6]Assumption Sheet'!$D$364</definedName>
    <definedName name="Loan_5_frontend_fee">'[7]Assumption Sheet'!$C$348</definedName>
    <definedName name="Loan_5_int_rate">'[6]Assumption Sheet'!$D$357</definedName>
    <definedName name="Loan_5_int_spread">'[7]Assumption Sheet'!$C$340</definedName>
    <definedName name="Loan_5_moratorium" localSheetId="24">'[7]Assumption Sheet'!$C$343</definedName>
    <definedName name="Loan_5_moratorium" localSheetId="23">'[7]Assumption Sheet'!$C$343</definedName>
    <definedName name="Loan_5_moratorium" localSheetId="3">'[7]Assumption Sheet'!$C$343</definedName>
    <definedName name="Loan_5_moratorium" localSheetId="36">'[7]Assumption Sheet'!$C$343</definedName>
    <definedName name="Loan_5_moratorium">'[6]Assumption Sheet'!$D$359</definedName>
    <definedName name="Loan_5_no_of_repayts_per_yr">'[7]Assumption Sheet'!$C$346</definedName>
    <definedName name="Loan_5_principal">'[7]Assumption Sheet'!$C$347</definedName>
    <definedName name="Loan_5_ref_rate" localSheetId="24">'[7]Assumption Sheet'!$C$339</definedName>
    <definedName name="Loan_5_ref_rate" localSheetId="23">'[7]Assumption Sheet'!$C$339</definedName>
    <definedName name="Loan_5_ref_rate" localSheetId="3">'[7]Assumption Sheet'!$C$339</definedName>
    <definedName name="Loan_5_ref_rate" localSheetId="36">'[7]Assumption Sheet'!$C$339</definedName>
    <definedName name="Loan_5_ref_rate">'[6]Assumption Sheet'!$D$355</definedName>
    <definedName name="Loan_5_repayt_period">'[7]Assumption Sheet'!$C$344</definedName>
    <definedName name="Loan_5_Spread">'[6]Assumption Sheet'!$D$356</definedName>
    <definedName name="Loan_5_term" localSheetId="24">'[7]Assumption Sheet'!$C$342</definedName>
    <definedName name="Loan_5_term" localSheetId="23">'[7]Assumption Sheet'!$C$342</definedName>
    <definedName name="Loan_5_term" localSheetId="3">'[7]Assumption Sheet'!$C$342</definedName>
    <definedName name="Loan_5_term" localSheetId="36">'[7]Assumption Sheet'!$C$342</definedName>
    <definedName name="Loan_5_term">'[6]Assumption Sheet'!$D$358</definedName>
    <definedName name="Loan_5_total_int_rate">'[7]Assumption Sheet'!$C$341</definedName>
    <definedName name="Loan_amt_to_be_guaranted">'[9]Assumption Sheet'!$E$251</definedName>
    <definedName name="Loan_beg_balance">'[9]Assumption Sheet'!$E$231</definedName>
    <definedName name="Loan_commiment_fee_pmt_frq">'[9]Assumption Sheet'!$E$229</definedName>
    <definedName name="Loan_Commitment_end_fee">'[9]Assumption Sheet'!$E$230</definedName>
    <definedName name="Loan_commitment_fee">'[9]Assumption Sheet'!$E$228</definedName>
    <definedName name="Loan_endg_flag">[16]Flags!$20:$20</definedName>
    <definedName name="Loan_Int_rate" localSheetId="22">'[9]Assumption Sheet'!$E$220</definedName>
    <definedName name="Loan_int_rate">'[12]Assumption '!$E$151</definedName>
    <definedName name="loan_interest1" localSheetId="3">#REF!</definedName>
    <definedName name="loan_interest1">#REF!</definedName>
    <definedName name="loan_intl1" localSheetId="3">#REF!</definedName>
    <definedName name="loan_intl1">#REF!</definedName>
    <definedName name="loan_intl2" localSheetId="3">#REF!</definedName>
    <definedName name="loan_intl2">#REF!</definedName>
    <definedName name="loan_intl3">#REF!</definedName>
    <definedName name="Loan_Mgt_fee">'[9]Assumption Sheet'!$E$227</definedName>
    <definedName name="Loan_moratorium">'[9]Assumption Sheet'!$E$222</definedName>
    <definedName name="Loan_no_repmt_per_year">'[9]Assumption Sheet'!$E$224</definedName>
    <definedName name="Loan_Reference_rate" localSheetId="3">'[1]ASSUMPTION SHEET'!$E$193</definedName>
    <definedName name="Loan_Reference_Rate" localSheetId="22">'[9]Assumption Sheet'!$E$218</definedName>
    <definedName name="Loan_Reference_rate">'[4]ASSUMPTION SHEET'!$E$230</definedName>
    <definedName name="Loan_repayment_period">'[9]Assumption Sheet'!$E$223</definedName>
    <definedName name="Loan_Spread">'[9]Assumption Sheet'!$E$219</definedName>
    <definedName name="Loan_spread_sensitivty">'[10]Output Sheet '!$D$29</definedName>
    <definedName name="Loan_tenor_sensitivity" localSheetId="3">'[1]OUTPUT SHEET'!$E$24</definedName>
    <definedName name="Loan_Tenor_sensitivity" localSheetId="22">'[9]Output Sheet '!$E$20</definedName>
    <definedName name="Loan_tenor_sensitivity">'[4]OUTPUT SHEET'!$E$22</definedName>
    <definedName name="Loan_Term">'[9]Assumption Sheet'!$E$221</definedName>
    <definedName name="Loan_total_no_repmt">'[9]Assumption Sheet'!$E$225</definedName>
    <definedName name="local_dist_diesel">'[6]Assumption Sheet'!$E$164</definedName>
    <definedName name="local_dist_jet_fuel">'[6]Assumption Sheet'!$E$165</definedName>
    <definedName name="local_dist_kerosene">'[6]Assumption Sheet'!$E$166</definedName>
    <definedName name="local_distr">'[6]Assumption Sheet'!$E$167</definedName>
    <definedName name="Local_distr_asphalt">'[6]Assumption Sheet'!$E$171</definedName>
    <definedName name="local_distr_Coke">'[6]Assumption Sheet'!$E$167</definedName>
    <definedName name="local_distr_gasoline">'[6]Assumption Sheet'!$E$163</definedName>
    <definedName name="local_distr_HFO">'[6]Assumption Sheet'!$E$168</definedName>
    <definedName name="local_distr_LRG">'[6]Assumption Sheet'!$E$169</definedName>
    <definedName name="local_distr_lubricants">'[6]Assumption Sheet'!$E$173</definedName>
    <definedName name="local_distr_other_product">'[6]Assumption Sheet'!$E$174</definedName>
    <definedName name="local_distr_PFS">'[6]Assumption Sheet'!$E$172</definedName>
    <definedName name="local_distr_still_gas">'[6]Assumption Sheet'!$E$170</definedName>
    <definedName name="Local_Infra">'[15]Assumption '!#REF!</definedName>
    <definedName name="local_production_distribution">'[6]Assumption Sheet'!$E$138</definedName>
    <definedName name="Localise_discount" localSheetId="3">'[5]Capex Phasing Urea'!#REF!</definedName>
    <definedName name="Localise_discount">'Capex Phasing Urea'!#REF!</definedName>
    <definedName name="LOOKUPMTH">#REF!</definedName>
    <definedName name="Loss_carrying_forward_limit">'[6]Assumption Sheet'!$D$47</definedName>
    <definedName name="LRG_extraction_rate">'[6]Assumption Sheet'!$D$153</definedName>
    <definedName name="Lubricants_extraction_rate">'[6]Assumption Sheet'!$D$157</definedName>
    <definedName name="Luxury_Buses">#REF!</definedName>
    <definedName name="Luxury_buses_annual_traffic_growth_rate">[8]Assumptions!$H$169</definedName>
    <definedName name="Luxury_buses_estimated_daily_traffic_adjusted_for_variance">'[8]Summary Output'!$F$51</definedName>
    <definedName name="Luxury_buses_tariffs_adjusted_for_sensitivity">'[8]Summary Output'!$D$51</definedName>
    <definedName name="Luxurybuses_induced_traffic">[8]Assumptions!$G$169</definedName>
    <definedName name="MACRO" localSheetId="3">#REF!</definedName>
    <definedName name="MACRO">#REF!</definedName>
    <definedName name="Magodo_toll_operations_start_date">[7]Output!$D$30</definedName>
    <definedName name="Maize_at_market">#REF!</definedName>
    <definedName name="Maize_Land">'[15]Assumption '!#REF!</definedName>
    <definedName name="Major_renovation" localSheetId="3">'[3]ASSUMPTION SHEET'!$E$87</definedName>
    <definedName name="Major_renovation">'[4]ASSUMPTION SHEET'!$E$92</definedName>
    <definedName name="mango" localSheetId="3">#REF!</definedName>
    <definedName name="mango">#REF!</definedName>
    <definedName name="Marketing_Advertisement_phs_1">'[10]Assumption Sheet'!$F$49</definedName>
    <definedName name="Marketing_Advertising_Cost">'[9]Assumption Sheet'!$E$12</definedName>
    <definedName name="MARKETING07" localSheetId="3">#REF!</definedName>
    <definedName name="MARKETING07">#REF!</definedName>
    <definedName name="MARKETING98" localSheetId="3">#REF!</definedName>
    <definedName name="MARKETING98">#REF!</definedName>
    <definedName name="MARKETINGALL" localSheetId="3">#REF!</definedName>
    <definedName name="MARKETINGALL">#REF!</definedName>
    <definedName name="mary">#REF!</definedName>
    <definedName name="Master_Range_Name">#REF!</definedName>
    <definedName name="Material_Inflation_Rate">'[6]Assumption Sheet'!$D$69</definedName>
    <definedName name="Materials_Infl_Rate">'[7]Assumption Sheet'!$C$92</definedName>
    <definedName name="Max_Accessible_Lodge_Occupancy_rate">'[1]ASSUMPTION SHEET'!$E$94</definedName>
    <definedName name="Max_capacity" localSheetId="3">'[12]Assumption '!#REF!</definedName>
    <definedName name="Max_capacity">'[12]Assumption '!#REF!</definedName>
    <definedName name="Max_occupancy_rate" localSheetId="3">'[1]ASSUMPTION SHEET'!$E$76</definedName>
    <definedName name="Max_Occupancy_rate">'[4]ASSUMPTION SHEET'!$E$88</definedName>
    <definedName name="Max_online_visitors" localSheetId="3">'[3]ASSUMPTION SHEET'!$E$107</definedName>
    <definedName name="Max_online_visitors">'[4]ASSUMPTION SHEET'!$E$112</definedName>
    <definedName name="Max_participation_rate" localSheetId="3">'[3]ASSUMPTION SHEET'!$E$45</definedName>
    <definedName name="Max_participation_rate">'[4]ASSUMPTION SHEET'!$E$47</definedName>
    <definedName name="Max_plant_output">[2]Output!$E$34</definedName>
    <definedName name="Max_Plant_utilisation_rate">'[2]Assumption Sheet'!$E$231</definedName>
    <definedName name="Maximum_available_loan">'[16]Assumption Sheet'!$D$210</definedName>
    <definedName name="Maximum_realisable_capacity">'[2]Assumption Sheet'!$E$232</definedName>
    <definedName name="Maxmium_Occupany_Rate" localSheetId="3">'[3]ASSUMPTION SHEET'!$E$134</definedName>
    <definedName name="Maxmium_Occupany_Rate">'[4]ASSUMPTION SHEET'!$E$139</definedName>
    <definedName name="MDR_Completion_Premium">'[16]Assumption Sheet'!$F$150</definedName>
    <definedName name="MDR_land_to_Aso_hills">'[16]Assumption Sheet'!$D$122</definedName>
    <definedName name="MDR_Offplan_Discount">'[16]Assumption Sheet'!$D$150</definedName>
    <definedName name="MDR_Standard_Price">'[16]Assumption Sheet'!$E$150</definedName>
    <definedName name="Meter_Connection_fee_dollar">'[2]Assumption Sheet'!$E$194</definedName>
    <definedName name="Meter_connection_fee_naira">'[2]Assumption Sheet'!$E$195</definedName>
    <definedName name="Meter_deplor_month_1">'[2]Assumption Sheet'!$E$160</definedName>
    <definedName name="Meter_deplor_month_2">'[2]Assumption Sheet'!$E$161</definedName>
    <definedName name="Meter_deplor_month_3">'[2]Assumption Sheet'!$E$162</definedName>
    <definedName name="Meter_deplor_month_4">'[2]Assumption Sheet'!$E$163</definedName>
    <definedName name="Meter_deplor_month_5">'[2]Assumption Sheet'!$E$164</definedName>
    <definedName name="Meter_Deploying_Period">'[2]Assumption Sheet'!$E$86</definedName>
    <definedName name="Meter_Deployment_Period_Years">'[2]Assumption Sheet'!$E$85</definedName>
    <definedName name="Meter_Mgt_Cost">'[2]Assumption Sheet'!$E$61</definedName>
    <definedName name="Meter_sold_After_Year_11">'[2]Assumption Sheet'!$E$132</definedName>
    <definedName name="Meter_sold_Year_1">'[2]Assumption Sheet'!$E$122</definedName>
    <definedName name="Meter_sold_Year_10">'[2]Assumption Sheet'!$E$131</definedName>
    <definedName name="Meter_sold_Year_2">'[2]Assumption Sheet'!$E$123</definedName>
    <definedName name="Meter_sold_Year_3">'[2]Assumption Sheet'!$E$124</definedName>
    <definedName name="Meter_sold_Year_4">'[2]Assumption Sheet'!$E$125</definedName>
    <definedName name="Meter_sold_Year_5">'[2]Assumption Sheet'!$E$126</definedName>
    <definedName name="Meter_sold_Year_6">'[2]Assumption Sheet'!$E$127</definedName>
    <definedName name="Meter_sold_Year_7">'[2]Assumption Sheet'!$E$128</definedName>
    <definedName name="Meter_sold_Year_8">'[2]Assumption Sheet'!$E$129</definedName>
    <definedName name="Meter_sold_Year_9">'[2]Assumption Sheet'!$E$130</definedName>
    <definedName name="Methanol_Price">'Input '!$F$151</definedName>
    <definedName name="Mgt_fee_for_hotel_operator">'[9]Assumption Sheet'!$E$75</definedName>
    <definedName name="Minibuses_estimated_daily_traffic_adjusted_for_variance">'[8]Summary Output'!$F$48</definedName>
    <definedName name="Minibuses_Jeeps">[8]Assumptions!$D$166</definedName>
    <definedName name="Minibuses_Jeeps_annual_traffic_growth_rate">[8]Assumptions!$H$166</definedName>
    <definedName name="Minibuses_Jeeps_induced_traffic">[8]Assumptions!$G$166</definedName>
    <definedName name="Minibuses_Jeeps_tariff_adjusted_for_sensitivity">'[8]Summary Output'!$D$48</definedName>
    <definedName name="Mixed_use_four_sensitivity">'[10]Output Sheet '!$D$23</definedName>
    <definedName name="Mixed_use_one_cost_sensitivity">'[10]Output Sheet '!$D$20</definedName>
    <definedName name="mk" localSheetId="3">#REF!</definedName>
    <definedName name="mk">#REF!</definedName>
    <definedName name="Mkt_adv_phs_2">'[10]Assumption Sheet'!$F$67</definedName>
    <definedName name="Mkt_Advertisement_cost_phase_3">'[10]Assumption Sheet'!$F$86</definedName>
    <definedName name="mkt_personnel_salary">'[12]Assumption '!#REF!</definedName>
    <definedName name="MnthsInQtr" localSheetId="3">'[5]Assumption '!$J$18</definedName>
    <definedName name="MnthsInQtr">'Assumption '!$J$18</definedName>
    <definedName name="Mod_option">'[10]Output Sheet '!$F$70</definedName>
    <definedName name="Model_year" localSheetId="3">'[5]Input '!$F$36</definedName>
    <definedName name="Model_year">'Input '!$F$36</definedName>
    <definedName name="ModelStart" localSheetId="3">'[5]Assumption '!$J$15</definedName>
    <definedName name="ModelStart">'Assumption '!$J$15</definedName>
    <definedName name="modulator_">'[6]Assumption Sheet'!#REF!</definedName>
    <definedName name="MoM_Int_rate">'[12]Assumption '!$F$95</definedName>
    <definedName name="Month_Year">[19]Input!$E$27</definedName>
    <definedName name="Monthly_rental_cost" localSheetId="3">'[12]Assumption '!#REF!</definedName>
    <definedName name="Monthly_rental_cost">'[12]Assumption '!#REF!</definedName>
    <definedName name="MonthlyIPO" localSheetId="3">#REF!</definedName>
    <definedName name="MonthlyIPO">#REF!</definedName>
    <definedName name="Months" localSheetId="3">'[3]ASSUMPTION SHEET'!#REF!</definedName>
    <definedName name="Months">'[4]ASSUMPTION SHEET'!$G$159</definedName>
    <definedName name="Months_year" localSheetId="3">'[5]Input '!$F$16</definedName>
    <definedName name="Months_year">'Input '!$F$16</definedName>
    <definedName name="Moratorium_on_mezannine_finance">'[14]Assumption Sheet'!$C$233</definedName>
    <definedName name="Moratorium_on_RDN">'[14]Assumption Sheet'!$C$201</definedName>
    <definedName name="Motorcycles_annual_traffic_growth_rate">[8]Assumptions!$H$170</definedName>
    <definedName name="Motorcycles_average_estimated_dailytraffic_adjusted_for_variance">'[8]Summary Output'!$F$52</definedName>
    <definedName name="Motorcycles_induced_traffic">[8]Assumptions!$G$170</definedName>
    <definedName name="Motorcycles_tariffs_adjusted_for_sensitivity">'[8]Summary Output'!$D$52</definedName>
    <definedName name="MRG" localSheetId="3">#REF!</definedName>
    <definedName name="MRG">#REF!</definedName>
    <definedName name="Mths_per_yr" localSheetId="24">'[7]Assumption Sheet'!$C$43</definedName>
    <definedName name="Mths_per_yr" localSheetId="23">'[7]Assumption Sheet'!$C$43</definedName>
    <definedName name="Mths_per_yr" localSheetId="3">'[7]Assumption Sheet'!$C$43</definedName>
    <definedName name="Mths_per_yr" localSheetId="36">'[7]Assumption Sheet'!$C$43</definedName>
    <definedName name="Mths_per_yr">'[6]Assumption Sheet'!$D$40</definedName>
    <definedName name="mult_sen" localSheetId="3">#REF!</definedName>
    <definedName name="mult_sen">#REF!</definedName>
    <definedName name="multiplexer_">'[6]Assumption Sheet'!#REF!</definedName>
    <definedName name="Multiviewer_">'[6]Assumption Sheet'!#REF!</definedName>
    <definedName name="Museum_entry_fee_sensitivity">'[3]OUTPUT SHEET'!$E$51</definedName>
    <definedName name="museum_freq_incre_rate" localSheetId="3">'[3]ASSUMPTION SHEET'!$E$111</definedName>
    <definedName name="museum_freq_incre_rate">'[4]ASSUMPTION SHEET'!$E$116</definedName>
    <definedName name="Museum_max_onsite_visitors" localSheetId="3">'[3]ASSUMPTION SHEET'!$E$106</definedName>
    <definedName name="Museum_max_onsite_visitors">'[4]ASSUMPTION SHEET'!$E$111</definedName>
    <definedName name="Museum_online_days" localSheetId="3">'[3]ASSUMPTION SHEET'!$E$104</definedName>
    <definedName name="Museum_online_days">'[4]ASSUMPTION SHEET'!$E$109</definedName>
    <definedName name="Museum_operating_days" localSheetId="3">'[3]ASSUMPTION SHEET'!$E$102</definedName>
    <definedName name="Museum_operating_days">'[4]ASSUMPTION SHEET'!$E$107</definedName>
    <definedName name="Museum_operating_start_date" localSheetId="3">'[3]ASSUMPTION SHEET'!$E$94</definedName>
    <definedName name="Museum_operating_start_date">'[4]ASSUMPTION SHEET'!$E$99</definedName>
    <definedName name="Museum_Price_increase_rate">'[9]Assumption Sheet'!#REF!</definedName>
    <definedName name="n" localSheetId="3">#REF!</definedName>
    <definedName name="n">#REF!</definedName>
    <definedName name="na" localSheetId="3">#REF!</definedName>
    <definedName name="na">#REF!</definedName>
    <definedName name="Naira">'Drop down list'!$H$23</definedName>
    <definedName name="Naira_dollar_average_price">'[2]Assumption Sheet'!$E$98</definedName>
    <definedName name="Naira_Dollar_exch_rate">[2]Output!$E$36</definedName>
    <definedName name="Naira_dollar_Fx_Parallel_Mkt">'[2]Assumption Sheet'!$E$97</definedName>
    <definedName name="Naira_Dollar_xchg_rate">'[2]Assumption Sheet'!$E$96</definedName>
    <definedName name="name1" localSheetId="3">#REF!</definedName>
    <definedName name="name1">#REF!</definedName>
    <definedName name="name2" localSheetId="3">#REF!</definedName>
    <definedName name="name2">#REF!</definedName>
    <definedName name="Nat_Gas_Consumption_Methanol" localSheetId="3">'[5]Assumption '!$J$164</definedName>
    <definedName name="Nat_Gas_Consumption_Methanol">'Assumption '!$J$164</definedName>
    <definedName name="Nat_Gas_Consumption_Urea">'Assumption '!$J$161</definedName>
    <definedName name="NB_Ibadan_cars">'[7]Assumption Sheet'!$E$62</definedName>
    <definedName name="NB_Ibadan_heavytrucks">'[7]Assumption Sheet'!$E$66</definedName>
    <definedName name="NB_Ibadan_lighttrucks">'[7]Assumption Sheet'!$E$64</definedName>
    <definedName name="NB_Ibadan_lux_buses">'[7]Assumption Sheet'!$E$65</definedName>
    <definedName name="NB_Ibadan_minibuses">'[7]Assumption Sheet'!$E$63</definedName>
    <definedName name="NB_Ibadan_motorcycles">'[7]Assumption Sheet'!$E$67</definedName>
    <definedName name="NB_Magodo_cars">'[7]Assumption Sheet'!$C$62</definedName>
    <definedName name="NB_Magodo_heavytrucks">'[7]Assumption Sheet'!$C$66</definedName>
    <definedName name="NB_Magodo_lighttrucks">'[7]Assumption Sheet'!$C$64</definedName>
    <definedName name="NB_magodo_lux_buses">'[7]Assumption Sheet'!$C$65</definedName>
    <definedName name="NB_Magodo_minibuses">'[7]Assumption Sheet'!$C$63</definedName>
    <definedName name="NB_Magodo_motorcycles">'[7]Assumption Sheet'!$C$67</definedName>
    <definedName name="NB_Ogere_cars">'[7]Assumption Sheet'!$D$62</definedName>
    <definedName name="NB_Ogere_heavytrucks">'[7]Assumption Sheet'!$D$66</definedName>
    <definedName name="NB_Ogere_lighttrucks">'[7]Assumption Sheet'!$D$64</definedName>
    <definedName name="NB_Ogere_lux_buses">'[7]Assumption Sheet'!$D$65</definedName>
    <definedName name="NB_Ogere_minibuses">'[7]Assumption Sheet'!$D$63</definedName>
    <definedName name="NB_Ogere_motorcycles">'[7]Assumption Sheet'!$D$67</definedName>
    <definedName name="NB4th_toll_cars">'[7]Assumption Sheet'!$F$62</definedName>
    <definedName name="NB4th_toll_heavytrucks">'[7]Assumption Sheet'!$F$66</definedName>
    <definedName name="NB4th_toll_lighttrucks">'[7]Assumption Sheet'!$F$64</definedName>
    <definedName name="NB4th_toll_lux_buses">'[7]Assumption Sheet'!$F$65</definedName>
    <definedName name="NB4th_toll_minibuses">'[7]Assumption Sheet'!$F$63</definedName>
    <definedName name="NB4th_toll_motorcycles">'[7]Assumption Sheet'!$F$67</definedName>
    <definedName name="ncas" localSheetId="3">#REF!</definedName>
    <definedName name="ncas">#REF!</definedName>
    <definedName name="Net_VAT">'[7]Assumption Sheet'!$C$99</definedName>
    <definedName name="netcf" localSheetId="3">#REF!</definedName>
    <definedName name="netcf">#REF!</definedName>
    <definedName name="netcf1" localSheetId="3">#REF!</definedName>
    <definedName name="netcf1">#REF!</definedName>
    <definedName name="netcf10" localSheetId="3">#REF!</definedName>
    <definedName name="netcf10">#REF!</definedName>
    <definedName name="netcf11">#REF!</definedName>
    <definedName name="netcf12">#REF!</definedName>
    <definedName name="netcf13">#REF!</definedName>
    <definedName name="netcf14">#REF!</definedName>
    <definedName name="netcf15">#REF!</definedName>
    <definedName name="netcf16">#REF!</definedName>
    <definedName name="netcf17">#REF!</definedName>
    <definedName name="netcf18">#REF!</definedName>
    <definedName name="netcf19">#REF!</definedName>
    <definedName name="netcf2">#REF!</definedName>
    <definedName name="netcf20">#REF!</definedName>
    <definedName name="netcf21">#REF!</definedName>
    <definedName name="netcf22">#REF!</definedName>
    <definedName name="netcf23">#REF!</definedName>
    <definedName name="netcf24">#REF!</definedName>
    <definedName name="netcf3">#REF!</definedName>
    <definedName name="netcf4">#REF!</definedName>
    <definedName name="netcf5">#REF!</definedName>
    <definedName name="netcf6">#REF!</definedName>
    <definedName name="netcf7">#REF!</definedName>
    <definedName name="netcf8">#REF!</definedName>
    <definedName name="netcf9">#REF!</definedName>
    <definedName name="Nig_Inf">'Assumption '!$41:$41</definedName>
    <definedName name="nnn" localSheetId="3">#REF!</definedName>
    <definedName name="nnn">#REF!</definedName>
    <definedName name="No._of_Telecoms_Companies_on_Road_stretch">[8]Assumptions!$E$177</definedName>
    <definedName name="No_daily_on_site_visitors" localSheetId="3">'[3]ASSUMPTION SHEET'!$E$95</definedName>
    <definedName name="No_daily_on_site_visitors">'[4]ASSUMPTION SHEET'!$E$100</definedName>
    <definedName name="No_days_feed_stock">'[15]Assumption '!$E$140</definedName>
    <definedName name="No_days_payables">'[15]Assumption '!$E$138</definedName>
    <definedName name="no_days_per_year">'[6]Assumption Sheet'!$D$41</definedName>
    <definedName name="No_days_receivables">'[15]Assumption '!$E$139</definedName>
    <definedName name="No_Executive_Rms" localSheetId="3">'[3]ASSUMPTION SHEET'!$E$124</definedName>
    <definedName name="No_Executive_Rms">'[4]ASSUMPTION SHEET'!$E$129</definedName>
    <definedName name="No_of_1_bedroom_units">'[9]Assumption Sheet'!$G$130</definedName>
    <definedName name="No_of_2_bedroom_units">'[9]Assumption Sheet'!$G$131</definedName>
    <definedName name="No_of_3_bedroom_duplex">'[9]Assumption Sheet'!$G$133</definedName>
    <definedName name="No_of_3_bedroom_units">'[9]Assumption Sheet'!$G$132</definedName>
    <definedName name="No_of_4_bedroom_duplex">'[9]Assumption Sheet'!$G$134</definedName>
    <definedName name="No_of_4_star_hotels">'[9]Assumption Sheet'!$E$52</definedName>
    <definedName name="No_of_5_bedroom_duplex">'[9]Assumption Sheet'!$G$135</definedName>
    <definedName name="No_of_events_conference_hall">'[9]Assumption Sheet'!$G$123</definedName>
    <definedName name="No_of_events_Exhibition_hall">'[9]Assumption Sheet'!$G$122</definedName>
    <definedName name="No_of_events_meeting_rm_1">'[9]Assumption Sheet'!$G$118</definedName>
    <definedName name="No_of_events_meeting_rm_2">'[9]Assumption Sheet'!$G$119</definedName>
    <definedName name="No_of_events_meeting_rm_3">'[9]Assumption Sheet'!$G$120</definedName>
    <definedName name="No_of_events_meeting_rm_4">'[9]Assumption Sheet'!$G$121</definedName>
    <definedName name="No_of_flrs_for_office_Space">'[10]Cost estimation'!$E$48</definedName>
    <definedName name="no_of_hotel_rms_3_star">'[9]Assumption Sheet'!$E$61</definedName>
    <definedName name="no_of_hotel_rms_4_star">'[9]Assumption Sheet'!$E$54</definedName>
    <definedName name="no_of_hotel_rms_5_star">'[9]Assumption Sheet'!$E$47</definedName>
    <definedName name="No_of_meters_phase_1">'[2]Assumption Sheet'!$E$173</definedName>
    <definedName name="No_of_meters_phase_2">'[2]Assumption Sheet'!$E$174</definedName>
    <definedName name="No_of_On_line_visitors" localSheetId="3">'[3]ASSUMPTION SHEET'!$E$96</definedName>
    <definedName name="No_of_On_line_visitors">'[4]ASSUMPTION SHEET'!$E$101</definedName>
    <definedName name="no_of_penthouse_aptments">'[9]Assumption Sheet'!$E$147</definedName>
    <definedName name="No_of_per_household">'[2]Assumption Sheet'!$E$203</definedName>
    <definedName name="No_of_SqM_per_Hectare">'[16]Assumption Sheet'!$D$50</definedName>
    <definedName name="No_of_Trucks">'[12]Assumption '!#REF!</definedName>
    <definedName name="No_of_wrk_day">'[12]Assumption '!#REF!</definedName>
    <definedName name="No_session_annally" localSheetId="3">'[3]ASSUMPTION SHEET'!$E$42</definedName>
    <definedName name="No_session_annally">'[4]ASSUMPTION SHEET'!$E$44</definedName>
    <definedName name="No_standard_Rms" localSheetId="3">'[3]ASSUMPTION SHEET'!$E$123</definedName>
    <definedName name="No_standard_Rms">'[4]ASSUMPTION SHEET'!$E$128</definedName>
    <definedName name="No_wkg_days_mths">'[12]Assumption '!#REF!</definedName>
    <definedName name="No_Yrs_Initial">'[2]Assumption Sheet'!$E$140</definedName>
    <definedName name="Non_RM_revenue">'[9]Assumption Sheet'!$E$72</definedName>
    <definedName name="Non_tradable_premium">'[7]Assumption Sheet'!$C$88</definedName>
    <definedName name="number_nucs" localSheetId="3">#REF!</definedName>
    <definedName name="number_nucs">#REF!</definedName>
    <definedName name="Number_of_Retail_Execution_Tasks_Per_Month" localSheetId="3">#REF!</definedName>
    <definedName name="Number_of_Retail_Execution_Tasks_Per_Month">#REF!</definedName>
    <definedName name="Number_of_Toll_Gates">[8]Assumptions!$E$173</definedName>
    <definedName name="o" localSheetId="3">#REF!</definedName>
    <definedName name="o">#REF!</definedName>
    <definedName name="O_M_cost_phase_2">'[10]Assumption Sheet'!$F$68</definedName>
    <definedName name="O_M_Cost_Phase_3">'[10]Assumption Sheet'!$F$87</definedName>
    <definedName name="occuapancy_incre_rate">'[1]ASSUMPTION SHEET'!$E$95</definedName>
    <definedName name="occupancy_increase_rate">'[1]ASSUMPTION SHEET'!$E$75</definedName>
    <definedName name="occupancy_rate_first_op_year">'[1]ASSUMPTION SHEET'!$E$93</definedName>
    <definedName name="occupnacy_incr_rate" localSheetId="3">'[3]ASSUMPTION SHEET'!$E$82</definedName>
    <definedName name="occupnacy_incr_rate">'[4]ASSUMPTION SHEET'!$E$87</definedName>
    <definedName name="OD_Ref_rate">'[1]ASSUMPTION SHEET'!$E$233</definedName>
    <definedName name="OD_Spread">'[1]ASSUMPTION SHEET'!$E$234</definedName>
    <definedName name="ODOC_APPLICATIO" localSheetId="3">#REF!</definedName>
    <definedName name="ODOC_APPLICATIO">#REF!</definedName>
    <definedName name="Off_Comm_space_sales_price_Sensitivity" localSheetId="22">'[9]Output Sheet '!$E$23</definedName>
    <definedName name="Off_Comm_space_sales_price_Sensitivity">'[10]Output Sheet '!$D$33</definedName>
    <definedName name="Off_Plan_Sales_Percentage">'[9]Assumption Sheet'!$E$34</definedName>
    <definedName name="Offhire" localSheetId="3">#REF!</definedName>
    <definedName name="Offhire">#REF!</definedName>
    <definedName name="Office_Occupancy_rate">'[9]Assumption Sheet'!$E$92</definedName>
    <definedName name="Office_rent">'[7]Assumption Sheet'!$D$251</definedName>
    <definedName name="Office_rent_increase_rate">'[9]Assumption Sheet'!$E$90</definedName>
    <definedName name="Office_rental_rate_incre_frequency">'[9]Assumption Sheet'!$E$89</definedName>
    <definedName name="office_rental_rate_sensitivity">'[9]Output Sheet '!$E$21</definedName>
    <definedName name="Office_space_rental_rate">'[9]Assumption Sheet'!$E$88</definedName>
    <definedName name="Office_Space_selling_price">'[9]Assumption Sheet'!$E$86</definedName>
    <definedName name="Offplan_funding_amount">'[16]Assumption Sheet'!$D$22</definedName>
    <definedName name="Offplan_funding_percentage">'[16]Assumption Sheet'!$E$22</definedName>
    <definedName name="Offplan_Land_Buyer_Paying_Ins">'[10]Assumption Sheet'!$E$109</definedName>
    <definedName name="Offplan_Land_Buyer_Paying_Outright">'[10]Assumption Sheet'!$E$110</definedName>
    <definedName name="Offplan_sales_percentage">'[1]ASSUMPTION SHEET'!$E$40</definedName>
    <definedName name="Offsite_services">'[12]Assumption '!$F$50</definedName>
    <definedName name="Ogere_toll_operations_start_date">[7]Output!$D$31</definedName>
    <definedName name="oiwea" localSheetId="3">#REF!</definedName>
    <definedName name="oiwea">#REF!</definedName>
    <definedName name="One" localSheetId="3">'[5]Assumption '!$J$27</definedName>
    <definedName name="One">'Assumption '!$J$27</definedName>
    <definedName name="One_Bedspace_room_rate" localSheetId="3">'[3]ASSUMPTION SHEET'!$H$71</definedName>
    <definedName name="One_Bedspace_room_rate">'[4]ASSUMPTION SHEET'!$H$76</definedName>
    <definedName name="One_Phase_Meter_Price">'[6]Assumption Sheet'!#REF!</definedName>
    <definedName name="One_room_bedspace" localSheetId="3">'[3]ASSUMPTION SHEET'!$G$71</definedName>
    <definedName name="One_room_bedspace">'[4]ASSUMPTION SHEET'!$G$76</definedName>
    <definedName name="Onsite_Services">'[12]Assumption '!$F$49</definedName>
    <definedName name="Op_Maint_Cost_Phase_1">'[10]Assumption Sheet'!$F$50</definedName>
    <definedName name="Opening_Inventory">'[12]Assumption '!#REF!</definedName>
    <definedName name="Operating_4th">'[12]Assumption '!$F$75</definedName>
    <definedName name="Operating_cap_3rd">'[12]Assumption '!$F$74</definedName>
    <definedName name="Operating_cap_5th">'[12]Assumption '!$F$76</definedName>
    <definedName name="Operating_capacity_2nd">'[12]Assumption '!$F$73</definedName>
    <definedName name="Operating_capacity_year_1">'[12]Assumption '!$F$72</definedName>
    <definedName name="Operating_Cost">'[9]Assumption Sheet'!$E$73</definedName>
    <definedName name="Operating_days_per_year">'[2]Assumption Sheet'!$E$83</definedName>
    <definedName name="Operation_Year">[8]Assumptions!$E$93</definedName>
    <definedName name="Operting_start_date">'[6]Assumption Sheet'!#REF!</definedName>
    <definedName name="opex" localSheetId="3">#REF!</definedName>
    <definedName name="opex">#REF!</definedName>
    <definedName name="Opex_cost_sensitivty">[6]Output!$D$55</definedName>
    <definedName name="Opex_during_first_yr_deployment">'[2]Assumption Sheet'!$E$68</definedName>
    <definedName name="Opex_in_year1">'[2]Assumption Sheet'!#REF!</definedName>
    <definedName name="Opex_incre_rate" localSheetId="3">'[3]ASSUMPTION SHEET'!$E$165</definedName>
    <definedName name="Opex_incre_rate">'[4]ASSUMPTION SHEET'!$E$203</definedName>
    <definedName name="Opex_inflation_rate">'[6]Assumption Sheet'!$D$71</definedName>
    <definedName name="Opex_inflation_Sensitivity">[6]Output!$D$51</definedName>
    <definedName name="OPEX_Inlfation_rate">[2]Output!$E$28</definedName>
    <definedName name="Opex_Year_one">'[6]Assumption Sheet'!$D$93</definedName>
    <definedName name="Opex_Year_Two">'[6]Assumption Sheet'!$D$94</definedName>
    <definedName name="opex1" localSheetId="3">#REF!</definedName>
    <definedName name="opex1">#REF!</definedName>
    <definedName name="opex10" localSheetId="3">#REF!</definedName>
    <definedName name="opex10">#REF!</definedName>
    <definedName name="opex11" localSheetId="3">#REF!</definedName>
    <definedName name="opex11">#REF!</definedName>
    <definedName name="opex12">#REF!</definedName>
    <definedName name="opex13">#REF!</definedName>
    <definedName name="opex14">#REF!</definedName>
    <definedName name="opex15">#REF!</definedName>
    <definedName name="opex16">#REF!</definedName>
    <definedName name="opex17">#REF!</definedName>
    <definedName name="opex18">#REF!</definedName>
    <definedName name="opex19">#REF!</definedName>
    <definedName name="opex2">#REF!</definedName>
    <definedName name="opex20">#REF!</definedName>
    <definedName name="opex21">#REF!</definedName>
    <definedName name="opex22">#REF!</definedName>
    <definedName name="opex23">#REF!</definedName>
    <definedName name="opex24">#REF!</definedName>
    <definedName name="opex3">#REF!</definedName>
    <definedName name="opex4">#REF!</definedName>
    <definedName name="opex5">#REF!</definedName>
    <definedName name="opex6">#REF!</definedName>
    <definedName name="opex7">#REF!</definedName>
    <definedName name="opex8">#REF!</definedName>
    <definedName name="opex9">#REF!</definedName>
    <definedName name="Ops_duration" localSheetId="3">'[5]Input '!$F$56</definedName>
    <definedName name="Ops_duration">'Input '!$F$56</definedName>
    <definedName name="Ops_end" localSheetId="3">'[5]Input '!$F$57</definedName>
    <definedName name="Ops_end">'Input '!$F$57</definedName>
    <definedName name="Ops_end_Train_1">'Input '!$F$53</definedName>
    <definedName name="Ops_start" localSheetId="3">'[5]Input '!$F$55</definedName>
    <definedName name="Ops_start">'Input '!$F$55</definedName>
    <definedName name="Ops_start_date">'[7]Assumption Sheet'!$C$37</definedName>
    <definedName name="Optimised_Debt" localSheetId="3">#REF!</definedName>
    <definedName name="Optimised_Debt">#REF!</definedName>
    <definedName name="Other_Development">'[6]Assumption Sheet'!$D$14</definedName>
    <definedName name="other_direct_costs">'[15]Assumption '!#REF!</definedName>
    <definedName name="Other_non_room_revenue_perc_of_room_rev">'[1]ASSUMPTION SHEET'!$E$82</definedName>
    <definedName name="other_noncable_nontraffic_revenue">'[7]Assumption Sheet'!$E$268</definedName>
    <definedName name="Other_OPEX_Costs">'[7]Assumption Sheet'!$D$254</definedName>
    <definedName name="Other_payables_days">'[6]Assumption Sheet'!$D$123</definedName>
    <definedName name="Other_product_extraction_rate">'[6]Assumption Sheet'!$D$158</definedName>
    <definedName name="Other_Products" localSheetId="3">'[5]Input '!$F$152</definedName>
    <definedName name="Other_Products">'Input '!$F$152</definedName>
    <definedName name="Other_var_cost" localSheetId="3">'[3]ASSUMPTION SHEET'!$E$149</definedName>
    <definedName name="Other_var_cost">'[4]ASSUMPTION SHEET'!$E$155</definedName>
    <definedName name="Other_variable_cost" localSheetId="3">'[3]ASSUMPTION SHEET'!$E$118</definedName>
    <definedName name="Other_variable_cost">'[4]ASSUMPTION SHEET'!$E$123</definedName>
    <definedName name="Out_Station_Session">'[12]Assumption '!$F$53</definedName>
    <definedName name="Outright_payment_discount">'[16]Assumption Sheet'!$D$154</definedName>
    <definedName name="overdraft_as_a_percentg_of_hotel_ops_cost">'[1]ASSUMPTION SHEET'!$E$230</definedName>
    <definedName name="Overdraft_interest_rate">'[1]ASSUMPTION SHEET'!$E$235</definedName>
    <definedName name="p_DebtBreakdownA" localSheetId="3">#REF!</definedName>
    <definedName name="p_DebtBreakdownA">#REF!</definedName>
    <definedName name="p_DebtBreakdownB" localSheetId="3">#REF!</definedName>
    <definedName name="p_DebtBreakdownB">#REF!</definedName>
    <definedName name="p_DebtBreakdownC" localSheetId="3">#REF!</definedName>
    <definedName name="p_DebtBreakdownC">#REF!</definedName>
    <definedName name="p_DebtBreakdownD">#REF!</definedName>
    <definedName name="p_DebtSummary">#REF!</definedName>
    <definedName name="p_DiscretionaryDebt">#REF!</definedName>
    <definedName name="p_InterestExp">#REF!</definedName>
    <definedName name="p_MandatoryDebt">#REF!</definedName>
    <definedName name="PAGE_5C">#REF!</definedName>
    <definedName name="PAGE4">#REF!</definedName>
    <definedName name="PAGE4A">#REF!</definedName>
    <definedName name="PAGE5">#REF!</definedName>
    <definedName name="PAGE5A">#REF!</definedName>
    <definedName name="PAGE5B">#REF!</definedName>
    <definedName name="PAGE6">#REF!</definedName>
    <definedName name="Payables_days">'[6]Assumption Sheet'!$D$122</definedName>
    <definedName name="PDSI" localSheetId="3">#REF!</definedName>
    <definedName name="PDSI">#REF!</definedName>
    <definedName name="Peectg_incre_in_inventory" localSheetId="3">'[12]Assumption '!#REF!</definedName>
    <definedName name="Peectg_incre_in_inventory">'[12]Assumption '!#REF!</definedName>
    <definedName name="Penthouse_sales_year">'[9]Assumption Sheet'!$E$150</definedName>
    <definedName name="Percentage_of_land_sold_Outright">'[16]Assumption Sheet'!$D$176</definedName>
    <definedName name="Percentage_of_offplan_sold_for_outright_pmt">'[16]Assumption Sheet'!$D$172</definedName>
    <definedName name="Percentage_of_offplan_sold_on_instalmental_basis">'[16]Assumption Sheet'!$D$171</definedName>
    <definedName name="Perct_Export_Sales">'Assumption '!$J$544</definedName>
    <definedName name="Perct_land_sales_off_plan">'[10]Assumption Sheet'!$E$106</definedName>
    <definedName name="Perct_land_sales_post_comp">'[10]Assumption Sheet'!$E$107</definedName>
    <definedName name="Perct_Local_Sales">'Assumption '!$J$543</definedName>
    <definedName name="perct_weekend_events">'[1]ASSUMPTION SHEET'!#REF!</definedName>
    <definedName name="perctg_basic_consumers">'[2]Assumption Sheet'!$E$113</definedName>
    <definedName name="perctg_instit_consumers">'[2]Assumption Sheet'!$E$114</definedName>
    <definedName name="Perctg_One_Phase_Meter_Imported">'[6]Assumption Sheet'!#REF!</definedName>
    <definedName name="perctg_sales_comm_space">'[9]Assumption Sheet'!$E$101</definedName>
    <definedName name="Perctg_sales_office_space">'[9]Assumption Sheet'!$E$81</definedName>
    <definedName name="Perctg_smart_Meter_Imported">'[6]Assumption Sheet'!#REF!</definedName>
    <definedName name="Perctg_sold_Installmentally">'[2]Assumption Sheet'!$E$168</definedName>
    <definedName name="perctg_sold_outright">'[2]Assumption Sheet'!$E$169</definedName>
    <definedName name="Perctg_three_Phase_Meter_Imported">'[6]Assumption Sheet'!#REF!</definedName>
    <definedName name="Period_to_pay_loan_commitment_fees">'[7]Assumption Sheet'!$C$353</definedName>
    <definedName name="Period_to_pay_loan_commitment_fees_1">'[6]Assumption Sheet'!$D$372</definedName>
    <definedName name="Period_to_pay_loan_commitment_fees_2">'[6]Assumption Sheet'!$D$373</definedName>
    <definedName name="Period_to_pay_loan_commitment_fees_3">'[6]Assumption Sheet'!$D$374</definedName>
    <definedName name="Period_to_pay_loan_commitment_fees_4">'[6]Assumption Sheet'!$D$375</definedName>
    <definedName name="period_to_pay_loan_frontend_fee_2">'[6]Assumption Sheet'!$D$369</definedName>
    <definedName name="Period_to_pay_loan_frontend_fees">'[7]Assumption Sheet'!$C$352</definedName>
    <definedName name="Period_to_pay_loan_frontend_fees_1">'[6]Assumption Sheet'!$D$368</definedName>
    <definedName name="Period_to_pay_loan_frontend_fees_3">'[6]Assumption Sheet'!$D$370</definedName>
    <definedName name="Period_to_pay_loan_frontend_fees_4">'[6]Assumption Sheet'!$D$371</definedName>
    <definedName name="Periodic_Maint_frequency">'[7]Assumption Sheet'!$C$261</definedName>
    <definedName name="Periodic_Maint_yrs">'[7]Flags &amp; Switches'!$53:$53</definedName>
    <definedName name="Periodic_rental_incr_rate" localSheetId="3">'[3]ASSUMPTION SHEET'!$E$78</definedName>
    <definedName name="Periodic_rental_incr_rate">'[4]ASSUMPTION SHEET'!$E$83</definedName>
    <definedName name="periodic_rental_incre_rate">'[2]Assumption Sheet'!$E$112</definedName>
    <definedName name="Periodic_Tech_Maintenace">'[2]Assumption Sheet'!$E$67</definedName>
    <definedName name="Periodic_tech_maintenace_per_meter">'[2]Assumption Sheet'!$E$184</definedName>
    <definedName name="Periodicity" localSheetId="3">'[5]Input '!$F$35</definedName>
    <definedName name="Periodicity">'Input '!$F$35</definedName>
    <definedName name="PFS_extraction_rate">'[6]Assumption Sheet'!$D$156</definedName>
    <definedName name="Phase_1_capex_percentage">'[10]Assumption Sheet'!$E$245</definedName>
    <definedName name="Phase_2_capex_percentage">'[10]Assumption Sheet'!$E$246</definedName>
    <definedName name="Phase_3_capex_percentage">'[10]Assumption Sheet'!$E$247</definedName>
    <definedName name="Phase_One_Light_Industry_Rate">'[10]Assumption Sheet'!$E$456</definedName>
    <definedName name="Phase_One_rental_commercial">'[10]Assumption Sheet'!$E$471</definedName>
    <definedName name="Phase_One_Rental_heavy_industry">'[10]Assumption Sheet'!$E$466</definedName>
    <definedName name="Phase_one_rental_hospitality">'[10]Assumption Sheet'!$E$481</definedName>
    <definedName name="Phase_One_Rental_Medium_Industry">'[10]Assumption Sheet'!$E$461</definedName>
    <definedName name="Phase_One_rental_residential">'[10]Assumption Sheet'!$E$476</definedName>
    <definedName name="Phase_Three_rental_heavy_industry">'[10]Assumption Sheet'!$E$468</definedName>
    <definedName name="Phase_Three_rental_Light_Industry">'[10]Assumption Sheet'!$E$458</definedName>
    <definedName name="Phase_Three_rental_Medium_Industry">'[10]Assumption Sheet'!$E$463</definedName>
    <definedName name="Phase_three_rental_rate">'[10]Assumption Sheet'!$E$473</definedName>
    <definedName name="Phase_three_residential">'[10]Assumption Sheet'!$E$478</definedName>
    <definedName name="Phase_two_rental_commercial">'[10]Assumption Sheet'!$E$472</definedName>
    <definedName name="Phase_two_rental_heavy_industry">'[10]Assumption Sheet'!$E$467</definedName>
    <definedName name="Phase_Two_Rental_hospitality">'[10]Assumption Sheet'!$E$482</definedName>
    <definedName name="Phase_Two_Rental_Medium_Industry">'[10]Assumption Sheet'!$E$462</definedName>
    <definedName name="Phase_Two_Rental_Rate_Light_Industry">'[10]Assumption Sheet'!$E$457</definedName>
    <definedName name="Phase_two_rental_residential">'[10]Assumption Sheet'!$E$477</definedName>
    <definedName name="PHASE61" localSheetId="3">#REF!</definedName>
    <definedName name="PHASE61">#REF!</definedName>
    <definedName name="Pickup_driver_salary" localSheetId="3">'[12]Assumption '!#REF!</definedName>
    <definedName name="Pickup_driver_salary">'[12]Assumption '!#REF!</definedName>
    <definedName name="Pipe_Line_Construction_Cost">'[6]Assumption Sheet'!$D$16</definedName>
    <definedName name="PJAM3Yr" localSheetId="3">#REF!</definedName>
    <definedName name="PJAM3Yr">#REF!</definedName>
    <definedName name="Plant_availability">'Input '!$F$22</definedName>
    <definedName name="Plant_Operating_Days">'[6]Assumption Sheet'!$D$64</definedName>
    <definedName name="Plant_Option">'Assumption '!$J$102</definedName>
    <definedName name="Plant_utilisation_after_year_one_operation">'[6]Assumption Sheet'!$E$143</definedName>
    <definedName name="Plant_utilisation_Year_one_operation">'[6]Assumption Sheet'!$E$142</definedName>
    <definedName name="Pole_Mounted_Meter">'[6]Assumption Sheet'!#REF!</definedName>
    <definedName name="Pole_Mounted_Meter_Imported">'[6]Assumption Sheet'!#REF!</definedName>
    <definedName name="porcelaine_household_proj" localSheetId="3">#REF!</definedName>
    <definedName name="porcelaine_household_proj">#REF!</definedName>
    <definedName name="Post_completion_instal">'[10]Assumption Sheet'!$E$113</definedName>
    <definedName name="Post_Money_Switch" localSheetId="3">#REF!</definedName>
    <definedName name="Post_Money_Switch">#REF!</definedName>
    <definedName name="Power_comm_eng_phs1">'[10]Assumption Sheet'!$F$40</definedName>
    <definedName name="Power_Switch" localSheetId="3">'[5]Assumption '!$J$107</definedName>
    <definedName name="Power_Switch">'Assumption '!$J$107</definedName>
    <definedName name="Power_utility_Cost" localSheetId="3">'[3]ASSUMPTION SHEET'!$E$66</definedName>
    <definedName name="Power_utility_Cost">'[4]ASSUMPTION SHEET'!$E$69</definedName>
    <definedName name="Power_Utilty_cost" localSheetId="3">'[3]ASSUMPTION SHEET'!$E$116</definedName>
    <definedName name="Power_Utilty_cost">'[4]ASSUMPTION SHEET'!$E$121</definedName>
    <definedName name="PP" localSheetId="3">#REF!</definedName>
    <definedName name="PP">#REF!</definedName>
    <definedName name="PP_costs" localSheetId="3">#REF!</definedName>
    <definedName name="PP_costs">#REF!</definedName>
    <definedName name="PPVOL" localSheetId="3">#REF!</definedName>
    <definedName name="PPVOL">#REF!</definedName>
    <definedName name="pr">#REF!</definedName>
    <definedName name="Pre_Opening_Cost">'[1]ASSUMPTION SHEET'!$E$12</definedName>
    <definedName name="pre_operational_exp">'[6]Assumption Sheet'!$D$13</definedName>
    <definedName name="Preliminary_Mobilisation_">'[10]Assumption Sheet'!$F$33</definedName>
    <definedName name="price_1_bedroom_apt">'[9]Assumption Sheet'!$E$130</definedName>
    <definedName name="price_2_bedroom_apt">'[9]Assumption Sheet'!$E$131</definedName>
    <definedName name="price_3_bedroom_apt">'[9]Assumption Sheet'!$E$132</definedName>
    <definedName name="price_3_bedroom_duplex">'[9]Assumption Sheet'!$E$133</definedName>
    <definedName name="Price_4_bedroom_detached">'[10]Assumption Sheet'!$I$232</definedName>
    <definedName name="price_4_bedroom_duplex">'[9]Assumption Sheet'!$E$134</definedName>
    <definedName name="Price_4_bedroom_semi_detached">'[10]Assumption Sheet'!$I$231</definedName>
    <definedName name="Price_4_Bedroom_Terrace">'[10]Assumption Sheet'!$I$233</definedName>
    <definedName name="price_5_bedroom_duplex">'[9]Assumption Sheet'!$E$135</definedName>
    <definedName name="Price_Block_flats_type_1">'[10]Assumption Sheet'!$I$234</definedName>
    <definedName name="Price_Block_flats_Type_2">'[10]Assumption Sheet'!$I$235</definedName>
    <definedName name="Price_Block_of_Flats_3">'[10]Assumption Sheet'!$I$236</definedName>
    <definedName name="Price_Block_of_Flats_6_floors">'[10]Assumption Sheet'!$I$241</definedName>
    <definedName name="Price_incre_frq_recreation">'[9]Assumption Sheet'!$E$155</definedName>
    <definedName name="price_of_penthhouse">'[9]Assumption Sheet'!$E$148</definedName>
    <definedName name="Price_per_attraction">'[9]Assumption Sheet'!$E$161</definedName>
    <definedName name="Price_per_Liter_Naira">'[2]Assumption Sheet'!$E$317</definedName>
    <definedName name="Price_per_unit">'[2]Assumption Sheet'!$E$158</definedName>
    <definedName name="Price_per_Visitor_Aquarium">'[9]Assumption Sheet'!$E$169</definedName>
    <definedName name="Price_per_Visitor_Museum">'[9]Assumption Sheet'!$E$165</definedName>
    <definedName name="PriceSheetNoMargin" localSheetId="3">#REF!</definedName>
    <definedName name="PriceSheetNoMargin">#REF!</definedName>
    <definedName name="Primary_Network">'[2]Assumption Sheet'!$E$45</definedName>
    <definedName name="principal" localSheetId="3">#REF!</definedName>
    <definedName name="principal">#REF!</definedName>
    <definedName name="Principal.2" localSheetId="3">#REF!</definedName>
    <definedName name="Principal.2">#REF!</definedName>
    <definedName name="Principal.3" localSheetId="3">#REF!</definedName>
    <definedName name="Principal.3">#REF!</definedName>
    <definedName name="principal_1">#REF!</definedName>
    <definedName name="print_8">#REF!</definedName>
    <definedName name="_xlnm.Print_Area" localSheetId="3">CONTENTS!$A$1:$P$40</definedName>
    <definedName name="Print_Area2">#REF!</definedName>
    <definedName name="_xlnm.Print_Titles" localSheetId="0">'Mx Monthly'!$1:$6</definedName>
    <definedName name="Prod_Pmt_Vols" localSheetId="3">#REF!</definedName>
    <definedName name="Prod_Pmt_Vols">#REF!</definedName>
    <definedName name="production" localSheetId="3">#REF!</definedName>
    <definedName name="production">#REF!</definedName>
    <definedName name="Production_capacity">'[6]Assumption Sheet'!$E$131</definedName>
    <definedName name="Production_Capacity_Liters">'[6]Assumption Sheet'!$E$132</definedName>
    <definedName name="Production_quipments">'[15]Assumption '!$D$8</definedName>
    <definedName name="production200opt4" localSheetId="3">#REF!</definedName>
    <definedName name="production200opt4">#REF!</definedName>
    <definedName name="production200opt5" localSheetId="3">#REF!</definedName>
    <definedName name="production200opt5">#REF!</definedName>
    <definedName name="production200opt6" localSheetId="3">#REF!</definedName>
    <definedName name="production200opt6">#REF!</definedName>
    <definedName name="production200opt6r">#REF!</definedName>
    <definedName name="production350opt4">#REF!</definedName>
    <definedName name="production350opt5">#REF!</definedName>
    <definedName name="production350opt6">#REF!</definedName>
    <definedName name="production350opt6r">#REF!</definedName>
    <definedName name="production450opt1">#REF!</definedName>
    <definedName name="production450opt1r">#REF!</definedName>
    <definedName name="production450opt2">#REF!</definedName>
    <definedName name="production450opt3">#REF!</definedName>
    <definedName name="production450opt5">#REF!</definedName>
    <definedName name="production450opt6">#REF!</definedName>
    <definedName name="production450opt6r">#REF!</definedName>
    <definedName name="production5001r">#REF!</definedName>
    <definedName name="production500opt1">#REF!</definedName>
    <definedName name="production500opt1r">#REF!</definedName>
    <definedName name="production500opt2">#REF!</definedName>
    <definedName name="production500opt3">#REF!</definedName>
    <definedName name="production550opt1">#REF!</definedName>
    <definedName name="production550opt1r">#REF!</definedName>
    <definedName name="production550opt2">#REF!</definedName>
    <definedName name="production550opt3">#REF!</definedName>
    <definedName name="Prof_Fee_Phs_2">'[10]Assumption Sheet'!$F$62</definedName>
    <definedName name="Prof_fees">'[16]Assumption Sheet'!$D$10</definedName>
    <definedName name="Professional_Fee_Phase_1">'[10]Assumption Sheet'!$F$44</definedName>
    <definedName name="Professional_Fees" localSheetId="22">'[9]Assumption Sheet'!$E$10</definedName>
    <definedName name="Professional_Fees">'[12]Assumption '!$E$23</definedName>
    <definedName name="Professional_Fees_phs_3">'[10]Assumption Sheet'!$F$81</definedName>
    <definedName name="PROFITALL" localSheetId="3">#REF!</definedName>
    <definedName name="PROFITALL">#REF!</definedName>
    <definedName name="proj" localSheetId="3">#REF!</definedName>
    <definedName name="proj">#REF!</definedName>
    <definedName name="Proj_comm_date" localSheetId="3">'[5]Input '!$F$34</definedName>
    <definedName name="Proj_comm_date">'Input '!$F$34</definedName>
    <definedName name="Proj_Mgt_fee">'[18]ASSUMPTION SHEET'!$E$10</definedName>
    <definedName name="Project_Base_Year">'[2]Assumption Sheet'!$E$84</definedName>
    <definedName name="Project_base_yr">'[6]Assumption Sheet'!$D$36</definedName>
    <definedName name="Project_Delivery_Project">'[6]Assumption Sheet'!$D$39</definedName>
    <definedName name="Project_Internal_Rate_of_Return">[2]Output!$E$39</definedName>
    <definedName name="Project_life">'[12]Assumption '!$F$41</definedName>
    <definedName name="Project_mgt">'[15]Assumption '!#REF!</definedName>
    <definedName name="Project_Operations_Start_Date">'[6]Assumption Sheet'!$D$38</definedName>
    <definedName name="Project_start_date" localSheetId="3">'[1]ASSUMPTION SHEET'!$E$44</definedName>
    <definedName name="Project_start_date" localSheetId="22">'[23]ASSUMPTION SHEET'!$E$33</definedName>
    <definedName name="Project_start_date">'[4]ASSUMPTION SHEET'!$E$24</definedName>
    <definedName name="project_start_mths">'[12]Assumption '!$F$39</definedName>
    <definedName name="Project_Start_Yr" localSheetId="24">'[10]Assumption Sheet'!$E$120</definedName>
    <definedName name="Project_Start_Yr" localSheetId="23">'[10]Assumption Sheet'!$E$120</definedName>
    <definedName name="Project_Start_Yr" localSheetId="3">'[10]Assumption Sheet'!$E$120</definedName>
    <definedName name="Project_Start_Yr" localSheetId="36">'[10]Assumption Sheet'!$E$120</definedName>
    <definedName name="Project_Start_Yr" localSheetId="22">'[9]Assumption Sheet'!$E$38</definedName>
    <definedName name="Project_Start_Yr">'[24]Assumption '!$E$33</definedName>
    <definedName name="Project_strt_yrs">'[12]Assumption '!$F$40</definedName>
    <definedName name="Project_Switch" localSheetId="3">'[3]ASSUMPTION SHEET'!$E$4</definedName>
    <definedName name="Project_Switch">'[4]ASSUMPTION SHEET'!$E$4</definedName>
    <definedName name="Project_Timeline">'[1]ASSUMPTION SHEET'!$E$47</definedName>
    <definedName name="prop1" localSheetId="3">#REF!</definedName>
    <definedName name="prop1">#REF!</definedName>
    <definedName name="prop2" localSheetId="3">#REF!</definedName>
    <definedName name="prop2">#REF!</definedName>
    <definedName name="prop3" localSheetId="3">#REF!</definedName>
    <definedName name="prop3">#REF!</definedName>
    <definedName name="prop4">#REF!</definedName>
    <definedName name="prop5">#REF!</definedName>
    <definedName name="pv.date">#REF!</definedName>
    <definedName name="QantaraProd">#REF!</definedName>
    <definedName name="qsqs">#REF!</definedName>
    <definedName name="QtrsinaYr" localSheetId="3">'[5]Assumption '!$J$20</definedName>
    <definedName name="QtrsinaYr">'Assumption '!$J$20</definedName>
    <definedName name="radg" localSheetId="3">#REF!</definedName>
    <definedName name="radg">#REF!</definedName>
    <definedName name="Rail_development_notes_Percentage_OandM">[14]Output!$D$58</definedName>
    <definedName name="Rail_development_notes_percentage_of_total_loan">'[14]Assumption Sheet'!$C$195</definedName>
    <definedName name="Rangers_fees_sensitivity">'[3]OUTPUT SHEET'!$E$49</definedName>
    <definedName name="rate" localSheetId="3">#REF!</definedName>
    <definedName name="rate">#REF!</definedName>
    <definedName name="Rd_Eng_Mun_Pipelines_Phase_3">'[10]Assumption Sheet'!$F$76</definedName>
    <definedName name="Rd_Eng_Munci_Pipls_phs_1">'[10]Assumption Sheet'!$F$39</definedName>
    <definedName name="Rd_Eng_Municipal_Pipe_Phs_2">'[10]Assumption Sheet'!$F$58</definedName>
    <definedName name="RDN_Commitment_fee">'[14]Assumption Sheet'!$C$208</definedName>
    <definedName name="RDN_Coupon_payments_per_year">'[14]Assumption Sheet'!$C$205</definedName>
    <definedName name="RDN_Front_end_fee">'[14]Assumption Sheet'!$C$207</definedName>
    <definedName name="RDN_no._of_repayments_per_year">'[14]Assumption Sheet'!$C$204</definedName>
    <definedName name="RDN_principal">'[14]Assumption Sheet'!$C$206</definedName>
    <definedName name="RDN_total_number_of_repayments">'[14]Assumption Sheet'!$C$203</definedName>
    <definedName name="Real_estate_agency_fee">'[1]ASSUMPTION SHEET'!$E$182</definedName>
    <definedName name="Real_estate_agency_fees">'[9]Assumption Sheet'!$E$212</definedName>
    <definedName name="Real_estate_and_advert_income">[8]Assumptions!$E$174</definedName>
    <definedName name="RealExchangeRate" localSheetId="3">#REF!</definedName>
    <definedName name="RealExchangeRate">#REF!</definedName>
    <definedName name="Receivables_Days">'[6]Assumption Sheet'!$D$121</definedName>
    <definedName name="Recreational_area_operating_days">'[9]Assumption Sheet'!$E$153</definedName>
    <definedName name="Recreational_Price_incre_rate">'[9]Assumption Sheet'!$E$154</definedName>
    <definedName name="Recurrent_maint_freq">'[7]Assumption Sheet'!$C$260</definedName>
    <definedName name="Recurrent_maint_yrs">'[7]Flags &amp; Switches'!$51:$51</definedName>
    <definedName name="Ref" localSheetId="3">#REF!</definedName>
    <definedName name="Ref">#REF!</definedName>
    <definedName name="RefActiveRow" localSheetId="3">#REF!</definedName>
    <definedName name="RefActiveRow">#REF!</definedName>
    <definedName name="RENDEMENT" localSheetId="3">#REF!</definedName>
    <definedName name="RENDEMENT">#REF!</definedName>
    <definedName name="Rent_Conference_Hall">'[9]Assumption Sheet'!$F$123</definedName>
    <definedName name="Rent_Exibition_Hall">'[9]Assumption Sheet'!$F$122</definedName>
    <definedName name="Rent_meeting_rm_1">'[9]Assumption Sheet'!$F$118</definedName>
    <definedName name="Rent_meeting_rm_2">'[9]Assumption Sheet'!$F$119</definedName>
    <definedName name="Rent_meeting_rm_3">'[9]Assumption Sheet'!$F$120</definedName>
    <definedName name="Rent_meeting_rm_4">'[9]Assumption Sheet'!$F$121</definedName>
    <definedName name="rental_rate_commercial_space">'[9]Assumption Sheet'!$E$108</definedName>
    <definedName name="Rental_rate_Increase_Freqency">'[9]Assumption Sheet'!$E$109</definedName>
    <definedName name="rental_rates_sensitivity">'[11]OUTPUT SHEET'!$E$23</definedName>
    <definedName name="Repairs_maintenace_chalet" localSheetId="3">'[3]ASSUMPTION SHEET'!$E$142</definedName>
    <definedName name="Repairs_maintenace_chalet">'[4]ASSUMPTION SHEET'!$E$147</definedName>
    <definedName name="req_return_equity">[15]Output!$C$16</definedName>
    <definedName name="Reqd_ROE">[2]Output!$E$14</definedName>
    <definedName name="Required_ROE" localSheetId="24">'[16]Output Sheet'!$D$27</definedName>
    <definedName name="Required_ROE" localSheetId="23">'[16]Output Sheet'!$D$27</definedName>
    <definedName name="Required_ROE" localSheetId="3">'[16]Output Sheet'!$D$27</definedName>
    <definedName name="Required_ROE" localSheetId="36">'[16]Output Sheet'!$D$27</definedName>
    <definedName name="Required_ROE">[25]Output!$D$41</definedName>
    <definedName name="Res_Value_Contigency">'[6]Assumption Sheet'!$D$206</definedName>
    <definedName name="Res_Value_DTH_license">'[6]Assumption Sheet'!$D$201</definedName>
    <definedName name="Res_Value_Equip_Mach">'[15]Assumption '!$D$158</definedName>
    <definedName name="Res_Value_Furn_Fitting">'[6]Assumption Sheet'!$D$205</definedName>
    <definedName name="Res_Value_Land_Building">'[6]Assumption Sheet'!$D$204</definedName>
    <definedName name="Res_value_Motor_vech">'[6]Assumption Sheet'!$D$202</definedName>
    <definedName name="Res_Value_Plant_Mach_Gen">'[6]Assumption Sheet'!$D$203</definedName>
    <definedName name="Res_value_Tech_infras">'[6]Assumption Sheet'!$D$200</definedName>
    <definedName name="Resi_process_plant">'[15]Assumption '!$D$157</definedName>
    <definedName name="resid" localSheetId="3">#REF!</definedName>
    <definedName name="resid">#REF!</definedName>
    <definedName name="Residual_infra">'[15]Assumption '!$D$154</definedName>
    <definedName name="Residual_val_land_and_Bldg" localSheetId="24">'[4]ASSUMPTION SHEET'!$I$214</definedName>
    <definedName name="Residual_val_land_and_Bldg" localSheetId="23">'[4]ASSUMPTION SHEET'!$I$214</definedName>
    <definedName name="Residual_val_land_and_Bldg" localSheetId="3">'[1]ASSUMPTION SHEET'!$E$154</definedName>
    <definedName name="Residual_val_land_and_Bldg" localSheetId="36">'[4]ASSUMPTION SHEET'!$I$214</definedName>
    <definedName name="Residual_val_land_and_Bldg">'[15]Fixed Asset'!$F$160</definedName>
    <definedName name="Residual_value_eqpt_machnes" localSheetId="24">'[4]ASSUMPTION SHEET'!$I$220</definedName>
    <definedName name="Residual_value_eqpt_machnes" localSheetId="23">'[4]ASSUMPTION SHEET'!$I$220</definedName>
    <definedName name="Residual_value_eqpt_machnes" localSheetId="3">'[3]ASSUMPTION SHEET'!$I$182</definedName>
    <definedName name="Residual_value_eqpt_machnes" localSheetId="36">'[4]ASSUMPTION SHEET'!$I$220</definedName>
    <definedName name="Residual_value_eqpt_machnes">'[15]Fixed Asset'!$F$162</definedName>
    <definedName name="Residual_value_FFE" localSheetId="3">'[1]ASSUMPTION SHEET'!$E$155</definedName>
    <definedName name="Residual_value_FFE">'[15]Fixed Asset'!$F$161</definedName>
    <definedName name="Residual_value_fixed_infrastructure">'[14]Assumption Sheet'!$C$92</definedName>
    <definedName name="Residual_value_furniture_and_fittings">'[12]Assumption '!$E$120</definedName>
    <definedName name="Residual_value_Infrastructure" localSheetId="3">'[3]ASSUMPTION SHEET'!$I$179</definedName>
    <definedName name="Residual_value_Infrastructure">'[4]ASSUMPTION SHEET'!$I$217</definedName>
    <definedName name="residual_value_land_building" localSheetId="22">'[9]Assumption Sheet'!$E$193</definedName>
    <definedName name="Residual_Value_land_building">'[12]Assumption '!$E$118</definedName>
    <definedName name="Residual_Value_Minibuses">'[12]Assumption '!$E$117</definedName>
    <definedName name="Residual_value_Moving_Infrastructure">'[14]Assumption Sheet'!$C$91</definedName>
    <definedName name="Residual_value_Moving_InfrastructureII">'[14]Assumption Sheet'!$C$93</definedName>
    <definedName name="Residual_Value_of_Primary">'[2]Assumption Sheet'!$E$288</definedName>
    <definedName name="Residual_Value_of_Secondary_Network">'[2]Assumption Sheet'!$E$289</definedName>
    <definedName name="Residual_value_of_Tertiary_Network">'[2]Assumption Sheet'!$E$290</definedName>
    <definedName name="Residual_value_office_equip_software">'[12]Assumption '!$E$121</definedName>
    <definedName name="Residual_value_plant_equip">'[12]Assumption '!$E$119</definedName>
    <definedName name="Residual_value_Vehicles">'[1]ASSUMPTION SHEET'!$E$157</definedName>
    <definedName name="Residualvalue_for_Infrastructure">'[7]Assumption Sheet'!$C$117</definedName>
    <definedName name="Residualvalue_for_other_fixedasset">'[7]Assumption Sheet'!$C$120</definedName>
    <definedName name="Residualvalue_for_tollequipment">'[7]Assumption Sheet'!$C$119</definedName>
    <definedName name="Residualvalue_for_tollinfrastructure">'[7]Assumption Sheet'!$C$118</definedName>
    <definedName name="résumé_bilan" localSheetId="3">#REF!</definedName>
    <definedName name="résumé_bilan">#REF!</definedName>
    <definedName name="résumé_cpc" localSheetId="3">#REF!</definedName>
    <definedName name="résumé_cpc">#REF!</definedName>
    <definedName name="retailshops_office_facility_fee">'[1]ASSUMPTION SHEET'!#REF!</definedName>
    <definedName name="Rev_increase_frequency" localSheetId="24">'[7]Assumption Sheet'!$C$98</definedName>
    <definedName name="Rev_increase_frequency" localSheetId="23">'[7]Assumption Sheet'!$C$98</definedName>
    <definedName name="Rev_increase_frequency" localSheetId="3">'[7]Assumption Sheet'!$C$98</definedName>
    <definedName name="Rev_increase_frequency" localSheetId="36">'[7]Assumption Sheet'!$C$98</definedName>
    <definedName name="Rev_increase_frequency">'[6]Assumption Sheet'!$D$75</definedName>
    <definedName name="Revenue_collection_period">'[2]Assumption Sheet'!$E$60</definedName>
    <definedName name="Revenue_Infl_rate">'[7]Assumption Sheet'!$C$91</definedName>
    <definedName name="Revenue_inflation">[8]Assumptions!$E$109</definedName>
    <definedName name="Revenue_Inflation_Rate">'[6]Assumption Sheet'!$D$68</definedName>
    <definedName name="revolver" localSheetId="3">#REF!</definedName>
    <definedName name="revolver">#REF!</definedName>
    <definedName name="Revolver_Interest" localSheetId="3">#REF!</definedName>
    <definedName name="Revolver_Interest">#REF!</definedName>
    <definedName name="rice_at_market">#REF!</definedName>
    <definedName name="Rice_Land">'[15]Assumption '!#REF!</definedName>
    <definedName name="Room_incre_rate" localSheetId="3">'[3]ASSUMPTION SHEET'!$E$130</definedName>
    <definedName name="Room_incre_rate">'[4]ASSUMPTION SHEET'!$E$135</definedName>
    <definedName name="Room_rate_incr_freq" localSheetId="3">'[3]ASSUMPTION SHEET'!$E$76</definedName>
    <definedName name="Room_rate_incr_freq">'[4]ASSUMPTION SHEET'!$E$81</definedName>
    <definedName name="Room_rate_increase_rate">'[20]ASSUMPTION SHEET'!$E$105</definedName>
    <definedName name="Rosa_copernicus_server">'[6]Assumption Sheet'!#REF!</definedName>
    <definedName name="Routine_Maint_Frequency">'[7]Assumption Sheet'!$C$259</definedName>
    <definedName name="Routine_maint_yrs">'[7]Flags &amp; Switches'!$49:$49</definedName>
    <definedName name="Rptdate" localSheetId="3">#REF!</definedName>
    <definedName name="Rptdate">#REF!</definedName>
    <definedName name="RptdatePL" localSheetId="3">#REF!</definedName>
    <definedName name="RptdatePL">#REF!</definedName>
    <definedName name="rse" localSheetId="3">#REF!</definedName>
    <definedName name="rse">#REF!</definedName>
    <definedName name="RT">#REF!</definedName>
    <definedName name="s">#REF!</definedName>
    <definedName name="Salaries_infl">'[7]Flags &amp; Switches'!$38:$38</definedName>
    <definedName name="Salaries_Infl_Rate">'[7]Assumption Sheet'!$C$94</definedName>
    <definedName name="Salary_wages_chalet" localSheetId="3">'[3]ASSUMPTION SHEET'!$E$138</definedName>
    <definedName name="Salary_wages_chalet">'[4]ASSUMPTION SHEET'!$E$143</definedName>
    <definedName name="Sales_commission_percentage">'[16]Assumption Sheet'!$D$165</definedName>
    <definedName name="Sales_Discount">'[12]Assumption '!#REF!</definedName>
    <definedName name="Sales_Prices_of_Commercial_space">'[9]Assumption Sheet'!$E$105</definedName>
    <definedName name="SAN" localSheetId="3">#REF!</definedName>
    <definedName name="SAN">#REF!</definedName>
    <definedName name="sasdfkj" localSheetId="3">#REF!</definedName>
    <definedName name="sasdfkj">#REF!</definedName>
    <definedName name="Sat_Concession_Period">'[6]Assumption Sheet'!#REF!</definedName>
    <definedName name="SB_Ibadan_cars">'[7]Assumption Sheet'!$E$51</definedName>
    <definedName name="SB_Ibadan_heavytrucks">'[7]Assumption Sheet'!$E$55</definedName>
    <definedName name="SB_Ibadan_Lighttrucks">'[7]Assumption Sheet'!$E$53</definedName>
    <definedName name="SB_Ibadan_Lux_buses">'[7]Assumption Sheet'!$E$54</definedName>
    <definedName name="SB_Ibadan_minibuses">'[7]Assumption Sheet'!$E$52</definedName>
    <definedName name="SB_Ibadan_motorcycles">'[7]Assumption Sheet'!$E$56</definedName>
    <definedName name="SB_Magodo_cars">'[7]Assumption Sheet'!$C$51</definedName>
    <definedName name="SB_magodo_heavy_Trucks">'[7]Assumption Sheet'!$C$55</definedName>
    <definedName name="SB_Magodo_light_tucks">'[7]Assumption Sheet'!$C$53</definedName>
    <definedName name="SB_magodo_lux_buses">'[7]Assumption Sheet'!$C$54</definedName>
    <definedName name="SB_Magodo_minibuses">'[7]Assumption Sheet'!$C$52</definedName>
    <definedName name="SB_Magodo_motorCycles">'[7]Assumption Sheet'!$C$56</definedName>
    <definedName name="SB_Ogere_cars">'[7]Assumption Sheet'!$D$51</definedName>
    <definedName name="SB_Ogere_heavyTrucks">'[7]Assumption Sheet'!$D$55</definedName>
    <definedName name="SB_Ogere_lighttrucks">'[7]Assumption Sheet'!$D$53</definedName>
    <definedName name="SB_Ogere_Lux_buses">'[7]Assumption Sheet'!$D$54</definedName>
    <definedName name="SB_ogere_minibuses">'[7]Assumption Sheet'!$D$52</definedName>
    <definedName name="SB_Ogere_motor_cycles">'[7]Assumption Sheet'!$D$56</definedName>
    <definedName name="SB4th_toll_Cars">'[7]Assumption Sheet'!$F$51</definedName>
    <definedName name="SB4th_toll_heavyTrucks">'[7]Assumption Sheet'!$F$55</definedName>
    <definedName name="SB4th_toll_lithtrucks">'[7]Assumption Sheet'!$F$53</definedName>
    <definedName name="SB4th_toll_lux_buses">'[7]Assumption Sheet'!$F$54</definedName>
    <definedName name="SB4th_toll_minibuses">'[7]Assumption Sheet'!$F$52</definedName>
    <definedName name="SB4th_toll_motorcycles">'[7]Assumption Sheet'!$F$56</definedName>
    <definedName name="Scenario" localSheetId="3">#REF!</definedName>
    <definedName name="Scenario">#REF!</definedName>
    <definedName name="Scenarios" localSheetId="3">[26]Input!$J$4:$L$4</definedName>
    <definedName name="Scenarios">[27]Input!$J$4:$L$4</definedName>
    <definedName name="sdafe" localSheetId="3">#REF!</definedName>
    <definedName name="sdafe">#REF!</definedName>
    <definedName name="sdaflkej" localSheetId="3">#REF!</definedName>
    <definedName name="sdaflkej">#REF!</definedName>
    <definedName name="sdas" localSheetId="3">#REF!</definedName>
    <definedName name="sdas">#REF!</definedName>
    <definedName name="sdasd">#REF!</definedName>
    <definedName name="sdfasr">#REF!</definedName>
    <definedName name="sdfdsf">#REF!</definedName>
    <definedName name="sdfg">#REF!</definedName>
    <definedName name="sdfh">#REF!</definedName>
    <definedName name="sdhr">#REF!</definedName>
    <definedName name="SDT_Percentage">'[2]Assumption Sheet'!$E$77</definedName>
    <definedName name="SDT_Switch">'[2]Assumption Sheet'!$E$80</definedName>
    <definedName name="sdz" localSheetId="3">#REF!</definedName>
    <definedName name="sdz">#REF!</definedName>
    <definedName name="Secondary_Network_Stage_1">'[2]Assumption Sheet'!$E$46</definedName>
    <definedName name="Secondary_Network_Stage_2">'[2]Assumption Sheet'!$E$53</definedName>
    <definedName name="Security_services_fees" localSheetId="3">'[3]ASSUMPTION SHEET'!$E$141</definedName>
    <definedName name="Security_services_fees">'[4]ASSUMPTION SHEET'!$E$146</definedName>
    <definedName name="Selected_Fx_rate">'[2]Assumption Sheet'!$E$99</definedName>
    <definedName name="Selling_Price_Incre_factor">'[12]Assumption '!#REF!</definedName>
    <definedName name="Sens_GasPrice" localSheetId="3">'[5]Input '!$E$415</definedName>
    <definedName name="Sens_GasPrice">'Input '!$E$415</definedName>
    <definedName name="Sens_IntRate" localSheetId="3">'[5]Input '!$E$414</definedName>
    <definedName name="Sens_IntRate">'Input '!$E$414</definedName>
    <definedName name="Sens_Maintenance" localSheetId="3">'[5]Input '!$E$413</definedName>
    <definedName name="Sens_Maintenance">'Input '!$E$413</definedName>
    <definedName name="Sens_Opcost" localSheetId="3">'[5]Input '!$E$412</definedName>
    <definedName name="Sens_Opcost">'Input '!$E$412</definedName>
    <definedName name="Sens_productprice" localSheetId="3">'[5]Input '!$E$409</definedName>
    <definedName name="Sens_productprice">'Input '!$E$409</definedName>
    <definedName name="Sens_projectcost" localSheetId="3">'[5]Input '!$E$408</definedName>
    <definedName name="Sens_projectcost">'Input '!$E$408</definedName>
    <definedName name="Service_inflation_rate">'[6]Assumption Sheet'!$D$70</definedName>
    <definedName name="Services_infl">'[7]Flags &amp; Switches'!$37:$37</definedName>
    <definedName name="Services_Infl_rate">'[2]Assumption Sheet'!$E$106</definedName>
    <definedName name="Sewage_Treatment_Equip_phs_2">'[10]Assumption Sheet'!$F$38</definedName>
    <definedName name="sewage_treatment_plant_phs_1">'[10]Assumption Sheet'!$F$37</definedName>
    <definedName name="sfdgsar" localSheetId="3">#REF!</definedName>
    <definedName name="sfdgsar">#REF!</definedName>
    <definedName name="Share_of_JV_Profit">'[6]Assumption Sheet'!#REF!</definedName>
    <definedName name="share_of_profit_rangers_sch">'[3]ASSUMPTION SHEET'!$E$65</definedName>
    <definedName name="Share_of_Revenue">'[1]ASSUMPTION SHEET'!$E$145</definedName>
    <definedName name="Shares_Outstanding" localSheetId="3">#REF!</definedName>
    <definedName name="Shares_Outstanding">#REF!</definedName>
    <definedName name="Shooping_Mall_price_incre_freq">'[1]ASSUMPTION SHEET'!$E$102</definedName>
    <definedName name="Shopping_Mall_incre_rate">'[1]ASSUMPTION SHEET'!$E$101</definedName>
    <definedName name="Shopping_Mall_Mgt_fee">'[1]ASSUMPTION SHEET'!#REF!</definedName>
    <definedName name="Smart_Meter_Price">'[6]Assumption Sheet'!#REF!</definedName>
    <definedName name="SMS_">'[6]Assumption Sheet'!#REF!</definedName>
    <definedName name="solver_adj" localSheetId="3">#REF!</definedName>
    <definedName name="solver_adj">#REF!</definedName>
    <definedName name="solver_opt" localSheetId="3">#REF!</definedName>
    <definedName name="solver_opt">#REF!</definedName>
    <definedName name="Space_per_office_floor">'[10]Cost estimation'!$E$49</definedName>
    <definedName name="Spare_Parts">'[12]Assumption '!#REF!</definedName>
    <definedName name="sponequity" localSheetId="3">#REF!</definedName>
    <definedName name="sponequity">#REF!</definedName>
    <definedName name="Spread_on_ECA_Interest_rate">'[14]Assumption Sheet'!$C$214</definedName>
    <definedName name="ssss" localSheetId="3">#REF!</definedName>
    <definedName name="ssss">#REF!</definedName>
    <definedName name="Staff_Cost" localSheetId="3">'[3]ASSUMPTION SHEET'!$E$117</definedName>
    <definedName name="Staff_Cost">'[4]ASSUMPTION SHEET'!$E$122</definedName>
    <definedName name="Staff_periodic_cost_per_meter">'[2]Assumption Sheet'!$E$183</definedName>
    <definedName name="staffing" localSheetId="3">#REF!</definedName>
    <definedName name="staffing">#REF!</definedName>
    <definedName name="stands" localSheetId="3">#REF!</definedName>
    <definedName name="stands">#REF!</definedName>
    <definedName name="stands1" localSheetId="3">#REF!</definedName>
    <definedName name="stands1">#REF!</definedName>
    <definedName name="Start_gas">#REF!</definedName>
    <definedName name="Stationary_cost">'[12]Assumption '!#REF!</definedName>
    <definedName name="Stationeries">'[7]Assumption Sheet'!$D$253</definedName>
    <definedName name="Std_rm_price" localSheetId="3">'[3]ASSUMPTION SHEET'!$E$126</definedName>
    <definedName name="Std_rm_price">'[4]ASSUMPTION SHEET'!$E$131</definedName>
    <definedName name="Still_Gas_extraction_rate">'[6]Assumption Sheet'!$D$154</definedName>
    <definedName name="student_participation_rate_first_op_year" localSheetId="3">'[3]ASSUMPTION SHEET'!$E$43</definedName>
    <definedName name="student_participation_rate_first_op_year">'[4]ASSUMPTION SHEET'!$E$45</definedName>
    <definedName name="Subscription" localSheetId="3">#REF!</definedName>
    <definedName name="Subscription">#REF!</definedName>
    <definedName name="sum" localSheetId="3">#REF!</definedName>
    <definedName name="sum">#REF!</definedName>
    <definedName name="swap" localSheetId="3">#REF!</definedName>
    <definedName name="swap">#REF!</definedName>
    <definedName name="Switches_">'[6]Assumption Sheet'!#REF!</definedName>
    <definedName name="table">'[28]PPI-ALL'!$I$3:$J$2381</definedName>
    <definedName name="table1" localSheetId="3">#REF!</definedName>
    <definedName name="table1">#REF!</definedName>
    <definedName name="table2" localSheetId="3">#REF!</definedName>
    <definedName name="table2">#REF!</definedName>
    <definedName name="tar" localSheetId="3">#REF!</definedName>
    <definedName name="tar">#REF!</definedName>
    <definedName name="Target_population">'[2]Assumption Sheet'!$E$201</definedName>
    <definedName name="Tarif_Increase_Rate">'[2]Assumption Sheet'!$E$324</definedName>
    <definedName name="Tariff_consumer_institutional">'[2]Assumption Sheet'!$E$110</definedName>
    <definedName name="Tariff_increase_frequency_switch">[8]Assumptions!$E$110</definedName>
    <definedName name="Tariff_Increase_rate_percentage">[2]Output!$E$31</definedName>
    <definedName name="Tarrif_Sensitivity">[7]Output!$D$37</definedName>
    <definedName name="Tax" localSheetId="3">'[5]Assumption '!$J$423</definedName>
    <definedName name="Tax">'Assumption '!$J$439</definedName>
    <definedName name="Tax_Holiday" localSheetId="3">'[1]ASSUMPTION SHEET'!$E$135</definedName>
    <definedName name="Tax_Holiday">'[2]Assumption Sheet'!$E$102</definedName>
    <definedName name="Tax_holiday_sensitivty">[6]Output!$D$65</definedName>
    <definedName name="Tax_rate" localSheetId="24">'[4]ASSUMPTION SHEET'!$E$194</definedName>
    <definedName name="Tax_rate" localSheetId="23">'[4]ASSUMPTION SHEET'!$E$194</definedName>
    <definedName name="Tax_rate" localSheetId="3">'[1]ASSUMPTION SHEET'!$E$133</definedName>
    <definedName name="Tax_rate" localSheetId="36">'[4]ASSUMPTION SHEET'!$E$194</definedName>
    <definedName name="Tax_Rate" localSheetId="22">'[9]Assumption Sheet'!$E$182</definedName>
    <definedName name="Tax_Rate">'[24]Assumption '!$E$40</definedName>
    <definedName name="Taxi_Drivers_emolument">'[12]Assumption '!#REF!</definedName>
    <definedName name="Tech_Maint_m3">'[2]Assumption Sheet'!#REF!</definedName>
    <definedName name="Ten_year_instal_reve_clas">'[6]Assumption Sheet'!$D$95</definedName>
    <definedName name="term_value" localSheetId="3">#REF!</definedName>
    <definedName name="term_value">#REF!</definedName>
    <definedName name="terminal_year" localSheetId="3">#REF!</definedName>
    <definedName name="terminal_year">#REF!</definedName>
    <definedName name="Tertiary_Network_Phase_1">'[2]Assumption Sheet'!$E$47</definedName>
    <definedName name="Tertiary_Network_Phase_2">'[2]Assumption Sheet'!$E$54</definedName>
    <definedName name="Test2" localSheetId="3">#REF!</definedName>
    <definedName name="Test2">#REF!</definedName>
    <definedName name="Test3" localSheetId="3">#REF!</definedName>
    <definedName name="Test3">#REF!</definedName>
    <definedName name="test4" localSheetId="3">#REF!</definedName>
    <definedName name="test4">#REF!</definedName>
    <definedName name="Thirty_five_percent_compl_time_months">'[16]Assumption Sheet'!$D$45</definedName>
    <definedName name="ThirtyFive_Per_Completion_Time">'[16]Assumption Sheet'!$D$44</definedName>
    <definedName name="ThisWorkbook.Scenario_Analysis" localSheetId="3">#REF!</definedName>
    <definedName name="ThisWorkbook.Scenario_Analysis">#REF!</definedName>
    <definedName name="Three_Phase_Meter_Price">'[6]Assumption Sheet'!#REF!</definedName>
    <definedName name="TICC">'[9]Assumption Sheet'!$E$6</definedName>
    <definedName name="Tilapia_Export">'[15]Assumption '!#REF!</definedName>
    <definedName name="Tolerance" localSheetId="5">'Assumption '!$J$28</definedName>
    <definedName name="Tolerance" localSheetId="12">#REF!</definedName>
    <definedName name="Tolerance" localSheetId="3">#REF!</definedName>
    <definedName name="Tolerance">[19]Input!$E$11</definedName>
    <definedName name="Tolerance_Rate">'Input '!$F$11</definedName>
    <definedName name="Total_Boundaries">'[6]Assumption Sheet'!$D$12</definedName>
    <definedName name="Total_Buildable_Area">'[9]Assumption Sheet'!#REF!</definedName>
    <definedName name="Total_cabling_revenue_per_ann">'[7]Assumption Sheet'!$E$267</definedName>
    <definedName name="Total_Capex" localSheetId="22">'[9]Assumption Sheet'!$E$13</definedName>
    <definedName name="Total_Capex">'[2]Assumption Sheet'!$E$70</definedName>
    <definedName name="Total_Capital_Cost">'[12]Assumption '!$E$21</definedName>
    <definedName name="Total_commercial_space">'[9]Assumption Sheet'!$E$100</definedName>
    <definedName name="Total_Constr_Cost">'[9]Assumption Sheet'!$E$8</definedName>
    <definedName name="Total_Contigency">'[6]Assumption Sheet'!#REF!</definedName>
    <definedName name="Total_Fund">'[10]Assumption Sheet'!$F$101</definedName>
    <definedName name="total_Grd_flr_for_Exibition_hall">'[1]ASSUMPTION SHEET'!$E$51</definedName>
    <definedName name="Total_infrastrcuture_Const_Cost_Dollars">'[2]Assumption Sheet'!$E$59</definedName>
    <definedName name="Total_Labour_Cost_yr1">'[7]Assumption Sheet'!$G$231</definedName>
    <definedName name="Total_Land_Area_Hectares">'[16]Assumption Sheet'!$D$51</definedName>
    <definedName name="Total_LAnd_Area_SqM">'[16]Assumption Sheet'!$D$52</definedName>
    <definedName name="Total_Land_Ava_sales">'[10]Revenue Land '!$D$71</definedName>
    <definedName name="Total_Land_SqM">'[16]Assumption Sheet'!$F$114</definedName>
    <definedName name="Total_Land_to_Aso_Hills">'[16]Assumption Sheet'!$D$130</definedName>
    <definedName name="Total_leasable_comm_space">'[9]Assumption Sheet'!$E$104</definedName>
    <definedName name="Total_leasable_space">'[9]Assumption Sheet'!$E$84</definedName>
    <definedName name="Total_no_Lodges_Eco_lodge_2">'[1]ASSUMPTION SHEET'!$E$67</definedName>
    <definedName name="Total_no_of_2_bed_Condos">'[1]ASSUMPTION SHEET'!$E$52</definedName>
    <definedName name="Total_no_of_Eco_Lodge_1">'[1]ASSUMPTION SHEET'!$E$66</definedName>
    <definedName name="Total_no_of_households">'[2]Assumption Sheet'!$E$204</definedName>
    <definedName name="Total_no_of_repayments_of_mezannine_finance">'[14]Assumption Sheet'!$C$235</definedName>
    <definedName name="Total_office_space">'[9]Assumption Sheet'!$E$80</definedName>
    <definedName name="Total_Office_Space_Sold">'[9]Assumption Sheet'!$E$83</definedName>
    <definedName name="Total_Phase_1_cost">'[2]Assumption Sheet'!$E$51</definedName>
    <definedName name="Total_Phase_2">'[2]Assumption Sheet'!$E$57</definedName>
    <definedName name="Total_Project">'[12]Assumption '!$E$25</definedName>
    <definedName name="Total_Project_Cost" localSheetId="24">'[7]Assumption Sheet'!$C$14</definedName>
    <definedName name="Total_Project_Cost" localSheetId="23">'[7]Assumption Sheet'!$C$14</definedName>
    <definedName name="Total_Project_Cost" localSheetId="3">'[7]Assumption Sheet'!$C$14</definedName>
    <definedName name="Total_Project_Cost" localSheetId="36">'[7]Assumption Sheet'!$C$14</definedName>
    <definedName name="Total_Project_Cost">'[6]Assumption Sheet'!$D$26</definedName>
    <definedName name="Total_Project_Cost_Including_Financing_Cost" localSheetId="22">'[9]Assumption Sheet'!$E$15</definedName>
    <definedName name="Total_Project_Cost_including_Financing_cost">'[2]Assumption Sheet'!$E$72</definedName>
    <definedName name="Total_Project_cost_with_interest" localSheetId="3">'[1]ASSUMPTION SHEET'!$E$18</definedName>
    <definedName name="Total_Project_cost_with_interest">'[4]ASSUMPTION SHEET'!$E$12</definedName>
    <definedName name="Total_Project_Cost_without_interest" localSheetId="3">'[1]ASSUMPTION SHEET'!$E$14</definedName>
    <definedName name="Total_Project_Cost_without_interest">'[4]ASSUMPTION SHEET'!$E$10</definedName>
    <definedName name="Total_res_land_to_Aso_Hills">'[16]Assumption Sheet'!$D$124</definedName>
    <definedName name="Total_res_land_to_FCTA">'[16]Assumption Sheet'!$D$138</definedName>
    <definedName name="Total_Res_Plots_to_Aso_Hills">'[16]Assumption Sheet'!$E$124</definedName>
    <definedName name="Total_res_plots_to_FCTA">'[16]Assumption Sheet'!$E$138</definedName>
    <definedName name="Total_Residential_plots">'[16]Assumption Sheet'!$G$95</definedName>
    <definedName name="Total_Residential_SqM">'[16]Assumption Sheet'!$F$95</definedName>
    <definedName name="Total_Salaries_yr1">'[7]Assumption Sheet'!$G$198</definedName>
    <definedName name="Total_Sold_Comm_Space">'[9]Assumption Sheet'!$E$103</definedName>
    <definedName name="Total_Utilities_maint_cost_yr1">'[7]Assumption Sheet'!$F$246</definedName>
    <definedName name="Total_water_treated_per_hr">'[2]Assumption Sheet'!$E$228</definedName>
    <definedName name="Total_Year_1_Payments">'[16]Assumption Sheet'!$D$195</definedName>
    <definedName name="Total_Year_1_Pmt">'[10]Assumption Sheet'!$E$117</definedName>
    <definedName name="Total_Year_2_Pmt">'[10]Assumption Sheet'!$F$117</definedName>
    <definedName name="Total_yr2_payments">'[16]Assumption Sheet'!$E$195</definedName>
    <definedName name="TR" localSheetId="3">#REF!</definedName>
    <definedName name="TR">#REF!</definedName>
    <definedName name="Tracking_Software">'[12]Assumption '!$E$13</definedName>
    <definedName name="Traffic_data_sensitivity">[7]Output!$D$36</definedName>
    <definedName name="Traffic_growth_rate_per_annum">'[7]Assumption Sheet'!$C$72</definedName>
    <definedName name="Traffic_signboard">'[10]Assumption Sheet'!$F$34</definedName>
    <definedName name="Train_1_Ops_Start" localSheetId="3">'[5]Input '!$F$51</definedName>
    <definedName name="Train_1_Ops_Start">'Input '!$F$51</definedName>
    <definedName name="Trainnin_School_capacity" localSheetId="3">'[3]ASSUMPTION SHEET'!$E$41</definedName>
    <definedName name="Trainnin_School_capacity">'[4]ASSUMPTION SHEET'!$E$43</definedName>
    <definedName name="Trainning_School_First_Operating_Year" localSheetId="3">'[3]ASSUMPTION SHEET'!$E$40</definedName>
    <definedName name="Trainning_School_First_Operating_Year">'[4]ASSUMPTION SHEET'!$E$42</definedName>
    <definedName name="Transport_Logistics">'[15]Assumption '!#REF!</definedName>
    <definedName name="Trucks_Cars_Cost">'[15]Assumption '!#REF!</definedName>
    <definedName name="Tution_Fee_Increase_rate" localSheetId="3">'[3]ASSUMPTION SHEET'!$E$46</definedName>
    <definedName name="Tution_Fee_Increase_rate">'[4]ASSUMPTION SHEET'!$E$48</definedName>
    <definedName name="Two_Bedspace_Room_Rate" localSheetId="3">'[3]ASSUMPTION SHEET'!$H$72</definedName>
    <definedName name="Two_Bedspace_Room_Rate">'[4]ASSUMPTION SHEET'!$H$77</definedName>
    <definedName name="Two_roo_bedspace" localSheetId="3">'[3]ASSUMPTION SHEET'!$G$72</definedName>
    <definedName name="Two_roo_bedspace">'[4]ASSUMPTION SHEET'!$G$77</definedName>
    <definedName name="upconverter_">'[6]Assumption Sheet'!#REF!</definedName>
    <definedName name="Urea_Price">'Input '!$F$150</definedName>
    <definedName name="US_Inf">'Assumption '!$38:$38</definedName>
    <definedName name="USD">'Drop down list'!$H$22</definedName>
    <definedName name="Useful_economic_life_for_fixed_infrastructure">'[14]Assumption Sheet'!$C$89</definedName>
    <definedName name="Useful_economic_life_for_Moving_infrastructure">'[14]Assumption Sheet'!$C$88</definedName>
    <definedName name="Useful_economic_life_movinginfrastructureII">'[14]Assumption Sheet'!$C$90</definedName>
    <definedName name="Users1" localSheetId="3">#REF!</definedName>
    <definedName name="Users1">#REF!</definedName>
    <definedName name="Utilities_power" localSheetId="3">'[3]ASSUMPTION SHEET'!$E$140</definedName>
    <definedName name="Utilities_power">'[4]ASSUMPTION SHEET'!$E$145</definedName>
    <definedName name="v" localSheetId="3">#REF!</definedName>
    <definedName name="v">#REF!</definedName>
    <definedName name="VAA" localSheetId="3">#REF!</definedName>
    <definedName name="VAA">#REF!</definedName>
    <definedName name="value_date" localSheetId="3">#REF!</definedName>
    <definedName name="value_date">#REF!</definedName>
    <definedName name="VAT" localSheetId="3">'[5]Input '!$E$380</definedName>
    <definedName name="VAT">'Input '!$E$380</definedName>
    <definedName name="Vat_" localSheetId="3">'[1]ASSUMPTION SHEET'!$E$16</definedName>
    <definedName name="VAT_">'[6]Assumption Sheet'!$D$20</definedName>
    <definedName name="VAT_Rate">'[6]Assumption Sheet'!$D$53</definedName>
    <definedName name="Vehicle_Cost">'[1]ASSUMPTION SHEET'!$E$11</definedName>
    <definedName name="VI_waste_volume">'[9]Assumption Sheet'!$E$178</definedName>
    <definedName name="Visitors_incre_rate" localSheetId="3">'[3]ASSUMPTION SHEET'!$E$108</definedName>
    <definedName name="Visitors_incre_rate">'[4]ASSUMPTION SHEET'!$E$113</definedName>
    <definedName name="Visitotors_fee_incre_rate" localSheetId="3">'[3]ASSUMPTION SHEET'!$E$110</definedName>
    <definedName name="Visitotors_fee_incre_rate">'[4]ASSUMPTION SHEET'!$E$115</definedName>
    <definedName name="vnbs" localSheetId="3">#REF!</definedName>
    <definedName name="vnbs">#REF!</definedName>
    <definedName name="vsr" localSheetId="3">#REF!</definedName>
    <definedName name="vsr">#REF!</definedName>
    <definedName name="VWE" localSheetId="3">#REF!</definedName>
    <definedName name="VWE">#REF!</definedName>
    <definedName name="WACC" localSheetId="3">'[1]OUTPUT SHEET'!$G$45</definedName>
    <definedName name="WACC">'Input '!$E$403</definedName>
    <definedName name="WACC_sen" localSheetId="3">#REF!</definedName>
    <definedName name="WACC_sen">#REF!</definedName>
    <definedName name="Warehouse_Cost">'[2]Assumption Sheet'!$E$63</definedName>
    <definedName name="Waste_plant_capacity">'[9]Assumption Sheet'!$E$176</definedName>
    <definedName name="waste_plant_utilisation_capacity">'[9]Assumption Sheet'!#REF!</definedName>
    <definedName name="Waste_Price_per_Ton">'[9]Assumption Sheet'!$E$177</definedName>
    <definedName name="waste_volume_incre_rate">'[9]Assumption Sheet'!#REF!</definedName>
    <definedName name="Water_Capacity_incre_rate">'[2]Assumption Sheet'!$E$222</definedName>
    <definedName name="Water_loss_at_beginng_oc_concessn">'[2]Assumption Sheet'!$E$310</definedName>
    <definedName name="Water_loss_cap_rate">'[2]Assumption Sheet'!$E$313</definedName>
    <definedName name="Water_supply_drainage">'[10]Assumption Sheet'!$F$36</definedName>
    <definedName name="Water_Supply_Drainage_Phase_3">'[10]Assumption Sheet'!$F$77</definedName>
    <definedName name="Water_supply_drainage_phs_2">'[10]Assumption Sheet'!$F$59</definedName>
    <definedName name="Water_Treatment_Phase_1">'[10]Assumption Sheet'!$F$35</definedName>
    <definedName name="Water_treatment_plant_capacity">'[2]Assumption Sheet'!$E$226</definedName>
    <definedName name="win.gary" localSheetId="3">#REF!</definedName>
    <definedName name="win.gary">#REF!</definedName>
    <definedName name="Working_Capital" localSheetId="3">'[1]ASSUMPTION SHEET'!$E$13</definedName>
    <definedName name="working_capital">'[15]Assumption '!$D$9</definedName>
    <definedName name="working_capital_sensitivty">[6]Output!$D$53</definedName>
    <definedName name="WORKINGSALL" localSheetId="3">#REF!</definedName>
    <definedName name="WORKINGSALL">#REF!</definedName>
    <definedName name="WPT" localSheetId="3">#REF!</definedName>
    <definedName name="WPT">#REF!</definedName>
    <definedName name="wrn" localSheetId="3">#REF!</definedName>
    <definedName name="wrn">#REF!</definedName>
    <definedName name="wrn.AcqState.">#REF!</definedName>
    <definedName name="wrn.Acquiror.">#REF!</definedName>
    <definedName name="wrn.AcqVal.">#REF!</definedName>
    <definedName name="wrn.Aging._.and._.Trend._.Analysis.">#REF!</definedName>
    <definedName name="wrn.ALL.">#REF!</definedName>
    <definedName name="wrn.BSS.">#REF!</definedName>
    <definedName name="wrn.BTS.">#REF!</definedName>
    <definedName name="wrn.CHART.">#REF!</definedName>
    <definedName name="wrn.Combination.">#REF!</definedName>
    <definedName name="wrn.ComboResults.">#REF!</definedName>
    <definedName name="wrn.ComboState.">#REF!</definedName>
    <definedName name="wrn.Complete._.Report.">#REF!</definedName>
    <definedName name="wrn.Comps.">#REF!</definedName>
    <definedName name="wrn.cotop.">#REF!</definedName>
    <definedName name="wrn.Data.">#REF!</definedName>
    <definedName name="wrn.DEV_SYNTHESE.">#REF!</definedName>
    <definedName name="wrn.Dom.">#REF!</definedName>
    <definedName name="wrn.Exp.">#REF!</definedName>
    <definedName name="wrn.ExpCompSet.">#REF!</definedName>
    <definedName name="wrn.fc">#REF!</definedName>
    <definedName name="wrn.fc12">#REF!</definedName>
    <definedName name="wrn.fcb">#REF!</definedName>
    <definedName name="wrn.FCB.">#REF!</definedName>
    <definedName name="wrn.fcb._dcf">#REF!</definedName>
    <definedName name="wrn.fcb.1">#REF!</definedName>
    <definedName name="wrn.fcb.9">#REF!</definedName>
    <definedName name="wrn.fcb1">#REF!</definedName>
    <definedName name="wrn.fcb10">#REF!</definedName>
    <definedName name="wrn.fcb11">#REF!</definedName>
    <definedName name="wrn.fcb2">#REF!</definedName>
    <definedName name="wrn.fcb2_dcf">#REF!</definedName>
    <definedName name="wrn.fcb3">#REF!</definedName>
    <definedName name="wrn.fcb4">#REF!</definedName>
    <definedName name="wrn.fcb5">#REF!</definedName>
    <definedName name="wrn.fcb6">#REF!</definedName>
    <definedName name="wrn.fcb7">#REF!</definedName>
    <definedName name="wrn.fcb8">#REF!</definedName>
    <definedName name="wrn.fcb9">#REF!</definedName>
    <definedName name="wrn.Financial._.Statements.">#REF!</definedName>
    <definedName name="wrn.Freq_Res.">#REF!</definedName>
    <definedName name="wrn.full.">#REF!</definedName>
    <definedName name="wrn.GEER_report.">#REF!</definedName>
    <definedName name="wrn.graphs.">#REF!</definedName>
    <definedName name="wrn.gth.">#REF!</definedName>
    <definedName name="wrn.IVTI_Rep.">#REF!</definedName>
    <definedName name="wrn.JODM._.Graphs.">#REF!</definedName>
    <definedName name="wrn.Main._.Fields.">#REF!</definedName>
    <definedName name="wrn.new.">#REF!</definedName>
    <definedName name="wrn.ONTK.">#REF!</definedName>
    <definedName name="wrn.PLX.">#REF!</definedName>
    <definedName name="wrn.PriceSheetNoMargins.">#REF!</definedName>
    <definedName name="wrn.pricesheetNoMarkgin1">#REF!</definedName>
    <definedName name="wrn.Print._.All.">#REF!</definedName>
    <definedName name="wrn.print._.graphs.">#REF!</definedName>
    <definedName name="wrn.Print._.Model." localSheetId="3" hidden="1">{#N/A,#N/A,TRUE,"Contents";#N/A,#N/A,TRUE,"Scenarios";#N/A,#N/A,TRUE,"SensitivitiesPower";#N/A,#N/A,TRUE,"SensitivitiesGas";#N/A,#N/A,TRUE,"SensitivitiesWater";#N/A,#N/A,TRUE,"Fixed Cost allocation table";#N/A,#N/A,TRUE,"Fixed Cost SWS Forecast";#N/A,#N/A,TRUE,"Revenue per Client";#N/A,#N/A,TRUE,"Supply margin per Client";#N/A,#N/A,TRUE,"DCFCoverPower";#N/A,#N/A,TRUE,"Power Volume &amp; Price Forecast";#N/A,#N/A,TRUE,"Assumption Book";#N/A,#N/A,TRUE,"RevenuesPower";#N/A,#N/A,TRUE,"Power Pricing";#N/A,#N/A,TRUE,"CostsPower";#N/A,#N/A,TRUE,"Power Fixco Allocation&amp;Forecast";#N/A,#N/A,TRUE,"WaccCompPower";#N/A,#N/A,TRUE,"WaccPower";#N/A,#N/A,TRUE,"MatrixPower";#N/A,#N/A,TRUE,"DCFCoverGas";#N/A,#N/A,TRUE,"CostGas";#N/A,#N/A,TRUE,"RevenuesGas";#N/A,#N/A,TRUE,"Gas Fixco Allocation&amp;Forecast";#N/A,#N/A,TRUE,"Gas Volume &amp; Price Forecast";#N/A,#N/A,TRUE,"WaccGas";#N/A,#N/A,TRUE,"WaccCompGas";#N/A,#N/A,TRUE,"MatrixGas";#N/A,#N/A,TRUE,"DCFCoverWater";#N/A,#N/A,TRUE,"Water Volume &amp; Price Forecast";#N/A,#N/A,TRUE,"Water Pricing";#N/A,#N/A,TRUE,"RevenuesWater";#N/A,#N/A,TRUE,"CostWater";#N/A,#N/A,TRUE,"WaccCompWater";#N/A,#N/A,TRUE,"WaccWater";#N/A,#N/A,TRUE,"MatrixWater";#N/A,#N/A,TRUE,"DCFCoverVersorgung";#N/A,#N/A,TRUE,"DCFOverviewPower";#N/A,#N/A,TRUE,"DCFOverviewGas";#N/A,#N/A,TRUE,"DCFOverviewWater";#N/A,#N/A,TRUE,"DCFOverviewVersorgung";#N/A,#N/A,TRUE,"ValuePower";#N/A,#N/A,TRUE,"ValueGas";#N/A,#N/A,TRUE,"ValueVersorgung";#N/A,#N/A,TRUE,"ValueWater";#N/A,#N/A,TRUE,"PlanPower";#N/A,#N/A,TRUE,"PlanGas";#N/A,#N/A,TRUE,"PlanWater";#N/A,#N/A,TRUE,"PlanVersorgung";#N/A,#N/A,TRUE,"DCFPower";#N/A,#N/A,TRUE,"DCFGas";#N/A,#N/A,TRUE,"DCFWater";#N/A,#N/A,TRUE,"DCFVersorgung";#N/A,#N/A,TRUE,"MatrixVersorgung"}</definedName>
    <definedName name="wrn.Print._.Model." hidden="1">{#N/A,#N/A,TRUE,"Contents";#N/A,#N/A,TRUE,"Scenarios";#N/A,#N/A,TRUE,"SensitivitiesPower";#N/A,#N/A,TRUE,"SensitivitiesGas";#N/A,#N/A,TRUE,"SensitivitiesWater";#N/A,#N/A,TRUE,"Fixed Cost allocation table";#N/A,#N/A,TRUE,"Fixed Cost SWS Forecast";#N/A,#N/A,TRUE,"Revenue per Client";#N/A,#N/A,TRUE,"Supply margin per Client";#N/A,#N/A,TRUE,"DCFCoverPower";#N/A,#N/A,TRUE,"Power Volume &amp; Price Forecast";#N/A,#N/A,TRUE,"Assumption Book";#N/A,#N/A,TRUE,"RevenuesPower";#N/A,#N/A,TRUE,"Power Pricing";#N/A,#N/A,TRUE,"CostsPower";#N/A,#N/A,TRUE,"Power Fixco Allocation&amp;Forecast";#N/A,#N/A,TRUE,"WaccCompPower";#N/A,#N/A,TRUE,"WaccPower";#N/A,#N/A,TRUE,"MatrixPower";#N/A,#N/A,TRUE,"DCFCoverGas";#N/A,#N/A,TRUE,"CostGas";#N/A,#N/A,TRUE,"RevenuesGas";#N/A,#N/A,TRUE,"Gas Fixco Allocation&amp;Forecast";#N/A,#N/A,TRUE,"Gas Volume &amp; Price Forecast";#N/A,#N/A,TRUE,"WaccGas";#N/A,#N/A,TRUE,"WaccCompGas";#N/A,#N/A,TRUE,"MatrixGas";#N/A,#N/A,TRUE,"DCFCoverWater";#N/A,#N/A,TRUE,"Water Volume &amp; Price Forecast";#N/A,#N/A,TRUE,"Water Pricing";#N/A,#N/A,TRUE,"RevenuesWater";#N/A,#N/A,TRUE,"CostWater";#N/A,#N/A,TRUE,"WaccCompWater";#N/A,#N/A,TRUE,"WaccWater";#N/A,#N/A,TRUE,"MatrixWater";#N/A,#N/A,TRUE,"DCFCoverVersorgung";#N/A,#N/A,TRUE,"DCFOverviewPower";#N/A,#N/A,TRUE,"DCFOverviewGas";#N/A,#N/A,TRUE,"DCFOverviewWater";#N/A,#N/A,TRUE,"DCFOverviewVersorgung";#N/A,#N/A,TRUE,"ValuePower";#N/A,#N/A,TRUE,"ValueGas";#N/A,#N/A,TRUE,"ValueVersorgung";#N/A,#N/A,TRUE,"ValueWater";#N/A,#N/A,TRUE,"PlanPower";#N/A,#N/A,TRUE,"PlanGas";#N/A,#N/A,TRUE,"PlanWater";#N/A,#N/A,TRUE,"PlanVersorgung";#N/A,#N/A,TRUE,"DCFPower";#N/A,#N/A,TRUE,"DCFGas";#N/A,#N/A,TRUE,"DCFWater";#N/A,#N/A,TRUE,"DCFVersorgung";#N/A,#N/A,TRUE,"MatrixVersorgung"}</definedName>
    <definedName name="wrn.print._.raw._.data._.entry." localSheetId="3">#REF!</definedName>
    <definedName name="wrn.print._.raw._.data._.entry.">#REF!</definedName>
    <definedName name="wrn.print._.summary._.sheets." localSheetId="3">#REF!</definedName>
    <definedName name="wrn.print._.summary._.sheets.">#REF!</definedName>
    <definedName name="wrn.Print._.whole._.Report." localSheetId="3" hidden="1">{#N/A,#N/A,TRUE,"WaccPower";#N/A,#N/A,TRUE,"Model Assumptions";#N/A,#N/A,TRUE,"Financial Assumptions";#N/A,#N/A,TRUE,"Scenarios";#N/A,#N/A,TRUE,"SensitivitiesPower";#N/A,#N/A,TRUE,"SensitivitiesGas";#N/A,#N/A,TRUE,"Fixed Cost allocation table";#N/A,#N/A,TRUE,"SensitivitiesWater";#N/A,#N/A,TRUE,"Fixed Cost SWS Forecast";#N/A,#N/A,TRUE,"Historic balance sheet";#N/A,#N/A,TRUE,"Revenue per Client";#N/A,#N/A,TRUE,"Supply margin per Client";#N/A,#N/A,TRUE,"Multiples Calculation";#N/A,#N/A,TRUE,"Stadtwerke Comps";#N/A,#N/A,TRUE,"Electricity Comps";#N/A,#N/A,TRUE,"Gas Comps";#N/A,#N/A,TRUE,"Water Comps";#N/A,#N/A,TRUE,"DCFCoverPower";#N/A,#N/A,TRUE,"Power Volume &amp; Price Forecast";#N/A,#N/A,TRUE,"Stromabgabe 1999";#N/A,#N/A,TRUE,"RevenuesPower";#N/A,#N/A,TRUE,"Power Pricing";#N/A,#N/A,TRUE,"CostsPower";#N/A,#N/A,TRUE,"PlanPower";#N/A,#N/A,TRUE,"DCFPower";#N/A,#N/A,TRUE,"ValuePower";#N/A,#N/A,TRUE,"WaccCompPower";#N/A,#N/A,TRUE,"MatrixPower";#N/A,#N/A,TRUE,"DCFCoverGas";#N/A,#N/A,TRUE,"DCFOverviewGas";#N/A,#N/A,TRUE,"Gas Pricing";#N/A,#N/A,TRUE,"RevenuesGas";#N/A,#N/A,TRUE,"CostGas";#N/A,#N/A,TRUE,"Gas Volume &amp; Price Forecast";#N/A,#N/A,TRUE,"PlanGas";#N/A,#N/A,TRUE,"DCFGas";#N/A,#N/A,TRUE,"ValueGas";#N/A,#N/A,TRUE,"WaccGas";#N/A,#N/A,TRUE,"WaccCompGas";#N/A,#N/A,TRUE,"MatrixGas";#N/A,#N/A,TRUE,"DCFCoverWater";#N/A,#N/A,TRUE,"DCFCoverWater";#N/A,#N/A,TRUE,"Water Volume &amp; Price Forecast";#N/A,#N/A,TRUE,"Water Pricing";#N/A,#N/A,TRUE,"RevenuesWater";#N/A,#N/A,TRUE,"CostWater";#N/A,#N/A,TRUE,"PlanWater";#N/A,#N/A,TRUE,"DCFWater";#N/A,#N/A,TRUE,"ValueWater";#N/A,#N/A,TRUE,"WaccWater";#N/A,#N/A,TRUE,"WaccCompWater";#N/A,#N/A,TRUE,"MatrixWater";#N/A,#N/A,TRUE,"DCFCoverVersorgung";#N/A,#N/A,TRUE,"DCFOverviewPower";#N/A,#N/A,TRUE,"DCFOverviewWater";#N/A,#N/A,TRUE,"DCFOverviewVersorgung";#N/A,#N/A,TRUE,"PlanVersorgung";#N/A,#N/A,TRUE,"DCFVersorgung";#N/A,#N/A,TRUE,"ValueVersorgung";#N/A,#N/A,TRUE,"WaccVersorgung";#N/A,#N/A,TRUE,"WaccCompVersorgung";#N/A,#N/A,TRUE,"MatrixVersorgung"}</definedName>
    <definedName name="wrn.Print._.whole._.Report." hidden="1">{#N/A,#N/A,TRUE,"WaccPower";#N/A,#N/A,TRUE,"Model Assumptions";#N/A,#N/A,TRUE,"Financial Assumptions";#N/A,#N/A,TRUE,"Scenarios";#N/A,#N/A,TRUE,"SensitivitiesPower";#N/A,#N/A,TRUE,"SensitivitiesGas";#N/A,#N/A,TRUE,"Fixed Cost allocation table";#N/A,#N/A,TRUE,"SensitivitiesWater";#N/A,#N/A,TRUE,"Fixed Cost SWS Forecast";#N/A,#N/A,TRUE,"Historic balance sheet";#N/A,#N/A,TRUE,"Revenue per Client";#N/A,#N/A,TRUE,"Supply margin per Client";#N/A,#N/A,TRUE,"Multiples Calculation";#N/A,#N/A,TRUE,"Stadtwerke Comps";#N/A,#N/A,TRUE,"Electricity Comps";#N/A,#N/A,TRUE,"Gas Comps";#N/A,#N/A,TRUE,"Water Comps";#N/A,#N/A,TRUE,"DCFCoverPower";#N/A,#N/A,TRUE,"Power Volume &amp; Price Forecast";#N/A,#N/A,TRUE,"Stromabgabe 1999";#N/A,#N/A,TRUE,"RevenuesPower";#N/A,#N/A,TRUE,"Power Pricing";#N/A,#N/A,TRUE,"CostsPower";#N/A,#N/A,TRUE,"PlanPower";#N/A,#N/A,TRUE,"DCFPower";#N/A,#N/A,TRUE,"ValuePower";#N/A,#N/A,TRUE,"WaccCompPower";#N/A,#N/A,TRUE,"MatrixPower";#N/A,#N/A,TRUE,"DCFCoverGas";#N/A,#N/A,TRUE,"DCFOverviewGas";#N/A,#N/A,TRUE,"Gas Pricing";#N/A,#N/A,TRUE,"RevenuesGas";#N/A,#N/A,TRUE,"CostGas";#N/A,#N/A,TRUE,"Gas Volume &amp; Price Forecast";#N/A,#N/A,TRUE,"PlanGas";#N/A,#N/A,TRUE,"DCFGas";#N/A,#N/A,TRUE,"ValueGas";#N/A,#N/A,TRUE,"WaccGas";#N/A,#N/A,TRUE,"WaccCompGas";#N/A,#N/A,TRUE,"MatrixGas";#N/A,#N/A,TRUE,"DCFCoverWater";#N/A,#N/A,TRUE,"DCFCoverWater";#N/A,#N/A,TRUE,"Water Volume &amp; Price Forecast";#N/A,#N/A,TRUE,"Water Pricing";#N/A,#N/A,TRUE,"RevenuesWater";#N/A,#N/A,TRUE,"CostWater";#N/A,#N/A,TRUE,"PlanWater";#N/A,#N/A,TRUE,"DCFWater";#N/A,#N/A,TRUE,"ValueWater";#N/A,#N/A,TRUE,"WaccWater";#N/A,#N/A,TRUE,"WaccCompWater";#N/A,#N/A,TRUE,"MatrixWater";#N/A,#N/A,TRUE,"DCFCoverVersorgung";#N/A,#N/A,TRUE,"DCFOverviewPower";#N/A,#N/A,TRUE,"DCFOverviewWater";#N/A,#N/A,TRUE,"DCFOverviewVersorgung";#N/A,#N/A,TRUE,"PlanVersorgung";#N/A,#N/A,TRUE,"DCFVersorgung";#N/A,#N/A,TRUE,"ValueVersorgung";#N/A,#N/A,TRUE,"WaccVersorgung";#N/A,#N/A,TRUE,"WaccCompVersorgung";#N/A,#N/A,TRUE,"MatrixVersorgung"}</definedName>
    <definedName name="wrn.PrintAll." localSheetId="3">#REF!</definedName>
    <definedName name="wrn.PrintAll.">#REF!</definedName>
    <definedName name="wrn.Printout." localSheetId="3">#REF!</definedName>
    <definedName name="wrn.Printout.">#REF!</definedName>
    <definedName name="wrn.Roll._.Up._.Fields." localSheetId="3">#REF!</definedName>
    <definedName name="wrn.Roll._.Up._.Fields.">#REF!</definedName>
    <definedName name="wrn.sfjsf">#REF!</definedName>
    <definedName name="wrn.stand_alone_both">#REF!</definedName>
    <definedName name="wrn.STAND_ALONE_BOTH.">#REF!</definedName>
    <definedName name="wrn.Stand_alone_both._dcf">#REF!</definedName>
    <definedName name="wrn.stand_alone_both.1">#REF!</definedName>
    <definedName name="wrn.stand_alone_both1">#REF!</definedName>
    <definedName name="wrn.stand_alone_both9">#REF!</definedName>
    <definedName name="wrn.standaloneboth1">#REF!</definedName>
    <definedName name="wrn.sultan.">#REF!</definedName>
    <definedName name="wrn.Summary.">#REF!</definedName>
    <definedName name="wrn.Target.">#REF!</definedName>
    <definedName name="wrn.TargetLBO.">#REF!</definedName>
    <definedName name="wrn.TargetState.">#REF!</definedName>
    <definedName name="wrn.TargetVal.">#REF!</definedName>
    <definedName name="wrn.TheWholeEnchilada.">#REF!</definedName>
    <definedName name="wrn.Total._.Proved.">#REF!</definedName>
    <definedName name="wrn.Total._.Proved._.plus._.Probable.">#REF!</definedName>
    <definedName name="wrn.YREP1.">#REF!</definedName>
    <definedName name="wrn.YTD.">#REF!</definedName>
    <definedName name="WrnBSS">#REF!</definedName>
    <definedName name="WrnBSS2">#REF!</definedName>
    <definedName name="WrnBTS">#REF!</definedName>
    <definedName name="WrnBTS2">#REF!</definedName>
    <definedName name="WrnDevSynthese">#REF!</definedName>
    <definedName name="WrnDevSynthese2">#REF!</definedName>
    <definedName name="wvu.inputs._.raw._.data.">#REF!</definedName>
    <definedName name="wvu.summary1.">#REF!</definedName>
    <definedName name="wvu.summary2.">#REF!</definedName>
    <definedName name="wvu.summary3.">#REF!</definedName>
    <definedName name="ww">#REF!</definedName>
    <definedName name="www">#REF!</definedName>
    <definedName name="www.">#REF!</definedName>
    <definedName name="wwww">#REF!</definedName>
    <definedName name="wwwww">#REF!</definedName>
    <definedName name="wwwwww">#REF!</definedName>
    <definedName name="wwwwwww">#REF!</definedName>
    <definedName name="wwwwwwww">#REF!</definedName>
    <definedName name="wwwwwwwww">#REF!</definedName>
    <definedName name="wwwwwwwwww">#REF!</definedName>
    <definedName name="wwwwwwwwwww">#REF!</definedName>
    <definedName name="wwwwwwwwwwww">#REF!</definedName>
    <definedName name="wwwwwwwwwwwwww">#REF!</definedName>
    <definedName name="x">#REF!</definedName>
    <definedName name="xlabels">#REF!</definedName>
    <definedName name="XREF_COLUMN_1">#REF!</definedName>
    <definedName name="XRefActiveRow">#REF!</definedName>
    <definedName name="XRefPaste1">#REF!</definedName>
    <definedName name="XRefPaste1Row">#REF!</definedName>
    <definedName name="xvc">#REF!</definedName>
    <definedName name="XXX">#REF!</definedName>
    <definedName name="Year_end_operation_cost_finac">'[15]Assumption '!#REF!</definedName>
    <definedName name="Year_five" localSheetId="3">#REF!</definedName>
    <definedName name="Year_five">#REF!</definedName>
    <definedName name="Year_four" localSheetId="3">#REF!</definedName>
    <definedName name="Year_four">#REF!</definedName>
    <definedName name="Year_one" localSheetId="3">#REF!</definedName>
    <definedName name="Year_one">#REF!</definedName>
    <definedName name="year_r">#REF!</definedName>
    <definedName name="Year_three">#REF!</definedName>
    <definedName name="Year_to_acquire_movinginfrastructureII">'[14]Assumption Sheet'!$C$94</definedName>
    <definedName name="Year_two" localSheetId="3">#REF!</definedName>
    <definedName name="Year_two">#REF!</definedName>
    <definedName name="year1" localSheetId="3">#REF!</definedName>
    <definedName name="year1">#REF!</definedName>
    <definedName name="year10" localSheetId="3">#REF!</definedName>
    <definedName name="year10">#REF!</definedName>
    <definedName name="year11">#REF!</definedName>
    <definedName name="year12">#REF!</definedName>
    <definedName name="year13">#REF!</definedName>
    <definedName name="year14">#REF!</definedName>
    <definedName name="year15">#REF!</definedName>
    <definedName name="year2">#REF!</definedName>
    <definedName name="year3">#REF!</definedName>
    <definedName name="year4">#REF!</definedName>
    <definedName name="year5">#REF!</definedName>
    <definedName name="year6">#REF!</definedName>
    <definedName name="year7">#REF!</definedName>
    <definedName name="year8">#REF!</definedName>
    <definedName name="year9">#REF!</definedName>
    <definedName name="Years_for_cap_all">'[7]Assumption Sheet'!$C$82</definedName>
    <definedName name="Years_in_model">'Input '!$F$36</definedName>
    <definedName name="Yield_hectare_withproject">#REF!</definedName>
    <definedName name="Yield_wihout_groundnut">#REF!</definedName>
    <definedName name="Yield_with_project">#REF!</definedName>
    <definedName name="yield_without_project">#REF!</definedName>
    <definedName name="Yield_without_project_rice">#REF!</definedName>
    <definedName name="Yield_without_project_sorghum">#REF!</definedName>
    <definedName name="Yield_without_sesame">#REF!</definedName>
    <definedName name="Yield_withproject_sesame">#REF!</definedName>
    <definedName name="YRINVEST" localSheetId="3">#REF!</definedName>
    <definedName name="YRINVEST">#REF!</definedName>
    <definedName name="Yrs_for_overdraft_fundg">'[1]ASSUMPTION SHEET'!$E$232</definedName>
    <definedName name="Yrs_of_initial_induced_traffic">'[7]Assumption Sheet'!$C$75</definedName>
    <definedName name="ZONE_IMPRES_MI" localSheetId="3">#REF!</definedName>
    <definedName name="ZONE_IMPRES_MI">#REF!</definedName>
    <definedName name="zs" localSheetId="3">#REF!</definedName>
    <definedName name="zs">#REF!</definedName>
    <definedName name="zsdas" localSheetId="3">#REF!</definedName>
    <definedName name="zsdas">#REF!</definedName>
    <definedName name="zxczz">#REF!</definedName>
  </definedName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1" i="27" l="1"/>
  <c r="K13" i="27"/>
  <c r="K17" i="27"/>
  <c r="K29" i="27"/>
  <c r="K30" i="27"/>
  <c r="K31" i="27"/>
  <c r="Q8" i="48"/>
  <c r="R2" i="48"/>
  <c r="Q9" i="48"/>
  <c r="Q11" i="48"/>
  <c r="Q13" i="48"/>
  <c r="Q15" i="48"/>
  <c r="R7" i="48"/>
  <c r="K32" i="27"/>
  <c r="K143" i="28"/>
  <c r="G168" i="28"/>
  <c r="H168" i="28"/>
  <c r="E134" i="28"/>
  <c r="J223" i="22"/>
  <c r="J80" i="22"/>
  <c r="E21" i="25"/>
  <c r="F21" i="25"/>
  <c r="D21" i="25"/>
  <c r="E7" i="24"/>
  <c r="D5" i="24"/>
  <c r="E5" i="25"/>
  <c r="I70" i="44"/>
  <c r="G80" i="44"/>
  <c r="J208" i="22"/>
  <c r="T208" i="22"/>
  <c r="I69" i="44"/>
  <c r="F80" i="44"/>
  <c r="J207" i="22"/>
  <c r="H70" i="44"/>
  <c r="G79" i="44"/>
  <c r="H69" i="44"/>
  <c r="F79" i="44"/>
  <c r="G70" i="44"/>
  <c r="G78" i="44"/>
  <c r="G69" i="44"/>
  <c r="F78" i="44"/>
  <c r="E84" i="44"/>
  <c r="G84" i="44"/>
  <c r="E85" i="44"/>
  <c r="G85" i="44"/>
  <c r="H71" i="44"/>
  <c r="G71" i="44"/>
  <c r="E86" i="44"/>
  <c r="G86" i="44"/>
  <c r="F71" i="44"/>
  <c r="S208" i="22"/>
  <c r="AC208" i="22"/>
  <c r="AN208" i="22"/>
  <c r="M208" i="22"/>
  <c r="R208" i="22"/>
  <c r="Q208" i="22"/>
  <c r="AO208" i="22"/>
  <c r="P208" i="22"/>
  <c r="Z208" i="22"/>
  <c r="AK208" i="22"/>
  <c r="Y208" i="22"/>
  <c r="AG208" i="22"/>
  <c r="AF208" i="22"/>
  <c r="AP208" i="22"/>
  <c r="AA208" i="22"/>
  <c r="AI208" i="22"/>
  <c r="X208" i="22"/>
  <c r="AH208" i="22"/>
  <c r="U208" i="22"/>
  <c r="AE208" i="22"/>
  <c r="O208" i="22"/>
  <c r="AM208" i="22"/>
  <c r="W208" i="22"/>
  <c r="AL208" i="22"/>
  <c r="AD208" i="22"/>
  <c r="V208" i="22"/>
  <c r="N208" i="22"/>
  <c r="AJ208" i="22"/>
  <c r="AB208" i="22"/>
  <c r="I71" i="44"/>
  <c r="F334" i="1"/>
  <c r="G10" i="46"/>
  <c r="G49" i="44"/>
  <c r="H49" i="44"/>
  <c r="K145" i="28"/>
  <c r="F168" i="28"/>
  <c r="D169" i="28"/>
  <c r="D168" i="28"/>
  <c r="R123" i="30"/>
  <c r="R122" i="30"/>
  <c r="R121" i="30"/>
  <c r="I187" i="30"/>
  <c r="L143" i="30"/>
  <c r="M121" i="30"/>
  <c r="O129" i="30"/>
  <c r="AM33" i="28"/>
  <c r="AM35" i="28"/>
  <c r="AL33" i="28"/>
  <c r="AL35" i="28"/>
  <c r="I32" i="30"/>
  <c r="Y48" i="28"/>
  <c r="I20" i="28"/>
  <c r="G43" i="28"/>
  <c r="J395" i="22"/>
  <c r="J396" i="22"/>
  <c r="B78" i="69"/>
  <c r="J32" i="22"/>
  <c r="B77" i="69"/>
  <c r="U277" i="68"/>
  <c r="G23" i="46"/>
  <c r="L258" i="68"/>
  <c r="Q260" i="68"/>
  <c r="G16" i="46"/>
  <c r="O258" i="68"/>
  <c r="N258" i="68"/>
  <c r="M258" i="68"/>
  <c r="K258" i="68"/>
  <c r="J258" i="68"/>
  <c r="I258" i="68"/>
  <c r="H258" i="68"/>
  <c r="G258" i="68"/>
  <c r="F258" i="68"/>
  <c r="E258" i="68"/>
  <c r="D258" i="68"/>
  <c r="C258" i="68"/>
  <c r="B258" i="68"/>
  <c r="Q258" i="68"/>
  <c r="J108" i="45"/>
  <c r="O110" i="45"/>
  <c r="B108" i="45"/>
  <c r="C108" i="45"/>
  <c r="D108" i="45"/>
  <c r="E108" i="45"/>
  <c r="F108" i="45"/>
  <c r="G108" i="45"/>
  <c r="H108" i="45"/>
  <c r="I108" i="45"/>
  <c r="K108" i="45"/>
  <c r="L108" i="45"/>
  <c r="M108" i="45"/>
  <c r="O108" i="45"/>
  <c r="G108" i="2"/>
  <c r="F56" i="67"/>
  <c r="F52" i="67"/>
  <c r="J48" i="3"/>
  <c r="D111" i="5"/>
  <c r="I39" i="44"/>
  <c r="AL36" i="65"/>
  <c r="AK36" i="65"/>
  <c r="C32" i="5"/>
  <c r="BJ36" i="5"/>
  <c r="F47" i="1"/>
  <c r="F51" i="1"/>
  <c r="CC267" i="7"/>
  <c r="CC268" i="7"/>
  <c r="CC269" i="7"/>
  <c r="CC270" i="7"/>
  <c r="CD115" i="5"/>
  <c r="CD116" i="5"/>
  <c r="AX244" i="7"/>
  <c r="I22" i="5"/>
  <c r="J22" i="5"/>
  <c r="K22" i="5"/>
  <c r="L22" i="5"/>
  <c r="M22" i="5"/>
  <c r="N22" i="5"/>
  <c r="O22" i="5"/>
  <c r="P22" i="5"/>
  <c r="Q22" i="5"/>
  <c r="R22" i="5"/>
  <c r="S22" i="5"/>
  <c r="T22" i="5"/>
  <c r="U22" i="5"/>
  <c r="V22" i="5"/>
  <c r="W22" i="5"/>
  <c r="X22" i="5"/>
  <c r="Y22" i="5"/>
  <c r="Z22" i="5"/>
  <c r="AA22" i="5"/>
  <c r="AB22" i="5"/>
  <c r="AC22" i="5"/>
  <c r="AD22" i="5"/>
  <c r="AE22" i="5"/>
  <c r="AF22" i="5"/>
  <c r="AG22" i="5"/>
  <c r="AH22" i="5"/>
  <c r="AI22" i="5"/>
  <c r="AJ22" i="5"/>
  <c r="AK22" i="5"/>
  <c r="AL22" i="5"/>
  <c r="AM22" i="5"/>
  <c r="AN22" i="5"/>
  <c r="AO22" i="5"/>
  <c r="AP22" i="5"/>
  <c r="AQ22" i="5"/>
  <c r="AR22" i="5"/>
  <c r="AS22" i="5"/>
  <c r="AT22" i="5"/>
  <c r="AU22" i="5"/>
  <c r="AV22" i="5"/>
  <c r="AW22" i="5"/>
  <c r="AX22" i="5"/>
  <c r="AY22" i="5"/>
  <c r="AZ22" i="5"/>
  <c r="BA22" i="5"/>
  <c r="BB22" i="5"/>
  <c r="BC22" i="5"/>
  <c r="BD22" i="5"/>
  <c r="BE22" i="5"/>
  <c r="BF22" i="5"/>
  <c r="BG22" i="5"/>
  <c r="BH22" i="5"/>
  <c r="BI22" i="5"/>
  <c r="BJ22" i="5"/>
  <c r="BK22" i="5"/>
  <c r="BL22" i="5"/>
  <c r="BM22" i="5"/>
  <c r="BN22" i="5"/>
  <c r="BO22" i="5"/>
  <c r="BP22" i="5"/>
  <c r="BQ22" i="5"/>
  <c r="BR22" i="5"/>
  <c r="BS22" i="5"/>
  <c r="BT22" i="5"/>
  <c r="BU22" i="5"/>
  <c r="BV22" i="5"/>
  <c r="BW22" i="5"/>
  <c r="BX22" i="5"/>
  <c r="BY22" i="5"/>
  <c r="BZ22" i="5"/>
  <c r="CA22" i="5"/>
  <c r="CB22" i="5"/>
  <c r="CC22" i="5"/>
  <c r="CC2" i="7"/>
  <c r="I244" i="7"/>
  <c r="AX89" i="5"/>
  <c r="AY89" i="5"/>
  <c r="AZ89" i="5"/>
  <c r="BA89" i="5"/>
  <c r="BB89" i="5"/>
  <c r="BC89" i="5"/>
  <c r="BD89" i="5"/>
  <c r="BE89" i="5"/>
  <c r="BF89" i="5"/>
  <c r="BG89" i="5"/>
  <c r="BH89" i="5"/>
  <c r="BI89" i="5"/>
  <c r="BJ89" i="5"/>
  <c r="BK89" i="5"/>
  <c r="BL89" i="5"/>
  <c r="BM89" i="5"/>
  <c r="BN89" i="5"/>
  <c r="BO89" i="5"/>
  <c r="BP89" i="5"/>
  <c r="AX90" i="5"/>
  <c r="AY90" i="5"/>
  <c r="AZ90" i="5"/>
  <c r="BA90" i="5"/>
  <c r="BB90" i="5"/>
  <c r="BC90" i="5"/>
  <c r="BD90" i="5"/>
  <c r="BE90" i="5"/>
  <c r="BF90" i="5"/>
  <c r="BG90" i="5"/>
  <c r="BH90" i="5"/>
  <c r="BI90" i="5"/>
  <c r="BJ90" i="5"/>
  <c r="BK90" i="5"/>
  <c r="BL90" i="5"/>
  <c r="BM90" i="5"/>
  <c r="BN90" i="5"/>
  <c r="BO90" i="5"/>
  <c r="BP90" i="5"/>
  <c r="AX91" i="5"/>
  <c r="AY91" i="5"/>
  <c r="AZ91" i="5"/>
  <c r="BA91" i="5"/>
  <c r="BB91" i="5"/>
  <c r="BC91" i="5"/>
  <c r="BD91" i="5"/>
  <c r="BE91" i="5"/>
  <c r="BF91" i="5"/>
  <c r="BG91" i="5"/>
  <c r="BH91" i="5"/>
  <c r="BI91" i="5"/>
  <c r="BJ91" i="5"/>
  <c r="BK91" i="5"/>
  <c r="BL91" i="5"/>
  <c r="BM91" i="5"/>
  <c r="BN91" i="5"/>
  <c r="BO91" i="5"/>
  <c r="BP91" i="5"/>
  <c r="AX92" i="5"/>
  <c r="AY92" i="5"/>
  <c r="AZ92" i="5"/>
  <c r="BA92" i="5"/>
  <c r="BB92" i="5"/>
  <c r="BC92" i="5"/>
  <c r="BD92" i="5"/>
  <c r="BE92" i="5"/>
  <c r="BF92" i="5"/>
  <c r="BG92" i="5"/>
  <c r="BH92" i="5"/>
  <c r="BI92" i="5"/>
  <c r="BJ92" i="5"/>
  <c r="BK92" i="5"/>
  <c r="BL92" i="5"/>
  <c r="BM92" i="5"/>
  <c r="BN92" i="5"/>
  <c r="BO92" i="5"/>
  <c r="BP92" i="5"/>
  <c r="AX93" i="5"/>
  <c r="AY93" i="5"/>
  <c r="AZ93" i="5"/>
  <c r="BA93" i="5"/>
  <c r="BB93" i="5"/>
  <c r="BC93" i="5"/>
  <c r="BD93" i="5"/>
  <c r="BE93" i="5"/>
  <c r="BF93" i="5"/>
  <c r="BG93" i="5"/>
  <c r="BH93" i="5"/>
  <c r="BI93" i="5"/>
  <c r="BJ93" i="5"/>
  <c r="BK93" i="5"/>
  <c r="BL93" i="5"/>
  <c r="BM93" i="5"/>
  <c r="BN93" i="5"/>
  <c r="BO93" i="5"/>
  <c r="BP93" i="5"/>
  <c r="AX84" i="5"/>
  <c r="AX85" i="5"/>
  <c r="AY84" i="5"/>
  <c r="AY85" i="5"/>
  <c r="AZ84" i="5"/>
  <c r="AZ85" i="5"/>
  <c r="BA84" i="5"/>
  <c r="BA85" i="5"/>
  <c r="BB84" i="5"/>
  <c r="BC84" i="5"/>
  <c r="BC85" i="5"/>
  <c r="BD84" i="5"/>
  <c r="BE84" i="5"/>
  <c r="BE85" i="5"/>
  <c r="BF84" i="5"/>
  <c r="BF85" i="5"/>
  <c r="BG84" i="5"/>
  <c r="BG85" i="5"/>
  <c r="BH84" i="5"/>
  <c r="BH85" i="5"/>
  <c r="BI84" i="5"/>
  <c r="BJ84" i="5"/>
  <c r="BJ85" i="5"/>
  <c r="BK84" i="5"/>
  <c r="BK85" i="5"/>
  <c r="BL84" i="5"/>
  <c r="BL85" i="5"/>
  <c r="BM84" i="5"/>
  <c r="BM85" i="5"/>
  <c r="BN84" i="5"/>
  <c r="BN85" i="5"/>
  <c r="BO84" i="5"/>
  <c r="BO85" i="5"/>
  <c r="BP84" i="5"/>
  <c r="BP85" i="5"/>
  <c r="BB85" i="5"/>
  <c r="BD85" i="5"/>
  <c r="BI85" i="5"/>
  <c r="BD36" i="5"/>
  <c r="BG36" i="5"/>
  <c r="BS36" i="5"/>
  <c r="D236" i="7"/>
  <c r="J244" i="7"/>
  <c r="K244" i="7"/>
  <c r="L244" i="7"/>
  <c r="M244" i="7"/>
  <c r="N244" i="7"/>
  <c r="O244" i="7"/>
  <c r="P244" i="7"/>
  <c r="Q244" i="7"/>
  <c r="R244" i="7"/>
  <c r="S244" i="7"/>
  <c r="T244" i="7"/>
  <c r="U244" i="7"/>
  <c r="V244" i="7"/>
  <c r="W244" i="7"/>
  <c r="X244" i="7"/>
  <c r="Y244" i="7"/>
  <c r="Z244" i="7"/>
  <c r="AA244" i="7"/>
  <c r="AB244" i="7"/>
  <c r="AC244" i="7"/>
  <c r="AD244" i="7"/>
  <c r="AE244" i="7"/>
  <c r="AF244" i="7"/>
  <c r="AG244" i="7"/>
  <c r="AH244" i="7"/>
  <c r="AI244" i="7"/>
  <c r="AJ244" i="7"/>
  <c r="AK244" i="7"/>
  <c r="AL244" i="7"/>
  <c r="AM244" i="7"/>
  <c r="AN244" i="7"/>
  <c r="AO244" i="7"/>
  <c r="AP244" i="7"/>
  <c r="AQ244" i="7"/>
  <c r="AR244" i="7"/>
  <c r="AS244" i="7"/>
  <c r="AT244" i="7"/>
  <c r="AU244" i="7"/>
  <c r="AV244" i="7"/>
  <c r="AW244" i="7"/>
  <c r="AY244" i="7"/>
  <c r="AZ244" i="7"/>
  <c r="BA244" i="7"/>
  <c r="BB244" i="7"/>
  <c r="BC244" i="7"/>
  <c r="BD244" i="7"/>
  <c r="BE244" i="7"/>
  <c r="BF244" i="7"/>
  <c r="BG244" i="7"/>
  <c r="BH244" i="7"/>
  <c r="BI244" i="7"/>
  <c r="BJ244" i="7"/>
  <c r="BK244" i="7"/>
  <c r="BL244" i="7"/>
  <c r="BM244" i="7"/>
  <c r="BN244" i="7"/>
  <c r="BO244" i="7"/>
  <c r="BP244" i="7"/>
  <c r="BQ244" i="7"/>
  <c r="BR244" i="7"/>
  <c r="BS244" i="7"/>
  <c r="BT244" i="7"/>
  <c r="BU244" i="7"/>
  <c r="BV244" i="7"/>
  <c r="BW244" i="7"/>
  <c r="BX244" i="7"/>
  <c r="BY244" i="7"/>
  <c r="BZ244" i="7"/>
  <c r="CA244" i="7"/>
  <c r="CB244" i="7"/>
  <c r="AZ210" i="7"/>
  <c r="BA210" i="7"/>
  <c r="BB210" i="7"/>
  <c r="BC210" i="7"/>
  <c r="BD210" i="7"/>
  <c r="BE210" i="7"/>
  <c r="BF210" i="7"/>
  <c r="BG210" i="7"/>
  <c r="BH210" i="7"/>
  <c r="BI210" i="7"/>
  <c r="BJ210" i="7"/>
  <c r="BK210" i="7"/>
  <c r="BL210" i="7"/>
  <c r="BM210" i="7"/>
  <c r="BN210" i="7"/>
  <c r="BO210" i="7"/>
  <c r="BP210" i="7"/>
  <c r="BQ210" i="7"/>
  <c r="BR210" i="7"/>
  <c r="BS210" i="7"/>
  <c r="BT210" i="7"/>
  <c r="BU210" i="7"/>
  <c r="BV210" i="7"/>
  <c r="BW210" i="7"/>
  <c r="BX210" i="7"/>
  <c r="BY210" i="7"/>
  <c r="BZ210" i="7"/>
  <c r="CA210" i="7"/>
  <c r="CB210" i="7"/>
  <c r="CC210" i="7"/>
  <c r="AZ211" i="7"/>
  <c r="BA211" i="7"/>
  <c r="BB211" i="7"/>
  <c r="BC211" i="7"/>
  <c r="BD211" i="7"/>
  <c r="BE211" i="7"/>
  <c r="BF211" i="7"/>
  <c r="BG211" i="7"/>
  <c r="BH211" i="7"/>
  <c r="BI211" i="7"/>
  <c r="BJ211" i="7"/>
  <c r="BK211" i="7"/>
  <c r="BL211" i="7"/>
  <c r="BM211" i="7"/>
  <c r="BN211" i="7"/>
  <c r="BO211" i="7"/>
  <c r="BP211" i="7"/>
  <c r="BQ211" i="7"/>
  <c r="BR211" i="7"/>
  <c r="BS211" i="7"/>
  <c r="BT211" i="7"/>
  <c r="BU211" i="7"/>
  <c r="BV211" i="7"/>
  <c r="BW211" i="7"/>
  <c r="BX211" i="7"/>
  <c r="BY211" i="7"/>
  <c r="BZ211" i="7"/>
  <c r="CA211" i="7"/>
  <c r="CB211" i="7"/>
  <c r="CC211" i="7"/>
  <c r="CC244" i="7"/>
  <c r="I88" i="7"/>
  <c r="J88" i="7"/>
  <c r="K88" i="7"/>
  <c r="L88" i="7"/>
  <c r="M88" i="7"/>
  <c r="N88" i="7"/>
  <c r="O88" i="7"/>
  <c r="P88" i="7"/>
  <c r="Q88" i="7"/>
  <c r="R88" i="7"/>
  <c r="S88" i="7"/>
  <c r="T88" i="7"/>
  <c r="U88" i="7"/>
  <c r="V88" i="7"/>
  <c r="W88" i="7"/>
  <c r="X88" i="7"/>
  <c r="Y88" i="7"/>
  <c r="Z88" i="7"/>
  <c r="AA88" i="7"/>
  <c r="AB88" i="7"/>
  <c r="AC88" i="7"/>
  <c r="AD88" i="7"/>
  <c r="AE88" i="7"/>
  <c r="AF88" i="7"/>
  <c r="AG88" i="7"/>
  <c r="AH88" i="7"/>
  <c r="AI88" i="7"/>
  <c r="AJ88" i="7"/>
  <c r="AK88" i="7"/>
  <c r="AL88" i="7"/>
  <c r="AM88" i="7"/>
  <c r="AN88" i="7"/>
  <c r="AO88" i="7"/>
  <c r="AP88" i="7"/>
  <c r="AQ88" i="7"/>
  <c r="AR88" i="7"/>
  <c r="AS88" i="7"/>
  <c r="AT88" i="7"/>
  <c r="AU88" i="7"/>
  <c r="AV88" i="7"/>
  <c r="AW88" i="7"/>
  <c r="AX88" i="7"/>
  <c r="AY88" i="7"/>
  <c r="AZ88" i="7"/>
  <c r="BA88" i="7"/>
  <c r="BB88" i="7"/>
  <c r="BC88" i="7"/>
  <c r="BD88" i="7"/>
  <c r="BE88" i="7"/>
  <c r="BF88" i="7"/>
  <c r="BG88" i="7"/>
  <c r="BH88" i="7"/>
  <c r="BI88" i="7"/>
  <c r="BJ88" i="7"/>
  <c r="BK88" i="7"/>
  <c r="BL88" i="7"/>
  <c r="BM88" i="7"/>
  <c r="BN88" i="7"/>
  <c r="BO88" i="7"/>
  <c r="BP88" i="7"/>
  <c r="BQ88" i="7"/>
  <c r="BR88" i="7"/>
  <c r="BS88" i="7"/>
  <c r="BT88" i="7"/>
  <c r="BU88" i="7"/>
  <c r="BV88" i="7"/>
  <c r="BW88" i="7"/>
  <c r="BX88" i="7"/>
  <c r="BY88" i="7"/>
  <c r="BZ88" i="7"/>
  <c r="CA88" i="7"/>
  <c r="CB88" i="7"/>
  <c r="D88" i="7"/>
  <c r="I87" i="7"/>
  <c r="J87" i="7"/>
  <c r="K87" i="7"/>
  <c r="L87" i="7"/>
  <c r="M87" i="7"/>
  <c r="N87" i="7"/>
  <c r="O87" i="7"/>
  <c r="P87" i="7"/>
  <c r="Q87" i="7"/>
  <c r="R87" i="7"/>
  <c r="S87" i="7"/>
  <c r="T87" i="7"/>
  <c r="U87" i="7"/>
  <c r="V87" i="7"/>
  <c r="W87" i="7"/>
  <c r="X87" i="7"/>
  <c r="Y87" i="7"/>
  <c r="Z87" i="7"/>
  <c r="AA87" i="7"/>
  <c r="AB87" i="7"/>
  <c r="AC87" i="7"/>
  <c r="AD87" i="7"/>
  <c r="AE87" i="7"/>
  <c r="AF87" i="7"/>
  <c r="AG87" i="7"/>
  <c r="AH87" i="7"/>
  <c r="AI87" i="7"/>
  <c r="AJ87" i="7"/>
  <c r="AK87" i="7"/>
  <c r="AL87" i="7"/>
  <c r="AM87" i="7"/>
  <c r="AN87" i="7"/>
  <c r="AO87" i="7"/>
  <c r="AP87" i="7"/>
  <c r="AQ87" i="7"/>
  <c r="AR87" i="7"/>
  <c r="AS87" i="7"/>
  <c r="AT87" i="7"/>
  <c r="AU87" i="7"/>
  <c r="AV87" i="7"/>
  <c r="AW87" i="7"/>
  <c r="AX87" i="7"/>
  <c r="AY87" i="7"/>
  <c r="AZ87" i="7"/>
  <c r="BA87" i="7"/>
  <c r="BB87" i="7"/>
  <c r="BC87" i="7"/>
  <c r="BD87" i="7"/>
  <c r="BE87" i="7"/>
  <c r="BF87" i="7"/>
  <c r="BG87" i="7"/>
  <c r="BH87" i="7"/>
  <c r="BI87" i="7"/>
  <c r="BJ87" i="7"/>
  <c r="BK87" i="7"/>
  <c r="BL87" i="7"/>
  <c r="BM87" i="7"/>
  <c r="BN87" i="7"/>
  <c r="BO87" i="7"/>
  <c r="BP87" i="7"/>
  <c r="BQ87" i="7"/>
  <c r="BR87" i="7"/>
  <c r="BS87" i="7"/>
  <c r="BT87" i="7"/>
  <c r="BU87" i="7"/>
  <c r="BV87" i="7"/>
  <c r="BW87" i="7"/>
  <c r="BX87" i="7"/>
  <c r="BY87" i="7"/>
  <c r="BZ87" i="7"/>
  <c r="CA87" i="7"/>
  <c r="CB87" i="7"/>
  <c r="D87" i="7"/>
  <c r="AZ131" i="7"/>
  <c r="BA131" i="7"/>
  <c r="BB131" i="7"/>
  <c r="BB132" i="7"/>
  <c r="BC131" i="7"/>
  <c r="BC132" i="7"/>
  <c r="BD131" i="7"/>
  <c r="BE131" i="7"/>
  <c r="BE132" i="7"/>
  <c r="BF131" i="7"/>
  <c r="BF132" i="7"/>
  <c r="BG131" i="7"/>
  <c r="BG132" i="7"/>
  <c r="BH131" i="7"/>
  <c r="BI131" i="7"/>
  <c r="BJ131" i="7"/>
  <c r="BJ132" i="7"/>
  <c r="BK131" i="7"/>
  <c r="BK132" i="7"/>
  <c r="BL131" i="7"/>
  <c r="BM131" i="7"/>
  <c r="BM132" i="7"/>
  <c r="BN131" i="7"/>
  <c r="BN132" i="7"/>
  <c r="BO131" i="7"/>
  <c r="BO132" i="7"/>
  <c r="BP131" i="7"/>
  <c r="BQ131" i="7"/>
  <c r="BR131" i="7"/>
  <c r="BR132" i="7"/>
  <c r="BS131" i="7"/>
  <c r="BS132" i="7"/>
  <c r="BT131" i="7"/>
  <c r="BU131" i="7"/>
  <c r="BU132" i="7"/>
  <c r="BV131" i="7"/>
  <c r="BV132" i="7"/>
  <c r="BW131" i="7"/>
  <c r="BW132" i="7"/>
  <c r="BX131" i="7"/>
  <c r="BY131" i="7"/>
  <c r="BZ131" i="7"/>
  <c r="BZ132" i="7"/>
  <c r="CA131" i="7"/>
  <c r="CA132" i="7"/>
  <c r="CB131" i="7"/>
  <c r="AZ132" i="7"/>
  <c r="BA132" i="7"/>
  <c r="BD132" i="7"/>
  <c r="BH132" i="7"/>
  <c r="BI132" i="7"/>
  <c r="BL132" i="7"/>
  <c r="BP132" i="7"/>
  <c r="BQ132" i="7"/>
  <c r="BT132" i="7"/>
  <c r="BX132" i="7"/>
  <c r="BY132" i="7"/>
  <c r="CB132" i="7"/>
  <c r="CC209" i="7"/>
  <c r="AZ186" i="7"/>
  <c r="BA186" i="7"/>
  <c r="BB186" i="7"/>
  <c r="BC186" i="7"/>
  <c r="BD186" i="7"/>
  <c r="BE186" i="7"/>
  <c r="BF186" i="7"/>
  <c r="BG186" i="7"/>
  <c r="BH186" i="7"/>
  <c r="BI186" i="7"/>
  <c r="BJ186" i="7"/>
  <c r="BK186" i="7"/>
  <c r="BL186" i="7"/>
  <c r="BM186" i="7"/>
  <c r="BN186" i="7"/>
  <c r="BO186" i="7"/>
  <c r="BP186" i="7"/>
  <c r="BQ186" i="7"/>
  <c r="BR186" i="7"/>
  <c r="BS186" i="7"/>
  <c r="BT186" i="7"/>
  <c r="BU186" i="7"/>
  <c r="BV186" i="7"/>
  <c r="BW186" i="7"/>
  <c r="BX186" i="7"/>
  <c r="BY186" i="7"/>
  <c r="BZ186" i="7"/>
  <c r="CA186" i="7"/>
  <c r="CB186" i="7"/>
  <c r="J62" i="7"/>
  <c r="K62" i="7"/>
  <c r="L62" i="7"/>
  <c r="M62" i="7"/>
  <c r="N62" i="7"/>
  <c r="O62" i="7"/>
  <c r="P62" i="7"/>
  <c r="Q62" i="7"/>
  <c r="R62" i="7"/>
  <c r="S62" i="7"/>
  <c r="T62" i="7"/>
  <c r="U62" i="7"/>
  <c r="V62" i="7"/>
  <c r="W62" i="7"/>
  <c r="X62" i="7"/>
  <c r="Y62" i="7"/>
  <c r="Z62" i="7"/>
  <c r="AA62" i="7"/>
  <c r="AB62" i="7"/>
  <c r="AC62" i="7"/>
  <c r="AD62" i="7"/>
  <c r="AE62" i="7"/>
  <c r="AF62" i="7"/>
  <c r="AG62" i="7"/>
  <c r="AH62" i="7"/>
  <c r="AI62" i="7"/>
  <c r="AJ62" i="7"/>
  <c r="AK62" i="7"/>
  <c r="AL62" i="7"/>
  <c r="AM62" i="7"/>
  <c r="AN62" i="7"/>
  <c r="AO62" i="7"/>
  <c r="AP62" i="7"/>
  <c r="AQ62" i="7"/>
  <c r="AR62" i="7"/>
  <c r="AS62" i="7"/>
  <c r="AT62" i="7"/>
  <c r="AU62" i="7"/>
  <c r="AV62" i="7"/>
  <c r="AW62" i="7"/>
  <c r="AX62" i="7"/>
  <c r="AY62" i="7"/>
  <c r="AZ62" i="7"/>
  <c r="BA62" i="7"/>
  <c r="BB62" i="7"/>
  <c r="BC62" i="7"/>
  <c r="BD62" i="7"/>
  <c r="BE62" i="7"/>
  <c r="BF62" i="7"/>
  <c r="BG62" i="7"/>
  <c r="BH62" i="7"/>
  <c r="BI62" i="7"/>
  <c r="BJ62" i="7"/>
  <c r="BK62" i="7"/>
  <c r="BL62" i="7"/>
  <c r="BM62" i="7"/>
  <c r="BN62" i="7"/>
  <c r="BO62" i="7"/>
  <c r="BP62" i="7"/>
  <c r="BQ62" i="7"/>
  <c r="BR62" i="7"/>
  <c r="BS62" i="7"/>
  <c r="BT62" i="7"/>
  <c r="BU62" i="7"/>
  <c r="BV62" i="7"/>
  <c r="BW62" i="7"/>
  <c r="BX62" i="7"/>
  <c r="BY62" i="7"/>
  <c r="BZ62" i="7"/>
  <c r="CA62" i="7"/>
  <c r="CB62" i="7"/>
  <c r="J63" i="7"/>
  <c r="K63" i="7"/>
  <c r="L63" i="7"/>
  <c r="M63" i="7"/>
  <c r="N63" i="7"/>
  <c r="O63" i="7"/>
  <c r="P63" i="7"/>
  <c r="Q63" i="7"/>
  <c r="R63" i="7"/>
  <c r="S63" i="7"/>
  <c r="T63" i="7"/>
  <c r="U63" i="7"/>
  <c r="V63" i="7"/>
  <c r="W63" i="7"/>
  <c r="X63" i="7"/>
  <c r="Y63" i="7"/>
  <c r="Z63" i="7"/>
  <c r="AA63" i="7"/>
  <c r="AB63" i="7"/>
  <c r="AC63" i="7"/>
  <c r="AD63" i="7"/>
  <c r="AE63" i="7"/>
  <c r="AF63" i="7"/>
  <c r="AG63" i="7"/>
  <c r="AH63" i="7"/>
  <c r="AI63" i="7"/>
  <c r="AJ63" i="7"/>
  <c r="AK63" i="7"/>
  <c r="AL63" i="7"/>
  <c r="AM63" i="7"/>
  <c r="AN63" i="7"/>
  <c r="AO63" i="7"/>
  <c r="AP63" i="7"/>
  <c r="AQ63" i="7"/>
  <c r="AR63" i="7"/>
  <c r="AS63" i="7"/>
  <c r="AT63" i="7"/>
  <c r="AU63" i="7"/>
  <c r="AV63" i="7"/>
  <c r="AW63" i="7"/>
  <c r="AX63" i="7"/>
  <c r="AY63" i="7"/>
  <c r="AZ63" i="7"/>
  <c r="BA63" i="7"/>
  <c r="BB63" i="7"/>
  <c r="BC63" i="7"/>
  <c r="BD63" i="7"/>
  <c r="BE63" i="7"/>
  <c r="BF63" i="7"/>
  <c r="BG63" i="7"/>
  <c r="BH63" i="7"/>
  <c r="BI63" i="7"/>
  <c r="BJ63" i="7"/>
  <c r="BK63" i="7"/>
  <c r="BL63" i="7"/>
  <c r="BM63" i="7"/>
  <c r="BN63" i="7"/>
  <c r="BO63" i="7"/>
  <c r="BP63" i="7"/>
  <c r="BQ63" i="7"/>
  <c r="BR63" i="7"/>
  <c r="BS63" i="7"/>
  <c r="BT63" i="7"/>
  <c r="BU63" i="7"/>
  <c r="BV63" i="7"/>
  <c r="BW63" i="7"/>
  <c r="BX63" i="7"/>
  <c r="BY63" i="7"/>
  <c r="BZ63" i="7"/>
  <c r="CA63" i="7"/>
  <c r="CB63" i="7"/>
  <c r="J64" i="7"/>
  <c r="K64" i="7"/>
  <c r="L64" i="7"/>
  <c r="M64" i="7"/>
  <c r="N64" i="7"/>
  <c r="O64" i="7"/>
  <c r="P64" i="7"/>
  <c r="Q64" i="7"/>
  <c r="R64" i="7"/>
  <c r="S64" i="7"/>
  <c r="T64" i="7"/>
  <c r="U64" i="7"/>
  <c r="V64" i="7"/>
  <c r="W64" i="7"/>
  <c r="X64" i="7"/>
  <c r="Y64" i="7"/>
  <c r="Z64" i="7"/>
  <c r="AA64" i="7"/>
  <c r="AB64" i="7"/>
  <c r="AC64" i="7"/>
  <c r="AD64" i="7"/>
  <c r="AE64" i="7"/>
  <c r="AF64" i="7"/>
  <c r="AG64" i="7"/>
  <c r="AH64" i="7"/>
  <c r="AI64" i="7"/>
  <c r="AJ64" i="7"/>
  <c r="AK64" i="7"/>
  <c r="AL64" i="7"/>
  <c r="AM64" i="7"/>
  <c r="AN64" i="7"/>
  <c r="AO64" i="7"/>
  <c r="AP64" i="7"/>
  <c r="AQ64" i="7"/>
  <c r="AR64" i="7"/>
  <c r="AS64" i="7"/>
  <c r="AT64" i="7"/>
  <c r="AU64" i="7"/>
  <c r="AV64" i="7"/>
  <c r="AW64" i="7"/>
  <c r="AX64" i="7"/>
  <c r="AY64" i="7"/>
  <c r="AZ64" i="7"/>
  <c r="BA64" i="7"/>
  <c r="BB64" i="7"/>
  <c r="BC64" i="7"/>
  <c r="BD64" i="7"/>
  <c r="BE64" i="7"/>
  <c r="BF64" i="7"/>
  <c r="BG64" i="7"/>
  <c r="BH64" i="7"/>
  <c r="BI64" i="7"/>
  <c r="BJ64" i="7"/>
  <c r="BK64" i="7"/>
  <c r="BL64" i="7"/>
  <c r="BM64" i="7"/>
  <c r="BN64" i="7"/>
  <c r="BO64" i="7"/>
  <c r="BP64" i="7"/>
  <c r="BQ64" i="7"/>
  <c r="BR64" i="7"/>
  <c r="BS64" i="7"/>
  <c r="BT64" i="7"/>
  <c r="BU64" i="7"/>
  <c r="BV64" i="7"/>
  <c r="BW64" i="7"/>
  <c r="BX64" i="7"/>
  <c r="BY64" i="7"/>
  <c r="BZ64" i="7"/>
  <c r="CA64" i="7"/>
  <c r="CB64" i="7"/>
  <c r="J65" i="7"/>
  <c r="K65" i="7"/>
  <c r="L65" i="7"/>
  <c r="M65" i="7"/>
  <c r="N65" i="7"/>
  <c r="O65" i="7"/>
  <c r="P65" i="7"/>
  <c r="Q65" i="7"/>
  <c r="R65" i="7"/>
  <c r="S65" i="7"/>
  <c r="T65" i="7"/>
  <c r="U65" i="7"/>
  <c r="V65" i="7"/>
  <c r="W65" i="7"/>
  <c r="X65" i="7"/>
  <c r="Y65" i="7"/>
  <c r="Z65" i="7"/>
  <c r="AA65" i="7"/>
  <c r="AB65" i="7"/>
  <c r="AC65" i="7"/>
  <c r="AD65" i="7"/>
  <c r="AE65" i="7"/>
  <c r="AF65" i="7"/>
  <c r="AG65" i="7"/>
  <c r="AH65" i="7"/>
  <c r="AI65" i="7"/>
  <c r="AJ65" i="7"/>
  <c r="AK65" i="7"/>
  <c r="AL65" i="7"/>
  <c r="AM65" i="7"/>
  <c r="AN65" i="7"/>
  <c r="AO65" i="7"/>
  <c r="AP65" i="7"/>
  <c r="AQ65" i="7"/>
  <c r="AR65" i="7"/>
  <c r="AS65" i="7"/>
  <c r="AT65" i="7"/>
  <c r="AU65" i="7"/>
  <c r="AV65" i="7"/>
  <c r="AW65" i="7"/>
  <c r="AX65" i="7"/>
  <c r="AY65" i="7"/>
  <c r="AZ65" i="7"/>
  <c r="BA65" i="7"/>
  <c r="BB65" i="7"/>
  <c r="BC65" i="7"/>
  <c r="BD65" i="7"/>
  <c r="BE65" i="7"/>
  <c r="BF65" i="7"/>
  <c r="BG65" i="7"/>
  <c r="BH65" i="7"/>
  <c r="BI65" i="7"/>
  <c r="BJ65" i="7"/>
  <c r="BK65" i="7"/>
  <c r="BL65" i="7"/>
  <c r="BM65" i="7"/>
  <c r="BN65" i="7"/>
  <c r="BO65" i="7"/>
  <c r="BP65" i="7"/>
  <c r="BQ65" i="7"/>
  <c r="BR65" i="7"/>
  <c r="BS65" i="7"/>
  <c r="BT65" i="7"/>
  <c r="BU65" i="7"/>
  <c r="BV65" i="7"/>
  <c r="BW65" i="7"/>
  <c r="BX65" i="7"/>
  <c r="BY65" i="7"/>
  <c r="BZ65" i="7"/>
  <c r="CA65" i="7"/>
  <c r="CB65" i="7"/>
  <c r="J67" i="7"/>
  <c r="K67" i="7"/>
  <c r="L67" i="7"/>
  <c r="M67" i="7"/>
  <c r="N67" i="7"/>
  <c r="O67" i="7"/>
  <c r="P67" i="7"/>
  <c r="Q67" i="7"/>
  <c r="R67" i="7"/>
  <c r="S67" i="7"/>
  <c r="T67" i="7"/>
  <c r="U67" i="7"/>
  <c r="V67" i="7"/>
  <c r="W67" i="7"/>
  <c r="X67" i="7"/>
  <c r="Y67" i="7"/>
  <c r="Z67" i="7"/>
  <c r="AA67" i="7"/>
  <c r="AB67" i="7"/>
  <c r="AC67" i="7"/>
  <c r="AD67" i="7"/>
  <c r="AE67" i="7"/>
  <c r="AF67" i="7"/>
  <c r="AG67" i="7"/>
  <c r="AH67" i="7"/>
  <c r="AI67" i="7"/>
  <c r="AJ67" i="7"/>
  <c r="AK67" i="7"/>
  <c r="AL67" i="7"/>
  <c r="AM67" i="7"/>
  <c r="AN67" i="7"/>
  <c r="AO67" i="7"/>
  <c r="AP67" i="7"/>
  <c r="AQ67" i="7"/>
  <c r="AR67" i="7"/>
  <c r="AS67" i="7"/>
  <c r="AT67" i="7"/>
  <c r="AU67" i="7"/>
  <c r="AV67" i="7"/>
  <c r="AW67" i="7"/>
  <c r="AX67" i="7"/>
  <c r="AY67" i="7"/>
  <c r="AZ67" i="7"/>
  <c r="BA67" i="7"/>
  <c r="BB67" i="7"/>
  <c r="BC67" i="7"/>
  <c r="BD67" i="7"/>
  <c r="BE67" i="7"/>
  <c r="BF67" i="7"/>
  <c r="BG67" i="7"/>
  <c r="BH67" i="7"/>
  <c r="BI67" i="7"/>
  <c r="BJ67" i="7"/>
  <c r="BK67" i="7"/>
  <c r="BL67" i="7"/>
  <c r="BM67" i="7"/>
  <c r="BN67" i="7"/>
  <c r="BO67" i="7"/>
  <c r="BP67" i="7"/>
  <c r="BQ67" i="7"/>
  <c r="BR67" i="7"/>
  <c r="BS67" i="7"/>
  <c r="BT67" i="7"/>
  <c r="BU67" i="7"/>
  <c r="BV67" i="7"/>
  <c r="BW67" i="7"/>
  <c r="BX67" i="7"/>
  <c r="BY67" i="7"/>
  <c r="BZ67" i="7"/>
  <c r="CA67" i="7"/>
  <c r="CB67" i="7"/>
  <c r="J68" i="7"/>
  <c r="K68" i="7"/>
  <c r="L68" i="7"/>
  <c r="M68" i="7"/>
  <c r="N68" i="7"/>
  <c r="O68" i="7"/>
  <c r="P68" i="7"/>
  <c r="Q68" i="7"/>
  <c r="R68" i="7"/>
  <c r="S68" i="7"/>
  <c r="T68" i="7"/>
  <c r="U68" i="7"/>
  <c r="V68" i="7"/>
  <c r="W68" i="7"/>
  <c r="X68" i="7"/>
  <c r="Y68" i="7"/>
  <c r="Z68" i="7"/>
  <c r="AA68" i="7"/>
  <c r="AB68" i="7"/>
  <c r="AC68" i="7"/>
  <c r="AD68" i="7"/>
  <c r="AE68" i="7"/>
  <c r="AF68" i="7"/>
  <c r="AG68" i="7"/>
  <c r="AH68" i="7"/>
  <c r="AI68" i="7"/>
  <c r="AJ68" i="7"/>
  <c r="AK68" i="7"/>
  <c r="AL68" i="7"/>
  <c r="AM68" i="7"/>
  <c r="AN68" i="7"/>
  <c r="AO68" i="7"/>
  <c r="AP68" i="7"/>
  <c r="AQ68" i="7"/>
  <c r="AR68" i="7"/>
  <c r="AS68" i="7"/>
  <c r="AT68" i="7"/>
  <c r="AU68" i="7"/>
  <c r="AV68" i="7"/>
  <c r="AW68" i="7"/>
  <c r="AX68" i="7"/>
  <c r="AY68" i="7"/>
  <c r="AZ68" i="7"/>
  <c r="BA68" i="7"/>
  <c r="BB68" i="7"/>
  <c r="BC68" i="7"/>
  <c r="BD68" i="7"/>
  <c r="BE68" i="7"/>
  <c r="BF68" i="7"/>
  <c r="BG68" i="7"/>
  <c r="BH68" i="7"/>
  <c r="BI68" i="7"/>
  <c r="BJ68" i="7"/>
  <c r="BK68" i="7"/>
  <c r="BL68" i="7"/>
  <c r="BM68" i="7"/>
  <c r="BN68" i="7"/>
  <c r="BO68" i="7"/>
  <c r="BP68" i="7"/>
  <c r="BQ68" i="7"/>
  <c r="BR68" i="7"/>
  <c r="BS68" i="7"/>
  <c r="BT68" i="7"/>
  <c r="BU68" i="7"/>
  <c r="BV68" i="7"/>
  <c r="BW68" i="7"/>
  <c r="BX68" i="7"/>
  <c r="BY68" i="7"/>
  <c r="BZ68" i="7"/>
  <c r="CA68" i="7"/>
  <c r="CB68" i="7"/>
  <c r="CD66" i="7"/>
  <c r="J61" i="7"/>
  <c r="K61" i="7"/>
  <c r="L61" i="7"/>
  <c r="M61" i="7"/>
  <c r="N61" i="7"/>
  <c r="O61" i="7"/>
  <c r="P61" i="7"/>
  <c r="Q61" i="7"/>
  <c r="R61" i="7"/>
  <c r="S61" i="7"/>
  <c r="T61" i="7"/>
  <c r="U61" i="7"/>
  <c r="V61" i="7"/>
  <c r="W61" i="7"/>
  <c r="X61" i="7"/>
  <c r="Y61" i="7"/>
  <c r="Z61" i="7"/>
  <c r="AA61" i="7"/>
  <c r="AB61" i="7"/>
  <c r="AC61" i="7"/>
  <c r="AD61" i="7"/>
  <c r="AE61" i="7"/>
  <c r="AF61" i="7"/>
  <c r="AG61" i="7"/>
  <c r="AH61" i="7"/>
  <c r="AI61" i="7"/>
  <c r="AJ61" i="7"/>
  <c r="AK61" i="7"/>
  <c r="AL61" i="7"/>
  <c r="AM61" i="7"/>
  <c r="AN61" i="7"/>
  <c r="AO61" i="7"/>
  <c r="AP61" i="7"/>
  <c r="AQ61" i="7"/>
  <c r="AR61" i="7"/>
  <c r="AS61" i="7"/>
  <c r="AT61" i="7"/>
  <c r="AU61" i="7"/>
  <c r="AV61" i="7"/>
  <c r="AW61" i="7"/>
  <c r="AX61" i="7"/>
  <c r="AY61" i="7"/>
  <c r="AZ61" i="7"/>
  <c r="BA61" i="7"/>
  <c r="BB61" i="7"/>
  <c r="BC61" i="7"/>
  <c r="BD61" i="7"/>
  <c r="BE61" i="7"/>
  <c r="BF61" i="7"/>
  <c r="BG61" i="7"/>
  <c r="BH61" i="7"/>
  <c r="BI61" i="7"/>
  <c r="BJ61" i="7"/>
  <c r="BK61" i="7"/>
  <c r="BL61" i="7"/>
  <c r="BM61" i="7"/>
  <c r="BN61" i="7"/>
  <c r="BO61" i="7"/>
  <c r="BP61" i="7"/>
  <c r="BQ61" i="7"/>
  <c r="BR61" i="7"/>
  <c r="BS61" i="7"/>
  <c r="BT61" i="7"/>
  <c r="BU61" i="7"/>
  <c r="BV61" i="7"/>
  <c r="BW61" i="7"/>
  <c r="BX61" i="7"/>
  <c r="BY61" i="7"/>
  <c r="BZ61" i="7"/>
  <c r="CA61" i="7"/>
  <c r="CB61" i="7"/>
  <c r="I61" i="7"/>
  <c r="I62" i="7"/>
  <c r="I63" i="7"/>
  <c r="I64" i="7"/>
  <c r="I65" i="7"/>
  <c r="I67" i="7"/>
  <c r="I68" i="7"/>
  <c r="J60" i="7"/>
  <c r="K60" i="7"/>
  <c r="L60" i="7"/>
  <c r="M60" i="7"/>
  <c r="N60" i="7"/>
  <c r="O60" i="7"/>
  <c r="P60" i="7"/>
  <c r="Q60" i="7"/>
  <c r="R60" i="7"/>
  <c r="S60" i="7"/>
  <c r="T60" i="7"/>
  <c r="U60" i="7"/>
  <c r="V60" i="7"/>
  <c r="W60" i="7"/>
  <c r="X60" i="7"/>
  <c r="Y60" i="7"/>
  <c r="Z60" i="7"/>
  <c r="AA60" i="7"/>
  <c r="AB60" i="7"/>
  <c r="AC60" i="7"/>
  <c r="AD60" i="7"/>
  <c r="AE60" i="7"/>
  <c r="AF60" i="7"/>
  <c r="AG60" i="7"/>
  <c r="AH60" i="7"/>
  <c r="AI60" i="7"/>
  <c r="AJ60" i="7"/>
  <c r="AK60" i="7"/>
  <c r="AL60" i="7"/>
  <c r="AM60" i="7"/>
  <c r="AN60" i="7"/>
  <c r="AO60" i="7"/>
  <c r="AP60" i="7"/>
  <c r="AQ60" i="7"/>
  <c r="AR60" i="7"/>
  <c r="AS60" i="7"/>
  <c r="AT60" i="7"/>
  <c r="AU60" i="7"/>
  <c r="AV60" i="7"/>
  <c r="AW60" i="7"/>
  <c r="AX60" i="7"/>
  <c r="AY60" i="7"/>
  <c r="AZ60" i="7"/>
  <c r="BA60" i="7"/>
  <c r="BB60" i="7"/>
  <c r="BC60" i="7"/>
  <c r="BD60" i="7"/>
  <c r="BE60" i="7"/>
  <c r="BF60" i="7"/>
  <c r="BG60" i="7"/>
  <c r="BH60" i="7"/>
  <c r="BI60" i="7"/>
  <c r="BJ60" i="7"/>
  <c r="BK60" i="7"/>
  <c r="BL60" i="7"/>
  <c r="BM60" i="7"/>
  <c r="BN60" i="7"/>
  <c r="BO60" i="7"/>
  <c r="BP60" i="7"/>
  <c r="BQ60" i="7"/>
  <c r="BR60" i="7"/>
  <c r="BS60" i="7"/>
  <c r="BT60" i="7"/>
  <c r="BU60" i="7"/>
  <c r="BV60" i="7"/>
  <c r="BW60" i="7"/>
  <c r="BX60" i="7"/>
  <c r="BY60" i="7"/>
  <c r="BZ60" i="7"/>
  <c r="CA60" i="7"/>
  <c r="CB60" i="7"/>
  <c r="I60" i="7"/>
  <c r="CG73" i="59"/>
  <c r="CG44" i="59"/>
  <c r="CG45" i="59"/>
  <c r="CG46" i="59"/>
  <c r="CG47" i="59"/>
  <c r="CG48" i="59"/>
  <c r="CG49" i="59"/>
  <c r="CG50" i="59"/>
  <c r="CG51" i="59"/>
  <c r="CG43" i="59"/>
  <c r="CG32" i="59"/>
  <c r="CG72" i="59"/>
  <c r="CG71" i="59"/>
  <c r="CG70" i="59"/>
  <c r="CG69" i="59"/>
  <c r="CG68" i="59"/>
  <c r="CG67" i="59"/>
  <c r="CG66" i="59"/>
  <c r="CG65" i="59"/>
  <c r="CG61" i="59"/>
  <c r="CG60" i="59"/>
  <c r="CG59" i="59"/>
  <c r="CG58" i="59"/>
  <c r="CG57" i="59"/>
  <c r="CG56" i="59"/>
  <c r="CG55" i="59"/>
  <c r="CG54" i="59"/>
  <c r="CG39" i="59"/>
  <c r="CG38" i="59"/>
  <c r="CG37" i="59"/>
  <c r="CG36" i="59"/>
  <c r="CG35" i="59"/>
  <c r="CG34" i="59"/>
  <c r="CG33" i="59"/>
  <c r="CG28" i="59"/>
  <c r="CG27" i="59"/>
  <c r="CG26" i="59"/>
  <c r="CG25" i="59"/>
  <c r="CG24" i="59"/>
  <c r="CG23" i="59"/>
  <c r="CG22" i="59"/>
  <c r="CG21" i="59"/>
  <c r="CG11" i="59"/>
  <c r="CG12" i="59"/>
  <c r="CG13" i="59"/>
  <c r="CG14" i="59"/>
  <c r="CG15" i="59"/>
  <c r="CG16" i="59"/>
  <c r="CG17" i="59"/>
  <c r="CG10" i="59"/>
  <c r="AX2" i="7"/>
  <c r="BA1" i="59"/>
  <c r="AY2" i="7"/>
  <c r="BB1" i="59"/>
  <c r="AZ2" i="7"/>
  <c r="BC1" i="59"/>
  <c r="BA2" i="7"/>
  <c r="BD1" i="59"/>
  <c r="BB2" i="7"/>
  <c r="BE1" i="59"/>
  <c r="BC2" i="7"/>
  <c r="BF1" i="59"/>
  <c r="BD2" i="7"/>
  <c r="BG1" i="59"/>
  <c r="BE2" i="7"/>
  <c r="BH1" i="59"/>
  <c r="BF2" i="7"/>
  <c r="BI1" i="59"/>
  <c r="BG2" i="7"/>
  <c r="BJ1" i="59"/>
  <c r="BH2" i="7"/>
  <c r="BK1" i="59"/>
  <c r="BI2" i="7"/>
  <c r="BL1" i="59"/>
  <c r="BJ2" i="7"/>
  <c r="BM1" i="59"/>
  <c r="BK2" i="7"/>
  <c r="BN1" i="59"/>
  <c r="BL2" i="7"/>
  <c r="BO1" i="59"/>
  <c r="BM2" i="7"/>
  <c r="BP1" i="59"/>
  <c r="BN2" i="7"/>
  <c r="BQ1" i="59"/>
  <c r="BO2" i="7"/>
  <c r="BR1" i="59"/>
  <c r="BP2" i="7"/>
  <c r="BS1" i="59"/>
  <c r="BQ2" i="7"/>
  <c r="BT1" i="59"/>
  <c r="BR2" i="7"/>
  <c r="BU1" i="59"/>
  <c r="BS2" i="7"/>
  <c r="BV1" i="59"/>
  <c r="BT2" i="7"/>
  <c r="BW1" i="59"/>
  <c r="BU2" i="7"/>
  <c r="BX1" i="59"/>
  <c r="BV2" i="7"/>
  <c r="BY1" i="59"/>
  <c r="BW2" i="7"/>
  <c r="BZ1" i="59"/>
  <c r="BX2" i="7"/>
  <c r="CA1" i="59"/>
  <c r="BY2" i="7"/>
  <c r="CB1" i="59"/>
  <c r="BZ2" i="7"/>
  <c r="CC1" i="59"/>
  <c r="CA2" i="7"/>
  <c r="CD1" i="59"/>
  <c r="CB2" i="7"/>
  <c r="CE1" i="59"/>
  <c r="I16" i="5"/>
  <c r="J16" i="5"/>
  <c r="K16" i="5"/>
  <c r="L16" i="5"/>
  <c r="M16" i="5"/>
  <c r="N16" i="5"/>
  <c r="O16" i="5"/>
  <c r="P16" i="5"/>
  <c r="Q16" i="5"/>
  <c r="R16" i="5"/>
  <c r="S16" i="5"/>
  <c r="T16" i="5"/>
  <c r="U16" i="5"/>
  <c r="V16" i="5"/>
  <c r="W16" i="5"/>
  <c r="X16" i="5"/>
  <c r="Y16" i="5"/>
  <c r="Z16" i="5"/>
  <c r="AA16" i="5"/>
  <c r="AB16" i="5"/>
  <c r="AC16" i="5"/>
  <c r="AD16" i="5"/>
  <c r="AE16" i="5"/>
  <c r="AF16" i="5"/>
  <c r="AG16" i="5"/>
  <c r="AH16" i="5"/>
  <c r="AI16" i="5"/>
  <c r="AJ16" i="5"/>
  <c r="AK16" i="5"/>
  <c r="AL16" i="5"/>
  <c r="AM16" i="5"/>
  <c r="AN16" i="5"/>
  <c r="AO16" i="5"/>
  <c r="AP16" i="5"/>
  <c r="AQ16" i="5"/>
  <c r="AR16" i="5"/>
  <c r="AS16" i="5"/>
  <c r="AT16" i="5"/>
  <c r="AU16" i="5"/>
  <c r="AV16" i="5"/>
  <c r="AW16" i="5"/>
  <c r="AX16" i="5"/>
  <c r="AY16" i="5"/>
  <c r="S36" i="65"/>
  <c r="T36" i="65"/>
  <c r="T29" i="65"/>
  <c r="S29" i="65"/>
  <c r="O36" i="65"/>
  <c r="N36" i="65"/>
  <c r="O29" i="65"/>
  <c r="N29" i="65"/>
  <c r="J24" i="44"/>
  <c r="J14" i="44"/>
  <c r="I29" i="65"/>
  <c r="H29" i="65"/>
  <c r="H36" i="65"/>
  <c r="I36" i="65"/>
  <c r="AX36" i="5"/>
  <c r="BZ36" i="5"/>
  <c r="BX36" i="5"/>
  <c r="BT36" i="5"/>
  <c r="BL36" i="5"/>
  <c r="BW36" i="5"/>
  <c r="BH36" i="5"/>
  <c r="BR36" i="5"/>
  <c r="BC36" i="5"/>
  <c r="CD36" i="5"/>
  <c r="BO36" i="5"/>
  <c r="BB36" i="5"/>
  <c r="CB36" i="5"/>
  <c r="BN36" i="5"/>
  <c r="AY36" i="5"/>
  <c r="BV36" i="5"/>
  <c r="BK36" i="5"/>
  <c r="AZ36" i="5"/>
  <c r="CA36" i="5"/>
  <c r="BP36" i="5"/>
  <c r="BF36" i="5"/>
  <c r="CC36" i="5"/>
  <c r="BU36" i="5"/>
  <c r="BM36" i="5"/>
  <c r="BE36" i="5"/>
  <c r="CD63" i="5"/>
  <c r="BY36" i="5"/>
  <c r="BQ36" i="5"/>
  <c r="BI36" i="5"/>
  <c r="BA36" i="5"/>
  <c r="CD64" i="7"/>
  <c r="CD60" i="7"/>
  <c r="CD61" i="7"/>
  <c r="CD65" i="7"/>
  <c r="CD62" i="7"/>
  <c r="CD63" i="7"/>
  <c r="CD68" i="7"/>
  <c r="CD67" i="7"/>
  <c r="AZ16" i="5"/>
  <c r="BA16" i="5"/>
  <c r="BB16" i="5"/>
  <c r="G43" i="48"/>
  <c r="AB42" i="48"/>
  <c r="AB43" i="48"/>
  <c r="AB44" i="48"/>
  <c r="AB45" i="48"/>
  <c r="AB46" i="48"/>
  <c r="AB48" i="48"/>
  <c r="AB49" i="48"/>
  <c r="AB41" i="48"/>
  <c r="AA42" i="48"/>
  <c r="AA43" i="48"/>
  <c r="AA44" i="48"/>
  <c r="AA45" i="48"/>
  <c r="AA46" i="48"/>
  <c r="AA48" i="48"/>
  <c r="AA49" i="48"/>
  <c r="AA41" i="48"/>
  <c r="Z42" i="48"/>
  <c r="Z43" i="48"/>
  <c r="Z44" i="48"/>
  <c r="Z45" i="48"/>
  <c r="AC45" i="48"/>
  <c r="Z46" i="48"/>
  <c r="Z48" i="48"/>
  <c r="Z49" i="48"/>
  <c r="Z41" i="48"/>
  <c r="Z43" i="28"/>
  <c r="BC16" i="5"/>
  <c r="Z50" i="48"/>
  <c r="AA50" i="48"/>
  <c r="AC44" i="48"/>
  <c r="AC42" i="48"/>
  <c r="AC49" i="48"/>
  <c r="AC48" i="48"/>
  <c r="AC46" i="48"/>
  <c r="AC41" i="48"/>
  <c r="AC43" i="48"/>
  <c r="AB50" i="48"/>
  <c r="C59" i="27"/>
  <c r="M33" i="44"/>
  <c r="M41" i="44"/>
  <c r="I41" i="44"/>
  <c r="C58" i="27"/>
  <c r="L33" i="44"/>
  <c r="C57" i="27"/>
  <c r="K33" i="44"/>
  <c r="C56" i="27"/>
  <c r="J33" i="44"/>
  <c r="F319" i="1"/>
  <c r="M38" i="44"/>
  <c r="I38" i="44"/>
  <c r="M39" i="44"/>
  <c r="M37" i="44"/>
  <c r="M40" i="44"/>
  <c r="I40" i="44"/>
  <c r="I37" i="44"/>
  <c r="BD16" i="5"/>
  <c r="AC50" i="48"/>
  <c r="M42" i="44"/>
  <c r="I42" i="44"/>
  <c r="BE16" i="5"/>
  <c r="C103" i="1"/>
  <c r="N93" i="22"/>
  <c r="O93" i="22"/>
  <c r="P93" i="22"/>
  <c r="Q93" i="22"/>
  <c r="R93" i="22"/>
  <c r="S93" i="22"/>
  <c r="T93" i="22"/>
  <c r="U93" i="22"/>
  <c r="V93" i="22"/>
  <c r="W93" i="22"/>
  <c r="X93" i="22"/>
  <c r="Y93" i="22"/>
  <c r="Z93" i="22"/>
  <c r="AA93" i="22"/>
  <c r="AB93" i="22"/>
  <c r="AC93" i="22"/>
  <c r="AD93" i="22"/>
  <c r="AE93" i="22"/>
  <c r="AF93" i="22"/>
  <c r="AG93" i="22"/>
  <c r="AH93" i="22"/>
  <c r="AI93" i="22"/>
  <c r="AJ93" i="22"/>
  <c r="AK93" i="22"/>
  <c r="AL93" i="22"/>
  <c r="AM93" i="22"/>
  <c r="AN93" i="22"/>
  <c r="AO93" i="22"/>
  <c r="AP93" i="22"/>
  <c r="M93" i="22"/>
  <c r="N91" i="22"/>
  <c r="O91" i="22"/>
  <c r="P91" i="22"/>
  <c r="Q91" i="22"/>
  <c r="R91" i="22"/>
  <c r="S91" i="22"/>
  <c r="T91" i="22"/>
  <c r="U91" i="22"/>
  <c r="V91" i="22"/>
  <c r="W91" i="22"/>
  <c r="X91" i="22"/>
  <c r="Y91" i="22"/>
  <c r="Z91" i="22"/>
  <c r="AA91" i="22"/>
  <c r="AB91" i="22"/>
  <c r="AC91" i="22"/>
  <c r="AD91" i="22"/>
  <c r="AE91" i="22"/>
  <c r="AF91" i="22"/>
  <c r="AG91" i="22"/>
  <c r="AH91" i="22"/>
  <c r="AI91" i="22"/>
  <c r="AJ91" i="22"/>
  <c r="AK91" i="22"/>
  <c r="AL91" i="22"/>
  <c r="AM91" i="22"/>
  <c r="AN91" i="22"/>
  <c r="AO91" i="22"/>
  <c r="AP91" i="22"/>
  <c r="M91" i="22"/>
  <c r="N90" i="22"/>
  <c r="O90" i="22"/>
  <c r="P90" i="22"/>
  <c r="Q90" i="22"/>
  <c r="R90" i="22"/>
  <c r="S90" i="22"/>
  <c r="T90" i="22"/>
  <c r="U90" i="22"/>
  <c r="V90" i="22"/>
  <c r="W90" i="22"/>
  <c r="X90" i="22"/>
  <c r="Y90" i="22"/>
  <c r="Z90" i="22"/>
  <c r="AA90" i="22"/>
  <c r="AB90" i="22"/>
  <c r="AC90" i="22"/>
  <c r="AD90" i="22"/>
  <c r="AE90" i="22"/>
  <c r="AF90" i="22"/>
  <c r="AG90" i="22"/>
  <c r="AH90" i="22"/>
  <c r="AI90" i="22"/>
  <c r="AJ90" i="22"/>
  <c r="AK90" i="22"/>
  <c r="AL90" i="22"/>
  <c r="AM90" i="22"/>
  <c r="AN90" i="22"/>
  <c r="AO90" i="22"/>
  <c r="AP90" i="22"/>
  <c r="M90" i="22"/>
  <c r="P108" i="28"/>
  <c r="Y135" i="28"/>
  <c r="Y134" i="28"/>
  <c r="Y124" i="28"/>
  <c r="Y123" i="28"/>
  <c r="P120" i="28"/>
  <c r="P119" i="28"/>
  <c r="P109" i="28"/>
  <c r="P114" i="28"/>
  <c r="P115" i="28"/>
  <c r="D15" i="64"/>
  <c r="G15" i="64"/>
  <c r="E15" i="64"/>
  <c r="H15" i="64"/>
  <c r="E14" i="64"/>
  <c r="H14" i="64"/>
  <c r="D14" i="64"/>
  <c r="G14" i="64"/>
  <c r="D13" i="64"/>
  <c r="G13" i="64"/>
  <c r="E13" i="64"/>
  <c r="H13" i="64"/>
  <c r="E12" i="64"/>
  <c r="H12" i="64"/>
  <c r="D12" i="64"/>
  <c r="G12" i="64"/>
  <c r="D11" i="64"/>
  <c r="G11" i="64"/>
  <c r="E11" i="64"/>
  <c r="H11" i="64"/>
  <c r="E10" i="64"/>
  <c r="H10" i="64"/>
  <c r="D10" i="64"/>
  <c r="G10" i="64"/>
  <c r="G16" i="64"/>
  <c r="G17" i="64"/>
  <c r="E16" i="64"/>
  <c r="D16" i="64"/>
  <c r="D3" i="64"/>
  <c r="G3" i="64"/>
  <c r="D4" i="64"/>
  <c r="G4" i="64"/>
  <c r="D5" i="64"/>
  <c r="G5" i="64"/>
  <c r="G6" i="64"/>
  <c r="E5" i="64"/>
  <c r="H5" i="64"/>
  <c r="E4" i="64"/>
  <c r="E3" i="64"/>
  <c r="E6" i="64"/>
  <c r="H3" i="64"/>
  <c r="D6" i="64"/>
  <c r="D15" i="63"/>
  <c r="G15" i="63"/>
  <c r="E15" i="63"/>
  <c r="H15" i="63"/>
  <c r="E14" i="63"/>
  <c r="H14" i="63"/>
  <c r="D14" i="63"/>
  <c r="G14" i="63"/>
  <c r="D13" i="63"/>
  <c r="G13" i="63"/>
  <c r="E13" i="63"/>
  <c r="H13" i="63"/>
  <c r="E12" i="63"/>
  <c r="H12" i="63"/>
  <c r="D12" i="63"/>
  <c r="G12" i="63"/>
  <c r="D11" i="63"/>
  <c r="G11" i="63"/>
  <c r="E11" i="63"/>
  <c r="H11" i="63"/>
  <c r="E10" i="63"/>
  <c r="H10" i="63"/>
  <c r="H16" i="63"/>
  <c r="H18" i="63"/>
  <c r="E16" i="63"/>
  <c r="D10" i="63"/>
  <c r="G10" i="63"/>
  <c r="E5" i="63"/>
  <c r="H5" i="63"/>
  <c r="D5" i="63"/>
  <c r="G5" i="63"/>
  <c r="E4" i="63"/>
  <c r="H4" i="63"/>
  <c r="E3" i="63"/>
  <c r="H3" i="63"/>
  <c r="H6" i="63"/>
  <c r="H7" i="63"/>
  <c r="D4" i="63"/>
  <c r="G4" i="63"/>
  <c r="E6" i="63"/>
  <c r="D3" i="63"/>
  <c r="G3" i="63"/>
  <c r="G6" i="63"/>
  <c r="G7" i="63"/>
  <c r="D6" i="63"/>
  <c r="BF16" i="5"/>
  <c r="P124" i="28"/>
  <c r="P125" i="28"/>
  <c r="Y129" i="28"/>
  <c r="Y137" i="28"/>
  <c r="Y138" i="28"/>
  <c r="H4" i="64"/>
  <c r="H6" i="64"/>
  <c r="H16" i="64"/>
  <c r="H17" i="64"/>
  <c r="G16" i="63"/>
  <c r="G18" i="63"/>
  <c r="D16" i="63"/>
  <c r="D10" i="62"/>
  <c r="D11" i="62"/>
  <c r="D12" i="62"/>
  <c r="H19" i="62"/>
  <c r="H21" i="62"/>
  <c r="I3" i="62"/>
  <c r="I4" i="62"/>
  <c r="I5" i="62"/>
  <c r="E18" i="62"/>
  <c r="I14" i="62"/>
  <c r="E19" i="62"/>
  <c r="H17" i="62"/>
  <c r="E20" i="62"/>
  <c r="E21" i="62"/>
  <c r="H3" i="62"/>
  <c r="H4" i="62"/>
  <c r="H5" i="62"/>
  <c r="D18" i="62"/>
  <c r="D19" i="62"/>
  <c r="D20" i="62"/>
  <c r="D21" i="62"/>
  <c r="H9" i="62"/>
  <c r="I7" i="62"/>
  <c r="H7" i="62"/>
  <c r="E10" i="62"/>
  <c r="E11" i="62"/>
  <c r="E12" i="62"/>
  <c r="J10" i="62"/>
  <c r="E3" i="62"/>
  <c r="E4" i="62"/>
  <c r="E5" i="62"/>
  <c r="E6" i="62"/>
  <c r="D5" i="62"/>
  <c r="D4" i="62"/>
  <c r="D3" i="62"/>
  <c r="D6" i="62"/>
  <c r="BG16" i="5"/>
  <c r="Y43" i="28"/>
  <c r="Z60" i="48"/>
  <c r="Y47" i="28"/>
  <c r="Z58" i="48"/>
  <c r="Y46" i="28"/>
  <c r="Z57" i="48"/>
  <c r="Y45" i="28"/>
  <c r="Z56" i="48"/>
  <c r="Y42" i="28"/>
  <c r="P46" i="28"/>
  <c r="P43" i="28"/>
  <c r="P48" i="28"/>
  <c r="P47" i="28"/>
  <c r="P45" i="28"/>
  <c r="P42" i="28"/>
  <c r="L150" i="30"/>
  <c r="F153" i="28"/>
  <c r="F169" i="28"/>
  <c r="X63" i="30"/>
  <c r="O63" i="30"/>
  <c r="F63" i="30"/>
  <c r="Q70" i="28"/>
  <c r="Z70" i="28"/>
  <c r="Y70" i="28"/>
  <c r="P70" i="28"/>
  <c r="H70" i="28"/>
  <c r="I15" i="44"/>
  <c r="H15" i="44"/>
  <c r="I14" i="44"/>
  <c r="H14" i="44"/>
  <c r="I13" i="44"/>
  <c r="H13" i="44"/>
  <c r="I12" i="44"/>
  <c r="H12" i="44"/>
  <c r="I11" i="44"/>
  <c r="H11" i="44"/>
  <c r="I10" i="44"/>
  <c r="H10" i="44"/>
  <c r="I9" i="44"/>
  <c r="H9" i="44"/>
  <c r="I28" i="44"/>
  <c r="H28" i="44"/>
  <c r="I26" i="44"/>
  <c r="H26" i="44"/>
  <c r="I24" i="44"/>
  <c r="H24" i="44"/>
  <c r="I8" i="44"/>
  <c r="H8" i="44"/>
  <c r="I7" i="44"/>
  <c r="H7" i="44"/>
  <c r="M24" i="44"/>
  <c r="G64" i="44"/>
  <c r="H64" i="44"/>
  <c r="G54" i="44"/>
  <c r="H54" i="44"/>
  <c r="Z54" i="48"/>
  <c r="BH16" i="5"/>
  <c r="BI16" i="5"/>
  <c r="BJ16" i="5"/>
  <c r="BK16" i="5"/>
  <c r="BL16" i="5"/>
  <c r="G38" i="30"/>
  <c r="D139" i="7"/>
  <c r="D140" i="7"/>
  <c r="D141" i="7"/>
  <c r="D142" i="7"/>
  <c r="D143" i="7"/>
  <c r="D144" i="7"/>
  <c r="D145" i="7"/>
  <c r="D146" i="7"/>
  <c r="D138" i="7"/>
  <c r="D66" i="7"/>
  <c r="F177" i="56"/>
  <c r="E177" i="56"/>
  <c r="G173" i="56"/>
  <c r="G171" i="56"/>
  <c r="J182" i="56"/>
  <c r="E183" i="56"/>
  <c r="E180" i="56"/>
  <c r="E186" i="56"/>
  <c r="D61" i="7"/>
  <c r="D62" i="7"/>
  <c r="D63" i="7"/>
  <c r="D64" i="7"/>
  <c r="D65" i="7"/>
  <c r="D67" i="7"/>
  <c r="D68" i="7"/>
  <c r="D60" i="7"/>
  <c r="BA43" i="43"/>
  <c r="BA44" i="43"/>
  <c r="AZ43" i="43"/>
  <c r="AZ44" i="43"/>
  <c r="F121" i="28"/>
  <c r="E121" i="28"/>
  <c r="H145" i="28"/>
  <c r="I145" i="28"/>
  <c r="E145" i="28"/>
  <c r="F145" i="28"/>
  <c r="L148" i="30"/>
  <c r="J81" i="22"/>
  <c r="F4" i="30"/>
  <c r="F5" i="30"/>
  <c r="E17" i="61"/>
  <c r="F18" i="61"/>
  <c r="E18" i="61"/>
  <c r="D17" i="61"/>
  <c r="D18" i="61"/>
  <c r="J253" i="22"/>
  <c r="J240" i="22"/>
  <c r="J243" i="22"/>
  <c r="G121" i="28"/>
  <c r="M36" i="43"/>
  <c r="E115" i="28"/>
  <c r="E117" i="28"/>
  <c r="BM16" i="5"/>
  <c r="D177" i="56"/>
  <c r="I36" i="43"/>
  <c r="AP36" i="43"/>
  <c r="AH36" i="43"/>
  <c r="AQ36" i="43"/>
  <c r="AW36" i="43"/>
  <c r="AO36" i="43"/>
  <c r="AG36" i="43"/>
  <c r="AV36" i="43"/>
  <c r="AN36" i="43"/>
  <c r="X36" i="43"/>
  <c r="P36" i="43"/>
  <c r="AJ36" i="43"/>
  <c r="AM36" i="43"/>
  <c r="AT36" i="43"/>
  <c r="N36" i="43"/>
  <c r="AR36" i="43"/>
  <c r="L36" i="43"/>
  <c r="AU36" i="43"/>
  <c r="AS36" i="43"/>
  <c r="AK36" i="43"/>
  <c r="AC36" i="43"/>
  <c r="U36" i="43"/>
  <c r="AA36" i="43"/>
  <c r="K36" i="43"/>
  <c r="V36" i="43"/>
  <c r="AI36" i="43"/>
  <c r="O36" i="43"/>
  <c r="AD36" i="43"/>
  <c r="T36" i="43"/>
  <c r="AB36" i="43"/>
  <c r="W36" i="43"/>
  <c r="AL36" i="43"/>
  <c r="Q36" i="43"/>
  <c r="J36" i="43"/>
  <c r="AE36" i="43"/>
  <c r="Y36" i="43"/>
  <c r="R36" i="43"/>
  <c r="Z36" i="43"/>
  <c r="AF36" i="43"/>
  <c r="S36" i="43"/>
  <c r="BN16" i="5"/>
  <c r="D141" i="12"/>
  <c r="D142" i="12"/>
  <c r="D143" i="12"/>
  <c r="D144" i="12"/>
  <c r="D140" i="12"/>
  <c r="D79" i="12"/>
  <c r="J271" i="22"/>
  <c r="J501" i="22"/>
  <c r="F152" i="1"/>
  <c r="BO16" i="5"/>
  <c r="BP16" i="5"/>
  <c r="F29" i="1"/>
  <c r="F38" i="12"/>
  <c r="BQ16" i="5"/>
  <c r="J111" i="22"/>
  <c r="C75" i="27"/>
  <c r="C74" i="27"/>
  <c r="F152" i="28"/>
  <c r="BR16" i="5"/>
  <c r="C68" i="27"/>
  <c r="C73" i="27"/>
  <c r="C70" i="27"/>
  <c r="C69" i="27"/>
  <c r="BS16" i="5"/>
  <c r="Z20" i="48"/>
  <c r="Z19" i="48"/>
  <c r="L51" i="22"/>
  <c r="Z4" i="48"/>
  <c r="Z5" i="48"/>
  <c r="Z6" i="48"/>
  <c r="Z7" i="48"/>
  <c r="Z8" i="48"/>
  <c r="Z9" i="48"/>
  <c r="Z11" i="48"/>
  <c r="Z12" i="48"/>
  <c r="AA5" i="48"/>
  <c r="AA6" i="48"/>
  <c r="AA7" i="48"/>
  <c r="AA8" i="48"/>
  <c r="AA9" i="48"/>
  <c r="AA11" i="48"/>
  <c r="AA12" i="48"/>
  <c r="AA4" i="48"/>
  <c r="BT16" i="5"/>
  <c r="AA13" i="48"/>
  <c r="Z13" i="48"/>
  <c r="Q46" i="22"/>
  <c r="R46" i="22"/>
  <c r="S46" i="22"/>
  <c r="T46" i="22"/>
  <c r="U46" i="22"/>
  <c r="V46" i="22"/>
  <c r="W46" i="22"/>
  <c r="X46" i="22"/>
  <c r="Y46" i="22"/>
  <c r="Z46" i="22"/>
  <c r="AA46" i="22"/>
  <c r="AB46" i="22"/>
  <c r="AC46" i="22"/>
  <c r="AD46" i="22"/>
  <c r="AE46" i="22"/>
  <c r="AF46" i="22"/>
  <c r="AG46" i="22"/>
  <c r="AH46" i="22"/>
  <c r="AI46" i="22"/>
  <c r="AJ46" i="22"/>
  <c r="AK46" i="22"/>
  <c r="AL46" i="22"/>
  <c r="AM46" i="22"/>
  <c r="AN46" i="22"/>
  <c r="AO46" i="22"/>
  <c r="AP46" i="22"/>
  <c r="B8" i="34"/>
  <c r="B9" i="34"/>
  <c r="B10" i="34"/>
  <c r="B11" i="34"/>
  <c r="B12" i="34"/>
  <c r="B13" i="34"/>
  <c r="B14" i="34"/>
  <c r="B15" i="34"/>
  <c r="B16" i="34"/>
  <c r="B17" i="34"/>
  <c r="B18" i="34"/>
  <c r="B19" i="34"/>
  <c r="B20" i="34"/>
  <c r="B21" i="34"/>
  <c r="B22" i="34"/>
  <c r="B23" i="34"/>
  <c r="B24" i="34"/>
  <c r="B25" i="34"/>
  <c r="B26" i="34"/>
  <c r="B27" i="34"/>
  <c r="B28" i="34"/>
  <c r="B29" i="34"/>
  <c r="B30" i="34"/>
  <c r="B31" i="34"/>
  <c r="B32" i="34"/>
  <c r="B33" i="34"/>
  <c r="B34" i="34"/>
  <c r="B35" i="34"/>
  <c r="B36" i="34"/>
  <c r="B37" i="34"/>
  <c r="B38" i="34"/>
  <c r="B39" i="34"/>
  <c r="B40" i="34"/>
  <c r="B41" i="34"/>
  <c r="B42" i="34"/>
  <c r="BU16" i="5"/>
  <c r="L22" i="44"/>
  <c r="BV16" i="5"/>
  <c r="G59" i="44"/>
  <c r="H59" i="44"/>
  <c r="G45" i="28"/>
  <c r="G46" i="28"/>
  <c r="G47" i="28"/>
  <c r="T143" i="45"/>
  <c r="F155" i="56"/>
  <c r="G155" i="56"/>
  <c r="H155" i="56"/>
  <c r="I155" i="56"/>
  <c r="J155" i="56"/>
  <c r="K155" i="56"/>
  <c r="L155" i="56"/>
  <c r="M155" i="56"/>
  <c r="N155" i="56"/>
  <c r="O155" i="56"/>
  <c r="P155" i="56"/>
  <c r="Q155" i="56"/>
  <c r="R155" i="56"/>
  <c r="S155" i="56"/>
  <c r="T155" i="56"/>
  <c r="U155" i="56"/>
  <c r="V155" i="56"/>
  <c r="W155" i="56"/>
  <c r="X155" i="56"/>
  <c r="Y155" i="56"/>
  <c r="Z155" i="56"/>
  <c r="AA155" i="56"/>
  <c r="AB155" i="56"/>
  <c r="AC155" i="56"/>
  <c r="AD155" i="56"/>
  <c r="AE155" i="56"/>
  <c r="AF155" i="56"/>
  <c r="AG155" i="56"/>
  <c r="AH155" i="56"/>
  <c r="AI155" i="56"/>
  <c r="AJ155" i="56"/>
  <c r="AK155" i="56"/>
  <c r="AL155" i="56"/>
  <c r="AM155" i="56"/>
  <c r="AN155" i="56"/>
  <c r="AO155" i="56"/>
  <c r="AP155" i="56"/>
  <c r="AQ155" i="56"/>
  <c r="AR155" i="56"/>
  <c r="AS155" i="56"/>
  <c r="AT155" i="56"/>
  <c r="AU155" i="56"/>
  <c r="D155" i="56"/>
  <c r="E155" i="56"/>
  <c r="C155" i="56"/>
  <c r="AR154" i="56"/>
  <c r="AS154" i="56"/>
  <c r="AT154" i="56"/>
  <c r="AU154" i="56"/>
  <c r="F154" i="56"/>
  <c r="G154" i="56"/>
  <c r="H154" i="56"/>
  <c r="I154" i="56"/>
  <c r="J154" i="56"/>
  <c r="K154" i="56"/>
  <c r="L154" i="56"/>
  <c r="M154" i="56"/>
  <c r="N154" i="56"/>
  <c r="O154" i="56"/>
  <c r="P154" i="56"/>
  <c r="Q154" i="56"/>
  <c r="R154" i="56"/>
  <c r="S154" i="56"/>
  <c r="T154" i="56"/>
  <c r="U154" i="56"/>
  <c r="V154" i="56"/>
  <c r="W154" i="56"/>
  <c r="X154" i="56"/>
  <c r="Y154" i="56"/>
  <c r="Z154" i="56"/>
  <c r="AA154" i="56"/>
  <c r="AB154" i="56"/>
  <c r="AC154" i="56"/>
  <c r="AD154" i="56"/>
  <c r="AE154" i="56"/>
  <c r="AF154" i="56"/>
  <c r="AG154" i="56"/>
  <c r="AH154" i="56"/>
  <c r="AI154" i="56"/>
  <c r="AJ154" i="56"/>
  <c r="AK154" i="56"/>
  <c r="AL154" i="56"/>
  <c r="AM154" i="56"/>
  <c r="AN154" i="56"/>
  <c r="AO154" i="56"/>
  <c r="AP154" i="56"/>
  <c r="AQ154" i="56"/>
  <c r="D154" i="56"/>
  <c r="E154" i="56"/>
  <c r="C154" i="56"/>
  <c r="AI60" i="56"/>
  <c r="AJ60" i="56"/>
  <c r="AK60" i="56"/>
  <c r="AL60" i="56"/>
  <c r="AM60" i="56"/>
  <c r="AN60" i="56"/>
  <c r="AO60" i="56"/>
  <c r="AP60" i="56"/>
  <c r="AQ60" i="56"/>
  <c r="AR60" i="56"/>
  <c r="AS60" i="56"/>
  <c r="O10" i="57"/>
  <c r="O9" i="57"/>
  <c r="N13" i="57"/>
  <c r="N20" i="57"/>
  <c r="L13" i="57"/>
  <c r="L17" i="57"/>
  <c r="L18" i="57"/>
  <c r="L19" i="57"/>
  <c r="L21" i="57"/>
  <c r="M13" i="57"/>
  <c r="M17" i="57"/>
  <c r="M18" i="57"/>
  <c r="M20" i="57"/>
  <c r="M21" i="57"/>
  <c r="N17" i="57"/>
  <c r="N18" i="57"/>
  <c r="N21" i="57"/>
  <c r="O13" i="57"/>
  <c r="O18" i="57"/>
  <c r="K13" i="57"/>
  <c r="K14" i="57"/>
  <c r="J15" i="57"/>
  <c r="L1" i="57"/>
  <c r="M1" i="57"/>
  <c r="N1" i="57"/>
  <c r="O1" i="57"/>
  <c r="K1" i="57"/>
  <c r="L25" i="57"/>
  <c r="BW16" i="5"/>
  <c r="O17" i="57"/>
  <c r="N14" i="57"/>
  <c r="N15" i="57"/>
  <c r="M15" i="57"/>
  <c r="M14" i="57"/>
  <c r="K15" i="57"/>
  <c r="K20" i="57"/>
  <c r="K18" i="57"/>
  <c r="K17" i="57"/>
  <c r="D42" i="57"/>
  <c r="G42" i="57"/>
  <c r="I76" i="57"/>
  <c r="G42" i="28"/>
  <c r="D44" i="57"/>
  <c r="D46" i="57"/>
  <c r="G46" i="57"/>
  <c r="E46" i="57"/>
  <c r="E44" i="57"/>
  <c r="G44" i="57"/>
  <c r="E42" i="57"/>
  <c r="H53" i="57"/>
  <c r="BX16" i="5"/>
  <c r="L39" i="44"/>
  <c r="H39" i="44"/>
  <c r="K39" i="44"/>
  <c r="G39" i="44"/>
  <c r="E39" i="44"/>
  <c r="J39" i="44"/>
  <c r="F39" i="44"/>
  <c r="L40" i="44"/>
  <c r="H40" i="44"/>
  <c r="J40" i="44"/>
  <c r="F40" i="44"/>
  <c r="K40" i="44"/>
  <c r="G40" i="44"/>
  <c r="E40" i="44"/>
  <c r="K37" i="44"/>
  <c r="G37" i="44"/>
  <c r="E37" i="44"/>
  <c r="J37" i="44"/>
  <c r="L37" i="44"/>
  <c r="H37" i="44"/>
  <c r="K41" i="44"/>
  <c r="G41" i="44"/>
  <c r="E41" i="44"/>
  <c r="L41" i="44"/>
  <c r="H41" i="44"/>
  <c r="J41" i="44"/>
  <c r="F41" i="44"/>
  <c r="J38" i="44"/>
  <c r="F38" i="44"/>
  <c r="L38" i="44"/>
  <c r="H38" i="44"/>
  <c r="K38" i="44"/>
  <c r="G38" i="44"/>
  <c r="E38" i="44"/>
  <c r="O21" i="57"/>
  <c r="K21" i="57"/>
  <c r="K23" i="57"/>
  <c r="D195" i="7"/>
  <c r="D53" i="7"/>
  <c r="D91" i="7"/>
  <c r="D130" i="7"/>
  <c r="D170" i="7"/>
  <c r="F184" i="48"/>
  <c r="F183" i="48"/>
  <c r="F182" i="48"/>
  <c r="F179" i="48"/>
  <c r="F176" i="48"/>
  <c r="F175" i="48"/>
  <c r="BE198" i="48"/>
  <c r="J42" i="44"/>
  <c r="F37" i="44"/>
  <c r="H42" i="44"/>
  <c r="BY16" i="5"/>
  <c r="G42" i="44"/>
  <c r="L42" i="44"/>
  <c r="K42" i="44"/>
  <c r="F177" i="48"/>
  <c r="BZ16" i="5"/>
  <c r="E42" i="44"/>
  <c r="F42" i="44"/>
  <c r="I124" i="49"/>
  <c r="H144" i="49"/>
  <c r="G144" i="49"/>
  <c r="F144" i="49"/>
  <c r="O126" i="49"/>
  <c r="O124" i="49"/>
  <c r="O125" i="49"/>
  <c r="O127" i="49"/>
  <c r="I123" i="49"/>
  <c r="U135" i="49"/>
  <c r="T135" i="49"/>
  <c r="T137" i="49"/>
  <c r="S135" i="49"/>
  <c r="P135" i="49"/>
  <c r="O135" i="49"/>
  <c r="N126" i="49"/>
  <c r="M135" i="49"/>
  <c r="L135" i="49"/>
  <c r="R124" i="49"/>
  <c r="M126" i="49"/>
  <c r="I136" i="49"/>
  <c r="J136" i="49"/>
  <c r="K136" i="49"/>
  <c r="L126" i="49"/>
  <c r="I135" i="49"/>
  <c r="I137" i="49"/>
  <c r="J135" i="49"/>
  <c r="J137" i="49"/>
  <c r="K137" i="49"/>
  <c r="K135" i="49"/>
  <c r="H136" i="49"/>
  <c r="F135" i="49"/>
  <c r="F137" i="49"/>
  <c r="G135" i="49"/>
  <c r="G137" i="49"/>
  <c r="H137" i="49"/>
  <c r="H135" i="49"/>
  <c r="U137" i="49"/>
  <c r="P136" i="49"/>
  <c r="O136" i="49"/>
  <c r="O137" i="49"/>
  <c r="M136" i="49"/>
  <c r="M137" i="49"/>
  <c r="L136" i="49"/>
  <c r="S137" i="49"/>
  <c r="P137" i="49"/>
  <c r="I125" i="49"/>
  <c r="CA16" i="5"/>
  <c r="L137" i="49"/>
  <c r="CB16" i="5"/>
  <c r="AX50" i="43"/>
  <c r="AH125" i="58"/>
  <c r="AI125" i="58"/>
  <c r="AH80" i="58"/>
  <c r="AI80" i="58"/>
  <c r="AH81" i="58"/>
  <c r="AI81" i="58"/>
  <c r="AH82" i="58"/>
  <c r="AI82" i="58"/>
  <c r="AH83" i="58"/>
  <c r="AI83" i="58"/>
  <c r="AH84" i="58"/>
  <c r="AI84" i="58"/>
  <c r="AH85" i="58"/>
  <c r="AI85" i="58"/>
  <c r="AH86" i="58"/>
  <c r="AI86" i="58"/>
  <c r="AH100" i="58"/>
  <c r="AI100" i="58"/>
  <c r="AH101" i="58"/>
  <c r="AI101" i="58"/>
  <c r="AH102" i="58"/>
  <c r="AI102" i="58"/>
  <c r="AH103" i="58"/>
  <c r="AI103" i="58"/>
  <c r="AH104" i="58"/>
  <c r="AI104" i="58"/>
  <c r="AH105" i="58"/>
  <c r="AI105" i="58"/>
  <c r="AH106" i="58"/>
  <c r="AI106" i="58"/>
  <c r="C31" i="11"/>
  <c r="L35" i="22"/>
  <c r="L39" i="22"/>
  <c r="L43" i="22"/>
  <c r="L48" i="22"/>
  <c r="L47" i="22"/>
  <c r="L55" i="22"/>
  <c r="L59" i="22"/>
  <c r="L58" i="22"/>
  <c r="AH4" i="58"/>
  <c r="AH5" i="58"/>
  <c r="AH6" i="58"/>
  <c r="AH8" i="58"/>
  <c r="AH26" i="58"/>
  <c r="J521" i="53"/>
  <c r="J522" i="1"/>
  <c r="J521" i="47"/>
  <c r="J521" i="46"/>
  <c r="J521" i="49"/>
  <c r="J521" i="45"/>
  <c r="J527" i="48"/>
  <c r="J521" i="7"/>
  <c r="J521" i="19"/>
  <c r="J521" i="54"/>
  <c r="K514" i="28"/>
  <c r="J497" i="53"/>
  <c r="J498" i="1"/>
  <c r="J497" i="47"/>
  <c r="J497" i="46"/>
  <c r="J497" i="49"/>
  <c r="J497" i="45"/>
  <c r="J503" i="48"/>
  <c r="J497" i="7"/>
  <c r="J497" i="19"/>
  <c r="J497" i="54"/>
  <c r="K490" i="28"/>
  <c r="J488" i="53"/>
  <c r="J489" i="1"/>
  <c r="J488" i="47"/>
  <c r="J488" i="46"/>
  <c r="J488" i="49"/>
  <c r="J488" i="45"/>
  <c r="J494" i="48"/>
  <c r="J488" i="7"/>
  <c r="J488" i="19"/>
  <c r="J488" i="54"/>
  <c r="K481" i="28"/>
  <c r="CC16" i="5"/>
  <c r="AI107" i="58"/>
  <c r="AH107" i="58"/>
  <c r="J397" i="22"/>
  <c r="J399" i="22"/>
  <c r="U53" i="57"/>
  <c r="U56" i="57"/>
  <c r="V53" i="57"/>
  <c r="V56" i="57"/>
  <c r="I78" i="57"/>
  <c r="H76" i="57"/>
  <c r="H78" i="57"/>
  <c r="G76" i="57"/>
  <c r="G78" i="57"/>
  <c r="E90" i="57"/>
  <c r="T53" i="57"/>
  <c r="T56" i="57"/>
  <c r="R53" i="57"/>
  <c r="R56" i="57"/>
  <c r="Q53" i="57"/>
  <c r="Q56" i="57"/>
  <c r="O53" i="57"/>
  <c r="O56" i="57"/>
  <c r="N53" i="57"/>
  <c r="N56" i="57"/>
  <c r="H56" i="57"/>
  <c r="L53" i="57"/>
  <c r="L56" i="57"/>
  <c r="K53" i="57"/>
  <c r="K56" i="57"/>
  <c r="I53" i="57"/>
  <c r="I56" i="57"/>
  <c r="E68" i="57"/>
  <c r="J400" i="22"/>
  <c r="J311" i="22"/>
  <c r="C87" i="1"/>
  <c r="J297" i="22"/>
  <c r="J402" i="22"/>
  <c r="J354" i="22"/>
  <c r="P35" i="57"/>
  <c r="K32" i="57"/>
  <c r="H52" i="57"/>
  <c r="M25" i="57"/>
  <c r="N25" i="57"/>
  <c r="O25" i="57"/>
  <c r="K25" i="57"/>
  <c r="I189" i="30"/>
  <c r="J189" i="30"/>
  <c r="I188" i="30"/>
  <c r="J188" i="30"/>
  <c r="J187" i="30"/>
  <c r="H188" i="30"/>
  <c r="H189" i="30"/>
  <c r="H187" i="30"/>
  <c r="K38" i="57"/>
  <c r="H54" i="57"/>
  <c r="H65" i="57"/>
  <c r="I196" i="12"/>
  <c r="H63" i="57"/>
  <c r="H64" i="57"/>
  <c r="H58" i="57"/>
  <c r="H66" i="57"/>
  <c r="H67" i="57"/>
  <c r="H60" i="57"/>
  <c r="H57" i="57"/>
  <c r="H59" i="57"/>
  <c r="H61" i="57"/>
  <c r="H62" i="57"/>
  <c r="AT116" i="56"/>
  <c r="H68" i="57"/>
  <c r="H69" i="57"/>
  <c r="AT101" i="56"/>
  <c r="F79" i="56"/>
  <c r="F97" i="56"/>
  <c r="G79" i="56"/>
  <c r="G97" i="56"/>
  <c r="H79" i="56"/>
  <c r="H97" i="56"/>
  <c r="I79" i="56"/>
  <c r="I97" i="56"/>
  <c r="J79" i="56"/>
  <c r="J97" i="56"/>
  <c r="K79" i="56"/>
  <c r="K97" i="56"/>
  <c r="L79" i="56"/>
  <c r="L97" i="56"/>
  <c r="M79" i="56"/>
  <c r="M97" i="56"/>
  <c r="N79" i="56"/>
  <c r="N97" i="56"/>
  <c r="O79" i="56"/>
  <c r="O97" i="56"/>
  <c r="P79" i="56"/>
  <c r="P97" i="56"/>
  <c r="Q79" i="56"/>
  <c r="Q97" i="56"/>
  <c r="R79" i="56"/>
  <c r="R97" i="56"/>
  <c r="S79" i="56"/>
  <c r="S97" i="56"/>
  <c r="T79" i="56"/>
  <c r="T97" i="56"/>
  <c r="U79" i="56"/>
  <c r="U97" i="56"/>
  <c r="V79" i="56"/>
  <c r="V97" i="56"/>
  <c r="W79" i="56"/>
  <c r="W97" i="56"/>
  <c r="X79" i="56"/>
  <c r="X97" i="56"/>
  <c r="Y79" i="56"/>
  <c r="Y97" i="56"/>
  <c r="Z79" i="56"/>
  <c r="Z97" i="56"/>
  <c r="AA79" i="56"/>
  <c r="AA97" i="56"/>
  <c r="AB79" i="56"/>
  <c r="AB97" i="56"/>
  <c r="AC79" i="56"/>
  <c r="AC97" i="56"/>
  <c r="AD79" i="56"/>
  <c r="AD97" i="56"/>
  <c r="AE79" i="56"/>
  <c r="AE97" i="56"/>
  <c r="AF79" i="56"/>
  <c r="AF97" i="56"/>
  <c r="AG79" i="56"/>
  <c r="AG97" i="56"/>
  <c r="AH79" i="56"/>
  <c r="AH97" i="56"/>
  <c r="AI79" i="56"/>
  <c r="AI97" i="56"/>
  <c r="AJ79" i="56"/>
  <c r="AJ97" i="56"/>
  <c r="AK79" i="56"/>
  <c r="AK97" i="56"/>
  <c r="AL79" i="56"/>
  <c r="AL97" i="56"/>
  <c r="AM79" i="56"/>
  <c r="AM97" i="56"/>
  <c r="AN79" i="56"/>
  <c r="AN97" i="56"/>
  <c r="AO79" i="56"/>
  <c r="AO97" i="56"/>
  <c r="AP79" i="56"/>
  <c r="AP97" i="56"/>
  <c r="AQ79" i="56"/>
  <c r="AQ97" i="56"/>
  <c r="AR79" i="56"/>
  <c r="AR97" i="56"/>
  <c r="AS79" i="56"/>
  <c r="AS97" i="56"/>
  <c r="E79" i="56"/>
  <c r="E97" i="56"/>
  <c r="AT80" i="56"/>
  <c r="AT98" i="56"/>
  <c r="AT81" i="56"/>
  <c r="AT83" i="56"/>
  <c r="AT82" i="56"/>
  <c r="AT100" i="56"/>
  <c r="AT79" i="56"/>
  <c r="AS61" i="56"/>
  <c r="AT84" i="56"/>
  <c r="AT85" i="56"/>
  <c r="I49" i="8"/>
  <c r="AR17" i="56"/>
  <c r="AR61" i="56"/>
  <c r="AQ61" i="56"/>
  <c r="AP61" i="56"/>
  <c r="AO61" i="56"/>
  <c r="AN61" i="56"/>
  <c r="AM61" i="56"/>
  <c r="AL61" i="56"/>
  <c r="AK61" i="56"/>
  <c r="AJ61" i="56"/>
  <c r="AI61" i="56"/>
  <c r="AH61" i="56"/>
  <c r="AG61" i="56"/>
  <c r="AF61" i="56"/>
  <c r="AE61" i="56"/>
  <c r="AD61" i="56"/>
  <c r="AC61" i="56"/>
  <c r="AB61" i="56"/>
  <c r="AA61" i="56"/>
  <c r="Z61" i="56"/>
  <c r="Y61" i="56"/>
  <c r="X61" i="56"/>
  <c r="W61" i="56"/>
  <c r="V61" i="56"/>
  <c r="U61" i="56"/>
  <c r="T61" i="56"/>
  <c r="S61" i="56"/>
  <c r="R61" i="56"/>
  <c r="Q61" i="56"/>
  <c r="P61" i="56"/>
  <c r="O61" i="56"/>
  <c r="N61" i="56"/>
  <c r="M61" i="56"/>
  <c r="AR19" i="56"/>
  <c r="AQ19" i="56"/>
  <c r="AP19" i="56"/>
  <c r="AO19" i="56"/>
  <c r="AN19" i="56"/>
  <c r="AM19" i="56"/>
  <c r="AL19" i="56"/>
  <c r="AK19" i="56"/>
  <c r="AJ19" i="56"/>
  <c r="AI19" i="56"/>
  <c r="AH19" i="56"/>
  <c r="AG19" i="56"/>
  <c r="AF19" i="56"/>
  <c r="AE19" i="56"/>
  <c r="AD19" i="56"/>
  <c r="AR18" i="56"/>
  <c r="AQ18" i="56"/>
  <c r="AP18" i="56"/>
  <c r="AO18" i="56"/>
  <c r="AN18" i="56"/>
  <c r="AM18" i="56"/>
  <c r="AL18" i="56"/>
  <c r="AK18" i="56"/>
  <c r="AJ18" i="56"/>
  <c r="AI18" i="56"/>
  <c r="AH18" i="56"/>
  <c r="AG18" i="56"/>
  <c r="AF18" i="56"/>
  <c r="AE18" i="56"/>
  <c r="AD18" i="56"/>
  <c r="AC18" i="56"/>
  <c r="AB18" i="56"/>
  <c r="AA18" i="56"/>
  <c r="Z18" i="56"/>
  <c r="Y18" i="56"/>
  <c r="X18" i="56"/>
  <c r="W18" i="56"/>
  <c r="AQ17" i="56"/>
  <c r="AP17" i="56"/>
  <c r="AO17" i="56"/>
  <c r="AN17" i="56"/>
  <c r="AM17" i="56"/>
  <c r="AL17" i="56"/>
  <c r="AK17" i="56"/>
  <c r="AJ17" i="56"/>
  <c r="AI17" i="56"/>
  <c r="AH17" i="56"/>
  <c r="AG17" i="56"/>
  <c r="AF17" i="56"/>
  <c r="AE17" i="56"/>
  <c r="AD17" i="56"/>
  <c r="AC17" i="56"/>
  <c r="AB17" i="56"/>
  <c r="AA17" i="56"/>
  <c r="Z17" i="56"/>
  <c r="Y17" i="56"/>
  <c r="X17" i="56"/>
  <c r="W17" i="56"/>
  <c r="AY103" i="55"/>
  <c r="AX103" i="55"/>
  <c r="AY102" i="55"/>
  <c r="AX102" i="55"/>
  <c r="C76" i="55"/>
  <c r="AX67" i="55"/>
  <c r="AK58" i="55"/>
  <c r="AW57" i="55"/>
  <c r="AK55" i="55"/>
  <c r="AK54" i="55"/>
  <c r="AK51" i="55"/>
  <c r="F50" i="55"/>
  <c r="AZ28" i="55"/>
  <c r="AY28" i="55"/>
  <c r="AX28" i="55"/>
  <c r="AZ22" i="55"/>
  <c r="AY22" i="55"/>
  <c r="AX22" i="55"/>
  <c r="AZ15" i="55"/>
  <c r="AY15" i="55"/>
  <c r="AX15" i="55"/>
  <c r="AX14" i="55"/>
  <c r="AX66" i="55"/>
  <c r="C11" i="55"/>
  <c r="AX10" i="55"/>
  <c r="C10" i="55"/>
  <c r="C12" i="55"/>
  <c r="A5" i="55"/>
  <c r="A4" i="55"/>
  <c r="AX103" i="18"/>
  <c r="AX102" i="18"/>
  <c r="AY103" i="18"/>
  <c r="AY102" i="18"/>
  <c r="C11" i="18"/>
  <c r="F3" i="54"/>
  <c r="G3" i="54"/>
  <c r="H3" i="54"/>
  <c r="I3" i="54"/>
  <c r="J3" i="54"/>
  <c r="K3" i="54"/>
  <c r="L3" i="54"/>
  <c r="M3" i="54"/>
  <c r="N3" i="54"/>
  <c r="O3" i="54"/>
  <c r="P3" i="54"/>
  <c r="Q3" i="54"/>
  <c r="R3" i="54"/>
  <c r="S3" i="54"/>
  <c r="T3" i="54"/>
  <c r="U3" i="54"/>
  <c r="V3" i="54"/>
  <c r="W3" i="54"/>
  <c r="X3" i="54"/>
  <c r="Y3" i="54"/>
  <c r="Z3" i="54"/>
  <c r="AA3" i="54"/>
  <c r="AB3" i="54"/>
  <c r="AC3" i="54"/>
  <c r="AD3" i="54"/>
  <c r="AE3" i="54"/>
  <c r="AF3" i="54"/>
  <c r="AG3" i="54"/>
  <c r="AH3" i="54"/>
  <c r="AI3" i="54"/>
  <c r="AJ3" i="54"/>
  <c r="AK3" i="54"/>
  <c r="AL3" i="54"/>
  <c r="AM3" i="54"/>
  <c r="AN3" i="54"/>
  <c r="AO3" i="54"/>
  <c r="AP3" i="54"/>
  <c r="AQ3" i="54"/>
  <c r="AR3" i="54"/>
  <c r="AS3" i="54"/>
  <c r="AT3" i="54"/>
  <c r="AX160" i="5"/>
  <c r="AY160" i="5"/>
  <c r="AZ160" i="5"/>
  <c r="BA160" i="5"/>
  <c r="BB160" i="5"/>
  <c r="BC160" i="5"/>
  <c r="BD160" i="5"/>
  <c r="AX159" i="5"/>
  <c r="AY159" i="5"/>
  <c r="AZ159" i="5"/>
  <c r="BA159" i="5"/>
  <c r="BB159" i="5"/>
  <c r="BC159" i="5"/>
  <c r="BD159" i="5"/>
  <c r="C146" i="5"/>
  <c r="J145" i="22"/>
  <c r="C149" i="5"/>
  <c r="AX16" i="55"/>
  <c r="C42" i="55"/>
  <c r="C20" i="55"/>
  <c r="C13" i="55"/>
  <c r="C57" i="55"/>
  <c r="C67" i="55"/>
  <c r="C56" i="55"/>
  <c r="C41" i="55"/>
  <c r="C28" i="55"/>
  <c r="C15" i="55"/>
  <c r="C29" i="55"/>
  <c r="C27" i="55"/>
  <c r="C22" i="55"/>
  <c r="C16" i="55"/>
  <c r="C23" i="55"/>
  <c r="C21" i="55"/>
  <c r="C14" i="55"/>
  <c r="C66" i="55"/>
  <c r="AJ34" i="2"/>
  <c r="AJ33" i="2"/>
  <c r="AK28" i="2"/>
  <c r="AJ25" i="2"/>
  <c r="AJ24" i="2"/>
  <c r="AK19" i="2"/>
  <c r="AB34" i="2"/>
  <c r="AB33" i="2"/>
  <c r="AC28" i="2"/>
  <c r="T34" i="2"/>
  <c r="T33" i="2"/>
  <c r="U28" i="2"/>
  <c r="AB25" i="2"/>
  <c r="AB24" i="2"/>
  <c r="AC19" i="2"/>
  <c r="T25" i="2"/>
  <c r="T24" i="2"/>
  <c r="U19" i="2"/>
  <c r="AJ16" i="2"/>
  <c r="AJ15" i="2"/>
  <c r="AK10" i="2"/>
  <c r="AB16" i="2"/>
  <c r="AB15" i="2"/>
  <c r="AC10" i="2"/>
  <c r="T16" i="2"/>
  <c r="T15" i="2"/>
  <c r="U10" i="2"/>
  <c r="AX35" i="16"/>
  <c r="AY35" i="16"/>
  <c r="AZ35" i="16"/>
  <c r="AJ90" i="16"/>
  <c r="AK90" i="16"/>
  <c r="AL90" i="16"/>
  <c r="AM90" i="16"/>
  <c r="AN90" i="16"/>
  <c r="AO90" i="16"/>
  <c r="AP90" i="16"/>
  <c r="AQ90" i="16"/>
  <c r="AR90" i="16"/>
  <c r="L141" i="30"/>
  <c r="Y45" i="16"/>
  <c r="Z45" i="16"/>
  <c r="AA45" i="16"/>
  <c r="AB45" i="16"/>
  <c r="AC45" i="16"/>
  <c r="AD45" i="16"/>
  <c r="AE45" i="16"/>
  <c r="AF45" i="16"/>
  <c r="AG45" i="16"/>
  <c r="AH45" i="16"/>
  <c r="AI45" i="16"/>
  <c r="AJ45" i="16"/>
  <c r="AK45" i="16"/>
  <c r="AL45" i="16"/>
  <c r="AM45" i="16"/>
  <c r="AN45" i="16"/>
  <c r="M141" i="30"/>
  <c r="N141" i="30"/>
  <c r="F300" i="1"/>
  <c r="AX132" i="48"/>
  <c r="G98" i="48"/>
  <c r="H98" i="48"/>
  <c r="F98" i="48"/>
  <c r="G97" i="48"/>
  <c r="H97" i="48"/>
  <c r="F97" i="48"/>
  <c r="G85" i="48"/>
  <c r="H85" i="48"/>
  <c r="F85" i="48"/>
  <c r="F50" i="18"/>
  <c r="G19" i="46"/>
  <c r="R37" i="49"/>
  <c r="O37" i="49"/>
  <c r="L37" i="49"/>
  <c r="J37" i="49"/>
  <c r="F37" i="49"/>
  <c r="D37" i="49"/>
  <c r="U18" i="49"/>
  <c r="W17" i="49"/>
  <c r="W16" i="49"/>
  <c r="W15" i="49"/>
  <c r="W14" i="49"/>
  <c r="W13" i="49"/>
  <c r="W12" i="49"/>
  <c r="W11" i="49"/>
  <c r="W10" i="49"/>
  <c r="W9" i="49"/>
  <c r="W8" i="49"/>
  <c r="W7" i="49"/>
  <c r="W6" i="49"/>
  <c r="W18" i="49"/>
  <c r="R7" i="49"/>
  <c r="R8" i="49"/>
  <c r="R9" i="49"/>
  <c r="R10" i="49"/>
  <c r="R11" i="49"/>
  <c r="R12" i="49"/>
  <c r="R13" i="49"/>
  <c r="R14" i="49"/>
  <c r="R15" i="49"/>
  <c r="R16" i="49"/>
  <c r="R17" i="49"/>
  <c r="R6" i="49"/>
  <c r="O18" i="49"/>
  <c r="D18" i="49"/>
  <c r="J18" i="49"/>
  <c r="L7" i="49"/>
  <c r="L8" i="49"/>
  <c r="L9" i="49"/>
  <c r="L10" i="49"/>
  <c r="L11" i="49"/>
  <c r="L12" i="49"/>
  <c r="L13" i="49"/>
  <c r="L14" i="49"/>
  <c r="L15" i="49"/>
  <c r="L16" i="49"/>
  <c r="L17" i="49"/>
  <c r="L6" i="49"/>
  <c r="L18" i="49"/>
  <c r="F18" i="49"/>
  <c r="C26" i="31"/>
  <c r="J63" i="22"/>
  <c r="D25" i="31"/>
  <c r="C7" i="35"/>
  <c r="F15" i="27"/>
  <c r="F14" i="27"/>
  <c r="G16" i="27"/>
  <c r="D41" i="7"/>
  <c r="U6" i="48"/>
  <c r="U7" i="48"/>
  <c r="U8" i="48"/>
  <c r="U9" i="48"/>
  <c r="U10" i="48"/>
  <c r="U11" i="48"/>
  <c r="U14" i="48"/>
  <c r="U3" i="48"/>
  <c r="X39" i="30"/>
  <c r="I48" i="3"/>
  <c r="R18" i="49"/>
  <c r="G9" i="44"/>
  <c r="C43" i="48"/>
  <c r="C44" i="48"/>
  <c r="C45" i="48"/>
  <c r="C46" i="48"/>
  <c r="C48" i="48"/>
  <c r="C49" i="48"/>
  <c r="C50" i="48"/>
  <c r="E35" i="48"/>
  <c r="C27" i="48"/>
  <c r="C28" i="48"/>
  <c r="C29" i="48"/>
  <c r="C30" i="48"/>
  <c r="C32" i="48"/>
  <c r="C33" i="48"/>
  <c r="C34" i="48"/>
  <c r="C35" i="48"/>
  <c r="L2" i="44"/>
  <c r="L3" i="44"/>
  <c r="M3" i="44"/>
  <c r="L8" i="44"/>
  <c r="L11" i="44"/>
  <c r="L12" i="44"/>
  <c r="L13" i="44"/>
  <c r="L14" i="44"/>
  <c r="L15" i="44"/>
  <c r="L16" i="44"/>
  <c r="L17" i="44"/>
  <c r="L7" i="44"/>
  <c r="I38" i="28"/>
  <c r="M32" i="57"/>
  <c r="I62" i="47"/>
  <c r="J62" i="47"/>
  <c r="K62" i="47"/>
  <c r="F116" i="47"/>
  <c r="I116" i="47"/>
  <c r="M38" i="57"/>
  <c r="K52" i="57"/>
  <c r="K54" i="57"/>
  <c r="J24" i="47"/>
  <c r="K24" i="47"/>
  <c r="I24" i="47"/>
  <c r="J14" i="47"/>
  <c r="K14" i="47"/>
  <c r="I14" i="47"/>
  <c r="K15" i="47"/>
  <c r="J15" i="47"/>
  <c r="C13" i="47"/>
  <c r="C14" i="47"/>
  <c r="C12" i="47"/>
  <c r="C9" i="47"/>
  <c r="AZ54" i="7"/>
  <c r="C76" i="18"/>
  <c r="K66" i="57"/>
  <c r="K59" i="57"/>
  <c r="K67" i="57"/>
  <c r="K60" i="57"/>
  <c r="K58" i="57"/>
  <c r="K57" i="57"/>
  <c r="K64" i="57"/>
  <c r="K61" i="57"/>
  <c r="K65" i="57"/>
  <c r="K63" i="57"/>
  <c r="K62" i="57"/>
  <c r="C38" i="47"/>
  <c r="C24" i="47"/>
  <c r="C40" i="47"/>
  <c r="C39" i="47"/>
  <c r="C37" i="47"/>
  <c r="K68" i="57"/>
  <c r="K69" i="57"/>
  <c r="C34" i="47"/>
  <c r="C29" i="47"/>
  <c r="C41" i="47"/>
  <c r="C35" i="47"/>
  <c r="C30" i="47"/>
  <c r="F55" i="44"/>
  <c r="F50" i="44"/>
  <c r="C215" i="11"/>
  <c r="F276" i="1"/>
  <c r="J116" i="22"/>
  <c r="F268" i="1"/>
  <c r="D79" i="11"/>
  <c r="J117" i="22"/>
  <c r="F269" i="1"/>
  <c r="D80" i="11"/>
  <c r="J118" i="22"/>
  <c r="F270" i="1"/>
  <c r="D81" i="11"/>
  <c r="J119" i="22"/>
  <c r="F271" i="1"/>
  <c r="D82" i="11"/>
  <c r="J120" i="22"/>
  <c r="F272" i="1"/>
  <c r="D83" i="11"/>
  <c r="J121" i="22"/>
  <c r="F273" i="1"/>
  <c r="D84" i="11"/>
  <c r="C200" i="11"/>
  <c r="C186" i="11"/>
  <c r="C172" i="11"/>
  <c r="C159" i="11"/>
  <c r="D126" i="7"/>
  <c r="D127" i="7"/>
  <c r="C39" i="2"/>
  <c r="C37" i="2"/>
  <c r="D221" i="12"/>
  <c r="C25" i="2"/>
  <c r="D217" i="12"/>
  <c r="AX94" i="43"/>
  <c r="AY94" i="43"/>
  <c r="AZ94" i="43"/>
  <c r="D85" i="12"/>
  <c r="D75" i="12"/>
  <c r="C27" i="2"/>
  <c r="C29" i="2"/>
  <c r="C31" i="2"/>
  <c r="C33" i="2"/>
  <c r="C35" i="2"/>
  <c r="C41" i="2"/>
  <c r="E246" i="12"/>
  <c r="D223" i="11"/>
  <c r="C19" i="2"/>
  <c r="E168" i="12"/>
  <c r="C17" i="2"/>
  <c r="H50" i="44"/>
  <c r="G34" i="44"/>
  <c r="G50" i="44"/>
  <c r="G55" i="44"/>
  <c r="H55" i="44"/>
  <c r="F34" i="44"/>
  <c r="F60" i="44"/>
  <c r="F65" i="44"/>
  <c r="G65" i="44"/>
  <c r="H65" i="44"/>
  <c r="I34" i="44"/>
  <c r="G60" i="44"/>
  <c r="H60" i="44"/>
  <c r="E34" i="44"/>
  <c r="J114" i="22"/>
  <c r="F266" i="1"/>
  <c r="H34" i="44"/>
  <c r="D77" i="11"/>
  <c r="D106" i="7"/>
  <c r="D101" i="7"/>
  <c r="D102" i="7"/>
  <c r="D103" i="7"/>
  <c r="D104" i="7"/>
  <c r="D105" i="7"/>
  <c r="D107" i="7"/>
  <c r="D108" i="7"/>
  <c r="D100" i="7"/>
  <c r="G21" i="46"/>
  <c r="G17" i="46"/>
  <c r="G12" i="46"/>
  <c r="G30" i="46"/>
  <c r="G28" i="46"/>
  <c r="F327" i="1"/>
  <c r="G25" i="46"/>
  <c r="G7" i="46"/>
  <c r="G31" i="46"/>
  <c r="G29" i="46"/>
  <c r="G32" i="46"/>
  <c r="E404" i="1"/>
  <c r="M52" i="22"/>
  <c r="I3" i="5"/>
  <c r="Q34" i="22"/>
  <c r="M7" i="22"/>
  <c r="P2" i="45"/>
  <c r="H94" i="2"/>
  <c r="G50" i="2"/>
  <c r="I3" i="55"/>
  <c r="I3" i="47"/>
  <c r="I49" i="47"/>
  <c r="K55" i="56"/>
  <c r="S55" i="56"/>
  <c r="AA55" i="56"/>
  <c r="AI55" i="56"/>
  <c r="AQ55" i="56"/>
  <c r="L55" i="56"/>
  <c r="T55" i="56"/>
  <c r="AB55" i="56"/>
  <c r="AJ55" i="56"/>
  <c r="AR55" i="56"/>
  <c r="AN55" i="56"/>
  <c r="M55" i="56"/>
  <c r="U55" i="56"/>
  <c r="AC55" i="56"/>
  <c r="AK55" i="56"/>
  <c r="AS55" i="56"/>
  <c r="F55" i="56"/>
  <c r="N55" i="56"/>
  <c r="V55" i="56"/>
  <c r="AD55" i="56"/>
  <c r="AL55" i="56"/>
  <c r="E68" i="56"/>
  <c r="G55" i="56"/>
  <c r="O55" i="56"/>
  <c r="W55" i="56"/>
  <c r="AE55" i="56"/>
  <c r="AM55" i="56"/>
  <c r="AF55" i="56"/>
  <c r="H55" i="56"/>
  <c r="P55" i="56"/>
  <c r="X55" i="56"/>
  <c r="E70" i="56"/>
  <c r="I55" i="56"/>
  <c r="Q55" i="56"/>
  <c r="Y55" i="56"/>
  <c r="AG55" i="56"/>
  <c r="AO55" i="56"/>
  <c r="J55" i="56"/>
  <c r="R55" i="56"/>
  <c r="Z55" i="56"/>
  <c r="AH55" i="56"/>
  <c r="AP55" i="56"/>
  <c r="L99" i="56"/>
  <c r="T99" i="56"/>
  <c r="AB99" i="56"/>
  <c r="AJ99" i="56"/>
  <c r="AR99" i="56"/>
  <c r="I99" i="56"/>
  <c r="D108" i="56"/>
  <c r="M99" i="56"/>
  <c r="U99" i="56"/>
  <c r="AC99" i="56"/>
  <c r="AK99" i="56"/>
  <c r="AS99" i="56"/>
  <c r="AG99" i="56"/>
  <c r="F99" i="56"/>
  <c r="N99" i="56"/>
  <c r="V99" i="56"/>
  <c r="AD99" i="56"/>
  <c r="AL99" i="56"/>
  <c r="AT99" i="56"/>
  <c r="AO99" i="56"/>
  <c r="G99" i="56"/>
  <c r="O99" i="56"/>
  <c r="W99" i="56"/>
  <c r="AE99" i="56"/>
  <c r="AM99" i="56"/>
  <c r="E99" i="56"/>
  <c r="Q99" i="56"/>
  <c r="H99" i="56"/>
  <c r="P99" i="56"/>
  <c r="X99" i="56"/>
  <c r="AF99" i="56"/>
  <c r="AN99" i="56"/>
  <c r="Y99" i="56"/>
  <c r="J99" i="56"/>
  <c r="R99" i="56"/>
  <c r="Z99" i="56"/>
  <c r="AH99" i="56"/>
  <c r="AP99" i="56"/>
  <c r="E55" i="56"/>
  <c r="K99" i="56"/>
  <c r="S99" i="56"/>
  <c r="AA99" i="56"/>
  <c r="AQ99" i="56"/>
  <c r="C8" i="15"/>
  <c r="J260" i="12"/>
  <c r="I232" i="11"/>
  <c r="D263" i="12"/>
  <c r="D262" i="12"/>
  <c r="D261" i="12"/>
  <c r="D260" i="12"/>
  <c r="E258" i="12"/>
  <c r="C8" i="14"/>
  <c r="AZ68" i="43"/>
  <c r="BA68" i="43"/>
  <c r="AY69" i="43"/>
  <c r="AZ69" i="43"/>
  <c r="BA69" i="43"/>
  <c r="AX62" i="43"/>
  <c r="AY62" i="43"/>
  <c r="AZ62" i="43"/>
  <c r="BA62" i="43"/>
  <c r="AX60" i="43"/>
  <c r="AY60" i="43"/>
  <c r="AZ60" i="43"/>
  <c r="BA60" i="43"/>
  <c r="AX59" i="43"/>
  <c r="AY59" i="43"/>
  <c r="AZ59" i="43"/>
  <c r="BA59" i="43"/>
  <c r="G10" i="44"/>
  <c r="L9" i="44"/>
  <c r="AY50" i="43"/>
  <c r="AX104" i="43"/>
  <c r="AY104" i="43"/>
  <c r="AZ104" i="43"/>
  <c r="AX102" i="43"/>
  <c r="AY102" i="43"/>
  <c r="AZ102" i="43"/>
  <c r="AX101" i="43"/>
  <c r="AY101" i="43"/>
  <c r="AZ101" i="43"/>
  <c r="AX52" i="43"/>
  <c r="AY52" i="43"/>
  <c r="AX49" i="43"/>
  <c r="AY49" i="43"/>
  <c r="J218" i="22"/>
  <c r="N136" i="30"/>
  <c r="N144" i="30"/>
  <c r="N143" i="30"/>
  <c r="M144" i="30"/>
  <c r="M143" i="30"/>
  <c r="F160" i="28"/>
  <c r="E160" i="28"/>
  <c r="E152" i="28"/>
  <c r="D157" i="28"/>
  <c r="F155" i="28"/>
  <c r="F154" i="28"/>
  <c r="E155" i="28"/>
  <c r="E154" i="28"/>
  <c r="AY64" i="43"/>
  <c r="AY70" i="43"/>
  <c r="L10" i="44"/>
  <c r="BA64" i="43"/>
  <c r="BA70" i="43"/>
  <c r="BA71" i="43"/>
  <c r="AZ64" i="43"/>
  <c r="AZ70" i="43"/>
  <c r="AZ71" i="43"/>
  <c r="AZ121" i="43"/>
  <c r="AX64" i="43"/>
  <c r="AX70" i="43"/>
  <c r="AY106" i="43"/>
  <c r="AX106" i="43"/>
  <c r="AZ106" i="43"/>
  <c r="AX54" i="43"/>
  <c r="AX69" i="43"/>
  <c r="BA94" i="43"/>
  <c r="AX92" i="43"/>
  <c r="AY92" i="43"/>
  <c r="AZ92" i="43"/>
  <c r="AX91" i="43"/>
  <c r="AY91" i="43"/>
  <c r="AZ91" i="43"/>
  <c r="T124" i="30"/>
  <c r="U124" i="30"/>
  <c r="N145" i="30"/>
  <c r="P124" i="30"/>
  <c r="Q124" i="30"/>
  <c r="P122" i="30"/>
  <c r="P123" i="30"/>
  <c r="P121" i="30"/>
  <c r="M123" i="30"/>
  <c r="M122" i="30"/>
  <c r="I143" i="28"/>
  <c r="E143" i="28"/>
  <c r="F143" i="28"/>
  <c r="J152" i="22"/>
  <c r="J153" i="22"/>
  <c r="J5" i="35"/>
  <c r="J12" i="35"/>
  <c r="J13" i="35"/>
  <c r="J14" i="35"/>
  <c r="J15" i="35"/>
  <c r="J16" i="35"/>
  <c r="J17" i="35"/>
  <c r="J18" i="35"/>
  <c r="I20" i="35"/>
  <c r="J20" i="35"/>
  <c r="B45" i="32"/>
  <c r="C45" i="32"/>
  <c r="D45" i="32"/>
  <c r="E45" i="32"/>
  <c r="F45" i="32"/>
  <c r="G45" i="32"/>
  <c r="I45" i="32"/>
  <c r="I44" i="32"/>
  <c r="AX40" i="43"/>
  <c r="AX43" i="43"/>
  <c r="AY40" i="43"/>
  <c r="AY43" i="43"/>
  <c r="AX34" i="43"/>
  <c r="AY34" i="43"/>
  <c r="AX33" i="43"/>
  <c r="AY33" i="43"/>
  <c r="AX25" i="43"/>
  <c r="AY24" i="43"/>
  <c r="AX24" i="43"/>
  <c r="I3" i="43"/>
  <c r="E116" i="28"/>
  <c r="E113" i="28"/>
  <c r="M110" i="28"/>
  <c r="M111" i="28"/>
  <c r="L143" i="28"/>
  <c r="F113" i="28"/>
  <c r="L145" i="28"/>
  <c r="AX26" i="43"/>
  <c r="AZ122" i="43"/>
  <c r="AZ123" i="43"/>
  <c r="AZ113" i="43"/>
  <c r="AX122" i="43"/>
  <c r="AX113" i="43"/>
  <c r="AY122" i="43"/>
  <c r="AY113" i="43"/>
  <c r="M133" i="30"/>
  <c r="D115" i="30"/>
  <c r="L133" i="30"/>
  <c r="C115" i="30"/>
  <c r="S123" i="30"/>
  <c r="T123" i="30"/>
  <c r="U123" i="30"/>
  <c r="M145" i="30"/>
  <c r="AY96" i="43"/>
  <c r="AY112" i="43"/>
  <c r="AY42" i="43"/>
  <c r="AZ96" i="43"/>
  <c r="AZ112" i="43"/>
  <c r="AX96" i="43"/>
  <c r="AX112" i="43"/>
  <c r="AX42" i="43"/>
  <c r="L145" i="30"/>
  <c r="L131" i="30"/>
  <c r="C113" i="30"/>
  <c r="S121" i="30"/>
  <c r="T121" i="30"/>
  <c r="U121" i="30"/>
  <c r="C109" i="30"/>
  <c r="E114" i="28"/>
  <c r="F156" i="28"/>
  <c r="G169" i="28"/>
  <c r="H169" i="28"/>
  <c r="E156" i="28"/>
  <c r="E161" i="28"/>
  <c r="E127" i="28"/>
  <c r="AX68" i="43"/>
  <c r="AX71" i="43"/>
  <c r="AX121" i="43"/>
  <c r="AX123" i="43"/>
  <c r="AX44" i="43"/>
  <c r="AY68" i="43"/>
  <c r="AY71" i="43"/>
  <c r="AY121" i="43"/>
  <c r="AY123" i="43"/>
  <c r="AY44" i="43"/>
  <c r="AX114" i="43"/>
  <c r="AY114" i="43"/>
  <c r="AZ114" i="43"/>
  <c r="M132" i="30"/>
  <c r="D114" i="30"/>
  <c r="L132" i="30"/>
  <c r="C114" i="30"/>
  <c r="S122" i="30"/>
  <c r="M131" i="30"/>
  <c r="D113" i="30"/>
  <c r="J192" i="22"/>
  <c r="AB192" i="22"/>
  <c r="C107" i="30"/>
  <c r="J168" i="28"/>
  <c r="E135" i="28"/>
  <c r="J169" i="28"/>
  <c r="F162" i="28"/>
  <c r="F129" i="28"/>
  <c r="F161" i="28"/>
  <c r="M223" i="22"/>
  <c r="F115" i="28"/>
  <c r="F116" i="28"/>
  <c r="E162" i="28"/>
  <c r="F127" i="28"/>
  <c r="C108" i="30"/>
  <c r="J164" i="22"/>
  <c r="T122" i="30"/>
  <c r="U122" i="30"/>
  <c r="AW169" i="41"/>
  <c r="AW178" i="41"/>
  <c r="AX178" i="41"/>
  <c r="AY178" i="41"/>
  <c r="AZ178" i="41"/>
  <c r="AW166" i="41"/>
  <c r="AX166" i="41"/>
  <c r="AX168" i="41"/>
  <c r="AY166" i="41"/>
  <c r="AY168" i="41"/>
  <c r="AZ166" i="41"/>
  <c r="AZ168" i="41"/>
  <c r="AX152" i="41"/>
  <c r="AY152" i="41"/>
  <c r="AZ152" i="41"/>
  <c r="AW150" i="41"/>
  <c r="AW152" i="41"/>
  <c r="AX147" i="41"/>
  <c r="AY147" i="41"/>
  <c r="AZ147" i="41"/>
  <c r="AX137" i="41"/>
  <c r="AY137" i="41"/>
  <c r="AZ137" i="41"/>
  <c r="AX138" i="41"/>
  <c r="AY138" i="41"/>
  <c r="AZ138" i="41"/>
  <c r="D230" i="11"/>
  <c r="F174" i="12"/>
  <c r="J644" i="22"/>
  <c r="AX133" i="41"/>
  <c r="AY133" i="41"/>
  <c r="AZ133" i="41"/>
  <c r="AX117" i="41"/>
  <c r="AY117" i="41"/>
  <c r="AZ117" i="41"/>
  <c r="BA117" i="41"/>
  <c r="AX115" i="41"/>
  <c r="AY115" i="41"/>
  <c r="AZ115" i="41"/>
  <c r="BA115" i="41"/>
  <c r="AW116" i="41"/>
  <c r="AX116" i="41"/>
  <c r="AY116" i="41"/>
  <c r="AZ116" i="41"/>
  <c r="BA116" i="41"/>
  <c r="AX114" i="41"/>
  <c r="AY114" i="41"/>
  <c r="AZ114" i="41"/>
  <c r="AX106" i="41"/>
  <c r="AY106" i="41"/>
  <c r="AZ106" i="41"/>
  <c r="AX99" i="41"/>
  <c r="AY99" i="41"/>
  <c r="AZ99" i="41"/>
  <c r="AX100" i="41"/>
  <c r="AY100" i="41"/>
  <c r="AZ100" i="41"/>
  <c r="AX101" i="41"/>
  <c r="AY101" i="41"/>
  <c r="AZ101" i="41"/>
  <c r="AX102" i="41"/>
  <c r="AY102" i="41"/>
  <c r="AZ102" i="41"/>
  <c r="AW89" i="41"/>
  <c r="AV89" i="41"/>
  <c r="AU89" i="41"/>
  <c r="AT89" i="41"/>
  <c r="AS89" i="41"/>
  <c r="AR89" i="41"/>
  <c r="AQ89" i="41"/>
  <c r="AP89" i="41"/>
  <c r="AO89" i="41"/>
  <c r="AN89" i="41"/>
  <c r="AM89" i="41"/>
  <c r="AL89" i="41"/>
  <c r="AK89" i="41"/>
  <c r="AJ89" i="41"/>
  <c r="AW88" i="41"/>
  <c r="AV88" i="41"/>
  <c r="AU88" i="41"/>
  <c r="AT88" i="41"/>
  <c r="AS88" i="41"/>
  <c r="AR88" i="41"/>
  <c r="AQ88" i="41"/>
  <c r="AP88" i="41"/>
  <c r="AO88" i="41"/>
  <c r="AN88" i="41"/>
  <c r="AM88" i="41"/>
  <c r="AL88" i="41"/>
  <c r="AK88" i="41"/>
  <c r="AJ88" i="41"/>
  <c r="AZ83" i="41"/>
  <c r="AY83" i="41"/>
  <c r="AX83" i="41"/>
  <c r="AZ81" i="41"/>
  <c r="AY81" i="41"/>
  <c r="AX81" i="41"/>
  <c r="AZ75" i="41"/>
  <c r="AY75" i="41"/>
  <c r="AX75" i="41"/>
  <c r="AW36" i="41"/>
  <c r="AV36" i="41"/>
  <c r="AU36" i="41"/>
  <c r="AT36" i="41"/>
  <c r="AS36" i="41"/>
  <c r="AR36" i="41"/>
  <c r="AQ36" i="41"/>
  <c r="AP36" i="41"/>
  <c r="AO36" i="41"/>
  <c r="AN36" i="41"/>
  <c r="AM36" i="41"/>
  <c r="AL36" i="41"/>
  <c r="AK36" i="41"/>
  <c r="AJ36" i="41"/>
  <c r="AW35" i="41"/>
  <c r="AV35" i="41"/>
  <c r="AU35" i="41"/>
  <c r="AT35" i="41"/>
  <c r="AS35" i="41"/>
  <c r="AR35" i="41"/>
  <c r="AQ35" i="41"/>
  <c r="AP35" i="41"/>
  <c r="AO35" i="41"/>
  <c r="AN35" i="41"/>
  <c r="AM35" i="41"/>
  <c r="AL35" i="41"/>
  <c r="AK35" i="41"/>
  <c r="AJ35" i="41"/>
  <c r="C31" i="41"/>
  <c r="C77" i="41"/>
  <c r="A5" i="41"/>
  <c r="A4" i="41"/>
  <c r="I3" i="41"/>
  <c r="I100" i="41"/>
  <c r="AL192" i="22"/>
  <c r="Q192" i="22"/>
  <c r="AK192" i="22"/>
  <c r="Y192" i="22"/>
  <c r="AH192" i="22"/>
  <c r="AG192" i="22"/>
  <c r="V192" i="22"/>
  <c r="X192" i="22"/>
  <c r="P192" i="22"/>
  <c r="AA192" i="22"/>
  <c r="AJ192" i="22"/>
  <c r="S192" i="22"/>
  <c r="AN192" i="22"/>
  <c r="N192" i="22"/>
  <c r="AD192" i="22"/>
  <c r="R192" i="22"/>
  <c r="O192" i="22"/>
  <c r="M192" i="22"/>
  <c r="AM192" i="22"/>
  <c r="Z192" i="22"/>
  <c r="AC192" i="22"/>
  <c r="AE192" i="22"/>
  <c r="AI192" i="22"/>
  <c r="AF192" i="22"/>
  <c r="AO192" i="22"/>
  <c r="AP192" i="22"/>
  <c r="U192" i="22"/>
  <c r="W192" i="22"/>
  <c r="T192" i="22"/>
  <c r="J184" i="22"/>
  <c r="Z184" i="22"/>
  <c r="AQ59" i="43"/>
  <c r="O223" i="22"/>
  <c r="K59" i="43"/>
  <c r="AO59" i="43"/>
  <c r="T223" i="22"/>
  <c r="P59" i="43"/>
  <c r="AH223" i="22"/>
  <c r="AD59" i="43"/>
  <c r="X223" i="22"/>
  <c r="T59" i="43"/>
  <c r="AR59" i="43"/>
  <c r="I59" i="43"/>
  <c r="AK223" i="22"/>
  <c r="AG59" i="43"/>
  <c r="AU59" i="43"/>
  <c r="Z223" i="22"/>
  <c r="V59" i="43"/>
  <c r="P223" i="22"/>
  <c r="L59" i="43"/>
  <c r="AV59" i="43"/>
  <c r="AA223" i="22"/>
  <c r="W59" i="43"/>
  <c r="AN59" i="43"/>
  <c r="AG223" i="22"/>
  <c r="AC59" i="43"/>
  <c r="AT59" i="43"/>
  <c r="AW59" i="43"/>
  <c r="Q223" i="22"/>
  <c r="M59" i="43"/>
  <c r="AE223" i="22"/>
  <c r="AA59" i="43"/>
  <c r="AN223" i="22"/>
  <c r="AJ59" i="43"/>
  <c r="AP59" i="43"/>
  <c r="AC223" i="22"/>
  <c r="Y59" i="43"/>
  <c r="AM59" i="43"/>
  <c r="R223" i="22"/>
  <c r="N59" i="43"/>
  <c r="AF223" i="22"/>
  <c r="AB59" i="43"/>
  <c r="AL223" i="22"/>
  <c r="AH59" i="43"/>
  <c r="U223" i="22"/>
  <c r="Q59" i="43"/>
  <c r="AI223" i="22"/>
  <c r="AE59" i="43"/>
  <c r="AS59" i="43"/>
  <c r="AD223" i="22"/>
  <c r="Z59" i="43"/>
  <c r="AO223" i="22"/>
  <c r="AK59" i="43"/>
  <c r="AM223" i="22"/>
  <c r="AI59" i="43"/>
  <c r="V223" i="22"/>
  <c r="R59" i="43"/>
  <c r="S223" i="22"/>
  <c r="O59" i="43"/>
  <c r="AJ223" i="22"/>
  <c r="AF59" i="43"/>
  <c r="Y223" i="22"/>
  <c r="U59" i="43"/>
  <c r="W223" i="22"/>
  <c r="S59" i="43"/>
  <c r="AB223" i="22"/>
  <c r="X59" i="43"/>
  <c r="AP223" i="22"/>
  <c r="AL59" i="43"/>
  <c r="N223" i="22"/>
  <c r="J59" i="43"/>
  <c r="E163" i="28"/>
  <c r="F117" i="28"/>
  <c r="J161" i="22"/>
  <c r="F114" i="28"/>
  <c r="F163" i="28"/>
  <c r="E129" i="28"/>
  <c r="F128" i="28"/>
  <c r="C32" i="41"/>
  <c r="C57" i="41"/>
  <c r="C55" i="41"/>
  <c r="C33" i="41"/>
  <c r="C49" i="41"/>
  <c r="C50" i="41"/>
  <c r="C51" i="41"/>
  <c r="C76" i="41"/>
  <c r="C82" i="41"/>
  <c r="C48" i="41"/>
  <c r="C78" i="41"/>
  <c r="C83" i="41"/>
  <c r="C59" i="41"/>
  <c r="C81" i="41"/>
  <c r="C54" i="41"/>
  <c r="C84" i="41"/>
  <c r="C75" i="41"/>
  <c r="C56" i="41"/>
  <c r="C86" i="41"/>
  <c r="AE184" i="22"/>
  <c r="AH184" i="22"/>
  <c r="R184" i="22"/>
  <c r="AF184" i="22"/>
  <c r="AO184" i="22"/>
  <c r="AB184" i="22"/>
  <c r="M184" i="22"/>
  <c r="AI184" i="22"/>
  <c r="U184" i="22"/>
  <c r="W184" i="22"/>
  <c r="O184" i="22"/>
  <c r="AD184" i="22"/>
  <c r="AK184" i="22"/>
  <c r="P184" i="22"/>
  <c r="AJ184" i="22"/>
  <c r="AP184" i="22"/>
  <c r="V184" i="22"/>
  <c r="X184" i="22"/>
  <c r="AL184" i="22"/>
  <c r="AM184" i="22"/>
  <c r="S184" i="22"/>
  <c r="N184" i="22"/>
  <c r="Q184" i="22"/>
  <c r="T184" i="22"/>
  <c r="Y184" i="22"/>
  <c r="AN184" i="22"/>
  <c r="AC184" i="22"/>
  <c r="AG184" i="22"/>
  <c r="AA184" i="22"/>
  <c r="E128" i="28"/>
  <c r="J183" i="22"/>
  <c r="AZ53" i="8"/>
  <c r="C5" i="30"/>
  <c r="J438" i="22"/>
  <c r="E379" i="1"/>
  <c r="J437" i="22"/>
  <c r="E378" i="1"/>
  <c r="K11" i="35"/>
  <c r="L13" i="35"/>
  <c r="L15" i="35"/>
  <c r="F289" i="40"/>
  <c r="I4" i="35"/>
  <c r="AL35" i="56"/>
  <c r="H35" i="56"/>
  <c r="H56" i="56"/>
  <c r="P35" i="56"/>
  <c r="P56" i="56"/>
  <c r="X35" i="56"/>
  <c r="X56" i="56"/>
  <c r="AF35" i="56"/>
  <c r="AF56" i="56"/>
  <c r="AN35" i="56"/>
  <c r="AN56" i="56"/>
  <c r="J35" i="56"/>
  <c r="J56" i="56"/>
  <c r="Z35" i="56"/>
  <c r="Z56" i="56"/>
  <c r="AP35" i="56"/>
  <c r="AP56" i="56"/>
  <c r="S35" i="56"/>
  <c r="S56" i="56"/>
  <c r="AA35" i="56"/>
  <c r="AA56" i="56"/>
  <c r="AI35" i="56"/>
  <c r="AI56" i="56"/>
  <c r="G35" i="56"/>
  <c r="G56" i="56"/>
  <c r="AE35" i="56"/>
  <c r="AE56" i="56"/>
  <c r="I35" i="56"/>
  <c r="I56" i="56"/>
  <c r="Q35" i="56"/>
  <c r="Q56" i="56"/>
  <c r="Y35" i="56"/>
  <c r="Y56" i="56"/>
  <c r="AG35" i="56"/>
  <c r="AG56" i="56"/>
  <c r="AO35" i="56"/>
  <c r="R35" i="56"/>
  <c r="R56" i="56"/>
  <c r="AH35" i="56"/>
  <c r="AH56" i="56"/>
  <c r="K35" i="56"/>
  <c r="K56" i="56"/>
  <c r="AQ35" i="56"/>
  <c r="AQ56" i="56"/>
  <c r="W35" i="56"/>
  <c r="W56" i="56"/>
  <c r="AM35" i="56"/>
  <c r="AM56" i="56"/>
  <c r="L35" i="56"/>
  <c r="L56" i="56"/>
  <c r="T35" i="56"/>
  <c r="T56" i="56"/>
  <c r="AB35" i="56"/>
  <c r="AB56" i="56"/>
  <c r="AJ35" i="56"/>
  <c r="AJ56" i="56"/>
  <c r="AR35" i="56"/>
  <c r="AR56" i="56"/>
  <c r="M35" i="56"/>
  <c r="M56" i="56"/>
  <c r="U35" i="56"/>
  <c r="U56" i="56"/>
  <c r="AC35" i="56"/>
  <c r="AC56" i="56"/>
  <c r="AK35" i="56"/>
  <c r="AK56" i="56"/>
  <c r="AS35" i="56"/>
  <c r="AS56" i="56"/>
  <c r="F35" i="56"/>
  <c r="F56" i="56"/>
  <c r="N35" i="56"/>
  <c r="N56" i="56"/>
  <c r="V35" i="56"/>
  <c r="V56" i="56"/>
  <c r="AD35" i="56"/>
  <c r="AD56" i="56"/>
  <c r="E35" i="56"/>
  <c r="E56" i="56"/>
  <c r="O35" i="56"/>
  <c r="O56" i="56"/>
  <c r="I6" i="35"/>
  <c r="J4" i="35"/>
  <c r="AO56" i="56"/>
  <c r="AL56" i="56"/>
  <c r="I10" i="35"/>
  <c r="J10" i="35"/>
  <c r="I9" i="35"/>
  <c r="J9" i="35"/>
  <c r="AW57" i="18"/>
  <c r="AX92" i="8"/>
  <c r="AY92" i="8"/>
  <c r="AZ92" i="8"/>
  <c r="AI48" i="3"/>
  <c r="AJ45" i="3"/>
  <c r="I7" i="35"/>
  <c r="J6" i="35"/>
  <c r="I30" i="13"/>
  <c r="AX72" i="8"/>
  <c r="AY72" i="8"/>
  <c r="BA106" i="7"/>
  <c r="BA101" i="7"/>
  <c r="BA102" i="7"/>
  <c r="BA103" i="7"/>
  <c r="BA104" i="7"/>
  <c r="BA105" i="7"/>
  <c r="BA107" i="7"/>
  <c r="BA108" i="7"/>
  <c r="BA100" i="7"/>
  <c r="AZ164" i="7"/>
  <c r="AJ165" i="7"/>
  <c r="AK165" i="7"/>
  <c r="AL165" i="7"/>
  <c r="AM165" i="7"/>
  <c r="AN165" i="7"/>
  <c r="AO165" i="7"/>
  <c r="AP165" i="7"/>
  <c r="AQ165" i="7"/>
  <c r="AR165" i="7"/>
  <c r="AS165" i="7"/>
  <c r="AT165" i="7"/>
  <c r="AU165" i="7"/>
  <c r="AV165" i="7"/>
  <c r="AW165" i="7"/>
  <c r="AX165" i="7"/>
  <c r="AY165" i="7"/>
  <c r="AZ165" i="7"/>
  <c r="AJ166" i="7"/>
  <c r="AK166" i="7"/>
  <c r="AL166" i="7"/>
  <c r="AM166" i="7"/>
  <c r="AN166" i="7"/>
  <c r="AO166" i="7"/>
  <c r="AP166" i="7"/>
  <c r="AQ166" i="7"/>
  <c r="AR166" i="7"/>
  <c r="AS166" i="7"/>
  <c r="AT166" i="7"/>
  <c r="AU166" i="7"/>
  <c r="AV166" i="7"/>
  <c r="AW166" i="7"/>
  <c r="AX166" i="7"/>
  <c r="AY166" i="7"/>
  <c r="AZ166" i="7"/>
  <c r="AY15" i="18"/>
  <c r="AZ15" i="18"/>
  <c r="AZ22" i="18"/>
  <c r="AY28" i="18"/>
  <c r="AZ28" i="18"/>
  <c r="AS90" i="16"/>
  <c r="AT90" i="16"/>
  <c r="AU90" i="16"/>
  <c r="AV90" i="16"/>
  <c r="AW90" i="16"/>
  <c r="AJ91" i="16"/>
  <c r="AK91" i="16"/>
  <c r="AL91" i="16"/>
  <c r="AM91" i="16"/>
  <c r="AN91" i="16"/>
  <c r="AO91" i="16"/>
  <c r="AP91" i="16"/>
  <c r="AQ91" i="16"/>
  <c r="AR91" i="16"/>
  <c r="AS91" i="16"/>
  <c r="AT91" i="16"/>
  <c r="AU91" i="16"/>
  <c r="AV91" i="16"/>
  <c r="AW91" i="16"/>
  <c r="AX83" i="16"/>
  <c r="AY83" i="16"/>
  <c r="AZ83" i="16"/>
  <c r="AX85" i="16"/>
  <c r="AY85" i="16"/>
  <c r="AZ85" i="16"/>
  <c r="AX77" i="16"/>
  <c r="AY77" i="16"/>
  <c r="AZ77" i="16"/>
  <c r="AW98" i="10"/>
  <c r="AK88" i="10"/>
  <c r="AL88" i="10"/>
  <c r="AM88" i="10"/>
  <c r="AN88" i="10"/>
  <c r="AO88" i="10"/>
  <c r="AP88" i="10"/>
  <c r="AQ88" i="10"/>
  <c r="AR88" i="10"/>
  <c r="AS88" i="10"/>
  <c r="AT88" i="10"/>
  <c r="AU88" i="10"/>
  <c r="AV88" i="10"/>
  <c r="AW88" i="10"/>
  <c r="AK57" i="10"/>
  <c r="AL57" i="10"/>
  <c r="AM57" i="10"/>
  <c r="AN57" i="10"/>
  <c r="AO57" i="10"/>
  <c r="AP57" i="10"/>
  <c r="AQ57" i="10"/>
  <c r="AR57" i="10"/>
  <c r="AS57" i="10"/>
  <c r="AT57" i="10"/>
  <c r="AU57" i="10"/>
  <c r="AV57" i="10"/>
  <c r="AW57" i="10"/>
  <c r="AJ58" i="10"/>
  <c r="AK58" i="10"/>
  <c r="AL58" i="10"/>
  <c r="AM58" i="10"/>
  <c r="AN58" i="10"/>
  <c r="AO58" i="10"/>
  <c r="AP58" i="10"/>
  <c r="AQ58" i="10"/>
  <c r="AR58" i="10"/>
  <c r="AS58" i="10"/>
  <c r="AT58" i="10"/>
  <c r="AU58" i="10"/>
  <c r="AV58" i="10"/>
  <c r="AW58" i="10"/>
  <c r="AK112" i="8"/>
  <c r="AL112" i="8"/>
  <c r="AM112" i="8"/>
  <c r="AN112" i="8"/>
  <c r="AO112" i="8"/>
  <c r="AP112" i="8"/>
  <c r="AQ112" i="8"/>
  <c r="AR112" i="8"/>
  <c r="AS112" i="8"/>
  <c r="AT112" i="8"/>
  <c r="AU112" i="8"/>
  <c r="AV112" i="8"/>
  <c r="AW112" i="8"/>
  <c r="AX112" i="8"/>
  <c r="AY112" i="8"/>
  <c r="AX113" i="8"/>
  <c r="AX114" i="8"/>
  <c r="AX120" i="8"/>
  <c r="AY113" i="8"/>
  <c r="AY114" i="8"/>
  <c r="AY120" i="8"/>
  <c r="AK103" i="8"/>
  <c r="AL103" i="8"/>
  <c r="AM103" i="8"/>
  <c r="AN103" i="8"/>
  <c r="AO103" i="8"/>
  <c r="AP103" i="8"/>
  <c r="AQ103" i="8"/>
  <c r="AR103" i="8"/>
  <c r="AS103" i="8"/>
  <c r="AT103" i="8"/>
  <c r="AU103" i="8"/>
  <c r="AV103" i="8"/>
  <c r="AW103" i="8"/>
  <c r="AX103" i="8"/>
  <c r="AY103" i="8"/>
  <c r="AX104" i="8"/>
  <c r="AX105" i="8"/>
  <c r="AX119" i="8"/>
  <c r="AY104" i="8"/>
  <c r="AY105" i="8"/>
  <c r="AY119" i="8"/>
  <c r="AX96" i="8"/>
  <c r="AY96" i="8"/>
  <c r="AX99" i="8"/>
  <c r="AX118" i="8"/>
  <c r="AY99" i="8"/>
  <c r="AY118" i="8"/>
  <c r="AJ82" i="8"/>
  <c r="AJ88" i="8"/>
  <c r="AK82" i="8"/>
  <c r="AK88" i="8"/>
  <c r="AL82" i="8"/>
  <c r="AL88" i="8"/>
  <c r="AM82" i="8"/>
  <c r="AM88" i="8"/>
  <c r="AN82" i="8"/>
  <c r="AN88" i="8"/>
  <c r="AO82" i="8"/>
  <c r="AO88" i="8"/>
  <c r="AP82" i="8"/>
  <c r="AP88" i="8"/>
  <c r="AQ82" i="8"/>
  <c r="AQ88" i="8"/>
  <c r="AR82" i="8"/>
  <c r="AR88" i="8"/>
  <c r="AS82" i="8"/>
  <c r="AS88" i="8"/>
  <c r="AT82" i="8"/>
  <c r="AT88" i="8"/>
  <c r="AU82" i="8"/>
  <c r="AU88" i="8"/>
  <c r="AV82" i="8"/>
  <c r="AV88" i="8"/>
  <c r="AW82" i="8"/>
  <c r="AW88" i="8"/>
  <c r="AX82" i="8"/>
  <c r="AX88" i="8"/>
  <c r="AY82" i="8"/>
  <c r="AY88" i="8"/>
  <c r="AX83" i="8"/>
  <c r="AY83" i="8"/>
  <c r="AX66" i="8"/>
  <c r="AX67" i="8"/>
  <c r="AX74" i="8"/>
  <c r="AY66" i="8"/>
  <c r="AY67" i="8"/>
  <c r="AY74" i="8"/>
  <c r="AX57" i="8"/>
  <c r="AY57" i="8"/>
  <c r="AX45" i="8"/>
  <c r="AY45" i="8"/>
  <c r="AK73" i="3"/>
  <c r="AL73" i="3"/>
  <c r="AM73" i="3"/>
  <c r="AN73" i="3"/>
  <c r="AO73" i="3"/>
  <c r="AP73" i="3"/>
  <c r="AQ73" i="3"/>
  <c r="AR73" i="3"/>
  <c r="AS73" i="3"/>
  <c r="AT73" i="3"/>
  <c r="AU73" i="3"/>
  <c r="AV73" i="3"/>
  <c r="AJ48" i="3"/>
  <c r="AK45" i="3"/>
  <c r="AK48" i="3"/>
  <c r="AL45" i="3"/>
  <c r="AL48" i="3"/>
  <c r="AM48" i="3"/>
  <c r="AN48" i="3"/>
  <c r="AO45" i="3"/>
  <c r="AO48" i="3"/>
  <c r="AP45" i="3"/>
  <c r="AP48" i="3"/>
  <c r="AQ45" i="3"/>
  <c r="AQ48" i="3"/>
  <c r="AR48" i="3"/>
  <c r="AS48" i="3"/>
  <c r="AT48" i="3"/>
  <c r="AU48" i="3"/>
  <c r="AV48" i="3"/>
  <c r="AM45" i="3"/>
  <c r="AN45" i="3"/>
  <c r="AR45" i="3"/>
  <c r="AS45" i="3"/>
  <c r="AU45" i="3"/>
  <c r="AV45" i="3"/>
  <c r="D38" i="17"/>
  <c r="D30" i="17"/>
  <c r="J7" i="35"/>
  <c r="I8" i="35"/>
  <c r="AX58" i="8"/>
  <c r="AX73" i="8"/>
  <c r="AX75" i="8"/>
  <c r="AY58" i="8"/>
  <c r="AY73" i="8"/>
  <c r="AY75" i="8"/>
  <c r="AY89" i="8"/>
  <c r="AQ89" i="8"/>
  <c r="AW89" i="8"/>
  <c r="AX89" i="8"/>
  <c r="AP89" i="8"/>
  <c r="AO89" i="8"/>
  <c r="AV89" i="8"/>
  <c r="AN89" i="8"/>
  <c r="AU89" i="8"/>
  <c r="AM89" i="8"/>
  <c r="AT89" i="8"/>
  <c r="AL89" i="8"/>
  <c r="AS89" i="8"/>
  <c r="AK89" i="8"/>
  <c r="AR89" i="8"/>
  <c r="AJ89" i="8"/>
  <c r="AX121" i="8"/>
  <c r="AY121" i="8"/>
  <c r="AT45" i="3"/>
  <c r="J8" i="35"/>
  <c r="I11" i="35"/>
  <c r="J11" i="35"/>
  <c r="I19" i="35"/>
  <c r="J496" i="22"/>
  <c r="AX23" i="8"/>
  <c r="AY23" i="8"/>
  <c r="AX24" i="8"/>
  <c r="AJ48" i="7"/>
  <c r="AJ54" i="7"/>
  <c r="AK48" i="7"/>
  <c r="AK54" i="7"/>
  <c r="AL48" i="7"/>
  <c r="AL54" i="7"/>
  <c r="AM48" i="7"/>
  <c r="AM54" i="7"/>
  <c r="AN48" i="7"/>
  <c r="AN54" i="7"/>
  <c r="AO48" i="7"/>
  <c r="AO54" i="7"/>
  <c r="AP48" i="7"/>
  <c r="AP54" i="7"/>
  <c r="AQ48" i="7"/>
  <c r="AQ54" i="7"/>
  <c r="AR48" i="7"/>
  <c r="AR54" i="7"/>
  <c r="AS48" i="7"/>
  <c r="AS54" i="7"/>
  <c r="AT48" i="7"/>
  <c r="AT54" i="7"/>
  <c r="AU48" i="7"/>
  <c r="AU54" i="7"/>
  <c r="AV48" i="7"/>
  <c r="AV54" i="7"/>
  <c r="AW48" i="7"/>
  <c r="AW54" i="7"/>
  <c r="AX48" i="7"/>
  <c r="AX54" i="7"/>
  <c r="AY48" i="7"/>
  <c r="AY54" i="7"/>
  <c r="AX14" i="18"/>
  <c r="J86" i="22"/>
  <c r="AX10" i="18"/>
  <c r="F22" i="1"/>
  <c r="F23" i="1"/>
  <c r="F24" i="1"/>
  <c r="D87" i="5"/>
  <c r="D86" i="5"/>
  <c r="AX15" i="18"/>
  <c r="AX22" i="18"/>
  <c r="AY22" i="18"/>
  <c r="AX28" i="18"/>
  <c r="AX67" i="18"/>
  <c r="AX40" i="9"/>
  <c r="AX41" i="9"/>
  <c r="AJ32" i="9"/>
  <c r="AK32" i="9"/>
  <c r="AL32" i="9"/>
  <c r="AJ25" i="9"/>
  <c r="AJ116" i="41"/>
  <c r="AK25" i="9"/>
  <c r="AK116" i="41"/>
  <c r="AL25" i="9"/>
  <c r="AL116" i="41"/>
  <c r="AM116" i="41"/>
  <c r="AN116" i="41"/>
  <c r="AO116" i="41"/>
  <c r="AP116" i="41"/>
  <c r="AQ116" i="41"/>
  <c r="AR116" i="41"/>
  <c r="AS116" i="41"/>
  <c r="AT116" i="41"/>
  <c r="AU116" i="41"/>
  <c r="AV116" i="41"/>
  <c r="AJ16" i="9"/>
  <c r="AK16" i="9"/>
  <c r="AL16" i="9"/>
  <c r="AJ17" i="9"/>
  <c r="AK17" i="9"/>
  <c r="AL17" i="9"/>
  <c r="AJ8" i="9"/>
  <c r="AK8" i="9"/>
  <c r="AL8" i="9"/>
  <c r="AP177" i="12"/>
  <c r="AQ177" i="12"/>
  <c r="AP163" i="12"/>
  <c r="AP164" i="12"/>
  <c r="J62" i="22"/>
  <c r="J69" i="22"/>
  <c r="F46" i="67"/>
  <c r="D17" i="31"/>
  <c r="E24" i="31"/>
  <c r="AX44" i="4"/>
  <c r="AX51" i="4"/>
  <c r="AK34" i="4"/>
  <c r="AL34" i="4"/>
  <c r="AM34" i="4"/>
  <c r="AN34" i="4"/>
  <c r="AO34" i="4"/>
  <c r="AP34" i="4"/>
  <c r="AQ34" i="4"/>
  <c r="AR34" i="4"/>
  <c r="AS34" i="4"/>
  <c r="AT34" i="4"/>
  <c r="AU34" i="4"/>
  <c r="AV34" i="4"/>
  <c r="AW34" i="4"/>
  <c r="J191" i="22"/>
  <c r="Z164" i="22"/>
  <c r="J109" i="22"/>
  <c r="P109" i="22"/>
  <c r="D10" i="35"/>
  <c r="D9" i="35"/>
  <c r="J64" i="22"/>
  <c r="F42" i="67"/>
  <c r="J19" i="35"/>
  <c r="I21" i="35"/>
  <c r="J21" i="35"/>
  <c r="AX25" i="8"/>
  <c r="AX16" i="18"/>
  <c r="V91" i="43"/>
  <c r="W202" i="12"/>
  <c r="AX66" i="18"/>
  <c r="AO164" i="22"/>
  <c r="AG164" i="22"/>
  <c r="AM164" i="22"/>
  <c r="AE164" i="22"/>
  <c r="Q164" i="22"/>
  <c r="Y164" i="22"/>
  <c r="O164" i="22"/>
  <c r="W164" i="22"/>
  <c r="P164" i="22"/>
  <c r="AN164" i="22"/>
  <c r="AF164" i="22"/>
  <c r="X164" i="22"/>
  <c r="N164" i="22"/>
  <c r="AL164" i="22"/>
  <c r="AD164" i="22"/>
  <c r="V164" i="22"/>
  <c r="AK164" i="22"/>
  <c r="AC164" i="22"/>
  <c r="U164" i="22"/>
  <c r="AJ164" i="22"/>
  <c r="AB164" i="22"/>
  <c r="T164" i="22"/>
  <c r="M164" i="22"/>
  <c r="AI164" i="22"/>
  <c r="AA164" i="22"/>
  <c r="S164" i="22"/>
  <c r="R164" i="22"/>
  <c r="AP164" i="22"/>
  <c r="AH164" i="22"/>
  <c r="AE109" i="22"/>
  <c r="AL109" i="22"/>
  <c r="AD109" i="22"/>
  <c r="V109" i="22"/>
  <c r="N109" i="22"/>
  <c r="AK109" i="22"/>
  <c r="AC109" i="22"/>
  <c r="U109" i="22"/>
  <c r="AJ109" i="22"/>
  <c r="AB109" i="22"/>
  <c r="T109" i="22"/>
  <c r="W109" i="22"/>
  <c r="R109" i="22"/>
  <c r="AM109" i="22"/>
  <c r="M109" i="22"/>
  <c r="M152" i="22"/>
  <c r="AA109" i="22"/>
  <c r="AH109" i="22"/>
  <c r="AO109" i="22"/>
  <c r="AG109" i="22"/>
  <c r="Y109" i="22"/>
  <c r="Q109" i="22"/>
  <c r="O109" i="22"/>
  <c r="AI109" i="22"/>
  <c r="S109" i="22"/>
  <c r="AP109" i="22"/>
  <c r="Z109" i="22"/>
  <c r="AN109" i="22"/>
  <c r="AF109" i="22"/>
  <c r="X109" i="22"/>
  <c r="I22" i="35"/>
  <c r="J250" i="22"/>
  <c r="J252" i="22"/>
  <c r="N91" i="43"/>
  <c r="O202" i="12"/>
  <c r="X91" i="43"/>
  <c r="Y202" i="12"/>
  <c r="AW91" i="43"/>
  <c r="AJ91" i="43"/>
  <c r="AK202" i="12"/>
  <c r="AA91" i="43"/>
  <c r="AB202" i="12"/>
  <c r="O91" i="43"/>
  <c r="P202" i="12"/>
  <c r="AF91" i="43"/>
  <c r="AG202" i="12"/>
  <c r="R91" i="43"/>
  <c r="S202" i="12"/>
  <c r="AR91" i="43"/>
  <c r="AI91" i="43"/>
  <c r="AJ202" i="12"/>
  <c r="AT91" i="43"/>
  <c r="W91" i="43"/>
  <c r="X202" i="12"/>
  <c r="AN91" i="43"/>
  <c r="Z91" i="43"/>
  <c r="AA202" i="12"/>
  <c r="AC91" i="43"/>
  <c r="AD202" i="12"/>
  <c r="AB91" i="43"/>
  <c r="AC202" i="12"/>
  <c r="AE91" i="43"/>
  <c r="AF202" i="12"/>
  <c r="AV91" i="43"/>
  <c r="AH91" i="43"/>
  <c r="AI202" i="12"/>
  <c r="AS91" i="43"/>
  <c r="AK91" i="43"/>
  <c r="AL202" i="12"/>
  <c r="P91" i="43"/>
  <c r="Q202" i="12"/>
  <c r="AM91" i="43"/>
  <c r="AQ91" i="43"/>
  <c r="AO91" i="43"/>
  <c r="Q91" i="43"/>
  <c r="R202" i="12"/>
  <c r="AP91" i="43"/>
  <c r="S91" i="43"/>
  <c r="T202" i="12"/>
  <c r="AD91" i="43"/>
  <c r="AE202" i="12"/>
  <c r="AU91" i="43"/>
  <c r="Y91" i="43"/>
  <c r="Z202" i="12"/>
  <c r="M91" i="43"/>
  <c r="N202" i="12"/>
  <c r="AL91" i="43"/>
  <c r="AM202" i="12"/>
  <c r="AG91" i="43"/>
  <c r="AH202" i="12"/>
  <c r="T91" i="43"/>
  <c r="U202" i="12"/>
  <c r="U91" i="43"/>
  <c r="V202" i="12"/>
  <c r="L91" i="43"/>
  <c r="M202" i="12"/>
  <c r="I91" i="43"/>
  <c r="J202" i="12"/>
  <c r="K91" i="43"/>
  <c r="L202" i="12"/>
  <c r="J91" i="43"/>
  <c r="K202" i="12"/>
  <c r="M43" i="22"/>
  <c r="G37" i="31"/>
  <c r="C35" i="31"/>
  <c r="C36" i="31"/>
  <c r="C38" i="31"/>
  <c r="E37" i="31"/>
  <c r="C39" i="31"/>
  <c r="C30" i="31"/>
  <c r="J256" i="22"/>
  <c r="F144" i="1"/>
  <c r="J22" i="35"/>
  <c r="M44" i="22"/>
  <c r="N43" i="22"/>
  <c r="O43" i="22"/>
  <c r="J29" i="33"/>
  <c r="K29" i="33"/>
  <c r="K31" i="33"/>
  <c r="K36" i="33"/>
  <c r="L29" i="33"/>
  <c r="L31" i="33"/>
  <c r="L36" i="33"/>
  <c r="M29" i="33"/>
  <c r="M31" i="33"/>
  <c r="M36" i="33"/>
  <c r="N29" i="33"/>
  <c r="N31" i="33"/>
  <c r="N36" i="33"/>
  <c r="O29" i="33"/>
  <c r="O31" i="33"/>
  <c r="O36" i="33"/>
  <c r="P29" i="33"/>
  <c r="P31" i="33"/>
  <c r="P36" i="33"/>
  <c r="K37" i="33"/>
  <c r="L37" i="33"/>
  <c r="M37" i="33"/>
  <c r="N37" i="33"/>
  <c r="O37" i="33"/>
  <c r="P37" i="33"/>
  <c r="J31" i="33"/>
  <c r="J37" i="33"/>
  <c r="J36" i="33"/>
  <c r="F46" i="12"/>
  <c r="F43" i="12"/>
  <c r="M225" i="22"/>
  <c r="I62" i="43"/>
  <c r="O44" i="22"/>
  <c r="O225" i="22"/>
  <c r="N44" i="22"/>
  <c r="N225" i="22"/>
  <c r="N52" i="22"/>
  <c r="O52" i="22"/>
  <c r="J62" i="43"/>
  <c r="K62" i="43"/>
  <c r="P52" i="22"/>
  <c r="AN38" i="22"/>
  <c r="AO38" i="22"/>
  <c r="AP38" i="22"/>
  <c r="AM38" i="22"/>
  <c r="AL38" i="22"/>
  <c r="AK38" i="22"/>
  <c r="AJ38" i="22"/>
  <c r="AI38" i="22"/>
  <c r="AH38" i="22"/>
  <c r="AG38" i="22"/>
  <c r="AF38" i="22"/>
  <c r="AE38" i="22"/>
  <c r="AD38" i="22"/>
  <c r="AC38" i="22"/>
  <c r="AB38" i="22"/>
  <c r="AA38" i="22"/>
  <c r="Z38" i="22"/>
  <c r="Y38" i="22"/>
  <c r="X38" i="22"/>
  <c r="W38" i="22"/>
  <c r="V38" i="22"/>
  <c r="U38" i="22"/>
  <c r="T38" i="22"/>
  <c r="S38" i="22"/>
  <c r="R38" i="22"/>
  <c r="Q38" i="22"/>
  <c r="P38" i="22"/>
  <c r="P54" i="22"/>
  <c r="O38" i="22"/>
  <c r="N38" i="22"/>
  <c r="J62" i="1"/>
  <c r="M38" i="22"/>
  <c r="M39" i="22"/>
  <c r="M40" i="22"/>
  <c r="M61" i="1"/>
  <c r="C14" i="34"/>
  <c r="C13" i="34"/>
  <c r="C12" i="34"/>
  <c r="C11" i="34"/>
  <c r="C10" i="34"/>
  <c r="C9" i="34"/>
  <c r="C8" i="34"/>
  <c r="C7" i="34"/>
  <c r="C6" i="34"/>
  <c r="C5" i="34"/>
  <c r="C4" i="34"/>
  <c r="C3" i="34"/>
  <c r="M34" i="22"/>
  <c r="M35" i="22"/>
  <c r="M36" i="22"/>
  <c r="M62" i="22"/>
  <c r="M46" i="22"/>
  <c r="N34" i="22"/>
  <c r="N46" i="22"/>
  <c r="O34" i="22"/>
  <c r="K61" i="1"/>
  <c r="O46" i="22"/>
  <c r="P34" i="22"/>
  <c r="L61" i="1"/>
  <c r="P46" i="22"/>
  <c r="M217" i="22"/>
  <c r="Q52" i="22"/>
  <c r="R54" i="22"/>
  <c r="N62" i="1"/>
  <c r="Z54" i="22"/>
  <c r="V62" i="1"/>
  <c r="AA54" i="22"/>
  <c r="W62" i="1"/>
  <c r="AB54" i="22"/>
  <c r="X62" i="1"/>
  <c r="M54" i="22"/>
  <c r="I62" i="1"/>
  <c r="U54" i="22"/>
  <c r="Q62" i="1"/>
  <c r="AC54" i="22"/>
  <c r="Y62" i="1"/>
  <c r="AI54" i="22"/>
  <c r="AE62" i="1"/>
  <c r="AP54" i="22"/>
  <c r="AL62" i="1"/>
  <c r="AJ54" i="22"/>
  <c r="AF62" i="1"/>
  <c r="AO54" i="22"/>
  <c r="AK62" i="1"/>
  <c r="AG54" i="22"/>
  <c r="AC62" i="1"/>
  <c r="AH54" i="22"/>
  <c r="AD62" i="1"/>
  <c r="V54" i="22"/>
  <c r="R62" i="1"/>
  <c r="AD54" i="22"/>
  <c r="Z62" i="1"/>
  <c r="O54" i="22"/>
  <c r="K62" i="1"/>
  <c r="W54" i="22"/>
  <c r="S62" i="1"/>
  <c r="AE54" i="22"/>
  <c r="AA62" i="1"/>
  <c r="AK54" i="22"/>
  <c r="AG62" i="1"/>
  <c r="AN54" i="22"/>
  <c r="AJ62" i="1"/>
  <c r="S54" i="22"/>
  <c r="O62" i="1"/>
  <c r="T54" i="22"/>
  <c r="P62" i="1"/>
  <c r="L62" i="1"/>
  <c r="AL54" i="22"/>
  <c r="AH62" i="1"/>
  <c r="X54" i="22"/>
  <c r="T62" i="1"/>
  <c r="AF54" i="22"/>
  <c r="AB62" i="1"/>
  <c r="N35" i="22"/>
  <c r="O35" i="22"/>
  <c r="P35" i="22"/>
  <c r="Q35" i="22"/>
  <c r="J61" i="1"/>
  <c r="Q54" i="22"/>
  <c r="M62" i="1"/>
  <c r="Y54" i="22"/>
  <c r="U62" i="1"/>
  <c r="AM54" i="22"/>
  <c r="AI62" i="1"/>
  <c r="N39" i="22"/>
  <c r="O39" i="22"/>
  <c r="P39" i="22"/>
  <c r="Q39" i="22"/>
  <c r="R39" i="22"/>
  <c r="S39" i="22"/>
  <c r="T39" i="22"/>
  <c r="U39" i="22"/>
  <c r="V39" i="22"/>
  <c r="W39" i="22"/>
  <c r="X39" i="22"/>
  <c r="Y39" i="22"/>
  <c r="Z39" i="22"/>
  <c r="AA39" i="22"/>
  <c r="AB39" i="22"/>
  <c r="AC39" i="22"/>
  <c r="AD39" i="22"/>
  <c r="AE39" i="22"/>
  <c r="AF39" i="22"/>
  <c r="AG39" i="22"/>
  <c r="AH39" i="22"/>
  <c r="AI39" i="22"/>
  <c r="AJ39" i="22"/>
  <c r="AK39" i="22"/>
  <c r="AL39" i="22"/>
  <c r="AM39" i="22"/>
  <c r="AN39" i="22"/>
  <c r="AO39" i="22"/>
  <c r="AP39" i="22"/>
  <c r="N54" i="22"/>
  <c r="M80" i="22"/>
  <c r="AO98" i="12"/>
  <c r="AO102" i="12"/>
  <c r="I52" i="43"/>
  <c r="I104" i="43"/>
  <c r="R52" i="22"/>
  <c r="M55" i="22"/>
  <c r="M56" i="22"/>
  <c r="N36" i="22"/>
  <c r="J77" i="22"/>
  <c r="X80" i="22"/>
  <c r="AF80" i="22"/>
  <c r="AN80" i="22"/>
  <c r="P80" i="22"/>
  <c r="AC80" i="22"/>
  <c r="V80" i="22"/>
  <c r="AD80" i="22"/>
  <c r="AL80" i="22"/>
  <c r="N80" i="22"/>
  <c r="AM80" i="22"/>
  <c r="Q80" i="22"/>
  <c r="Y80" i="22"/>
  <c r="AG80" i="22"/>
  <c r="AO80" i="22"/>
  <c r="W80" i="22"/>
  <c r="O80" i="22"/>
  <c r="R80" i="22"/>
  <c r="Z80" i="22"/>
  <c r="AH80" i="22"/>
  <c r="AP80" i="22"/>
  <c r="U80" i="22"/>
  <c r="AK80" i="22"/>
  <c r="S80" i="22"/>
  <c r="AA80" i="22"/>
  <c r="AI80" i="22"/>
  <c r="AE80" i="22"/>
  <c r="T80" i="22"/>
  <c r="AB80" i="22"/>
  <c r="AJ80" i="22"/>
  <c r="N40" i="22"/>
  <c r="R40" i="22"/>
  <c r="R217" i="22"/>
  <c r="Z40" i="22"/>
  <c r="Z217" i="22"/>
  <c r="Q40" i="22"/>
  <c r="Q217" i="22"/>
  <c r="S40" i="22"/>
  <c r="S217" i="22"/>
  <c r="AE40" i="22"/>
  <c r="AE217" i="22"/>
  <c r="V40" i="22"/>
  <c r="V217" i="22"/>
  <c r="Q36" i="22"/>
  <c r="P40" i="22"/>
  <c r="P217" i="22"/>
  <c r="AF40" i="22"/>
  <c r="AF217" i="22"/>
  <c r="AC40" i="22"/>
  <c r="AC217" i="22"/>
  <c r="AM40" i="22"/>
  <c r="AM217" i="22"/>
  <c r="X40" i="22"/>
  <c r="X217" i="22"/>
  <c r="AO40" i="22"/>
  <c r="AO217" i="22"/>
  <c r="AP40" i="22"/>
  <c r="AP217" i="22"/>
  <c r="AK40" i="22"/>
  <c r="AK217" i="22"/>
  <c r="P36" i="22"/>
  <c r="O36" i="22"/>
  <c r="AN40" i="22"/>
  <c r="AN217" i="22"/>
  <c r="AD40" i="22"/>
  <c r="AD217" i="22"/>
  <c r="O40" i="22"/>
  <c r="O217" i="22"/>
  <c r="AJ40" i="22"/>
  <c r="AJ217" i="22"/>
  <c r="Y40" i="22"/>
  <c r="Y217" i="22"/>
  <c r="AI40" i="22"/>
  <c r="AI217" i="22"/>
  <c r="AA40" i="22"/>
  <c r="AA217" i="22"/>
  <c r="AL40" i="22"/>
  <c r="AL217" i="22"/>
  <c r="AH40" i="22"/>
  <c r="AH217" i="22"/>
  <c r="U40" i="22"/>
  <c r="U217" i="22"/>
  <c r="AG40" i="22"/>
  <c r="AG217" i="22"/>
  <c r="W40" i="22"/>
  <c r="W217" i="22"/>
  <c r="T40" i="22"/>
  <c r="T217" i="22"/>
  <c r="AB40" i="22"/>
  <c r="AB217" i="22"/>
  <c r="H70" i="33"/>
  <c r="I70" i="33"/>
  <c r="N56" i="33"/>
  <c r="O56" i="33"/>
  <c r="P56" i="33"/>
  <c r="H56" i="33"/>
  <c r="I56" i="33"/>
  <c r="J56" i="33"/>
  <c r="K56" i="33"/>
  <c r="L56" i="33"/>
  <c r="M56" i="33"/>
  <c r="G56" i="33"/>
  <c r="M45" i="33"/>
  <c r="N45" i="33"/>
  <c r="O45" i="33"/>
  <c r="P45" i="33"/>
  <c r="H45" i="33"/>
  <c r="I45" i="33"/>
  <c r="J45" i="33"/>
  <c r="K45" i="33"/>
  <c r="L45" i="33"/>
  <c r="G45" i="33"/>
  <c r="C43" i="33"/>
  <c r="C38" i="33"/>
  <c r="J32" i="33"/>
  <c r="G29" i="33"/>
  <c r="G31" i="33"/>
  <c r="J26" i="33"/>
  <c r="J27" i="33"/>
  <c r="K26" i="33"/>
  <c r="K27" i="33"/>
  <c r="L26" i="33"/>
  <c r="L27" i="33"/>
  <c r="M26" i="33"/>
  <c r="M27" i="33"/>
  <c r="N26" i="33"/>
  <c r="N27" i="33"/>
  <c r="O26" i="33"/>
  <c r="O27" i="33"/>
  <c r="P26" i="33"/>
  <c r="P27" i="33"/>
  <c r="H26" i="33"/>
  <c r="H27" i="33"/>
  <c r="I26" i="33"/>
  <c r="I27" i="33"/>
  <c r="G26" i="33"/>
  <c r="G27" i="33"/>
  <c r="D18" i="33"/>
  <c r="K9" i="33"/>
  <c r="L9" i="33"/>
  <c r="M9" i="33"/>
  <c r="N9" i="33"/>
  <c r="O9" i="33"/>
  <c r="P9" i="33"/>
  <c r="H9" i="33"/>
  <c r="I9" i="33"/>
  <c r="J9" i="33"/>
  <c r="G9" i="33"/>
  <c r="F17" i="33"/>
  <c r="F18" i="33"/>
  <c r="P6" i="33"/>
  <c r="P7" i="33"/>
  <c r="O6" i="33"/>
  <c r="O7" i="33"/>
  <c r="N6" i="33"/>
  <c r="N7" i="33"/>
  <c r="M6" i="33"/>
  <c r="M7" i="33"/>
  <c r="L6" i="33"/>
  <c r="L7" i="33"/>
  <c r="K6" i="33"/>
  <c r="K7" i="33"/>
  <c r="J6" i="33"/>
  <c r="J7" i="33"/>
  <c r="I6" i="33"/>
  <c r="I7" i="33"/>
  <c r="H6" i="33"/>
  <c r="H7" i="33"/>
  <c r="G6" i="33"/>
  <c r="G7" i="33"/>
  <c r="F10" i="34"/>
  <c r="G5" i="33"/>
  <c r="G9" i="34"/>
  <c r="G8" i="34"/>
  <c r="G7" i="34"/>
  <c r="G6" i="34"/>
  <c r="G5" i="34"/>
  <c r="G4" i="34"/>
  <c r="F30" i="1"/>
  <c r="F39" i="12"/>
  <c r="R77" i="22"/>
  <c r="Z77" i="22"/>
  <c r="AH77" i="22"/>
  <c r="AP77" i="22"/>
  <c r="P77" i="22"/>
  <c r="Y77" i="22"/>
  <c r="AI77" i="22"/>
  <c r="Q77" i="22"/>
  <c r="AA77" i="22"/>
  <c r="AJ77" i="22"/>
  <c r="S77" i="22"/>
  <c r="AB77" i="22"/>
  <c r="AK77" i="22"/>
  <c r="W77" i="22"/>
  <c r="AM77" i="22"/>
  <c r="X77" i="22"/>
  <c r="AN77" i="22"/>
  <c r="AC77" i="22"/>
  <c r="AO77" i="22"/>
  <c r="V77" i="22"/>
  <c r="AL77" i="22"/>
  <c r="N77" i="22"/>
  <c r="AD77" i="22"/>
  <c r="M77" i="22"/>
  <c r="O77" i="22"/>
  <c r="AE77" i="22"/>
  <c r="T77" i="22"/>
  <c r="AF77" i="22"/>
  <c r="U77" i="22"/>
  <c r="AG77" i="22"/>
  <c r="F67" i="27"/>
  <c r="F75" i="27"/>
  <c r="M254" i="22"/>
  <c r="M240" i="22"/>
  <c r="M241" i="22"/>
  <c r="S52" i="22"/>
  <c r="M253" i="22"/>
  <c r="N55" i="22"/>
  <c r="J87" i="22"/>
  <c r="AJ104" i="43"/>
  <c r="AJ52" i="43"/>
  <c r="AS104" i="43"/>
  <c r="AS52" i="43"/>
  <c r="O104" i="43"/>
  <c r="O52" i="43"/>
  <c r="U104" i="43"/>
  <c r="U52" i="43"/>
  <c r="M104" i="43"/>
  <c r="M52" i="43"/>
  <c r="AR104" i="43"/>
  <c r="AR52" i="43"/>
  <c r="AV104" i="43"/>
  <c r="AV52" i="43"/>
  <c r="Y104" i="43"/>
  <c r="Y52" i="43"/>
  <c r="V104" i="43"/>
  <c r="V52" i="43"/>
  <c r="P104" i="43"/>
  <c r="P52" i="43"/>
  <c r="W104" i="43"/>
  <c r="W52" i="43"/>
  <c r="AF104" i="43"/>
  <c r="AF52" i="43"/>
  <c r="AG104" i="43"/>
  <c r="AG52" i="43"/>
  <c r="AB104" i="43"/>
  <c r="AB52" i="43"/>
  <c r="N104" i="43"/>
  <c r="N52" i="43"/>
  <c r="Q104" i="43"/>
  <c r="Q52" i="43"/>
  <c r="AO52" i="43"/>
  <c r="AO104" i="43"/>
  <c r="AN104" i="43"/>
  <c r="AN52" i="43"/>
  <c r="AW104" i="43"/>
  <c r="AW52" i="43"/>
  <c r="AD104" i="43"/>
  <c r="AD52" i="43"/>
  <c r="AU104" i="43"/>
  <c r="AU52" i="43"/>
  <c r="AH104" i="43"/>
  <c r="AH52" i="43"/>
  <c r="AE104" i="43"/>
  <c r="AE52" i="43"/>
  <c r="AL104" i="43"/>
  <c r="AL52" i="43"/>
  <c r="L104" i="43"/>
  <c r="L52" i="43"/>
  <c r="AC104" i="43"/>
  <c r="AC52" i="43"/>
  <c r="AQ104" i="43"/>
  <c r="AQ52" i="43"/>
  <c r="K52" i="43"/>
  <c r="K104" i="43"/>
  <c r="AK104" i="43"/>
  <c r="AK52" i="43"/>
  <c r="X104" i="43"/>
  <c r="X52" i="43"/>
  <c r="S104" i="43"/>
  <c r="S52" i="43"/>
  <c r="AT104" i="43"/>
  <c r="AT52" i="43"/>
  <c r="AP104" i="43"/>
  <c r="AP52" i="43"/>
  <c r="AM104" i="43"/>
  <c r="AM52" i="43"/>
  <c r="Z104" i="43"/>
  <c r="Z52" i="43"/>
  <c r="T104" i="43"/>
  <c r="T52" i="43"/>
  <c r="R52" i="43"/>
  <c r="R104" i="43"/>
  <c r="AI52" i="43"/>
  <c r="AI104" i="43"/>
  <c r="AA104" i="43"/>
  <c r="AA52" i="43"/>
  <c r="N217" i="22"/>
  <c r="N62" i="22"/>
  <c r="M81" i="22"/>
  <c r="M83" i="22"/>
  <c r="Q62" i="22"/>
  <c r="O62" i="22"/>
  <c r="P62" i="22"/>
  <c r="G10" i="34"/>
  <c r="F11" i="34"/>
  <c r="G37" i="33"/>
  <c r="G36" i="33"/>
  <c r="J41" i="33"/>
  <c r="J42" i="33"/>
  <c r="H29" i="33"/>
  <c r="G32" i="33"/>
  <c r="G17" i="33"/>
  <c r="G18" i="33"/>
  <c r="G51" i="33"/>
  <c r="G53" i="33"/>
  <c r="G11" i="34"/>
  <c r="F70" i="27"/>
  <c r="F74" i="27"/>
  <c r="F68" i="27"/>
  <c r="F69" i="27"/>
  <c r="F73" i="27"/>
  <c r="M256" i="22"/>
  <c r="M174" i="22"/>
  <c r="I94" i="43"/>
  <c r="J220" i="12"/>
  <c r="J221" i="12"/>
  <c r="T52" i="22"/>
  <c r="O55" i="22"/>
  <c r="P55" i="22"/>
  <c r="Q55" i="22"/>
  <c r="R55" i="22"/>
  <c r="S55" i="22"/>
  <c r="T55" i="22"/>
  <c r="U55" i="22"/>
  <c r="V55" i="22"/>
  <c r="W55" i="22"/>
  <c r="X55" i="22"/>
  <c r="Y55" i="22"/>
  <c r="Z55" i="22"/>
  <c r="AA55" i="22"/>
  <c r="AB55" i="22"/>
  <c r="AC55" i="22"/>
  <c r="AD55" i="22"/>
  <c r="AE55" i="22"/>
  <c r="AF55" i="22"/>
  <c r="AG55" i="22"/>
  <c r="AH55" i="22"/>
  <c r="AI55" i="22"/>
  <c r="AJ55" i="22"/>
  <c r="AK55" i="22"/>
  <c r="AL55" i="22"/>
  <c r="AM55" i="22"/>
  <c r="AN55" i="22"/>
  <c r="AO55" i="22"/>
  <c r="AP55" i="22"/>
  <c r="N56" i="22"/>
  <c r="J52" i="43"/>
  <c r="J104" i="43"/>
  <c r="F12" i="34"/>
  <c r="I5" i="33"/>
  <c r="H5" i="33"/>
  <c r="L32" i="33"/>
  <c r="K32" i="33"/>
  <c r="K42" i="33"/>
  <c r="J38" i="33"/>
  <c r="H17" i="33"/>
  <c r="L42" i="33"/>
  <c r="L41" i="33"/>
  <c r="L43" i="33"/>
  <c r="J43" i="33"/>
  <c r="G42" i="33"/>
  <c r="G41" i="33"/>
  <c r="H32" i="33"/>
  <c r="H31" i="33"/>
  <c r="I29" i="33"/>
  <c r="G38" i="33"/>
  <c r="M32" i="33"/>
  <c r="G67" i="27"/>
  <c r="G75" i="27"/>
  <c r="N240" i="22"/>
  <c r="N241" i="22"/>
  <c r="G74" i="27"/>
  <c r="G69" i="27"/>
  <c r="O56" i="22"/>
  <c r="T56" i="22"/>
  <c r="P56" i="22"/>
  <c r="P254" i="22"/>
  <c r="S56" i="22"/>
  <c r="U52" i="22"/>
  <c r="R56" i="22"/>
  <c r="R253" i="22"/>
  <c r="AG56" i="22"/>
  <c r="Y56" i="22"/>
  <c r="Q56" i="22"/>
  <c r="X56" i="22"/>
  <c r="AD56" i="22"/>
  <c r="Z56" i="22"/>
  <c r="V56" i="22"/>
  <c r="AB56" i="22"/>
  <c r="AC56" i="22"/>
  <c r="AF56" i="22"/>
  <c r="W56" i="22"/>
  <c r="AK56" i="22"/>
  <c r="U56" i="22"/>
  <c r="AH56" i="22"/>
  <c r="AN56" i="22"/>
  <c r="AO56" i="22"/>
  <c r="AM56" i="22"/>
  <c r="AI56" i="22"/>
  <c r="AE56" i="22"/>
  <c r="S254" i="22"/>
  <c r="AA56" i="22"/>
  <c r="N254" i="22"/>
  <c r="N253" i="22"/>
  <c r="AP56" i="22"/>
  <c r="AL56" i="22"/>
  <c r="AJ56" i="22"/>
  <c r="H18" i="33"/>
  <c r="H51" i="33"/>
  <c r="J5" i="33"/>
  <c r="F13" i="34"/>
  <c r="G12" i="34"/>
  <c r="G43" i="33"/>
  <c r="K41" i="33"/>
  <c r="K43" i="33"/>
  <c r="I17" i="33"/>
  <c r="I18" i="33"/>
  <c r="I51" i="33"/>
  <c r="L38" i="33"/>
  <c r="I31" i="33"/>
  <c r="I32" i="33"/>
  <c r="M41" i="33"/>
  <c r="M42" i="33"/>
  <c r="H36" i="33"/>
  <c r="H37" i="33"/>
  <c r="H41" i="33"/>
  <c r="H42" i="33"/>
  <c r="K38" i="33"/>
  <c r="N32" i="33"/>
  <c r="P253" i="22"/>
  <c r="G70" i="27"/>
  <c r="G68" i="27"/>
  <c r="G73" i="27"/>
  <c r="R241" i="22"/>
  <c r="R240" i="22"/>
  <c r="AG240" i="22"/>
  <c r="AG241" i="22"/>
  <c r="T67" i="27"/>
  <c r="T73" i="27"/>
  <c r="AA240" i="22"/>
  <c r="AA241" i="22"/>
  <c r="V240" i="22"/>
  <c r="V241" i="22"/>
  <c r="AH67" i="27"/>
  <c r="AH74" i="27"/>
  <c r="AO240" i="22"/>
  <c r="AO241" i="22"/>
  <c r="U240" i="22"/>
  <c r="U241" i="22"/>
  <c r="Z241" i="22"/>
  <c r="Z240" i="22"/>
  <c r="L67" i="27"/>
  <c r="L74" i="27"/>
  <c r="S241" i="22"/>
  <c r="S240" i="22"/>
  <c r="I67" i="27"/>
  <c r="I68" i="27"/>
  <c r="P240" i="22"/>
  <c r="P241" i="22"/>
  <c r="AG67" i="27"/>
  <c r="AG69" i="27"/>
  <c r="AN240" i="22"/>
  <c r="AN241" i="22"/>
  <c r="AI67" i="27"/>
  <c r="AI68" i="27"/>
  <c r="AP241" i="22"/>
  <c r="AP240" i="22"/>
  <c r="W240" i="22"/>
  <c r="W241" i="22"/>
  <c r="X253" i="22"/>
  <c r="X241" i="22"/>
  <c r="X240" i="22"/>
  <c r="M67" i="27"/>
  <c r="M74" i="27"/>
  <c r="T240" i="22"/>
  <c r="T241" i="22"/>
  <c r="AB254" i="22"/>
  <c r="AB240" i="22"/>
  <c r="AB241" i="22"/>
  <c r="AC67" i="27"/>
  <c r="AC74" i="27"/>
  <c r="AJ240" i="22"/>
  <c r="AJ241" i="22"/>
  <c r="AE67" i="27"/>
  <c r="AE69" i="27"/>
  <c r="AL240" i="22"/>
  <c r="AL241" i="22"/>
  <c r="AD240" i="22"/>
  <c r="AD241" i="22"/>
  <c r="Y67" i="27"/>
  <c r="Y75" i="27"/>
  <c r="AF240" i="22"/>
  <c r="AF241" i="22"/>
  <c r="J67" i="27"/>
  <c r="J73" i="27"/>
  <c r="Q240" i="22"/>
  <c r="Q241" i="22"/>
  <c r="H67" i="27"/>
  <c r="H70" i="27"/>
  <c r="O240" i="22"/>
  <c r="O241" i="22"/>
  <c r="AK240" i="22"/>
  <c r="AK241" i="22"/>
  <c r="X67" i="27"/>
  <c r="X69" i="27"/>
  <c r="AE240" i="22"/>
  <c r="AE241" i="22"/>
  <c r="AB67" i="27"/>
  <c r="AB75" i="27"/>
  <c r="AI240" i="22"/>
  <c r="AI241" i="22"/>
  <c r="AF67" i="27"/>
  <c r="AF75" i="27"/>
  <c r="AM240" i="22"/>
  <c r="AM241" i="22"/>
  <c r="AA67" i="27"/>
  <c r="AA75" i="27"/>
  <c r="AH240" i="22"/>
  <c r="AH241" i="22"/>
  <c r="AC240" i="22"/>
  <c r="AC241" i="22"/>
  <c r="R67" i="27"/>
  <c r="R74" i="27"/>
  <c r="Y240" i="22"/>
  <c r="Y241" i="22"/>
  <c r="S253" i="22"/>
  <c r="S256" i="22"/>
  <c r="S174" i="22"/>
  <c r="O94" i="43"/>
  <c r="P220" i="12"/>
  <c r="P221" i="12"/>
  <c r="Y253" i="22"/>
  <c r="T253" i="22"/>
  <c r="T254" i="22"/>
  <c r="Y254" i="22"/>
  <c r="Q253" i="22"/>
  <c r="W253" i="22"/>
  <c r="P67" i="27"/>
  <c r="X254" i="22"/>
  <c r="Q67" i="27"/>
  <c r="AC254" i="22"/>
  <c r="V67" i="27"/>
  <c r="AB253" i="22"/>
  <c r="U67" i="27"/>
  <c r="AG253" i="22"/>
  <c r="Z67" i="27"/>
  <c r="R254" i="22"/>
  <c r="R256" i="22"/>
  <c r="R174" i="22"/>
  <c r="N94" i="43"/>
  <c r="O220" i="12"/>
  <c r="O221" i="12"/>
  <c r="K67" i="27"/>
  <c r="V254" i="22"/>
  <c r="O67" i="27"/>
  <c r="AF254" i="22"/>
  <c r="O253" i="22"/>
  <c r="U254" i="22"/>
  <c r="N67" i="27"/>
  <c r="Z253" i="22"/>
  <c r="S67" i="27"/>
  <c r="AF253" i="22"/>
  <c r="O254" i="22"/>
  <c r="Q254" i="22"/>
  <c r="AK254" i="22"/>
  <c r="AD67" i="27"/>
  <c r="AD253" i="22"/>
  <c r="W67" i="27"/>
  <c r="AG254" i="22"/>
  <c r="V52" i="22"/>
  <c r="U253" i="22"/>
  <c r="AD254" i="22"/>
  <c r="W254" i="22"/>
  <c r="V253" i="22"/>
  <c r="P256" i="22"/>
  <c r="P174" i="22"/>
  <c r="L94" i="43"/>
  <c r="M220" i="12"/>
  <c r="M221" i="12"/>
  <c r="Z254" i="22"/>
  <c r="AK253" i="22"/>
  <c r="AC253" i="22"/>
  <c r="N256" i="22"/>
  <c r="N174" i="22"/>
  <c r="J94" i="43"/>
  <c r="K220" i="12"/>
  <c r="K221" i="12"/>
  <c r="AJ253" i="22"/>
  <c r="AJ254" i="22"/>
  <c r="AM254" i="22"/>
  <c r="AM253" i="22"/>
  <c r="AA253" i="22"/>
  <c r="AA254" i="22"/>
  <c r="AE254" i="22"/>
  <c r="AE253" i="22"/>
  <c r="AO254" i="22"/>
  <c r="AO253" i="22"/>
  <c r="AH254" i="22"/>
  <c r="AH253" i="22"/>
  <c r="AP254" i="22"/>
  <c r="AP253" i="22"/>
  <c r="AL254" i="22"/>
  <c r="AL253" i="22"/>
  <c r="AI254" i="22"/>
  <c r="AI253" i="22"/>
  <c r="AN254" i="22"/>
  <c r="AN253" i="22"/>
  <c r="K5" i="33"/>
  <c r="G13" i="34"/>
  <c r="F14" i="34"/>
  <c r="H53" i="33"/>
  <c r="M38" i="33"/>
  <c r="I37" i="33"/>
  <c r="I53" i="33"/>
  <c r="J17" i="33"/>
  <c r="J18" i="33"/>
  <c r="J51" i="33"/>
  <c r="J53" i="33"/>
  <c r="H38" i="33"/>
  <c r="N41" i="33"/>
  <c r="N42" i="33"/>
  <c r="M43" i="33"/>
  <c r="I41" i="33"/>
  <c r="I42" i="33"/>
  <c r="H43" i="33"/>
  <c r="I36" i="33"/>
  <c r="O32" i="33"/>
  <c r="T74" i="27"/>
  <c r="T70" i="27"/>
  <c r="M73" i="27"/>
  <c r="T68" i="27"/>
  <c r="T75" i="27"/>
  <c r="H75" i="27"/>
  <c r="Y69" i="27"/>
  <c r="AG75" i="27"/>
  <c r="AG68" i="27"/>
  <c r="Y73" i="27"/>
  <c r="Y74" i="27"/>
  <c r="L70" i="27"/>
  <c r="AH73" i="27"/>
  <c r="X73" i="27"/>
  <c r="Y70" i="27"/>
  <c r="L68" i="27"/>
  <c r="AC70" i="27"/>
  <c r="M70" i="27"/>
  <c r="L75" i="27"/>
  <c r="AC68" i="27"/>
  <c r="M68" i="27"/>
  <c r="Y256" i="22"/>
  <c r="Y174" i="22"/>
  <c r="U94" i="43"/>
  <c r="V220" i="12"/>
  <c r="V221" i="12"/>
  <c r="L73" i="27"/>
  <c r="AC75" i="27"/>
  <c r="H68" i="27"/>
  <c r="M75" i="27"/>
  <c r="T256" i="22"/>
  <c r="T174" i="22"/>
  <c r="P94" i="43"/>
  <c r="Q220" i="12"/>
  <c r="Q221" i="12"/>
  <c r="AE68" i="27"/>
  <c r="AF256" i="22"/>
  <c r="AF174" i="22"/>
  <c r="AB94" i="43"/>
  <c r="AC220" i="12"/>
  <c r="AC221" i="12"/>
  <c r="AE74" i="27"/>
  <c r="AG70" i="27"/>
  <c r="AE70" i="27"/>
  <c r="AA73" i="27"/>
  <c r="Y68" i="27"/>
  <c r="AH70" i="27"/>
  <c r="AA69" i="27"/>
  <c r="AB73" i="27"/>
  <c r="AB69" i="27"/>
  <c r="L69" i="27"/>
  <c r="AC73" i="27"/>
  <c r="X74" i="27"/>
  <c r="H73" i="27"/>
  <c r="M69" i="27"/>
  <c r="AC69" i="27"/>
  <c r="H69" i="27"/>
  <c r="T69" i="27"/>
  <c r="X68" i="27"/>
  <c r="H74" i="27"/>
  <c r="X70" i="27"/>
  <c r="X75" i="27"/>
  <c r="AI75" i="27"/>
  <c r="AH68" i="27"/>
  <c r="AA74" i="27"/>
  <c r="I73" i="27"/>
  <c r="AI73" i="27"/>
  <c r="AG74" i="27"/>
  <c r="AH75" i="27"/>
  <c r="AA70" i="27"/>
  <c r="AB256" i="22"/>
  <c r="AB174" i="22"/>
  <c r="X94" i="43"/>
  <c r="Y220" i="12"/>
  <c r="Y221" i="12"/>
  <c r="I75" i="27"/>
  <c r="AI70" i="27"/>
  <c r="AB68" i="27"/>
  <c r="AG73" i="27"/>
  <c r="AH69" i="27"/>
  <c r="AE73" i="27"/>
  <c r="AA68" i="27"/>
  <c r="I69" i="27"/>
  <c r="AI69" i="27"/>
  <c r="I74" i="27"/>
  <c r="I70" i="27"/>
  <c r="AB74" i="27"/>
  <c r="AI74" i="27"/>
  <c r="AB70" i="27"/>
  <c r="AE75" i="27"/>
  <c r="AP94" i="43"/>
  <c r="J69" i="27"/>
  <c r="R70" i="27"/>
  <c r="J74" i="27"/>
  <c r="V256" i="22"/>
  <c r="V174" i="22"/>
  <c r="R94" i="43"/>
  <c r="S220" i="12"/>
  <c r="S221" i="12"/>
  <c r="X256" i="22"/>
  <c r="X174" i="22"/>
  <c r="T94" i="43"/>
  <c r="U220" i="12"/>
  <c r="U221" i="12"/>
  <c r="J70" i="27"/>
  <c r="J68" i="27"/>
  <c r="R68" i="27"/>
  <c r="AF73" i="27"/>
  <c r="AF69" i="27"/>
  <c r="R73" i="27"/>
  <c r="AF74" i="27"/>
  <c r="AF70" i="27"/>
  <c r="AF68" i="27"/>
  <c r="R69" i="27"/>
  <c r="J75" i="27"/>
  <c r="R75" i="27"/>
  <c r="Q256" i="22"/>
  <c r="Q174" i="22"/>
  <c r="M94" i="43"/>
  <c r="N220" i="12"/>
  <c r="N221" i="12"/>
  <c r="W256" i="22"/>
  <c r="W174" i="22"/>
  <c r="S94" i="43"/>
  <c r="T220" i="12"/>
  <c r="T221" i="12"/>
  <c r="O256" i="22"/>
  <c r="O174" i="22"/>
  <c r="K94" i="43"/>
  <c r="L220" i="12"/>
  <c r="L221" i="12"/>
  <c r="AC256" i="22"/>
  <c r="AC174" i="22"/>
  <c r="Y94" i="43"/>
  <c r="Z220" i="12"/>
  <c r="Z221" i="12"/>
  <c r="AG256" i="22"/>
  <c r="AG174" i="22"/>
  <c r="AC94" i="43"/>
  <c r="AD220" i="12"/>
  <c r="AD221" i="12"/>
  <c r="AK256" i="22"/>
  <c r="AK174" i="22"/>
  <c r="AG94" i="43"/>
  <c r="AH220" i="12"/>
  <c r="AH221" i="12"/>
  <c r="AU94" i="43"/>
  <c r="AO94" i="43"/>
  <c r="U256" i="22"/>
  <c r="U174" i="22"/>
  <c r="Q94" i="43"/>
  <c r="R220" i="12"/>
  <c r="R221" i="12"/>
  <c r="Z256" i="22"/>
  <c r="Z174" i="22"/>
  <c r="V94" i="43"/>
  <c r="W220" i="12"/>
  <c r="W221" i="12"/>
  <c r="AV94" i="43"/>
  <c r="AM94" i="43"/>
  <c r="S69" i="27"/>
  <c r="S73" i="27"/>
  <c r="S75" i="27"/>
  <c r="S68" i="27"/>
  <c r="S70" i="27"/>
  <c r="S74" i="27"/>
  <c r="Z73" i="27"/>
  <c r="Z75" i="27"/>
  <c r="Z68" i="27"/>
  <c r="Z70" i="27"/>
  <c r="Z74" i="27"/>
  <c r="Z69" i="27"/>
  <c r="V70" i="27"/>
  <c r="V74" i="27"/>
  <c r="V69" i="27"/>
  <c r="V73" i="27"/>
  <c r="V75" i="27"/>
  <c r="V68" i="27"/>
  <c r="Q75" i="27"/>
  <c r="Q68" i="27"/>
  <c r="Q70" i="27"/>
  <c r="Q74" i="27"/>
  <c r="Q69" i="27"/>
  <c r="Q73" i="27"/>
  <c r="AP256" i="22"/>
  <c r="AP174" i="22"/>
  <c r="AL94" i="43"/>
  <c r="AM220" i="12"/>
  <c r="AM221" i="12"/>
  <c r="AH256" i="22"/>
  <c r="AH174" i="22"/>
  <c r="AD94" i="43"/>
  <c r="AE220" i="12"/>
  <c r="AE221" i="12"/>
  <c r="AE256" i="22"/>
  <c r="AE174" i="22"/>
  <c r="AA94" i="43"/>
  <c r="AB220" i="12"/>
  <c r="AB221" i="12"/>
  <c r="W70" i="27"/>
  <c r="W74" i="27"/>
  <c r="W69" i="27"/>
  <c r="W73" i="27"/>
  <c r="W75" i="27"/>
  <c r="W68" i="27"/>
  <c r="N70" i="27"/>
  <c r="N74" i="27"/>
  <c r="N69" i="27"/>
  <c r="N73" i="27"/>
  <c r="N75" i="27"/>
  <c r="N68" i="27"/>
  <c r="U74" i="27"/>
  <c r="U69" i="27"/>
  <c r="U73" i="27"/>
  <c r="U75" i="27"/>
  <c r="U68" i="27"/>
  <c r="U70" i="27"/>
  <c r="P75" i="27"/>
  <c r="P68" i="27"/>
  <c r="P70" i="27"/>
  <c r="P74" i="27"/>
  <c r="P69" i="27"/>
  <c r="P73" i="27"/>
  <c r="AD70" i="27"/>
  <c r="AD74" i="27"/>
  <c r="AD69" i="27"/>
  <c r="AD73" i="27"/>
  <c r="AD75" i="27"/>
  <c r="AD68" i="27"/>
  <c r="AD256" i="22"/>
  <c r="AD174" i="22"/>
  <c r="Z94" i="43"/>
  <c r="AA220" i="12"/>
  <c r="AA221" i="12"/>
  <c r="O70" i="27"/>
  <c r="O74" i="27"/>
  <c r="O69" i="27"/>
  <c r="O73" i="27"/>
  <c r="O75" i="27"/>
  <c r="O68" i="27"/>
  <c r="K69" i="27"/>
  <c r="K73" i="27"/>
  <c r="K75" i="27"/>
  <c r="K68" i="27"/>
  <c r="K70" i="27"/>
  <c r="K74" i="27"/>
  <c r="AR94" i="43"/>
  <c r="W52" i="22"/>
  <c r="AO256" i="22"/>
  <c r="AO174" i="22"/>
  <c r="AK94" i="43"/>
  <c r="AL220" i="12"/>
  <c r="AL221" i="12"/>
  <c r="AW94" i="43"/>
  <c r="AN256" i="22"/>
  <c r="AN174" i="22"/>
  <c r="AJ94" i="43"/>
  <c r="AK220" i="12"/>
  <c r="AK221" i="12"/>
  <c r="AM256" i="22"/>
  <c r="AM174" i="22"/>
  <c r="AI94" i="43"/>
  <c r="AJ220" i="12"/>
  <c r="AJ221" i="12"/>
  <c r="AT94" i="43"/>
  <c r="AA256" i="22"/>
  <c r="AA174" i="22"/>
  <c r="W94" i="43"/>
  <c r="X220" i="12"/>
  <c r="X221" i="12"/>
  <c r="AI256" i="22"/>
  <c r="AI174" i="22"/>
  <c r="AE94" i="43"/>
  <c r="AF220" i="12"/>
  <c r="AF221" i="12"/>
  <c r="AL256" i="22"/>
  <c r="AL174" i="22"/>
  <c r="AH94" i="43"/>
  <c r="AI220" i="12"/>
  <c r="AI221" i="12"/>
  <c r="AN94" i="43"/>
  <c r="AJ256" i="22"/>
  <c r="AJ174" i="22"/>
  <c r="AF94" i="43"/>
  <c r="AG220" i="12"/>
  <c r="AG221" i="12"/>
  <c r="AQ94" i="43"/>
  <c r="AS94" i="43"/>
  <c r="L5" i="33"/>
  <c r="G14" i="34"/>
  <c r="F15" i="34"/>
  <c r="K17" i="33"/>
  <c r="K18" i="33"/>
  <c r="K51" i="33"/>
  <c r="K53" i="33"/>
  <c r="N38" i="33"/>
  <c r="I38" i="33"/>
  <c r="N43" i="33"/>
  <c r="I43" i="33"/>
  <c r="O42" i="33"/>
  <c r="O41" i="33"/>
  <c r="P32" i="33"/>
  <c r="X52" i="22"/>
  <c r="M5" i="33"/>
  <c r="F16" i="34"/>
  <c r="G15" i="34"/>
  <c r="L17" i="33"/>
  <c r="L18" i="33"/>
  <c r="L51" i="33"/>
  <c r="L53" i="33"/>
  <c r="P41" i="33"/>
  <c r="P42" i="33"/>
  <c r="O38" i="33"/>
  <c r="O43" i="33"/>
  <c r="Y52" i="22"/>
  <c r="N5" i="33"/>
  <c r="F17" i="34"/>
  <c r="G16" i="34"/>
  <c r="P38" i="33"/>
  <c r="M17" i="33"/>
  <c r="M18" i="33"/>
  <c r="M51" i="33"/>
  <c r="M53" i="33"/>
  <c r="P43" i="33"/>
  <c r="Z52" i="22"/>
  <c r="O5" i="33"/>
  <c r="G17" i="34"/>
  <c r="F18" i="34"/>
  <c r="N17" i="33"/>
  <c r="N18" i="33"/>
  <c r="N51" i="33"/>
  <c r="N53" i="33"/>
  <c r="AA52" i="22"/>
  <c r="P5" i="33"/>
  <c r="G18" i="34"/>
  <c r="F19" i="34"/>
  <c r="O17" i="33"/>
  <c r="O18" i="33"/>
  <c r="O51" i="33"/>
  <c r="O53" i="33"/>
  <c r="AB52" i="22"/>
  <c r="F20" i="34"/>
  <c r="G19" i="34"/>
  <c r="P17" i="33"/>
  <c r="P18" i="33"/>
  <c r="P51" i="33"/>
  <c r="P53" i="33"/>
  <c r="AC52" i="22"/>
  <c r="G20" i="34"/>
  <c r="F21" i="34"/>
  <c r="AD52" i="22"/>
  <c r="G21" i="34"/>
  <c r="F22" i="34"/>
  <c r="AE52" i="22"/>
  <c r="F23" i="34"/>
  <c r="G22" i="34"/>
  <c r="AF52" i="22"/>
  <c r="F24" i="34"/>
  <c r="G23" i="34"/>
  <c r="AG52" i="22"/>
  <c r="G24" i="34"/>
  <c r="F25" i="34"/>
  <c r="AH52" i="22"/>
  <c r="F26" i="34"/>
  <c r="G25" i="34"/>
  <c r="AI52" i="22"/>
  <c r="G26" i="34"/>
  <c r="F27" i="34"/>
  <c r="AJ52" i="22"/>
  <c r="G27" i="34"/>
  <c r="F28" i="34"/>
  <c r="H4" i="33"/>
  <c r="I4" i="33"/>
  <c r="J4" i="33"/>
  <c r="K4" i="33"/>
  <c r="L4" i="33"/>
  <c r="M4" i="33"/>
  <c r="N4" i="33"/>
  <c r="O4" i="33"/>
  <c r="P4" i="33"/>
  <c r="AK52" i="22"/>
  <c r="G28" i="34"/>
  <c r="F29" i="34"/>
  <c r="G29" i="34"/>
  <c r="D8" i="28"/>
  <c r="AE18" i="28"/>
  <c r="AL52" i="22"/>
  <c r="AE81" i="28"/>
  <c r="AE71" i="28"/>
  <c r="V86" i="28"/>
  <c r="V74" i="28"/>
  <c r="AE82" i="28"/>
  <c r="AE72" i="28"/>
  <c r="V81" i="28"/>
  <c r="V75" i="28"/>
  <c r="AE86" i="28"/>
  <c r="AE83" i="28"/>
  <c r="AE73" i="28"/>
  <c r="V82" i="28"/>
  <c r="V70" i="28"/>
  <c r="V71" i="28"/>
  <c r="AE84" i="28"/>
  <c r="AE74" i="28"/>
  <c r="V83" i="28"/>
  <c r="AE85" i="28"/>
  <c r="AE75" i="28"/>
  <c r="V84" i="28"/>
  <c r="V72" i="28"/>
  <c r="AE70" i="28"/>
  <c r="V85" i="28"/>
  <c r="V73" i="28"/>
  <c r="J83" i="22"/>
  <c r="P81" i="22"/>
  <c r="P83" i="22"/>
  <c r="X81" i="22"/>
  <c r="X83" i="22"/>
  <c r="AF81" i="22"/>
  <c r="AF83" i="22"/>
  <c r="AN81" i="22"/>
  <c r="AN83" i="22"/>
  <c r="U81" i="22"/>
  <c r="U83" i="22"/>
  <c r="V81" i="22"/>
  <c r="V83" i="22"/>
  <c r="AD81" i="22"/>
  <c r="AD83" i="22"/>
  <c r="AL81" i="22"/>
  <c r="AL83" i="22"/>
  <c r="N81" i="22"/>
  <c r="N83" i="22"/>
  <c r="Q81" i="22"/>
  <c r="Q83" i="22"/>
  <c r="Y81" i="22"/>
  <c r="Y83" i="22"/>
  <c r="AG81" i="22"/>
  <c r="AG83" i="22"/>
  <c r="AO81" i="22"/>
  <c r="AO83" i="22"/>
  <c r="AM81" i="22"/>
  <c r="AM83" i="22"/>
  <c r="R81" i="22"/>
  <c r="R83" i="22"/>
  <c r="Z81" i="22"/>
  <c r="Z83" i="22"/>
  <c r="AH81" i="22"/>
  <c r="AH83" i="22"/>
  <c r="AP81" i="22"/>
  <c r="AP83" i="22"/>
  <c r="AC81" i="22"/>
  <c r="AC83" i="22"/>
  <c r="AK81" i="22"/>
  <c r="AK83" i="22"/>
  <c r="S81" i="22"/>
  <c r="S83" i="22"/>
  <c r="AA81" i="22"/>
  <c r="AA83" i="22"/>
  <c r="AI81" i="22"/>
  <c r="AI83" i="22"/>
  <c r="W81" i="22"/>
  <c r="W83" i="22"/>
  <c r="T81" i="22"/>
  <c r="T83" i="22"/>
  <c r="AB81" i="22"/>
  <c r="AB83" i="22"/>
  <c r="AJ81" i="22"/>
  <c r="AJ83" i="22"/>
  <c r="AE81" i="22"/>
  <c r="AE83" i="22"/>
  <c r="O81" i="22"/>
  <c r="O83" i="22"/>
  <c r="AP145" i="12"/>
  <c r="AO106" i="12"/>
  <c r="AO123" i="12"/>
  <c r="AO143" i="12"/>
  <c r="AO108" i="12"/>
  <c r="AO127" i="12"/>
  <c r="AO144" i="12"/>
  <c r="AO103" i="12"/>
  <c r="AO65" i="12"/>
  <c r="AO132" i="12"/>
  <c r="AO66" i="12"/>
  <c r="AJ84" i="5"/>
  <c r="AJ85" i="5"/>
  <c r="AK84" i="5"/>
  <c r="AK85" i="5"/>
  <c r="AL84" i="5"/>
  <c r="AL85" i="5"/>
  <c r="AM84" i="5"/>
  <c r="AM85" i="5"/>
  <c r="AN84" i="5"/>
  <c r="AN85" i="5"/>
  <c r="AO84" i="5"/>
  <c r="AO85" i="5"/>
  <c r="AP84" i="5"/>
  <c r="AP85" i="5"/>
  <c r="AQ84" i="5"/>
  <c r="AQ85" i="5"/>
  <c r="AR84" i="5"/>
  <c r="AR85" i="5"/>
  <c r="AS84" i="5"/>
  <c r="AS85" i="5"/>
  <c r="AT84" i="5"/>
  <c r="AT85" i="5"/>
  <c r="AU84" i="5"/>
  <c r="AU85" i="5"/>
  <c r="AV84" i="5"/>
  <c r="AV85" i="5"/>
  <c r="AW84" i="5"/>
  <c r="AW85" i="5"/>
  <c r="I2" i="5"/>
  <c r="D12" i="5"/>
  <c r="J272" i="22"/>
  <c r="J480" i="22"/>
  <c r="J488" i="22"/>
  <c r="J270" i="22"/>
  <c r="J147" i="22"/>
  <c r="M18" i="31"/>
  <c r="N23" i="31"/>
  <c r="M17" i="31"/>
  <c r="M4" i="31"/>
  <c r="M5" i="31"/>
  <c r="M6" i="31"/>
  <c r="M7" i="31"/>
  <c r="M8" i="31"/>
  <c r="M9" i="31"/>
  <c r="M10" i="31"/>
  <c r="M11" i="31"/>
  <c r="M12" i="31"/>
  <c r="M13" i="31"/>
  <c r="M14" i="31"/>
  <c r="M3" i="31"/>
  <c r="F17" i="31"/>
  <c r="E17" i="31"/>
  <c r="J68" i="22"/>
  <c r="F45" i="67"/>
  <c r="H96" i="2"/>
  <c r="I2" i="55"/>
  <c r="I36" i="55"/>
  <c r="I2" i="47"/>
  <c r="I48" i="47"/>
  <c r="I2" i="43"/>
  <c r="I2" i="41"/>
  <c r="I99" i="41"/>
  <c r="J477" i="22"/>
  <c r="J485" i="22"/>
  <c r="J478" i="22"/>
  <c r="J486" i="22"/>
  <c r="J476" i="22"/>
  <c r="J484" i="22"/>
  <c r="AM52" i="22"/>
  <c r="M19" i="31"/>
  <c r="D22" i="33"/>
  <c r="F22" i="33"/>
  <c r="G22" i="33"/>
  <c r="H22" i="33"/>
  <c r="I22" i="33"/>
  <c r="J22" i="33"/>
  <c r="K22" i="33"/>
  <c r="L22" i="33"/>
  <c r="M22" i="33"/>
  <c r="N22" i="33"/>
  <c r="O22" i="33"/>
  <c r="P22" i="33"/>
  <c r="F157" i="1"/>
  <c r="AO164" i="12"/>
  <c r="AO136" i="12"/>
  <c r="F158" i="1"/>
  <c r="J502" i="22"/>
  <c r="AO128" i="12"/>
  <c r="N24" i="31"/>
  <c r="D23" i="33"/>
  <c r="F23" i="33"/>
  <c r="G23" i="33"/>
  <c r="F151" i="1"/>
  <c r="D19" i="33"/>
  <c r="F19" i="33"/>
  <c r="G19" i="33"/>
  <c r="F41" i="67"/>
  <c r="C28" i="31"/>
  <c r="AO67" i="12"/>
  <c r="J500" i="22"/>
  <c r="AN52" i="22"/>
  <c r="J237" i="22"/>
  <c r="J239" i="22"/>
  <c r="AO137" i="12"/>
  <c r="F150" i="1"/>
  <c r="AO145" i="12"/>
  <c r="AO163" i="12"/>
  <c r="J492" i="22"/>
  <c r="G62" i="33"/>
  <c r="G64" i="33"/>
  <c r="G63" i="33"/>
  <c r="G65" i="33"/>
  <c r="H23" i="33"/>
  <c r="G50" i="33"/>
  <c r="G52" i="33"/>
  <c r="G54" i="33"/>
  <c r="G69" i="33"/>
  <c r="H19" i="33"/>
  <c r="AO52" i="22"/>
  <c r="L494" i="22"/>
  <c r="M243" i="22"/>
  <c r="M171" i="22"/>
  <c r="N243" i="22"/>
  <c r="N171" i="22"/>
  <c r="AD243" i="22"/>
  <c r="AD171" i="22"/>
  <c r="AN243" i="22"/>
  <c r="AN171" i="22"/>
  <c r="Y243" i="22"/>
  <c r="Y171" i="22"/>
  <c r="AL243" i="22"/>
  <c r="AL171" i="22"/>
  <c r="Z243" i="22"/>
  <c r="Z171" i="22"/>
  <c r="AK243" i="22"/>
  <c r="AK171" i="22"/>
  <c r="W243" i="22"/>
  <c r="W171" i="22"/>
  <c r="P243" i="22"/>
  <c r="P171" i="22"/>
  <c r="AO243" i="22"/>
  <c r="AO171" i="22"/>
  <c r="U243" i="22"/>
  <c r="U171" i="22"/>
  <c r="T243" i="22"/>
  <c r="T171" i="22"/>
  <c r="AI243" i="22"/>
  <c r="AI171" i="22"/>
  <c r="X243" i="22"/>
  <c r="X171" i="22"/>
  <c r="AM243" i="22"/>
  <c r="AM171" i="22"/>
  <c r="AF243" i="22"/>
  <c r="AF171" i="22"/>
  <c r="AG243" i="22"/>
  <c r="AG171" i="22"/>
  <c r="AP243" i="22"/>
  <c r="AP171" i="22"/>
  <c r="V243" i="22"/>
  <c r="V171" i="22"/>
  <c r="AE243" i="22"/>
  <c r="AE171" i="22"/>
  <c r="S243" i="22"/>
  <c r="S171" i="22"/>
  <c r="Q243" i="22"/>
  <c r="Q171" i="22"/>
  <c r="AA243" i="22"/>
  <c r="AA171" i="22"/>
  <c r="R243" i="22"/>
  <c r="R171" i="22"/>
  <c r="AH243" i="22"/>
  <c r="AH171" i="22"/>
  <c r="AB243" i="22"/>
  <c r="AB171" i="22"/>
  <c r="AC243" i="22"/>
  <c r="AC171" i="22"/>
  <c r="AJ243" i="22"/>
  <c r="AJ171" i="22"/>
  <c r="O243" i="22"/>
  <c r="O171" i="22"/>
  <c r="G66" i="33"/>
  <c r="G70" i="33"/>
  <c r="G71" i="33"/>
  <c r="H62" i="33"/>
  <c r="H64" i="33"/>
  <c r="I23" i="33"/>
  <c r="H63" i="33"/>
  <c r="H65" i="33"/>
  <c r="I19" i="33"/>
  <c r="H50" i="33"/>
  <c r="H52" i="33"/>
  <c r="H54" i="33"/>
  <c r="H69" i="33"/>
  <c r="H71" i="33"/>
  <c r="L40" i="43"/>
  <c r="M216" i="12"/>
  <c r="M217" i="12"/>
  <c r="AP52" i="22"/>
  <c r="Y40" i="43"/>
  <c r="Z216" i="12"/>
  <c r="Z217" i="12"/>
  <c r="AL40" i="43"/>
  <c r="AM216" i="12"/>
  <c r="AM217" i="12"/>
  <c r="P40" i="43"/>
  <c r="Q216" i="12"/>
  <c r="Q217" i="12"/>
  <c r="AH40" i="43"/>
  <c r="AI216" i="12"/>
  <c r="AI217" i="12"/>
  <c r="AT40" i="43"/>
  <c r="X40" i="43"/>
  <c r="Y216" i="12"/>
  <c r="Y217" i="12"/>
  <c r="N40" i="43"/>
  <c r="O216" i="12"/>
  <c r="O217" i="12"/>
  <c r="AW40" i="43"/>
  <c r="AU40" i="43"/>
  <c r="U40" i="43"/>
  <c r="V216" i="12"/>
  <c r="V217" i="12"/>
  <c r="AD40" i="43"/>
  <c r="AE216" i="12"/>
  <c r="AE217" i="12"/>
  <c r="AN40" i="43"/>
  <c r="M40" i="43"/>
  <c r="N216" i="12"/>
  <c r="N217" i="12"/>
  <c r="AB40" i="43"/>
  <c r="AC216" i="12"/>
  <c r="AC217" i="12"/>
  <c r="AK40" i="43"/>
  <c r="AL216" i="12"/>
  <c r="AL217" i="12"/>
  <c r="AJ40" i="43"/>
  <c r="AK216" i="12"/>
  <c r="AK217" i="12"/>
  <c r="Q40" i="43"/>
  <c r="R216" i="12"/>
  <c r="R217" i="12"/>
  <c r="AR40" i="43"/>
  <c r="Z40" i="43"/>
  <c r="AA216" i="12"/>
  <c r="AA217" i="12"/>
  <c r="AC40" i="43"/>
  <c r="AD216" i="12"/>
  <c r="AD217" i="12"/>
  <c r="AM40" i="43"/>
  <c r="AA40" i="43"/>
  <c r="AB216" i="12"/>
  <c r="AB217" i="12"/>
  <c r="AI40" i="43"/>
  <c r="AJ216" i="12"/>
  <c r="AJ217" i="12"/>
  <c r="S40" i="43"/>
  <c r="T216" i="12"/>
  <c r="T217" i="12"/>
  <c r="J40" i="43"/>
  <c r="W40" i="43"/>
  <c r="X216" i="12"/>
  <c r="X217" i="12"/>
  <c r="O40" i="43"/>
  <c r="P216" i="12"/>
  <c r="P217" i="12"/>
  <c r="K40" i="43"/>
  <c r="AV40" i="43"/>
  <c r="R40" i="43"/>
  <c r="S216" i="12"/>
  <c r="S217" i="12"/>
  <c r="T40" i="43"/>
  <c r="U216" i="12"/>
  <c r="U217" i="12"/>
  <c r="AG40" i="43"/>
  <c r="AH216" i="12"/>
  <c r="AH217" i="12"/>
  <c r="I40" i="43"/>
  <c r="AS40" i="43"/>
  <c r="AO40" i="43"/>
  <c r="AF40" i="43"/>
  <c r="AG216" i="12"/>
  <c r="AG217" i="12"/>
  <c r="AQ40" i="43"/>
  <c r="AP40" i="43"/>
  <c r="AE40" i="43"/>
  <c r="AF216" i="12"/>
  <c r="AF217" i="12"/>
  <c r="V40" i="43"/>
  <c r="W216" i="12"/>
  <c r="W217" i="12"/>
  <c r="G111" i="28"/>
  <c r="F143" i="1"/>
  <c r="M142" i="28"/>
  <c r="J171" i="22"/>
  <c r="AP157" i="12"/>
  <c r="AO166" i="12"/>
  <c r="AO177" i="12"/>
  <c r="AO157" i="12"/>
  <c r="I62" i="33"/>
  <c r="I64" i="33"/>
  <c r="J23" i="33"/>
  <c r="I63" i="33"/>
  <c r="I65" i="33"/>
  <c r="J19" i="33"/>
  <c r="I50" i="33"/>
  <c r="I52" i="33"/>
  <c r="I54" i="33"/>
  <c r="I69" i="33"/>
  <c r="I71" i="33"/>
  <c r="M143" i="28"/>
  <c r="L216" i="12"/>
  <c r="L217" i="12"/>
  <c r="J216" i="12"/>
  <c r="J217" i="12"/>
  <c r="K216" i="12"/>
  <c r="K217" i="12"/>
  <c r="G117" i="28"/>
  <c r="G113" i="28"/>
  <c r="G114" i="28"/>
  <c r="G115" i="28"/>
  <c r="G116" i="28"/>
  <c r="M145" i="28"/>
  <c r="J63" i="33"/>
  <c r="J65" i="33"/>
  <c r="J62" i="33"/>
  <c r="J64" i="33"/>
  <c r="K23" i="33"/>
  <c r="J60" i="33"/>
  <c r="J50" i="33"/>
  <c r="K19" i="33"/>
  <c r="J52" i="33"/>
  <c r="J54" i="33"/>
  <c r="J69" i="33"/>
  <c r="J66" i="33"/>
  <c r="K63" i="33"/>
  <c r="K65" i="33"/>
  <c r="K62" i="33"/>
  <c r="K64" i="33"/>
  <c r="L23" i="33"/>
  <c r="L19" i="33"/>
  <c r="K50" i="33"/>
  <c r="K52" i="33"/>
  <c r="K54" i="33"/>
  <c r="K69" i="33"/>
  <c r="J70" i="33"/>
  <c r="J71" i="33"/>
  <c r="K66" i="33"/>
  <c r="K70" i="33"/>
  <c r="K71" i="33"/>
  <c r="L63" i="33"/>
  <c r="L65" i="33"/>
  <c r="L62" i="33"/>
  <c r="M23" i="33"/>
  <c r="M19" i="33"/>
  <c r="L50" i="33"/>
  <c r="L52" i="33"/>
  <c r="L54" i="33"/>
  <c r="L69" i="33"/>
  <c r="L64" i="33"/>
  <c r="L66" i="33"/>
  <c r="L70" i="33"/>
  <c r="L71" i="33"/>
  <c r="M63" i="33"/>
  <c r="M65" i="33"/>
  <c r="M62" i="33"/>
  <c r="N23" i="33"/>
  <c r="M50" i="33"/>
  <c r="M52" i="33"/>
  <c r="M54" i="33"/>
  <c r="M69" i="33"/>
  <c r="N19" i="33"/>
  <c r="M64" i="33"/>
  <c r="M66" i="33"/>
  <c r="M70" i="33"/>
  <c r="M71" i="33"/>
  <c r="N63" i="33"/>
  <c r="N65" i="33"/>
  <c r="N62" i="33"/>
  <c r="N64" i="33"/>
  <c r="O23" i="33"/>
  <c r="O19" i="33"/>
  <c r="N50" i="33"/>
  <c r="N52" i="33"/>
  <c r="N54" i="33"/>
  <c r="N69" i="33"/>
  <c r="N66" i="33"/>
  <c r="N70" i="33"/>
  <c r="N71" i="33"/>
  <c r="O63" i="33"/>
  <c r="O65" i="33"/>
  <c r="O62" i="33"/>
  <c r="O64" i="33"/>
  <c r="P23" i="33"/>
  <c r="P19" i="33"/>
  <c r="P50" i="33"/>
  <c r="P52" i="33"/>
  <c r="P54" i="33"/>
  <c r="P69" i="33"/>
  <c r="O50" i="33"/>
  <c r="O52" i="33"/>
  <c r="O54" i="33"/>
  <c r="O69" i="33"/>
  <c r="P63" i="33"/>
  <c r="P65" i="33"/>
  <c r="P62" i="33"/>
  <c r="O66" i="33"/>
  <c r="O70" i="33"/>
  <c r="O71" i="33"/>
  <c r="P64" i="33"/>
  <c r="P66" i="33"/>
  <c r="P70" i="33"/>
  <c r="P71" i="33"/>
  <c r="C72" i="33"/>
  <c r="D26" i="7"/>
  <c r="C99" i="7"/>
  <c r="D30" i="7"/>
  <c r="D117" i="11"/>
  <c r="D118" i="11"/>
  <c r="C93" i="11"/>
  <c r="C94" i="11"/>
  <c r="C95" i="11"/>
  <c r="D111" i="1"/>
  <c r="D110" i="1"/>
  <c r="D112" i="1"/>
  <c r="C3" i="30"/>
  <c r="C2" i="30"/>
  <c r="Y69" i="30"/>
  <c r="P69" i="30"/>
  <c r="Z68" i="30"/>
  <c r="Q68" i="30"/>
  <c r="H68" i="30"/>
  <c r="Z67" i="30"/>
  <c r="Q67" i="30"/>
  <c r="H67" i="30"/>
  <c r="Z66" i="30"/>
  <c r="Q66" i="30"/>
  <c r="H66" i="30"/>
  <c r="Z65" i="30"/>
  <c r="Q65" i="30"/>
  <c r="H65" i="30"/>
  <c r="Z64" i="30"/>
  <c r="Q64" i="30"/>
  <c r="H64" i="30"/>
  <c r="Z63" i="30"/>
  <c r="Q63" i="30"/>
  <c r="H63" i="30"/>
  <c r="Y41" i="30"/>
  <c r="X41" i="30"/>
  <c r="P41" i="30"/>
  <c r="O41" i="30"/>
  <c r="G41" i="30"/>
  <c r="F41" i="30"/>
  <c r="Y40" i="30"/>
  <c r="X40" i="30"/>
  <c r="P40" i="30"/>
  <c r="O40" i="30"/>
  <c r="G40" i="30"/>
  <c r="F40" i="30"/>
  <c r="Y39" i="30"/>
  <c r="P39" i="30"/>
  <c r="O39" i="30"/>
  <c r="G39" i="30"/>
  <c r="F39" i="30"/>
  <c r="Y38" i="30"/>
  <c r="X38" i="30"/>
  <c r="P38" i="30"/>
  <c r="O38" i="30"/>
  <c r="F38" i="30"/>
  <c r="Y37" i="30"/>
  <c r="P37" i="30"/>
  <c r="G37" i="30"/>
  <c r="Y36" i="30"/>
  <c r="X36" i="30"/>
  <c r="P36" i="30"/>
  <c r="O36" i="30"/>
  <c r="G36" i="30"/>
  <c r="F36" i="30"/>
  <c r="Y35" i="30"/>
  <c r="X35" i="30"/>
  <c r="P35" i="30"/>
  <c r="O35" i="30"/>
  <c r="G35" i="30"/>
  <c r="F35" i="30"/>
  <c r="AB54" i="48"/>
  <c r="G32" i="30"/>
  <c r="Z31" i="30"/>
  <c r="Q31" i="30"/>
  <c r="H31" i="30"/>
  <c r="H40" i="30"/>
  <c r="Z29" i="30"/>
  <c r="Q29" i="30"/>
  <c r="H29" i="30"/>
  <c r="H38" i="30"/>
  <c r="Z28" i="30"/>
  <c r="Q28" i="30"/>
  <c r="Q38" i="30"/>
  <c r="H28" i="30"/>
  <c r="H41" i="30"/>
  <c r="Z27" i="30"/>
  <c r="Q27" i="30"/>
  <c r="Q41" i="30"/>
  <c r="H27" i="30"/>
  <c r="Z26" i="30"/>
  <c r="Q26" i="30"/>
  <c r="H26" i="30"/>
  <c r="Z25" i="30"/>
  <c r="Q25" i="30"/>
  <c r="H25" i="30"/>
  <c r="Z24" i="30"/>
  <c r="Q24" i="30"/>
  <c r="H24" i="30"/>
  <c r="Z23" i="30"/>
  <c r="Z22" i="30"/>
  <c r="Q22" i="30"/>
  <c r="H21" i="30"/>
  <c r="H35" i="30"/>
  <c r="Z20" i="30"/>
  <c r="Q20" i="30"/>
  <c r="Q37" i="30"/>
  <c r="H19" i="30"/>
  <c r="AB12" i="48"/>
  <c r="AC12" i="48"/>
  <c r="Z19" i="30"/>
  <c r="Q19" i="30"/>
  <c r="H18" i="30"/>
  <c r="AB11" i="48"/>
  <c r="Z18" i="30"/>
  <c r="Q18" i="30"/>
  <c r="H17" i="30"/>
  <c r="AB9" i="48"/>
  <c r="AC9" i="48"/>
  <c r="Z17" i="30"/>
  <c r="Q17" i="30"/>
  <c r="H16" i="30"/>
  <c r="AB8" i="48"/>
  <c r="AC8" i="48"/>
  <c r="Z16" i="30"/>
  <c r="Q16" i="30"/>
  <c r="H15" i="30"/>
  <c r="AB7" i="48"/>
  <c r="AC7" i="48"/>
  <c r="Z15" i="30"/>
  <c r="Q15" i="30"/>
  <c r="H14" i="30"/>
  <c r="AB6" i="48"/>
  <c r="AC6" i="48"/>
  <c r="Z14" i="30"/>
  <c r="Q14" i="30"/>
  <c r="H13" i="30"/>
  <c r="AB5" i="48"/>
  <c r="AC5" i="48"/>
  <c r="Z13" i="30"/>
  <c r="Q13" i="30"/>
  <c r="H12" i="30"/>
  <c r="AB4" i="48"/>
  <c r="AC4" i="48"/>
  <c r="R70" i="28"/>
  <c r="R71" i="28"/>
  <c r="R72" i="28"/>
  <c r="R73" i="28"/>
  <c r="R74" i="28"/>
  <c r="R75" i="28"/>
  <c r="AA75" i="28"/>
  <c r="AA74" i="28"/>
  <c r="AA73" i="28"/>
  <c r="AA72" i="28"/>
  <c r="AA71" i="28"/>
  <c r="AA70" i="28"/>
  <c r="I70" i="28"/>
  <c r="I71" i="28"/>
  <c r="I72" i="28"/>
  <c r="I73" i="28"/>
  <c r="I74" i="28"/>
  <c r="I75" i="28"/>
  <c r="J349" i="22"/>
  <c r="Z46" i="28"/>
  <c r="L65" i="30"/>
  <c r="L66" i="30"/>
  <c r="L67" i="30"/>
  <c r="L68" i="30"/>
  <c r="L64" i="30"/>
  <c r="AB21" i="48"/>
  <c r="AB58" i="48"/>
  <c r="AB23" i="48"/>
  <c r="AB60" i="48"/>
  <c r="AB19" i="48"/>
  <c r="AB56" i="48"/>
  <c r="AB20" i="48"/>
  <c r="AB57" i="48"/>
  <c r="AA20" i="48"/>
  <c r="AA57" i="48"/>
  <c r="AB17" i="48"/>
  <c r="AC11" i="48"/>
  <c r="AC13" i="48"/>
  <c r="AB13" i="48"/>
  <c r="L46" i="57"/>
  <c r="H75" i="57"/>
  <c r="H77" i="57"/>
  <c r="M46" i="57"/>
  <c r="I75" i="57"/>
  <c r="I77" i="57"/>
  <c r="K46" i="57"/>
  <c r="Q39" i="30"/>
  <c r="Z36" i="30"/>
  <c r="C85" i="30"/>
  <c r="L14" i="30"/>
  <c r="C40" i="30"/>
  <c r="AD15" i="30"/>
  <c r="U17" i="30"/>
  <c r="AD12" i="30"/>
  <c r="U28" i="30"/>
  <c r="U68" i="30"/>
  <c r="K19" i="30"/>
  <c r="U31" i="30"/>
  <c r="U29" i="30"/>
  <c r="U67" i="30"/>
  <c r="AD11" i="30"/>
  <c r="C38" i="30"/>
  <c r="C36" i="30"/>
  <c r="L76" i="30"/>
  <c r="U77" i="30"/>
  <c r="C89" i="30"/>
  <c r="L74" i="30"/>
  <c r="U79" i="30"/>
  <c r="AD24" i="30"/>
  <c r="U74" i="30"/>
  <c r="AD79" i="30"/>
  <c r="U12" i="30"/>
  <c r="U25" i="30"/>
  <c r="AD73" i="30"/>
  <c r="AD75" i="30"/>
  <c r="U78" i="30"/>
  <c r="C87" i="30"/>
  <c r="U11" i="30"/>
  <c r="U16" i="30"/>
  <c r="U23" i="30"/>
  <c r="AD26" i="30"/>
  <c r="AD27" i="30"/>
  <c r="L15" i="30"/>
  <c r="AD63" i="30"/>
  <c r="U73" i="30"/>
  <c r="L26" i="30"/>
  <c r="L27" i="30"/>
  <c r="L29" i="30"/>
  <c r="L63" i="30"/>
  <c r="U65" i="30"/>
  <c r="AD77" i="30"/>
  <c r="C88" i="30"/>
  <c r="L24" i="30"/>
  <c r="L12" i="30"/>
  <c r="AD25" i="30"/>
  <c r="L17" i="30"/>
  <c r="U64" i="30"/>
  <c r="AD66" i="30"/>
  <c r="AD67" i="30"/>
  <c r="U75" i="30"/>
  <c r="L78" i="30"/>
  <c r="D113" i="1"/>
  <c r="Z38" i="30"/>
  <c r="Z40" i="30"/>
  <c r="AD14" i="30"/>
  <c r="Z41" i="30"/>
  <c r="Z39" i="30"/>
  <c r="Q36" i="30"/>
  <c r="G42" i="30"/>
  <c r="G43" i="30"/>
  <c r="H36" i="30"/>
  <c r="H39" i="30"/>
  <c r="Y42" i="30"/>
  <c r="P42" i="30"/>
  <c r="Z35" i="30"/>
  <c r="L11" i="30"/>
  <c r="U14" i="30"/>
  <c r="AD16" i="30"/>
  <c r="T19" i="30"/>
  <c r="L23" i="30"/>
  <c r="U26" i="30"/>
  <c r="AD28" i="30"/>
  <c r="C35" i="30"/>
  <c r="C39" i="30"/>
  <c r="AD64" i="30"/>
  <c r="L73" i="30"/>
  <c r="AD74" i="30"/>
  <c r="L77" i="30"/>
  <c r="AD78" i="30"/>
  <c r="C86" i="30"/>
  <c r="C90" i="30"/>
  <c r="U15" i="30"/>
  <c r="AD17" i="30"/>
  <c r="AD23" i="30"/>
  <c r="U24" i="30"/>
  <c r="L25" i="30"/>
  <c r="U27" i="30"/>
  <c r="AD29" i="30"/>
  <c r="U63" i="30"/>
  <c r="AD65" i="30"/>
  <c r="U76" i="30"/>
  <c r="L16" i="30"/>
  <c r="L28" i="30"/>
  <c r="L31" i="30"/>
  <c r="C37" i="30"/>
  <c r="C41" i="30"/>
  <c r="U66" i="30"/>
  <c r="AD68" i="30"/>
  <c r="L75" i="30"/>
  <c r="AD76" i="30"/>
  <c r="L79" i="30"/>
  <c r="C84" i="30"/>
  <c r="Q48" i="28"/>
  <c r="V36" i="28"/>
  <c r="Q47" i="28"/>
  <c r="V35" i="28"/>
  <c r="Q46" i="28"/>
  <c r="V34" i="28"/>
  <c r="Q45" i="28"/>
  <c r="V33" i="28"/>
  <c r="Q43" i="28"/>
  <c r="Q42" i="28"/>
  <c r="V19" i="28"/>
  <c r="V18" i="28"/>
  <c r="D10" i="28"/>
  <c r="R38" i="28"/>
  <c r="R36" i="28"/>
  <c r="R35" i="28"/>
  <c r="R34" i="28"/>
  <c r="R33" i="28"/>
  <c r="R32" i="28"/>
  <c r="R31" i="28"/>
  <c r="R29" i="28"/>
  <c r="R27" i="28"/>
  <c r="R26" i="28"/>
  <c r="R25" i="28"/>
  <c r="R24" i="28"/>
  <c r="R23" i="28"/>
  <c r="R22" i="28"/>
  <c r="R21" i="28"/>
  <c r="R20" i="28"/>
  <c r="I32" i="28"/>
  <c r="I33" i="28"/>
  <c r="I34" i="28"/>
  <c r="I35" i="28"/>
  <c r="I48" i="28"/>
  <c r="I36" i="28"/>
  <c r="I45" i="28"/>
  <c r="I47" i="28"/>
  <c r="I31" i="28"/>
  <c r="I21" i="28"/>
  <c r="I22" i="28"/>
  <c r="I23" i="28"/>
  <c r="I24" i="28"/>
  <c r="I25" i="28"/>
  <c r="I26" i="28"/>
  <c r="I27" i="28"/>
  <c r="I29" i="28"/>
  <c r="I42" i="28"/>
  <c r="H48" i="28"/>
  <c r="G48" i="28"/>
  <c r="M24" i="28"/>
  <c r="H47" i="28"/>
  <c r="M23" i="28"/>
  <c r="H46" i="28"/>
  <c r="M22" i="28"/>
  <c r="H45" i="28"/>
  <c r="M21" i="28"/>
  <c r="H43" i="28"/>
  <c r="M19" i="28"/>
  <c r="H42" i="28"/>
  <c r="K33" i="57"/>
  <c r="M18" i="28"/>
  <c r="D18" i="28"/>
  <c r="D11" i="28"/>
  <c r="D12" i="28"/>
  <c r="J74" i="22"/>
  <c r="AC57" i="48"/>
  <c r="AC20" i="48"/>
  <c r="D23" i="28"/>
  <c r="D22" i="28"/>
  <c r="D19" i="28"/>
  <c r="C11" i="30"/>
  <c r="V23" i="28"/>
  <c r="R47" i="28"/>
  <c r="V22" i="28"/>
  <c r="R46" i="28"/>
  <c r="V21" i="28"/>
  <c r="D21" i="28"/>
  <c r="R45" i="28"/>
  <c r="V24" i="28"/>
  <c r="D24" i="28"/>
  <c r="R48" i="28"/>
  <c r="V31" i="28"/>
  <c r="R43" i="28"/>
  <c r="V30" i="28"/>
  <c r="M33" i="57"/>
  <c r="R42" i="28"/>
  <c r="K35" i="57"/>
  <c r="K39" i="57"/>
  <c r="I52" i="57"/>
  <c r="I54" i="57"/>
  <c r="G75" i="57"/>
  <c r="G77" i="57"/>
  <c r="C65" i="30"/>
  <c r="J585" i="22"/>
  <c r="C64" i="30"/>
  <c r="C68" i="30"/>
  <c r="C67" i="30"/>
  <c r="J587" i="22"/>
  <c r="C63" i="30"/>
  <c r="J583" i="22"/>
  <c r="C66" i="30"/>
  <c r="J586" i="22"/>
  <c r="I88" i="57"/>
  <c r="I83" i="57"/>
  <c r="I86" i="57"/>
  <c r="I81" i="57"/>
  <c r="I89" i="57"/>
  <c r="I85" i="57"/>
  <c r="I79" i="57"/>
  <c r="I87" i="57"/>
  <c r="I84" i="57"/>
  <c r="I82" i="57"/>
  <c r="I80" i="57"/>
  <c r="H79" i="57"/>
  <c r="H89" i="57"/>
  <c r="H85" i="57"/>
  <c r="H80" i="57"/>
  <c r="H84" i="57"/>
  <c r="H82" i="57"/>
  <c r="H88" i="57"/>
  <c r="H87" i="57"/>
  <c r="H81" i="57"/>
  <c r="H83" i="57"/>
  <c r="H86" i="57"/>
  <c r="C12" i="30"/>
  <c r="J356" i="22"/>
  <c r="C122" i="1"/>
  <c r="C15" i="30"/>
  <c r="J359" i="22"/>
  <c r="C125" i="1"/>
  <c r="C14" i="30"/>
  <c r="J358" i="22"/>
  <c r="C124" i="1"/>
  <c r="C17" i="30"/>
  <c r="J361" i="22"/>
  <c r="C128" i="1"/>
  <c r="U88" i="30"/>
  <c r="L89" i="30"/>
  <c r="U90" i="30"/>
  <c r="C29" i="30"/>
  <c r="J374" i="22"/>
  <c r="C24" i="30"/>
  <c r="J369" i="22"/>
  <c r="C27" i="30"/>
  <c r="J372" i="22"/>
  <c r="C28" i="30"/>
  <c r="J373" i="22"/>
  <c r="C76" i="30"/>
  <c r="C79" i="30"/>
  <c r="C75" i="30"/>
  <c r="C25" i="30"/>
  <c r="J370" i="22"/>
  <c r="U85" i="30"/>
  <c r="AD38" i="30"/>
  <c r="L38" i="30"/>
  <c r="AD39" i="30"/>
  <c r="AD35" i="30"/>
  <c r="C73" i="30"/>
  <c r="L87" i="30"/>
  <c r="U40" i="30"/>
  <c r="U39" i="30"/>
  <c r="U41" i="30"/>
  <c r="L88" i="30"/>
  <c r="U38" i="30"/>
  <c r="L36" i="30"/>
  <c r="U89" i="30"/>
  <c r="U86" i="30"/>
  <c r="U35" i="30"/>
  <c r="L41" i="30"/>
  <c r="L39" i="30"/>
  <c r="L85" i="30"/>
  <c r="AD36" i="30"/>
  <c r="U36" i="30"/>
  <c r="C78" i="30"/>
  <c r="AD90" i="30"/>
  <c r="AD88" i="30"/>
  <c r="C77" i="30"/>
  <c r="AD89" i="30"/>
  <c r="AD86" i="30"/>
  <c r="C26" i="30"/>
  <c r="J371" i="22"/>
  <c r="U80" i="30"/>
  <c r="AD80" i="30"/>
  <c r="G44" i="30"/>
  <c r="L40" i="30"/>
  <c r="C74" i="30"/>
  <c r="U30" i="30"/>
  <c r="U32" i="30"/>
  <c r="AD41" i="30"/>
  <c r="C42" i="30"/>
  <c r="AD40" i="30"/>
  <c r="Y43" i="30"/>
  <c r="AD31" i="30"/>
  <c r="C31" i="30"/>
  <c r="J375" i="22"/>
  <c r="C91" i="30"/>
  <c r="L80" i="30"/>
  <c r="AD85" i="30"/>
  <c r="C23" i="30"/>
  <c r="U87" i="30"/>
  <c r="L35" i="30"/>
  <c r="L86" i="30"/>
  <c r="AD87" i="30"/>
  <c r="AD30" i="30"/>
  <c r="L90" i="30"/>
  <c r="P43" i="30"/>
  <c r="P44" i="30"/>
  <c r="L30" i="30"/>
  <c r="L32" i="30"/>
  <c r="C43" i="30"/>
  <c r="I46" i="28"/>
  <c r="I43" i="28"/>
  <c r="C3" i="27"/>
  <c r="H26" i="27"/>
  <c r="K48" i="27"/>
  <c r="P27" i="27"/>
  <c r="C48" i="27"/>
  <c r="K33" i="27"/>
  <c r="K34" i="27"/>
  <c r="P26" i="27"/>
  <c r="C32" i="27"/>
  <c r="J73" i="22"/>
  <c r="N73" i="22"/>
  <c r="D14" i="28"/>
  <c r="AE74" i="22"/>
  <c r="AP74" i="22"/>
  <c r="M74" i="22"/>
  <c r="AH74" i="22"/>
  <c r="W74" i="22"/>
  <c r="Z74" i="22"/>
  <c r="AL74" i="22"/>
  <c r="R74" i="22"/>
  <c r="AD74" i="22"/>
  <c r="AO74" i="22"/>
  <c r="V74" i="22"/>
  <c r="N74" i="22"/>
  <c r="U74" i="22"/>
  <c r="AF74" i="22"/>
  <c r="Y74" i="22"/>
  <c r="X74" i="22"/>
  <c r="Q74" i="22"/>
  <c r="P74" i="22"/>
  <c r="AM74" i="22"/>
  <c r="AI74" i="22"/>
  <c r="O74" i="22"/>
  <c r="AN74" i="22"/>
  <c r="AG74" i="22"/>
  <c r="AK74" i="22"/>
  <c r="AJ74" i="22"/>
  <c r="AC74" i="22"/>
  <c r="T74" i="22"/>
  <c r="AB74" i="22"/>
  <c r="AA74" i="22"/>
  <c r="S74" i="22"/>
  <c r="H27" i="27"/>
  <c r="C4" i="27"/>
  <c r="C5" i="27"/>
  <c r="L52" i="57"/>
  <c r="L54" i="57"/>
  <c r="M39" i="57"/>
  <c r="M35" i="57"/>
  <c r="I64" i="57"/>
  <c r="I65" i="57"/>
  <c r="I58" i="57"/>
  <c r="I59" i="57"/>
  <c r="I67" i="57"/>
  <c r="I60" i="57"/>
  <c r="I61" i="57"/>
  <c r="I57" i="57"/>
  <c r="I62" i="57"/>
  <c r="I66" i="57"/>
  <c r="I63" i="57"/>
  <c r="G88" i="57"/>
  <c r="G83" i="57"/>
  <c r="G87" i="57"/>
  <c r="G86" i="57"/>
  <c r="G80" i="57"/>
  <c r="G89" i="57"/>
  <c r="G85" i="57"/>
  <c r="G79" i="57"/>
  <c r="G82" i="57"/>
  <c r="G81" i="57"/>
  <c r="G84" i="57"/>
  <c r="F27" i="1"/>
  <c r="F28" i="1"/>
  <c r="F37" i="12"/>
  <c r="H90" i="57"/>
  <c r="H93" i="57"/>
  <c r="I90" i="57"/>
  <c r="I93" i="57"/>
  <c r="C97" i="30"/>
  <c r="C99" i="30"/>
  <c r="C51" i="30"/>
  <c r="C48" i="30"/>
  <c r="C53" i="30"/>
  <c r="C98" i="30"/>
  <c r="C96" i="30"/>
  <c r="J584" i="22"/>
  <c r="C100" i="30"/>
  <c r="J588" i="22"/>
  <c r="C80" i="30"/>
  <c r="C95" i="30"/>
  <c r="C30" i="30"/>
  <c r="C32" i="30"/>
  <c r="J368" i="22"/>
  <c r="C50" i="30"/>
  <c r="AD32" i="30"/>
  <c r="C44" i="30"/>
  <c r="Y44" i="30"/>
  <c r="C33" i="27"/>
  <c r="C34" i="27"/>
  <c r="S73" i="22"/>
  <c r="R73" i="22"/>
  <c r="R78" i="22"/>
  <c r="R84" i="22"/>
  <c r="AH73" i="22"/>
  <c r="AH78" i="22"/>
  <c r="AH84" i="22"/>
  <c r="AB73" i="22"/>
  <c r="AB78" i="22"/>
  <c r="AB84" i="22"/>
  <c r="AP73" i="22"/>
  <c r="O73" i="22"/>
  <c r="O78" i="22"/>
  <c r="O84" i="22"/>
  <c r="AD73" i="22"/>
  <c r="AD78" i="22"/>
  <c r="AD84" i="22"/>
  <c r="Z73" i="22"/>
  <c r="Z78" i="22"/>
  <c r="Z84" i="22"/>
  <c r="F26" i="1"/>
  <c r="F31" i="1"/>
  <c r="W73" i="22"/>
  <c r="W78" i="22"/>
  <c r="W84" i="22"/>
  <c r="Q73" i="22"/>
  <c r="Q78" i="22"/>
  <c r="Q84" i="22"/>
  <c r="AN73" i="22"/>
  <c r="AN78" i="22"/>
  <c r="AN84" i="22"/>
  <c r="T73" i="22"/>
  <c r="T78" i="22"/>
  <c r="T84" i="22"/>
  <c r="AE73" i="22"/>
  <c r="AE78" i="22"/>
  <c r="AE84" i="22"/>
  <c r="V73" i="22"/>
  <c r="V78" i="22"/>
  <c r="V84" i="22"/>
  <c r="AK73" i="22"/>
  <c r="AK78" i="22"/>
  <c r="AK84" i="22"/>
  <c r="X73" i="22"/>
  <c r="X78" i="22"/>
  <c r="X84" i="22"/>
  <c r="M73" i="22"/>
  <c r="M78" i="22"/>
  <c r="M84" i="22"/>
  <c r="AM73" i="22"/>
  <c r="AM78" i="22"/>
  <c r="AM84" i="22"/>
  <c r="AG73" i="22"/>
  <c r="AG78" i="22"/>
  <c r="AG84" i="22"/>
  <c r="AC73" i="22"/>
  <c r="AC78" i="22"/>
  <c r="AC84" i="22"/>
  <c r="AL73" i="22"/>
  <c r="AL78" i="22"/>
  <c r="AL84" i="22"/>
  <c r="AO73" i="22"/>
  <c r="AO78" i="22"/>
  <c r="AO84" i="22"/>
  <c r="AI73" i="22"/>
  <c r="AI78" i="22"/>
  <c r="AI84" i="22"/>
  <c r="P73" i="22"/>
  <c r="P78" i="22"/>
  <c r="P84" i="22"/>
  <c r="Y73" i="22"/>
  <c r="Y78" i="22"/>
  <c r="Y84" i="22"/>
  <c r="AF73" i="22"/>
  <c r="AF78" i="22"/>
  <c r="AF84" i="22"/>
  <c r="AA73" i="22"/>
  <c r="AA78" i="22"/>
  <c r="AA84" i="22"/>
  <c r="AJ73" i="22"/>
  <c r="AJ78" i="22"/>
  <c r="AJ84" i="22"/>
  <c r="U73" i="22"/>
  <c r="U78" i="22"/>
  <c r="U84" i="22"/>
  <c r="J306" i="22"/>
  <c r="L65" i="57"/>
  <c r="L64" i="57"/>
  <c r="L61" i="57"/>
  <c r="L58" i="57"/>
  <c r="L63" i="57"/>
  <c r="L66" i="57"/>
  <c r="L62" i="57"/>
  <c r="L59" i="57"/>
  <c r="L67" i="57"/>
  <c r="L60" i="57"/>
  <c r="L57" i="57"/>
  <c r="I68" i="57"/>
  <c r="I69" i="57"/>
  <c r="G90" i="57"/>
  <c r="G93" i="57"/>
  <c r="N78" i="22"/>
  <c r="N84" i="22"/>
  <c r="S78" i="22"/>
  <c r="S84" i="22"/>
  <c r="AP78" i="22"/>
  <c r="AP84" i="22"/>
  <c r="J377" i="22"/>
  <c r="J385" i="22"/>
  <c r="L33" i="57"/>
  <c r="L34" i="57"/>
  <c r="O32" i="57"/>
  <c r="Z48" i="28"/>
  <c r="Z45" i="28"/>
  <c r="Z42" i="28"/>
  <c r="AA54" i="48"/>
  <c r="AC54" i="48"/>
  <c r="Z22" i="48"/>
  <c r="AA46" i="28"/>
  <c r="Z17" i="48"/>
  <c r="AA19" i="28"/>
  <c r="AA20" i="28"/>
  <c r="AA21" i="28"/>
  <c r="AA22" i="28"/>
  <c r="AA23" i="28"/>
  <c r="AA24" i="28"/>
  <c r="AA25" i="28"/>
  <c r="AA26" i="28"/>
  <c r="AA28" i="28"/>
  <c r="AA30" i="28"/>
  <c r="AA31" i="28"/>
  <c r="AA32" i="28"/>
  <c r="AA33" i="28"/>
  <c r="AA34" i="28"/>
  <c r="AA35" i="28"/>
  <c r="AA36" i="28"/>
  <c r="D7" i="28"/>
  <c r="F6" i="28"/>
  <c r="E31" i="23"/>
  <c r="E32" i="23"/>
  <c r="E33" i="23"/>
  <c r="E34" i="23"/>
  <c r="E35" i="23"/>
  <c r="E36" i="23"/>
  <c r="E37" i="23"/>
  <c r="E38" i="23"/>
  <c r="E39" i="23"/>
  <c r="E41" i="23"/>
  <c r="O33" i="57"/>
  <c r="D40" i="27"/>
  <c r="L40" i="27"/>
  <c r="AA22" i="48"/>
  <c r="AA60" i="48"/>
  <c r="AC60" i="48"/>
  <c r="AA19" i="48"/>
  <c r="AC19" i="48"/>
  <c r="AA56" i="48"/>
  <c r="AC56" i="48"/>
  <c r="J348" i="22"/>
  <c r="C81" i="1"/>
  <c r="C30" i="7"/>
  <c r="S44" i="7"/>
  <c r="S186" i="7"/>
  <c r="L32" i="57"/>
  <c r="L35" i="57"/>
  <c r="AA37" i="28"/>
  <c r="Z47" i="28"/>
  <c r="AE35" i="28"/>
  <c r="N33" i="57"/>
  <c r="O52" i="57"/>
  <c r="O54" i="57"/>
  <c r="AA17" i="48"/>
  <c r="AC17" i="48"/>
  <c r="AA48" i="28"/>
  <c r="AA45" i="28"/>
  <c r="AA43" i="28"/>
  <c r="L68" i="57"/>
  <c r="L69" i="57"/>
  <c r="O39" i="57"/>
  <c r="R52" i="57"/>
  <c r="R54" i="57"/>
  <c r="O35" i="57"/>
  <c r="Q52" i="57"/>
  <c r="Q54" i="57"/>
  <c r="O38" i="57"/>
  <c r="L40" i="57"/>
  <c r="V52" i="57"/>
  <c r="V54" i="57"/>
  <c r="L39" i="57"/>
  <c r="U52" i="57"/>
  <c r="U54" i="57"/>
  <c r="AA42" i="28"/>
  <c r="N32" i="57"/>
  <c r="C71" i="1"/>
  <c r="D93" i="28"/>
  <c r="J571" i="22"/>
  <c r="F246" i="1"/>
  <c r="D60" i="11"/>
  <c r="D94" i="28"/>
  <c r="J572" i="22"/>
  <c r="F247" i="1"/>
  <c r="D61" i="11"/>
  <c r="D95" i="28"/>
  <c r="J573" i="22"/>
  <c r="F248" i="1"/>
  <c r="D62" i="11"/>
  <c r="D96" i="28"/>
  <c r="J574" i="22"/>
  <c r="F249" i="1"/>
  <c r="D63" i="11"/>
  <c r="D97" i="28"/>
  <c r="J575" i="22"/>
  <c r="F250" i="1"/>
  <c r="D64" i="11"/>
  <c r="D92" i="28"/>
  <c r="J570" i="22"/>
  <c r="F245" i="1"/>
  <c r="D59" i="11"/>
  <c r="M82" i="28"/>
  <c r="M83" i="28"/>
  <c r="M84" i="28"/>
  <c r="M86" i="28"/>
  <c r="M81" i="28"/>
  <c r="M85" i="28"/>
  <c r="M71" i="28"/>
  <c r="M72" i="28"/>
  <c r="M73" i="28"/>
  <c r="M74" i="28"/>
  <c r="M75" i="28"/>
  <c r="M70" i="28"/>
  <c r="AE33" i="28"/>
  <c r="AE22" i="28"/>
  <c r="AE34" i="28"/>
  <c r="AE31" i="28"/>
  <c r="AE24" i="28"/>
  <c r="AE30" i="28"/>
  <c r="AE36" i="28"/>
  <c r="AE19" i="28"/>
  <c r="AE21" i="28"/>
  <c r="U26" i="28"/>
  <c r="M36" i="28"/>
  <c r="D36" i="28"/>
  <c r="M33" i="28"/>
  <c r="D33" i="28"/>
  <c r="M31" i="28"/>
  <c r="D31" i="28"/>
  <c r="M34" i="28"/>
  <c r="D34" i="28"/>
  <c r="M35" i="28"/>
  <c r="M30" i="28"/>
  <c r="D30" i="28"/>
  <c r="L26" i="28"/>
  <c r="D46" i="28"/>
  <c r="C108" i="1"/>
  <c r="D48" i="28"/>
  <c r="C111" i="1"/>
  <c r="D44" i="28"/>
  <c r="C106" i="1"/>
  <c r="D45" i="28"/>
  <c r="C107" i="1"/>
  <c r="D47" i="28"/>
  <c r="C109" i="1"/>
  <c r="J312" i="22"/>
  <c r="C88" i="1"/>
  <c r="AA21" i="48"/>
  <c r="AA58" i="48"/>
  <c r="AC58" i="48"/>
  <c r="D35" i="28"/>
  <c r="J317" i="22"/>
  <c r="L38" i="57"/>
  <c r="AC27" i="48"/>
  <c r="T52" i="57"/>
  <c r="T54" i="57"/>
  <c r="T57" i="57"/>
  <c r="N39" i="57"/>
  <c r="AR44" i="7"/>
  <c r="AR186" i="7"/>
  <c r="AA38" i="28"/>
  <c r="AA39" i="28"/>
  <c r="T44" i="7"/>
  <c r="T186" i="7"/>
  <c r="Z44" i="7"/>
  <c r="Z186" i="7"/>
  <c r="P44" i="7"/>
  <c r="P186" i="7"/>
  <c r="Q44" i="7"/>
  <c r="Q186" i="7"/>
  <c r="AL44" i="7"/>
  <c r="AL186" i="7"/>
  <c r="N44" i="7"/>
  <c r="N186" i="7"/>
  <c r="AW44" i="7"/>
  <c r="AW186" i="7"/>
  <c r="AA44" i="7"/>
  <c r="AA186" i="7"/>
  <c r="AO44" i="7"/>
  <c r="AO186" i="7"/>
  <c r="AY44" i="7"/>
  <c r="AY186" i="7"/>
  <c r="AE44" i="7"/>
  <c r="AE186" i="7"/>
  <c r="AI44" i="7"/>
  <c r="AI186" i="7"/>
  <c r="AB44" i="7"/>
  <c r="AB186" i="7"/>
  <c r="AK44" i="7"/>
  <c r="AK186" i="7"/>
  <c r="AS44" i="7"/>
  <c r="AS186" i="7"/>
  <c r="AX44" i="7"/>
  <c r="AX186" i="7"/>
  <c r="AQ44" i="7"/>
  <c r="AQ186" i="7"/>
  <c r="V44" i="7"/>
  <c r="V186" i="7"/>
  <c r="U44" i="7"/>
  <c r="U186" i="7"/>
  <c r="AJ44" i="7"/>
  <c r="AJ186" i="7"/>
  <c r="AM44" i="7"/>
  <c r="AM186" i="7"/>
  <c r="AV44" i="7"/>
  <c r="AV186" i="7"/>
  <c r="AC44" i="7"/>
  <c r="AC186" i="7"/>
  <c r="X44" i="7"/>
  <c r="X186" i="7"/>
  <c r="AN44" i="7"/>
  <c r="AN186" i="7"/>
  <c r="O44" i="7"/>
  <c r="O186" i="7"/>
  <c r="AD44" i="7"/>
  <c r="AD186" i="7"/>
  <c r="J44" i="7"/>
  <c r="J186" i="7"/>
  <c r="M44" i="7"/>
  <c r="M186" i="7"/>
  <c r="W44" i="7"/>
  <c r="W186" i="7"/>
  <c r="L44" i="7"/>
  <c r="L186" i="7"/>
  <c r="AG44" i="7"/>
  <c r="AG186" i="7"/>
  <c r="AU44" i="7"/>
  <c r="AU186" i="7"/>
  <c r="R44" i="7"/>
  <c r="R186" i="7"/>
  <c r="AF44" i="7"/>
  <c r="AF186" i="7"/>
  <c r="K44" i="7"/>
  <c r="K186" i="7"/>
  <c r="I44" i="7"/>
  <c r="I186" i="7"/>
  <c r="AP44" i="7"/>
  <c r="AP186" i="7"/>
  <c r="Y44" i="7"/>
  <c r="Y186" i="7"/>
  <c r="AT44" i="7"/>
  <c r="AT186" i="7"/>
  <c r="AH44" i="7"/>
  <c r="AH186" i="7"/>
  <c r="D24" i="48"/>
  <c r="AA16" i="48"/>
  <c r="AA53" i="48"/>
  <c r="M92" i="28"/>
  <c r="R60" i="57"/>
  <c r="R58" i="57"/>
  <c r="R62" i="57"/>
  <c r="R65" i="57"/>
  <c r="R61" i="57"/>
  <c r="R63" i="57"/>
  <c r="R57" i="57"/>
  <c r="R64" i="57"/>
  <c r="R67" i="57"/>
  <c r="R59" i="57"/>
  <c r="R66" i="57"/>
  <c r="Q59" i="57"/>
  <c r="Q63" i="57"/>
  <c r="Q65" i="57"/>
  <c r="Q66" i="57"/>
  <c r="Q60" i="57"/>
  <c r="Q61" i="57"/>
  <c r="Q58" i="57"/>
  <c r="Q64" i="57"/>
  <c r="Q62" i="57"/>
  <c r="Q67" i="57"/>
  <c r="Q57" i="57"/>
  <c r="U61" i="57"/>
  <c r="U57" i="57"/>
  <c r="U62" i="57"/>
  <c r="U63" i="57"/>
  <c r="U67" i="57"/>
  <c r="U66" i="57"/>
  <c r="U64" i="57"/>
  <c r="U59" i="57"/>
  <c r="U58" i="57"/>
  <c r="U65" i="57"/>
  <c r="U60" i="57"/>
  <c r="V67" i="57"/>
  <c r="V60" i="57"/>
  <c r="V61" i="57"/>
  <c r="V64" i="57"/>
  <c r="V57" i="57"/>
  <c r="V65" i="57"/>
  <c r="V62" i="57"/>
  <c r="V58" i="57"/>
  <c r="V63" i="57"/>
  <c r="V66" i="57"/>
  <c r="V59" i="57"/>
  <c r="O67" i="57"/>
  <c r="O60" i="57"/>
  <c r="O57" i="57"/>
  <c r="O64" i="57"/>
  <c r="O63" i="57"/>
  <c r="O65" i="57"/>
  <c r="O61" i="57"/>
  <c r="O58" i="57"/>
  <c r="O62" i="57"/>
  <c r="O66" i="57"/>
  <c r="O59" i="57"/>
  <c r="N38" i="57"/>
  <c r="N52" i="57"/>
  <c r="N54" i="57"/>
  <c r="N35" i="57"/>
  <c r="J339" i="22"/>
  <c r="D42" i="28"/>
  <c r="C104" i="1"/>
  <c r="C120" i="1"/>
  <c r="J403" i="22"/>
  <c r="J318" i="22"/>
  <c r="D43" i="28"/>
  <c r="C105" i="1"/>
  <c r="D81" i="28"/>
  <c r="J560" i="22"/>
  <c r="D82" i="28"/>
  <c r="J561" i="22"/>
  <c r="D75" i="28"/>
  <c r="D86" i="28"/>
  <c r="J565" i="22"/>
  <c r="D83" i="28"/>
  <c r="J562" i="22"/>
  <c r="D84" i="28"/>
  <c r="J563" i="22"/>
  <c r="D85" i="28"/>
  <c r="J564" i="22"/>
  <c r="D74" i="28"/>
  <c r="D71" i="28"/>
  <c r="D70" i="28"/>
  <c r="D72" i="28"/>
  <c r="D73" i="28"/>
  <c r="AE94" i="28"/>
  <c r="AE93" i="28"/>
  <c r="AE97" i="28"/>
  <c r="AE92" i="28"/>
  <c r="V95" i="28"/>
  <c r="AE95" i="28"/>
  <c r="V96" i="28"/>
  <c r="V92" i="28"/>
  <c r="V97" i="28"/>
  <c r="V94" i="28"/>
  <c r="AE96" i="28"/>
  <c r="V93" i="28"/>
  <c r="M97" i="28"/>
  <c r="M96" i="28"/>
  <c r="M95" i="28"/>
  <c r="M94" i="28"/>
  <c r="M93" i="28"/>
  <c r="J304" i="22"/>
  <c r="C79" i="1"/>
  <c r="J302" i="22"/>
  <c r="C76" i="1"/>
  <c r="AE43" i="28"/>
  <c r="V48" i="28"/>
  <c r="V45" i="28"/>
  <c r="V46" i="28"/>
  <c r="V42" i="28"/>
  <c r="V47" i="28"/>
  <c r="V43" i="28"/>
  <c r="M48" i="28"/>
  <c r="M43" i="28"/>
  <c r="M45" i="28"/>
  <c r="M46" i="28"/>
  <c r="M42" i="28"/>
  <c r="M47" i="28"/>
  <c r="D47" i="27"/>
  <c r="AE42" i="28"/>
  <c r="AE46" i="28"/>
  <c r="AE48" i="28"/>
  <c r="AE45" i="28"/>
  <c r="D50" i="28"/>
  <c r="C112" i="1"/>
  <c r="T62" i="57"/>
  <c r="T59" i="57"/>
  <c r="T58" i="57"/>
  <c r="T66" i="57"/>
  <c r="T65" i="57"/>
  <c r="T67" i="57"/>
  <c r="T64" i="57"/>
  <c r="T63" i="57"/>
  <c r="T61" i="57"/>
  <c r="D186" i="7"/>
  <c r="W12" i="48"/>
  <c r="J313" i="22"/>
  <c r="C89" i="1"/>
  <c r="J315" i="22"/>
  <c r="C91" i="1"/>
  <c r="J316" i="22"/>
  <c r="J344" i="22"/>
  <c r="T60" i="57"/>
  <c r="AE23" i="28"/>
  <c r="AA47" i="28"/>
  <c r="Z21" i="48"/>
  <c r="AC21" i="48"/>
  <c r="D44" i="7"/>
  <c r="D40" i="48"/>
  <c r="AB16" i="48"/>
  <c r="D3" i="48"/>
  <c r="Z16" i="48"/>
  <c r="Z53" i="48"/>
  <c r="R68" i="57"/>
  <c r="R69" i="57"/>
  <c r="Q68" i="57"/>
  <c r="Q69" i="57"/>
  <c r="U68" i="57"/>
  <c r="U69" i="57"/>
  <c r="V68" i="57"/>
  <c r="V69" i="57"/>
  <c r="O68" i="57"/>
  <c r="O69" i="57"/>
  <c r="N63" i="57"/>
  <c r="N59" i="57"/>
  <c r="N67" i="57"/>
  <c r="N64" i="57"/>
  <c r="N60" i="57"/>
  <c r="N65" i="57"/>
  <c r="N58" i="57"/>
  <c r="N66" i="57"/>
  <c r="N57" i="57"/>
  <c r="N61" i="57"/>
  <c r="N62" i="57"/>
  <c r="W3" i="48"/>
  <c r="J355" i="22"/>
  <c r="C121" i="1"/>
  <c r="C47" i="30"/>
  <c r="J336" i="22"/>
  <c r="C93" i="1"/>
  <c r="D49" i="28"/>
  <c r="D51" i="28"/>
  <c r="J299" i="22"/>
  <c r="J301" i="22"/>
  <c r="J551" i="22"/>
  <c r="D103" i="28"/>
  <c r="J554" i="22"/>
  <c r="D106" i="28"/>
  <c r="J552" i="22"/>
  <c r="D104" i="28"/>
  <c r="J553" i="22"/>
  <c r="D105" i="28"/>
  <c r="J555" i="22"/>
  <c r="D107" i="28"/>
  <c r="J550" i="22"/>
  <c r="D102" i="28"/>
  <c r="J298" i="22"/>
  <c r="D57" i="28"/>
  <c r="D58" i="28"/>
  <c r="D54" i="28"/>
  <c r="D55" i="28"/>
  <c r="T68" i="57"/>
  <c r="T69" i="57"/>
  <c r="C92" i="1"/>
  <c r="AB53" i="48"/>
  <c r="J346" i="22"/>
  <c r="C95" i="1"/>
  <c r="J340" i="22"/>
  <c r="C72" i="1"/>
  <c r="J343" i="22"/>
  <c r="C75" i="1"/>
  <c r="J341" i="22"/>
  <c r="C73" i="1"/>
  <c r="AE47" i="28"/>
  <c r="V22" i="48"/>
  <c r="AC16" i="48"/>
  <c r="D25" i="48"/>
  <c r="N68" i="57"/>
  <c r="N69" i="57"/>
  <c r="C110" i="1"/>
  <c r="C113" i="1"/>
  <c r="D114" i="1"/>
  <c r="D428" i="11"/>
  <c r="D60" i="28"/>
  <c r="AC53" i="48"/>
  <c r="J303" i="22"/>
  <c r="D59" i="28"/>
  <c r="D52" i="17"/>
  <c r="C152" i="11"/>
  <c r="C153" i="11"/>
  <c r="C154" i="11"/>
  <c r="C155" i="11"/>
  <c r="C156" i="11"/>
  <c r="C157" i="11"/>
  <c r="C38" i="11"/>
  <c r="C40" i="11"/>
  <c r="C41" i="11"/>
  <c r="C42" i="11"/>
  <c r="C43" i="11"/>
  <c r="C44" i="11"/>
  <c r="C45" i="11"/>
  <c r="F256" i="1"/>
  <c r="D69" i="11"/>
  <c r="F257" i="1"/>
  <c r="D70" i="11"/>
  <c r="F258" i="1"/>
  <c r="D71" i="11"/>
  <c r="F259" i="1"/>
  <c r="D72" i="11"/>
  <c r="F260" i="1"/>
  <c r="D73" i="11"/>
  <c r="F261" i="1"/>
  <c r="D74" i="11"/>
  <c r="F235" i="1"/>
  <c r="D49" i="11"/>
  <c r="F236" i="1"/>
  <c r="D50" i="11"/>
  <c r="F237" i="1"/>
  <c r="D51" i="11"/>
  <c r="F238" i="1"/>
  <c r="D52" i="11"/>
  <c r="F239" i="1"/>
  <c r="D53" i="11"/>
  <c r="F225" i="1"/>
  <c r="F226" i="1"/>
  <c r="D40" i="11"/>
  <c r="F227" i="1"/>
  <c r="D41" i="11"/>
  <c r="F228" i="1"/>
  <c r="D42" i="11"/>
  <c r="F229" i="1"/>
  <c r="D43" i="11"/>
  <c r="F230" i="1"/>
  <c r="D44" i="11"/>
  <c r="D30" i="48"/>
  <c r="F36" i="23"/>
  <c r="F28" i="23"/>
  <c r="D28" i="7"/>
  <c r="D29" i="7"/>
  <c r="D21" i="7"/>
  <c r="C59" i="7"/>
  <c r="D95" i="1"/>
  <c r="D94" i="1"/>
  <c r="D96" i="1"/>
  <c r="D32" i="48"/>
  <c r="D28" i="48"/>
  <c r="E28" i="23"/>
  <c r="F31" i="23"/>
  <c r="F32" i="23"/>
  <c r="F33" i="23"/>
  <c r="F34" i="23"/>
  <c r="F35" i="23"/>
  <c r="D29" i="48"/>
  <c r="F38" i="23"/>
  <c r="J35" i="23"/>
  <c r="J28" i="23"/>
  <c r="F5" i="25"/>
  <c r="F3" i="25"/>
  <c r="E5" i="24"/>
  <c r="E3" i="24"/>
  <c r="E11" i="24"/>
  <c r="F9" i="25"/>
  <c r="J345" i="22"/>
  <c r="C77" i="1"/>
  <c r="D26" i="48"/>
  <c r="AY97" i="11"/>
  <c r="AZ97" i="11"/>
  <c r="AY95" i="11"/>
  <c r="AZ95" i="11"/>
  <c r="AY94" i="11"/>
  <c r="AZ94" i="11"/>
  <c r="AY93" i="11"/>
  <c r="AZ93" i="11"/>
  <c r="AY96" i="11"/>
  <c r="AZ96" i="11"/>
  <c r="D39" i="11"/>
  <c r="D97" i="1"/>
  <c r="F37" i="23"/>
  <c r="C151" i="11"/>
  <c r="C91" i="11"/>
  <c r="F12" i="25"/>
  <c r="F14" i="25"/>
  <c r="AY92" i="11"/>
  <c r="AZ92" i="11"/>
  <c r="F39" i="23"/>
  <c r="D26" i="25"/>
  <c r="F20" i="30"/>
  <c r="D25" i="25"/>
  <c r="H28" i="28"/>
  <c r="F26" i="25"/>
  <c r="X21" i="30"/>
  <c r="D24" i="25"/>
  <c r="F24" i="25"/>
  <c r="F25" i="25"/>
  <c r="Z27" i="28"/>
  <c r="E26" i="25"/>
  <c r="O21" i="30"/>
  <c r="E24" i="25"/>
  <c r="E25" i="25"/>
  <c r="Q28" i="28"/>
  <c r="F41" i="23"/>
  <c r="Y27" i="28"/>
  <c r="F27" i="25"/>
  <c r="P28" i="28"/>
  <c r="E27" i="25"/>
  <c r="X30" i="30"/>
  <c r="Z21" i="30"/>
  <c r="X37" i="30"/>
  <c r="O30" i="30"/>
  <c r="O37" i="30"/>
  <c r="Q21" i="30"/>
  <c r="Q35" i="30"/>
  <c r="G28" i="28"/>
  <c r="D27" i="25"/>
  <c r="H37" i="28"/>
  <c r="H39" i="28"/>
  <c r="H44" i="28"/>
  <c r="Z37" i="28"/>
  <c r="Z39" i="28"/>
  <c r="Z44" i="28"/>
  <c r="Q37" i="28"/>
  <c r="Q39" i="28"/>
  <c r="Q44" i="28"/>
  <c r="F22" i="30"/>
  <c r="F30" i="30"/>
  <c r="H20" i="30"/>
  <c r="F37" i="30"/>
  <c r="I6" i="7"/>
  <c r="L5" i="59"/>
  <c r="C92" i="11"/>
  <c r="I84" i="5"/>
  <c r="I85" i="5"/>
  <c r="F159" i="1"/>
  <c r="O32" i="30"/>
  <c r="Q30" i="30"/>
  <c r="H49" i="28"/>
  <c r="H50" i="28"/>
  <c r="M32" i="28"/>
  <c r="F42" i="30"/>
  <c r="AB18" i="48"/>
  <c r="L13" i="30"/>
  <c r="AB55" i="48"/>
  <c r="X32" i="30"/>
  <c r="Z30" i="30"/>
  <c r="Z32" i="30"/>
  <c r="AE32" i="28"/>
  <c r="AE37" i="28"/>
  <c r="Z49" i="28"/>
  <c r="AA18" i="48"/>
  <c r="AA55" i="48"/>
  <c r="Z37" i="30"/>
  <c r="AD13" i="30"/>
  <c r="X42" i="30"/>
  <c r="F32" i="30"/>
  <c r="H30" i="30"/>
  <c r="H32" i="30"/>
  <c r="G44" i="28"/>
  <c r="I28" i="28"/>
  <c r="I44" i="28"/>
  <c r="I49" i="28"/>
  <c r="I50" i="28"/>
  <c r="I51" i="28"/>
  <c r="G37" i="28"/>
  <c r="P44" i="28"/>
  <c r="P37" i="28"/>
  <c r="R28" i="28"/>
  <c r="H37" i="30"/>
  <c r="H42" i="30"/>
  <c r="H43" i="30"/>
  <c r="H44" i="30"/>
  <c r="H22" i="30"/>
  <c r="Q49" i="28"/>
  <c r="V32" i="28"/>
  <c r="V37" i="28"/>
  <c r="U13" i="30"/>
  <c r="O42" i="30"/>
  <c r="Y37" i="28"/>
  <c r="Y39" i="28"/>
  <c r="AA27" i="28"/>
  <c r="I4" i="5"/>
  <c r="N161" i="22"/>
  <c r="O161" i="22"/>
  <c r="P161" i="22"/>
  <c r="Q161" i="22"/>
  <c r="M33" i="43"/>
  <c r="N199" i="12"/>
  <c r="R161" i="22"/>
  <c r="N33" i="43"/>
  <c r="O199" i="12"/>
  <c r="S161" i="22"/>
  <c r="O33" i="43"/>
  <c r="P199" i="12"/>
  <c r="T161" i="22"/>
  <c r="P33" i="43"/>
  <c r="Q199" i="12"/>
  <c r="U161" i="22"/>
  <c r="Q33" i="43"/>
  <c r="R199" i="12"/>
  <c r="V161" i="22"/>
  <c r="R33" i="43"/>
  <c r="S199" i="12"/>
  <c r="W161" i="22"/>
  <c r="S33" i="43"/>
  <c r="T199" i="12"/>
  <c r="X161" i="22"/>
  <c r="T33" i="43"/>
  <c r="U199" i="12"/>
  <c r="Y161" i="22"/>
  <c r="U33" i="43"/>
  <c r="V199" i="12"/>
  <c r="Z161" i="22"/>
  <c r="V33" i="43"/>
  <c r="W199" i="12"/>
  <c r="AA161" i="22"/>
  <c r="W33" i="43"/>
  <c r="X199" i="12"/>
  <c r="AB161" i="22"/>
  <c r="X33" i="43"/>
  <c r="Y199" i="12"/>
  <c r="AC161" i="22"/>
  <c r="Y33" i="43"/>
  <c r="Z199" i="12"/>
  <c r="AD161" i="22"/>
  <c r="Z33" i="43"/>
  <c r="AA199" i="12"/>
  <c r="AE161" i="22"/>
  <c r="AA33" i="43"/>
  <c r="AB199" i="12"/>
  <c r="AF161" i="22"/>
  <c r="AB33" i="43"/>
  <c r="AC199" i="12"/>
  <c r="AG161" i="22"/>
  <c r="AC33" i="43"/>
  <c r="AD199" i="12"/>
  <c r="AH161" i="22"/>
  <c r="AD33" i="43"/>
  <c r="AE199" i="12"/>
  <c r="AI161" i="22"/>
  <c r="AE33" i="43"/>
  <c r="AF199" i="12"/>
  <c r="AJ161" i="22"/>
  <c r="AF33" i="43"/>
  <c r="AG199" i="12"/>
  <c r="AK161" i="22"/>
  <c r="AG33" i="43"/>
  <c r="AH199" i="12"/>
  <c r="AL161" i="22"/>
  <c r="AH33" i="43"/>
  <c r="AI199" i="12"/>
  <c r="AM161" i="22"/>
  <c r="AI33" i="43"/>
  <c r="AJ199" i="12"/>
  <c r="AN161" i="22"/>
  <c r="AJ33" i="43"/>
  <c r="AK199" i="12"/>
  <c r="AO161" i="22"/>
  <c r="AK33" i="43"/>
  <c r="AL199" i="12"/>
  <c r="AP161" i="22"/>
  <c r="AL33" i="43"/>
  <c r="AM199" i="12"/>
  <c r="AM33" i="43"/>
  <c r="AN33" i="43"/>
  <c r="AO33" i="43"/>
  <c r="AP33" i="43"/>
  <c r="AQ33" i="43"/>
  <c r="AR33" i="43"/>
  <c r="AS33" i="43"/>
  <c r="AT33" i="43"/>
  <c r="AU33" i="43"/>
  <c r="AV33" i="43"/>
  <c r="AW33" i="43"/>
  <c r="M161" i="22"/>
  <c r="O43" i="30"/>
  <c r="U19" i="30"/>
  <c r="U43" i="30"/>
  <c r="O44" i="30"/>
  <c r="R37" i="28"/>
  <c r="R39" i="28"/>
  <c r="P39" i="28"/>
  <c r="C13" i="30"/>
  <c r="AD37" i="30"/>
  <c r="AD18" i="30"/>
  <c r="U18" i="30"/>
  <c r="U20" i="30"/>
  <c r="U37" i="30"/>
  <c r="U42" i="30"/>
  <c r="U44" i="30"/>
  <c r="P49" i="28"/>
  <c r="V20" i="28"/>
  <c r="R44" i="28"/>
  <c r="L37" i="30"/>
  <c r="L42" i="30"/>
  <c r="L18" i="30"/>
  <c r="G39" i="28"/>
  <c r="I37" i="28"/>
  <c r="I39" i="28"/>
  <c r="F43" i="30"/>
  <c r="F44" i="30"/>
  <c r="Q50" i="28"/>
  <c r="V38" i="28"/>
  <c r="V39" i="28"/>
  <c r="Q51" i="28"/>
  <c r="M20" i="28"/>
  <c r="G49" i="28"/>
  <c r="Z50" i="28"/>
  <c r="Z51" i="28"/>
  <c r="D32" i="28"/>
  <c r="M37" i="28"/>
  <c r="H51" i="28"/>
  <c r="M38" i="28"/>
  <c r="D38" i="28"/>
  <c r="J319" i="22"/>
  <c r="C96" i="1"/>
  <c r="D33" i="48"/>
  <c r="Q40" i="30"/>
  <c r="Q42" i="30"/>
  <c r="Q43" i="30"/>
  <c r="Q44" i="30"/>
  <c r="Q32" i="30"/>
  <c r="Z42" i="30"/>
  <c r="X43" i="30"/>
  <c r="I4" i="55"/>
  <c r="I4" i="47"/>
  <c r="I50" i="47"/>
  <c r="I9" i="5"/>
  <c r="I89" i="5"/>
  <c r="I4" i="43"/>
  <c r="I4" i="41"/>
  <c r="I101" i="41"/>
  <c r="L33" i="43"/>
  <c r="M199" i="12"/>
  <c r="K33" i="43"/>
  <c r="L199" i="12"/>
  <c r="J33" i="43"/>
  <c r="K199" i="12"/>
  <c r="I33" i="43"/>
  <c r="J199" i="12"/>
  <c r="M44" i="28"/>
  <c r="M49" i="28"/>
  <c r="M25" i="28"/>
  <c r="D20" i="28"/>
  <c r="D25" i="28"/>
  <c r="AD42" i="30"/>
  <c r="M39" i="28"/>
  <c r="J357" i="22"/>
  <c r="C123" i="1"/>
  <c r="C49" i="30"/>
  <c r="D37" i="28"/>
  <c r="D39" i="28"/>
  <c r="J314" i="22"/>
  <c r="AB59" i="48"/>
  <c r="AB61" i="48"/>
  <c r="AB22" i="48"/>
  <c r="L19" i="30"/>
  <c r="L43" i="30"/>
  <c r="L44" i="30"/>
  <c r="V25" i="28"/>
  <c r="V44" i="28"/>
  <c r="V49" i="28"/>
  <c r="X44" i="30"/>
  <c r="Z43" i="30"/>
  <c r="Z44" i="30"/>
  <c r="AD19" i="30"/>
  <c r="AD43" i="30"/>
  <c r="P50" i="28"/>
  <c r="P51" i="28"/>
  <c r="R49" i="28"/>
  <c r="AE38" i="28"/>
  <c r="AE39" i="28"/>
  <c r="AA23" i="48"/>
  <c r="AA24" i="48"/>
  <c r="AA59" i="48"/>
  <c r="AA61" i="48"/>
  <c r="G50" i="28"/>
  <c r="M26" i="28"/>
  <c r="AI166" i="7"/>
  <c r="AH166" i="7"/>
  <c r="AG166" i="7"/>
  <c r="AF166" i="7"/>
  <c r="AE166" i="7"/>
  <c r="AD166" i="7"/>
  <c r="AC166" i="7"/>
  <c r="AB166" i="7"/>
  <c r="AA166" i="7"/>
  <c r="Z166" i="7"/>
  <c r="Y166" i="7"/>
  <c r="X166" i="7"/>
  <c r="W166" i="7"/>
  <c r="V166" i="7"/>
  <c r="U166" i="7"/>
  <c r="T166" i="7"/>
  <c r="S166" i="7"/>
  <c r="R166" i="7"/>
  <c r="Q166" i="7"/>
  <c r="P166" i="7"/>
  <c r="O166" i="7"/>
  <c r="N166" i="7"/>
  <c r="M166" i="7"/>
  <c r="L166" i="7"/>
  <c r="K166" i="7"/>
  <c r="J166" i="7"/>
  <c r="I166" i="7"/>
  <c r="AI165" i="7"/>
  <c r="AH165" i="7"/>
  <c r="AG165" i="7"/>
  <c r="AF165" i="7"/>
  <c r="AE165" i="7"/>
  <c r="AD165" i="7"/>
  <c r="AC165" i="7"/>
  <c r="AB165" i="7"/>
  <c r="AA165" i="7"/>
  <c r="Z165" i="7"/>
  <c r="Y165" i="7"/>
  <c r="X165" i="7"/>
  <c r="W165" i="7"/>
  <c r="V165" i="7"/>
  <c r="U165" i="7"/>
  <c r="T165" i="7"/>
  <c r="S165" i="7"/>
  <c r="R165" i="7"/>
  <c r="Q165" i="7"/>
  <c r="P165" i="7"/>
  <c r="O165" i="7"/>
  <c r="N165" i="7"/>
  <c r="M165" i="7"/>
  <c r="L165" i="7"/>
  <c r="K165" i="7"/>
  <c r="J165" i="7"/>
  <c r="I165" i="7"/>
  <c r="C137" i="7"/>
  <c r="G51" i="28"/>
  <c r="P55" i="28"/>
  <c r="L20" i="30"/>
  <c r="AD44" i="30"/>
  <c r="AC22" i="48"/>
  <c r="AB24" i="48"/>
  <c r="AD20" i="30"/>
  <c r="C90" i="1"/>
  <c r="J322" i="22"/>
  <c r="J381" i="22"/>
  <c r="R50" i="28"/>
  <c r="V26" i="28"/>
  <c r="V50" i="28"/>
  <c r="V51" i="28"/>
  <c r="R51" i="28"/>
  <c r="M27" i="28"/>
  <c r="D26" i="28"/>
  <c r="M50" i="28"/>
  <c r="M51" i="28"/>
  <c r="D165" i="7"/>
  <c r="D166" i="7"/>
  <c r="D44" i="48"/>
  <c r="J69" i="23"/>
  <c r="J67" i="23"/>
  <c r="J66" i="23"/>
  <c r="J65" i="23"/>
  <c r="E69" i="23"/>
  <c r="E67" i="23"/>
  <c r="E66" i="23"/>
  <c r="E65" i="23"/>
  <c r="F62" i="23"/>
  <c r="E62" i="23"/>
  <c r="K62" i="23"/>
  <c r="J62" i="23"/>
  <c r="D45" i="48"/>
  <c r="J34" i="23"/>
  <c r="J33" i="23"/>
  <c r="D43" i="48"/>
  <c r="J32" i="23"/>
  <c r="D42" i="48"/>
  <c r="J38" i="23"/>
  <c r="D48" i="48"/>
  <c r="J31" i="23"/>
  <c r="D41" i="48"/>
  <c r="D128" i="1"/>
  <c r="D127" i="1"/>
  <c r="D129" i="1"/>
  <c r="E4" i="23"/>
  <c r="D27" i="48"/>
  <c r="C94" i="1"/>
  <c r="C97" i="1"/>
  <c r="D98" i="1"/>
  <c r="D427" i="11"/>
  <c r="V27" i="28"/>
  <c r="L26" i="23"/>
  <c r="G26" i="23"/>
  <c r="L54" i="23"/>
  <c r="G21" i="23"/>
  <c r="G12" i="23"/>
  <c r="G20" i="23"/>
  <c r="G22" i="23"/>
  <c r="G13" i="23"/>
  <c r="G23" i="23"/>
  <c r="G14" i="23"/>
  <c r="G24" i="23"/>
  <c r="G38" i="23"/>
  <c r="G15" i="23"/>
  <c r="G17" i="23"/>
  <c r="G33" i="23"/>
  <c r="G9" i="23"/>
  <c r="G25" i="23"/>
  <c r="G34" i="23"/>
  <c r="G16" i="23"/>
  <c r="G10" i="23"/>
  <c r="G18" i="23"/>
  <c r="G31" i="23"/>
  <c r="G11" i="23"/>
  <c r="G19" i="23"/>
  <c r="J37" i="23"/>
  <c r="G51" i="23"/>
  <c r="G59" i="23"/>
  <c r="G52" i="23"/>
  <c r="G60" i="23"/>
  <c r="G53" i="23"/>
  <c r="G61" i="23"/>
  <c r="G48" i="23"/>
  <c r="G49" i="23"/>
  <c r="G54" i="23"/>
  <c r="G56" i="23"/>
  <c r="G65" i="23"/>
  <c r="G57" i="23"/>
  <c r="G50" i="23"/>
  <c r="G58" i="23"/>
  <c r="G47" i="23"/>
  <c r="G55" i="23"/>
  <c r="G67" i="23"/>
  <c r="J75" i="23"/>
  <c r="E75" i="23"/>
  <c r="L61" i="23"/>
  <c r="L53" i="23"/>
  <c r="L14" i="23"/>
  <c r="L22" i="23"/>
  <c r="L60" i="23"/>
  <c r="L52" i="23"/>
  <c r="L21" i="23"/>
  <c r="L15" i="23"/>
  <c r="L16" i="23"/>
  <c r="L24" i="23"/>
  <c r="L38" i="23"/>
  <c r="L58" i="23"/>
  <c r="L50" i="23"/>
  <c r="L51" i="23"/>
  <c r="L17" i="23"/>
  <c r="L33" i="23"/>
  <c r="L25" i="23"/>
  <c r="L34" i="23"/>
  <c r="L57" i="23"/>
  <c r="L49" i="23"/>
  <c r="L13" i="23"/>
  <c r="L59" i="23"/>
  <c r="L10" i="23"/>
  <c r="L18" i="23"/>
  <c r="L31" i="23"/>
  <c r="L56" i="23"/>
  <c r="L65" i="23"/>
  <c r="L48" i="23"/>
  <c r="L23" i="23"/>
  <c r="L11" i="23"/>
  <c r="L19" i="23"/>
  <c r="L9" i="23"/>
  <c r="L55" i="23"/>
  <c r="L67" i="23"/>
  <c r="L12" i="23"/>
  <c r="L20" i="23"/>
  <c r="L47" i="23"/>
  <c r="D130" i="1"/>
  <c r="E165" i="1"/>
  <c r="E166" i="1"/>
  <c r="E164" i="1"/>
  <c r="D31" i="48"/>
  <c r="D4" i="48"/>
  <c r="W4" i="48"/>
  <c r="X26" i="48"/>
  <c r="L28" i="23"/>
  <c r="G32" i="23"/>
  <c r="G28" i="23"/>
  <c r="G35" i="23"/>
  <c r="J39" i="23"/>
  <c r="G62" i="23"/>
  <c r="G66" i="23"/>
  <c r="G69" i="23"/>
  <c r="L69" i="23"/>
  <c r="L66" i="23"/>
  <c r="L62" i="23"/>
  <c r="L35" i="23"/>
  <c r="L32" i="23"/>
  <c r="N160" i="22"/>
  <c r="O160" i="22"/>
  <c r="P160" i="22"/>
  <c r="Q160" i="22"/>
  <c r="R160" i="22"/>
  <c r="S160" i="22"/>
  <c r="T160" i="22"/>
  <c r="U160" i="22"/>
  <c r="V160" i="22"/>
  <c r="W160" i="22"/>
  <c r="X160" i="22"/>
  <c r="Y160" i="22"/>
  <c r="Z160" i="22"/>
  <c r="AA160" i="22"/>
  <c r="AB160" i="22"/>
  <c r="AC160" i="22"/>
  <c r="AD160" i="22"/>
  <c r="AE160" i="22"/>
  <c r="AF160" i="22"/>
  <c r="AG160" i="22"/>
  <c r="AH160" i="22"/>
  <c r="AI160" i="22"/>
  <c r="AJ160" i="22"/>
  <c r="AK160" i="22"/>
  <c r="AL160" i="22"/>
  <c r="AM160" i="22"/>
  <c r="AN160" i="22"/>
  <c r="AO160" i="22"/>
  <c r="AP160" i="22"/>
  <c r="M160" i="22"/>
  <c r="D34" i="48"/>
  <c r="J41" i="23"/>
  <c r="L37" i="23"/>
  <c r="L39" i="23"/>
  <c r="G37" i="23"/>
  <c r="L75" i="23"/>
  <c r="G75" i="23"/>
  <c r="M47" i="22"/>
  <c r="N42" i="22"/>
  <c r="O42" i="22"/>
  <c r="P42" i="22"/>
  <c r="Q42" i="22"/>
  <c r="R42" i="22"/>
  <c r="S42" i="22"/>
  <c r="T42" i="22"/>
  <c r="U42" i="22"/>
  <c r="V42" i="22"/>
  <c r="W42" i="22"/>
  <c r="X42" i="22"/>
  <c r="Y42" i="22"/>
  <c r="Z42" i="22"/>
  <c r="AA42" i="22"/>
  <c r="AB42" i="22"/>
  <c r="AC42" i="22"/>
  <c r="AD42" i="22"/>
  <c r="AE42" i="22"/>
  <c r="AF42" i="22"/>
  <c r="AG42" i="22"/>
  <c r="AH42" i="22"/>
  <c r="AI42" i="22"/>
  <c r="AJ42" i="22"/>
  <c r="AK42" i="22"/>
  <c r="AL42" i="22"/>
  <c r="AM42" i="22"/>
  <c r="AN42" i="22"/>
  <c r="AO42" i="22"/>
  <c r="AP42" i="22"/>
  <c r="M42" i="22"/>
  <c r="P43" i="22"/>
  <c r="F19" i="1"/>
  <c r="F16" i="1"/>
  <c r="F15" i="1"/>
  <c r="F10" i="1"/>
  <c r="D9" i="48"/>
  <c r="D8" i="48"/>
  <c r="D6" i="20"/>
  <c r="E2" i="20"/>
  <c r="F25" i="20"/>
  <c r="I25" i="20"/>
  <c r="L25" i="20"/>
  <c r="F27" i="20"/>
  <c r="I27" i="20"/>
  <c r="L27" i="20"/>
  <c r="L28" i="20"/>
  <c r="F30" i="20"/>
  <c r="F2" i="20"/>
  <c r="E3" i="20"/>
  <c r="F3" i="20"/>
  <c r="E4" i="20"/>
  <c r="F4" i="20"/>
  <c r="E5" i="20"/>
  <c r="F5" i="20"/>
  <c r="F6" i="20"/>
  <c r="D14" i="20"/>
  <c r="D13" i="20"/>
  <c r="D12" i="20"/>
  <c r="D11" i="20"/>
  <c r="D10" i="20"/>
  <c r="E15" i="20"/>
  <c r="H34" i="20"/>
  <c r="H33" i="20"/>
  <c r="G34" i="20"/>
  <c r="G33" i="20"/>
  <c r="L31" i="20"/>
  <c r="E25" i="48"/>
  <c r="E28" i="48"/>
  <c r="E32" i="48"/>
  <c r="E24" i="48"/>
  <c r="E29" i="48"/>
  <c r="E30" i="48"/>
  <c r="E26" i="48"/>
  <c r="E33" i="48"/>
  <c r="E27" i="48"/>
  <c r="N47" i="22"/>
  <c r="O47" i="22"/>
  <c r="P47" i="22"/>
  <c r="Q47" i="22"/>
  <c r="R47" i="22"/>
  <c r="S47" i="22"/>
  <c r="T47" i="22"/>
  <c r="U47" i="22"/>
  <c r="V47" i="22"/>
  <c r="W47" i="22"/>
  <c r="X47" i="22"/>
  <c r="Y47" i="22"/>
  <c r="Z47" i="22"/>
  <c r="AA47" i="22"/>
  <c r="AB47" i="22"/>
  <c r="AC47" i="22"/>
  <c r="AD47" i="22"/>
  <c r="AE47" i="22"/>
  <c r="AF47" i="22"/>
  <c r="AG47" i="22"/>
  <c r="AH47" i="22"/>
  <c r="AI47" i="22"/>
  <c r="AJ47" i="22"/>
  <c r="AK47" i="22"/>
  <c r="AL47" i="22"/>
  <c r="AM47" i="22"/>
  <c r="AN47" i="22"/>
  <c r="AO47" i="22"/>
  <c r="AP47" i="22"/>
  <c r="E81" i="1"/>
  <c r="E120" i="1"/>
  <c r="E71" i="1"/>
  <c r="E103" i="1"/>
  <c r="E87" i="1"/>
  <c r="D5" i="48"/>
  <c r="F53" i="1"/>
  <c r="P44" i="22"/>
  <c r="P225" i="22"/>
  <c r="Q43" i="22"/>
  <c r="R43" i="22"/>
  <c r="S43" i="22"/>
  <c r="T43" i="22"/>
  <c r="U43" i="22"/>
  <c r="V43" i="22"/>
  <c r="W43" i="22"/>
  <c r="X43" i="22"/>
  <c r="Y43" i="22"/>
  <c r="Z43" i="22"/>
  <c r="AA43" i="22"/>
  <c r="AB43" i="22"/>
  <c r="AC43" i="22"/>
  <c r="AD43" i="22"/>
  <c r="AE43" i="22"/>
  <c r="AF43" i="22"/>
  <c r="AG43" i="22"/>
  <c r="AH43" i="22"/>
  <c r="AI43" i="22"/>
  <c r="AJ43" i="22"/>
  <c r="AK43" i="22"/>
  <c r="AL43" i="22"/>
  <c r="AM43" i="22"/>
  <c r="AN43" i="22"/>
  <c r="AO43" i="22"/>
  <c r="AP43" i="22"/>
  <c r="F18" i="1"/>
  <c r="F109" i="1"/>
  <c r="F105" i="1"/>
  <c r="F107" i="1"/>
  <c r="F106" i="1"/>
  <c r="F108" i="1"/>
  <c r="F104" i="1"/>
  <c r="E111" i="1"/>
  <c r="C107" i="7"/>
  <c r="E106" i="1"/>
  <c r="C102" i="7"/>
  <c r="F111" i="1"/>
  <c r="F112" i="1"/>
  <c r="E112" i="1"/>
  <c r="C108" i="7"/>
  <c r="E108" i="1"/>
  <c r="C104" i="7"/>
  <c r="E104" i="1"/>
  <c r="E105" i="1"/>
  <c r="C101" i="7"/>
  <c r="E109" i="1"/>
  <c r="C105" i="7"/>
  <c r="E107" i="1"/>
  <c r="C103" i="7"/>
  <c r="F90" i="1"/>
  <c r="F93" i="1"/>
  <c r="F89" i="1"/>
  <c r="E91" i="1"/>
  <c r="C63" i="7"/>
  <c r="E93" i="1"/>
  <c r="C65" i="7"/>
  <c r="F92" i="1"/>
  <c r="F88" i="1"/>
  <c r="F96" i="1"/>
  <c r="F91" i="1"/>
  <c r="E96" i="1"/>
  <c r="C68" i="7"/>
  <c r="E92" i="1"/>
  <c r="C64" i="7"/>
  <c r="E88" i="1"/>
  <c r="F95" i="1"/>
  <c r="E89" i="1"/>
  <c r="C61" i="7"/>
  <c r="E95" i="1"/>
  <c r="C67" i="7"/>
  <c r="E90" i="1"/>
  <c r="C62" i="7"/>
  <c r="G39" i="23"/>
  <c r="G41" i="23"/>
  <c r="F36" i="12"/>
  <c r="E122" i="1"/>
  <c r="C139" i="7"/>
  <c r="L41" i="23"/>
  <c r="F124" i="1"/>
  <c r="F123" i="1"/>
  <c r="F122" i="1"/>
  <c r="F121" i="1"/>
  <c r="F126" i="1"/>
  <c r="F125" i="1"/>
  <c r="F128" i="1"/>
  <c r="F129" i="1"/>
  <c r="E121" i="1"/>
  <c r="E123" i="1"/>
  <c r="C140" i="7"/>
  <c r="D7" i="48"/>
  <c r="K27" i="20"/>
  <c r="J27" i="20"/>
  <c r="E34" i="48"/>
  <c r="C60" i="7"/>
  <c r="BG74" i="7"/>
  <c r="BC80" i="7"/>
  <c r="BC183" i="7"/>
  <c r="BK80" i="7"/>
  <c r="BK183" i="7"/>
  <c r="BS80" i="7"/>
  <c r="BS183" i="7"/>
  <c r="CA80" i="7"/>
  <c r="CA183" i="7"/>
  <c r="BD80" i="7"/>
  <c r="BD183" i="7"/>
  <c r="BL80" i="7"/>
  <c r="BL183" i="7"/>
  <c r="BG80" i="7"/>
  <c r="BG183" i="7"/>
  <c r="BQ80" i="7"/>
  <c r="BQ183" i="7"/>
  <c r="BZ80" i="7"/>
  <c r="BZ183" i="7"/>
  <c r="AY80" i="7"/>
  <c r="BT80" i="7"/>
  <c r="BT183" i="7"/>
  <c r="AZ80" i="7"/>
  <c r="BU80" i="7"/>
  <c r="BU183" i="7"/>
  <c r="AX80" i="7"/>
  <c r="BH80" i="7"/>
  <c r="BH183" i="7"/>
  <c r="BR80" i="7"/>
  <c r="BR183" i="7"/>
  <c r="CB80" i="7"/>
  <c r="CB183" i="7"/>
  <c r="BI80" i="7"/>
  <c r="BI183" i="7"/>
  <c r="BJ80" i="7"/>
  <c r="BJ183" i="7"/>
  <c r="BO80" i="7"/>
  <c r="BO183" i="7"/>
  <c r="BA80" i="7"/>
  <c r="BA183" i="7"/>
  <c r="BB80" i="7"/>
  <c r="BB183" i="7"/>
  <c r="BE80" i="7"/>
  <c r="BE183" i="7"/>
  <c r="BF80" i="7"/>
  <c r="BF183" i="7"/>
  <c r="BN80" i="7"/>
  <c r="BN183" i="7"/>
  <c r="BP80" i="7"/>
  <c r="BP183" i="7"/>
  <c r="BV80" i="7"/>
  <c r="BV183" i="7"/>
  <c r="BW80" i="7"/>
  <c r="BW183" i="7"/>
  <c r="BX80" i="7"/>
  <c r="BX183" i="7"/>
  <c r="BY80" i="7"/>
  <c r="BY183" i="7"/>
  <c r="BM80" i="7"/>
  <c r="BM183" i="7"/>
  <c r="BR79" i="7"/>
  <c r="BR182" i="7"/>
  <c r="BS79" i="7"/>
  <c r="BS182" i="7"/>
  <c r="BE79" i="7"/>
  <c r="BE182" i="7"/>
  <c r="BZ79" i="7"/>
  <c r="BZ182" i="7"/>
  <c r="BW79" i="7"/>
  <c r="BW182" i="7"/>
  <c r="BF79" i="7"/>
  <c r="BF182" i="7"/>
  <c r="BB79" i="7"/>
  <c r="BB182" i="7"/>
  <c r="BO79" i="7"/>
  <c r="BO182" i="7"/>
  <c r="BQ79" i="7"/>
  <c r="BQ182" i="7"/>
  <c r="BX79" i="7"/>
  <c r="BX182" i="7"/>
  <c r="BM79" i="7"/>
  <c r="BM182" i="7"/>
  <c r="BG79" i="7"/>
  <c r="BG182" i="7"/>
  <c r="BA79" i="7"/>
  <c r="BA182" i="7"/>
  <c r="BP79" i="7"/>
  <c r="BP182" i="7"/>
  <c r="AY79" i="7"/>
  <c r="AZ79" i="7"/>
  <c r="BJ79" i="7"/>
  <c r="BJ182" i="7"/>
  <c r="BU79" i="7"/>
  <c r="BU182" i="7"/>
  <c r="BK79" i="7"/>
  <c r="BK182" i="7"/>
  <c r="BY79" i="7"/>
  <c r="BY182" i="7"/>
  <c r="BH79" i="7"/>
  <c r="BH182" i="7"/>
  <c r="BV79" i="7"/>
  <c r="BV182" i="7"/>
  <c r="BC79" i="7"/>
  <c r="BC182" i="7"/>
  <c r="BI79" i="7"/>
  <c r="BI182" i="7"/>
  <c r="BN79" i="7"/>
  <c r="BN182" i="7"/>
  <c r="CB79" i="7"/>
  <c r="CB182" i="7"/>
  <c r="BT79" i="7"/>
  <c r="BT182" i="7"/>
  <c r="AX79" i="7"/>
  <c r="BL79" i="7"/>
  <c r="BL182" i="7"/>
  <c r="BD79" i="7"/>
  <c r="BD182" i="7"/>
  <c r="CA79" i="7"/>
  <c r="CA182" i="7"/>
  <c r="BS78" i="7"/>
  <c r="BS181" i="7"/>
  <c r="BN78" i="7"/>
  <c r="BN181" i="7"/>
  <c r="BO78" i="7"/>
  <c r="BO181" i="7"/>
  <c r="BQ78" i="7"/>
  <c r="BQ181" i="7"/>
  <c r="AX78" i="7"/>
  <c r="BI78" i="7"/>
  <c r="BI181" i="7"/>
  <c r="BZ78" i="7"/>
  <c r="BZ181" i="7"/>
  <c r="BX78" i="7"/>
  <c r="BX181" i="7"/>
  <c r="BR78" i="7"/>
  <c r="BR181" i="7"/>
  <c r="BH78" i="7"/>
  <c r="BH181" i="7"/>
  <c r="BY78" i="7"/>
  <c r="BY181" i="7"/>
  <c r="BJ78" i="7"/>
  <c r="BJ181" i="7"/>
  <c r="BU78" i="7"/>
  <c r="BU181" i="7"/>
  <c r="BT78" i="7"/>
  <c r="BT181" i="7"/>
  <c r="BA78" i="7"/>
  <c r="BA181" i="7"/>
  <c r="BB78" i="7"/>
  <c r="BB181" i="7"/>
  <c r="BP78" i="7"/>
  <c r="BP181" i="7"/>
  <c r="BM78" i="7"/>
  <c r="BM181" i="7"/>
  <c r="BD78" i="7"/>
  <c r="BD181" i="7"/>
  <c r="BV78" i="7"/>
  <c r="BV181" i="7"/>
  <c r="AZ78" i="7"/>
  <c r="BW78" i="7"/>
  <c r="BW181" i="7"/>
  <c r="BE78" i="7"/>
  <c r="BE181" i="7"/>
  <c r="BK78" i="7"/>
  <c r="BK181" i="7"/>
  <c r="BF78" i="7"/>
  <c r="BF181" i="7"/>
  <c r="BG78" i="7"/>
  <c r="BG181" i="7"/>
  <c r="BC78" i="7"/>
  <c r="BC181" i="7"/>
  <c r="AY78" i="7"/>
  <c r="CB78" i="7"/>
  <c r="CB181" i="7"/>
  <c r="BL78" i="7"/>
  <c r="BL181" i="7"/>
  <c r="CA78" i="7"/>
  <c r="CA181" i="7"/>
  <c r="J82" i="7"/>
  <c r="BL82" i="7"/>
  <c r="BL185" i="7"/>
  <c r="BC82" i="7"/>
  <c r="BC185" i="7"/>
  <c r="BU82" i="7"/>
  <c r="BU185" i="7"/>
  <c r="BR82" i="7"/>
  <c r="BR185" i="7"/>
  <c r="BE82" i="7"/>
  <c r="BE185" i="7"/>
  <c r="BP82" i="7"/>
  <c r="BP185" i="7"/>
  <c r="BT82" i="7"/>
  <c r="BT185" i="7"/>
  <c r="BK82" i="7"/>
  <c r="BK185" i="7"/>
  <c r="BV82" i="7"/>
  <c r="BV185" i="7"/>
  <c r="AZ82" i="7"/>
  <c r="BN82" i="7"/>
  <c r="BN185" i="7"/>
  <c r="BW82" i="7"/>
  <c r="BW185" i="7"/>
  <c r="BF82" i="7"/>
  <c r="BF185" i="7"/>
  <c r="BG82" i="7"/>
  <c r="BG185" i="7"/>
  <c r="AX82" i="7"/>
  <c r="BO82" i="7"/>
  <c r="BO185" i="7"/>
  <c r="BM82" i="7"/>
  <c r="BM185" i="7"/>
  <c r="BJ82" i="7"/>
  <c r="BJ185" i="7"/>
  <c r="BX82" i="7"/>
  <c r="BX185" i="7"/>
  <c r="AY82" i="7"/>
  <c r="CA82" i="7"/>
  <c r="CA185" i="7"/>
  <c r="BY82" i="7"/>
  <c r="BY185" i="7"/>
  <c r="BH82" i="7"/>
  <c r="BH185" i="7"/>
  <c r="BQ82" i="7"/>
  <c r="BQ185" i="7"/>
  <c r="BD82" i="7"/>
  <c r="BD185" i="7"/>
  <c r="BZ82" i="7"/>
  <c r="BZ185" i="7"/>
  <c r="BI82" i="7"/>
  <c r="BI185" i="7"/>
  <c r="BB82" i="7"/>
  <c r="BB185" i="7"/>
  <c r="BA82" i="7"/>
  <c r="BA185" i="7"/>
  <c r="CB82" i="7"/>
  <c r="CB185" i="7"/>
  <c r="BS82" i="7"/>
  <c r="BS185" i="7"/>
  <c r="BU81" i="7"/>
  <c r="BU184" i="7"/>
  <c r="BF81" i="7"/>
  <c r="BF184" i="7"/>
  <c r="BB81" i="7"/>
  <c r="BB184" i="7"/>
  <c r="BA81" i="7"/>
  <c r="BA184" i="7"/>
  <c r="BP81" i="7"/>
  <c r="BP184" i="7"/>
  <c r="AY81" i="7"/>
  <c r="BE81" i="7"/>
  <c r="BE184" i="7"/>
  <c r="BN81" i="7"/>
  <c r="BN184" i="7"/>
  <c r="BJ81" i="7"/>
  <c r="BJ184" i="7"/>
  <c r="BI81" i="7"/>
  <c r="BI184" i="7"/>
  <c r="BS81" i="7"/>
  <c r="BS184" i="7"/>
  <c r="BC81" i="7"/>
  <c r="BC184" i="7"/>
  <c r="BV81" i="7"/>
  <c r="BV184" i="7"/>
  <c r="BM81" i="7"/>
  <c r="BM184" i="7"/>
  <c r="CA81" i="7"/>
  <c r="CA184" i="7"/>
  <c r="BH81" i="7"/>
  <c r="BH184" i="7"/>
  <c r="BK81" i="7"/>
  <c r="BK184" i="7"/>
  <c r="AZ81" i="7"/>
  <c r="BZ81" i="7"/>
  <c r="BZ184" i="7"/>
  <c r="BQ81" i="7"/>
  <c r="BQ184" i="7"/>
  <c r="CB81" i="7"/>
  <c r="CB184" i="7"/>
  <c r="AX81" i="7"/>
  <c r="BT81" i="7"/>
  <c r="BT184" i="7"/>
  <c r="BL81" i="7"/>
  <c r="BL184" i="7"/>
  <c r="BW81" i="7"/>
  <c r="BW184" i="7"/>
  <c r="BD81" i="7"/>
  <c r="BD184" i="7"/>
  <c r="BO81" i="7"/>
  <c r="BO184" i="7"/>
  <c r="BR81" i="7"/>
  <c r="BR184" i="7"/>
  <c r="BY81" i="7"/>
  <c r="BY184" i="7"/>
  <c r="BX81" i="7"/>
  <c r="BX184" i="7"/>
  <c r="BG81" i="7"/>
  <c r="BG184" i="7"/>
  <c r="BS77" i="7"/>
  <c r="BS180" i="7"/>
  <c r="BH77" i="7"/>
  <c r="BH180" i="7"/>
  <c r="BQ77" i="7"/>
  <c r="BQ180" i="7"/>
  <c r="BW77" i="7"/>
  <c r="BW180" i="7"/>
  <c r="CB77" i="7"/>
  <c r="CB180" i="7"/>
  <c r="BA77" i="7"/>
  <c r="BA180" i="7"/>
  <c r="BV77" i="7"/>
  <c r="BV180" i="7"/>
  <c r="BL77" i="7"/>
  <c r="BL180" i="7"/>
  <c r="BZ77" i="7"/>
  <c r="BZ180" i="7"/>
  <c r="BR77" i="7"/>
  <c r="BR180" i="7"/>
  <c r="AZ77" i="7"/>
  <c r="BJ77" i="7"/>
  <c r="BJ180" i="7"/>
  <c r="BO77" i="7"/>
  <c r="BO180" i="7"/>
  <c r="BB77" i="7"/>
  <c r="BB180" i="7"/>
  <c r="AY77" i="7"/>
  <c r="BX77" i="7"/>
  <c r="BX180" i="7"/>
  <c r="BY77" i="7"/>
  <c r="BY180" i="7"/>
  <c r="BC77" i="7"/>
  <c r="BC180" i="7"/>
  <c r="BI77" i="7"/>
  <c r="BI180" i="7"/>
  <c r="BG77" i="7"/>
  <c r="BG180" i="7"/>
  <c r="BT77" i="7"/>
  <c r="BT180" i="7"/>
  <c r="BU77" i="7"/>
  <c r="BU180" i="7"/>
  <c r="BN77" i="7"/>
  <c r="BN180" i="7"/>
  <c r="BD77" i="7"/>
  <c r="BD180" i="7"/>
  <c r="BP77" i="7"/>
  <c r="BP180" i="7"/>
  <c r="BM77" i="7"/>
  <c r="BM180" i="7"/>
  <c r="BF77" i="7"/>
  <c r="BF180" i="7"/>
  <c r="CA77" i="7"/>
  <c r="CA180" i="7"/>
  <c r="BE77" i="7"/>
  <c r="BE180" i="7"/>
  <c r="AX77" i="7"/>
  <c r="BK77" i="7"/>
  <c r="BK180" i="7"/>
  <c r="BQ76" i="7"/>
  <c r="BQ179" i="7"/>
  <c r="BJ76" i="7"/>
  <c r="BJ179" i="7"/>
  <c r="AX76" i="7"/>
  <c r="BL76" i="7"/>
  <c r="BL179" i="7"/>
  <c r="BE76" i="7"/>
  <c r="BE179" i="7"/>
  <c r="BZ76" i="7"/>
  <c r="BZ179" i="7"/>
  <c r="BA76" i="7"/>
  <c r="BA179" i="7"/>
  <c r="BG76" i="7"/>
  <c r="BG179" i="7"/>
  <c r="BV76" i="7"/>
  <c r="BV179" i="7"/>
  <c r="CA76" i="7"/>
  <c r="CA179" i="7"/>
  <c r="BY76" i="7"/>
  <c r="BY179" i="7"/>
  <c r="BN76" i="7"/>
  <c r="BN179" i="7"/>
  <c r="BI76" i="7"/>
  <c r="BI179" i="7"/>
  <c r="BW76" i="7"/>
  <c r="BW179" i="7"/>
  <c r="BD76" i="7"/>
  <c r="BD179" i="7"/>
  <c r="BB76" i="7"/>
  <c r="BB179" i="7"/>
  <c r="BX76" i="7"/>
  <c r="BX179" i="7"/>
  <c r="BF76" i="7"/>
  <c r="BF179" i="7"/>
  <c r="BP76" i="7"/>
  <c r="BP179" i="7"/>
  <c r="BH76" i="7"/>
  <c r="BH179" i="7"/>
  <c r="BS76" i="7"/>
  <c r="BS179" i="7"/>
  <c r="BO76" i="7"/>
  <c r="BO179" i="7"/>
  <c r="AZ76" i="7"/>
  <c r="CB76" i="7"/>
  <c r="CB179" i="7"/>
  <c r="BU76" i="7"/>
  <c r="BU179" i="7"/>
  <c r="BK76" i="7"/>
  <c r="BK179" i="7"/>
  <c r="AY76" i="7"/>
  <c r="BR76" i="7"/>
  <c r="BR179" i="7"/>
  <c r="BT76" i="7"/>
  <c r="BT179" i="7"/>
  <c r="BM76" i="7"/>
  <c r="BM179" i="7"/>
  <c r="BC76" i="7"/>
  <c r="BC179" i="7"/>
  <c r="BG75" i="7"/>
  <c r="BG178" i="7"/>
  <c r="BV75" i="7"/>
  <c r="BV178" i="7"/>
  <c r="BQ75" i="7"/>
  <c r="BQ178" i="7"/>
  <c r="AZ75" i="7"/>
  <c r="BC75" i="7"/>
  <c r="BC178" i="7"/>
  <c r="BA75" i="7"/>
  <c r="BA178" i="7"/>
  <c r="AX75" i="7"/>
  <c r="BO75" i="7"/>
  <c r="BO178" i="7"/>
  <c r="AY75" i="7"/>
  <c r="BU75" i="7"/>
  <c r="BU178" i="7"/>
  <c r="BX75" i="7"/>
  <c r="BX178" i="7"/>
  <c r="BM75" i="7"/>
  <c r="BM178" i="7"/>
  <c r="BP75" i="7"/>
  <c r="BP178" i="7"/>
  <c r="BE75" i="7"/>
  <c r="BE178" i="7"/>
  <c r="BY75" i="7"/>
  <c r="BY178" i="7"/>
  <c r="BH75" i="7"/>
  <c r="BH178" i="7"/>
  <c r="BS75" i="7"/>
  <c r="BS178" i="7"/>
  <c r="BN75" i="7"/>
  <c r="BN178" i="7"/>
  <c r="BI75" i="7"/>
  <c r="BI178" i="7"/>
  <c r="BT75" i="7"/>
  <c r="BT178" i="7"/>
  <c r="BF75" i="7"/>
  <c r="BF178" i="7"/>
  <c r="BD75" i="7"/>
  <c r="BD178" i="7"/>
  <c r="BZ75" i="7"/>
  <c r="BZ178" i="7"/>
  <c r="BJ75" i="7"/>
  <c r="BJ178" i="7"/>
  <c r="CB75" i="7"/>
  <c r="CB178" i="7"/>
  <c r="CA75" i="7"/>
  <c r="CA178" i="7"/>
  <c r="BL75" i="7"/>
  <c r="BL178" i="7"/>
  <c r="BK75" i="7"/>
  <c r="BK178" i="7"/>
  <c r="BR75" i="7"/>
  <c r="BR178" i="7"/>
  <c r="BW75" i="7"/>
  <c r="BW178" i="7"/>
  <c r="BB75" i="7"/>
  <c r="BB178" i="7"/>
  <c r="C138" i="7"/>
  <c r="AW152" i="7"/>
  <c r="C100" i="7"/>
  <c r="U113" i="7"/>
  <c r="E110" i="1"/>
  <c r="E94" i="1"/>
  <c r="L62" i="43"/>
  <c r="AP154" i="7"/>
  <c r="AX154" i="7"/>
  <c r="AM154" i="7"/>
  <c r="AQ154" i="7"/>
  <c r="AY154" i="7"/>
  <c r="AJ154" i="7"/>
  <c r="AR154" i="7"/>
  <c r="AZ154" i="7"/>
  <c r="AU154" i="7"/>
  <c r="AK154" i="7"/>
  <c r="AS154" i="7"/>
  <c r="AL154" i="7"/>
  <c r="AT154" i="7"/>
  <c r="AN154" i="7"/>
  <c r="AV154" i="7"/>
  <c r="AO154" i="7"/>
  <c r="AW154" i="7"/>
  <c r="AO153" i="7"/>
  <c r="AW153" i="7"/>
  <c r="AT153" i="7"/>
  <c r="AP153" i="7"/>
  <c r="AX153" i="7"/>
  <c r="AL153" i="7"/>
  <c r="AQ153" i="7"/>
  <c r="AY153" i="7"/>
  <c r="AJ153" i="7"/>
  <c r="AR153" i="7"/>
  <c r="AZ153" i="7"/>
  <c r="AK153" i="7"/>
  <c r="AS153" i="7"/>
  <c r="AM153" i="7"/>
  <c r="AU153" i="7"/>
  <c r="AN153" i="7"/>
  <c r="AV153" i="7"/>
  <c r="Y44" i="22"/>
  <c r="Y225" i="22"/>
  <c r="U62" i="43"/>
  <c r="AI44" i="22"/>
  <c r="AI225" i="22"/>
  <c r="AE62" i="43"/>
  <c r="AL44" i="22"/>
  <c r="AL225" i="22"/>
  <c r="AH62" i="43"/>
  <c r="AT62" i="43"/>
  <c r="AA44" i="22"/>
  <c r="AA225" i="22"/>
  <c r="W62" i="43"/>
  <c r="Z44" i="22"/>
  <c r="Z225" i="22"/>
  <c r="V62" i="43"/>
  <c r="AO44" i="22"/>
  <c r="AO225" i="22"/>
  <c r="AK62" i="43"/>
  <c r="AS62" i="43"/>
  <c r="AC44" i="22"/>
  <c r="AC225" i="22"/>
  <c r="Y62" i="43"/>
  <c r="AR62" i="43"/>
  <c r="AF44" i="22"/>
  <c r="AF225" i="22"/>
  <c r="AB62" i="43"/>
  <c r="AN62" i="43"/>
  <c r="AH44" i="22"/>
  <c r="AH225" i="22"/>
  <c r="AD62" i="43"/>
  <c r="AQ62" i="43"/>
  <c r="W44" i="22"/>
  <c r="W225" i="22"/>
  <c r="S62" i="43"/>
  <c r="X44" i="22"/>
  <c r="X225" i="22"/>
  <c r="T62" i="43"/>
  <c r="AN44" i="22"/>
  <c r="AN225" i="22"/>
  <c r="AJ62" i="43"/>
  <c r="AM44" i="22"/>
  <c r="AM225" i="22"/>
  <c r="AI62" i="43"/>
  <c r="AD44" i="22"/>
  <c r="AD225" i="22"/>
  <c r="Z62" i="43"/>
  <c r="V44" i="22"/>
  <c r="V225" i="22"/>
  <c r="R62" i="43"/>
  <c r="AE44" i="22"/>
  <c r="AE225" i="22"/>
  <c r="AA62" i="43"/>
  <c r="AJ44" i="22"/>
  <c r="AJ225" i="22"/>
  <c r="AF62" i="43"/>
  <c r="R44" i="22"/>
  <c r="R225" i="22"/>
  <c r="N62" i="43"/>
  <c r="AU62" i="43"/>
  <c r="AP62" i="43"/>
  <c r="AM62" i="43"/>
  <c r="Q44" i="22"/>
  <c r="Q225" i="22"/>
  <c r="M62" i="43"/>
  <c r="AG44" i="22"/>
  <c r="AG225" i="22"/>
  <c r="AC62" i="43"/>
  <c r="AV62" i="43"/>
  <c r="AO62" i="43"/>
  <c r="S44" i="22"/>
  <c r="S225" i="22"/>
  <c r="O62" i="43"/>
  <c r="AW62" i="43"/>
  <c r="T44" i="22"/>
  <c r="T225" i="22"/>
  <c r="P62" i="43"/>
  <c r="AP44" i="22"/>
  <c r="AP225" i="22"/>
  <c r="AL62" i="43"/>
  <c r="AB44" i="22"/>
  <c r="AB225" i="22"/>
  <c r="X62" i="43"/>
  <c r="AK44" i="22"/>
  <c r="AK225" i="22"/>
  <c r="AG62" i="43"/>
  <c r="U44" i="22"/>
  <c r="U225" i="22"/>
  <c r="Q62" i="43"/>
  <c r="N81" i="7"/>
  <c r="AM81" i="7"/>
  <c r="T81" i="7"/>
  <c r="AN81" i="7"/>
  <c r="Z81" i="7"/>
  <c r="M81" i="7"/>
  <c r="V81" i="7"/>
  <c r="AU81" i="7"/>
  <c r="AJ81" i="7"/>
  <c r="AV81" i="7"/>
  <c r="AP81" i="7"/>
  <c r="U81" i="7"/>
  <c r="AD81" i="7"/>
  <c r="J81" i="7"/>
  <c r="AC81" i="7"/>
  <c r="Q81" i="7"/>
  <c r="K81" i="7"/>
  <c r="AK81" i="7"/>
  <c r="L81" i="7"/>
  <c r="AL81" i="7"/>
  <c r="AH81" i="7"/>
  <c r="I81" i="7"/>
  <c r="Y81" i="7"/>
  <c r="AA81" i="7"/>
  <c r="AE81" i="7"/>
  <c r="AT81" i="7"/>
  <c r="AS81" i="7"/>
  <c r="AG81" i="7"/>
  <c r="AI81" i="7"/>
  <c r="R81" i="7"/>
  <c r="O81" i="7"/>
  <c r="S81" i="7"/>
  <c r="P81" i="7"/>
  <c r="AO81" i="7"/>
  <c r="AR81" i="7"/>
  <c r="W81" i="7"/>
  <c r="AQ81" i="7"/>
  <c r="X81" i="7"/>
  <c r="AW81" i="7"/>
  <c r="AB81" i="7"/>
  <c r="AF81" i="7"/>
  <c r="M75" i="7"/>
  <c r="AH75" i="7"/>
  <c r="AM75" i="7"/>
  <c r="AJ75" i="7"/>
  <c r="Q75" i="7"/>
  <c r="AK75" i="7"/>
  <c r="Z75" i="7"/>
  <c r="W75" i="7"/>
  <c r="T75" i="7"/>
  <c r="AN75" i="7"/>
  <c r="AC75" i="7"/>
  <c r="J75" i="7"/>
  <c r="AT75" i="7"/>
  <c r="AQ75" i="7"/>
  <c r="X75" i="7"/>
  <c r="U75" i="7"/>
  <c r="AB75" i="7"/>
  <c r="AO75" i="7"/>
  <c r="AL75" i="7"/>
  <c r="AA75" i="7"/>
  <c r="AU75" i="7"/>
  <c r="L75" i="7"/>
  <c r="Y75" i="7"/>
  <c r="AD75" i="7"/>
  <c r="K75" i="7"/>
  <c r="AE75" i="7"/>
  <c r="AI75" i="7"/>
  <c r="AV75" i="7"/>
  <c r="V75" i="7"/>
  <c r="R75" i="7"/>
  <c r="O75" i="7"/>
  <c r="S75" i="7"/>
  <c r="AF75" i="7"/>
  <c r="N75" i="7"/>
  <c r="AW75" i="7"/>
  <c r="I75" i="7"/>
  <c r="AP75" i="7"/>
  <c r="P75" i="7"/>
  <c r="AR75" i="7"/>
  <c r="AG75" i="7"/>
  <c r="AS75" i="7"/>
  <c r="N114" i="7"/>
  <c r="AF114" i="7"/>
  <c r="AR114" i="7"/>
  <c r="AO114" i="7"/>
  <c r="Z114" i="7"/>
  <c r="AH114" i="7"/>
  <c r="AC114" i="7"/>
  <c r="AX114" i="7"/>
  <c r="P114" i="7"/>
  <c r="AS114" i="7"/>
  <c r="AT114" i="7"/>
  <c r="T114" i="7"/>
  <c r="X114" i="7"/>
  <c r="S114" i="7"/>
  <c r="AN114" i="7"/>
  <c r="AI114" i="7"/>
  <c r="AL114" i="7"/>
  <c r="AP114" i="7"/>
  <c r="L114" i="7"/>
  <c r="AB114" i="7"/>
  <c r="AW114" i="7"/>
  <c r="Y114" i="7"/>
  <c r="AU114" i="7"/>
  <c r="AD114" i="7"/>
  <c r="J114" i="7"/>
  <c r="AQ114" i="7"/>
  <c r="R114" i="7"/>
  <c r="AK114" i="7"/>
  <c r="I114" i="7"/>
  <c r="M114" i="7"/>
  <c r="AM114" i="7"/>
  <c r="V114" i="7"/>
  <c r="AG114" i="7"/>
  <c r="AA114" i="7"/>
  <c r="AE114" i="7"/>
  <c r="U114" i="7"/>
  <c r="Q114" i="7"/>
  <c r="AV114" i="7"/>
  <c r="W114" i="7"/>
  <c r="K114" i="7"/>
  <c r="AY114" i="7"/>
  <c r="AJ114" i="7"/>
  <c r="O114" i="7"/>
  <c r="R115" i="7"/>
  <c r="K115" i="7"/>
  <c r="AQ115" i="7"/>
  <c r="X115" i="7"/>
  <c r="L115" i="7"/>
  <c r="AK115" i="7"/>
  <c r="AV115" i="7"/>
  <c r="I115" i="7"/>
  <c r="T115" i="7"/>
  <c r="AS115" i="7"/>
  <c r="AL115" i="7"/>
  <c r="AH115" i="7"/>
  <c r="AB115" i="7"/>
  <c r="AW115" i="7"/>
  <c r="Z115" i="7"/>
  <c r="J115" i="7"/>
  <c r="N115" i="7"/>
  <c r="AJ115" i="7"/>
  <c r="AP115" i="7"/>
  <c r="AM115" i="7"/>
  <c r="P115" i="7"/>
  <c r="AU115" i="7"/>
  <c r="AX115" i="7"/>
  <c r="AR115" i="7"/>
  <c r="AA115" i="7"/>
  <c r="AI115" i="7"/>
  <c r="AG115" i="7"/>
  <c r="V115" i="7"/>
  <c r="AN115" i="7"/>
  <c r="M115" i="7"/>
  <c r="AE115" i="7"/>
  <c r="Q115" i="7"/>
  <c r="AF115" i="7"/>
  <c r="Y115" i="7"/>
  <c r="AT115" i="7"/>
  <c r="AY115" i="7"/>
  <c r="AD115" i="7"/>
  <c r="U115" i="7"/>
  <c r="O115" i="7"/>
  <c r="W115" i="7"/>
  <c r="S115" i="7"/>
  <c r="AC115" i="7"/>
  <c r="AO115" i="7"/>
  <c r="O80" i="7"/>
  <c r="AI79" i="7"/>
  <c r="AQ79" i="7"/>
  <c r="AG79" i="7"/>
  <c r="I79" i="7"/>
  <c r="K80" i="7"/>
  <c r="AS79" i="7"/>
  <c r="AV80" i="7"/>
  <c r="AE79" i="7"/>
  <c r="J80" i="7"/>
  <c r="AB79" i="7"/>
  <c r="AM80" i="7"/>
  <c r="J79" i="7"/>
  <c r="AK80" i="7"/>
  <c r="K79" i="7"/>
  <c r="Y79" i="7"/>
  <c r="AV79" i="7"/>
  <c r="AL79" i="7"/>
  <c r="AK79" i="7"/>
  <c r="AN80" i="7"/>
  <c r="W79" i="7"/>
  <c r="AT79" i="7"/>
  <c r="T79" i="7"/>
  <c r="AE80" i="7"/>
  <c r="AH79" i="7"/>
  <c r="Q79" i="7"/>
  <c r="AN79" i="7"/>
  <c r="V79" i="7"/>
  <c r="U79" i="7"/>
  <c r="AF80" i="7"/>
  <c r="O79" i="7"/>
  <c r="AD79" i="7"/>
  <c r="L79" i="7"/>
  <c r="W80" i="7"/>
  <c r="V80" i="7"/>
  <c r="S79" i="7"/>
  <c r="AT80" i="7"/>
  <c r="AL80" i="7"/>
  <c r="AD80" i="7"/>
  <c r="AR80" i="7"/>
  <c r="AF79" i="7"/>
  <c r="AW80" i="7"/>
  <c r="M79" i="7"/>
  <c r="X80" i="7"/>
  <c r="N79" i="7"/>
  <c r="AA79" i="7"/>
  <c r="AJ80" i="7"/>
  <c r="X79" i="7"/>
  <c r="AQ80" i="7"/>
  <c r="AO80" i="7"/>
  <c r="P80" i="7"/>
  <c r="AP80" i="7"/>
  <c r="AC79" i="7"/>
  <c r="U80" i="7"/>
  <c r="R79" i="7"/>
  <c r="AC80" i="7"/>
  <c r="AB80" i="7"/>
  <c r="P79" i="7"/>
  <c r="AI80" i="7"/>
  <c r="AG80" i="7"/>
  <c r="I80" i="7"/>
  <c r="AH80" i="7"/>
  <c r="AP79" i="7"/>
  <c r="N80" i="7"/>
  <c r="Z79" i="7"/>
  <c r="AS80" i="7"/>
  <c r="AW79" i="7"/>
  <c r="T80" i="7"/>
  <c r="AA80" i="7"/>
  <c r="Y80" i="7"/>
  <c r="AU79" i="7"/>
  <c r="Z80" i="7"/>
  <c r="AR79" i="7"/>
  <c r="M80" i="7"/>
  <c r="AO79" i="7"/>
  <c r="L80" i="7"/>
  <c r="S80" i="7"/>
  <c r="Q80" i="7"/>
  <c r="AM79" i="7"/>
  <c r="R80" i="7"/>
  <c r="AJ79" i="7"/>
  <c r="AU80" i="7"/>
  <c r="K77" i="7"/>
  <c r="AW77" i="7"/>
  <c r="AI77" i="7"/>
  <c r="L77" i="7"/>
  <c r="AM77" i="7"/>
  <c r="AL77" i="7"/>
  <c r="AU77" i="7"/>
  <c r="T77" i="7"/>
  <c r="AA77" i="7"/>
  <c r="Q77" i="7"/>
  <c r="Y77" i="7"/>
  <c r="W77" i="7"/>
  <c r="AD77" i="7"/>
  <c r="AE77" i="7"/>
  <c r="AS77" i="7"/>
  <c r="AH77" i="7"/>
  <c r="AO77" i="7"/>
  <c r="V77" i="7"/>
  <c r="O77" i="7"/>
  <c r="AK77" i="7"/>
  <c r="I77" i="7"/>
  <c r="P77" i="7"/>
  <c r="Z77" i="7"/>
  <c r="N77" i="7"/>
  <c r="AC77" i="7"/>
  <c r="AQ77" i="7"/>
  <c r="X77" i="7"/>
  <c r="J77" i="7"/>
  <c r="U77" i="7"/>
  <c r="AF77" i="7"/>
  <c r="S77" i="7"/>
  <c r="AP77" i="7"/>
  <c r="M77" i="7"/>
  <c r="AR77" i="7"/>
  <c r="AV77" i="7"/>
  <c r="AN77" i="7"/>
  <c r="AG77" i="7"/>
  <c r="AJ77" i="7"/>
  <c r="R77" i="7"/>
  <c r="AT77" i="7"/>
  <c r="AB77" i="7"/>
  <c r="X117" i="7"/>
  <c r="AO117" i="7"/>
  <c r="R117" i="7"/>
  <c r="S117" i="7"/>
  <c r="AD117" i="7"/>
  <c r="AT117" i="7"/>
  <c r="AF117" i="7"/>
  <c r="AW117" i="7"/>
  <c r="AB117" i="7"/>
  <c r="AC117" i="7"/>
  <c r="AP117" i="7"/>
  <c r="N117" i="7"/>
  <c r="AN117" i="7"/>
  <c r="O117" i="7"/>
  <c r="AL117" i="7"/>
  <c r="AM117" i="7"/>
  <c r="K117" i="7"/>
  <c r="AV117" i="7"/>
  <c r="AA117" i="7"/>
  <c r="AX117" i="7"/>
  <c r="AY117" i="7"/>
  <c r="AQ117" i="7"/>
  <c r="I117" i="7"/>
  <c r="AK117" i="7"/>
  <c r="U117" i="7"/>
  <c r="AE117" i="7"/>
  <c r="M117" i="7"/>
  <c r="Q117" i="7"/>
  <c r="AU117" i="7"/>
  <c r="L117" i="7"/>
  <c r="AH117" i="7"/>
  <c r="AS117" i="7"/>
  <c r="Y117" i="7"/>
  <c r="V117" i="7"/>
  <c r="AR117" i="7"/>
  <c r="J117" i="7"/>
  <c r="AJ117" i="7"/>
  <c r="P117" i="7"/>
  <c r="AG117" i="7"/>
  <c r="W117" i="7"/>
  <c r="AI117" i="7"/>
  <c r="T117" i="7"/>
  <c r="Z117" i="7"/>
  <c r="T116" i="7"/>
  <c r="AX116" i="7"/>
  <c r="AC116" i="7"/>
  <c r="AK116" i="7"/>
  <c r="K116" i="7"/>
  <c r="Q116" i="7"/>
  <c r="L116" i="7"/>
  <c r="Y116" i="7"/>
  <c r="N116" i="7"/>
  <c r="X116" i="7"/>
  <c r="M116" i="7"/>
  <c r="AN116" i="7"/>
  <c r="S116" i="7"/>
  <c r="AF116" i="7"/>
  <c r="AS116" i="7"/>
  <c r="O116" i="7"/>
  <c r="AD116" i="7"/>
  <c r="J116" i="7"/>
  <c r="AA116" i="7"/>
  <c r="W116" i="7"/>
  <c r="AO116" i="7"/>
  <c r="AR116" i="7"/>
  <c r="R116" i="7"/>
  <c r="AI116" i="7"/>
  <c r="U116" i="7"/>
  <c r="V116" i="7"/>
  <c r="AV116" i="7"/>
  <c r="Z116" i="7"/>
  <c r="AQ116" i="7"/>
  <c r="AL116" i="7"/>
  <c r="AJ116" i="7"/>
  <c r="AH116" i="7"/>
  <c r="AY116" i="7"/>
  <c r="AW116" i="7"/>
  <c r="AE116" i="7"/>
  <c r="AB116" i="7"/>
  <c r="AT116" i="7"/>
  <c r="AP116" i="7"/>
  <c r="I116" i="7"/>
  <c r="AM116" i="7"/>
  <c r="P116" i="7"/>
  <c r="AG116" i="7"/>
  <c r="AU116" i="7"/>
  <c r="L78" i="7"/>
  <c r="AI78" i="7"/>
  <c r="AL78" i="7"/>
  <c r="J78" i="7"/>
  <c r="AU78" i="7"/>
  <c r="K78" i="7"/>
  <c r="AW78" i="7"/>
  <c r="V78" i="7"/>
  <c r="I78" i="7"/>
  <c r="W78" i="7"/>
  <c r="Y78" i="7"/>
  <c r="AH78" i="7"/>
  <c r="O78" i="7"/>
  <c r="AF78" i="7"/>
  <c r="X78" i="7"/>
  <c r="AM78" i="7"/>
  <c r="P78" i="7"/>
  <c r="Z78" i="7"/>
  <c r="AR78" i="7"/>
  <c r="AP78" i="7"/>
  <c r="AT78" i="7"/>
  <c r="N78" i="7"/>
  <c r="AS78" i="7"/>
  <c r="AJ78" i="7"/>
  <c r="AD78" i="7"/>
  <c r="S78" i="7"/>
  <c r="AK78" i="7"/>
  <c r="AC78" i="7"/>
  <c r="AB78" i="7"/>
  <c r="AQ78" i="7"/>
  <c r="Q78" i="7"/>
  <c r="AO78" i="7"/>
  <c r="AV78" i="7"/>
  <c r="U78" i="7"/>
  <c r="T78" i="7"/>
  <c r="AG78" i="7"/>
  <c r="R78" i="7"/>
  <c r="AE78" i="7"/>
  <c r="AA78" i="7"/>
  <c r="AN78" i="7"/>
  <c r="M78" i="7"/>
  <c r="L82" i="7"/>
  <c r="AK82" i="7"/>
  <c r="Z82" i="7"/>
  <c r="AL82" i="7"/>
  <c r="AF82" i="7"/>
  <c r="S82" i="7"/>
  <c r="Y82" i="7"/>
  <c r="AM82" i="7"/>
  <c r="V82" i="7"/>
  <c r="T82" i="7"/>
  <c r="AS82" i="7"/>
  <c r="AP82" i="7"/>
  <c r="AT82" i="7"/>
  <c r="AV82" i="7"/>
  <c r="AA82" i="7"/>
  <c r="AE82" i="7"/>
  <c r="AH82" i="7"/>
  <c r="AU82" i="7"/>
  <c r="AB82" i="7"/>
  <c r="X82" i="7"/>
  <c r="K82" i="7"/>
  <c r="O82" i="7"/>
  <c r="AQ82" i="7"/>
  <c r="AG82" i="7"/>
  <c r="AJ82" i="7"/>
  <c r="AN82" i="7"/>
  <c r="AI82" i="7"/>
  <c r="W82" i="7"/>
  <c r="AO82" i="7"/>
  <c r="N82" i="7"/>
  <c r="AR82" i="7"/>
  <c r="Q82" i="7"/>
  <c r="R82" i="7"/>
  <c r="AW82" i="7"/>
  <c r="M82" i="7"/>
  <c r="U82" i="7"/>
  <c r="AC82" i="7"/>
  <c r="AD82" i="7"/>
  <c r="P82" i="7"/>
  <c r="I82" i="7"/>
  <c r="O76" i="7"/>
  <c r="AE76" i="7"/>
  <c r="AU76" i="7"/>
  <c r="P76" i="7"/>
  <c r="AF76" i="7"/>
  <c r="AV76" i="7"/>
  <c r="Q76" i="7"/>
  <c r="AG76" i="7"/>
  <c r="R76" i="7"/>
  <c r="AH76" i="7"/>
  <c r="S76" i="7"/>
  <c r="AN76" i="7"/>
  <c r="W76" i="7"/>
  <c r="AO76" i="7"/>
  <c r="Z76" i="7"/>
  <c r="AP76" i="7"/>
  <c r="AA76" i="7"/>
  <c r="AQ76" i="7"/>
  <c r="AW76" i="7"/>
  <c r="N76" i="7"/>
  <c r="AC76" i="7"/>
  <c r="K76" i="7"/>
  <c r="U76" i="7"/>
  <c r="AR76" i="7"/>
  <c r="AM76" i="7"/>
  <c r="M76" i="7"/>
  <c r="AJ76" i="7"/>
  <c r="Y76" i="7"/>
  <c r="AB76" i="7"/>
  <c r="L76" i="7"/>
  <c r="AT76" i="7"/>
  <c r="T76" i="7"/>
  <c r="J76" i="7"/>
  <c r="AL76" i="7"/>
  <c r="I76" i="7"/>
  <c r="X76" i="7"/>
  <c r="AD76" i="7"/>
  <c r="AS76" i="7"/>
  <c r="AI76" i="7"/>
  <c r="V76" i="7"/>
  <c r="AK76" i="7"/>
  <c r="Q153" i="7"/>
  <c r="Y153" i="7"/>
  <c r="AG153" i="7"/>
  <c r="R153" i="7"/>
  <c r="Z153" i="7"/>
  <c r="AH153" i="7"/>
  <c r="I153" i="7"/>
  <c r="S153" i="7"/>
  <c r="AA153" i="7"/>
  <c r="AI153" i="7"/>
  <c r="T153" i="7"/>
  <c r="AB153" i="7"/>
  <c r="J153" i="7"/>
  <c r="AF153" i="7"/>
  <c r="U153" i="7"/>
  <c r="AC153" i="7"/>
  <c r="K153" i="7"/>
  <c r="V153" i="7"/>
  <c r="AD153" i="7"/>
  <c r="L153" i="7"/>
  <c r="P153" i="7"/>
  <c r="O153" i="7"/>
  <c r="W153" i="7"/>
  <c r="AE153" i="7"/>
  <c r="M153" i="7"/>
  <c r="X153" i="7"/>
  <c r="N153" i="7"/>
  <c r="T154" i="7"/>
  <c r="AB154" i="7"/>
  <c r="J154" i="7"/>
  <c r="I154" i="7"/>
  <c r="U154" i="7"/>
  <c r="AC154" i="7"/>
  <c r="K154" i="7"/>
  <c r="V154" i="7"/>
  <c r="AD154" i="7"/>
  <c r="L154" i="7"/>
  <c r="O154" i="7"/>
  <c r="W154" i="7"/>
  <c r="AE154" i="7"/>
  <c r="M154" i="7"/>
  <c r="P154" i="7"/>
  <c r="X154" i="7"/>
  <c r="AF154" i="7"/>
  <c r="N154" i="7"/>
  <c r="S154" i="7"/>
  <c r="Q154" i="7"/>
  <c r="Y154" i="7"/>
  <c r="AG154" i="7"/>
  <c r="AA154" i="7"/>
  <c r="R154" i="7"/>
  <c r="Z154" i="7"/>
  <c r="AH154" i="7"/>
  <c r="AI154" i="7"/>
  <c r="N118" i="7"/>
  <c r="V118" i="7"/>
  <c r="AD118" i="7"/>
  <c r="AL118" i="7"/>
  <c r="AT118" i="7"/>
  <c r="O118" i="7"/>
  <c r="W118" i="7"/>
  <c r="AE118" i="7"/>
  <c r="AM118" i="7"/>
  <c r="AU118" i="7"/>
  <c r="Q118" i="7"/>
  <c r="AA118" i="7"/>
  <c r="AK118" i="7"/>
  <c r="AW118" i="7"/>
  <c r="AH118" i="7"/>
  <c r="AI118" i="7"/>
  <c r="R118" i="7"/>
  <c r="AB118" i="7"/>
  <c r="AN118" i="7"/>
  <c r="AX118" i="7"/>
  <c r="K118" i="7"/>
  <c r="AQ118" i="7"/>
  <c r="I118" i="7"/>
  <c r="AR118" i="7"/>
  <c r="M118" i="7"/>
  <c r="AS118" i="7"/>
  <c r="S118" i="7"/>
  <c r="AC118" i="7"/>
  <c r="AO118" i="7"/>
  <c r="AY118" i="7"/>
  <c r="U118" i="7"/>
  <c r="L118" i="7"/>
  <c r="Y118" i="7"/>
  <c r="J118" i="7"/>
  <c r="T118" i="7"/>
  <c r="AF118" i="7"/>
  <c r="AP118" i="7"/>
  <c r="AG118" i="7"/>
  <c r="X118" i="7"/>
  <c r="AJ118" i="7"/>
  <c r="AV118" i="7"/>
  <c r="P118" i="7"/>
  <c r="Z118" i="7"/>
  <c r="J120" i="7"/>
  <c r="R120" i="7"/>
  <c r="Z120" i="7"/>
  <c r="AH120" i="7"/>
  <c r="AP120" i="7"/>
  <c r="AX120" i="7"/>
  <c r="K120" i="7"/>
  <c r="S120" i="7"/>
  <c r="AA120" i="7"/>
  <c r="AI120" i="7"/>
  <c r="AQ120" i="7"/>
  <c r="AY120" i="7"/>
  <c r="Q120" i="7"/>
  <c r="AC120" i="7"/>
  <c r="AM120" i="7"/>
  <c r="AW120" i="7"/>
  <c r="M120" i="7"/>
  <c r="N120" i="7"/>
  <c r="Y120" i="7"/>
  <c r="T120" i="7"/>
  <c r="AD120" i="7"/>
  <c r="AN120" i="7"/>
  <c r="AG120" i="7"/>
  <c r="X120" i="7"/>
  <c r="AU120" i="7"/>
  <c r="U120" i="7"/>
  <c r="AE120" i="7"/>
  <c r="AO120" i="7"/>
  <c r="I120" i="7"/>
  <c r="W120" i="7"/>
  <c r="AJ120" i="7"/>
  <c r="AK120" i="7"/>
  <c r="L120" i="7"/>
  <c r="V120" i="7"/>
  <c r="AF120" i="7"/>
  <c r="AR120" i="7"/>
  <c r="AS120" i="7"/>
  <c r="AT120" i="7"/>
  <c r="O120" i="7"/>
  <c r="AL120" i="7"/>
  <c r="P120" i="7"/>
  <c r="AB120" i="7"/>
  <c r="AV120" i="7"/>
  <c r="P121" i="7"/>
  <c r="X121" i="7"/>
  <c r="AF121" i="7"/>
  <c r="AN121" i="7"/>
  <c r="AV121" i="7"/>
  <c r="Q121" i="7"/>
  <c r="Y121" i="7"/>
  <c r="AG121" i="7"/>
  <c r="AO121" i="7"/>
  <c r="AW121" i="7"/>
  <c r="S121" i="7"/>
  <c r="AC121" i="7"/>
  <c r="AM121" i="7"/>
  <c r="AY121" i="7"/>
  <c r="W121" i="7"/>
  <c r="N121" i="7"/>
  <c r="AU121" i="7"/>
  <c r="J121" i="7"/>
  <c r="T121" i="7"/>
  <c r="AD121" i="7"/>
  <c r="AP121" i="7"/>
  <c r="I121" i="7"/>
  <c r="AI121" i="7"/>
  <c r="AJ121" i="7"/>
  <c r="O121" i="7"/>
  <c r="K121" i="7"/>
  <c r="U121" i="7"/>
  <c r="AE121" i="7"/>
  <c r="AQ121" i="7"/>
  <c r="M121" i="7"/>
  <c r="Z121" i="7"/>
  <c r="AK121" i="7"/>
  <c r="L121" i="7"/>
  <c r="V121" i="7"/>
  <c r="AH121" i="7"/>
  <c r="AR121" i="7"/>
  <c r="AS121" i="7"/>
  <c r="AT121" i="7"/>
  <c r="AA121" i="7"/>
  <c r="R121" i="7"/>
  <c r="AB121" i="7"/>
  <c r="AL121" i="7"/>
  <c r="AX121" i="7"/>
  <c r="F110" i="1"/>
  <c r="F113" i="1"/>
  <c r="F94" i="1"/>
  <c r="F97" i="1"/>
  <c r="F127" i="1"/>
  <c r="F130" i="1"/>
  <c r="M28" i="20"/>
  <c r="M27" i="20"/>
  <c r="AZ178" i="7"/>
  <c r="AT74" i="7"/>
  <c r="AT83" i="7"/>
  <c r="AT86" i="7"/>
  <c r="AT89" i="7"/>
  <c r="AT92" i="7"/>
  <c r="AT93" i="7"/>
  <c r="BL74" i="7"/>
  <c r="BL177" i="7"/>
  <c r="BL187" i="7"/>
  <c r="BL190" i="7"/>
  <c r="BL193" i="7"/>
  <c r="BK74" i="7"/>
  <c r="BK83" i="7"/>
  <c r="BK86" i="7"/>
  <c r="BK89" i="7"/>
  <c r="BK92" i="7"/>
  <c r="BK93" i="7"/>
  <c r="BK196" i="7"/>
  <c r="BK197" i="7"/>
  <c r="BK209" i="7"/>
  <c r="CB74" i="7"/>
  <c r="CB177" i="7"/>
  <c r="CB187" i="7"/>
  <c r="CB190" i="7"/>
  <c r="CB193" i="7"/>
  <c r="BM74" i="7"/>
  <c r="BM177" i="7"/>
  <c r="BM187" i="7"/>
  <c r="BM190" i="7"/>
  <c r="BM193" i="7"/>
  <c r="BZ74" i="7"/>
  <c r="BZ177" i="7"/>
  <c r="BZ187" i="7"/>
  <c r="BZ190" i="7"/>
  <c r="BZ193" i="7"/>
  <c r="BS74" i="7"/>
  <c r="BS177" i="7"/>
  <c r="BS187" i="7"/>
  <c r="BS190" i="7"/>
  <c r="BS193" i="7"/>
  <c r="BR74" i="7"/>
  <c r="BR83" i="7"/>
  <c r="BR86" i="7"/>
  <c r="BR89" i="7"/>
  <c r="BR92" i="7"/>
  <c r="BR93" i="7"/>
  <c r="BR196" i="7"/>
  <c r="BR197" i="7"/>
  <c r="BR209" i="7"/>
  <c r="BE74" i="7"/>
  <c r="BE177" i="7"/>
  <c r="BE187" i="7"/>
  <c r="BE190" i="7"/>
  <c r="BE193" i="7"/>
  <c r="BN74" i="7"/>
  <c r="BN83" i="7"/>
  <c r="BN86" i="7"/>
  <c r="BN89" i="7"/>
  <c r="BN92" i="7"/>
  <c r="BN93" i="7"/>
  <c r="BN196" i="7"/>
  <c r="BN197" i="7"/>
  <c r="BN209" i="7"/>
  <c r="AZ74" i="7"/>
  <c r="AZ83" i="7"/>
  <c r="AZ86" i="7"/>
  <c r="AZ89" i="7"/>
  <c r="AZ92" i="7"/>
  <c r="AZ93" i="7"/>
  <c r="AZ196" i="7"/>
  <c r="AZ197" i="7"/>
  <c r="AZ209" i="7"/>
  <c r="AX74" i="7"/>
  <c r="AX83" i="7"/>
  <c r="AX86" i="7"/>
  <c r="AX89" i="7"/>
  <c r="AX92" i="7"/>
  <c r="AX93" i="7"/>
  <c r="BT74" i="7"/>
  <c r="BT83" i="7"/>
  <c r="BT86" i="7"/>
  <c r="BT89" i="7"/>
  <c r="BT92" i="7"/>
  <c r="BT93" i="7"/>
  <c r="BT196" i="7"/>
  <c r="BT197" i="7"/>
  <c r="BT209" i="7"/>
  <c r="AY74" i="7"/>
  <c r="AY83" i="7"/>
  <c r="AY86" i="7"/>
  <c r="AY89" i="7"/>
  <c r="AY92" i="7"/>
  <c r="AY93" i="7"/>
  <c r="BP74" i="7"/>
  <c r="BP177" i="7"/>
  <c r="BP187" i="7"/>
  <c r="BP190" i="7"/>
  <c r="BP193" i="7"/>
  <c r="BQ74" i="7"/>
  <c r="BQ177" i="7"/>
  <c r="BQ187" i="7"/>
  <c r="BQ190" i="7"/>
  <c r="BQ193" i="7"/>
  <c r="BB74" i="7"/>
  <c r="BB177" i="7"/>
  <c r="BB187" i="7"/>
  <c r="BB190" i="7"/>
  <c r="BB193" i="7"/>
  <c r="BH74" i="7"/>
  <c r="BH83" i="7"/>
  <c r="BH86" i="7"/>
  <c r="BH89" i="7"/>
  <c r="BH92" i="7"/>
  <c r="BH93" i="7"/>
  <c r="BH196" i="7"/>
  <c r="BH197" i="7"/>
  <c r="BH209" i="7"/>
  <c r="BX74" i="7"/>
  <c r="BX177" i="7"/>
  <c r="BX187" i="7"/>
  <c r="BX190" i="7"/>
  <c r="BX193" i="7"/>
  <c r="BW74" i="7"/>
  <c r="BW177" i="7"/>
  <c r="BW187" i="7"/>
  <c r="BW190" i="7"/>
  <c r="BW193" i="7"/>
  <c r="BJ74" i="7"/>
  <c r="BJ83" i="7"/>
  <c r="BJ86" i="7"/>
  <c r="BJ89" i="7"/>
  <c r="BJ92" i="7"/>
  <c r="BJ93" i="7"/>
  <c r="BJ196" i="7"/>
  <c r="BJ197" i="7"/>
  <c r="BJ209" i="7"/>
  <c r="BC74" i="7"/>
  <c r="BC177" i="7"/>
  <c r="BC187" i="7"/>
  <c r="BC190" i="7"/>
  <c r="BC193" i="7"/>
  <c r="BO74" i="7"/>
  <c r="BO83" i="7"/>
  <c r="BO86" i="7"/>
  <c r="BO89" i="7"/>
  <c r="BO92" i="7"/>
  <c r="BO93" i="7"/>
  <c r="BO196" i="7"/>
  <c r="BO197" i="7"/>
  <c r="BO209" i="7"/>
  <c r="BI74" i="7"/>
  <c r="BI83" i="7"/>
  <c r="BI86" i="7"/>
  <c r="BI89" i="7"/>
  <c r="BI92" i="7"/>
  <c r="BI93" i="7"/>
  <c r="BI196" i="7"/>
  <c r="BI197" i="7"/>
  <c r="BI209" i="7"/>
  <c r="BA74" i="7"/>
  <c r="BA83" i="7"/>
  <c r="BA86" i="7"/>
  <c r="BA89" i="7"/>
  <c r="BA92" i="7"/>
  <c r="BA93" i="7"/>
  <c r="BA196" i="7"/>
  <c r="BA197" i="7"/>
  <c r="BA209" i="7"/>
  <c r="BU74" i="7"/>
  <c r="BU177" i="7"/>
  <c r="BU187" i="7"/>
  <c r="BU190" i="7"/>
  <c r="BU193" i="7"/>
  <c r="BY74" i="7"/>
  <c r="BY177" i="7"/>
  <c r="BY187" i="7"/>
  <c r="BY190" i="7"/>
  <c r="BY193" i="7"/>
  <c r="CA74" i="7"/>
  <c r="CA177" i="7"/>
  <c r="CA187" i="7"/>
  <c r="CA190" i="7"/>
  <c r="CA193" i="7"/>
  <c r="BD74" i="7"/>
  <c r="BD177" i="7"/>
  <c r="BD187" i="7"/>
  <c r="BD190" i="7"/>
  <c r="BD193" i="7"/>
  <c r="BV74" i="7"/>
  <c r="BV177" i="7"/>
  <c r="BV187" i="7"/>
  <c r="BV190" i="7"/>
  <c r="BV193" i="7"/>
  <c r="BF74" i="7"/>
  <c r="BF83" i="7"/>
  <c r="BF86" i="7"/>
  <c r="BF89" i="7"/>
  <c r="BF92" i="7"/>
  <c r="BF93" i="7"/>
  <c r="BF196" i="7"/>
  <c r="BF197" i="7"/>
  <c r="BF209" i="7"/>
  <c r="D80" i="7"/>
  <c r="BG177" i="7"/>
  <c r="BG187" i="7"/>
  <c r="BG190" i="7"/>
  <c r="BG193" i="7"/>
  <c r="BG83" i="7"/>
  <c r="BG86" i="7"/>
  <c r="BG89" i="7"/>
  <c r="BG92" i="7"/>
  <c r="BG93" i="7"/>
  <c r="BG196" i="7"/>
  <c r="BG197" i="7"/>
  <c r="BG209" i="7"/>
  <c r="BH177" i="7"/>
  <c r="BH187" i="7"/>
  <c r="BH190" i="7"/>
  <c r="BH193" i="7"/>
  <c r="AZ179" i="7"/>
  <c r="BL83" i="7"/>
  <c r="BL86" i="7"/>
  <c r="BL89" i="7"/>
  <c r="BL92" i="7"/>
  <c r="BL93" i="7"/>
  <c r="BL196" i="7"/>
  <c r="BL197" i="7"/>
  <c r="BL209" i="7"/>
  <c r="D82" i="7"/>
  <c r="D78" i="7"/>
  <c r="D77" i="7"/>
  <c r="D81" i="7"/>
  <c r="D76" i="7"/>
  <c r="D79" i="7"/>
  <c r="D75" i="7"/>
  <c r="AI74" i="7"/>
  <c r="AD74" i="7"/>
  <c r="S74" i="7"/>
  <c r="AM74" i="7"/>
  <c r="J74" i="7"/>
  <c r="AV74" i="7"/>
  <c r="AU74" i="7"/>
  <c r="L74" i="7"/>
  <c r="AJ74" i="7"/>
  <c r="V74" i="7"/>
  <c r="R74" i="7"/>
  <c r="AH74" i="7"/>
  <c r="AG74" i="7"/>
  <c r="M74" i="7"/>
  <c r="I74" i="7"/>
  <c r="W74" i="7"/>
  <c r="Q74" i="7"/>
  <c r="AW74" i="7"/>
  <c r="AF74" i="7"/>
  <c r="AR74" i="7"/>
  <c r="Z74" i="7"/>
  <c r="AA74" i="7"/>
  <c r="T74" i="7"/>
  <c r="AW113" i="7"/>
  <c r="AC74" i="7"/>
  <c r="AK74" i="7"/>
  <c r="U74" i="7"/>
  <c r="AL74" i="7"/>
  <c r="AO74" i="7"/>
  <c r="AB74" i="7"/>
  <c r="N74" i="7"/>
  <c r="AE74" i="7"/>
  <c r="K74" i="7"/>
  <c r="Y74" i="7"/>
  <c r="O74" i="7"/>
  <c r="AP74" i="7"/>
  <c r="X74" i="7"/>
  <c r="AN74" i="7"/>
  <c r="AS74" i="7"/>
  <c r="AQ74" i="7"/>
  <c r="P74" i="7"/>
  <c r="AH113" i="7"/>
  <c r="W113" i="7"/>
  <c r="AL113" i="7"/>
  <c r="AJ113" i="7"/>
  <c r="AS113" i="7"/>
  <c r="Z113" i="7"/>
  <c r="AR113" i="7"/>
  <c r="T113" i="7"/>
  <c r="O113" i="7"/>
  <c r="AE113" i="7"/>
  <c r="AF113" i="7"/>
  <c r="AU113" i="7"/>
  <c r="L113" i="7"/>
  <c r="AY113" i="7"/>
  <c r="AB113" i="7"/>
  <c r="I113" i="7"/>
  <c r="AK113" i="7"/>
  <c r="S113" i="7"/>
  <c r="AD113" i="7"/>
  <c r="M113" i="7"/>
  <c r="K113" i="7"/>
  <c r="N113" i="7"/>
  <c r="AX113" i="7"/>
  <c r="V113" i="7"/>
  <c r="AG113" i="7"/>
  <c r="Q113" i="7"/>
  <c r="AI113" i="7"/>
  <c r="AQ113" i="7"/>
  <c r="AO113" i="7"/>
  <c r="AT113" i="7"/>
  <c r="R113" i="7"/>
  <c r="AN113" i="7"/>
  <c r="J113" i="7"/>
  <c r="P113" i="7"/>
  <c r="AC113" i="7"/>
  <c r="AP113" i="7"/>
  <c r="AA113" i="7"/>
  <c r="X113" i="7"/>
  <c r="AM113" i="7"/>
  <c r="Y113" i="7"/>
  <c r="AV113" i="7"/>
  <c r="AC152" i="7"/>
  <c r="AH152" i="7"/>
  <c r="Q152" i="7"/>
  <c r="W152" i="7"/>
  <c r="AA152" i="7"/>
  <c r="AG152" i="7"/>
  <c r="M152" i="7"/>
  <c r="S152" i="7"/>
  <c r="Y152" i="7"/>
  <c r="AE152" i="7"/>
  <c r="O152" i="7"/>
  <c r="I152" i="7"/>
  <c r="J152" i="7"/>
  <c r="Z152" i="7"/>
  <c r="N152" i="7"/>
  <c r="L152" i="7"/>
  <c r="AB152" i="7"/>
  <c r="R152" i="7"/>
  <c r="AF152" i="7"/>
  <c r="AD152" i="7"/>
  <c r="T152" i="7"/>
  <c r="K152" i="7"/>
  <c r="X152" i="7"/>
  <c r="V152" i="7"/>
  <c r="AI152" i="7"/>
  <c r="U152" i="7"/>
  <c r="P152" i="7"/>
  <c r="AY152" i="7"/>
  <c r="AO152" i="7"/>
  <c r="AV152" i="7"/>
  <c r="AN152" i="7"/>
  <c r="AK152" i="7"/>
  <c r="AZ152" i="7"/>
  <c r="AR152" i="7"/>
  <c r="AJ152" i="7"/>
  <c r="AS152" i="7"/>
  <c r="AU152" i="7"/>
  <c r="AQ152" i="7"/>
  <c r="AM152" i="7"/>
  <c r="AX152" i="7"/>
  <c r="AT152" i="7"/>
  <c r="AP152" i="7"/>
  <c r="AL152" i="7"/>
  <c r="D153" i="7"/>
  <c r="D154" i="7"/>
  <c r="D114" i="7"/>
  <c r="D118" i="7"/>
  <c r="D121" i="7"/>
  <c r="D120" i="7"/>
  <c r="D116" i="7"/>
  <c r="D117" i="7"/>
  <c r="D115" i="7"/>
  <c r="E97" i="1"/>
  <c r="F99" i="1"/>
  <c r="C66" i="7"/>
  <c r="C69" i="7"/>
  <c r="E113" i="1"/>
  <c r="F115" i="1"/>
  <c r="C106" i="7"/>
  <c r="E6" i="20"/>
  <c r="J25" i="20"/>
  <c r="BK177" i="7"/>
  <c r="BK187" i="7"/>
  <c r="BK190" i="7"/>
  <c r="BK193" i="7"/>
  <c r="AZ177" i="7"/>
  <c r="BA177" i="7"/>
  <c r="BA187" i="7"/>
  <c r="BA190" i="7"/>
  <c r="BA193" i="7"/>
  <c r="BN177" i="7"/>
  <c r="BN187" i="7"/>
  <c r="BN190" i="7"/>
  <c r="BN193" i="7"/>
  <c r="BB83" i="7"/>
  <c r="BB86" i="7"/>
  <c r="BB89" i="7"/>
  <c r="BB92" i="7"/>
  <c r="BB93" i="7"/>
  <c r="BB196" i="7"/>
  <c r="BB197" i="7"/>
  <c r="BB209" i="7"/>
  <c r="BW83" i="7"/>
  <c r="BW86" i="7"/>
  <c r="BW89" i="7"/>
  <c r="BW92" i="7"/>
  <c r="BW93" i="7"/>
  <c r="BW196" i="7"/>
  <c r="BW197" i="7"/>
  <c r="BW209" i="7"/>
  <c r="BE83" i="7"/>
  <c r="BE86" i="7"/>
  <c r="BE89" i="7"/>
  <c r="BE92" i="7"/>
  <c r="BE93" i="7"/>
  <c r="BE196" i="7"/>
  <c r="BE197" i="7"/>
  <c r="BE209" i="7"/>
  <c r="BY83" i="7"/>
  <c r="BY86" i="7"/>
  <c r="BY89" i="7"/>
  <c r="BY92" i="7"/>
  <c r="BY93" i="7"/>
  <c r="BY196" i="7"/>
  <c r="BY197" i="7"/>
  <c r="BY209" i="7"/>
  <c r="BX83" i="7"/>
  <c r="BX86" i="7"/>
  <c r="BX89" i="7"/>
  <c r="BX92" i="7"/>
  <c r="BX93" i="7"/>
  <c r="BX196" i="7"/>
  <c r="BX197" i="7"/>
  <c r="BX209" i="7"/>
  <c r="BM83" i="7"/>
  <c r="BM86" i="7"/>
  <c r="BM89" i="7"/>
  <c r="BM92" i="7"/>
  <c r="BM93" i="7"/>
  <c r="BM196" i="7"/>
  <c r="BM197" i="7"/>
  <c r="BM209" i="7"/>
  <c r="CA83" i="7"/>
  <c r="CA86" i="7"/>
  <c r="CA89" i="7"/>
  <c r="CA92" i="7"/>
  <c r="CA93" i="7"/>
  <c r="CA196" i="7"/>
  <c r="CA197" i="7"/>
  <c r="CA209" i="7"/>
  <c r="BF177" i="7"/>
  <c r="BF187" i="7"/>
  <c r="BF190" i="7"/>
  <c r="BF193" i="7"/>
  <c r="BS83" i="7"/>
  <c r="BS86" i="7"/>
  <c r="BS89" i="7"/>
  <c r="BS92" i="7"/>
  <c r="BS93" i="7"/>
  <c r="BS196" i="7"/>
  <c r="BS197" i="7"/>
  <c r="BS209" i="7"/>
  <c r="BP83" i="7"/>
  <c r="BP86" i="7"/>
  <c r="BP89" i="7"/>
  <c r="BP92" i="7"/>
  <c r="BP93" i="7"/>
  <c r="BP196" i="7"/>
  <c r="BP197" i="7"/>
  <c r="BP209" i="7"/>
  <c r="BO177" i="7"/>
  <c r="BO187" i="7"/>
  <c r="BO190" i="7"/>
  <c r="BO193" i="7"/>
  <c r="BV83" i="7"/>
  <c r="BV86" i="7"/>
  <c r="BV89" i="7"/>
  <c r="BV92" i="7"/>
  <c r="BV93" i="7"/>
  <c r="BV196" i="7"/>
  <c r="BV197" i="7"/>
  <c r="BV209" i="7"/>
  <c r="CB83" i="7"/>
  <c r="CB86" i="7"/>
  <c r="CB89" i="7"/>
  <c r="CB92" i="7"/>
  <c r="CB93" i="7"/>
  <c r="CB196" i="7"/>
  <c r="CB197" i="7"/>
  <c r="CB209" i="7"/>
  <c r="BD83" i="7"/>
  <c r="BD86" i="7"/>
  <c r="BD89" i="7"/>
  <c r="BD92" i="7"/>
  <c r="BD93" i="7"/>
  <c r="BD196" i="7"/>
  <c r="BD197" i="7"/>
  <c r="BD209" i="7"/>
  <c r="BU83" i="7"/>
  <c r="BU86" i="7"/>
  <c r="BU89" i="7"/>
  <c r="BU92" i="7"/>
  <c r="BU93" i="7"/>
  <c r="BU196" i="7"/>
  <c r="BU197" i="7"/>
  <c r="BU209" i="7"/>
  <c r="BC83" i="7"/>
  <c r="BC86" i="7"/>
  <c r="BC89" i="7"/>
  <c r="BC92" i="7"/>
  <c r="BC93" i="7"/>
  <c r="BC196" i="7"/>
  <c r="BC197" i="7"/>
  <c r="BC209" i="7"/>
  <c r="BR177" i="7"/>
  <c r="BR187" i="7"/>
  <c r="BR190" i="7"/>
  <c r="BR193" i="7"/>
  <c r="BZ83" i="7"/>
  <c r="BZ86" i="7"/>
  <c r="BZ89" i="7"/>
  <c r="BZ92" i="7"/>
  <c r="BZ93" i="7"/>
  <c r="BZ196" i="7"/>
  <c r="BZ197" i="7"/>
  <c r="BZ209" i="7"/>
  <c r="BJ177" i="7"/>
  <c r="BJ187" i="7"/>
  <c r="BJ190" i="7"/>
  <c r="BJ193" i="7"/>
  <c r="BT177" i="7"/>
  <c r="BT187" i="7"/>
  <c r="BT190" i="7"/>
  <c r="BT193" i="7"/>
  <c r="BQ83" i="7"/>
  <c r="BQ86" i="7"/>
  <c r="BQ89" i="7"/>
  <c r="BQ92" i="7"/>
  <c r="BQ93" i="7"/>
  <c r="BQ196" i="7"/>
  <c r="BQ197" i="7"/>
  <c r="BQ209" i="7"/>
  <c r="BI177" i="7"/>
  <c r="BI187" i="7"/>
  <c r="BI190" i="7"/>
  <c r="BI193" i="7"/>
  <c r="I83" i="7"/>
  <c r="D74" i="7"/>
  <c r="M83" i="7"/>
  <c r="M86" i="7"/>
  <c r="M89" i="7"/>
  <c r="M92" i="7"/>
  <c r="AO83" i="7"/>
  <c r="AO86" i="7"/>
  <c r="AO89" i="7"/>
  <c r="AO92" i="7"/>
  <c r="AO93" i="7"/>
  <c r="AG83" i="7"/>
  <c r="AG86" i="7"/>
  <c r="AG89" i="7"/>
  <c r="AG92" i="7"/>
  <c r="AR83" i="7"/>
  <c r="AR86" i="7"/>
  <c r="AR89" i="7"/>
  <c r="AR92" i="7"/>
  <c r="AR93" i="7"/>
  <c r="O83" i="7"/>
  <c r="O86" i="7"/>
  <c r="O89" i="7"/>
  <c r="O92" i="7"/>
  <c r="U83" i="7"/>
  <c r="U86" i="7"/>
  <c r="U89" i="7"/>
  <c r="U92" i="7"/>
  <c r="AF83" i="7"/>
  <c r="AF86" i="7"/>
  <c r="AF89" i="7"/>
  <c r="AF92" i="7"/>
  <c r="S83" i="7"/>
  <c r="S86" i="7"/>
  <c r="S89" i="7"/>
  <c r="S92" i="7"/>
  <c r="Y83" i="7"/>
  <c r="Y86" i="7"/>
  <c r="Y89" i="7"/>
  <c r="Y92" i="7"/>
  <c r="AK83" i="7"/>
  <c r="AK86" i="7"/>
  <c r="AK89" i="7"/>
  <c r="AK92" i="7"/>
  <c r="AK93" i="7"/>
  <c r="AW83" i="7"/>
  <c r="AW86" i="7"/>
  <c r="AW89" i="7"/>
  <c r="AW92" i="7"/>
  <c r="AW93" i="7"/>
  <c r="V83" i="7"/>
  <c r="V86" i="7"/>
  <c r="V89" i="7"/>
  <c r="V92" i="7"/>
  <c r="AD83" i="7"/>
  <c r="AD86" i="7"/>
  <c r="AD89" i="7"/>
  <c r="AD92" i="7"/>
  <c r="P83" i="7"/>
  <c r="P86" i="7"/>
  <c r="P89" i="7"/>
  <c r="P92" i="7"/>
  <c r="K83" i="7"/>
  <c r="K86" i="7"/>
  <c r="K89" i="7"/>
  <c r="K92" i="7"/>
  <c r="AC83" i="7"/>
  <c r="AC86" i="7"/>
  <c r="AC89" i="7"/>
  <c r="AC92" i="7"/>
  <c r="Q83" i="7"/>
  <c r="Q86" i="7"/>
  <c r="Q89" i="7"/>
  <c r="Q92" i="7"/>
  <c r="AJ83" i="7"/>
  <c r="AJ86" i="7"/>
  <c r="AJ89" i="7"/>
  <c r="AJ92" i="7"/>
  <c r="AJ93" i="7"/>
  <c r="AI83" i="7"/>
  <c r="AI86" i="7"/>
  <c r="AI89" i="7"/>
  <c r="AI92" i="7"/>
  <c r="AN83" i="7"/>
  <c r="AN86" i="7"/>
  <c r="AN89" i="7"/>
  <c r="AN92" i="7"/>
  <c r="AN93" i="7"/>
  <c r="AA83" i="7"/>
  <c r="AA86" i="7"/>
  <c r="AA89" i="7"/>
  <c r="AA92" i="7"/>
  <c r="J83" i="7"/>
  <c r="J86" i="7"/>
  <c r="J89" i="7"/>
  <c r="J92" i="7"/>
  <c r="AP83" i="7"/>
  <c r="AP86" i="7"/>
  <c r="AP89" i="7"/>
  <c r="AP92" i="7"/>
  <c r="AP93" i="7"/>
  <c r="AH83" i="7"/>
  <c r="AH86" i="7"/>
  <c r="AH89" i="7"/>
  <c r="AH92" i="7"/>
  <c r="AQ83" i="7"/>
  <c r="AQ86" i="7"/>
  <c r="AQ89" i="7"/>
  <c r="AQ92" i="7"/>
  <c r="AQ93" i="7"/>
  <c r="AB83" i="7"/>
  <c r="AB86" i="7"/>
  <c r="AB89" i="7"/>
  <c r="AB92" i="7"/>
  <c r="AV83" i="7"/>
  <c r="AV86" i="7"/>
  <c r="AV89" i="7"/>
  <c r="AV92" i="7"/>
  <c r="AV93" i="7"/>
  <c r="X83" i="7"/>
  <c r="X86" i="7"/>
  <c r="X89" i="7"/>
  <c r="X92" i="7"/>
  <c r="Z83" i="7"/>
  <c r="Z86" i="7"/>
  <c r="Z89" i="7"/>
  <c r="Z92" i="7"/>
  <c r="AL83" i="7"/>
  <c r="AL86" i="7"/>
  <c r="AL89" i="7"/>
  <c r="AL92" i="7"/>
  <c r="AL93" i="7"/>
  <c r="AM83" i="7"/>
  <c r="AM86" i="7"/>
  <c r="AM89" i="7"/>
  <c r="AM92" i="7"/>
  <c r="AM93" i="7"/>
  <c r="R83" i="7"/>
  <c r="R86" i="7"/>
  <c r="R89" i="7"/>
  <c r="R92" i="7"/>
  <c r="AE83" i="7"/>
  <c r="AE86" i="7"/>
  <c r="AE89" i="7"/>
  <c r="AE92" i="7"/>
  <c r="W83" i="7"/>
  <c r="W86" i="7"/>
  <c r="W89" i="7"/>
  <c r="W92" i="7"/>
  <c r="L83" i="7"/>
  <c r="L86" i="7"/>
  <c r="L89" i="7"/>
  <c r="L92" i="7"/>
  <c r="AS83" i="7"/>
  <c r="AS86" i="7"/>
  <c r="AS89" i="7"/>
  <c r="AS92" i="7"/>
  <c r="AS93" i="7"/>
  <c r="N83" i="7"/>
  <c r="N86" i="7"/>
  <c r="N89" i="7"/>
  <c r="N92" i="7"/>
  <c r="T83" i="7"/>
  <c r="T86" i="7"/>
  <c r="T89" i="7"/>
  <c r="T92" i="7"/>
  <c r="AU83" i="7"/>
  <c r="AU86" i="7"/>
  <c r="AU89" i="7"/>
  <c r="AU92" i="7"/>
  <c r="AU93" i="7"/>
  <c r="D113" i="7"/>
  <c r="D152" i="7"/>
  <c r="L119" i="7"/>
  <c r="T119" i="7"/>
  <c r="AB119" i="7"/>
  <c r="AJ119" i="7"/>
  <c r="AR119" i="7"/>
  <c r="C109" i="7"/>
  <c r="M119" i="7"/>
  <c r="U119" i="7"/>
  <c r="AC119" i="7"/>
  <c r="AK119" i="7"/>
  <c r="AS119" i="7"/>
  <c r="Q119" i="7"/>
  <c r="AA119" i="7"/>
  <c r="AM119" i="7"/>
  <c r="AW119" i="7"/>
  <c r="Y119" i="7"/>
  <c r="R119" i="7"/>
  <c r="AD119" i="7"/>
  <c r="AN119" i="7"/>
  <c r="AX119" i="7"/>
  <c r="AG119" i="7"/>
  <c r="X119" i="7"/>
  <c r="AU119" i="7"/>
  <c r="S119" i="7"/>
  <c r="AE119" i="7"/>
  <c r="AO119" i="7"/>
  <c r="AY119" i="7"/>
  <c r="W119" i="7"/>
  <c r="N119" i="7"/>
  <c r="AH119" i="7"/>
  <c r="AI119" i="7"/>
  <c r="J119" i="7"/>
  <c r="V119" i="7"/>
  <c r="AF119" i="7"/>
  <c r="AP119" i="7"/>
  <c r="I119" i="7"/>
  <c r="K119" i="7"/>
  <c r="AQ119" i="7"/>
  <c r="AT119" i="7"/>
  <c r="O119" i="7"/>
  <c r="P119" i="7"/>
  <c r="Z119" i="7"/>
  <c r="AV119" i="7"/>
  <c r="AL119" i="7"/>
  <c r="I86" i="7"/>
  <c r="D86" i="7"/>
  <c r="D83" i="7"/>
  <c r="AJ122" i="7"/>
  <c r="AJ125" i="7"/>
  <c r="AV122" i="7"/>
  <c r="AV125" i="7"/>
  <c r="AY122" i="7"/>
  <c r="AY125" i="7"/>
  <c r="AN122" i="7"/>
  <c r="AN125" i="7"/>
  <c r="AO122" i="7"/>
  <c r="AO125" i="7"/>
  <c r="AK122" i="7"/>
  <c r="AK125" i="7"/>
  <c r="AX122" i="7"/>
  <c r="AX125" i="7"/>
  <c r="AP122" i="7"/>
  <c r="AP125" i="7"/>
  <c r="AR122" i="7"/>
  <c r="AR125" i="7"/>
  <c r="AS122" i="7"/>
  <c r="AS125" i="7"/>
  <c r="AT122" i="7"/>
  <c r="AT125" i="7"/>
  <c r="AU122" i="7"/>
  <c r="AW122" i="7"/>
  <c r="AW125" i="7"/>
  <c r="AQ122" i="7"/>
  <c r="AQ125" i="7"/>
  <c r="AM122" i="7"/>
  <c r="AM125" i="7"/>
  <c r="AL122" i="7"/>
  <c r="AL125" i="7"/>
  <c r="D119" i="7"/>
  <c r="D122" i="7"/>
  <c r="G40" i="2"/>
  <c r="AH122" i="7"/>
  <c r="AH125" i="7"/>
  <c r="N122" i="7"/>
  <c r="N125" i="7"/>
  <c r="AG122" i="7"/>
  <c r="AG125" i="7"/>
  <c r="AA122" i="7"/>
  <c r="AA125" i="7"/>
  <c r="I122" i="7"/>
  <c r="I125" i="7"/>
  <c r="Q122" i="7"/>
  <c r="Q125" i="7"/>
  <c r="AB122" i="7"/>
  <c r="AB125" i="7"/>
  <c r="X122" i="7"/>
  <c r="X125" i="7"/>
  <c r="K122" i="7"/>
  <c r="K125" i="7"/>
  <c r="T122" i="7"/>
  <c r="T125" i="7"/>
  <c r="W122" i="7"/>
  <c r="W125" i="7"/>
  <c r="Z122" i="7"/>
  <c r="Z125" i="7"/>
  <c r="AF122" i="7"/>
  <c r="AF125" i="7"/>
  <c r="AD122" i="7"/>
  <c r="AD125" i="7"/>
  <c r="P122" i="7"/>
  <c r="P125" i="7"/>
  <c r="V122" i="7"/>
  <c r="V125" i="7"/>
  <c r="AE122" i="7"/>
  <c r="AE125" i="7"/>
  <c r="R122" i="7"/>
  <c r="R125" i="7"/>
  <c r="AC122" i="7"/>
  <c r="AC125" i="7"/>
  <c r="L122" i="7"/>
  <c r="L125" i="7"/>
  <c r="O122" i="7"/>
  <c r="O125" i="7"/>
  <c r="S122" i="7"/>
  <c r="S125" i="7"/>
  <c r="Y122" i="7"/>
  <c r="Y125" i="7"/>
  <c r="U122" i="7"/>
  <c r="U125" i="7"/>
  <c r="AI122" i="7"/>
  <c r="AI125" i="7"/>
  <c r="M122" i="7"/>
  <c r="M125" i="7"/>
  <c r="J122" i="7"/>
  <c r="J125" i="7"/>
  <c r="K25" i="20"/>
  <c r="K31" i="20"/>
  <c r="AU125" i="7"/>
  <c r="AU128" i="7"/>
  <c r="AU131" i="7"/>
  <c r="AU132" i="7"/>
  <c r="AX128" i="7"/>
  <c r="AX131" i="7"/>
  <c r="AX132" i="7"/>
  <c r="AW128" i="7"/>
  <c r="AW131" i="7"/>
  <c r="AW132" i="7"/>
  <c r="AR128" i="7"/>
  <c r="AR131" i="7"/>
  <c r="AR132" i="7"/>
  <c r="AY128" i="7"/>
  <c r="AY131" i="7"/>
  <c r="AY132" i="7"/>
  <c r="AJ128" i="7"/>
  <c r="AJ131" i="7"/>
  <c r="AJ132" i="7"/>
  <c r="AV128" i="7"/>
  <c r="AV131" i="7"/>
  <c r="AV132" i="7"/>
  <c r="AQ128" i="7"/>
  <c r="AQ131" i="7"/>
  <c r="AQ132" i="7"/>
  <c r="AS128" i="7"/>
  <c r="AS131" i="7"/>
  <c r="AS132" i="7"/>
  <c r="AK128" i="7"/>
  <c r="AK131" i="7"/>
  <c r="AK132" i="7"/>
  <c r="AP128" i="7"/>
  <c r="AP131" i="7"/>
  <c r="AP132" i="7"/>
  <c r="AO128" i="7"/>
  <c r="AO131" i="7"/>
  <c r="AO132" i="7"/>
  <c r="AT128" i="7"/>
  <c r="AT131" i="7"/>
  <c r="AT132" i="7"/>
  <c r="J658" i="22"/>
  <c r="J645" i="22"/>
  <c r="J634" i="22"/>
  <c r="J633" i="22"/>
  <c r="J439" i="22"/>
  <c r="J432" i="22"/>
  <c r="J422" i="22"/>
  <c r="AP409" i="22"/>
  <c r="AO409" i="22"/>
  <c r="AN409" i="22"/>
  <c r="AM409" i="22"/>
  <c r="AL409" i="22"/>
  <c r="AK409" i="22"/>
  <c r="AJ409" i="22"/>
  <c r="AI409" i="22"/>
  <c r="AH409" i="22"/>
  <c r="AG409" i="22"/>
  <c r="AF409" i="22"/>
  <c r="AE409" i="22"/>
  <c r="AD409" i="22"/>
  <c r="AC409" i="22"/>
  <c r="AB409" i="22"/>
  <c r="AA409" i="22"/>
  <c r="Z409" i="22"/>
  <c r="Y409" i="22"/>
  <c r="X409" i="22"/>
  <c r="W409" i="22"/>
  <c r="V409" i="22"/>
  <c r="U409" i="22"/>
  <c r="T409" i="22"/>
  <c r="S409" i="22"/>
  <c r="R409" i="22"/>
  <c r="Q409" i="22"/>
  <c r="P409" i="22"/>
  <c r="O409" i="22"/>
  <c r="N409" i="22"/>
  <c r="I61" i="1"/>
  <c r="J25" i="22"/>
  <c r="F83" i="48"/>
  <c r="G83" i="48"/>
  <c r="F100" i="48"/>
  <c r="F109" i="48"/>
  <c r="F225" i="48"/>
  <c r="F230" i="48"/>
  <c r="AF128" i="7"/>
  <c r="AF131" i="7"/>
  <c r="AF132" i="7"/>
  <c r="AE128" i="7"/>
  <c r="AE131" i="7"/>
  <c r="AE132" i="7"/>
  <c r="AM128" i="7"/>
  <c r="AM131" i="7"/>
  <c r="AM132" i="7"/>
  <c r="AL128" i="7"/>
  <c r="AL131" i="7"/>
  <c r="AL132" i="7"/>
  <c r="AN128" i="7"/>
  <c r="AN131" i="7"/>
  <c r="AN132" i="7"/>
  <c r="L167" i="41"/>
  <c r="T167" i="41"/>
  <c r="AB167" i="41"/>
  <c r="AJ167" i="41"/>
  <c r="AR167" i="41"/>
  <c r="AG167" i="41"/>
  <c r="J167" i="41"/>
  <c r="AP167" i="41"/>
  <c r="K167" i="41"/>
  <c r="M167" i="41"/>
  <c r="U167" i="41"/>
  <c r="AC167" i="41"/>
  <c r="AK167" i="41"/>
  <c r="AS167" i="41"/>
  <c r="Y167" i="41"/>
  <c r="AO167" i="41"/>
  <c r="R167" i="41"/>
  <c r="AQ167" i="41"/>
  <c r="N167" i="41"/>
  <c r="V167" i="41"/>
  <c r="AD167" i="41"/>
  <c r="AL167" i="41"/>
  <c r="AT167" i="41"/>
  <c r="S167" i="41"/>
  <c r="O167" i="41"/>
  <c r="W167" i="41"/>
  <c r="AE167" i="41"/>
  <c r="AM167" i="41"/>
  <c r="AU167" i="41"/>
  <c r="I167" i="41"/>
  <c r="AW167" i="41"/>
  <c r="AW168" i="41"/>
  <c r="AW175" i="41"/>
  <c r="AH167" i="41"/>
  <c r="H167" i="41"/>
  <c r="AI167" i="41"/>
  <c r="P167" i="41"/>
  <c r="X167" i="41"/>
  <c r="AF167" i="41"/>
  <c r="AN167" i="41"/>
  <c r="AV167" i="41"/>
  <c r="Q167" i="41"/>
  <c r="Z167" i="41"/>
  <c r="AA167" i="41"/>
  <c r="M150" i="22"/>
  <c r="J546" i="22"/>
  <c r="H83" i="48"/>
  <c r="G100" i="48"/>
  <c r="G109" i="48"/>
  <c r="G225" i="48"/>
  <c r="G230" i="48"/>
  <c r="AG128" i="7"/>
  <c r="AG131" i="7"/>
  <c r="AG132" i="7"/>
  <c r="AH128" i="7"/>
  <c r="AH131" i="7"/>
  <c r="AH132" i="7"/>
  <c r="AI128" i="7"/>
  <c r="AI131" i="7"/>
  <c r="AI132" i="7"/>
  <c r="AK51" i="18"/>
  <c r="AK54" i="18"/>
  <c r="AK55" i="18"/>
  <c r="AK58" i="18"/>
  <c r="G13" i="21"/>
  <c r="F30" i="13"/>
  <c r="G30" i="13"/>
  <c r="H30" i="13"/>
  <c r="I83" i="48"/>
  <c r="H100" i="48"/>
  <c r="H109" i="48"/>
  <c r="H225" i="48"/>
  <c r="H230" i="48"/>
  <c r="AA128" i="7"/>
  <c r="AA131" i="7"/>
  <c r="AA132" i="7"/>
  <c r="AC128" i="7"/>
  <c r="AC131" i="7"/>
  <c r="AC132" i="7"/>
  <c r="Z128" i="7"/>
  <c r="Z131" i="7"/>
  <c r="Z132" i="7"/>
  <c r="AD128" i="7"/>
  <c r="AD131" i="7"/>
  <c r="AD132" i="7"/>
  <c r="AB128" i="7"/>
  <c r="AB131" i="7"/>
  <c r="AB132" i="7"/>
  <c r="F362" i="1"/>
  <c r="J83" i="48"/>
  <c r="I100" i="48"/>
  <c r="I109" i="48"/>
  <c r="I225" i="48"/>
  <c r="I230" i="48"/>
  <c r="Y128" i="7"/>
  <c r="Y131" i="7"/>
  <c r="Y132" i="7"/>
  <c r="X128" i="7"/>
  <c r="X131" i="7"/>
  <c r="X132" i="7"/>
  <c r="U128" i="7"/>
  <c r="U131" i="7"/>
  <c r="U132" i="7"/>
  <c r="W128" i="7"/>
  <c r="W131" i="7"/>
  <c r="W132" i="7"/>
  <c r="V128" i="7"/>
  <c r="V131" i="7"/>
  <c r="V132" i="7"/>
  <c r="K83" i="48"/>
  <c r="J100" i="48"/>
  <c r="J109" i="48"/>
  <c r="J225" i="48"/>
  <c r="J230" i="48"/>
  <c r="P128" i="7"/>
  <c r="P131" i="7"/>
  <c r="P132" i="7"/>
  <c r="R128" i="7"/>
  <c r="R131" i="7"/>
  <c r="R132" i="7"/>
  <c r="S128" i="7"/>
  <c r="S131" i="7"/>
  <c r="S132" i="7"/>
  <c r="Q128" i="7"/>
  <c r="Q131" i="7"/>
  <c r="Q132" i="7"/>
  <c r="T128" i="7"/>
  <c r="T131" i="7"/>
  <c r="T132" i="7"/>
  <c r="L83" i="48"/>
  <c r="K100" i="48"/>
  <c r="K109" i="48"/>
  <c r="K225" i="48"/>
  <c r="K230" i="48"/>
  <c r="L128" i="7"/>
  <c r="L131" i="7"/>
  <c r="L132" i="7"/>
  <c r="M128" i="7"/>
  <c r="M131" i="7"/>
  <c r="M132" i="7"/>
  <c r="N128" i="7"/>
  <c r="N131" i="7"/>
  <c r="N132" i="7"/>
  <c r="O128" i="7"/>
  <c r="O131" i="7"/>
  <c r="O132" i="7"/>
  <c r="K128" i="7"/>
  <c r="K131" i="7"/>
  <c r="K132" i="7"/>
  <c r="M83" i="48"/>
  <c r="L100" i="48"/>
  <c r="L109" i="48"/>
  <c r="L225" i="48"/>
  <c r="L230" i="48"/>
  <c r="J128" i="7"/>
  <c r="J131" i="7"/>
  <c r="J132" i="7"/>
  <c r="D125" i="7"/>
  <c r="D128" i="7"/>
  <c r="I128" i="7"/>
  <c r="I131" i="7"/>
  <c r="I132" i="7"/>
  <c r="N83" i="48"/>
  <c r="M100" i="48"/>
  <c r="M109" i="48"/>
  <c r="M225" i="48"/>
  <c r="M230" i="48"/>
  <c r="E73" i="1"/>
  <c r="F48" i="1"/>
  <c r="F55" i="1"/>
  <c r="D32" i="5"/>
  <c r="D146" i="5"/>
  <c r="O83" i="48"/>
  <c r="N100" i="48"/>
  <c r="N109" i="48"/>
  <c r="N225" i="48"/>
  <c r="N230" i="48"/>
  <c r="F35" i="12"/>
  <c r="F40" i="12"/>
  <c r="C147" i="5"/>
  <c r="C33" i="5"/>
  <c r="CD69" i="5"/>
  <c r="D149" i="5"/>
  <c r="I152" i="5"/>
  <c r="I153" i="5"/>
  <c r="I151" i="5"/>
  <c r="I154" i="5"/>
  <c r="F57" i="1"/>
  <c r="E374" i="1"/>
  <c r="D34" i="10"/>
  <c r="P83" i="48"/>
  <c r="O100" i="48"/>
  <c r="O109" i="48"/>
  <c r="O225" i="48"/>
  <c r="O230" i="48"/>
  <c r="F365" i="1"/>
  <c r="F364" i="1"/>
  <c r="F363" i="1"/>
  <c r="I28" i="4"/>
  <c r="Q83" i="48"/>
  <c r="P100" i="48"/>
  <c r="P109" i="48"/>
  <c r="P225" i="48"/>
  <c r="P230" i="48"/>
  <c r="C9" i="2"/>
  <c r="C56" i="2"/>
  <c r="R83" i="48"/>
  <c r="Q100" i="48"/>
  <c r="Q109" i="48"/>
  <c r="Q225" i="48"/>
  <c r="Q230" i="48"/>
  <c r="C23" i="2"/>
  <c r="C21" i="2"/>
  <c r="C13" i="2"/>
  <c r="C11" i="2"/>
  <c r="J50" i="17"/>
  <c r="K50" i="17"/>
  <c r="L50" i="17"/>
  <c r="M50" i="17"/>
  <c r="N50" i="17"/>
  <c r="O50" i="17"/>
  <c r="P50" i="17"/>
  <c r="Q50" i="17"/>
  <c r="R50" i="17"/>
  <c r="S50" i="17"/>
  <c r="T50" i="17"/>
  <c r="U50" i="17"/>
  <c r="V50" i="17"/>
  <c r="W50" i="17"/>
  <c r="X50" i="17"/>
  <c r="Y50" i="17"/>
  <c r="Z50" i="17"/>
  <c r="AA50" i="17"/>
  <c r="AB50" i="17"/>
  <c r="AC50" i="17"/>
  <c r="AD50" i="17"/>
  <c r="AE50" i="17"/>
  <c r="AF50" i="17"/>
  <c r="AG50" i="17"/>
  <c r="AH50" i="17"/>
  <c r="AI50" i="17"/>
  <c r="I50" i="17"/>
  <c r="C12" i="17"/>
  <c r="C46" i="17"/>
  <c r="S83" i="48"/>
  <c r="R100" i="48"/>
  <c r="R109" i="48"/>
  <c r="R225" i="48"/>
  <c r="R230" i="48"/>
  <c r="C28" i="17"/>
  <c r="C13" i="17"/>
  <c r="C29" i="17"/>
  <c r="C36" i="17"/>
  <c r="C47" i="17"/>
  <c r="C17" i="17"/>
  <c r="C50" i="17"/>
  <c r="C55" i="17"/>
  <c r="C18" i="17"/>
  <c r="C51" i="17"/>
  <c r="C56" i="17"/>
  <c r="C27" i="17"/>
  <c r="C37" i="17"/>
  <c r="O31" i="19"/>
  <c r="O30" i="19"/>
  <c r="E56" i="19"/>
  <c r="F56" i="19"/>
  <c r="E57" i="19"/>
  <c r="F57" i="19"/>
  <c r="D57" i="19"/>
  <c r="D56" i="19"/>
  <c r="D53" i="19"/>
  <c r="D52" i="19"/>
  <c r="F49" i="19"/>
  <c r="F48" i="19"/>
  <c r="D49" i="19"/>
  <c r="D48" i="19"/>
  <c r="C48" i="19"/>
  <c r="E38" i="19"/>
  <c r="F35" i="19"/>
  <c r="F32" i="19"/>
  <c r="E21" i="19"/>
  <c r="E20" i="19"/>
  <c r="F21" i="19"/>
  <c r="F20" i="19"/>
  <c r="F19" i="19"/>
  <c r="F18" i="19"/>
  <c r="F11" i="19"/>
  <c r="E11" i="19"/>
  <c r="E10" i="19"/>
  <c r="K10" i="19"/>
  <c r="K61" i="19"/>
  <c r="T83" i="48"/>
  <c r="S100" i="48"/>
  <c r="S109" i="48"/>
  <c r="S225" i="48"/>
  <c r="S230" i="48"/>
  <c r="K40" i="19"/>
  <c r="K44" i="19"/>
  <c r="K50" i="19"/>
  <c r="K54" i="19"/>
  <c r="K58" i="19"/>
  <c r="K62" i="19"/>
  <c r="K11" i="19"/>
  <c r="C26" i="19"/>
  <c r="K41" i="19"/>
  <c r="K45" i="19"/>
  <c r="K51" i="19"/>
  <c r="K55" i="19"/>
  <c r="K59" i="19"/>
  <c r="K14" i="19"/>
  <c r="C27" i="19"/>
  <c r="C43" i="19"/>
  <c r="K42" i="19"/>
  <c r="K48" i="19"/>
  <c r="K52" i="19"/>
  <c r="K56" i="19"/>
  <c r="K60" i="19"/>
  <c r="K15" i="19"/>
  <c r="C44" i="19"/>
  <c r="K43" i="19"/>
  <c r="K49" i="19"/>
  <c r="K53" i="19"/>
  <c r="K57" i="19"/>
  <c r="E395" i="1"/>
  <c r="C10" i="18"/>
  <c r="C23" i="18"/>
  <c r="D36" i="18"/>
  <c r="D36" i="55"/>
  <c r="D51" i="55"/>
  <c r="U83" i="48"/>
  <c r="T100" i="48"/>
  <c r="T109" i="48"/>
  <c r="T225" i="48"/>
  <c r="T230" i="48"/>
  <c r="F30" i="19"/>
  <c r="C42" i="18"/>
  <c r="C67" i="18"/>
  <c r="C56" i="18"/>
  <c r="C57" i="18"/>
  <c r="C41" i="18"/>
  <c r="C66" i="18"/>
  <c r="D51" i="18"/>
  <c r="C20" i="18"/>
  <c r="C27" i="18"/>
  <c r="C13" i="18"/>
  <c r="C14" i="18"/>
  <c r="C21" i="18"/>
  <c r="C28" i="18"/>
  <c r="C15" i="18"/>
  <c r="C22" i="18"/>
  <c r="C29" i="18"/>
  <c r="C12" i="18"/>
  <c r="C16" i="18"/>
  <c r="I52" i="55"/>
  <c r="I53" i="55"/>
  <c r="I37" i="55"/>
  <c r="V83" i="48"/>
  <c r="U100" i="48"/>
  <c r="U109" i="48"/>
  <c r="U225" i="48"/>
  <c r="U230" i="48"/>
  <c r="C31" i="16"/>
  <c r="C33" i="16"/>
  <c r="C7" i="15"/>
  <c r="C42" i="15"/>
  <c r="C8" i="9"/>
  <c r="C20" i="9"/>
  <c r="C7" i="14"/>
  <c r="C29" i="14"/>
  <c r="F187" i="12"/>
  <c r="J176" i="12"/>
  <c r="E165" i="12"/>
  <c r="W83" i="48"/>
  <c r="V100" i="48"/>
  <c r="V109" i="48"/>
  <c r="V225" i="48"/>
  <c r="V230" i="48"/>
  <c r="E186" i="12"/>
  <c r="E179" i="12"/>
  <c r="E188" i="12"/>
  <c r="C9" i="14"/>
  <c r="C30" i="14"/>
  <c r="C13" i="9"/>
  <c r="C17" i="9"/>
  <c r="C25" i="9"/>
  <c r="C31" i="9"/>
  <c r="C40" i="9"/>
  <c r="C37" i="9"/>
  <c r="C16" i="15"/>
  <c r="C11" i="15"/>
  <c r="C22" i="15"/>
  <c r="C27" i="15"/>
  <c r="C32" i="15"/>
  <c r="C38" i="15"/>
  <c r="C43" i="15"/>
  <c r="E178" i="12"/>
  <c r="E176" i="12"/>
  <c r="C16" i="14"/>
  <c r="C31" i="14"/>
  <c r="C14" i="9"/>
  <c r="C18" i="9"/>
  <c r="C26" i="9"/>
  <c r="C32" i="9"/>
  <c r="C41" i="9"/>
  <c r="C9" i="15"/>
  <c r="C17" i="15"/>
  <c r="C12" i="15"/>
  <c r="C23" i="15"/>
  <c r="C28" i="15"/>
  <c r="C33" i="15"/>
  <c r="C39" i="15"/>
  <c r="E177" i="12"/>
  <c r="E185" i="12"/>
  <c r="E243" i="12"/>
  <c r="C17" i="14"/>
  <c r="C22" i="14"/>
  <c r="C9" i="9"/>
  <c r="C15" i="9"/>
  <c r="C23" i="9"/>
  <c r="C27" i="9"/>
  <c r="C33" i="9"/>
  <c r="C42" i="9"/>
  <c r="C14" i="15"/>
  <c r="C18" i="15"/>
  <c r="C19" i="15"/>
  <c r="C24" i="15"/>
  <c r="C29" i="15"/>
  <c r="C35" i="15"/>
  <c r="C41" i="15"/>
  <c r="C88" i="16"/>
  <c r="C83" i="16"/>
  <c r="C77" i="16"/>
  <c r="C55" i="16"/>
  <c r="C49" i="16"/>
  <c r="C86" i="16"/>
  <c r="C80" i="16"/>
  <c r="C59" i="16"/>
  <c r="C54" i="16"/>
  <c r="C48" i="16"/>
  <c r="C85" i="16"/>
  <c r="C79" i="16"/>
  <c r="C57" i="16"/>
  <c r="C51" i="16"/>
  <c r="C84" i="16"/>
  <c r="C78" i="16"/>
  <c r="C56" i="16"/>
  <c r="C50" i="16"/>
  <c r="C18" i="14"/>
  <c r="C10" i="9"/>
  <c r="C16" i="9"/>
  <c r="C24" i="9"/>
  <c r="C30" i="9"/>
  <c r="C35" i="9"/>
  <c r="C15" i="15"/>
  <c r="C10" i="15"/>
  <c r="C20" i="15"/>
  <c r="C26" i="15"/>
  <c r="C31" i="15"/>
  <c r="C36" i="15"/>
  <c r="C32" i="16"/>
  <c r="E163" i="12"/>
  <c r="E164" i="12"/>
  <c r="X83" i="48"/>
  <c r="W100" i="48"/>
  <c r="W109" i="48"/>
  <c r="W225" i="48"/>
  <c r="W230" i="48"/>
  <c r="C23" i="14"/>
  <c r="C13" i="14"/>
  <c r="C26" i="14"/>
  <c r="C10" i="14"/>
  <c r="C19" i="14"/>
  <c r="F44" i="12"/>
  <c r="I58" i="13"/>
  <c r="D52" i="13"/>
  <c r="D51" i="13"/>
  <c r="C30" i="13"/>
  <c r="C59" i="13"/>
  <c r="Y83" i="48"/>
  <c r="X100" i="48"/>
  <c r="X109" i="48"/>
  <c r="X225" i="48"/>
  <c r="X230" i="48"/>
  <c r="AJ55" i="13"/>
  <c r="AK55" i="13"/>
  <c r="AL55" i="13"/>
  <c r="AN55" i="13"/>
  <c r="AV55" i="13"/>
  <c r="AO55" i="13"/>
  <c r="AP55" i="13"/>
  <c r="AQ55" i="13"/>
  <c r="AR55" i="13"/>
  <c r="AS55" i="13"/>
  <c r="AT55" i="13"/>
  <c r="AM55" i="13"/>
  <c r="AU55" i="13"/>
  <c r="C27" i="14"/>
  <c r="C11" i="14"/>
  <c r="C20" i="14"/>
  <c r="C24" i="14"/>
  <c r="C14" i="14"/>
  <c r="C60" i="13"/>
  <c r="C33" i="13"/>
  <c r="C47" i="13"/>
  <c r="C41" i="13"/>
  <c r="C61" i="13"/>
  <c r="C40" i="13"/>
  <c r="C32" i="13"/>
  <c r="C46" i="13"/>
  <c r="C38" i="13"/>
  <c r="C44" i="13"/>
  <c r="C58" i="13"/>
  <c r="C31" i="13"/>
  <c r="C39" i="13"/>
  <c r="C45" i="13"/>
  <c r="Z83" i="48"/>
  <c r="Y100" i="48"/>
  <c r="Y109" i="48"/>
  <c r="Y225" i="48"/>
  <c r="I103" i="10"/>
  <c r="I88" i="10"/>
  <c r="D97" i="10"/>
  <c r="D88" i="10"/>
  <c r="I63" i="10"/>
  <c r="I57" i="10"/>
  <c r="D42" i="10"/>
  <c r="D40" i="10"/>
  <c r="D38" i="10"/>
  <c r="D37" i="10"/>
  <c r="D33" i="10"/>
  <c r="D30" i="10"/>
  <c r="D31" i="10"/>
  <c r="D29" i="10"/>
  <c r="C50" i="10"/>
  <c r="C107" i="10"/>
  <c r="Z225" i="48"/>
  <c r="Y230" i="48"/>
  <c r="AA83" i="48"/>
  <c r="Z100" i="48"/>
  <c r="Z109" i="48"/>
  <c r="C59" i="10"/>
  <c r="C108" i="10"/>
  <c r="C54" i="10"/>
  <c r="C80" i="10"/>
  <c r="C60" i="10"/>
  <c r="C64" i="10"/>
  <c r="C88" i="10"/>
  <c r="C53" i="10"/>
  <c r="C69" i="10"/>
  <c r="C97" i="10"/>
  <c r="C76" i="10"/>
  <c r="C103" i="10"/>
  <c r="C73" i="10"/>
  <c r="C89" i="10"/>
  <c r="C104" i="10"/>
  <c r="C55" i="10"/>
  <c r="C57" i="10"/>
  <c r="C66" i="10"/>
  <c r="C74" i="10"/>
  <c r="C78" i="10"/>
  <c r="C84" i="10"/>
  <c r="C90" i="10"/>
  <c r="C99" i="10"/>
  <c r="C105" i="10"/>
  <c r="C65" i="10"/>
  <c r="C77" i="10"/>
  <c r="C83" i="10"/>
  <c r="C98" i="10"/>
  <c r="C51" i="10"/>
  <c r="C58" i="10"/>
  <c r="C63" i="10"/>
  <c r="C67" i="10"/>
  <c r="C75" i="10"/>
  <c r="C79" i="10"/>
  <c r="C85" i="10"/>
  <c r="C91" i="10"/>
  <c r="C100" i="10"/>
  <c r="AA225" i="48"/>
  <c r="Z230" i="48"/>
  <c r="AB83" i="48"/>
  <c r="AA100" i="48"/>
  <c r="AA109" i="48"/>
  <c r="D360" i="11"/>
  <c r="I349" i="11"/>
  <c r="AA230" i="48"/>
  <c r="AB225" i="48"/>
  <c r="AC83" i="48"/>
  <c r="AB100" i="48"/>
  <c r="AB109" i="48"/>
  <c r="D104" i="5"/>
  <c r="D102" i="5"/>
  <c r="D103" i="5"/>
  <c r="D101" i="5"/>
  <c r="D100" i="5"/>
  <c r="D99" i="5"/>
  <c r="D286" i="11"/>
  <c r="I277" i="11"/>
  <c r="D275" i="11"/>
  <c r="D262" i="11"/>
  <c r="D261" i="11"/>
  <c r="D260" i="11"/>
  <c r="D259" i="11"/>
  <c r="D258" i="11"/>
  <c r="D240" i="11"/>
  <c r="D239" i="11"/>
  <c r="D144" i="11"/>
  <c r="D147" i="11"/>
  <c r="D146" i="11"/>
  <c r="D145" i="11"/>
  <c r="AC225" i="48"/>
  <c r="AB230" i="48"/>
  <c r="AD83" i="48"/>
  <c r="AC100" i="48"/>
  <c r="AC109" i="48"/>
  <c r="C121" i="8"/>
  <c r="C120" i="8"/>
  <c r="C119" i="8"/>
  <c r="C118" i="8"/>
  <c r="C115" i="8"/>
  <c r="C114" i="8"/>
  <c r="C113" i="8"/>
  <c r="C112" i="8"/>
  <c r="C106" i="8"/>
  <c r="C105" i="8"/>
  <c r="C104" i="8"/>
  <c r="C103" i="8"/>
  <c r="C100" i="8"/>
  <c r="C99" i="8"/>
  <c r="C98" i="8"/>
  <c r="C97" i="8"/>
  <c r="C96" i="8"/>
  <c r="C93" i="8"/>
  <c r="C92" i="8"/>
  <c r="C90" i="8"/>
  <c r="C89" i="8"/>
  <c r="C88" i="8"/>
  <c r="C75" i="8"/>
  <c r="C74" i="8"/>
  <c r="C73" i="8"/>
  <c r="C72" i="8"/>
  <c r="C68" i="8"/>
  <c r="C67" i="8"/>
  <c r="C66" i="8"/>
  <c r="C65" i="8"/>
  <c r="C59" i="8"/>
  <c r="C58" i="8"/>
  <c r="C57" i="8"/>
  <c r="C56" i="8"/>
  <c r="C53" i="8"/>
  <c r="C52" i="8"/>
  <c r="C51" i="8"/>
  <c r="C50" i="8"/>
  <c r="C49" i="8"/>
  <c r="C46" i="8"/>
  <c r="C45" i="8"/>
  <c r="C43" i="8"/>
  <c r="C42" i="8"/>
  <c r="C41" i="8"/>
  <c r="C40" i="8"/>
  <c r="C34" i="3"/>
  <c r="C75" i="3"/>
  <c r="AD225" i="48"/>
  <c r="AC230" i="48"/>
  <c r="AE83" i="48"/>
  <c r="AD100" i="48"/>
  <c r="AD109" i="48"/>
  <c r="C47" i="3"/>
  <c r="C70" i="3"/>
  <c r="C76" i="3"/>
  <c r="C41" i="3"/>
  <c r="C48" i="3"/>
  <c r="C42" i="3"/>
  <c r="C73" i="3"/>
  <c r="C39" i="3"/>
  <c r="C45" i="3"/>
  <c r="C58" i="3"/>
  <c r="C74" i="3"/>
  <c r="C40" i="3"/>
  <c r="C46" i="3"/>
  <c r="C59" i="3"/>
  <c r="C20" i="7"/>
  <c r="C39" i="11"/>
  <c r="F211" i="1"/>
  <c r="D244" i="11"/>
  <c r="F212" i="1"/>
  <c r="D245" i="11"/>
  <c r="F213" i="1"/>
  <c r="D246" i="11"/>
  <c r="F210" i="1"/>
  <c r="D243" i="11"/>
  <c r="AE225" i="48"/>
  <c r="AD230" i="48"/>
  <c r="AF83" i="48"/>
  <c r="AE100" i="48"/>
  <c r="AE109" i="48"/>
  <c r="C45" i="7"/>
  <c r="C44" i="7"/>
  <c r="C125" i="7"/>
  <c r="C119" i="7"/>
  <c r="C115" i="7"/>
  <c r="C128" i="7"/>
  <c r="C122" i="7"/>
  <c r="C118" i="7"/>
  <c r="C114" i="7"/>
  <c r="C126" i="7"/>
  <c r="C113" i="7"/>
  <c r="C117" i="7"/>
  <c r="C121" i="7"/>
  <c r="C116" i="7"/>
  <c r="C127" i="7"/>
  <c r="C120" i="7"/>
  <c r="C180" i="11"/>
  <c r="C181" i="11"/>
  <c r="C182" i="11"/>
  <c r="C183" i="11"/>
  <c r="C184" i="11"/>
  <c r="C178" i="11"/>
  <c r="C179" i="11"/>
  <c r="C192" i="11"/>
  <c r="C164" i="11"/>
  <c r="C165" i="11"/>
  <c r="C166" i="11"/>
  <c r="C167" i="11"/>
  <c r="C168" i="11"/>
  <c r="C169" i="11"/>
  <c r="C193" i="11"/>
  <c r="C62" i="11"/>
  <c r="C63" i="11"/>
  <c r="C64" i="11"/>
  <c r="C88" i="11"/>
  <c r="C49" i="11"/>
  <c r="C50" i="11"/>
  <c r="C51" i="11"/>
  <c r="C48" i="11"/>
  <c r="C89" i="7"/>
  <c r="C87" i="7"/>
  <c r="C86" i="7"/>
  <c r="C79" i="7"/>
  <c r="C77" i="7"/>
  <c r="C83" i="7"/>
  <c r="C75" i="7"/>
  <c r="C78" i="7"/>
  <c r="C76" i="7"/>
  <c r="C81" i="7"/>
  <c r="C88" i="7"/>
  <c r="C80" i="7"/>
  <c r="C74" i="7"/>
  <c r="C82" i="7"/>
  <c r="C197" i="11"/>
  <c r="C196" i="11"/>
  <c r="C195" i="11"/>
  <c r="C97" i="11"/>
  <c r="C194" i="11"/>
  <c r="C96" i="11"/>
  <c r="C170" i="11"/>
  <c r="C52" i="11"/>
  <c r="C53" i="11"/>
  <c r="C54" i="11"/>
  <c r="C181" i="7"/>
  <c r="C178" i="7"/>
  <c r="C184" i="7"/>
  <c r="C183" i="7"/>
  <c r="C182" i="7"/>
  <c r="C191" i="7"/>
  <c r="C180" i="7"/>
  <c r="C190" i="7"/>
  <c r="C179" i="7"/>
  <c r="C193" i="7"/>
  <c r="C187" i="7"/>
  <c r="C177" i="7"/>
  <c r="C192" i="7"/>
  <c r="C185" i="7"/>
  <c r="C214" i="7"/>
  <c r="C167" i="7"/>
  <c r="C158" i="7"/>
  <c r="C154" i="7"/>
  <c r="C160" i="7"/>
  <c r="C153" i="7"/>
  <c r="C166" i="7"/>
  <c r="C157" i="7"/>
  <c r="C165" i="7"/>
  <c r="C156" i="7"/>
  <c r="C161" i="7"/>
  <c r="C159" i="7"/>
  <c r="C164" i="7"/>
  <c r="C155" i="7"/>
  <c r="C152" i="7"/>
  <c r="C358" i="11"/>
  <c r="C343" i="11"/>
  <c r="C339" i="11"/>
  <c r="C335" i="11"/>
  <c r="C331" i="11"/>
  <c r="C327" i="11"/>
  <c r="C323" i="11"/>
  <c r="C319" i="11"/>
  <c r="C315" i="11"/>
  <c r="C311" i="11"/>
  <c r="C307" i="11"/>
  <c r="C303" i="11"/>
  <c r="C299" i="11"/>
  <c r="C295" i="11"/>
  <c r="C342" i="11"/>
  <c r="C338" i="11"/>
  <c r="C334" i="11"/>
  <c r="C330" i="11"/>
  <c r="C326" i="11"/>
  <c r="C322" i="11"/>
  <c r="C314" i="11"/>
  <c r="C310" i="11"/>
  <c r="C306" i="11"/>
  <c r="C302" i="11"/>
  <c r="C298" i="11"/>
  <c r="C294" i="11"/>
  <c r="C290" i="11"/>
  <c r="C361" i="11"/>
  <c r="C345" i="11"/>
  <c r="C341" i="11"/>
  <c r="C337" i="11"/>
  <c r="C333" i="11"/>
  <c r="C329" i="11"/>
  <c r="C325" i="11"/>
  <c r="C321" i="11"/>
  <c r="C313" i="11"/>
  <c r="C309" i="11"/>
  <c r="C305" i="11"/>
  <c r="C301" i="11"/>
  <c r="C297" i="11"/>
  <c r="C293" i="11"/>
  <c r="C289" i="11"/>
  <c r="C344" i="11"/>
  <c r="C328" i="11"/>
  <c r="C304" i="11"/>
  <c r="C291" i="11"/>
  <c r="C292" i="11"/>
  <c r="C340" i="11"/>
  <c r="C324" i="11"/>
  <c r="C300" i="11"/>
  <c r="C336" i="11"/>
  <c r="C320" i="11"/>
  <c r="C312" i="11"/>
  <c r="C296" i="11"/>
  <c r="C359" i="11"/>
  <c r="C332" i="11"/>
  <c r="C308" i="11"/>
  <c r="C285" i="11"/>
  <c r="C277" i="11"/>
  <c r="C268" i="11"/>
  <c r="C254" i="11"/>
  <c r="C250" i="11"/>
  <c r="C243" i="11"/>
  <c r="C233" i="11"/>
  <c r="C234" i="11"/>
  <c r="C284" i="11"/>
  <c r="C280" i="11"/>
  <c r="C271" i="11"/>
  <c r="C267" i="11"/>
  <c r="C253" i="11"/>
  <c r="C246" i="11"/>
  <c r="C240" i="11"/>
  <c r="C232" i="11"/>
  <c r="C278" i="11"/>
  <c r="C269" i="11"/>
  <c r="C255" i="11"/>
  <c r="C251" i="11"/>
  <c r="C244" i="11"/>
  <c r="C279" i="11"/>
  <c r="C270" i="11"/>
  <c r="C266" i="11"/>
  <c r="C252" i="11"/>
  <c r="C245" i="11"/>
  <c r="C239" i="11"/>
  <c r="C235" i="11"/>
  <c r="C198" i="11"/>
  <c r="C221" i="11"/>
  <c r="C42" i="7"/>
  <c r="C206" i="7"/>
  <c r="C37" i="7"/>
  <c r="C48" i="7"/>
  <c r="C210" i="7"/>
  <c r="C38" i="7"/>
  <c r="C49" i="7"/>
  <c r="C211" i="7"/>
  <c r="C41" i="7"/>
  <c r="C205" i="7"/>
  <c r="C59" i="11"/>
  <c r="C309" i="7"/>
  <c r="C303" i="7"/>
  <c r="C295" i="7"/>
  <c r="C280" i="7"/>
  <c r="C268" i="7"/>
  <c r="C262" i="7"/>
  <c r="C256" i="7"/>
  <c r="C250" i="7"/>
  <c r="C244" i="7"/>
  <c r="C308" i="7"/>
  <c r="C300" i="7"/>
  <c r="C294" i="7"/>
  <c r="C279" i="7"/>
  <c r="C267" i="7"/>
  <c r="C261" i="7"/>
  <c r="C255" i="7"/>
  <c r="C249" i="7"/>
  <c r="C299" i="7"/>
  <c r="C270" i="7"/>
  <c r="C264" i="7"/>
  <c r="C252" i="7"/>
  <c r="C246" i="7"/>
  <c r="C310" i="7"/>
  <c r="C298" i="7"/>
  <c r="C269" i="7"/>
  <c r="C257" i="7"/>
  <c r="C245" i="7"/>
  <c r="C305" i="7"/>
  <c r="C293" i="7"/>
  <c r="C258" i="7"/>
  <c r="C304" i="7"/>
  <c r="C281" i="7"/>
  <c r="C263" i="7"/>
  <c r="C251" i="7"/>
  <c r="F181" i="48"/>
  <c r="C36" i="7"/>
  <c r="C40" i="7"/>
  <c r="C51" i="7"/>
  <c r="C209" i="7"/>
  <c r="C213" i="7"/>
  <c r="C35" i="7"/>
  <c r="C39" i="7"/>
  <c r="C43" i="7"/>
  <c r="C50" i="7"/>
  <c r="C207" i="7"/>
  <c r="C212" i="7"/>
  <c r="F180" i="48"/>
  <c r="C60" i="11"/>
  <c r="C142" i="11"/>
  <c r="C61" i="11"/>
  <c r="C58" i="11"/>
  <c r="F185" i="48"/>
  <c r="AF225" i="48"/>
  <c r="AE230" i="48"/>
  <c r="AG83" i="48"/>
  <c r="AF100" i="48"/>
  <c r="AF109" i="48"/>
  <c r="I73" i="3"/>
  <c r="D64" i="3"/>
  <c r="D65" i="3"/>
  <c r="D66" i="3"/>
  <c r="D67" i="3"/>
  <c r="D56" i="3"/>
  <c r="D54" i="3"/>
  <c r="J45" i="3"/>
  <c r="K48" i="3"/>
  <c r="L48" i="3"/>
  <c r="M48" i="3"/>
  <c r="N48" i="3"/>
  <c r="O48" i="3"/>
  <c r="P48" i="3"/>
  <c r="Q48" i="3"/>
  <c r="R48" i="3"/>
  <c r="S48" i="3"/>
  <c r="T48" i="3"/>
  <c r="U48" i="3"/>
  <c r="V48" i="3"/>
  <c r="W48" i="3"/>
  <c r="X48" i="3"/>
  <c r="Y48" i="3"/>
  <c r="Z48" i="3"/>
  <c r="AA48" i="3"/>
  <c r="AB48" i="3"/>
  <c r="AC48" i="3"/>
  <c r="AD48" i="3"/>
  <c r="AE48" i="3"/>
  <c r="AF48" i="3"/>
  <c r="AG48" i="3"/>
  <c r="AH48" i="3"/>
  <c r="I45" i="3"/>
  <c r="D35" i="3"/>
  <c r="D31" i="3"/>
  <c r="I112" i="8"/>
  <c r="D110" i="8"/>
  <c r="I103" i="8"/>
  <c r="D85" i="8"/>
  <c r="D81" i="8"/>
  <c r="I65" i="8"/>
  <c r="D63" i="8"/>
  <c r="I56" i="8"/>
  <c r="AG225" i="48"/>
  <c r="AF230" i="48"/>
  <c r="AH83" i="48"/>
  <c r="AG100" i="48"/>
  <c r="AG109" i="48"/>
  <c r="AH45" i="3"/>
  <c r="AG51" i="17"/>
  <c r="AG16" i="9"/>
  <c r="Z45" i="3"/>
  <c r="Y51" i="17"/>
  <c r="Y16" i="9"/>
  <c r="R45" i="3"/>
  <c r="Q51" i="17"/>
  <c r="Q16" i="9"/>
  <c r="I51" i="17"/>
  <c r="I16" i="9"/>
  <c r="AB51" i="17"/>
  <c r="AB16" i="9"/>
  <c r="T51" i="17"/>
  <c r="T16" i="9"/>
  <c r="P51" i="17"/>
  <c r="P16" i="9"/>
  <c r="AI51" i="17"/>
  <c r="AI16" i="9"/>
  <c r="AF45" i="3"/>
  <c r="AE51" i="17"/>
  <c r="AE16" i="9"/>
  <c r="AA51" i="17"/>
  <c r="AA16" i="9"/>
  <c r="W51" i="17"/>
  <c r="W16" i="9"/>
  <c r="S51" i="17"/>
  <c r="S16" i="9"/>
  <c r="O51" i="17"/>
  <c r="O16" i="9"/>
  <c r="K51" i="17"/>
  <c r="K16" i="9"/>
  <c r="AD45" i="3"/>
  <c r="AC51" i="17"/>
  <c r="AC16" i="9"/>
  <c r="V45" i="3"/>
  <c r="U51" i="17"/>
  <c r="U16" i="9"/>
  <c r="N45" i="3"/>
  <c r="M51" i="17"/>
  <c r="M16" i="9"/>
  <c r="AF51" i="17"/>
  <c r="AF16" i="9"/>
  <c r="X51" i="17"/>
  <c r="X16" i="9"/>
  <c r="L51" i="17"/>
  <c r="L16" i="9"/>
  <c r="AH51" i="17"/>
  <c r="AH16" i="9"/>
  <c r="AD51" i="17"/>
  <c r="AD16" i="9"/>
  <c r="Z51" i="17"/>
  <c r="Z16" i="9"/>
  <c r="V51" i="17"/>
  <c r="V16" i="9"/>
  <c r="R51" i="17"/>
  <c r="R16" i="9"/>
  <c r="N51" i="17"/>
  <c r="N16" i="9"/>
  <c r="J51" i="17"/>
  <c r="J16" i="9"/>
  <c r="AG45" i="3"/>
  <c r="AC45" i="3"/>
  <c r="Y45" i="3"/>
  <c r="U45" i="3"/>
  <c r="Q45" i="3"/>
  <c r="M45" i="3"/>
  <c r="AB45" i="3"/>
  <c r="X45" i="3"/>
  <c r="T45" i="3"/>
  <c r="P45" i="3"/>
  <c r="L45" i="3"/>
  <c r="AI45" i="3"/>
  <c r="AE45" i="3"/>
  <c r="AA45" i="3"/>
  <c r="W45" i="3"/>
  <c r="S45" i="3"/>
  <c r="O45" i="3"/>
  <c r="K45" i="3"/>
  <c r="AG230" i="48"/>
  <c r="AH225" i="48"/>
  <c r="AI83" i="48"/>
  <c r="AH100" i="48"/>
  <c r="AH109" i="48"/>
  <c r="J84" i="5"/>
  <c r="J85" i="5"/>
  <c r="K84" i="5"/>
  <c r="K85" i="5"/>
  <c r="L84" i="5"/>
  <c r="L85" i="5"/>
  <c r="M84" i="5"/>
  <c r="M85" i="5"/>
  <c r="N84" i="5"/>
  <c r="N85" i="5"/>
  <c r="O84" i="5"/>
  <c r="O85" i="5"/>
  <c r="P84" i="5"/>
  <c r="P85" i="5"/>
  <c r="Q84" i="5"/>
  <c r="Q85" i="5"/>
  <c r="R84" i="5"/>
  <c r="R85" i="5"/>
  <c r="S84" i="5"/>
  <c r="S85" i="5"/>
  <c r="T84" i="5"/>
  <c r="T85" i="5"/>
  <c r="U84" i="5"/>
  <c r="U85" i="5"/>
  <c r="V84" i="5"/>
  <c r="V85" i="5"/>
  <c r="W84" i="5"/>
  <c r="W85" i="5"/>
  <c r="X84" i="5"/>
  <c r="X85" i="5"/>
  <c r="Y84" i="5"/>
  <c r="Y85" i="5"/>
  <c r="Z84" i="5"/>
  <c r="Z85" i="5"/>
  <c r="AA84" i="5"/>
  <c r="AA85" i="5"/>
  <c r="AB84" i="5"/>
  <c r="AB85" i="5"/>
  <c r="AC84" i="5"/>
  <c r="AC85" i="5"/>
  <c r="AD84" i="5"/>
  <c r="AD85" i="5"/>
  <c r="AE84" i="5"/>
  <c r="AE85" i="5"/>
  <c r="AF84" i="5"/>
  <c r="AF85" i="5"/>
  <c r="AG84" i="5"/>
  <c r="AG85" i="5"/>
  <c r="AH84" i="5"/>
  <c r="AH85" i="5"/>
  <c r="AI84" i="5"/>
  <c r="AI85" i="5"/>
  <c r="D33" i="8"/>
  <c r="D32" i="8"/>
  <c r="I50" i="4"/>
  <c r="I34" i="4"/>
  <c r="AI225" i="48"/>
  <c r="AI230" i="48"/>
  <c r="AH230" i="48"/>
  <c r="AL83" i="48"/>
  <c r="AI100" i="48"/>
  <c r="AI109" i="48"/>
  <c r="E286" i="7"/>
  <c r="F286" i="7"/>
  <c r="D286" i="7"/>
  <c r="E285" i="7"/>
  <c r="F285" i="7"/>
  <c r="D285" i="7"/>
  <c r="D275" i="7"/>
  <c r="E275" i="7"/>
  <c r="CC279" i="7"/>
  <c r="D131" i="5"/>
  <c r="D130" i="5"/>
  <c r="D112" i="5"/>
  <c r="D225" i="7"/>
  <c r="B238" i="7"/>
  <c r="B237" i="7"/>
  <c r="D22" i="7"/>
  <c r="D23" i="7"/>
  <c r="D24" i="7"/>
  <c r="D25" i="7"/>
  <c r="D27" i="7"/>
  <c r="D79" i="1"/>
  <c r="F79" i="1"/>
  <c r="D37" i="8"/>
  <c r="D38" i="8"/>
  <c r="E319" i="1"/>
  <c r="E318" i="1"/>
  <c r="E310" i="1"/>
  <c r="F178" i="1"/>
  <c r="F179" i="1"/>
  <c r="F180" i="1"/>
  <c r="F181" i="1"/>
  <c r="F182" i="1"/>
  <c r="F183" i="1"/>
  <c r="F184" i="1"/>
  <c r="F185" i="1"/>
  <c r="F186" i="1"/>
  <c r="F177" i="1"/>
  <c r="D187" i="1"/>
  <c r="F73" i="1"/>
  <c r="F74" i="1"/>
  <c r="F75" i="1"/>
  <c r="F76" i="1"/>
  <c r="F77" i="1"/>
  <c r="F72" i="1"/>
  <c r="E77" i="1"/>
  <c r="C26" i="7"/>
  <c r="I40" i="7"/>
  <c r="C22" i="7"/>
  <c r="E75" i="1"/>
  <c r="C24" i="7"/>
  <c r="E76" i="1"/>
  <c r="C25" i="7"/>
  <c r="D78" i="1"/>
  <c r="D80" i="1"/>
  <c r="F80" i="1"/>
  <c r="AM83" i="48"/>
  <c r="AJ100" i="48"/>
  <c r="D72" i="41"/>
  <c r="D45" i="41"/>
  <c r="D237" i="7"/>
  <c r="I38" i="7"/>
  <c r="AI38" i="7"/>
  <c r="AQ38" i="7"/>
  <c r="AY38" i="7"/>
  <c r="AC38" i="7"/>
  <c r="AT38" i="7"/>
  <c r="AE38" i="7"/>
  <c r="AU38" i="7"/>
  <c r="AV38" i="7"/>
  <c r="AW38" i="7"/>
  <c r="AP38" i="7"/>
  <c r="AJ38" i="7"/>
  <c r="AR38" i="7"/>
  <c r="AS38" i="7"/>
  <c r="AD38" i="7"/>
  <c r="AF38" i="7"/>
  <c r="AO38" i="7"/>
  <c r="AK38" i="7"/>
  <c r="AL38" i="7"/>
  <c r="AM38" i="7"/>
  <c r="AN38" i="7"/>
  <c r="AG38" i="7"/>
  <c r="AH38" i="7"/>
  <c r="AX38" i="7"/>
  <c r="I39" i="7"/>
  <c r="AC39" i="7"/>
  <c r="AK39" i="7"/>
  <c r="AS39" i="7"/>
  <c r="AT40" i="7"/>
  <c r="AE39" i="7"/>
  <c r="AM39" i="7"/>
  <c r="AV40" i="7"/>
  <c r="AW40" i="7"/>
  <c r="AY40" i="7"/>
  <c r="AO39" i="7"/>
  <c r="AX39" i="7"/>
  <c r="AR40" i="7"/>
  <c r="AD39" i="7"/>
  <c r="AL39" i="7"/>
  <c r="AT39" i="7"/>
  <c r="AU40" i="7"/>
  <c r="AU39" i="7"/>
  <c r="AF39" i="7"/>
  <c r="AV39" i="7"/>
  <c r="AG39" i="7"/>
  <c r="AX40" i="7"/>
  <c r="AP39" i="7"/>
  <c r="AQ39" i="7"/>
  <c r="AY39" i="7"/>
  <c r="AN39" i="7"/>
  <c r="AW39" i="7"/>
  <c r="AH39" i="7"/>
  <c r="AI39" i="7"/>
  <c r="AJ39" i="7"/>
  <c r="AR39" i="7"/>
  <c r="AS40" i="7"/>
  <c r="Q40" i="7"/>
  <c r="Y40" i="7"/>
  <c r="AG40" i="7"/>
  <c r="AO40" i="7"/>
  <c r="K40" i="7"/>
  <c r="AI40" i="7"/>
  <c r="AQ40" i="7"/>
  <c r="T40" i="7"/>
  <c r="U40" i="7"/>
  <c r="AK40" i="7"/>
  <c r="O40" i="7"/>
  <c r="AM40" i="7"/>
  <c r="P40" i="7"/>
  <c r="J40" i="7"/>
  <c r="R40" i="7"/>
  <c r="Z40" i="7"/>
  <c r="AH40" i="7"/>
  <c r="AP40" i="7"/>
  <c r="AA40" i="7"/>
  <c r="L40" i="7"/>
  <c r="AJ40" i="7"/>
  <c r="M40" i="7"/>
  <c r="V40" i="7"/>
  <c r="AL40" i="7"/>
  <c r="AE40" i="7"/>
  <c r="S40" i="7"/>
  <c r="AB40" i="7"/>
  <c r="AC40" i="7"/>
  <c r="N40" i="7"/>
  <c r="AD40" i="7"/>
  <c r="W40" i="7"/>
  <c r="X40" i="7"/>
  <c r="AN40" i="7"/>
  <c r="AF40" i="7"/>
  <c r="I36" i="7"/>
  <c r="AY36" i="7"/>
  <c r="AY178" i="7"/>
  <c r="AE36" i="7"/>
  <c r="AE178" i="7"/>
  <c r="AM36" i="7"/>
  <c r="AM178" i="7"/>
  <c r="AU36" i="7"/>
  <c r="AU178" i="7"/>
  <c r="AG36" i="7"/>
  <c r="AG178" i="7"/>
  <c r="AO36" i="7"/>
  <c r="AO178" i="7"/>
  <c r="AI36" i="7"/>
  <c r="AI178" i="7"/>
  <c r="AC36" i="7"/>
  <c r="AC178" i="7"/>
  <c r="AS36" i="7"/>
  <c r="AS178" i="7"/>
  <c r="AL36" i="7"/>
  <c r="AL178" i="7"/>
  <c r="AF36" i="7"/>
  <c r="AF178" i="7"/>
  <c r="AN36" i="7"/>
  <c r="AN178" i="7"/>
  <c r="AV36" i="7"/>
  <c r="AV178" i="7"/>
  <c r="AW36" i="7"/>
  <c r="AW178" i="7"/>
  <c r="AH36" i="7"/>
  <c r="AH178" i="7"/>
  <c r="AX36" i="7"/>
  <c r="AX178" i="7"/>
  <c r="AQ36" i="7"/>
  <c r="AQ178" i="7"/>
  <c r="AP36" i="7"/>
  <c r="AP178" i="7"/>
  <c r="AJ36" i="7"/>
  <c r="AJ178" i="7"/>
  <c r="AR36" i="7"/>
  <c r="AR178" i="7"/>
  <c r="AK36" i="7"/>
  <c r="AK178" i="7"/>
  <c r="AD36" i="7"/>
  <c r="AD178" i="7"/>
  <c r="AT36" i="7"/>
  <c r="AT178" i="7"/>
  <c r="R36" i="7"/>
  <c r="R178" i="7"/>
  <c r="Z36" i="7"/>
  <c r="Z178" i="7"/>
  <c r="T36" i="7"/>
  <c r="T178" i="7"/>
  <c r="J36" i="7"/>
  <c r="J178" i="7"/>
  <c r="Q36" i="7"/>
  <c r="Q178" i="7"/>
  <c r="S36" i="7"/>
  <c r="S178" i="7"/>
  <c r="AA36" i="7"/>
  <c r="AA178" i="7"/>
  <c r="AB36" i="7"/>
  <c r="AB178" i="7"/>
  <c r="U36" i="7"/>
  <c r="U178" i="7"/>
  <c r="K36" i="7"/>
  <c r="K178" i="7"/>
  <c r="V36" i="7"/>
  <c r="V178" i="7"/>
  <c r="L36" i="7"/>
  <c r="L178" i="7"/>
  <c r="W36" i="7"/>
  <c r="W178" i="7"/>
  <c r="M36" i="7"/>
  <c r="M178" i="7"/>
  <c r="P36" i="7"/>
  <c r="P178" i="7"/>
  <c r="X36" i="7"/>
  <c r="X178" i="7"/>
  <c r="N36" i="7"/>
  <c r="N178" i="7"/>
  <c r="O36" i="7"/>
  <c r="O178" i="7"/>
  <c r="Y36" i="7"/>
  <c r="Y178" i="7"/>
  <c r="M38" i="7"/>
  <c r="U38" i="7"/>
  <c r="K38" i="7"/>
  <c r="W38" i="7"/>
  <c r="R38" i="7"/>
  <c r="T38" i="7"/>
  <c r="N38" i="7"/>
  <c r="V38" i="7"/>
  <c r="L38" i="7"/>
  <c r="O38" i="7"/>
  <c r="S38" i="7"/>
  <c r="AA38" i="7"/>
  <c r="J38" i="7"/>
  <c r="P38" i="7"/>
  <c r="X38" i="7"/>
  <c r="Q38" i="7"/>
  <c r="Y38" i="7"/>
  <c r="Z38" i="7"/>
  <c r="AB38" i="7"/>
  <c r="T39" i="7"/>
  <c r="AB39" i="7"/>
  <c r="J39" i="7"/>
  <c r="V39" i="7"/>
  <c r="L39" i="7"/>
  <c r="AA39" i="7"/>
  <c r="U39" i="7"/>
  <c r="K39" i="7"/>
  <c r="Q39" i="7"/>
  <c r="O39" i="7"/>
  <c r="Z39" i="7"/>
  <c r="S39" i="7"/>
  <c r="W39" i="7"/>
  <c r="M39" i="7"/>
  <c r="X39" i="7"/>
  <c r="N39" i="7"/>
  <c r="Y39" i="7"/>
  <c r="R39" i="7"/>
  <c r="P39" i="7"/>
  <c r="E311" i="1"/>
  <c r="C49" i="19"/>
  <c r="C131" i="5"/>
  <c r="E49" i="19"/>
  <c r="C130" i="5"/>
  <c r="E130" i="5"/>
  <c r="E48" i="19"/>
  <c r="D276" i="7"/>
  <c r="E276" i="7"/>
  <c r="CC280" i="7"/>
  <c r="CC281" i="7"/>
  <c r="E375" i="1"/>
  <c r="D35" i="10"/>
  <c r="D226" i="7"/>
  <c r="D82" i="1"/>
  <c r="D238" i="7"/>
  <c r="F187" i="1"/>
  <c r="E131" i="5"/>
  <c r="AY139" i="5"/>
  <c r="AN83" i="48"/>
  <c r="AK100" i="48"/>
  <c r="D39" i="7"/>
  <c r="I178" i="7"/>
  <c r="D178" i="7"/>
  <c r="D36" i="7"/>
  <c r="D40" i="7"/>
  <c r="D38" i="7"/>
  <c r="AZ136" i="5"/>
  <c r="BA136" i="5"/>
  <c r="D74" i="16"/>
  <c r="D45" i="16"/>
  <c r="D227" i="7"/>
  <c r="F78" i="1"/>
  <c r="F82" i="1"/>
  <c r="AZ139" i="5"/>
  <c r="AZ143" i="5"/>
  <c r="AX139" i="5"/>
  <c r="AX143" i="5"/>
  <c r="AY143" i="5"/>
  <c r="AY34" i="8"/>
  <c r="AY141" i="5"/>
  <c r="AZ141" i="5"/>
  <c r="AX141" i="5"/>
  <c r="AO83" i="48"/>
  <c r="AL100" i="48"/>
  <c r="BA139" i="5"/>
  <c r="BA143" i="5"/>
  <c r="BA141" i="5"/>
  <c r="D11" i="5"/>
  <c r="D10" i="5"/>
  <c r="I17" i="5"/>
  <c r="K2" i="5"/>
  <c r="J2" i="5"/>
  <c r="AX34" i="8"/>
  <c r="AX41" i="8"/>
  <c r="AY41" i="8"/>
  <c r="AY40" i="8"/>
  <c r="AY42" i="8"/>
  <c r="AP83" i="48"/>
  <c r="AM100" i="48"/>
  <c r="I2" i="7"/>
  <c r="L1" i="59"/>
  <c r="I58" i="5"/>
  <c r="I59" i="5"/>
  <c r="M19" i="22"/>
  <c r="L2" i="5"/>
  <c r="I18" i="5"/>
  <c r="J17" i="5"/>
  <c r="J18" i="5"/>
  <c r="K17" i="5"/>
  <c r="K18" i="5"/>
  <c r="L17" i="5"/>
  <c r="L18" i="5"/>
  <c r="I23" i="5"/>
  <c r="I3" i="7"/>
  <c r="L2" i="59"/>
  <c r="J2" i="55"/>
  <c r="J36" i="55"/>
  <c r="J2" i="47"/>
  <c r="J48" i="47"/>
  <c r="J2" i="43"/>
  <c r="J2" i="41"/>
  <c r="J99" i="41"/>
  <c r="L2" i="55"/>
  <c r="L36" i="55"/>
  <c r="L2" i="47"/>
  <c r="L48" i="47"/>
  <c r="L2" i="43"/>
  <c r="L2" i="41"/>
  <c r="L99" i="41"/>
  <c r="K2" i="55"/>
  <c r="K36" i="55"/>
  <c r="K2" i="47"/>
  <c r="K48" i="47"/>
  <c r="K2" i="43"/>
  <c r="K2" i="41"/>
  <c r="K99" i="41"/>
  <c r="AX42" i="8"/>
  <c r="AX40" i="8"/>
  <c r="AQ83" i="48"/>
  <c r="AP100" i="48"/>
  <c r="J2" i="7"/>
  <c r="M1" i="59"/>
  <c r="J58" i="5"/>
  <c r="J59" i="5"/>
  <c r="I33" i="17"/>
  <c r="M2" i="5"/>
  <c r="I115" i="5"/>
  <c r="J19" i="5"/>
  <c r="K19" i="5"/>
  <c r="L19" i="5"/>
  <c r="I19" i="5"/>
  <c r="I24" i="5"/>
  <c r="I64" i="5"/>
  <c r="M2" i="55"/>
  <c r="M36" i="55"/>
  <c r="M2" i="47"/>
  <c r="M48" i="47"/>
  <c r="M2" i="43"/>
  <c r="M2" i="41"/>
  <c r="M99" i="41"/>
  <c r="AR83" i="48"/>
  <c r="AQ100" i="48"/>
  <c r="K2" i="7"/>
  <c r="N1" i="59"/>
  <c r="K58" i="5"/>
  <c r="K59" i="5"/>
  <c r="N19" i="22"/>
  <c r="I34" i="17"/>
  <c r="I4" i="7"/>
  <c r="L3" i="59"/>
  <c r="E12" i="19"/>
  <c r="N2" i="5"/>
  <c r="M17" i="5"/>
  <c r="I116" i="5"/>
  <c r="F10" i="19"/>
  <c r="J23" i="5"/>
  <c r="I25" i="5"/>
  <c r="I5" i="7"/>
  <c r="L4" i="59"/>
  <c r="I63" i="5"/>
  <c r="I124" i="5"/>
  <c r="I123" i="5"/>
  <c r="AZ37" i="5"/>
  <c r="BH37" i="5"/>
  <c r="BP37" i="5"/>
  <c r="BX37" i="5"/>
  <c r="AY38" i="5"/>
  <c r="BG38" i="5"/>
  <c r="BO38" i="5"/>
  <c r="BW38" i="5"/>
  <c r="BA37" i="5"/>
  <c r="BI37" i="5"/>
  <c r="BQ37" i="5"/>
  <c r="BY37" i="5"/>
  <c r="AZ38" i="5"/>
  <c r="BH38" i="5"/>
  <c r="BP38" i="5"/>
  <c r="BX38" i="5"/>
  <c r="CD65" i="5"/>
  <c r="BB37" i="5"/>
  <c r="BJ37" i="5"/>
  <c r="BR37" i="5"/>
  <c r="BZ37" i="5"/>
  <c r="BA38" i="5"/>
  <c r="BI38" i="5"/>
  <c r="BQ38" i="5"/>
  <c r="BY38" i="5"/>
  <c r="BC37" i="5"/>
  <c r="BK37" i="5"/>
  <c r="BS37" i="5"/>
  <c r="CA37" i="5"/>
  <c r="BB38" i="5"/>
  <c r="BJ38" i="5"/>
  <c r="BR38" i="5"/>
  <c r="BZ38" i="5"/>
  <c r="BE37" i="5"/>
  <c r="CC37" i="5"/>
  <c r="BT38" i="5"/>
  <c r="CD64" i="5"/>
  <c r="BD37" i="5"/>
  <c r="BL37" i="5"/>
  <c r="BT37" i="5"/>
  <c r="CB37" i="5"/>
  <c r="BC38" i="5"/>
  <c r="BK38" i="5"/>
  <c r="BS38" i="5"/>
  <c r="CA38" i="5"/>
  <c r="BU37" i="5"/>
  <c r="BD38" i="5"/>
  <c r="CB38" i="5"/>
  <c r="BM37" i="5"/>
  <c r="BL38" i="5"/>
  <c r="AX37" i="5"/>
  <c r="BF37" i="5"/>
  <c r="BN37" i="5"/>
  <c r="BV37" i="5"/>
  <c r="CD37" i="5"/>
  <c r="BE38" i="5"/>
  <c r="BM38" i="5"/>
  <c r="BU38" i="5"/>
  <c r="CC38" i="5"/>
  <c r="BO37" i="5"/>
  <c r="BW37" i="5"/>
  <c r="AX38" i="5"/>
  <c r="BF38" i="5"/>
  <c r="BN38" i="5"/>
  <c r="BG37" i="5"/>
  <c r="BV38" i="5"/>
  <c r="AY37" i="5"/>
  <c r="CD38" i="5"/>
  <c r="I67" i="5"/>
  <c r="N2" i="55"/>
  <c r="N36" i="55"/>
  <c r="N2" i="47"/>
  <c r="N48" i="47"/>
  <c r="N2" i="43"/>
  <c r="N2" i="41"/>
  <c r="N99" i="41"/>
  <c r="AS83" i="48"/>
  <c r="AR100" i="48"/>
  <c r="F22" i="17"/>
  <c r="L2" i="7"/>
  <c r="O1" i="59"/>
  <c r="L58" i="5"/>
  <c r="L59" i="5"/>
  <c r="O19" i="22"/>
  <c r="J26" i="5"/>
  <c r="J6" i="7"/>
  <c r="J3" i="7"/>
  <c r="M2" i="59"/>
  <c r="J33" i="17"/>
  <c r="I65" i="5"/>
  <c r="I12" i="7"/>
  <c r="I10" i="7"/>
  <c r="M18" i="5"/>
  <c r="O2" i="5"/>
  <c r="J115" i="5"/>
  <c r="F23" i="17"/>
  <c r="D147" i="5"/>
  <c r="I147" i="5"/>
  <c r="I158" i="5"/>
  <c r="J24" i="5"/>
  <c r="M5" i="59"/>
  <c r="CD67" i="5"/>
  <c r="CD123" i="5"/>
  <c r="CD119" i="5"/>
  <c r="CD124" i="5"/>
  <c r="CD120" i="5"/>
  <c r="I237" i="7"/>
  <c r="O2" i="55"/>
  <c r="O36" i="55"/>
  <c r="O2" i="47"/>
  <c r="O48" i="47"/>
  <c r="C100" i="47"/>
  <c r="O2" i="43"/>
  <c r="O2" i="41"/>
  <c r="O99" i="41"/>
  <c r="AZ147" i="5"/>
  <c r="AZ158" i="5"/>
  <c r="AZ161" i="5"/>
  <c r="BE147" i="5"/>
  <c r="AX147" i="5"/>
  <c r="AX158" i="5"/>
  <c r="AX161" i="5"/>
  <c r="BF147" i="5"/>
  <c r="BA147" i="5"/>
  <c r="BA158" i="5"/>
  <c r="BA161" i="5"/>
  <c r="AY147" i="5"/>
  <c r="AY158" i="5"/>
  <c r="AY161" i="5"/>
  <c r="BC147" i="5"/>
  <c r="BC158" i="5"/>
  <c r="BC161" i="5"/>
  <c r="BB147" i="5"/>
  <c r="BB158" i="5"/>
  <c r="BB161" i="5"/>
  <c r="BD147" i="5"/>
  <c r="BD158" i="5"/>
  <c r="BD161" i="5"/>
  <c r="D24" i="17"/>
  <c r="AT83" i="48"/>
  <c r="AS100" i="48"/>
  <c r="I11" i="7"/>
  <c r="P19" i="22"/>
  <c r="M2" i="7"/>
  <c r="P1" i="59"/>
  <c r="M58" i="5"/>
  <c r="M59" i="5"/>
  <c r="J34" i="17"/>
  <c r="J4" i="7"/>
  <c r="M3" i="59"/>
  <c r="I14" i="7"/>
  <c r="I238" i="7"/>
  <c r="I66" i="5"/>
  <c r="I13" i="7"/>
  <c r="I119" i="5"/>
  <c r="I289" i="7"/>
  <c r="I120" i="5"/>
  <c r="I290" i="7"/>
  <c r="D33" i="5"/>
  <c r="F12" i="19"/>
  <c r="P2" i="5"/>
  <c r="N17" i="5"/>
  <c r="M19" i="5"/>
  <c r="J116" i="5"/>
  <c r="K23" i="5"/>
  <c r="J25" i="5"/>
  <c r="J5" i="7"/>
  <c r="M4" i="59"/>
  <c r="J64" i="5"/>
  <c r="J69" i="5"/>
  <c r="J65" i="5"/>
  <c r="J63" i="5"/>
  <c r="I69" i="5"/>
  <c r="J123" i="5"/>
  <c r="I70" i="5"/>
  <c r="CD71" i="5"/>
  <c r="CD70" i="5"/>
  <c r="CD73" i="5"/>
  <c r="P2" i="55"/>
  <c r="P36" i="55"/>
  <c r="P2" i="47"/>
  <c r="P48" i="47"/>
  <c r="P2" i="43"/>
  <c r="P2" i="41"/>
  <c r="P99" i="41"/>
  <c r="J27" i="12"/>
  <c r="AU83" i="48"/>
  <c r="AT100" i="48"/>
  <c r="I236" i="7"/>
  <c r="N2" i="7"/>
  <c r="Q1" i="59"/>
  <c r="N58" i="5"/>
  <c r="N59" i="5"/>
  <c r="Q19" i="22"/>
  <c r="K26" i="5"/>
  <c r="K6" i="7"/>
  <c r="K3" i="7"/>
  <c r="N2" i="59"/>
  <c r="K33" i="17"/>
  <c r="J70" i="5"/>
  <c r="J73" i="5"/>
  <c r="I71" i="5"/>
  <c r="J71" i="5"/>
  <c r="J12" i="7"/>
  <c r="J10" i="7"/>
  <c r="J11" i="7"/>
  <c r="J236" i="7"/>
  <c r="N18" i="5"/>
  <c r="Q2" i="5"/>
  <c r="K115" i="5"/>
  <c r="J237" i="7"/>
  <c r="J124" i="5"/>
  <c r="J238" i="7"/>
  <c r="J120" i="5"/>
  <c r="J119" i="5"/>
  <c r="J66" i="5"/>
  <c r="J67" i="5"/>
  <c r="J14" i="7"/>
  <c r="K24" i="5"/>
  <c r="N5" i="59"/>
  <c r="Q2" i="55"/>
  <c r="Q36" i="55"/>
  <c r="Q2" i="47"/>
  <c r="Q48" i="47"/>
  <c r="Q2" i="43"/>
  <c r="Q2" i="41"/>
  <c r="Q99" i="41"/>
  <c r="I27" i="4"/>
  <c r="I27" i="11"/>
  <c r="M133" i="22"/>
  <c r="M129" i="22"/>
  <c r="M137" i="22"/>
  <c r="I161" i="5"/>
  <c r="J30" i="12"/>
  <c r="AV83" i="48"/>
  <c r="AV100" i="48"/>
  <c r="AU100" i="48"/>
  <c r="I73" i="5"/>
  <c r="R19" i="22"/>
  <c r="O2" i="7"/>
  <c r="R1" i="59"/>
  <c r="O58" i="5"/>
  <c r="O59" i="5"/>
  <c r="K34" i="17"/>
  <c r="K4" i="7"/>
  <c r="N3" i="59"/>
  <c r="J72" i="5"/>
  <c r="I72" i="5"/>
  <c r="J13" i="7"/>
  <c r="O17" i="5"/>
  <c r="N19" i="5"/>
  <c r="R2" i="5"/>
  <c r="K63" i="5"/>
  <c r="K116" i="5"/>
  <c r="J289" i="7"/>
  <c r="J290" i="7"/>
  <c r="K64" i="5"/>
  <c r="L23" i="5"/>
  <c r="K25" i="5"/>
  <c r="K5" i="7"/>
  <c r="N4" i="59"/>
  <c r="K70" i="5"/>
  <c r="K69" i="5"/>
  <c r="K65" i="5"/>
  <c r="K71" i="5"/>
  <c r="R2" i="55"/>
  <c r="R36" i="55"/>
  <c r="R2" i="47"/>
  <c r="R48" i="47"/>
  <c r="R2" i="43"/>
  <c r="R2" i="41"/>
  <c r="R99" i="41"/>
  <c r="M141" i="22"/>
  <c r="F111" i="48"/>
  <c r="M140" i="22"/>
  <c r="M139" i="22"/>
  <c r="J52" i="12"/>
  <c r="I137" i="11"/>
  <c r="I136" i="11"/>
  <c r="I133" i="11"/>
  <c r="I132" i="11"/>
  <c r="I208" i="11"/>
  <c r="I135" i="11"/>
  <c r="I134" i="11"/>
  <c r="I130" i="11"/>
  <c r="I127" i="11"/>
  <c r="I124" i="11"/>
  <c r="I94" i="11"/>
  <c r="I126" i="11"/>
  <c r="I123" i="11"/>
  <c r="I96" i="11"/>
  <c r="I97" i="11"/>
  <c r="I122" i="11"/>
  <c r="I93" i="11"/>
  <c r="I125" i="11"/>
  <c r="I95" i="11"/>
  <c r="I92" i="11"/>
  <c r="S19" i="22"/>
  <c r="P2" i="7"/>
  <c r="S1" i="59"/>
  <c r="P58" i="5"/>
  <c r="P59" i="5"/>
  <c r="L33" i="17"/>
  <c r="L26" i="5"/>
  <c r="L6" i="7"/>
  <c r="L3" i="7"/>
  <c r="O2" i="59"/>
  <c r="K10" i="7"/>
  <c r="K12" i="7"/>
  <c r="K11" i="7"/>
  <c r="S2" i="5"/>
  <c r="O18" i="5"/>
  <c r="K123" i="5"/>
  <c r="K237" i="7"/>
  <c r="K124" i="5"/>
  <c r="K238" i="7"/>
  <c r="K120" i="5"/>
  <c r="K119" i="5"/>
  <c r="L115" i="5"/>
  <c r="L24" i="5"/>
  <c r="K66" i="5"/>
  <c r="K67" i="5"/>
  <c r="K14" i="7"/>
  <c r="K72" i="5"/>
  <c r="K73" i="5"/>
  <c r="O5" i="59"/>
  <c r="S2" i="55"/>
  <c r="S36" i="55"/>
  <c r="S2" i="47"/>
  <c r="S48" i="47"/>
  <c r="S2" i="43"/>
  <c r="S2" i="41"/>
  <c r="S99" i="41"/>
  <c r="J55" i="12"/>
  <c r="F112" i="48"/>
  <c r="M147" i="22"/>
  <c r="M165" i="22"/>
  <c r="J56" i="12"/>
  <c r="D8" i="58"/>
  <c r="F228" i="48"/>
  <c r="M467" i="22"/>
  <c r="M469" i="22"/>
  <c r="M473" i="22"/>
  <c r="M468" i="22"/>
  <c r="M479" i="22"/>
  <c r="J65" i="12"/>
  <c r="F107" i="48"/>
  <c r="F226" i="48"/>
  <c r="M465" i="22"/>
  <c r="D4" i="58"/>
  <c r="Q2" i="7"/>
  <c r="T1" i="59"/>
  <c r="Q58" i="5"/>
  <c r="Q59" i="5"/>
  <c r="T19" i="22"/>
  <c r="L34" i="17"/>
  <c r="L4" i="7"/>
  <c r="O3" i="59"/>
  <c r="K236" i="7"/>
  <c r="K13" i="7"/>
  <c r="P17" i="5"/>
  <c r="O19" i="5"/>
  <c r="T2" i="5"/>
  <c r="K289" i="7"/>
  <c r="L71" i="5"/>
  <c r="L116" i="5"/>
  <c r="K290" i="7"/>
  <c r="L69" i="5"/>
  <c r="L65" i="5"/>
  <c r="L64" i="5"/>
  <c r="M23" i="5"/>
  <c r="L25" i="5"/>
  <c r="L5" i="7"/>
  <c r="O4" i="59"/>
  <c r="L70" i="5"/>
  <c r="L63" i="5"/>
  <c r="T2" i="55"/>
  <c r="T36" i="55"/>
  <c r="T2" i="47"/>
  <c r="T48" i="47"/>
  <c r="T2" i="43"/>
  <c r="T2" i="41"/>
  <c r="T99" i="41"/>
  <c r="M203" i="22"/>
  <c r="D23" i="58"/>
  <c r="I37" i="43"/>
  <c r="I43" i="43"/>
  <c r="M179" i="22"/>
  <c r="M484" i="22"/>
  <c r="J98" i="12"/>
  <c r="M476" i="22"/>
  <c r="J62" i="12"/>
  <c r="M488" i="22"/>
  <c r="J102" i="12"/>
  <c r="M480" i="22"/>
  <c r="J66" i="12"/>
  <c r="M486" i="22"/>
  <c r="M478" i="22"/>
  <c r="J135" i="12"/>
  <c r="M271" i="22"/>
  <c r="M266" i="22"/>
  <c r="U19" i="22"/>
  <c r="R2" i="7"/>
  <c r="U1" i="59"/>
  <c r="R58" i="5"/>
  <c r="R59" i="5"/>
  <c r="M33" i="17"/>
  <c r="M3" i="7"/>
  <c r="P2" i="59"/>
  <c r="M26" i="5"/>
  <c r="M6" i="7"/>
  <c r="L10" i="7"/>
  <c r="L11" i="7"/>
  <c r="L12" i="7"/>
  <c r="U2" i="5"/>
  <c r="P18" i="5"/>
  <c r="L124" i="5"/>
  <c r="L238" i="7"/>
  <c r="L123" i="5"/>
  <c r="L237" i="7"/>
  <c r="L119" i="5"/>
  <c r="L120" i="5"/>
  <c r="M115" i="5"/>
  <c r="L73" i="5"/>
  <c r="L72" i="5"/>
  <c r="M24" i="5"/>
  <c r="L67" i="5"/>
  <c r="L14" i="7"/>
  <c r="L66" i="5"/>
  <c r="P5" i="59"/>
  <c r="U2" i="55"/>
  <c r="U36" i="55"/>
  <c r="U2" i="47"/>
  <c r="U48" i="47"/>
  <c r="U2" i="43"/>
  <c r="U2" i="41"/>
  <c r="U99" i="41"/>
  <c r="J136" i="12"/>
  <c r="J195" i="12"/>
  <c r="M275" i="22"/>
  <c r="J132" i="12"/>
  <c r="J192" i="12"/>
  <c r="S2" i="7"/>
  <c r="V1" i="59"/>
  <c r="S58" i="5"/>
  <c r="S59" i="5"/>
  <c r="V19" i="22"/>
  <c r="M34" i="17"/>
  <c r="M4" i="7"/>
  <c r="P3" i="59"/>
  <c r="L236" i="7"/>
  <c r="L13" i="7"/>
  <c r="Q17" i="5"/>
  <c r="P19" i="5"/>
  <c r="V2" i="5"/>
  <c r="L289" i="7"/>
  <c r="M116" i="5"/>
  <c r="L290" i="7"/>
  <c r="M64" i="5"/>
  <c r="M70" i="5"/>
  <c r="N23" i="5"/>
  <c r="N26" i="5"/>
  <c r="M25" i="5"/>
  <c r="M5" i="7"/>
  <c r="P4" i="59"/>
  <c r="M63" i="5"/>
  <c r="M69" i="5"/>
  <c r="M65" i="5"/>
  <c r="M71" i="5"/>
  <c r="V2" i="55"/>
  <c r="V36" i="55"/>
  <c r="V2" i="47"/>
  <c r="V48" i="47"/>
  <c r="V2" i="43"/>
  <c r="V2" i="41"/>
  <c r="V99" i="41"/>
  <c r="W19" i="22"/>
  <c r="T2" i="7"/>
  <c r="W1" i="59"/>
  <c r="T58" i="5"/>
  <c r="T59" i="5"/>
  <c r="N33" i="17"/>
  <c r="N3" i="7"/>
  <c r="Q2" i="59"/>
  <c r="M11" i="7"/>
  <c r="M10" i="7"/>
  <c r="M12" i="7"/>
  <c r="W2" i="5"/>
  <c r="Q18" i="5"/>
  <c r="M124" i="5"/>
  <c r="M238" i="7"/>
  <c r="M123" i="5"/>
  <c r="M237" i="7"/>
  <c r="M119" i="5"/>
  <c r="M120" i="5"/>
  <c r="N115" i="5"/>
  <c r="N24" i="5"/>
  <c r="N6" i="7"/>
  <c r="M72" i="5"/>
  <c r="M73" i="5"/>
  <c r="M67" i="5"/>
  <c r="M14" i="7"/>
  <c r="M66" i="5"/>
  <c r="Q5" i="59"/>
  <c r="W2" i="55"/>
  <c r="W36" i="55"/>
  <c r="W2" i="47"/>
  <c r="W48" i="47"/>
  <c r="W2" i="43"/>
  <c r="W2" i="41"/>
  <c r="W99" i="41"/>
  <c r="U2" i="7"/>
  <c r="X1" i="59"/>
  <c r="U58" i="5"/>
  <c r="U59" i="5"/>
  <c r="X19" i="22"/>
  <c r="N34" i="17"/>
  <c r="N4" i="7"/>
  <c r="Q3" i="59"/>
  <c r="M13" i="7"/>
  <c r="M236" i="7"/>
  <c r="X2" i="5"/>
  <c r="R17" i="5"/>
  <c r="Q19" i="5"/>
  <c r="M290" i="7"/>
  <c r="M289" i="7"/>
  <c r="N69" i="5"/>
  <c r="N116" i="5"/>
  <c r="N71" i="5"/>
  <c r="N63" i="5"/>
  <c r="N10" i="7"/>
  <c r="N64" i="5"/>
  <c r="N70" i="5"/>
  <c r="N25" i="5"/>
  <c r="N5" i="7"/>
  <c r="Q4" i="59"/>
  <c r="O23" i="5"/>
  <c r="N65" i="5"/>
  <c r="N12" i="7"/>
  <c r="N11" i="7"/>
  <c r="X2" i="55"/>
  <c r="X36" i="55"/>
  <c r="X2" i="47"/>
  <c r="X48" i="47"/>
  <c r="X2" i="43"/>
  <c r="X2" i="41"/>
  <c r="X99" i="41"/>
  <c r="Y19" i="22"/>
  <c r="V2" i="7"/>
  <c r="Y1" i="59"/>
  <c r="V58" i="5"/>
  <c r="V59" i="5"/>
  <c r="O33" i="17"/>
  <c r="O3" i="7"/>
  <c r="R2" i="59"/>
  <c r="O26" i="5"/>
  <c r="O6" i="7"/>
  <c r="R5" i="59"/>
  <c r="R18" i="5"/>
  <c r="Y2" i="5"/>
  <c r="N236" i="7"/>
  <c r="O115" i="5"/>
  <c r="N123" i="5"/>
  <c r="N237" i="7"/>
  <c r="N124" i="5"/>
  <c r="N238" i="7"/>
  <c r="N119" i="5"/>
  <c r="N289" i="7"/>
  <c r="N120" i="5"/>
  <c r="N290" i="7"/>
  <c r="N73" i="5"/>
  <c r="N72" i="5"/>
  <c r="N67" i="5"/>
  <c r="N14" i="7"/>
  <c r="N66" i="5"/>
  <c r="N13" i="7"/>
  <c r="O24" i="5"/>
  <c r="Y2" i="55"/>
  <c r="Y36" i="55"/>
  <c r="Y2" i="47"/>
  <c r="Y48" i="47"/>
  <c r="Y2" i="43"/>
  <c r="Y2" i="41"/>
  <c r="Y99" i="41"/>
  <c r="W2" i="7"/>
  <c r="Z1" i="59"/>
  <c r="W58" i="5"/>
  <c r="W59" i="5"/>
  <c r="Z19" i="22"/>
  <c r="O34" i="17"/>
  <c r="O4" i="7"/>
  <c r="R3" i="59"/>
  <c r="I68" i="3"/>
  <c r="I55" i="17"/>
  <c r="Z2" i="5"/>
  <c r="S17" i="5"/>
  <c r="R19" i="5"/>
  <c r="O63" i="5"/>
  <c r="O10" i="7"/>
  <c r="O116" i="5"/>
  <c r="O64" i="5"/>
  <c r="O11" i="7"/>
  <c r="O70" i="5"/>
  <c r="P23" i="5"/>
  <c r="O25" i="5"/>
  <c r="O5" i="7"/>
  <c r="R4" i="59"/>
  <c r="O69" i="5"/>
  <c r="O65" i="5"/>
  <c r="O12" i="7"/>
  <c r="O71" i="5"/>
  <c r="Z2" i="55"/>
  <c r="Z36" i="55"/>
  <c r="Z2" i="47"/>
  <c r="Z48" i="47"/>
  <c r="Z2" i="43"/>
  <c r="Z2" i="41"/>
  <c r="Z99" i="41"/>
  <c r="X2" i="7"/>
  <c r="AA1" i="59"/>
  <c r="X58" i="5"/>
  <c r="X59" i="5"/>
  <c r="AA19" i="22"/>
  <c r="P33" i="17"/>
  <c r="P3" i="7"/>
  <c r="S2" i="59"/>
  <c r="P26" i="5"/>
  <c r="P6" i="7"/>
  <c r="S5" i="59"/>
  <c r="AA2" i="5"/>
  <c r="S18" i="5"/>
  <c r="O236" i="7"/>
  <c r="P115" i="5"/>
  <c r="O123" i="5"/>
  <c r="O237" i="7"/>
  <c r="O124" i="5"/>
  <c r="O238" i="7"/>
  <c r="O119" i="5"/>
  <c r="O289" i="7"/>
  <c r="O120" i="5"/>
  <c r="O290" i="7"/>
  <c r="P24" i="5"/>
  <c r="O72" i="5"/>
  <c r="O73" i="5"/>
  <c r="O67" i="5"/>
  <c r="O14" i="7"/>
  <c r="O66" i="5"/>
  <c r="O13" i="7"/>
  <c r="AA2" i="55"/>
  <c r="AA36" i="55"/>
  <c r="AA2" i="47"/>
  <c r="AA48" i="47"/>
  <c r="AA2" i="43"/>
  <c r="AA2" i="41"/>
  <c r="AA99" i="41"/>
  <c r="AB19" i="22"/>
  <c r="Y2" i="7"/>
  <c r="AB1" i="59"/>
  <c r="Y58" i="5"/>
  <c r="Y59" i="5"/>
  <c r="P34" i="17"/>
  <c r="P4" i="7"/>
  <c r="S3" i="59"/>
  <c r="J68" i="3"/>
  <c r="J55" i="17"/>
  <c r="AB2" i="5"/>
  <c r="T17" i="5"/>
  <c r="S19" i="5"/>
  <c r="P71" i="5"/>
  <c r="P116" i="5"/>
  <c r="P69" i="5"/>
  <c r="P65" i="5"/>
  <c r="P12" i="7"/>
  <c r="P64" i="5"/>
  <c r="P11" i="7"/>
  <c r="P70" i="5"/>
  <c r="Q23" i="5"/>
  <c r="P25" i="5"/>
  <c r="P5" i="7"/>
  <c r="S4" i="59"/>
  <c r="P63" i="5"/>
  <c r="P10" i="7"/>
  <c r="AB2" i="55"/>
  <c r="AB36" i="55"/>
  <c r="AB2" i="47"/>
  <c r="AB48" i="47"/>
  <c r="AB2" i="43"/>
  <c r="AB2" i="41"/>
  <c r="AB99" i="41"/>
  <c r="AC19" i="22"/>
  <c r="Z2" i="7"/>
  <c r="AC1" i="59"/>
  <c r="Z58" i="5"/>
  <c r="Z59" i="5"/>
  <c r="Q33" i="17"/>
  <c r="Q3" i="7"/>
  <c r="T2" i="59"/>
  <c r="Q26" i="5"/>
  <c r="Q6" i="7"/>
  <c r="T5" i="59"/>
  <c r="T18" i="5"/>
  <c r="AC2" i="5"/>
  <c r="Q115" i="5"/>
  <c r="P236" i="7"/>
  <c r="P124" i="5"/>
  <c r="P238" i="7"/>
  <c r="P123" i="5"/>
  <c r="P237" i="7"/>
  <c r="P119" i="5"/>
  <c r="P289" i="7"/>
  <c r="P120" i="5"/>
  <c r="P290" i="7"/>
  <c r="P73" i="5"/>
  <c r="P72" i="5"/>
  <c r="P66" i="5"/>
  <c r="P13" i="7"/>
  <c r="P67" i="5"/>
  <c r="P14" i="7"/>
  <c r="Q24" i="5"/>
  <c r="AC2" i="55"/>
  <c r="AC36" i="55"/>
  <c r="AC2" i="47"/>
  <c r="AC48" i="47"/>
  <c r="AC2" i="43"/>
  <c r="AC2" i="41"/>
  <c r="AC99" i="41"/>
  <c r="AA2" i="7"/>
  <c r="AD1" i="59"/>
  <c r="AA58" i="5"/>
  <c r="AA59" i="5"/>
  <c r="AD19" i="22"/>
  <c r="Q34" i="17"/>
  <c r="Q4" i="7"/>
  <c r="T3" i="59"/>
  <c r="K68" i="3"/>
  <c r="K55" i="17"/>
  <c r="U17" i="5"/>
  <c r="T19" i="5"/>
  <c r="AD2" i="5"/>
  <c r="Q71" i="5"/>
  <c r="Q116" i="5"/>
  <c r="Q69" i="5"/>
  <c r="Q65" i="5"/>
  <c r="Q12" i="7"/>
  <c r="Q64" i="5"/>
  <c r="Q11" i="7"/>
  <c r="Q70" i="5"/>
  <c r="Q25" i="5"/>
  <c r="Q5" i="7"/>
  <c r="T4" i="59"/>
  <c r="R23" i="5"/>
  <c r="Q63" i="5"/>
  <c r="Q10" i="7"/>
  <c r="AD2" i="55"/>
  <c r="AD36" i="55"/>
  <c r="AD2" i="47"/>
  <c r="AD48" i="47"/>
  <c r="AD2" i="43"/>
  <c r="AD2" i="41"/>
  <c r="AD99" i="41"/>
  <c r="AB2" i="7"/>
  <c r="AE1" i="59"/>
  <c r="AB58" i="5"/>
  <c r="AB59" i="5"/>
  <c r="AE19" i="22"/>
  <c r="R33" i="17"/>
  <c r="R3" i="7"/>
  <c r="U2" i="59"/>
  <c r="R26" i="5"/>
  <c r="R6" i="7"/>
  <c r="U5" i="59"/>
  <c r="AE2" i="5"/>
  <c r="U18" i="5"/>
  <c r="R115" i="5"/>
  <c r="Q236" i="7"/>
  <c r="Q123" i="5"/>
  <c r="Q237" i="7"/>
  <c r="Q124" i="5"/>
  <c r="Q238" i="7"/>
  <c r="Q120" i="5"/>
  <c r="Q290" i="7"/>
  <c r="Q119" i="5"/>
  <c r="Q289" i="7"/>
  <c r="Q72" i="5"/>
  <c r="Q73" i="5"/>
  <c r="Q67" i="5"/>
  <c r="Q14" i="7"/>
  <c r="Q66" i="5"/>
  <c r="Q13" i="7"/>
  <c r="R24" i="5"/>
  <c r="AE2" i="55"/>
  <c r="AE36" i="55"/>
  <c r="AE2" i="47"/>
  <c r="AE48" i="47"/>
  <c r="AE2" i="43"/>
  <c r="AE2" i="41"/>
  <c r="AE99" i="41"/>
  <c r="AF19" i="22"/>
  <c r="AC2" i="7"/>
  <c r="AF1" i="59"/>
  <c r="AC58" i="5"/>
  <c r="AC59" i="5"/>
  <c r="R34" i="17"/>
  <c r="R4" i="7"/>
  <c r="U3" i="59"/>
  <c r="L68" i="3"/>
  <c r="L55" i="17"/>
  <c r="V17" i="5"/>
  <c r="U19" i="5"/>
  <c r="R69" i="5"/>
  <c r="R116" i="5"/>
  <c r="R71" i="5"/>
  <c r="R63" i="5"/>
  <c r="R10" i="7"/>
  <c r="R64" i="5"/>
  <c r="R11" i="7"/>
  <c r="R70" i="5"/>
  <c r="S23" i="5"/>
  <c r="R25" i="5"/>
  <c r="R5" i="7"/>
  <c r="U4" i="59"/>
  <c r="R65" i="5"/>
  <c r="R12" i="7"/>
  <c r="AG2" i="5"/>
  <c r="AF2" i="5"/>
  <c r="AD2" i="7"/>
  <c r="AG1" i="59"/>
  <c r="AD58" i="5"/>
  <c r="AD59" i="5"/>
  <c r="AG19" i="22"/>
  <c r="S33" i="17"/>
  <c r="S3" i="7"/>
  <c r="V2" i="59"/>
  <c r="S26" i="5"/>
  <c r="S6" i="7"/>
  <c r="V5" i="59"/>
  <c r="V18" i="5"/>
  <c r="R236" i="7"/>
  <c r="R123" i="5"/>
  <c r="R237" i="7"/>
  <c r="R124" i="5"/>
  <c r="R238" i="7"/>
  <c r="R120" i="5"/>
  <c r="R290" i="7"/>
  <c r="R119" i="5"/>
  <c r="R289" i="7"/>
  <c r="S115" i="5"/>
  <c r="R73" i="5"/>
  <c r="R72" i="5"/>
  <c r="S24" i="5"/>
  <c r="R66" i="5"/>
  <c r="R13" i="7"/>
  <c r="R67" i="5"/>
  <c r="R14" i="7"/>
  <c r="AF2" i="55"/>
  <c r="AF36" i="55"/>
  <c r="AF2" i="47"/>
  <c r="AF48" i="47"/>
  <c r="AF2" i="43"/>
  <c r="AF2" i="41"/>
  <c r="AF99" i="41"/>
  <c r="AG2" i="55"/>
  <c r="AG36" i="55"/>
  <c r="AG2" i="47"/>
  <c r="AG48" i="47"/>
  <c r="AG2" i="43"/>
  <c r="AG2" i="41"/>
  <c r="AG99" i="41"/>
  <c r="AE2" i="7"/>
  <c r="AH1" i="59"/>
  <c r="AE58" i="5"/>
  <c r="AE59" i="5"/>
  <c r="AH19" i="22"/>
  <c r="S34" i="17"/>
  <c r="S4" i="7"/>
  <c r="V3" i="59"/>
  <c r="M68" i="3"/>
  <c r="M55" i="17"/>
  <c r="W17" i="5"/>
  <c r="V19" i="5"/>
  <c r="AH2" i="5"/>
  <c r="S116" i="5"/>
  <c r="S64" i="5"/>
  <c r="S11" i="7"/>
  <c r="S70" i="5"/>
  <c r="T23" i="5"/>
  <c r="T26" i="5"/>
  <c r="S25" i="5"/>
  <c r="S5" i="7"/>
  <c r="V4" i="59"/>
  <c r="S69" i="5"/>
  <c r="S65" i="5"/>
  <c r="S12" i="7"/>
  <c r="S71" i="5"/>
  <c r="S63" i="5"/>
  <c r="S10" i="7"/>
  <c r="AH2" i="55"/>
  <c r="AH36" i="55"/>
  <c r="AH2" i="47"/>
  <c r="AH48" i="47"/>
  <c r="AH2" i="43"/>
  <c r="AH2" i="41"/>
  <c r="AH99" i="41"/>
  <c r="AI19" i="22"/>
  <c r="AF2" i="7"/>
  <c r="AI1" i="59"/>
  <c r="AF58" i="5"/>
  <c r="AF59" i="5"/>
  <c r="T33" i="17"/>
  <c r="T3" i="7"/>
  <c r="W2" i="59"/>
  <c r="N68" i="3"/>
  <c r="N55" i="17"/>
  <c r="W18" i="5"/>
  <c r="S236" i="7"/>
  <c r="T115" i="5"/>
  <c r="S123" i="5"/>
  <c r="S237" i="7"/>
  <c r="S124" i="5"/>
  <c r="S238" i="7"/>
  <c r="S120" i="5"/>
  <c r="S290" i="7"/>
  <c r="S119" i="5"/>
  <c r="S289" i="7"/>
  <c r="T6" i="7"/>
  <c r="W5" i="59"/>
  <c r="T24" i="5"/>
  <c r="S72" i="5"/>
  <c r="S73" i="5"/>
  <c r="S67" i="5"/>
  <c r="S14" i="7"/>
  <c r="S66" i="5"/>
  <c r="S13" i="7"/>
  <c r="AI2" i="5"/>
  <c r="AJ19" i="22"/>
  <c r="AG2" i="7"/>
  <c r="AJ1" i="59"/>
  <c r="AG58" i="5"/>
  <c r="AG59" i="5"/>
  <c r="T34" i="17"/>
  <c r="T4" i="7"/>
  <c r="W3" i="59"/>
  <c r="X17" i="5"/>
  <c r="W19" i="5"/>
  <c r="T65" i="5"/>
  <c r="T12" i="7"/>
  <c r="T116" i="5"/>
  <c r="T69" i="5"/>
  <c r="T64" i="5"/>
  <c r="T11" i="7"/>
  <c r="T70" i="5"/>
  <c r="U23" i="5"/>
  <c r="T25" i="5"/>
  <c r="T5" i="7"/>
  <c r="W4" i="59"/>
  <c r="T71" i="5"/>
  <c r="T63" i="5"/>
  <c r="T10" i="7"/>
  <c r="AJ2" i="5"/>
  <c r="AI2" i="55"/>
  <c r="AI36" i="55"/>
  <c r="AI2" i="47"/>
  <c r="AI48" i="47"/>
  <c r="AI2" i="43"/>
  <c r="AI2" i="41"/>
  <c r="AI99" i="41"/>
  <c r="AK19" i="22"/>
  <c r="AH2" i="7"/>
  <c r="AK1" i="59"/>
  <c r="AH58" i="5"/>
  <c r="AH59" i="5"/>
  <c r="U33" i="17"/>
  <c r="U26" i="5"/>
  <c r="U6" i="7"/>
  <c r="X5" i="59"/>
  <c r="U3" i="7"/>
  <c r="X2" i="59"/>
  <c r="O68" i="3"/>
  <c r="O55" i="17"/>
  <c r="X18" i="5"/>
  <c r="T236" i="7"/>
  <c r="T124" i="5"/>
  <c r="T238" i="7"/>
  <c r="T123" i="5"/>
  <c r="T237" i="7"/>
  <c r="T119" i="5"/>
  <c r="T289" i="7"/>
  <c r="T120" i="5"/>
  <c r="T290" i="7"/>
  <c r="U115" i="5"/>
  <c r="U24" i="5"/>
  <c r="T73" i="5"/>
  <c r="T72" i="5"/>
  <c r="T66" i="5"/>
  <c r="T13" i="7"/>
  <c r="T67" i="5"/>
  <c r="T14" i="7"/>
  <c r="AJ2" i="55"/>
  <c r="AJ36" i="55"/>
  <c r="AJ2" i="47"/>
  <c r="AJ48" i="47"/>
  <c r="AJ2" i="43"/>
  <c r="AJ2" i="41"/>
  <c r="AJ99" i="41"/>
  <c r="AJ2" i="10"/>
  <c r="AJ48" i="10"/>
  <c r="AJ2" i="17"/>
  <c r="AJ2" i="3"/>
  <c r="AJ2" i="9"/>
  <c r="AJ2" i="18"/>
  <c r="AJ36" i="18"/>
  <c r="AJ2" i="14"/>
  <c r="AJ2" i="8"/>
  <c r="AJ2" i="11"/>
  <c r="AJ2" i="15"/>
  <c r="AJ2" i="13"/>
  <c r="AJ2" i="16"/>
  <c r="AJ2" i="4"/>
  <c r="AJ2" i="1"/>
  <c r="AK2" i="12"/>
  <c r="AK2" i="5"/>
  <c r="AJ58" i="5"/>
  <c r="AJ59" i="5"/>
  <c r="AN19" i="22"/>
  <c r="AI2" i="7"/>
  <c r="AL1" i="59"/>
  <c r="AI58" i="5"/>
  <c r="AI59" i="5"/>
  <c r="AL19" i="22"/>
  <c r="U34" i="17"/>
  <c r="U4" i="7"/>
  <c r="X3" i="59"/>
  <c r="Y17" i="5"/>
  <c r="X19" i="5"/>
  <c r="U71" i="5"/>
  <c r="U116" i="5"/>
  <c r="U69" i="5"/>
  <c r="U65" i="5"/>
  <c r="U12" i="7"/>
  <c r="U64" i="5"/>
  <c r="U11" i="7"/>
  <c r="U70" i="5"/>
  <c r="U25" i="5"/>
  <c r="U5" i="7"/>
  <c r="X4" i="59"/>
  <c r="V23" i="5"/>
  <c r="U63" i="5"/>
  <c r="U10" i="7"/>
  <c r="AL2" i="5"/>
  <c r="AK2" i="55"/>
  <c r="AK36" i="55"/>
  <c r="AK2" i="47"/>
  <c r="AK48" i="47"/>
  <c r="AK2" i="43"/>
  <c r="AK2" i="41"/>
  <c r="AK99" i="41"/>
  <c r="AK2" i="10"/>
  <c r="AK48" i="10"/>
  <c r="AK2" i="3"/>
  <c r="AK2" i="17"/>
  <c r="AK2" i="13"/>
  <c r="AK2" i="16"/>
  <c r="AK2" i="4"/>
  <c r="AK2" i="9"/>
  <c r="AK2" i="18"/>
  <c r="AK36" i="18"/>
  <c r="AK2" i="14"/>
  <c r="AK2" i="8"/>
  <c r="AK2" i="11"/>
  <c r="AK2" i="15"/>
  <c r="AK2" i="1"/>
  <c r="AL2" i="12"/>
  <c r="AJ98" i="8"/>
  <c r="AJ51" i="8"/>
  <c r="AM19" i="22"/>
  <c r="AK58" i="5"/>
  <c r="AK59" i="5"/>
  <c r="AO19" i="22"/>
  <c r="AJ2" i="7"/>
  <c r="AM1" i="59"/>
  <c r="V33" i="17"/>
  <c r="V26" i="5"/>
  <c r="V6" i="7"/>
  <c r="Y5" i="59"/>
  <c r="V3" i="7"/>
  <c r="Y2" i="59"/>
  <c r="P68" i="3"/>
  <c r="P55" i="17"/>
  <c r="Y18" i="5"/>
  <c r="U236" i="7"/>
  <c r="U124" i="5"/>
  <c r="U238" i="7"/>
  <c r="U123" i="5"/>
  <c r="U237" i="7"/>
  <c r="U120" i="5"/>
  <c r="U290" i="7"/>
  <c r="U119" i="5"/>
  <c r="U289" i="7"/>
  <c r="V115" i="5"/>
  <c r="U72" i="5"/>
  <c r="U73" i="5"/>
  <c r="U67" i="5"/>
  <c r="U14" i="7"/>
  <c r="U66" i="5"/>
  <c r="U13" i="7"/>
  <c r="V24" i="5"/>
  <c r="AK98" i="8"/>
  <c r="AK51" i="8"/>
  <c r="AM2" i="5"/>
  <c r="AL2" i="55"/>
  <c r="AL36" i="55"/>
  <c r="AL2" i="47"/>
  <c r="AL48" i="47"/>
  <c r="AL2" i="43"/>
  <c r="AL2" i="41"/>
  <c r="AL99" i="41"/>
  <c r="AL2" i="10"/>
  <c r="AL48" i="10"/>
  <c r="AL2" i="17"/>
  <c r="AL2" i="3"/>
  <c r="AL2" i="8"/>
  <c r="AL2" i="11"/>
  <c r="AL2" i="15"/>
  <c r="AL2" i="13"/>
  <c r="AL2" i="16"/>
  <c r="AL2" i="4"/>
  <c r="AL2" i="9"/>
  <c r="AL2" i="18"/>
  <c r="AL36" i="18"/>
  <c r="AL2" i="14"/>
  <c r="AL2" i="1"/>
  <c r="AM2" i="12"/>
  <c r="AK2" i="7"/>
  <c r="AN1" i="59"/>
  <c r="AL58" i="5"/>
  <c r="AL59" i="5"/>
  <c r="AP19" i="22"/>
  <c r="V34" i="17"/>
  <c r="V4" i="7"/>
  <c r="Y3" i="59"/>
  <c r="Z17" i="5"/>
  <c r="Y19" i="5"/>
  <c r="V69" i="5"/>
  <c r="V116" i="5"/>
  <c r="V71" i="5"/>
  <c r="V63" i="5"/>
  <c r="V10" i="7"/>
  <c r="V64" i="5"/>
  <c r="V11" i="7"/>
  <c r="V70" i="5"/>
  <c r="W23" i="5"/>
  <c r="V25" i="5"/>
  <c r="V5" i="7"/>
  <c r="Y4" i="59"/>
  <c r="V65" i="5"/>
  <c r="V12" i="7"/>
  <c r="AL51" i="8"/>
  <c r="AL98" i="8"/>
  <c r="AN2" i="5"/>
  <c r="AM2" i="55"/>
  <c r="AM36" i="55"/>
  <c r="AM2" i="43"/>
  <c r="AM2" i="41"/>
  <c r="AM99" i="41"/>
  <c r="AM2" i="10"/>
  <c r="AM48" i="10"/>
  <c r="AM2" i="17"/>
  <c r="AM2" i="3"/>
  <c r="AM2" i="8"/>
  <c r="AM2" i="11"/>
  <c r="AM2" i="13"/>
  <c r="AM2" i="16"/>
  <c r="AM2" i="4"/>
  <c r="AM2" i="18"/>
  <c r="AM36" i="18"/>
  <c r="AM58" i="5"/>
  <c r="AM59" i="5"/>
  <c r="AL2" i="7"/>
  <c r="AO1" i="59"/>
  <c r="W33" i="17"/>
  <c r="W26" i="5"/>
  <c r="W6" i="7"/>
  <c r="Z5" i="59"/>
  <c r="W3" i="7"/>
  <c r="Z2" i="59"/>
  <c r="Q68" i="3"/>
  <c r="Q55" i="17"/>
  <c r="Z18" i="5"/>
  <c r="V236" i="7"/>
  <c r="W115" i="5"/>
  <c r="V123" i="5"/>
  <c r="V237" i="7"/>
  <c r="V119" i="5"/>
  <c r="V289" i="7"/>
  <c r="V124" i="5"/>
  <c r="V238" i="7"/>
  <c r="V120" i="5"/>
  <c r="V290" i="7"/>
  <c r="V73" i="5"/>
  <c r="V72" i="5"/>
  <c r="V66" i="5"/>
  <c r="V13" i="7"/>
  <c r="V67" i="5"/>
  <c r="V14" i="7"/>
  <c r="W24" i="5"/>
  <c r="AO2" i="5"/>
  <c r="AM51" i="8"/>
  <c r="AM98" i="8"/>
  <c r="AN2" i="55"/>
  <c r="AN36" i="55"/>
  <c r="AN2" i="43"/>
  <c r="AN2" i="41"/>
  <c r="AN99" i="41"/>
  <c r="AN2" i="10"/>
  <c r="AN48" i="10"/>
  <c r="AN2" i="17"/>
  <c r="AN2" i="3"/>
  <c r="AN2" i="8"/>
  <c r="AN2" i="11"/>
  <c r="AN2" i="13"/>
  <c r="AN2" i="16"/>
  <c r="AN2" i="4"/>
  <c r="AN2" i="18"/>
  <c r="AN36" i="18"/>
  <c r="AM2" i="7"/>
  <c r="AP1" i="59"/>
  <c r="AN58" i="5"/>
  <c r="AN59" i="5"/>
  <c r="W34" i="17"/>
  <c r="W4" i="7"/>
  <c r="Z3" i="59"/>
  <c r="AA17" i="5"/>
  <c r="Z19" i="5"/>
  <c r="W69" i="5"/>
  <c r="W116" i="5"/>
  <c r="W71" i="5"/>
  <c r="W63" i="5"/>
  <c r="W10" i="7"/>
  <c r="W64" i="5"/>
  <c r="W11" i="7"/>
  <c r="W70" i="5"/>
  <c r="X23" i="5"/>
  <c r="W25" i="5"/>
  <c r="W5" i="7"/>
  <c r="Z4" i="59"/>
  <c r="W65" i="5"/>
  <c r="W12" i="7"/>
  <c r="AN98" i="8"/>
  <c r="AN51" i="8"/>
  <c r="AP2" i="5"/>
  <c r="AO2" i="55"/>
  <c r="AO36" i="55"/>
  <c r="AO2" i="43"/>
  <c r="AO2" i="41"/>
  <c r="AO99" i="41"/>
  <c r="AO2" i="3"/>
  <c r="AO2" i="10"/>
  <c r="AO48" i="10"/>
  <c r="AO2" i="17"/>
  <c r="AO2" i="8"/>
  <c r="AO2" i="11"/>
  <c r="AO2" i="13"/>
  <c r="AO2" i="16"/>
  <c r="AO2" i="4"/>
  <c r="AO2" i="18"/>
  <c r="AO36" i="18"/>
  <c r="AN2" i="7"/>
  <c r="AQ1" i="59"/>
  <c r="AO58" i="5"/>
  <c r="AO59" i="5"/>
  <c r="X33" i="17"/>
  <c r="X26" i="5"/>
  <c r="X6" i="7"/>
  <c r="AA5" i="59"/>
  <c r="X3" i="7"/>
  <c r="AA2" i="59"/>
  <c r="R68" i="3"/>
  <c r="R55" i="17"/>
  <c r="AA18" i="5"/>
  <c r="W236" i="7"/>
  <c r="W123" i="5"/>
  <c r="W237" i="7"/>
  <c r="W124" i="5"/>
  <c r="W238" i="7"/>
  <c r="W120" i="5"/>
  <c r="W290" i="7"/>
  <c r="W119" i="5"/>
  <c r="W289" i="7"/>
  <c r="X115" i="5"/>
  <c r="W72" i="5"/>
  <c r="W73" i="5"/>
  <c r="W67" i="5"/>
  <c r="W14" i="7"/>
  <c r="W66" i="5"/>
  <c r="W13" i="7"/>
  <c r="X24" i="5"/>
  <c r="AQ2" i="5"/>
  <c r="AO51" i="8"/>
  <c r="AO98" i="8"/>
  <c r="AP2" i="55"/>
  <c r="AP36" i="55"/>
  <c r="AP2" i="43"/>
  <c r="AP2" i="41"/>
  <c r="AP99" i="41"/>
  <c r="AP2" i="17"/>
  <c r="AP2" i="3"/>
  <c r="AP2" i="10"/>
  <c r="AP48" i="10"/>
  <c r="AP2" i="8"/>
  <c r="AP2" i="11"/>
  <c r="AP2" i="13"/>
  <c r="AP2" i="16"/>
  <c r="AP2" i="4"/>
  <c r="AP2" i="18"/>
  <c r="AP36" i="18"/>
  <c r="AO2" i="7"/>
  <c r="AR1" i="59"/>
  <c r="AP58" i="5"/>
  <c r="AP59" i="5"/>
  <c r="X34" i="17"/>
  <c r="X4" i="7"/>
  <c r="AA3" i="59"/>
  <c r="AB17" i="5"/>
  <c r="AA19" i="5"/>
  <c r="X65" i="5"/>
  <c r="X12" i="7"/>
  <c r="X116" i="5"/>
  <c r="X69" i="5"/>
  <c r="X64" i="5"/>
  <c r="X11" i="7"/>
  <c r="X70" i="5"/>
  <c r="X25" i="5"/>
  <c r="X5" i="7"/>
  <c r="AA4" i="59"/>
  <c r="Y23" i="5"/>
  <c r="X71" i="5"/>
  <c r="X63" i="5"/>
  <c r="X10" i="7"/>
  <c r="AP98" i="8"/>
  <c r="AP51" i="8"/>
  <c r="AR2" i="5"/>
  <c r="AQ2" i="55"/>
  <c r="AQ36" i="55"/>
  <c r="AQ2" i="43"/>
  <c r="AQ2" i="41"/>
  <c r="AQ99" i="41"/>
  <c r="AQ2" i="17"/>
  <c r="AQ2" i="3"/>
  <c r="AQ2" i="10"/>
  <c r="AQ48" i="10"/>
  <c r="AQ2" i="18"/>
  <c r="AQ36" i="18"/>
  <c r="AQ2" i="8"/>
  <c r="AQ2" i="11"/>
  <c r="AQ2" i="13"/>
  <c r="AQ2" i="16"/>
  <c r="AQ2" i="4"/>
  <c r="AP2" i="7"/>
  <c r="AS1" i="59"/>
  <c r="AQ58" i="5"/>
  <c r="AQ59" i="5"/>
  <c r="Y33" i="17"/>
  <c r="Y3" i="7"/>
  <c r="AB2" i="59"/>
  <c r="Y26" i="5"/>
  <c r="Y6" i="7"/>
  <c r="AB5" i="59"/>
  <c r="S68" i="3"/>
  <c r="S55" i="17"/>
  <c r="AB18" i="5"/>
  <c r="X123" i="5"/>
  <c r="X237" i="7"/>
  <c r="X119" i="5"/>
  <c r="X289" i="7"/>
  <c r="X124" i="5"/>
  <c r="X238" i="7"/>
  <c r="X120" i="5"/>
  <c r="X290" i="7"/>
  <c r="X236" i="7"/>
  <c r="Y115" i="5"/>
  <c r="X73" i="5"/>
  <c r="X72" i="5"/>
  <c r="X66" i="5"/>
  <c r="X13" i="7"/>
  <c r="X67" i="5"/>
  <c r="X14" i="7"/>
  <c r="Y24" i="5"/>
  <c r="AQ51" i="8"/>
  <c r="AQ98" i="8"/>
  <c r="AS2" i="5"/>
  <c r="AR2" i="55"/>
  <c r="AR36" i="55"/>
  <c r="AR2" i="43"/>
  <c r="AR2" i="41"/>
  <c r="AR99" i="41"/>
  <c r="AR2" i="10"/>
  <c r="AR48" i="10"/>
  <c r="AR2" i="3"/>
  <c r="AR2" i="17"/>
  <c r="AR2" i="4"/>
  <c r="AR2" i="18"/>
  <c r="AR36" i="18"/>
  <c r="AR2" i="8"/>
  <c r="AR2" i="11"/>
  <c r="AR2" i="13"/>
  <c r="AR2" i="16"/>
  <c r="AQ2" i="7"/>
  <c r="AT1" i="59"/>
  <c r="AR58" i="5"/>
  <c r="AR59" i="5"/>
  <c r="Y34" i="17"/>
  <c r="Y4" i="7"/>
  <c r="AB3" i="59"/>
  <c r="AC17" i="5"/>
  <c r="AB19" i="5"/>
  <c r="Y65" i="5"/>
  <c r="Y12" i="7"/>
  <c r="Y116" i="5"/>
  <c r="Y69" i="5"/>
  <c r="Y64" i="5"/>
  <c r="Y11" i="7"/>
  <c r="Y70" i="5"/>
  <c r="Y25" i="5"/>
  <c r="Y5" i="7"/>
  <c r="AB4" i="59"/>
  <c r="Z23" i="5"/>
  <c r="Y71" i="5"/>
  <c r="Y63" i="5"/>
  <c r="Y10" i="7"/>
  <c r="AT2" i="5"/>
  <c r="AS2" i="55"/>
  <c r="AS36" i="55"/>
  <c r="AS2" i="43"/>
  <c r="AS2" i="41"/>
  <c r="AS99" i="41"/>
  <c r="AS2" i="17"/>
  <c r="AS2" i="10"/>
  <c r="AS48" i="10"/>
  <c r="AS2" i="3"/>
  <c r="AS2" i="13"/>
  <c r="AS2" i="4"/>
  <c r="AS2" i="16"/>
  <c r="AS2" i="18"/>
  <c r="AS36" i="18"/>
  <c r="AS2" i="8"/>
  <c r="AS2" i="11"/>
  <c r="AR98" i="8"/>
  <c r="AR51" i="8"/>
  <c r="AR2" i="7"/>
  <c r="AU1" i="59"/>
  <c r="AS58" i="5"/>
  <c r="AS59" i="5"/>
  <c r="Z33" i="17"/>
  <c r="Z3" i="7"/>
  <c r="AC2" i="59"/>
  <c r="Z26" i="5"/>
  <c r="Z6" i="7"/>
  <c r="AC5" i="59"/>
  <c r="T68" i="3"/>
  <c r="T55" i="17"/>
  <c r="AC18" i="5"/>
  <c r="Z115" i="5"/>
  <c r="Y123" i="5"/>
  <c r="Y237" i="7"/>
  <c r="Y124" i="5"/>
  <c r="Y238" i="7"/>
  <c r="Y119" i="5"/>
  <c r="Y289" i="7"/>
  <c r="Y120" i="5"/>
  <c r="Y290" i="7"/>
  <c r="Y236" i="7"/>
  <c r="Y73" i="5"/>
  <c r="Y72" i="5"/>
  <c r="Y67" i="5"/>
  <c r="Y14" i="7"/>
  <c r="Y66" i="5"/>
  <c r="Y13" i="7"/>
  <c r="Z24" i="5"/>
  <c r="AS98" i="8"/>
  <c r="AS51" i="8"/>
  <c r="AU2" i="5"/>
  <c r="AT2" i="55"/>
  <c r="AT36" i="55"/>
  <c r="AT2" i="43"/>
  <c r="AT2" i="41"/>
  <c r="AT99" i="41"/>
  <c r="AT2" i="10"/>
  <c r="AT48" i="10"/>
  <c r="AT2" i="17"/>
  <c r="AT2" i="3"/>
  <c r="AT2" i="8"/>
  <c r="AT2" i="11"/>
  <c r="AT2" i="13"/>
  <c r="AT2" i="4"/>
  <c r="AT2" i="16"/>
  <c r="AT2" i="18"/>
  <c r="AT36" i="18"/>
  <c r="AS2" i="7"/>
  <c r="AV1" i="59"/>
  <c r="AT58" i="5"/>
  <c r="AT59" i="5"/>
  <c r="Z34" i="17"/>
  <c r="Z4" i="7"/>
  <c r="AC3" i="59"/>
  <c r="AD17" i="5"/>
  <c r="AC19" i="5"/>
  <c r="Z63" i="5"/>
  <c r="Z10" i="7"/>
  <c r="Z116" i="5"/>
  <c r="Z71" i="5"/>
  <c r="Z65" i="5"/>
  <c r="Z12" i="7"/>
  <c r="Z64" i="5"/>
  <c r="Z11" i="7"/>
  <c r="Z70" i="5"/>
  <c r="AA23" i="5"/>
  <c r="Z25" i="5"/>
  <c r="Z5" i="7"/>
  <c r="AC4" i="59"/>
  <c r="Z69" i="5"/>
  <c r="AU2" i="55"/>
  <c r="AU36" i="55"/>
  <c r="AU2" i="43"/>
  <c r="AU2" i="41"/>
  <c r="AU99" i="41"/>
  <c r="AU2" i="3"/>
  <c r="AU2" i="10"/>
  <c r="AU48" i="10"/>
  <c r="AU2" i="17"/>
  <c r="AU2" i="8"/>
  <c r="AU2" i="11"/>
  <c r="AU2" i="13"/>
  <c r="AU2" i="4"/>
  <c r="AU2" i="16"/>
  <c r="AU2" i="18"/>
  <c r="AU36" i="18"/>
  <c r="AT51" i="8"/>
  <c r="AT98" i="8"/>
  <c r="AV2" i="5"/>
  <c r="AW2" i="5"/>
  <c r="AT2" i="7"/>
  <c r="AW1" i="59"/>
  <c r="AU58" i="5"/>
  <c r="AU59" i="5"/>
  <c r="AA33" i="17"/>
  <c r="AA3" i="7"/>
  <c r="AD2" i="59"/>
  <c r="AA26" i="5"/>
  <c r="AA6" i="7"/>
  <c r="AD5" i="59"/>
  <c r="U68" i="3"/>
  <c r="U55" i="17"/>
  <c r="AD18" i="5"/>
  <c r="AA115" i="5"/>
  <c r="Z123" i="5"/>
  <c r="Z237" i="7"/>
  <c r="Z124" i="5"/>
  <c r="Z238" i="7"/>
  <c r="Z120" i="5"/>
  <c r="Z290" i="7"/>
  <c r="Z119" i="5"/>
  <c r="Z289" i="7"/>
  <c r="Z236" i="7"/>
  <c r="Z73" i="5"/>
  <c r="Z72" i="5"/>
  <c r="Z67" i="5"/>
  <c r="Z14" i="7"/>
  <c r="Z66" i="5"/>
  <c r="Z13" i="7"/>
  <c r="AA24" i="5"/>
  <c r="AU51" i="8"/>
  <c r="AU98" i="8"/>
  <c r="AV2" i="55"/>
  <c r="AV36" i="55"/>
  <c r="AV2" i="43"/>
  <c r="AV2" i="41"/>
  <c r="AV99" i="41"/>
  <c r="AV2" i="17"/>
  <c r="AV2" i="3"/>
  <c r="AV2" i="10"/>
  <c r="AV48" i="10"/>
  <c r="AV2" i="8"/>
  <c r="AV2" i="11"/>
  <c r="AV2" i="13"/>
  <c r="AV2" i="4"/>
  <c r="AV2" i="16"/>
  <c r="AV2" i="18"/>
  <c r="AV36" i="18"/>
  <c r="AW2" i="55"/>
  <c r="AW36" i="55"/>
  <c r="AW2" i="43"/>
  <c r="AW2" i="41"/>
  <c r="AW99" i="41"/>
  <c r="AW2" i="3"/>
  <c r="AW2" i="17"/>
  <c r="AW2" i="10"/>
  <c r="AW48" i="10"/>
  <c r="AW2" i="8"/>
  <c r="AW2" i="11"/>
  <c r="AW2" i="4"/>
  <c r="AW2" i="13"/>
  <c r="AW2" i="16"/>
  <c r="AW2" i="18"/>
  <c r="AW36" i="18"/>
  <c r="AU2" i="7"/>
  <c r="AX1" i="59"/>
  <c r="AV58" i="5"/>
  <c r="AV59" i="5"/>
  <c r="AA34" i="17"/>
  <c r="AA4" i="7"/>
  <c r="AD3" i="59"/>
  <c r="AE17" i="5"/>
  <c r="AD19" i="5"/>
  <c r="AA63" i="5"/>
  <c r="AA10" i="7"/>
  <c r="AA116" i="5"/>
  <c r="AA71" i="5"/>
  <c r="AA64" i="5"/>
  <c r="AA11" i="7"/>
  <c r="AA70" i="5"/>
  <c r="AA25" i="5"/>
  <c r="AA5" i="7"/>
  <c r="AD4" i="59"/>
  <c r="AB23" i="5"/>
  <c r="AA69" i="5"/>
  <c r="AA65" i="5"/>
  <c r="AA12" i="7"/>
  <c r="AW98" i="8"/>
  <c r="AW51" i="8"/>
  <c r="AV51" i="8"/>
  <c r="AV98" i="8"/>
  <c r="AV2" i="7"/>
  <c r="AY1" i="59"/>
  <c r="AB33" i="17"/>
  <c r="AB3" i="7"/>
  <c r="AE2" i="59"/>
  <c r="AB26" i="5"/>
  <c r="V68" i="3"/>
  <c r="V55" i="17"/>
  <c r="AE18" i="5"/>
  <c r="AA236" i="7"/>
  <c r="AA123" i="5"/>
  <c r="AA237" i="7"/>
  <c r="AA124" i="5"/>
  <c r="AA238" i="7"/>
  <c r="AA119" i="5"/>
  <c r="AA289" i="7"/>
  <c r="AA120" i="5"/>
  <c r="AA290" i="7"/>
  <c r="AB115" i="5"/>
  <c r="AA72" i="5"/>
  <c r="AA73" i="5"/>
  <c r="AA67" i="5"/>
  <c r="AA14" i="7"/>
  <c r="AA66" i="5"/>
  <c r="AA13" i="7"/>
  <c r="AB24" i="5"/>
  <c r="AW58" i="5"/>
  <c r="AW59" i="5"/>
  <c r="AW2" i="7"/>
  <c r="AZ1" i="59"/>
  <c r="AB34" i="17"/>
  <c r="AB4" i="7"/>
  <c r="AE3" i="59"/>
  <c r="AB6" i="7"/>
  <c r="AE5" i="59"/>
  <c r="AF17" i="5"/>
  <c r="AE19" i="5"/>
  <c r="AB71" i="5"/>
  <c r="AB116" i="5"/>
  <c r="AB69" i="5"/>
  <c r="AB65" i="5"/>
  <c r="AB12" i="7"/>
  <c r="AB64" i="5"/>
  <c r="AB11" i="7"/>
  <c r="AB70" i="5"/>
  <c r="AC23" i="5"/>
  <c r="AB25" i="5"/>
  <c r="AB5" i="7"/>
  <c r="AE4" i="59"/>
  <c r="AB63" i="5"/>
  <c r="AB10" i="7"/>
  <c r="AC33" i="17"/>
  <c r="AC3" i="7"/>
  <c r="AF2" i="59"/>
  <c r="AC26" i="5"/>
  <c r="W68" i="3"/>
  <c r="W55" i="17"/>
  <c r="AF18" i="5"/>
  <c r="AB236" i="7"/>
  <c r="AC115" i="5"/>
  <c r="AB123" i="5"/>
  <c r="AB237" i="7"/>
  <c r="AB119" i="5"/>
  <c r="AB289" i="7"/>
  <c r="AB124" i="5"/>
  <c r="AB238" i="7"/>
  <c r="AB120" i="5"/>
  <c r="AB290" i="7"/>
  <c r="AB73" i="5"/>
  <c r="AB72" i="5"/>
  <c r="AB66" i="5"/>
  <c r="AB13" i="7"/>
  <c r="AB67" i="5"/>
  <c r="AB14" i="7"/>
  <c r="AC24" i="5"/>
  <c r="AC34" i="17"/>
  <c r="AC4" i="7"/>
  <c r="AF3" i="59"/>
  <c r="AC6" i="7"/>
  <c r="AF5" i="59"/>
  <c r="AG17" i="5"/>
  <c r="AF19" i="5"/>
  <c r="AC71" i="5"/>
  <c r="AC116" i="5"/>
  <c r="AC69" i="5"/>
  <c r="AC65" i="5"/>
  <c r="AC12" i="7"/>
  <c r="AC64" i="5"/>
  <c r="AC11" i="7"/>
  <c r="AC70" i="5"/>
  <c r="AD23" i="5"/>
  <c r="AC25" i="5"/>
  <c r="AC5" i="7"/>
  <c r="AF4" i="59"/>
  <c r="AC63" i="5"/>
  <c r="AC10" i="7"/>
  <c r="AD33" i="17"/>
  <c r="AD3" i="7"/>
  <c r="AG2" i="59"/>
  <c r="AD26" i="5"/>
  <c r="X68" i="3"/>
  <c r="X55" i="17"/>
  <c r="AG18" i="5"/>
  <c r="AC236" i="7"/>
  <c r="AC124" i="5"/>
  <c r="AC238" i="7"/>
  <c r="AC123" i="5"/>
  <c r="AC237" i="7"/>
  <c r="AC119" i="5"/>
  <c r="AC289" i="7"/>
  <c r="AC120" i="5"/>
  <c r="AC290" i="7"/>
  <c r="AD115" i="5"/>
  <c r="AC72" i="5"/>
  <c r="AC73" i="5"/>
  <c r="AC67" i="5"/>
  <c r="AC14" i="7"/>
  <c r="AC66" i="5"/>
  <c r="AC13" i="7"/>
  <c r="AD24" i="5"/>
  <c r="AD34" i="17"/>
  <c r="AD4" i="7"/>
  <c r="AG3" i="59"/>
  <c r="AD6" i="7"/>
  <c r="AG5" i="59"/>
  <c r="AH17" i="5"/>
  <c r="AG19" i="5"/>
  <c r="AD69" i="5"/>
  <c r="AD116" i="5"/>
  <c r="AD71" i="5"/>
  <c r="AD63" i="5"/>
  <c r="AD10" i="7"/>
  <c r="AD64" i="5"/>
  <c r="AD11" i="7"/>
  <c r="AD70" i="5"/>
  <c r="AD25" i="5"/>
  <c r="AD5" i="7"/>
  <c r="AG4" i="59"/>
  <c r="AE23" i="5"/>
  <c r="AD65" i="5"/>
  <c r="AD12" i="7"/>
  <c r="AE33" i="17"/>
  <c r="AE3" i="7"/>
  <c r="AH2" i="59"/>
  <c r="AE26" i="5"/>
  <c r="AE6" i="7"/>
  <c r="AH5" i="59"/>
  <c r="Y68" i="3"/>
  <c r="Y55" i="17"/>
  <c r="AH18" i="5"/>
  <c r="AE115" i="5"/>
  <c r="AD123" i="5"/>
  <c r="AD237" i="7"/>
  <c r="AD119" i="5"/>
  <c r="AD289" i="7"/>
  <c r="AD124" i="5"/>
  <c r="AD238" i="7"/>
  <c r="AD120" i="5"/>
  <c r="AD290" i="7"/>
  <c r="AD236" i="7"/>
  <c r="AD73" i="5"/>
  <c r="AD72" i="5"/>
  <c r="AD67" i="5"/>
  <c r="AD14" i="7"/>
  <c r="AD66" i="5"/>
  <c r="AD13" i="7"/>
  <c r="AE24" i="5"/>
  <c r="AE34" i="17"/>
  <c r="AE4" i="7"/>
  <c r="AH3" i="59"/>
  <c r="AH19" i="5"/>
  <c r="AI17" i="5"/>
  <c r="AE63" i="5"/>
  <c r="AE10" i="7"/>
  <c r="AE116" i="5"/>
  <c r="AE71" i="5"/>
  <c r="AE64" i="5"/>
  <c r="AE11" i="7"/>
  <c r="AE70" i="5"/>
  <c r="AF23" i="5"/>
  <c r="AE25" i="5"/>
  <c r="AE5" i="7"/>
  <c r="AH4" i="59"/>
  <c r="AE69" i="5"/>
  <c r="AE65" i="5"/>
  <c r="AE12" i="7"/>
  <c r="AF33" i="17"/>
  <c r="AF3" i="7"/>
  <c r="AI2" i="59"/>
  <c r="AF26" i="5"/>
  <c r="AF6" i="7"/>
  <c r="AI5" i="59"/>
  <c r="Z68" i="3"/>
  <c r="Z55" i="17"/>
  <c r="AI18" i="5"/>
  <c r="AJ17" i="5"/>
  <c r="AJ18" i="5"/>
  <c r="AE236" i="7"/>
  <c r="AF115" i="5"/>
  <c r="AE123" i="5"/>
  <c r="AE237" i="7"/>
  <c r="AE124" i="5"/>
  <c r="AE238" i="7"/>
  <c r="AE119" i="5"/>
  <c r="AE289" i="7"/>
  <c r="AE120" i="5"/>
  <c r="AE290" i="7"/>
  <c r="AE72" i="5"/>
  <c r="AE73" i="5"/>
  <c r="AF24" i="5"/>
  <c r="AE67" i="5"/>
  <c r="AE14" i="7"/>
  <c r="AE66" i="5"/>
  <c r="AE13" i="7"/>
  <c r="AJ19" i="5"/>
  <c r="AK17" i="5"/>
  <c r="AK18" i="5"/>
  <c r="AF34" i="17"/>
  <c r="AF4" i="7"/>
  <c r="AI3" i="59"/>
  <c r="AI19" i="5"/>
  <c r="AF69" i="5"/>
  <c r="AF116" i="5"/>
  <c r="AF63" i="5"/>
  <c r="AF10" i="7"/>
  <c r="AF64" i="5"/>
  <c r="AF11" i="7"/>
  <c r="AF70" i="5"/>
  <c r="AF25" i="5"/>
  <c r="AF5" i="7"/>
  <c r="AI4" i="59"/>
  <c r="AG23" i="5"/>
  <c r="AF71" i="5"/>
  <c r="AF65" i="5"/>
  <c r="AF12" i="7"/>
  <c r="AK19" i="5"/>
  <c r="AL17" i="5"/>
  <c r="AL18" i="5"/>
  <c r="AG33" i="17"/>
  <c r="AG3" i="7"/>
  <c r="AJ2" i="59"/>
  <c r="AG26" i="5"/>
  <c r="AG6" i="7"/>
  <c r="AJ5" i="59"/>
  <c r="AA68" i="3"/>
  <c r="AA55" i="17"/>
  <c r="AF123" i="5"/>
  <c r="AF237" i="7"/>
  <c r="AF119" i="5"/>
  <c r="AF289" i="7"/>
  <c r="AF124" i="5"/>
  <c r="AF238" i="7"/>
  <c r="AF120" i="5"/>
  <c r="AF290" i="7"/>
  <c r="AF236" i="7"/>
  <c r="AG115" i="5"/>
  <c r="AF73" i="5"/>
  <c r="AF72" i="5"/>
  <c r="AF66" i="5"/>
  <c r="AF13" i="7"/>
  <c r="AF67" i="5"/>
  <c r="AF14" i="7"/>
  <c r="AG24" i="5"/>
  <c r="AL19" i="5"/>
  <c r="AM17" i="5"/>
  <c r="AM18" i="5"/>
  <c r="AG34" i="17"/>
  <c r="AG4" i="7"/>
  <c r="AJ3" i="59"/>
  <c r="AG71" i="5"/>
  <c r="AG116" i="5"/>
  <c r="AG69" i="5"/>
  <c r="AG65" i="5"/>
  <c r="AG12" i="7"/>
  <c r="AG64" i="5"/>
  <c r="AG11" i="7"/>
  <c r="AG70" i="5"/>
  <c r="AH23" i="5"/>
  <c r="AG25" i="5"/>
  <c r="AG5" i="7"/>
  <c r="AJ4" i="59"/>
  <c r="AG63" i="5"/>
  <c r="AG10" i="7"/>
  <c r="AM19" i="5"/>
  <c r="AN17" i="5"/>
  <c r="AN18" i="5"/>
  <c r="AH33" i="17"/>
  <c r="AH3" i="7"/>
  <c r="AK2" i="59"/>
  <c r="AH26" i="5"/>
  <c r="AH6" i="7"/>
  <c r="AK5" i="59"/>
  <c r="AB68" i="3"/>
  <c r="AB55" i="17"/>
  <c r="AC68" i="3"/>
  <c r="AC55" i="17"/>
  <c r="AD68" i="3"/>
  <c r="AD55" i="17"/>
  <c r="AE68" i="3"/>
  <c r="AE55" i="17"/>
  <c r="AF68" i="3"/>
  <c r="AF55" i="17"/>
  <c r="AH115" i="5"/>
  <c r="AG236" i="7"/>
  <c r="AG124" i="5"/>
  <c r="AG238" i="7"/>
  <c r="AG123" i="5"/>
  <c r="AG237" i="7"/>
  <c r="AG120" i="5"/>
  <c r="AG290" i="7"/>
  <c r="AG119" i="5"/>
  <c r="AG289" i="7"/>
  <c r="AH24" i="5"/>
  <c r="AG72" i="5"/>
  <c r="AG73" i="5"/>
  <c r="AG67" i="5"/>
  <c r="AG14" i="7"/>
  <c r="AG66" i="5"/>
  <c r="AG13" i="7"/>
  <c r="AN19" i="5"/>
  <c r="AO17" i="5"/>
  <c r="AO18" i="5"/>
  <c r="AH34" i="17"/>
  <c r="AH4" i="7"/>
  <c r="AK3" i="59"/>
  <c r="AG68" i="3"/>
  <c r="AG55" i="17"/>
  <c r="AH116" i="5"/>
  <c r="AH63" i="5"/>
  <c r="AI23" i="5"/>
  <c r="AH71" i="5"/>
  <c r="AH25" i="5"/>
  <c r="AH5" i="7"/>
  <c r="AK4" i="59"/>
  <c r="AH64" i="5"/>
  <c r="AH11" i="7"/>
  <c r="AH70" i="5"/>
  <c r="AH69" i="5"/>
  <c r="AH65" i="5"/>
  <c r="AO19" i="5"/>
  <c r="AP17" i="5"/>
  <c r="AP18" i="5"/>
  <c r="AI33" i="17"/>
  <c r="AI3" i="7"/>
  <c r="AL2" i="59"/>
  <c r="AI26" i="5"/>
  <c r="AI6" i="7"/>
  <c r="AL5" i="59"/>
  <c r="AH12" i="7"/>
  <c r="AI115" i="5"/>
  <c r="AH236" i="7"/>
  <c r="AH10" i="7"/>
  <c r="AH123" i="5"/>
  <c r="AH237" i="7"/>
  <c r="AH124" i="5"/>
  <c r="AH238" i="7"/>
  <c r="AH120" i="5"/>
  <c r="AH290" i="7"/>
  <c r="AH119" i="5"/>
  <c r="AH289" i="7"/>
  <c r="AI24" i="5"/>
  <c r="AH73" i="5"/>
  <c r="AH72" i="5"/>
  <c r="AH66" i="5"/>
  <c r="AH67" i="5"/>
  <c r="AH14" i="7"/>
  <c r="AM50" i="8"/>
  <c r="AT35" i="4"/>
  <c r="AN50" i="8"/>
  <c r="AM35" i="4"/>
  <c r="AV50" i="8"/>
  <c r="AW35" i="4"/>
  <c r="AW50" i="8"/>
  <c r="AK50" i="8"/>
  <c r="AK17" i="15"/>
  <c r="AU50" i="8"/>
  <c r="AR35" i="4"/>
  <c r="AL50" i="8"/>
  <c r="AL17" i="15"/>
  <c r="AR50" i="8"/>
  <c r="AP50" i="8"/>
  <c r="AO35" i="4"/>
  <c r="AU35" i="4"/>
  <c r="AJ50" i="8"/>
  <c r="AJ17" i="15"/>
  <c r="AV35" i="4"/>
  <c r="AK35" i="4"/>
  <c r="AL35" i="4"/>
  <c r="AO50" i="8"/>
  <c r="AP35" i="4"/>
  <c r="AX50" i="8"/>
  <c r="AJ35" i="4"/>
  <c r="AQ50" i="8"/>
  <c r="AQ35" i="4"/>
  <c r="AS35" i="4"/>
  <c r="AY50" i="8"/>
  <c r="AS50" i="8"/>
  <c r="AN35" i="4"/>
  <c r="AT50" i="8"/>
  <c r="AP19" i="5"/>
  <c r="AQ17" i="5"/>
  <c r="AQ18" i="5"/>
  <c r="AI34" i="17"/>
  <c r="AJ23" i="5"/>
  <c r="AJ33" i="17"/>
  <c r="AI4" i="7"/>
  <c r="AL3" i="59"/>
  <c r="AI68" i="3"/>
  <c r="AI55" i="17"/>
  <c r="AH13" i="7"/>
  <c r="AI69" i="5"/>
  <c r="D69" i="5"/>
  <c r="AI116" i="5"/>
  <c r="AI71" i="5"/>
  <c r="D71" i="5"/>
  <c r="AI65" i="5"/>
  <c r="AI25" i="5"/>
  <c r="AI5" i="7"/>
  <c r="AL4" i="59"/>
  <c r="AI64" i="5"/>
  <c r="AI70" i="5"/>
  <c r="AI63" i="5"/>
  <c r="AT169" i="41"/>
  <c r="AQ39" i="56"/>
  <c r="AI169" i="41"/>
  <c r="AF39" i="56"/>
  <c r="AN169" i="41"/>
  <c r="AK39" i="56"/>
  <c r="AV169" i="41"/>
  <c r="AS39" i="56"/>
  <c r="AM169" i="41"/>
  <c r="AJ39" i="56"/>
  <c r="AL169" i="41"/>
  <c r="AI39" i="56"/>
  <c r="AK169" i="41"/>
  <c r="AH39" i="56"/>
  <c r="AO169" i="41"/>
  <c r="AL39" i="56"/>
  <c r="AR169" i="41"/>
  <c r="AO39" i="56"/>
  <c r="AJ169" i="41"/>
  <c r="AG39" i="56"/>
  <c r="AQ169" i="41"/>
  <c r="AN39" i="56"/>
  <c r="AS169" i="41"/>
  <c r="AP39" i="56"/>
  <c r="AP169" i="41"/>
  <c r="AM39" i="56"/>
  <c r="AU169" i="41"/>
  <c r="AR39" i="56"/>
  <c r="AS97" i="8"/>
  <c r="AV97" i="8"/>
  <c r="AX97" i="8"/>
  <c r="AX98" i="8"/>
  <c r="AQ97" i="8"/>
  <c r="AU97" i="8"/>
  <c r="AN97" i="8"/>
  <c r="AT97" i="8"/>
  <c r="AR97" i="8"/>
  <c r="AP97" i="8"/>
  <c r="AO97" i="8"/>
  <c r="AY97" i="8"/>
  <c r="AY98" i="8"/>
  <c r="AW97" i="8"/>
  <c r="AJ26" i="5"/>
  <c r="AJ6" i="7"/>
  <c r="AM5" i="59"/>
  <c r="AJ115" i="5"/>
  <c r="AQ19" i="5"/>
  <c r="AR17" i="5"/>
  <c r="AR18" i="5"/>
  <c r="D70" i="5"/>
  <c r="AJ24" i="5"/>
  <c r="AJ3" i="7"/>
  <c r="AM2" i="59"/>
  <c r="AI10" i="7"/>
  <c r="D10" i="7"/>
  <c r="D63" i="5"/>
  <c r="AI12" i="7"/>
  <c r="D12" i="7"/>
  <c r="D65" i="5"/>
  <c r="AI11" i="7"/>
  <c r="D11" i="7"/>
  <c r="AH68" i="3"/>
  <c r="AH55" i="17"/>
  <c r="AI123" i="5"/>
  <c r="AI237" i="7"/>
  <c r="AI124" i="5"/>
  <c r="AI238" i="7"/>
  <c r="AI120" i="5"/>
  <c r="AI119" i="5"/>
  <c r="AI72" i="5"/>
  <c r="D72" i="5"/>
  <c r="AI73" i="5"/>
  <c r="AI67" i="5"/>
  <c r="AI14" i="7"/>
  <c r="D14" i="7"/>
  <c r="AI66" i="5"/>
  <c r="AJ63" i="5"/>
  <c r="AJ10" i="7"/>
  <c r="AJ34" i="17"/>
  <c r="AR19" i="5"/>
  <c r="AS17" i="5"/>
  <c r="AS18" i="5"/>
  <c r="AJ71" i="5"/>
  <c r="AJ65" i="5"/>
  <c r="AJ12" i="7"/>
  <c r="AJ69" i="5"/>
  <c r="AJ116" i="5"/>
  <c r="AJ64" i="5"/>
  <c r="AJ11" i="7"/>
  <c r="AJ70" i="5"/>
  <c r="AJ25" i="5"/>
  <c r="AJ5" i="7"/>
  <c r="AM4" i="59"/>
  <c r="AK23" i="5"/>
  <c r="AK33" i="17"/>
  <c r="AJ4" i="7"/>
  <c r="AM3" i="59"/>
  <c r="AI236" i="7"/>
  <c r="AI13" i="7"/>
  <c r="D13" i="7"/>
  <c r="D66" i="5"/>
  <c r="AI289" i="7"/>
  <c r="D289" i="7"/>
  <c r="D119" i="5"/>
  <c r="AI290" i="7"/>
  <c r="D290" i="7"/>
  <c r="D120" i="5"/>
  <c r="AJ236" i="7"/>
  <c r="AJ123" i="5"/>
  <c r="AJ237" i="7"/>
  <c r="AJ124" i="5"/>
  <c r="AJ238" i="7"/>
  <c r="AJ119" i="5"/>
  <c r="AJ289" i="7"/>
  <c r="AJ120" i="5"/>
  <c r="AJ290" i="7"/>
  <c r="AJ73" i="5"/>
  <c r="AJ72" i="5"/>
  <c r="AK3" i="7"/>
  <c r="AN2" i="59"/>
  <c r="AK115" i="5"/>
  <c r="AS19" i="5"/>
  <c r="AT17" i="5"/>
  <c r="AT18" i="5"/>
  <c r="AJ66" i="5"/>
  <c r="AJ13" i="7"/>
  <c r="AJ67" i="5"/>
  <c r="AJ14" i="7"/>
  <c r="AK24" i="5"/>
  <c r="AK26" i="5"/>
  <c r="AK6" i="7"/>
  <c r="AN5" i="59"/>
  <c r="AK63" i="5"/>
  <c r="AK10" i="7"/>
  <c r="AK34" i="17"/>
  <c r="AK71" i="5"/>
  <c r="AK65" i="5"/>
  <c r="AK12" i="7"/>
  <c r="AT19" i="5"/>
  <c r="AU17" i="5"/>
  <c r="AU18" i="5"/>
  <c r="AK4" i="7"/>
  <c r="AN3" i="59"/>
  <c r="AK116" i="5"/>
  <c r="AK64" i="5"/>
  <c r="AK11" i="7"/>
  <c r="AK70" i="5"/>
  <c r="AK69" i="5"/>
  <c r="AK25" i="5"/>
  <c r="AK5" i="7"/>
  <c r="AN4" i="59"/>
  <c r="AL23" i="5"/>
  <c r="AL33" i="17"/>
  <c r="AK236" i="7"/>
  <c r="AK73" i="5"/>
  <c r="AK72" i="5"/>
  <c r="AU19" i="5"/>
  <c r="AV17" i="5"/>
  <c r="AV18" i="5"/>
  <c r="AK67" i="5"/>
  <c r="AK14" i="7"/>
  <c r="AK66" i="5"/>
  <c r="AK13" i="7"/>
  <c r="AK123" i="5"/>
  <c r="AK237" i="7"/>
  <c r="AK124" i="5"/>
  <c r="AK238" i="7"/>
  <c r="AK119" i="5"/>
  <c r="AK289" i="7"/>
  <c r="AK120" i="5"/>
  <c r="AK290" i="7"/>
  <c r="AL3" i="7"/>
  <c r="AO2" i="59"/>
  <c r="AL115" i="5"/>
  <c r="AL24" i="5"/>
  <c r="AL26" i="5"/>
  <c r="AL6" i="7"/>
  <c r="AO5" i="59"/>
  <c r="AL63" i="5"/>
  <c r="AL10" i="7"/>
  <c r="AL34" i="17"/>
  <c r="AL71" i="5"/>
  <c r="AL65" i="5"/>
  <c r="AL12" i="7"/>
  <c r="AL69" i="5"/>
  <c r="AV19" i="5"/>
  <c r="AW17" i="5"/>
  <c r="AW18" i="5"/>
  <c r="AL4" i="7"/>
  <c r="AO3" i="59"/>
  <c r="AL116" i="5"/>
  <c r="AL64" i="5"/>
  <c r="AL11" i="7"/>
  <c r="AL70" i="5"/>
  <c r="AM23" i="5"/>
  <c r="AM33" i="17"/>
  <c r="AL25" i="5"/>
  <c r="AL5" i="7"/>
  <c r="AO4" i="59"/>
  <c r="AW19" i="5"/>
  <c r="AX17" i="5"/>
  <c r="AX18" i="5"/>
  <c r="AL236" i="7"/>
  <c r="AM115" i="5"/>
  <c r="AL73" i="5"/>
  <c r="AL72" i="5"/>
  <c r="AL67" i="5"/>
  <c r="AL14" i="7"/>
  <c r="AL66" i="5"/>
  <c r="AL13" i="7"/>
  <c r="AL120" i="5"/>
  <c r="AL290" i="7"/>
  <c r="AL123" i="5"/>
  <c r="AL237" i="7"/>
  <c r="AL124" i="5"/>
  <c r="AL238" i="7"/>
  <c r="AL119" i="5"/>
  <c r="AL289" i="7"/>
  <c r="AM24" i="5"/>
  <c r="AM3" i="7"/>
  <c r="AP2" i="59"/>
  <c r="AM26" i="5"/>
  <c r="AX19" i="5"/>
  <c r="AY17" i="5"/>
  <c r="AY18" i="5"/>
  <c r="AM63" i="5"/>
  <c r="AM10" i="7"/>
  <c r="AM34" i="17"/>
  <c r="AM71" i="5"/>
  <c r="AM4" i="7"/>
  <c r="AP3" i="59"/>
  <c r="AM116" i="5"/>
  <c r="AM64" i="5"/>
  <c r="AM11" i="7"/>
  <c r="AM70" i="5"/>
  <c r="AM69" i="5"/>
  <c r="AM65" i="5"/>
  <c r="AM12" i="7"/>
  <c r="AN23" i="5"/>
  <c r="AN33" i="17"/>
  <c r="AM25" i="5"/>
  <c r="AM5" i="7"/>
  <c r="AP4" i="59"/>
  <c r="AM6" i="7"/>
  <c r="AP5" i="59"/>
  <c r="AY19" i="5"/>
  <c r="AZ17" i="5"/>
  <c r="AZ18" i="5"/>
  <c r="AM236" i="7"/>
  <c r="AM67" i="5"/>
  <c r="AM14" i="7"/>
  <c r="AM66" i="5"/>
  <c r="AM13" i="7"/>
  <c r="AM123" i="5"/>
  <c r="AM237" i="7"/>
  <c r="AM119" i="5"/>
  <c r="AM289" i="7"/>
  <c r="AM120" i="5"/>
  <c r="AM290" i="7"/>
  <c r="AM124" i="5"/>
  <c r="AM238" i="7"/>
  <c r="AN26" i="5"/>
  <c r="AN6" i="7"/>
  <c r="AQ5" i="59"/>
  <c r="AN115" i="5"/>
  <c r="AM73" i="5"/>
  <c r="AM72" i="5"/>
  <c r="AN24" i="5"/>
  <c r="AN3" i="7"/>
  <c r="AQ2" i="59"/>
  <c r="AZ19" i="5"/>
  <c r="BA17" i="5"/>
  <c r="BA18" i="5"/>
  <c r="AN63" i="5"/>
  <c r="AN10" i="7"/>
  <c r="AN34" i="17"/>
  <c r="AN71" i="5"/>
  <c r="AN4" i="7"/>
  <c r="AQ3" i="59"/>
  <c r="AN116" i="5"/>
  <c r="AN64" i="5"/>
  <c r="AN11" i="7"/>
  <c r="AN70" i="5"/>
  <c r="AN69" i="5"/>
  <c r="AN65" i="5"/>
  <c r="AN12" i="7"/>
  <c r="AO23" i="5"/>
  <c r="AO33" i="17"/>
  <c r="AN25" i="5"/>
  <c r="AN5" i="7"/>
  <c r="AQ4" i="59"/>
  <c r="BA19" i="5"/>
  <c r="BB17" i="5"/>
  <c r="BB18" i="5"/>
  <c r="AN236" i="7"/>
  <c r="AO26" i="5"/>
  <c r="AO6" i="7"/>
  <c r="AR5" i="59"/>
  <c r="AO115" i="5"/>
  <c r="AN73" i="5"/>
  <c r="AN72" i="5"/>
  <c r="AO3" i="7"/>
  <c r="AR2" i="59"/>
  <c r="AO24" i="5"/>
  <c r="AN67" i="5"/>
  <c r="AN14" i="7"/>
  <c r="AN66" i="5"/>
  <c r="AN13" i="7"/>
  <c r="AN119" i="5"/>
  <c r="AN289" i="7"/>
  <c r="AN120" i="5"/>
  <c r="AN290" i="7"/>
  <c r="AN123" i="5"/>
  <c r="AN237" i="7"/>
  <c r="AN124" i="5"/>
  <c r="AN238" i="7"/>
  <c r="BB19" i="5"/>
  <c r="BC17" i="5"/>
  <c r="BC18" i="5"/>
  <c r="AO63" i="5"/>
  <c r="AO10" i="7"/>
  <c r="AO34" i="17"/>
  <c r="AO71" i="5"/>
  <c r="AO4" i="7"/>
  <c r="AR3" i="59"/>
  <c r="AO65" i="5"/>
  <c r="AO12" i="7"/>
  <c r="AP23" i="5"/>
  <c r="AP33" i="17"/>
  <c r="AO25" i="5"/>
  <c r="AO5" i="7"/>
  <c r="AR4" i="59"/>
  <c r="AO116" i="5"/>
  <c r="AO64" i="5"/>
  <c r="AO11" i="7"/>
  <c r="AO70" i="5"/>
  <c r="AO69" i="5"/>
  <c r="BC19" i="5"/>
  <c r="BD17" i="5"/>
  <c r="BD18" i="5"/>
  <c r="AP3" i="7"/>
  <c r="AS2" i="59"/>
  <c r="AP24" i="5"/>
  <c r="AP64" i="5"/>
  <c r="AP11" i="7"/>
  <c r="AO236" i="7"/>
  <c r="AP115" i="5"/>
  <c r="AP26" i="5"/>
  <c r="AP6" i="7"/>
  <c r="AS5" i="59"/>
  <c r="AO73" i="5"/>
  <c r="AO72" i="5"/>
  <c r="AO124" i="5"/>
  <c r="AO238" i="7"/>
  <c r="AO119" i="5"/>
  <c r="AO289" i="7"/>
  <c r="AO120" i="5"/>
  <c r="AO290" i="7"/>
  <c r="AO123" i="5"/>
  <c r="AO237" i="7"/>
  <c r="AO66" i="5"/>
  <c r="AO13" i="7"/>
  <c r="AO67" i="5"/>
  <c r="AO14" i="7"/>
  <c r="BD19" i="5"/>
  <c r="BE17" i="5"/>
  <c r="BE18" i="5"/>
  <c r="AQ23" i="5"/>
  <c r="AQ33" i="17"/>
  <c r="AP25" i="5"/>
  <c r="AP5" i="7"/>
  <c r="AS4" i="59"/>
  <c r="AP70" i="5"/>
  <c r="AP73" i="5"/>
  <c r="AP116" i="5"/>
  <c r="AP119" i="5"/>
  <c r="AP289" i="7"/>
  <c r="AP63" i="5"/>
  <c r="AP10" i="7"/>
  <c r="AP69" i="5"/>
  <c r="AP71" i="5"/>
  <c r="AP4" i="7"/>
  <c r="AS3" i="59"/>
  <c r="AP34" i="17"/>
  <c r="AP65" i="5"/>
  <c r="AP12" i="7"/>
  <c r="AP236" i="7"/>
  <c r="AP66" i="5"/>
  <c r="AP13" i="7"/>
  <c r="AQ24" i="5"/>
  <c r="AQ26" i="5"/>
  <c r="AQ3" i="7"/>
  <c r="AT2" i="59"/>
  <c r="AP123" i="5"/>
  <c r="AP237" i="7"/>
  <c r="AP67" i="5"/>
  <c r="AP14" i="7"/>
  <c r="BE19" i="5"/>
  <c r="BF17" i="5"/>
  <c r="BF18" i="5"/>
  <c r="AQ115" i="5"/>
  <c r="AP124" i="5"/>
  <c r="AP238" i="7"/>
  <c r="AP72" i="5"/>
  <c r="AP120" i="5"/>
  <c r="AP290" i="7"/>
  <c r="AQ63" i="5"/>
  <c r="AQ10" i="7"/>
  <c r="AQ34" i="17"/>
  <c r="AQ69" i="5"/>
  <c r="AQ65" i="5"/>
  <c r="AQ12" i="7"/>
  <c r="AQ116" i="5"/>
  <c r="AQ64" i="5"/>
  <c r="AQ11" i="7"/>
  <c r="AQ70" i="5"/>
  <c r="AQ71" i="5"/>
  <c r="AQ6" i="7"/>
  <c r="AT5" i="59"/>
  <c r="AQ4" i="7"/>
  <c r="AT3" i="59"/>
  <c r="AQ25" i="5"/>
  <c r="AQ5" i="7"/>
  <c r="AT4" i="59"/>
  <c r="AR23" i="5"/>
  <c r="AR33" i="17"/>
  <c r="BF19" i="5"/>
  <c r="BG17" i="5"/>
  <c r="BG18" i="5"/>
  <c r="AQ236" i="7"/>
  <c r="AQ73" i="5"/>
  <c r="AQ72" i="5"/>
  <c r="AQ66" i="5"/>
  <c r="AQ13" i="7"/>
  <c r="AQ67" i="5"/>
  <c r="AQ14" i="7"/>
  <c r="AQ123" i="5"/>
  <c r="AQ237" i="7"/>
  <c r="AQ124" i="5"/>
  <c r="AQ238" i="7"/>
  <c r="AQ119" i="5"/>
  <c r="AQ289" i="7"/>
  <c r="AQ120" i="5"/>
  <c r="AQ290" i="7"/>
  <c r="AR115" i="5"/>
  <c r="AR24" i="5"/>
  <c r="AR34" i="17"/>
  <c r="AR3" i="7"/>
  <c r="AU2" i="59"/>
  <c r="AR26" i="5"/>
  <c r="AR6" i="7"/>
  <c r="AU5" i="59"/>
  <c r="BG19" i="5"/>
  <c r="BH17" i="5"/>
  <c r="BH18" i="5"/>
  <c r="AR116" i="5"/>
  <c r="AR64" i="5"/>
  <c r="AR11" i="7"/>
  <c r="AR236" i="7"/>
  <c r="AR70" i="5"/>
  <c r="AR71" i="5"/>
  <c r="AR65" i="5"/>
  <c r="AR12" i="7"/>
  <c r="AR69" i="5"/>
  <c r="AR63" i="5"/>
  <c r="AR10" i="7"/>
  <c r="AR4" i="7"/>
  <c r="AU3" i="59"/>
  <c r="AR25" i="5"/>
  <c r="AR5" i="7"/>
  <c r="AU4" i="59"/>
  <c r="AS23" i="5"/>
  <c r="AS33" i="17"/>
  <c r="BH19" i="5"/>
  <c r="BI17" i="5"/>
  <c r="BI18" i="5"/>
  <c r="E236" i="7"/>
  <c r="AS115" i="5"/>
  <c r="AR66" i="5"/>
  <c r="AR13" i="7"/>
  <c r="AR67" i="5"/>
  <c r="AR14" i="7"/>
  <c r="AR73" i="5"/>
  <c r="AR72" i="5"/>
  <c r="AR123" i="5"/>
  <c r="AR237" i="7"/>
  <c r="AR124" i="5"/>
  <c r="AR238" i="7"/>
  <c r="AR119" i="5"/>
  <c r="AR289" i="7"/>
  <c r="AR120" i="5"/>
  <c r="AR290" i="7"/>
  <c r="AS3" i="7"/>
  <c r="AV2" i="59"/>
  <c r="AS24" i="5"/>
  <c r="AS34" i="17"/>
  <c r="AS26" i="5"/>
  <c r="AS6" i="7"/>
  <c r="AV5" i="59"/>
  <c r="BI19" i="5"/>
  <c r="BJ17" i="5"/>
  <c r="BJ18" i="5"/>
  <c r="AS69" i="5"/>
  <c r="AS64" i="5"/>
  <c r="AS71" i="5"/>
  <c r="AS116" i="5"/>
  <c r="AS70" i="5"/>
  <c r="AS63" i="5"/>
  <c r="AS10" i="7"/>
  <c r="AS65" i="5"/>
  <c r="AS12" i="7"/>
  <c r="AS4" i="7"/>
  <c r="AV3" i="59"/>
  <c r="AS25" i="5"/>
  <c r="AS5" i="7"/>
  <c r="AV4" i="59"/>
  <c r="AT23" i="5"/>
  <c r="AT33" i="17"/>
  <c r="BJ19" i="5"/>
  <c r="BK17" i="5"/>
  <c r="BK18" i="5"/>
  <c r="AS11" i="7"/>
  <c r="AS66" i="5"/>
  <c r="AS13" i="7"/>
  <c r="AS73" i="5"/>
  <c r="AS72" i="5"/>
  <c r="AS123" i="5"/>
  <c r="AS237" i="7"/>
  <c r="AS124" i="5"/>
  <c r="AS238" i="7"/>
  <c r="AS119" i="5"/>
  <c r="AS289" i="7"/>
  <c r="AS120" i="5"/>
  <c r="AS290" i="7"/>
  <c r="AS67" i="5"/>
  <c r="AS14" i="7"/>
  <c r="AT115" i="5"/>
  <c r="AT24" i="5"/>
  <c r="AT34" i="17"/>
  <c r="AT3" i="7"/>
  <c r="AW2" i="59"/>
  <c r="AT26" i="5"/>
  <c r="BK19" i="5"/>
  <c r="BL17" i="5"/>
  <c r="BL18" i="5"/>
  <c r="AS236" i="7"/>
  <c r="AT65" i="5"/>
  <c r="AT12" i="7"/>
  <c r="AT64" i="5"/>
  <c r="AT71" i="5"/>
  <c r="AT116" i="5"/>
  <c r="AT70" i="5"/>
  <c r="AT69" i="5"/>
  <c r="AT63" i="5"/>
  <c r="AT10" i="7"/>
  <c r="AT6" i="7"/>
  <c r="AW5" i="59"/>
  <c r="AT4" i="7"/>
  <c r="AW3" i="59"/>
  <c r="AU23" i="5"/>
  <c r="AU33" i="17"/>
  <c r="AT25" i="5"/>
  <c r="AT5" i="7"/>
  <c r="AW4" i="59"/>
  <c r="BL19" i="5"/>
  <c r="BM17" i="5"/>
  <c r="BM18" i="5"/>
  <c r="AT11" i="7"/>
  <c r="AT66" i="5"/>
  <c r="AT13" i="7"/>
  <c r="AT73" i="5"/>
  <c r="AT72" i="5"/>
  <c r="AT67" i="5"/>
  <c r="AT14" i="7"/>
  <c r="AT119" i="5"/>
  <c r="AT289" i="7"/>
  <c r="AT123" i="5"/>
  <c r="AT237" i="7"/>
  <c r="AT124" i="5"/>
  <c r="AT238" i="7"/>
  <c r="AT120" i="5"/>
  <c r="AT290" i="7"/>
  <c r="AU115" i="5"/>
  <c r="AU24" i="5"/>
  <c r="AU34" i="17"/>
  <c r="AU3" i="7"/>
  <c r="AX2" i="59"/>
  <c r="AU26" i="5"/>
  <c r="AU6" i="7"/>
  <c r="AX5" i="59"/>
  <c r="BM19" i="5"/>
  <c r="BN17" i="5"/>
  <c r="BN18" i="5"/>
  <c r="AT236" i="7"/>
  <c r="AU116" i="5"/>
  <c r="AU64" i="5"/>
  <c r="AU11" i="7"/>
  <c r="AU70" i="5"/>
  <c r="AU71" i="5"/>
  <c r="AU69" i="5"/>
  <c r="AU63" i="5"/>
  <c r="AU10" i="7"/>
  <c r="AU65" i="5"/>
  <c r="AU12" i="7"/>
  <c r="AU4" i="7"/>
  <c r="AX3" i="59"/>
  <c r="AU25" i="5"/>
  <c r="AU5" i="7"/>
  <c r="AX4" i="59"/>
  <c r="AV23" i="5"/>
  <c r="AV33" i="17"/>
  <c r="BN19" i="5"/>
  <c r="BO17" i="5"/>
  <c r="BO18" i="5"/>
  <c r="AU236" i="7"/>
  <c r="AV115" i="5"/>
  <c r="AU73" i="5"/>
  <c r="AU72" i="5"/>
  <c r="AU67" i="5"/>
  <c r="AU14" i="7"/>
  <c r="AU66" i="5"/>
  <c r="AU13" i="7"/>
  <c r="AU124" i="5"/>
  <c r="AU238" i="7"/>
  <c r="AU123" i="5"/>
  <c r="AU237" i="7"/>
  <c r="AU119" i="5"/>
  <c r="AU289" i="7"/>
  <c r="AU120" i="5"/>
  <c r="AU290" i="7"/>
  <c r="AV24" i="5"/>
  <c r="AV34" i="17"/>
  <c r="AV3" i="7"/>
  <c r="AY2" i="59"/>
  <c r="AV26" i="5"/>
  <c r="BO19" i="5"/>
  <c r="BP17" i="5"/>
  <c r="BP18" i="5"/>
  <c r="AV116" i="5"/>
  <c r="AV64" i="5"/>
  <c r="AV11" i="7"/>
  <c r="AV70" i="5"/>
  <c r="AV71" i="5"/>
  <c r="AV69" i="5"/>
  <c r="AV63" i="5"/>
  <c r="AV10" i="7"/>
  <c r="AV65" i="5"/>
  <c r="AV12" i="7"/>
  <c r="AV6" i="7"/>
  <c r="AY5" i="59"/>
  <c r="AV4" i="7"/>
  <c r="AY3" i="59"/>
  <c r="AV25" i="5"/>
  <c r="AV5" i="7"/>
  <c r="AY4" i="59"/>
  <c r="AW23" i="5"/>
  <c r="AW33" i="17"/>
  <c r="BP19" i="5"/>
  <c r="BQ17" i="5"/>
  <c r="BQ18" i="5"/>
  <c r="AV236" i="7"/>
  <c r="AW115" i="5"/>
  <c r="AV67" i="5"/>
  <c r="AV14" i="7"/>
  <c r="AV66" i="5"/>
  <c r="AV13" i="7"/>
  <c r="AV73" i="5"/>
  <c r="AV72" i="5"/>
  <c r="AV119" i="5"/>
  <c r="AV289" i="7"/>
  <c r="AV120" i="5"/>
  <c r="AV290" i="7"/>
  <c r="AV123" i="5"/>
  <c r="AV237" i="7"/>
  <c r="AV124" i="5"/>
  <c r="AV238" i="7"/>
  <c r="AW24" i="5"/>
  <c r="AX23" i="5"/>
  <c r="AW3" i="7"/>
  <c r="AZ2" i="59"/>
  <c r="AW26" i="5"/>
  <c r="AW6" i="7"/>
  <c r="AZ5" i="59"/>
  <c r="AX115" i="5"/>
  <c r="AX3" i="7"/>
  <c r="BA2" i="59"/>
  <c r="BQ19" i="5"/>
  <c r="BR17" i="5"/>
  <c r="BR18" i="5"/>
  <c r="AX24" i="5"/>
  <c r="AX63" i="5"/>
  <c r="AX26" i="5"/>
  <c r="AX6" i="7"/>
  <c r="BA5" i="59"/>
  <c r="AW71" i="5"/>
  <c r="AW34" i="17"/>
  <c r="AW116" i="5"/>
  <c r="AW64" i="5"/>
  <c r="AW70" i="5"/>
  <c r="AW63" i="5"/>
  <c r="AW10" i="7"/>
  <c r="AW65" i="5"/>
  <c r="AW12" i="7"/>
  <c r="AW69" i="5"/>
  <c r="AW4" i="7"/>
  <c r="AZ3" i="59"/>
  <c r="AW25" i="5"/>
  <c r="AW5" i="7"/>
  <c r="AZ4" i="59"/>
  <c r="AX65" i="5"/>
  <c r="AX69" i="5"/>
  <c r="AX71" i="5"/>
  <c r="BR19" i="5"/>
  <c r="BS17" i="5"/>
  <c r="BS18" i="5"/>
  <c r="AX116" i="5"/>
  <c r="AX4" i="7"/>
  <c r="BA3" i="59"/>
  <c r="AX64" i="5"/>
  <c r="AX66" i="5"/>
  <c r="AX70" i="5"/>
  <c r="D64" i="5"/>
  <c r="AX25" i="5"/>
  <c r="AX5" i="7"/>
  <c r="BA4" i="59"/>
  <c r="AY23" i="5"/>
  <c r="AW11" i="7"/>
  <c r="AW236" i="7"/>
  <c r="AW66" i="5"/>
  <c r="AW13" i="7"/>
  <c r="AW67" i="5"/>
  <c r="AW14" i="7"/>
  <c r="AW73" i="5"/>
  <c r="AW72" i="5"/>
  <c r="AW124" i="5"/>
  <c r="AW238" i="7"/>
  <c r="AW119" i="5"/>
  <c r="AW289" i="7"/>
  <c r="AW120" i="5"/>
  <c r="AW290" i="7"/>
  <c r="AW123" i="5"/>
  <c r="AW237" i="7"/>
  <c r="AX73" i="5"/>
  <c r="AX67" i="5"/>
  <c r="AX14" i="7"/>
  <c r="AX11" i="7"/>
  <c r="AX236" i="7"/>
  <c r="AY115" i="5"/>
  <c r="AY3" i="7"/>
  <c r="BB2" i="59"/>
  <c r="AX119" i="5"/>
  <c r="AX289" i="7"/>
  <c r="AX124" i="5"/>
  <c r="AX238" i="7"/>
  <c r="AX123" i="5"/>
  <c r="AX237" i="7"/>
  <c r="AX120" i="5"/>
  <c r="AX290" i="7"/>
  <c r="AX72" i="5"/>
  <c r="BS19" i="5"/>
  <c r="BT17" i="5"/>
  <c r="BT18" i="5"/>
  <c r="AY24" i="5"/>
  <c r="AY63" i="5"/>
  <c r="AY26" i="5"/>
  <c r="AY6" i="7"/>
  <c r="BB5" i="59"/>
  <c r="AV31" i="13"/>
  <c r="AM31" i="13"/>
  <c r="AT31" i="13"/>
  <c r="AN31" i="13"/>
  <c r="AQ31" i="13"/>
  <c r="AP31" i="13"/>
  <c r="AO31" i="13"/>
  <c r="AU31" i="13"/>
  <c r="AR31" i="13"/>
  <c r="AS31" i="13"/>
  <c r="AW31" i="13"/>
  <c r="AL31" i="13"/>
  <c r="AK31" i="13"/>
  <c r="AJ31" i="13"/>
  <c r="AJ19" i="15"/>
  <c r="AJ27" i="18"/>
  <c r="AY116" i="5"/>
  <c r="AY4" i="7"/>
  <c r="BB3" i="59"/>
  <c r="AY64" i="5"/>
  <c r="AY70" i="5"/>
  <c r="AY71" i="5"/>
  <c r="BT19" i="5"/>
  <c r="BU17" i="5"/>
  <c r="BU18" i="5"/>
  <c r="AY65" i="5"/>
  <c r="AY69" i="5"/>
  <c r="AY25" i="5"/>
  <c r="AY5" i="7"/>
  <c r="BB4" i="59"/>
  <c r="AZ23" i="5"/>
  <c r="AY119" i="5"/>
  <c r="AY289" i="7"/>
  <c r="AY124" i="5"/>
  <c r="AY238" i="7"/>
  <c r="AY120" i="5"/>
  <c r="AY290" i="7"/>
  <c r="AY123" i="5"/>
  <c r="AY237" i="7"/>
  <c r="BU19" i="5"/>
  <c r="BV17" i="5"/>
  <c r="BV18" i="5"/>
  <c r="AJ20" i="55"/>
  <c r="AJ27" i="55"/>
  <c r="AY73" i="5"/>
  <c r="AY72" i="5"/>
  <c r="AJ20" i="18"/>
  <c r="AZ115" i="5"/>
  <c r="AZ3" i="7"/>
  <c r="BC2" i="59"/>
  <c r="AY11" i="7"/>
  <c r="AY236" i="7"/>
  <c r="AY67" i="5"/>
  <c r="AY66" i="5"/>
  <c r="AZ26" i="5"/>
  <c r="AZ6" i="7"/>
  <c r="BC5" i="59"/>
  <c r="AZ24" i="5"/>
  <c r="AZ71" i="5"/>
  <c r="AK19" i="15"/>
  <c r="AZ65" i="5"/>
  <c r="AZ69" i="5"/>
  <c r="AZ63" i="5"/>
  <c r="AZ116" i="5"/>
  <c r="AZ4" i="7"/>
  <c r="BC3" i="59"/>
  <c r="AZ64" i="5"/>
  <c r="AZ70" i="5"/>
  <c r="BV19" i="5"/>
  <c r="BW17" i="5"/>
  <c r="BW18" i="5"/>
  <c r="AZ25" i="5"/>
  <c r="AZ5" i="7"/>
  <c r="BC4" i="59"/>
  <c r="BA23" i="5"/>
  <c r="AK20" i="55"/>
  <c r="AK27" i="55"/>
  <c r="AK27" i="18"/>
  <c r="AK20" i="18"/>
  <c r="AZ119" i="5"/>
  <c r="AZ124" i="5"/>
  <c r="AZ238" i="7"/>
  <c r="AZ120" i="5"/>
  <c r="AZ123" i="5"/>
  <c r="AZ237" i="7"/>
  <c r="BA3" i="7"/>
  <c r="BD2" i="59"/>
  <c r="BA115" i="5"/>
  <c r="BW19" i="5"/>
  <c r="BX17" i="5"/>
  <c r="BX18" i="5"/>
  <c r="AZ73" i="5"/>
  <c r="AZ72" i="5"/>
  <c r="AZ11" i="7"/>
  <c r="AZ67" i="5"/>
  <c r="AZ66" i="5"/>
  <c r="BA24" i="5"/>
  <c r="BA65" i="5"/>
  <c r="BA26" i="5"/>
  <c r="BA6" i="7"/>
  <c r="BD5" i="59"/>
  <c r="BA69" i="5"/>
  <c r="BA63" i="5"/>
  <c r="BA71" i="5"/>
  <c r="BA116" i="5"/>
  <c r="BA4" i="7"/>
  <c r="BD3" i="59"/>
  <c r="BA64" i="5"/>
  <c r="BA70" i="5"/>
  <c r="BX19" i="5"/>
  <c r="BY17" i="5"/>
  <c r="BY18" i="5"/>
  <c r="BA25" i="5"/>
  <c r="BA5" i="7"/>
  <c r="BD4" i="59"/>
  <c r="BB23" i="5"/>
  <c r="D14" i="17"/>
  <c r="BY19" i="5"/>
  <c r="BZ17" i="5"/>
  <c r="BZ18" i="5"/>
  <c r="BA73" i="5"/>
  <c r="BA72" i="5"/>
  <c r="BB3" i="7"/>
  <c r="BE2" i="59"/>
  <c r="BB115" i="5"/>
  <c r="BA11" i="7"/>
  <c r="BA67" i="5"/>
  <c r="BA66" i="5"/>
  <c r="BA119" i="5"/>
  <c r="BA123" i="5"/>
  <c r="BA237" i="7"/>
  <c r="BA120" i="5"/>
  <c r="BA124" i="5"/>
  <c r="BA238" i="7"/>
  <c r="BB24" i="5"/>
  <c r="BB71" i="5"/>
  <c r="BB26" i="5"/>
  <c r="BB6" i="7"/>
  <c r="BE5" i="59"/>
  <c r="AM27" i="55"/>
  <c r="AM20" i="55"/>
  <c r="AM20" i="18"/>
  <c r="AM27" i="18"/>
  <c r="D57" i="17"/>
  <c r="BB69" i="5"/>
  <c r="BB65" i="5"/>
  <c r="BB4" i="7"/>
  <c r="BE3" i="59"/>
  <c r="BB116" i="5"/>
  <c r="BB64" i="5"/>
  <c r="BB70" i="5"/>
  <c r="BB63" i="5"/>
  <c r="BZ19" i="5"/>
  <c r="CA17" i="5"/>
  <c r="CA18" i="5"/>
  <c r="BB25" i="5"/>
  <c r="BB5" i="7"/>
  <c r="BE4" i="59"/>
  <c r="BC23" i="5"/>
  <c r="E72" i="1"/>
  <c r="C21" i="7"/>
  <c r="D9" i="20"/>
  <c r="D15" i="20"/>
  <c r="BB73" i="5"/>
  <c r="BB72" i="5"/>
  <c r="BB11" i="7"/>
  <c r="BB67" i="5"/>
  <c r="BB66" i="5"/>
  <c r="BB124" i="5"/>
  <c r="BB238" i="7"/>
  <c r="BB120" i="5"/>
  <c r="BB119" i="5"/>
  <c r="BB123" i="5"/>
  <c r="BB237" i="7"/>
  <c r="CA19" i="5"/>
  <c r="CB17" i="5"/>
  <c r="CB18" i="5"/>
  <c r="BC115" i="5"/>
  <c r="BC3" i="7"/>
  <c r="BF2" i="59"/>
  <c r="BC24" i="5"/>
  <c r="BC63" i="5"/>
  <c r="BC69" i="5"/>
  <c r="BC65" i="5"/>
  <c r="BC26" i="5"/>
  <c r="BC6" i="7"/>
  <c r="BF5" i="59"/>
  <c r="I35" i="7"/>
  <c r="I177" i="7"/>
  <c r="D18" i="20"/>
  <c r="D17" i="20"/>
  <c r="CB19" i="5"/>
  <c r="CC17" i="5"/>
  <c r="CC18" i="5"/>
  <c r="CC19" i="5"/>
  <c r="BC4" i="7"/>
  <c r="BF3" i="59"/>
  <c r="BC116" i="5"/>
  <c r="BC64" i="5"/>
  <c r="BC70" i="5"/>
  <c r="BC71" i="5"/>
  <c r="BC25" i="5"/>
  <c r="BC5" i="7"/>
  <c r="BF4" i="59"/>
  <c r="BD23" i="5"/>
  <c r="L35" i="7"/>
  <c r="L177" i="7"/>
  <c r="V35" i="7"/>
  <c r="V177" i="7"/>
  <c r="AN35" i="7"/>
  <c r="AN177" i="7"/>
  <c r="AL35" i="7"/>
  <c r="AL177" i="7"/>
  <c r="Z35" i="7"/>
  <c r="Z177" i="7"/>
  <c r="M35" i="7"/>
  <c r="M177" i="7"/>
  <c r="X35" i="7"/>
  <c r="X177" i="7"/>
  <c r="AR35" i="7"/>
  <c r="AR177" i="7"/>
  <c r="P35" i="7"/>
  <c r="P177" i="7"/>
  <c r="U35" i="7"/>
  <c r="U177" i="7"/>
  <c r="AB35" i="7"/>
  <c r="AB177" i="7"/>
  <c r="W35" i="7"/>
  <c r="W177" i="7"/>
  <c r="AI35" i="7"/>
  <c r="AI177" i="7"/>
  <c r="AA35" i="7"/>
  <c r="AA177" i="7"/>
  <c r="AH35" i="7"/>
  <c r="AH177" i="7"/>
  <c r="T35" i="7"/>
  <c r="T177" i="7"/>
  <c r="N35" i="7"/>
  <c r="N177" i="7"/>
  <c r="J35" i="7"/>
  <c r="J177" i="7"/>
  <c r="O35" i="7"/>
  <c r="O177" i="7"/>
  <c r="S35" i="7"/>
  <c r="S177" i="7"/>
  <c r="AJ35" i="7"/>
  <c r="AJ177" i="7"/>
  <c r="AG35" i="7"/>
  <c r="AG177" i="7"/>
  <c r="AX35" i="7"/>
  <c r="AX177" i="7"/>
  <c r="K35" i="7"/>
  <c r="K177" i="7"/>
  <c r="Y35" i="7"/>
  <c r="Y177" i="7"/>
  <c r="R35" i="7"/>
  <c r="R177" i="7"/>
  <c r="AP35" i="7"/>
  <c r="AP177" i="7"/>
  <c r="AQ35" i="7"/>
  <c r="AQ177" i="7"/>
  <c r="AU35" i="7"/>
  <c r="AU177" i="7"/>
  <c r="AO35" i="7"/>
  <c r="AO177" i="7"/>
  <c r="AM35" i="7"/>
  <c r="AM177" i="7"/>
  <c r="AF35" i="7"/>
  <c r="AF177" i="7"/>
  <c r="AT35" i="7"/>
  <c r="AT177" i="7"/>
  <c r="AE35" i="7"/>
  <c r="AE177" i="7"/>
  <c r="Q35" i="7"/>
  <c r="Q177" i="7"/>
  <c r="AW35" i="7"/>
  <c r="AW177" i="7"/>
  <c r="AD35" i="7"/>
  <c r="AD177" i="7"/>
  <c r="AS35" i="7"/>
  <c r="AS177" i="7"/>
  <c r="AY35" i="7"/>
  <c r="AY177" i="7"/>
  <c r="AK35" i="7"/>
  <c r="AK177" i="7"/>
  <c r="AC35" i="7"/>
  <c r="AC177" i="7"/>
  <c r="AV35" i="7"/>
  <c r="AV177" i="7"/>
  <c r="D20" i="20"/>
  <c r="E125" i="1"/>
  <c r="BC120" i="5"/>
  <c r="BC123" i="5"/>
  <c r="BC237" i="7"/>
  <c r="BC119" i="5"/>
  <c r="BC124" i="5"/>
  <c r="BC238" i="7"/>
  <c r="BC67" i="5"/>
  <c r="BC11" i="7"/>
  <c r="BC66" i="5"/>
  <c r="BC73" i="5"/>
  <c r="BC72" i="5"/>
  <c r="BD115" i="5"/>
  <c r="BD3" i="7"/>
  <c r="BG2" i="59"/>
  <c r="D177" i="7"/>
  <c r="BD24" i="5"/>
  <c r="BD69" i="5"/>
  <c r="BD26" i="5"/>
  <c r="BD6" i="7"/>
  <c r="BG5" i="59"/>
  <c r="D11" i="48"/>
  <c r="D35" i="7"/>
  <c r="C29" i="7"/>
  <c r="I43" i="7"/>
  <c r="C142" i="7"/>
  <c r="E128" i="1"/>
  <c r="E79" i="1"/>
  <c r="BD65" i="5"/>
  <c r="BD71" i="5"/>
  <c r="BD4" i="7"/>
  <c r="BG3" i="59"/>
  <c r="BD116" i="5"/>
  <c r="BD64" i="5"/>
  <c r="BD70" i="5"/>
  <c r="BD63" i="5"/>
  <c r="BD25" i="5"/>
  <c r="BD5" i="7"/>
  <c r="BG4" i="59"/>
  <c r="BE23" i="5"/>
  <c r="X27" i="48"/>
  <c r="W30" i="48"/>
  <c r="AJ156" i="7"/>
  <c r="AJ181" i="7"/>
  <c r="AR156" i="7"/>
  <c r="AR181" i="7"/>
  <c r="AZ156" i="7"/>
  <c r="AZ181" i="7"/>
  <c r="AK156" i="7"/>
  <c r="AK181" i="7"/>
  <c r="AS156" i="7"/>
  <c r="AS181" i="7"/>
  <c r="AL156" i="7"/>
  <c r="AL181" i="7"/>
  <c r="AT156" i="7"/>
  <c r="AT181" i="7"/>
  <c r="AM156" i="7"/>
  <c r="AM181" i="7"/>
  <c r="AU156" i="7"/>
  <c r="AU181" i="7"/>
  <c r="AO156" i="7"/>
  <c r="AO181" i="7"/>
  <c r="AN156" i="7"/>
  <c r="AN181" i="7"/>
  <c r="AV156" i="7"/>
  <c r="AV181" i="7"/>
  <c r="AW156" i="7"/>
  <c r="AW181" i="7"/>
  <c r="AP156" i="7"/>
  <c r="AP181" i="7"/>
  <c r="AX156" i="7"/>
  <c r="AX181" i="7"/>
  <c r="AQ156" i="7"/>
  <c r="AQ181" i="7"/>
  <c r="AY156" i="7"/>
  <c r="AY181" i="7"/>
  <c r="AY43" i="7"/>
  <c r="AK43" i="7"/>
  <c r="AW43" i="7"/>
  <c r="AS43" i="7"/>
  <c r="AR43" i="7"/>
  <c r="AJ43" i="7"/>
  <c r="AO43" i="7"/>
  <c r="AG43" i="7"/>
  <c r="AF43" i="7"/>
  <c r="AX43" i="7"/>
  <c r="AE43" i="7"/>
  <c r="AT43" i="7"/>
  <c r="AM43" i="7"/>
  <c r="AL43" i="7"/>
  <c r="AP43" i="7"/>
  <c r="AQ43" i="7"/>
  <c r="AH43" i="7"/>
  <c r="AD43" i="7"/>
  <c r="AI43" i="7"/>
  <c r="AC43" i="7"/>
  <c r="AN43" i="7"/>
  <c r="AV43" i="7"/>
  <c r="AU43" i="7"/>
  <c r="R156" i="7"/>
  <c r="R181" i="7"/>
  <c r="Z156" i="7"/>
  <c r="Z181" i="7"/>
  <c r="AH156" i="7"/>
  <c r="AH181" i="7"/>
  <c r="S156" i="7"/>
  <c r="S181" i="7"/>
  <c r="AA156" i="7"/>
  <c r="AA181" i="7"/>
  <c r="AI156" i="7"/>
  <c r="AI181" i="7"/>
  <c r="T156" i="7"/>
  <c r="T181" i="7"/>
  <c r="AB156" i="7"/>
  <c r="AB181" i="7"/>
  <c r="J156" i="7"/>
  <c r="J181" i="7"/>
  <c r="U156" i="7"/>
  <c r="U181" i="7"/>
  <c r="AC156" i="7"/>
  <c r="AC181" i="7"/>
  <c r="K156" i="7"/>
  <c r="K181" i="7"/>
  <c r="AG156" i="7"/>
  <c r="AG181" i="7"/>
  <c r="V156" i="7"/>
  <c r="V181" i="7"/>
  <c r="AD156" i="7"/>
  <c r="AD181" i="7"/>
  <c r="L156" i="7"/>
  <c r="L181" i="7"/>
  <c r="O156" i="7"/>
  <c r="O181" i="7"/>
  <c r="W156" i="7"/>
  <c r="W181" i="7"/>
  <c r="AE156" i="7"/>
  <c r="AE181" i="7"/>
  <c r="M156" i="7"/>
  <c r="M181" i="7"/>
  <c r="Y156" i="7"/>
  <c r="Y181" i="7"/>
  <c r="P156" i="7"/>
  <c r="P181" i="7"/>
  <c r="X156" i="7"/>
  <c r="X181" i="7"/>
  <c r="AF156" i="7"/>
  <c r="AF181" i="7"/>
  <c r="N156" i="7"/>
  <c r="N181" i="7"/>
  <c r="I156" i="7"/>
  <c r="Q156" i="7"/>
  <c r="Q181" i="7"/>
  <c r="C145" i="7"/>
  <c r="K43" i="7"/>
  <c r="S43" i="7"/>
  <c r="AA43" i="7"/>
  <c r="M43" i="7"/>
  <c r="Z43" i="7"/>
  <c r="L43" i="7"/>
  <c r="T43" i="7"/>
  <c r="AB43" i="7"/>
  <c r="U43" i="7"/>
  <c r="P43" i="7"/>
  <c r="Q43" i="7"/>
  <c r="R43" i="7"/>
  <c r="N43" i="7"/>
  <c r="V43" i="7"/>
  <c r="O43" i="7"/>
  <c r="W43" i="7"/>
  <c r="X43" i="7"/>
  <c r="Y43" i="7"/>
  <c r="J43" i="7"/>
  <c r="E124" i="1"/>
  <c r="BD119" i="5"/>
  <c r="BD124" i="5"/>
  <c r="BD238" i="7"/>
  <c r="BD120" i="5"/>
  <c r="BD123" i="5"/>
  <c r="BD237" i="7"/>
  <c r="BD11" i="7"/>
  <c r="BD67" i="5"/>
  <c r="BD66" i="5"/>
  <c r="BD73" i="5"/>
  <c r="BD72" i="5"/>
  <c r="BE115" i="5"/>
  <c r="BE3" i="7"/>
  <c r="BH2" i="59"/>
  <c r="BE24" i="5"/>
  <c r="BE69" i="5"/>
  <c r="BE26" i="5"/>
  <c r="BE6" i="7"/>
  <c r="BH5" i="59"/>
  <c r="D43" i="7"/>
  <c r="I181" i="7"/>
  <c r="D181" i="7"/>
  <c r="D156" i="7"/>
  <c r="AM159" i="7"/>
  <c r="AU159" i="7"/>
  <c r="AZ159" i="7"/>
  <c r="AZ184" i="7"/>
  <c r="AN159" i="7"/>
  <c r="AV159" i="7"/>
  <c r="AO159" i="7"/>
  <c r="AW159" i="7"/>
  <c r="AP159" i="7"/>
  <c r="AX159" i="7"/>
  <c r="AR159" i="7"/>
  <c r="AQ159" i="7"/>
  <c r="AY159" i="7"/>
  <c r="AJ159" i="7"/>
  <c r="AK159" i="7"/>
  <c r="AS159" i="7"/>
  <c r="AL159" i="7"/>
  <c r="AT159" i="7"/>
  <c r="S159" i="7"/>
  <c r="AA159" i="7"/>
  <c r="AI159" i="7"/>
  <c r="T159" i="7"/>
  <c r="AB159" i="7"/>
  <c r="J159" i="7"/>
  <c r="U159" i="7"/>
  <c r="AC159" i="7"/>
  <c r="K159" i="7"/>
  <c r="V159" i="7"/>
  <c r="AD159" i="7"/>
  <c r="L159" i="7"/>
  <c r="O159" i="7"/>
  <c r="W159" i="7"/>
  <c r="AE159" i="7"/>
  <c r="M159" i="7"/>
  <c r="I159" i="7"/>
  <c r="AH159" i="7"/>
  <c r="P159" i="7"/>
  <c r="X159" i="7"/>
  <c r="AF159" i="7"/>
  <c r="N159" i="7"/>
  <c r="Z159" i="7"/>
  <c r="Q159" i="7"/>
  <c r="Y159" i="7"/>
  <c r="AG159" i="7"/>
  <c r="R159" i="7"/>
  <c r="C141" i="7"/>
  <c r="BE71" i="5"/>
  <c r="BE4" i="7"/>
  <c r="BH3" i="59"/>
  <c r="BE116" i="5"/>
  <c r="BE64" i="5"/>
  <c r="BE70" i="5"/>
  <c r="BE63" i="5"/>
  <c r="BE65" i="5"/>
  <c r="BE25" i="5"/>
  <c r="BE5" i="7"/>
  <c r="BH4" i="59"/>
  <c r="BF23" i="5"/>
  <c r="D159" i="7"/>
  <c r="W5" i="48"/>
  <c r="AQ155" i="7"/>
  <c r="AQ180" i="7"/>
  <c r="AY155" i="7"/>
  <c r="AY180" i="7"/>
  <c r="AN155" i="7"/>
  <c r="AN180" i="7"/>
  <c r="AJ155" i="7"/>
  <c r="AJ180" i="7"/>
  <c r="AR155" i="7"/>
  <c r="AR180" i="7"/>
  <c r="AZ155" i="7"/>
  <c r="AZ180" i="7"/>
  <c r="AV155" i="7"/>
  <c r="AV180" i="7"/>
  <c r="AK155" i="7"/>
  <c r="AK180" i="7"/>
  <c r="AS155" i="7"/>
  <c r="AS180" i="7"/>
  <c r="AL155" i="7"/>
  <c r="AL180" i="7"/>
  <c r="AT155" i="7"/>
  <c r="AT180" i="7"/>
  <c r="AM155" i="7"/>
  <c r="AM180" i="7"/>
  <c r="AU155" i="7"/>
  <c r="AU180" i="7"/>
  <c r="AO155" i="7"/>
  <c r="AO180" i="7"/>
  <c r="AW155" i="7"/>
  <c r="AW180" i="7"/>
  <c r="AP155" i="7"/>
  <c r="AP180" i="7"/>
  <c r="AX155" i="7"/>
  <c r="AX180" i="7"/>
  <c r="O155" i="7"/>
  <c r="O180" i="7"/>
  <c r="W155" i="7"/>
  <c r="W180" i="7"/>
  <c r="AE155" i="7"/>
  <c r="AE180" i="7"/>
  <c r="M155" i="7"/>
  <c r="M180" i="7"/>
  <c r="P155" i="7"/>
  <c r="P180" i="7"/>
  <c r="X155" i="7"/>
  <c r="X180" i="7"/>
  <c r="AF155" i="7"/>
  <c r="AF180" i="7"/>
  <c r="N155" i="7"/>
  <c r="N180" i="7"/>
  <c r="Q155" i="7"/>
  <c r="Q180" i="7"/>
  <c r="Y155" i="7"/>
  <c r="Y180" i="7"/>
  <c r="AG155" i="7"/>
  <c r="AG180" i="7"/>
  <c r="R155" i="7"/>
  <c r="R180" i="7"/>
  <c r="Z155" i="7"/>
  <c r="Z180" i="7"/>
  <c r="AH155" i="7"/>
  <c r="AH180" i="7"/>
  <c r="V155" i="7"/>
  <c r="V180" i="7"/>
  <c r="S155" i="7"/>
  <c r="S180" i="7"/>
  <c r="AA155" i="7"/>
  <c r="AA180" i="7"/>
  <c r="AI155" i="7"/>
  <c r="AI180" i="7"/>
  <c r="AD155" i="7"/>
  <c r="AD180" i="7"/>
  <c r="I155" i="7"/>
  <c r="T155" i="7"/>
  <c r="T180" i="7"/>
  <c r="AB155" i="7"/>
  <c r="AB180" i="7"/>
  <c r="J155" i="7"/>
  <c r="J180" i="7"/>
  <c r="L155" i="7"/>
  <c r="L180" i="7"/>
  <c r="U155" i="7"/>
  <c r="U180" i="7"/>
  <c r="AC155" i="7"/>
  <c r="AC180" i="7"/>
  <c r="K155" i="7"/>
  <c r="K180" i="7"/>
  <c r="BE11" i="7"/>
  <c r="BE67" i="5"/>
  <c r="BE66" i="5"/>
  <c r="BE123" i="5"/>
  <c r="BE237" i="7"/>
  <c r="BE120" i="5"/>
  <c r="BE124" i="5"/>
  <c r="BE238" i="7"/>
  <c r="BE119" i="5"/>
  <c r="BE73" i="5"/>
  <c r="BE72" i="5"/>
  <c r="BF115" i="5"/>
  <c r="BF3" i="7"/>
  <c r="BI2" i="59"/>
  <c r="BF24" i="5"/>
  <c r="BF71" i="5"/>
  <c r="BF26" i="5"/>
  <c r="BF6" i="7"/>
  <c r="BI5" i="59"/>
  <c r="I180" i="7"/>
  <c r="D180" i="7"/>
  <c r="D155" i="7"/>
  <c r="BF116" i="5"/>
  <c r="BF4" i="7"/>
  <c r="BI3" i="59"/>
  <c r="BF64" i="5"/>
  <c r="BF70" i="5"/>
  <c r="BF63" i="5"/>
  <c r="BF65" i="5"/>
  <c r="BF69" i="5"/>
  <c r="BF25" i="5"/>
  <c r="BF5" i="7"/>
  <c r="BI4" i="59"/>
  <c r="BG23" i="5"/>
  <c r="W7" i="48"/>
  <c r="K93" i="7"/>
  <c r="S93" i="7"/>
  <c r="AA93" i="7"/>
  <c r="L93" i="7"/>
  <c r="T93" i="7"/>
  <c r="AB93" i="7"/>
  <c r="I89" i="7"/>
  <c r="N93" i="7"/>
  <c r="M93" i="7"/>
  <c r="U93" i="7"/>
  <c r="AC93" i="7"/>
  <c r="V93" i="7"/>
  <c r="AD93" i="7"/>
  <c r="W93" i="7"/>
  <c r="R93" i="7"/>
  <c r="AH93" i="7"/>
  <c r="X93" i="7"/>
  <c r="Y93" i="7"/>
  <c r="Z93" i="7"/>
  <c r="O93" i="7"/>
  <c r="AE93" i="7"/>
  <c r="Q93" i="7"/>
  <c r="AG93" i="7"/>
  <c r="P93" i="7"/>
  <c r="AF93" i="7"/>
  <c r="BF67" i="5"/>
  <c r="BF11" i="7"/>
  <c r="BF66" i="5"/>
  <c r="BF73" i="5"/>
  <c r="BF72" i="5"/>
  <c r="BG115" i="5"/>
  <c r="BG3" i="7"/>
  <c r="BJ2" i="59"/>
  <c r="BF120" i="5"/>
  <c r="BF123" i="5"/>
  <c r="BF237" i="7"/>
  <c r="BF119" i="5"/>
  <c r="BF124" i="5"/>
  <c r="BF238" i="7"/>
  <c r="I92" i="7"/>
  <c r="I93" i="7"/>
  <c r="BG24" i="5"/>
  <c r="BG65" i="5"/>
  <c r="BG26" i="5"/>
  <c r="BG6" i="7"/>
  <c r="BJ5" i="59"/>
  <c r="D89" i="7"/>
  <c r="V20" i="48"/>
  <c r="G39" i="2"/>
  <c r="W8" i="48"/>
  <c r="J93" i="7"/>
  <c r="AI93" i="7"/>
  <c r="I3" i="9"/>
  <c r="I3" i="15"/>
  <c r="I3" i="17"/>
  <c r="I3" i="8"/>
  <c r="I3" i="13"/>
  <c r="I3" i="4"/>
  <c r="I3" i="1"/>
  <c r="I3" i="14"/>
  <c r="E4" i="56"/>
  <c r="E80" i="56"/>
  <c r="E98" i="56"/>
  <c r="I3" i="11"/>
  <c r="I3" i="16"/>
  <c r="I3" i="3"/>
  <c r="I3" i="18"/>
  <c r="J3" i="12"/>
  <c r="F65" i="27"/>
  <c r="I3" i="2"/>
  <c r="I3" i="10"/>
  <c r="I4" i="9"/>
  <c r="I4" i="15"/>
  <c r="I4" i="17"/>
  <c r="I4" i="8"/>
  <c r="I4" i="13"/>
  <c r="I4" i="4"/>
  <c r="I4" i="1"/>
  <c r="I4" i="14"/>
  <c r="I4" i="11"/>
  <c r="I4" i="16"/>
  <c r="I4" i="3"/>
  <c r="I4" i="18"/>
  <c r="I37" i="18"/>
  <c r="J4" i="12"/>
  <c r="F66" i="27"/>
  <c r="I4" i="2"/>
  <c r="I4" i="10"/>
  <c r="J3" i="5"/>
  <c r="I36" i="5"/>
  <c r="I37" i="5"/>
  <c r="I38" i="5"/>
  <c r="I42" i="5"/>
  <c r="I43" i="5"/>
  <c r="I44" i="5"/>
  <c r="I48" i="5"/>
  <c r="I49" i="5"/>
  <c r="M51" i="22"/>
  <c r="I50" i="5"/>
  <c r="I90" i="5"/>
  <c r="I91" i="5"/>
  <c r="I47" i="10"/>
  <c r="BG63" i="5"/>
  <c r="BG71" i="5"/>
  <c r="BG4" i="7"/>
  <c r="BJ3" i="59"/>
  <c r="BG116" i="5"/>
  <c r="BG64" i="5"/>
  <c r="BG70" i="5"/>
  <c r="BG69" i="5"/>
  <c r="I13" i="43"/>
  <c r="J3" i="55"/>
  <c r="J3" i="47"/>
  <c r="J49" i="47"/>
  <c r="BG25" i="5"/>
  <c r="BG5" i="7"/>
  <c r="BJ4" i="59"/>
  <c r="BH23" i="5"/>
  <c r="M63" i="22"/>
  <c r="M218" i="22"/>
  <c r="I55" i="5"/>
  <c r="M134" i="22"/>
  <c r="M130" i="22"/>
  <c r="I41" i="15"/>
  <c r="I21" i="43"/>
  <c r="J4" i="5"/>
  <c r="J3" i="43"/>
  <c r="J3" i="41"/>
  <c r="J100" i="41"/>
  <c r="I18" i="41"/>
  <c r="I19" i="43"/>
  <c r="I17" i="41"/>
  <c r="I18" i="43"/>
  <c r="I16" i="41"/>
  <c r="I17" i="43"/>
  <c r="I11" i="41"/>
  <c r="I12" i="43"/>
  <c r="I13" i="41"/>
  <c r="I14" i="43"/>
  <c r="I12" i="4"/>
  <c r="I12" i="41"/>
  <c r="I71" i="41"/>
  <c r="I20" i="41"/>
  <c r="I39" i="5"/>
  <c r="I45" i="5"/>
  <c r="I51" i="5"/>
  <c r="I141" i="5"/>
  <c r="I42" i="17"/>
  <c r="I139" i="5"/>
  <c r="I136" i="5"/>
  <c r="I43" i="17"/>
  <c r="I134" i="5"/>
  <c r="I52" i="18"/>
  <c r="I53" i="18"/>
  <c r="H11" i="21"/>
  <c r="I20" i="8"/>
  <c r="I20" i="13"/>
  <c r="I20" i="4"/>
  <c r="I29" i="14"/>
  <c r="I20" i="11"/>
  <c r="I20" i="16"/>
  <c r="I73" i="16"/>
  <c r="I20" i="3"/>
  <c r="J20" i="12"/>
  <c r="I20" i="10"/>
  <c r="I17" i="8"/>
  <c r="I17" i="13"/>
  <c r="I17" i="4"/>
  <c r="I46" i="4"/>
  <c r="I17" i="11"/>
  <c r="I17" i="16"/>
  <c r="I17" i="3"/>
  <c r="J17" i="12"/>
  <c r="I17" i="10"/>
  <c r="I12" i="8"/>
  <c r="I12" i="13"/>
  <c r="I12" i="11"/>
  <c r="I12" i="16"/>
  <c r="I12" i="3"/>
  <c r="J12" i="12"/>
  <c r="I12" i="10"/>
  <c r="I18" i="8"/>
  <c r="I18" i="13"/>
  <c r="I18" i="4"/>
  <c r="I18" i="11"/>
  <c r="I18" i="16"/>
  <c r="I18" i="3"/>
  <c r="J18" i="12"/>
  <c r="I18" i="10"/>
  <c r="I16" i="8"/>
  <c r="I16" i="13"/>
  <c r="I16" i="4"/>
  <c r="I16" i="11"/>
  <c r="I16" i="16"/>
  <c r="I16" i="3"/>
  <c r="J16" i="12"/>
  <c r="I16" i="10"/>
  <c r="I13" i="8"/>
  <c r="I13" i="13"/>
  <c r="I13" i="4"/>
  <c r="I13" i="11"/>
  <c r="I13" i="16"/>
  <c r="I13" i="3"/>
  <c r="J13" i="12"/>
  <c r="I13" i="10"/>
  <c r="I11" i="8"/>
  <c r="I11" i="13"/>
  <c r="I11" i="4"/>
  <c r="I11" i="11"/>
  <c r="I11" i="16"/>
  <c r="I11" i="3"/>
  <c r="J11" i="12"/>
  <c r="I11" i="10"/>
  <c r="J3" i="9"/>
  <c r="J3" i="15"/>
  <c r="J3" i="17"/>
  <c r="J3" i="8"/>
  <c r="J3" i="13"/>
  <c r="J3" i="14"/>
  <c r="F4" i="56"/>
  <c r="F80" i="56"/>
  <c r="F98" i="56"/>
  <c r="J3" i="4"/>
  <c r="J3" i="1"/>
  <c r="J3" i="11"/>
  <c r="J3" i="16"/>
  <c r="J3" i="3"/>
  <c r="J3" i="18"/>
  <c r="K3" i="12"/>
  <c r="G65" i="27"/>
  <c r="J3" i="2"/>
  <c r="J3" i="10"/>
  <c r="BG73" i="5"/>
  <c r="BG72" i="5"/>
  <c r="BG67" i="5"/>
  <c r="BG11" i="7"/>
  <c r="BG66" i="5"/>
  <c r="BH115" i="5"/>
  <c r="BH3" i="7"/>
  <c r="BK2" i="59"/>
  <c r="BG124" i="5"/>
  <c r="BG238" i="7"/>
  <c r="BG119" i="5"/>
  <c r="BG120" i="5"/>
  <c r="BG123" i="5"/>
  <c r="BG237" i="7"/>
  <c r="BH26" i="5"/>
  <c r="BH6" i="7"/>
  <c r="BK5" i="59"/>
  <c r="BH24" i="5"/>
  <c r="BH65" i="5"/>
  <c r="J4" i="55"/>
  <c r="J152" i="5"/>
  <c r="J153" i="5"/>
  <c r="J4" i="47"/>
  <c r="J50" i="47"/>
  <c r="J151" i="5"/>
  <c r="J147" i="5"/>
  <c r="J9" i="5"/>
  <c r="I25" i="43"/>
  <c r="I159" i="5"/>
  <c r="J28" i="12"/>
  <c r="D6" i="58"/>
  <c r="I160" i="5"/>
  <c r="J29" i="12"/>
  <c r="M138" i="22"/>
  <c r="M145" i="22"/>
  <c r="M224" i="22"/>
  <c r="AQ20" i="55"/>
  <c r="AQ27" i="55"/>
  <c r="I101" i="5"/>
  <c r="J4" i="43"/>
  <c r="J4" i="41"/>
  <c r="J101" i="41"/>
  <c r="J91" i="5"/>
  <c r="I140" i="5"/>
  <c r="I24" i="41"/>
  <c r="AQ20" i="18"/>
  <c r="AQ27" i="18"/>
  <c r="I103" i="5"/>
  <c r="I24" i="8"/>
  <c r="I100" i="5"/>
  <c r="I30" i="3"/>
  <c r="I53" i="3"/>
  <c r="I99" i="5"/>
  <c r="I104" i="5"/>
  <c r="I24" i="13"/>
  <c r="I102" i="5"/>
  <c r="I24" i="10"/>
  <c r="I82" i="8"/>
  <c r="I89" i="8"/>
  <c r="I34" i="8"/>
  <c r="I29" i="41"/>
  <c r="J24" i="12"/>
  <c r="I24" i="3"/>
  <c r="I24" i="16"/>
  <c r="I24" i="11"/>
  <c r="I24" i="4"/>
  <c r="I143" i="5"/>
  <c r="I135" i="5"/>
  <c r="I46" i="13"/>
  <c r="I96" i="8"/>
  <c r="I40" i="13"/>
  <c r="BH71" i="5"/>
  <c r="BH116" i="5"/>
  <c r="BH4" i="7"/>
  <c r="BK3" i="59"/>
  <c r="BH64" i="5"/>
  <c r="BH70" i="5"/>
  <c r="BH69" i="5"/>
  <c r="BH63" i="5"/>
  <c r="J28" i="4"/>
  <c r="J154" i="5"/>
  <c r="J52" i="55"/>
  <c r="J53" i="55"/>
  <c r="J37" i="55"/>
  <c r="BH25" i="5"/>
  <c r="BH5" i="7"/>
  <c r="BK4" i="59"/>
  <c r="BI23" i="5"/>
  <c r="J53" i="12"/>
  <c r="J64" i="12"/>
  <c r="J54" i="12"/>
  <c r="J100" i="12"/>
  <c r="F227" i="48"/>
  <c r="F229" i="48"/>
  <c r="D5" i="58"/>
  <c r="F108" i="48"/>
  <c r="F110" i="48"/>
  <c r="M466" i="22"/>
  <c r="M143" i="22"/>
  <c r="I206" i="11"/>
  <c r="I111" i="11"/>
  <c r="I179" i="11"/>
  <c r="D81" i="58"/>
  <c r="I114" i="11"/>
  <c r="I182" i="11"/>
  <c r="D84" i="58"/>
  <c r="I112" i="11"/>
  <c r="I180" i="11"/>
  <c r="D82" i="58"/>
  <c r="I195" i="11"/>
  <c r="D103" i="58"/>
  <c r="I194" i="11"/>
  <c r="I193" i="11"/>
  <c r="I196" i="11"/>
  <c r="D104" i="58"/>
  <c r="I198" i="11"/>
  <c r="D106" i="58"/>
  <c r="D115" i="58"/>
  <c r="I113" i="11"/>
  <c r="I181" i="11"/>
  <c r="D83" i="58"/>
  <c r="I116" i="11"/>
  <c r="I184" i="11"/>
  <c r="D86" i="58"/>
  <c r="I115" i="11"/>
  <c r="I183" i="11"/>
  <c r="D85" i="58"/>
  <c r="I197" i="11"/>
  <c r="D105" i="58"/>
  <c r="I101" i="11"/>
  <c r="I165" i="11"/>
  <c r="D59" i="58"/>
  <c r="I155" i="11"/>
  <c r="D43" i="58"/>
  <c r="I157" i="11"/>
  <c r="D45" i="58"/>
  <c r="I103" i="11"/>
  <c r="I167" i="11"/>
  <c r="D61" i="58"/>
  <c r="I156" i="11"/>
  <c r="D44" i="58"/>
  <c r="I105" i="11"/>
  <c r="I102" i="11"/>
  <c r="I104" i="11"/>
  <c r="I152" i="11"/>
  <c r="D40" i="58"/>
  <c r="I211" i="11"/>
  <c r="I212" i="11"/>
  <c r="I213" i="11"/>
  <c r="I210" i="11"/>
  <c r="I209" i="11"/>
  <c r="I35" i="8"/>
  <c r="I83" i="8"/>
  <c r="J188" i="12"/>
  <c r="I16" i="14"/>
  <c r="I252" i="11"/>
  <c r="I268" i="11"/>
  <c r="I88" i="8"/>
  <c r="M153" i="22"/>
  <c r="I361" i="11"/>
  <c r="I254" i="11"/>
  <c r="I270" i="11"/>
  <c r="I284" i="11"/>
  <c r="I285" i="11"/>
  <c r="I253" i="11"/>
  <c r="I269" i="11"/>
  <c r="I251" i="11"/>
  <c r="I267" i="11"/>
  <c r="I250" i="11"/>
  <c r="I266" i="11"/>
  <c r="I40" i="8"/>
  <c r="I42" i="8"/>
  <c r="I41" i="8"/>
  <c r="I29" i="16"/>
  <c r="I29" i="3"/>
  <c r="I52" i="3"/>
  <c r="BI3" i="7"/>
  <c r="BL2" i="59"/>
  <c r="BI115" i="5"/>
  <c r="BH73" i="5"/>
  <c r="BH72" i="5"/>
  <c r="BH67" i="5"/>
  <c r="BH11" i="7"/>
  <c r="BH66" i="5"/>
  <c r="BH119" i="5"/>
  <c r="BH123" i="5"/>
  <c r="BH237" i="7"/>
  <c r="BH124" i="5"/>
  <c r="BH238" i="7"/>
  <c r="BH120" i="5"/>
  <c r="J57" i="12"/>
  <c r="BI24" i="5"/>
  <c r="BI26" i="5"/>
  <c r="BI6" i="7"/>
  <c r="BL5" i="59"/>
  <c r="J134" i="12"/>
  <c r="J194" i="12"/>
  <c r="M485" i="22"/>
  <c r="J99" i="12"/>
  <c r="M477" i="22"/>
  <c r="J63" i="12"/>
  <c r="M471" i="22"/>
  <c r="M470" i="22"/>
  <c r="D3" i="58"/>
  <c r="M188" i="22"/>
  <c r="I400" i="11"/>
  <c r="D101" i="58"/>
  <c r="D110" i="58"/>
  <c r="I398" i="11"/>
  <c r="I61" i="47"/>
  <c r="D102" i="58"/>
  <c r="I375" i="11"/>
  <c r="I14" i="15"/>
  <c r="I37" i="47"/>
  <c r="I15" i="15"/>
  <c r="I38" i="47"/>
  <c r="I17" i="14"/>
  <c r="I46" i="8"/>
  <c r="I255" i="11"/>
  <c r="I271" i="11"/>
  <c r="I58" i="3"/>
  <c r="I351" i="11"/>
  <c r="BI116" i="5"/>
  <c r="BI4" i="7"/>
  <c r="BL3" i="59"/>
  <c r="BI64" i="5"/>
  <c r="BI70" i="5"/>
  <c r="BI71" i="5"/>
  <c r="BI65" i="5"/>
  <c r="BI69" i="5"/>
  <c r="BI63" i="5"/>
  <c r="BI25" i="5"/>
  <c r="BI5" i="7"/>
  <c r="BL4" i="59"/>
  <c r="BJ23" i="5"/>
  <c r="J67" i="12"/>
  <c r="M489" i="22"/>
  <c r="J133" i="12"/>
  <c r="J193" i="12"/>
  <c r="M474" i="22"/>
  <c r="AR27" i="55"/>
  <c r="AR20" i="55"/>
  <c r="AR20" i="18"/>
  <c r="AR27" i="18"/>
  <c r="I278" i="11"/>
  <c r="I27" i="15"/>
  <c r="J4" i="9"/>
  <c r="J4" i="15"/>
  <c r="J4" i="17"/>
  <c r="J4" i="8"/>
  <c r="J4" i="13"/>
  <c r="J4" i="4"/>
  <c r="J4" i="1"/>
  <c r="J4" i="14"/>
  <c r="J4" i="11"/>
  <c r="J4" i="16"/>
  <c r="J4" i="3"/>
  <c r="J4" i="18"/>
  <c r="J37" i="18"/>
  <c r="K4" i="12"/>
  <c r="G66" i="27"/>
  <c r="J4" i="2"/>
  <c r="J4" i="10"/>
  <c r="J47" i="10"/>
  <c r="K3" i="5"/>
  <c r="J36" i="5"/>
  <c r="J37" i="5"/>
  <c r="J38" i="5"/>
  <c r="J42" i="5"/>
  <c r="J43" i="5"/>
  <c r="J55" i="5"/>
  <c r="J44" i="5"/>
  <c r="J48" i="5"/>
  <c r="J49" i="5"/>
  <c r="N51" i="22"/>
  <c r="J50" i="5"/>
  <c r="J89" i="5"/>
  <c r="J90" i="5"/>
  <c r="BI11" i="7"/>
  <c r="BI67" i="5"/>
  <c r="BI66" i="5"/>
  <c r="BJ3" i="7"/>
  <c r="BM2" i="59"/>
  <c r="BJ115" i="5"/>
  <c r="BJ24" i="5"/>
  <c r="BJ69" i="5"/>
  <c r="BJ65" i="5"/>
  <c r="BI73" i="5"/>
  <c r="BI72" i="5"/>
  <c r="BI124" i="5"/>
  <c r="BI238" i="7"/>
  <c r="BI123" i="5"/>
  <c r="BI237" i="7"/>
  <c r="BI119" i="5"/>
  <c r="BI120" i="5"/>
  <c r="K3" i="55"/>
  <c r="K3" i="47"/>
  <c r="K49" i="47"/>
  <c r="BJ63" i="5"/>
  <c r="BJ26" i="5"/>
  <c r="BJ6" i="7"/>
  <c r="BM5" i="59"/>
  <c r="N63" i="22"/>
  <c r="N218" i="22"/>
  <c r="J160" i="5"/>
  <c r="K29" i="12"/>
  <c r="J159" i="5"/>
  <c r="K28" i="12"/>
  <c r="J21" i="43"/>
  <c r="K4" i="5"/>
  <c r="K3" i="43"/>
  <c r="K3" i="41"/>
  <c r="K100" i="41"/>
  <c r="J16" i="41"/>
  <c r="J17" i="43"/>
  <c r="J13" i="41"/>
  <c r="J14" i="43"/>
  <c r="J11" i="41"/>
  <c r="J12" i="43"/>
  <c r="J12" i="41"/>
  <c r="J13" i="43"/>
  <c r="J18" i="41"/>
  <c r="J19" i="43"/>
  <c r="J17" i="41"/>
  <c r="J18" i="43"/>
  <c r="J71" i="41"/>
  <c r="J20" i="41"/>
  <c r="J39" i="5"/>
  <c r="J51" i="5"/>
  <c r="J25" i="43"/>
  <c r="J141" i="5"/>
  <c r="J42" i="17"/>
  <c r="J52" i="18"/>
  <c r="J53" i="18"/>
  <c r="I11" i="21"/>
  <c r="J136" i="5"/>
  <c r="J43" i="17"/>
  <c r="J139" i="5"/>
  <c r="J134" i="5"/>
  <c r="J45" i="5"/>
  <c r="J17" i="8"/>
  <c r="J17" i="13"/>
  <c r="J17" i="4"/>
  <c r="J17" i="11"/>
  <c r="J17" i="16"/>
  <c r="J17" i="3"/>
  <c r="K17" i="12"/>
  <c r="J17" i="10"/>
  <c r="J13" i="8"/>
  <c r="J13" i="13"/>
  <c r="J13" i="4"/>
  <c r="J13" i="11"/>
  <c r="J13" i="16"/>
  <c r="J13" i="3"/>
  <c r="K13" i="12"/>
  <c r="J13" i="10"/>
  <c r="K3" i="9"/>
  <c r="K3" i="15"/>
  <c r="K3" i="17"/>
  <c r="K3" i="8"/>
  <c r="K3" i="13"/>
  <c r="K3" i="4"/>
  <c r="K3" i="1"/>
  <c r="K3" i="14"/>
  <c r="G4" i="56"/>
  <c r="G80" i="56"/>
  <c r="G98" i="56"/>
  <c r="K3" i="11"/>
  <c r="K3" i="16"/>
  <c r="K3" i="3"/>
  <c r="K3" i="18"/>
  <c r="L3" i="12"/>
  <c r="H65" i="27"/>
  <c r="K3" i="2"/>
  <c r="K3" i="10"/>
  <c r="J16" i="8"/>
  <c r="J16" i="13"/>
  <c r="J16" i="4"/>
  <c r="J16" i="11"/>
  <c r="J16" i="16"/>
  <c r="J16" i="3"/>
  <c r="K16" i="12"/>
  <c r="J16" i="10"/>
  <c r="J20" i="8"/>
  <c r="J20" i="13"/>
  <c r="J20" i="4"/>
  <c r="J20" i="11"/>
  <c r="J20" i="16"/>
  <c r="J73" i="16"/>
  <c r="J20" i="3"/>
  <c r="K20" i="12"/>
  <c r="J20" i="10"/>
  <c r="J12" i="8"/>
  <c r="J12" i="13"/>
  <c r="J12" i="4"/>
  <c r="J12" i="11"/>
  <c r="J12" i="16"/>
  <c r="J12" i="3"/>
  <c r="K12" i="12"/>
  <c r="J12" i="10"/>
  <c r="J18" i="8"/>
  <c r="J18" i="13"/>
  <c r="J18" i="4"/>
  <c r="J18" i="11"/>
  <c r="J18" i="16"/>
  <c r="J18" i="3"/>
  <c r="K18" i="12"/>
  <c r="J18" i="10"/>
  <c r="J11" i="8"/>
  <c r="J11" i="13"/>
  <c r="J11" i="4"/>
  <c r="J11" i="11"/>
  <c r="J11" i="16"/>
  <c r="J11" i="3"/>
  <c r="K11" i="12"/>
  <c r="J11" i="10"/>
  <c r="BJ4" i="7"/>
  <c r="BM3" i="59"/>
  <c r="BJ116" i="5"/>
  <c r="BJ64" i="5"/>
  <c r="BJ70" i="5"/>
  <c r="BJ71" i="5"/>
  <c r="BJ25" i="5"/>
  <c r="BJ5" i="7"/>
  <c r="BM4" i="59"/>
  <c r="BK23" i="5"/>
  <c r="K4" i="55"/>
  <c r="K151" i="5"/>
  <c r="K152" i="5"/>
  <c r="K153" i="5"/>
  <c r="K4" i="47"/>
  <c r="K50" i="47"/>
  <c r="K147" i="5"/>
  <c r="K9" i="5"/>
  <c r="J103" i="5"/>
  <c r="K43" i="5"/>
  <c r="K4" i="43"/>
  <c r="K4" i="41"/>
  <c r="K101" i="41"/>
  <c r="N134" i="22"/>
  <c r="J24" i="41"/>
  <c r="J24" i="10"/>
  <c r="J24" i="16"/>
  <c r="J24" i="11"/>
  <c r="J24" i="4"/>
  <c r="J24" i="13"/>
  <c r="J24" i="8"/>
  <c r="J24" i="3"/>
  <c r="K24" i="12"/>
  <c r="J143" i="5"/>
  <c r="J82" i="8"/>
  <c r="J88" i="8"/>
  <c r="J30" i="3"/>
  <c r="J53" i="3"/>
  <c r="J135" i="5"/>
  <c r="J104" i="5"/>
  <c r="J102" i="5"/>
  <c r="J99" i="5"/>
  <c r="J100" i="5"/>
  <c r="J101" i="5"/>
  <c r="J34" i="8"/>
  <c r="J29" i="41"/>
  <c r="J140" i="5"/>
  <c r="BJ67" i="5"/>
  <c r="BJ11" i="7"/>
  <c r="BJ66" i="5"/>
  <c r="BJ120" i="5"/>
  <c r="BJ124" i="5"/>
  <c r="BJ238" i="7"/>
  <c r="BJ119" i="5"/>
  <c r="BJ123" i="5"/>
  <c r="BJ237" i="7"/>
  <c r="BK115" i="5"/>
  <c r="BK3" i="7"/>
  <c r="BN2" i="59"/>
  <c r="BJ73" i="5"/>
  <c r="BJ72" i="5"/>
  <c r="K154" i="5"/>
  <c r="K29" i="4"/>
  <c r="K52" i="55"/>
  <c r="K53" i="55"/>
  <c r="K37" i="55"/>
  <c r="BK24" i="5"/>
  <c r="BK63" i="5"/>
  <c r="BK26" i="5"/>
  <c r="BK6" i="7"/>
  <c r="BN5" i="59"/>
  <c r="AS20" i="55"/>
  <c r="AS27" i="55"/>
  <c r="J103" i="11"/>
  <c r="J167" i="11"/>
  <c r="E61" i="58"/>
  <c r="J102" i="11"/>
  <c r="J105" i="11"/>
  <c r="J169" i="11"/>
  <c r="E63" i="58"/>
  <c r="J104" i="11"/>
  <c r="J168" i="11"/>
  <c r="E62" i="58"/>
  <c r="J101" i="11"/>
  <c r="J165" i="11"/>
  <c r="E59" i="58"/>
  <c r="J111" i="11"/>
  <c r="J179" i="11"/>
  <c r="E81" i="58"/>
  <c r="J250" i="11"/>
  <c r="J266" i="11"/>
  <c r="K17" i="41"/>
  <c r="K18" i="43"/>
  <c r="J254" i="11"/>
  <c r="J270" i="11"/>
  <c r="J35" i="8"/>
  <c r="J83" i="8"/>
  <c r="AS27" i="18"/>
  <c r="AS20" i="18"/>
  <c r="J252" i="11"/>
  <c r="J268" i="11"/>
  <c r="J114" i="11"/>
  <c r="J182" i="11"/>
  <c r="E84" i="58"/>
  <c r="J115" i="11"/>
  <c r="J183" i="11"/>
  <c r="E85" i="58"/>
  <c r="J253" i="11"/>
  <c r="J269" i="11"/>
  <c r="J116" i="11"/>
  <c r="J184" i="11"/>
  <c r="E86" i="58"/>
  <c r="J112" i="11"/>
  <c r="J180" i="11"/>
  <c r="E82" i="58"/>
  <c r="J113" i="11"/>
  <c r="J181" i="11"/>
  <c r="E83" i="58"/>
  <c r="J89" i="8"/>
  <c r="N153" i="22"/>
  <c r="N150" i="22"/>
  <c r="N152" i="22"/>
  <c r="J284" i="11"/>
  <c r="J285" i="11"/>
  <c r="J251" i="11"/>
  <c r="J267" i="11"/>
  <c r="J42" i="8"/>
  <c r="J40" i="8"/>
  <c r="J29" i="16"/>
  <c r="J29" i="3"/>
  <c r="J41" i="8"/>
  <c r="BK71" i="5"/>
  <c r="BK116" i="5"/>
  <c r="BK4" i="7"/>
  <c r="BN3" i="59"/>
  <c r="BK64" i="5"/>
  <c r="BK70" i="5"/>
  <c r="BK65" i="5"/>
  <c r="BK69" i="5"/>
  <c r="BK25" i="5"/>
  <c r="BK5" i="7"/>
  <c r="BN4" i="59"/>
  <c r="BL23" i="5"/>
  <c r="J255" i="11"/>
  <c r="I31" i="3"/>
  <c r="J52" i="3"/>
  <c r="I54" i="3"/>
  <c r="I55" i="3"/>
  <c r="J271" i="11"/>
  <c r="J351" i="11"/>
  <c r="BK67" i="5"/>
  <c r="BK11" i="7"/>
  <c r="BK66" i="5"/>
  <c r="BL3" i="7"/>
  <c r="BO2" i="59"/>
  <c r="BL115" i="5"/>
  <c r="BK73" i="5"/>
  <c r="BK72" i="5"/>
  <c r="BK123" i="5"/>
  <c r="BK237" i="7"/>
  <c r="BK119" i="5"/>
  <c r="BK120" i="5"/>
  <c r="BK124" i="5"/>
  <c r="BK238" i="7"/>
  <c r="BL24" i="5"/>
  <c r="BL71" i="5"/>
  <c r="BL26" i="5"/>
  <c r="BL6" i="7"/>
  <c r="BO5" i="59"/>
  <c r="I32" i="3"/>
  <c r="I46" i="3"/>
  <c r="J27" i="15"/>
  <c r="J278" i="11"/>
  <c r="J58" i="3"/>
  <c r="K4" i="9"/>
  <c r="K4" i="15"/>
  <c r="K4" i="17"/>
  <c r="K4" i="8"/>
  <c r="K4" i="13"/>
  <c r="K4" i="4"/>
  <c r="K4" i="1"/>
  <c r="K4" i="14"/>
  <c r="K4" i="11"/>
  <c r="K4" i="16"/>
  <c r="K4" i="3"/>
  <c r="K4" i="18"/>
  <c r="K52" i="18"/>
  <c r="K53" i="18"/>
  <c r="J11" i="21"/>
  <c r="L4" i="12"/>
  <c r="H66" i="27"/>
  <c r="K4" i="2"/>
  <c r="K4" i="10"/>
  <c r="K47" i="10"/>
  <c r="L3" i="5"/>
  <c r="K36" i="5"/>
  <c r="K37" i="5"/>
  <c r="K38" i="5"/>
  <c r="K42" i="5"/>
  <c r="K44" i="5"/>
  <c r="K45" i="5"/>
  <c r="K48" i="5"/>
  <c r="K49" i="5"/>
  <c r="O51" i="22"/>
  <c r="K50" i="5"/>
  <c r="K89" i="5"/>
  <c r="K90" i="5"/>
  <c r="K91" i="5"/>
  <c r="K134" i="5"/>
  <c r="K136" i="5"/>
  <c r="K139" i="5"/>
  <c r="K141" i="5"/>
  <c r="K42" i="17"/>
  <c r="BL4" i="7"/>
  <c r="BO3" i="59"/>
  <c r="BL116" i="5"/>
  <c r="BL64" i="5"/>
  <c r="BL70" i="5"/>
  <c r="BL69" i="5"/>
  <c r="BL65" i="5"/>
  <c r="BL63" i="5"/>
  <c r="L3" i="55"/>
  <c r="L3" i="47"/>
  <c r="L49" i="47"/>
  <c r="BL25" i="5"/>
  <c r="BL5" i="7"/>
  <c r="BO4" i="59"/>
  <c r="BM23" i="5"/>
  <c r="O63" i="22"/>
  <c r="O218" i="22"/>
  <c r="AT27" i="18"/>
  <c r="AT27" i="55"/>
  <c r="AT20" i="55"/>
  <c r="K37" i="18"/>
  <c r="K21" i="43"/>
  <c r="K100" i="5"/>
  <c r="L4" i="5"/>
  <c r="L3" i="43"/>
  <c r="L3" i="41"/>
  <c r="L100" i="41"/>
  <c r="I47" i="3"/>
  <c r="I28" i="15"/>
  <c r="K18" i="41"/>
  <c r="K19" i="43"/>
  <c r="K12" i="41"/>
  <c r="K13" i="43"/>
  <c r="K16" i="41"/>
  <c r="K17" i="43"/>
  <c r="K13" i="41"/>
  <c r="K14" i="43"/>
  <c r="K11" i="41"/>
  <c r="K12" i="43"/>
  <c r="K71" i="41"/>
  <c r="K20" i="41"/>
  <c r="AT20" i="18"/>
  <c r="K39" i="5"/>
  <c r="K82" i="8"/>
  <c r="K34" i="8"/>
  <c r="K29" i="41"/>
  <c r="K51" i="5"/>
  <c r="K99" i="5"/>
  <c r="K103" i="5"/>
  <c r="K104" i="5"/>
  <c r="K102" i="5"/>
  <c r="K101" i="5"/>
  <c r="K140" i="5"/>
  <c r="L3" i="9"/>
  <c r="L3" i="15"/>
  <c r="L3" i="17"/>
  <c r="L3" i="8"/>
  <c r="L3" i="13"/>
  <c r="L3" i="4"/>
  <c r="L3" i="1"/>
  <c r="L3" i="14"/>
  <c r="H4" i="56"/>
  <c r="H80" i="56"/>
  <c r="H98" i="56"/>
  <c r="L3" i="11"/>
  <c r="L3" i="16"/>
  <c r="L3" i="18"/>
  <c r="L3" i="3"/>
  <c r="M3" i="12"/>
  <c r="I65" i="27"/>
  <c r="L3" i="10"/>
  <c r="L3" i="2"/>
  <c r="K43" i="17"/>
  <c r="K30" i="3"/>
  <c r="K18" i="8"/>
  <c r="K18" i="13"/>
  <c r="K18" i="4"/>
  <c r="K18" i="11"/>
  <c r="K18" i="16"/>
  <c r="K18" i="3"/>
  <c r="L18" i="12"/>
  <c r="K18" i="10"/>
  <c r="K13" i="8"/>
  <c r="K13" i="13"/>
  <c r="K13" i="4"/>
  <c r="K13" i="11"/>
  <c r="K13" i="16"/>
  <c r="K13" i="3"/>
  <c r="L13" i="12"/>
  <c r="K13" i="10"/>
  <c r="K135" i="5"/>
  <c r="K20" i="8"/>
  <c r="K20" i="13"/>
  <c r="K20" i="4"/>
  <c r="K20" i="11"/>
  <c r="K73" i="16"/>
  <c r="K20" i="16"/>
  <c r="K20" i="3"/>
  <c r="L20" i="12"/>
  <c r="K20" i="10"/>
  <c r="K17" i="8"/>
  <c r="K17" i="13"/>
  <c r="K17" i="4"/>
  <c r="K17" i="11"/>
  <c r="K17" i="16"/>
  <c r="K17" i="3"/>
  <c r="L17" i="12"/>
  <c r="K17" i="10"/>
  <c r="K12" i="8"/>
  <c r="K12" i="13"/>
  <c r="K12" i="4"/>
  <c r="K12" i="11"/>
  <c r="K12" i="16"/>
  <c r="K12" i="3"/>
  <c r="L12" i="12"/>
  <c r="K12" i="10"/>
  <c r="K16" i="8"/>
  <c r="K16" i="13"/>
  <c r="K16" i="4"/>
  <c r="K16" i="11"/>
  <c r="K16" i="16"/>
  <c r="K16" i="3"/>
  <c r="L16" i="12"/>
  <c r="K16" i="10"/>
  <c r="K11" i="8"/>
  <c r="K11" i="13"/>
  <c r="K11" i="4"/>
  <c r="K11" i="11"/>
  <c r="K11" i="16"/>
  <c r="K11" i="3"/>
  <c r="L11" i="12"/>
  <c r="K11" i="10"/>
  <c r="BL73" i="5"/>
  <c r="BL72" i="5"/>
  <c r="BM115" i="5"/>
  <c r="BM3" i="7"/>
  <c r="BP2" i="59"/>
  <c r="BL11" i="7"/>
  <c r="BL67" i="5"/>
  <c r="BL66" i="5"/>
  <c r="BL119" i="5"/>
  <c r="BL123" i="5"/>
  <c r="BL237" i="7"/>
  <c r="BL124" i="5"/>
  <c r="BL238" i="7"/>
  <c r="BL120" i="5"/>
  <c r="BM24" i="5"/>
  <c r="BM63" i="5"/>
  <c r="BM26" i="5"/>
  <c r="BM6" i="7"/>
  <c r="BP5" i="59"/>
  <c r="L4" i="55"/>
  <c r="L151" i="5"/>
  <c r="L154" i="5"/>
  <c r="L152" i="5"/>
  <c r="L153" i="5"/>
  <c r="L4" i="47"/>
  <c r="L50" i="47"/>
  <c r="L147" i="5"/>
  <c r="L9" i="5"/>
  <c r="L4" i="43"/>
  <c r="L4" i="41"/>
  <c r="L101" i="41"/>
  <c r="K83" i="8"/>
  <c r="K35" i="8"/>
  <c r="K29" i="16"/>
  <c r="K40" i="8"/>
  <c r="K29" i="3"/>
  <c r="K52" i="3"/>
  <c r="K53" i="3"/>
  <c r="L4" i="9"/>
  <c r="L4" i="15"/>
  <c r="L4" i="17"/>
  <c r="L4" i="8"/>
  <c r="L4" i="13"/>
  <c r="L4" i="1"/>
  <c r="L4" i="4"/>
  <c r="L4" i="14"/>
  <c r="L4" i="11"/>
  <c r="L4" i="16"/>
  <c r="L4" i="18"/>
  <c r="L4" i="3"/>
  <c r="M4" i="12"/>
  <c r="I66" i="27"/>
  <c r="L4" i="10"/>
  <c r="L47" i="10"/>
  <c r="L4" i="2"/>
  <c r="L36" i="5"/>
  <c r="L42" i="5"/>
  <c r="L48" i="5"/>
  <c r="L89" i="5"/>
  <c r="L37" i="5"/>
  <c r="L43" i="5"/>
  <c r="L139" i="5"/>
  <c r="L49" i="5"/>
  <c r="P51" i="22"/>
  <c r="L90" i="5"/>
  <c r="L91" i="5"/>
  <c r="L38" i="5"/>
  <c r="L44" i="5"/>
  <c r="L50" i="5"/>
  <c r="M3" i="5"/>
  <c r="BM65" i="5"/>
  <c r="BM69" i="5"/>
  <c r="BM4" i="7"/>
  <c r="BP3" i="59"/>
  <c r="BM116" i="5"/>
  <c r="BM64" i="5"/>
  <c r="BM70" i="5"/>
  <c r="BM71" i="5"/>
  <c r="L37" i="55"/>
  <c r="L52" i="55"/>
  <c r="L53" i="55"/>
  <c r="M3" i="55"/>
  <c r="M3" i="47"/>
  <c r="M49" i="47"/>
  <c r="BM25" i="5"/>
  <c r="BM5" i="7"/>
  <c r="BP4" i="59"/>
  <c r="BN23" i="5"/>
  <c r="P63" i="22"/>
  <c r="P218" i="22"/>
  <c r="L21" i="43"/>
  <c r="M4" i="5"/>
  <c r="M9" i="5"/>
  <c r="M3" i="43"/>
  <c r="M3" i="41"/>
  <c r="M100" i="41"/>
  <c r="L12" i="41"/>
  <c r="L13" i="43"/>
  <c r="L13" i="41"/>
  <c r="L14" i="43"/>
  <c r="L16" i="41"/>
  <c r="L17" i="43"/>
  <c r="L11" i="41"/>
  <c r="L12" i="43"/>
  <c r="L17" i="41"/>
  <c r="L18" i="43"/>
  <c r="L18" i="41"/>
  <c r="L19" i="43"/>
  <c r="L71" i="41"/>
  <c r="L20" i="41"/>
  <c r="J31" i="3"/>
  <c r="J32" i="3"/>
  <c r="L136" i="5"/>
  <c r="L30" i="3"/>
  <c r="L134" i="5"/>
  <c r="L141" i="5"/>
  <c r="L42" i="17"/>
  <c r="L13" i="8"/>
  <c r="L13" i="13"/>
  <c r="L13" i="4"/>
  <c r="L13" i="11"/>
  <c r="L13" i="16"/>
  <c r="L13" i="3"/>
  <c r="M13" i="12"/>
  <c r="L13" i="10"/>
  <c r="L37" i="18"/>
  <c r="L52" i="18"/>
  <c r="L16" i="8"/>
  <c r="L16" i="13"/>
  <c r="L16" i="4"/>
  <c r="L16" i="11"/>
  <c r="L16" i="16"/>
  <c r="L16" i="3"/>
  <c r="M16" i="12"/>
  <c r="L16" i="10"/>
  <c r="L11" i="8"/>
  <c r="L11" i="13"/>
  <c r="L11" i="4"/>
  <c r="L11" i="11"/>
  <c r="L11" i="16"/>
  <c r="L11" i="3"/>
  <c r="M11" i="12"/>
  <c r="L11" i="10"/>
  <c r="L20" i="8"/>
  <c r="L20" i="13"/>
  <c r="L20" i="4"/>
  <c r="L20" i="11"/>
  <c r="L73" i="16"/>
  <c r="L20" i="16"/>
  <c r="L20" i="3"/>
  <c r="M20" i="12"/>
  <c r="L20" i="10"/>
  <c r="L51" i="5"/>
  <c r="L17" i="8"/>
  <c r="L17" i="13"/>
  <c r="L17" i="4"/>
  <c r="L17" i="11"/>
  <c r="L17" i="16"/>
  <c r="L17" i="3"/>
  <c r="M17" i="12"/>
  <c r="L17" i="10"/>
  <c r="L45" i="5"/>
  <c r="J54" i="3"/>
  <c r="M3" i="9"/>
  <c r="M3" i="15"/>
  <c r="M3" i="17"/>
  <c r="M3" i="8"/>
  <c r="M3" i="13"/>
  <c r="M3" i="4"/>
  <c r="M3" i="14"/>
  <c r="I4" i="56"/>
  <c r="I80" i="56"/>
  <c r="I98" i="56"/>
  <c r="M3" i="1"/>
  <c r="M3" i="11"/>
  <c r="M3" i="16"/>
  <c r="M3" i="3"/>
  <c r="M3" i="18"/>
  <c r="N3" i="12"/>
  <c r="J65" i="27"/>
  <c r="M3" i="2"/>
  <c r="M3" i="10"/>
  <c r="L18" i="8"/>
  <c r="L18" i="13"/>
  <c r="L18" i="4"/>
  <c r="L18" i="11"/>
  <c r="L18" i="16"/>
  <c r="L18" i="3"/>
  <c r="M18" i="12"/>
  <c r="L18" i="10"/>
  <c r="L12" i="8"/>
  <c r="L12" i="13"/>
  <c r="L12" i="4"/>
  <c r="L12" i="11"/>
  <c r="L12" i="16"/>
  <c r="L12" i="3"/>
  <c r="M12" i="12"/>
  <c r="L12" i="10"/>
  <c r="L39" i="5"/>
  <c r="BN115" i="5"/>
  <c r="BN3" i="7"/>
  <c r="BQ2" i="59"/>
  <c r="BM67" i="5"/>
  <c r="BM11" i="7"/>
  <c r="BM66" i="5"/>
  <c r="BM73" i="5"/>
  <c r="BM72" i="5"/>
  <c r="BM120" i="5"/>
  <c r="BM124" i="5"/>
  <c r="BM238" i="7"/>
  <c r="BM119" i="5"/>
  <c r="BM123" i="5"/>
  <c r="BM237" i="7"/>
  <c r="BN24" i="5"/>
  <c r="BN63" i="5"/>
  <c r="BN26" i="5"/>
  <c r="BN6" i="7"/>
  <c r="BQ5" i="59"/>
  <c r="M4" i="55"/>
  <c r="M152" i="5"/>
  <c r="M4" i="47"/>
  <c r="M50" i="47"/>
  <c r="M151" i="5"/>
  <c r="M154" i="5"/>
  <c r="M147" i="5"/>
  <c r="AU27" i="18"/>
  <c r="AU27" i="55"/>
  <c r="AU20" i="55"/>
  <c r="M4" i="43"/>
  <c r="M4" i="41"/>
  <c r="M101" i="41"/>
  <c r="AU20" i="18"/>
  <c r="J46" i="3"/>
  <c r="L43" i="17"/>
  <c r="L34" i="8"/>
  <c r="L135" i="5"/>
  <c r="L82" i="8"/>
  <c r="L140" i="5"/>
  <c r="J55" i="3"/>
  <c r="L102" i="5"/>
  <c r="L103" i="5"/>
  <c r="L104" i="5"/>
  <c r="L99" i="5"/>
  <c r="L100" i="5"/>
  <c r="L101" i="5"/>
  <c r="L53" i="3"/>
  <c r="L53" i="18"/>
  <c r="BN71" i="5"/>
  <c r="BN65" i="5"/>
  <c r="BN69" i="5"/>
  <c r="BN116" i="5"/>
  <c r="BN4" i="7"/>
  <c r="BQ3" i="59"/>
  <c r="BN64" i="5"/>
  <c r="BN70" i="5"/>
  <c r="M52" i="55"/>
  <c r="M53" i="55"/>
  <c r="M37" i="55"/>
  <c r="BN25" i="5"/>
  <c r="BN5" i="7"/>
  <c r="BQ4" i="59"/>
  <c r="BO23" i="5"/>
  <c r="J47" i="3"/>
  <c r="M56" i="19"/>
  <c r="L83" i="8"/>
  <c r="L35" i="8"/>
  <c r="L29" i="16"/>
  <c r="L29" i="41"/>
  <c r="L29" i="3"/>
  <c r="K31" i="3"/>
  <c r="K11" i="21"/>
  <c r="BN73" i="5"/>
  <c r="BN72" i="5"/>
  <c r="BN67" i="5"/>
  <c r="BN11" i="7"/>
  <c r="BN66" i="5"/>
  <c r="BO115" i="5"/>
  <c r="BO3" i="7"/>
  <c r="BR2" i="59"/>
  <c r="BN123" i="5"/>
  <c r="BN237" i="7"/>
  <c r="BN119" i="5"/>
  <c r="BN124" i="5"/>
  <c r="BN238" i="7"/>
  <c r="BN120" i="5"/>
  <c r="BO24" i="5"/>
  <c r="BO26" i="5"/>
  <c r="BO6" i="7"/>
  <c r="BR5" i="59"/>
  <c r="J28" i="15"/>
  <c r="L52" i="3"/>
  <c r="K54" i="3"/>
  <c r="K46" i="3"/>
  <c r="K32" i="3"/>
  <c r="BO116" i="5"/>
  <c r="BO4" i="7"/>
  <c r="BR3" i="59"/>
  <c r="BO64" i="5"/>
  <c r="BO70" i="5"/>
  <c r="BO63" i="5"/>
  <c r="BO71" i="5"/>
  <c r="BO65" i="5"/>
  <c r="BO69" i="5"/>
  <c r="BO25" i="5"/>
  <c r="BO5" i="7"/>
  <c r="BR4" i="59"/>
  <c r="BP23" i="5"/>
  <c r="AV20" i="55"/>
  <c r="AV27" i="55"/>
  <c r="AV20" i="18"/>
  <c r="AV27" i="18"/>
  <c r="K55" i="3"/>
  <c r="K47" i="3"/>
  <c r="BO11" i="7"/>
  <c r="BO67" i="5"/>
  <c r="BO66" i="5"/>
  <c r="BO73" i="5"/>
  <c r="BO72" i="5"/>
  <c r="BP115" i="5"/>
  <c r="BP3" i="7"/>
  <c r="BS2" i="59"/>
  <c r="BO123" i="5"/>
  <c r="BO237" i="7"/>
  <c r="BO120" i="5"/>
  <c r="BO124" i="5"/>
  <c r="BO238" i="7"/>
  <c r="BO119" i="5"/>
  <c r="BP24" i="5"/>
  <c r="BP26" i="5"/>
  <c r="BP6" i="7"/>
  <c r="BS5" i="59"/>
  <c r="K28" i="15"/>
  <c r="M4" i="9"/>
  <c r="M4" i="15"/>
  <c r="M4" i="17"/>
  <c r="M4" i="8"/>
  <c r="M4" i="13"/>
  <c r="M4" i="4"/>
  <c r="M4" i="1"/>
  <c r="M4" i="14"/>
  <c r="M4" i="11"/>
  <c r="M4" i="16"/>
  <c r="M4" i="3"/>
  <c r="M4" i="18"/>
  <c r="M37" i="18"/>
  <c r="M52" i="18"/>
  <c r="M53" i="18"/>
  <c r="L11" i="21"/>
  <c r="N4" i="12"/>
  <c r="J66" i="27"/>
  <c r="M4" i="2"/>
  <c r="M4" i="10"/>
  <c r="M47" i="10"/>
  <c r="N3" i="5"/>
  <c r="M36" i="5"/>
  <c r="M37" i="5"/>
  <c r="M38" i="5"/>
  <c r="M42" i="5"/>
  <c r="M43" i="5"/>
  <c r="M44" i="5"/>
  <c r="M48" i="5"/>
  <c r="M49" i="5"/>
  <c r="Q51" i="22"/>
  <c r="M50" i="5"/>
  <c r="M89" i="5"/>
  <c r="M90" i="5"/>
  <c r="M91" i="5"/>
  <c r="BP116" i="5"/>
  <c r="BP4" i="7"/>
  <c r="BS3" i="59"/>
  <c r="BP64" i="5"/>
  <c r="BP70" i="5"/>
  <c r="BP71" i="5"/>
  <c r="BP65" i="5"/>
  <c r="BP63" i="5"/>
  <c r="BP69" i="5"/>
  <c r="N3" i="55"/>
  <c r="N3" i="47"/>
  <c r="N49" i="47"/>
  <c r="BP25" i="5"/>
  <c r="BP5" i="7"/>
  <c r="BS4" i="59"/>
  <c r="BQ23" i="5"/>
  <c r="M21" i="43"/>
  <c r="N3" i="43"/>
  <c r="N3" i="41"/>
  <c r="N100" i="41"/>
  <c r="M18" i="41"/>
  <c r="M19" i="43"/>
  <c r="M17" i="41"/>
  <c r="M18" i="43"/>
  <c r="M16" i="41"/>
  <c r="M17" i="43"/>
  <c r="M13" i="41"/>
  <c r="M14" i="43"/>
  <c r="M11" i="41"/>
  <c r="M12" i="43"/>
  <c r="M12" i="41"/>
  <c r="M13" i="43"/>
  <c r="M71" i="41"/>
  <c r="M20" i="41"/>
  <c r="M51" i="5"/>
  <c r="M139" i="5"/>
  <c r="M45" i="5"/>
  <c r="M100" i="5"/>
  <c r="M136" i="5"/>
  <c r="M43" i="17"/>
  <c r="M134" i="5"/>
  <c r="M141" i="5"/>
  <c r="M42" i="17"/>
  <c r="M11" i="8"/>
  <c r="M11" i="13"/>
  <c r="M11" i="4"/>
  <c r="M11" i="11"/>
  <c r="M11" i="16"/>
  <c r="M11" i="3"/>
  <c r="M11" i="10"/>
  <c r="N11" i="12"/>
  <c r="M12" i="8"/>
  <c r="M12" i="13"/>
  <c r="M12" i="4"/>
  <c r="M12" i="11"/>
  <c r="M12" i="16"/>
  <c r="M12" i="3"/>
  <c r="M12" i="10"/>
  <c r="N12" i="12"/>
  <c r="M20" i="8"/>
  <c r="M20" i="13"/>
  <c r="M20" i="4"/>
  <c r="M20" i="11"/>
  <c r="M20" i="16"/>
  <c r="M73" i="16"/>
  <c r="M20" i="3"/>
  <c r="N20" i="12"/>
  <c r="M20" i="10"/>
  <c r="M18" i="8"/>
  <c r="M18" i="13"/>
  <c r="M18" i="4"/>
  <c r="M18" i="11"/>
  <c r="M18" i="16"/>
  <c r="M18" i="3"/>
  <c r="N18" i="12"/>
  <c r="M18" i="10"/>
  <c r="M17" i="8"/>
  <c r="M17" i="13"/>
  <c r="M17" i="4"/>
  <c r="M17" i="11"/>
  <c r="M17" i="16"/>
  <c r="M17" i="3"/>
  <c r="N17" i="12"/>
  <c r="M17" i="10"/>
  <c r="M16" i="8"/>
  <c r="M16" i="13"/>
  <c r="M16" i="4"/>
  <c r="M16" i="11"/>
  <c r="M16" i="16"/>
  <c r="M16" i="3"/>
  <c r="N16" i="12"/>
  <c r="M16" i="10"/>
  <c r="M39" i="5"/>
  <c r="M13" i="8"/>
  <c r="M13" i="13"/>
  <c r="M13" i="4"/>
  <c r="M13" i="11"/>
  <c r="M13" i="16"/>
  <c r="M13" i="3"/>
  <c r="N13" i="12"/>
  <c r="M13" i="10"/>
  <c r="N4" i="5"/>
  <c r="N3" i="9"/>
  <c r="N3" i="15"/>
  <c r="N3" i="17"/>
  <c r="N3" i="8"/>
  <c r="N3" i="13"/>
  <c r="N3" i="4"/>
  <c r="N3" i="1"/>
  <c r="N3" i="14"/>
  <c r="J4" i="56"/>
  <c r="J80" i="56"/>
  <c r="J98" i="56"/>
  <c r="N3" i="11"/>
  <c r="N3" i="16"/>
  <c r="N3" i="3"/>
  <c r="N3" i="18"/>
  <c r="O3" i="12"/>
  <c r="K65" i="27"/>
  <c r="N3" i="10"/>
  <c r="N3" i="2"/>
  <c r="BQ115" i="5"/>
  <c r="BQ3" i="7"/>
  <c r="BT2" i="59"/>
  <c r="BP73" i="5"/>
  <c r="BP72" i="5"/>
  <c r="BP123" i="5"/>
  <c r="BP237" i="7"/>
  <c r="BP11" i="7"/>
  <c r="BP67" i="5"/>
  <c r="BP66" i="5"/>
  <c r="BP119" i="5"/>
  <c r="BP124" i="5"/>
  <c r="BP238" i="7"/>
  <c r="BP120" i="5"/>
  <c r="N4" i="55"/>
  <c r="N4" i="47"/>
  <c r="N50" i="47"/>
  <c r="N151" i="5"/>
  <c r="N147" i="5"/>
  <c r="BQ24" i="5"/>
  <c r="BQ63" i="5"/>
  <c r="BQ26" i="5"/>
  <c r="BQ6" i="7"/>
  <c r="BT5" i="59"/>
  <c r="N9" i="5"/>
  <c r="Q63" i="22"/>
  <c r="Q218" i="22"/>
  <c r="N4" i="43"/>
  <c r="N4" i="41"/>
  <c r="N101" i="41"/>
  <c r="M34" i="8"/>
  <c r="M29" i="41"/>
  <c r="M140" i="5"/>
  <c r="M101" i="5"/>
  <c r="M103" i="5"/>
  <c r="M102" i="5"/>
  <c r="M104" i="5"/>
  <c r="M30" i="3"/>
  <c r="M53" i="3"/>
  <c r="M99" i="5"/>
  <c r="M82" i="8"/>
  <c r="M135" i="5"/>
  <c r="N4" i="9"/>
  <c r="N4" i="15"/>
  <c r="N4" i="17"/>
  <c r="N4" i="8"/>
  <c r="N4" i="13"/>
  <c r="N4" i="1"/>
  <c r="N4" i="14"/>
  <c r="N4" i="4"/>
  <c r="N4" i="11"/>
  <c r="N4" i="16"/>
  <c r="N4" i="3"/>
  <c r="O4" i="12"/>
  <c r="K66" i="27"/>
  <c r="N4" i="18"/>
  <c r="N4" i="10"/>
  <c r="N47" i="10"/>
  <c r="N4" i="2"/>
  <c r="N36" i="5"/>
  <c r="N91" i="5"/>
  <c r="N90" i="5"/>
  <c r="O3" i="5"/>
  <c r="N38" i="5"/>
  <c r="N42" i="5"/>
  <c r="N43" i="5"/>
  <c r="N44" i="5"/>
  <c r="N48" i="5"/>
  <c r="N49" i="5"/>
  <c r="R51" i="22"/>
  <c r="N50" i="5"/>
  <c r="N89" i="5"/>
  <c r="N37" i="5"/>
  <c r="BQ71" i="5"/>
  <c r="BQ69" i="5"/>
  <c r="BQ116" i="5"/>
  <c r="BQ4" i="7"/>
  <c r="BT3" i="59"/>
  <c r="BQ64" i="5"/>
  <c r="BQ70" i="5"/>
  <c r="BQ65" i="5"/>
  <c r="BQ25" i="5"/>
  <c r="BQ5" i="7"/>
  <c r="BT4" i="59"/>
  <c r="BR23" i="5"/>
  <c r="O3" i="55"/>
  <c r="O3" i="47"/>
  <c r="O49" i="47"/>
  <c r="N52" i="55"/>
  <c r="N53" i="55"/>
  <c r="N37" i="55"/>
  <c r="N21" i="43"/>
  <c r="M29" i="16"/>
  <c r="M29" i="3"/>
  <c r="L31" i="3"/>
  <c r="L46" i="3"/>
  <c r="O3" i="43"/>
  <c r="O3" i="41"/>
  <c r="O100" i="41"/>
  <c r="N11" i="41"/>
  <c r="N12" i="43"/>
  <c r="N17" i="41"/>
  <c r="N18" i="43"/>
  <c r="M35" i="8"/>
  <c r="N18" i="41"/>
  <c r="N19" i="43"/>
  <c r="N13" i="41"/>
  <c r="N14" i="43"/>
  <c r="M83" i="8"/>
  <c r="N12" i="41"/>
  <c r="N13" i="43"/>
  <c r="N16" i="41"/>
  <c r="N17" i="43"/>
  <c r="N71" i="41"/>
  <c r="N20" i="41"/>
  <c r="N134" i="5"/>
  <c r="N136" i="5"/>
  <c r="N43" i="17"/>
  <c r="N141" i="5"/>
  <c r="N42" i="17"/>
  <c r="O4" i="5"/>
  <c r="O9" i="5"/>
  <c r="O3" i="9"/>
  <c r="O3" i="15"/>
  <c r="O3" i="17"/>
  <c r="O3" i="8"/>
  <c r="O3" i="13"/>
  <c r="O3" i="4"/>
  <c r="O3" i="1"/>
  <c r="O3" i="14"/>
  <c r="K4" i="56"/>
  <c r="K80" i="56"/>
  <c r="K98" i="56"/>
  <c r="O3" i="11"/>
  <c r="O3" i="16"/>
  <c r="O3" i="3"/>
  <c r="O3" i="18"/>
  <c r="O3" i="2"/>
  <c r="P3" i="12"/>
  <c r="L65" i="27"/>
  <c r="O3" i="10"/>
  <c r="N37" i="18"/>
  <c r="N52" i="18"/>
  <c r="N20" i="8"/>
  <c r="N20" i="13"/>
  <c r="N20" i="4"/>
  <c r="N20" i="11"/>
  <c r="N73" i="16"/>
  <c r="N20" i="16"/>
  <c r="N20" i="3"/>
  <c r="N20" i="10"/>
  <c r="O20" i="12"/>
  <c r="N51" i="5"/>
  <c r="N18" i="8"/>
  <c r="N18" i="13"/>
  <c r="N18" i="4"/>
  <c r="N18" i="11"/>
  <c r="N18" i="16"/>
  <c r="N18" i="3"/>
  <c r="N18" i="10"/>
  <c r="O18" i="12"/>
  <c r="N17" i="8"/>
  <c r="N17" i="13"/>
  <c r="N17" i="4"/>
  <c r="N17" i="11"/>
  <c r="N17" i="16"/>
  <c r="N17" i="3"/>
  <c r="N17" i="10"/>
  <c r="O17" i="12"/>
  <c r="N45" i="5"/>
  <c r="N139" i="5"/>
  <c r="N16" i="8"/>
  <c r="N16" i="13"/>
  <c r="N16" i="4"/>
  <c r="N16" i="11"/>
  <c r="N16" i="16"/>
  <c r="N16" i="3"/>
  <c r="N16" i="10"/>
  <c r="O16" i="12"/>
  <c r="N11" i="8"/>
  <c r="N11" i="13"/>
  <c r="N11" i="4"/>
  <c r="N11" i="11"/>
  <c r="N11" i="16"/>
  <c r="N11" i="3"/>
  <c r="N11" i="10"/>
  <c r="O11" i="12"/>
  <c r="N12" i="8"/>
  <c r="N12" i="13"/>
  <c r="N12" i="4"/>
  <c r="N12" i="11"/>
  <c r="N12" i="16"/>
  <c r="N12" i="3"/>
  <c r="N12" i="10"/>
  <c r="O12" i="12"/>
  <c r="N39" i="5"/>
  <c r="N13" i="8"/>
  <c r="N13" i="13"/>
  <c r="N13" i="4"/>
  <c r="N13" i="11"/>
  <c r="N13" i="16"/>
  <c r="N13" i="3"/>
  <c r="N13" i="10"/>
  <c r="O13" i="12"/>
  <c r="BQ73" i="5"/>
  <c r="BQ72" i="5"/>
  <c r="BQ67" i="5"/>
  <c r="BQ11" i="7"/>
  <c r="BQ66" i="5"/>
  <c r="BQ120" i="5"/>
  <c r="BQ123" i="5"/>
  <c r="BQ237" i="7"/>
  <c r="BQ124" i="5"/>
  <c r="BQ238" i="7"/>
  <c r="BQ119" i="5"/>
  <c r="BR115" i="5"/>
  <c r="BR3" i="7"/>
  <c r="BU2" i="59"/>
  <c r="O48" i="5"/>
  <c r="O4" i="55"/>
  <c r="O4" i="47"/>
  <c r="O50" i="47"/>
  <c r="O151" i="5"/>
  <c r="O147" i="5"/>
  <c r="BR26" i="5"/>
  <c r="BR6" i="7"/>
  <c r="BU5" i="59"/>
  <c r="BR24" i="5"/>
  <c r="BR71" i="5"/>
  <c r="R218" i="22"/>
  <c r="M52" i="3"/>
  <c r="L54" i="3"/>
  <c r="L55" i="3"/>
  <c r="L32" i="3"/>
  <c r="O50" i="5"/>
  <c r="O4" i="43"/>
  <c r="O4" i="41"/>
  <c r="O101" i="41"/>
  <c r="N82" i="8"/>
  <c r="N135" i="5"/>
  <c r="N30" i="3"/>
  <c r="N53" i="3"/>
  <c r="O44" i="5"/>
  <c r="O19" i="43"/>
  <c r="O42" i="5"/>
  <c r="O17" i="43"/>
  <c r="O38" i="5"/>
  <c r="O14" i="43"/>
  <c r="O36" i="5"/>
  <c r="O12" i="43"/>
  <c r="N100" i="5"/>
  <c r="N99" i="5"/>
  <c r="N104" i="5"/>
  <c r="N103" i="5"/>
  <c r="N102" i="5"/>
  <c r="N101" i="5"/>
  <c r="L47" i="3"/>
  <c r="L28" i="15"/>
  <c r="N34" i="8"/>
  <c r="N29" i="41"/>
  <c r="N140" i="5"/>
  <c r="N53" i="18"/>
  <c r="O4" i="9"/>
  <c r="O4" i="15"/>
  <c r="O4" i="17"/>
  <c r="O4" i="8"/>
  <c r="O4" i="13"/>
  <c r="O4" i="4"/>
  <c r="O4" i="1"/>
  <c r="O4" i="14"/>
  <c r="O4" i="11"/>
  <c r="O4" i="16"/>
  <c r="O4" i="3"/>
  <c r="O4" i="18"/>
  <c r="O4" i="10"/>
  <c r="O47" i="10"/>
  <c r="P4" i="12"/>
  <c r="L66" i="27"/>
  <c r="O4" i="2"/>
  <c r="O91" i="5"/>
  <c r="O90" i="5"/>
  <c r="P3" i="5"/>
  <c r="O43" i="5"/>
  <c r="O18" i="43"/>
  <c r="O49" i="5"/>
  <c r="S51" i="22"/>
  <c r="O89" i="5"/>
  <c r="O37" i="5"/>
  <c r="BR4" i="7"/>
  <c r="BU3" i="59"/>
  <c r="BR116" i="5"/>
  <c r="BR64" i="5"/>
  <c r="BR70" i="5"/>
  <c r="BR65" i="5"/>
  <c r="BR69" i="5"/>
  <c r="BR63" i="5"/>
  <c r="BR25" i="5"/>
  <c r="BR5" i="7"/>
  <c r="BU4" i="59"/>
  <c r="BS23" i="5"/>
  <c r="P3" i="55"/>
  <c r="P3" i="47"/>
  <c r="P49" i="47"/>
  <c r="O37" i="55"/>
  <c r="O52" i="55"/>
  <c r="O53" i="55"/>
  <c r="O21" i="43"/>
  <c r="S218" i="22"/>
  <c r="P3" i="43"/>
  <c r="P3" i="41"/>
  <c r="P100" i="41"/>
  <c r="N83" i="8"/>
  <c r="N35" i="8"/>
  <c r="O12" i="41"/>
  <c r="O13" i="43"/>
  <c r="O11" i="11"/>
  <c r="O11" i="41"/>
  <c r="O13" i="3"/>
  <c r="O13" i="41"/>
  <c r="O16" i="4"/>
  <c r="O16" i="41"/>
  <c r="O18" i="11"/>
  <c r="O18" i="41"/>
  <c r="O71" i="41"/>
  <c r="O20" i="41"/>
  <c r="O134" i="5"/>
  <c r="O82" i="8"/>
  <c r="O17" i="41"/>
  <c r="O13" i="8"/>
  <c r="O16" i="10"/>
  <c r="O13" i="11"/>
  <c r="P16" i="12"/>
  <c r="O16" i="13"/>
  <c r="O16" i="8"/>
  <c r="O16" i="16"/>
  <c r="O16" i="3"/>
  <c r="O16" i="11"/>
  <c r="O18" i="13"/>
  <c r="P11" i="12"/>
  <c r="O11" i="4"/>
  <c r="O11" i="13"/>
  <c r="O18" i="4"/>
  <c r="O13" i="10"/>
  <c r="O18" i="8"/>
  <c r="O13" i="4"/>
  <c r="O11" i="10"/>
  <c r="O13" i="13"/>
  <c r="O18" i="10"/>
  <c r="P18" i="12"/>
  <c r="O18" i="3"/>
  <c r="O18" i="16"/>
  <c r="P13" i="12"/>
  <c r="O11" i="8"/>
  <c r="O11" i="16"/>
  <c r="O11" i="3"/>
  <c r="O13" i="16"/>
  <c r="O20" i="8"/>
  <c r="O20" i="13"/>
  <c r="O20" i="4"/>
  <c r="O20" i="11"/>
  <c r="O20" i="3"/>
  <c r="O73" i="16"/>
  <c r="O20" i="16"/>
  <c r="P20" i="12"/>
  <c r="O20" i="10"/>
  <c r="O51" i="5"/>
  <c r="O139" i="5"/>
  <c r="N29" i="16"/>
  <c r="N29" i="3"/>
  <c r="P4" i="5"/>
  <c r="P3" i="9"/>
  <c r="P3" i="15"/>
  <c r="P3" i="17"/>
  <c r="P3" i="8"/>
  <c r="P3" i="13"/>
  <c r="P3" i="4"/>
  <c r="P3" i="1"/>
  <c r="P3" i="14"/>
  <c r="L4" i="56"/>
  <c r="L80" i="56"/>
  <c r="L98" i="56"/>
  <c r="P3" i="11"/>
  <c r="P3" i="16"/>
  <c r="P3" i="18"/>
  <c r="P3" i="3"/>
  <c r="P3" i="2"/>
  <c r="Q3" i="12"/>
  <c r="M65" i="27"/>
  <c r="P3" i="10"/>
  <c r="O37" i="18"/>
  <c r="O52" i="18"/>
  <c r="O17" i="8"/>
  <c r="O17" i="13"/>
  <c r="O17" i="4"/>
  <c r="O17" i="11"/>
  <c r="O17" i="3"/>
  <c r="O17" i="16"/>
  <c r="P17" i="12"/>
  <c r="O17" i="10"/>
  <c r="O45" i="5"/>
  <c r="M11" i="21"/>
  <c r="O141" i="5"/>
  <c r="O42" i="17"/>
  <c r="O12" i="8"/>
  <c r="O12" i="13"/>
  <c r="O12" i="4"/>
  <c r="O12" i="11"/>
  <c r="O12" i="3"/>
  <c r="O12" i="16"/>
  <c r="P12" i="12"/>
  <c r="O12" i="10"/>
  <c r="O39" i="5"/>
  <c r="O136" i="5"/>
  <c r="BR73" i="5"/>
  <c r="BR72" i="5"/>
  <c r="BR67" i="5"/>
  <c r="BR11" i="7"/>
  <c r="BR66" i="5"/>
  <c r="BR124" i="5"/>
  <c r="BR238" i="7"/>
  <c r="BR120" i="5"/>
  <c r="BR119" i="5"/>
  <c r="BR123" i="5"/>
  <c r="BR237" i="7"/>
  <c r="BS115" i="5"/>
  <c r="BS3" i="7"/>
  <c r="BV2" i="59"/>
  <c r="P4" i="55"/>
  <c r="P4" i="47"/>
  <c r="P50" i="47"/>
  <c r="P151" i="5"/>
  <c r="P147" i="5"/>
  <c r="BS24" i="5"/>
  <c r="BS69" i="5"/>
  <c r="BS26" i="5"/>
  <c r="BS6" i="7"/>
  <c r="BV5" i="59"/>
  <c r="P38" i="5"/>
  <c r="P14" i="43"/>
  <c r="P4" i="43"/>
  <c r="P4" i="41"/>
  <c r="P101" i="41"/>
  <c r="O135" i="5"/>
  <c r="O83" i="8"/>
  <c r="P50" i="5"/>
  <c r="P48" i="5"/>
  <c r="P44" i="5"/>
  <c r="P19" i="43"/>
  <c r="P36" i="5"/>
  <c r="P12" i="43"/>
  <c r="P42" i="5"/>
  <c r="O34" i="8"/>
  <c r="O140" i="5"/>
  <c r="O53" i="18"/>
  <c r="P4" i="9"/>
  <c r="P4" i="15"/>
  <c r="P4" i="17"/>
  <c r="P4" i="8"/>
  <c r="P4" i="13"/>
  <c r="P4" i="4"/>
  <c r="P4" i="1"/>
  <c r="P4" i="14"/>
  <c r="P4" i="11"/>
  <c r="P4" i="16"/>
  <c r="P4" i="3"/>
  <c r="P4" i="18"/>
  <c r="P4" i="2"/>
  <c r="P4" i="10"/>
  <c r="P47" i="10"/>
  <c r="Q4" i="12"/>
  <c r="M66" i="27"/>
  <c r="P91" i="5"/>
  <c r="P90" i="5"/>
  <c r="Q3" i="5"/>
  <c r="P43" i="5"/>
  <c r="P18" i="43"/>
  <c r="P49" i="5"/>
  <c r="T51" i="22"/>
  <c r="P89" i="5"/>
  <c r="P37" i="5"/>
  <c r="M31" i="3"/>
  <c r="N52" i="3"/>
  <c r="O101" i="5"/>
  <c r="O100" i="5"/>
  <c r="O99" i="5"/>
  <c r="O104" i="5"/>
  <c r="O103" i="5"/>
  <c r="O102" i="5"/>
  <c r="O43" i="17"/>
  <c r="O30" i="3"/>
  <c r="BS71" i="5"/>
  <c r="BS65" i="5"/>
  <c r="BS4" i="7"/>
  <c r="BV3" i="59"/>
  <c r="BS116" i="5"/>
  <c r="BS64" i="5"/>
  <c r="BS70" i="5"/>
  <c r="BS63" i="5"/>
  <c r="O29" i="41"/>
  <c r="O29" i="3"/>
  <c r="BS25" i="5"/>
  <c r="BS5" i="7"/>
  <c r="BV4" i="59"/>
  <c r="BT23" i="5"/>
  <c r="P13" i="11"/>
  <c r="Q3" i="55"/>
  <c r="Q3" i="47"/>
  <c r="Q49" i="47"/>
  <c r="P52" i="55"/>
  <c r="P53" i="55"/>
  <c r="P37" i="55"/>
  <c r="P21" i="43"/>
  <c r="T218" i="22"/>
  <c r="P13" i="4"/>
  <c r="P13" i="13"/>
  <c r="P13" i="41"/>
  <c r="P13" i="10"/>
  <c r="Q13" i="12"/>
  <c r="P13" i="8"/>
  <c r="P13" i="3"/>
  <c r="P11" i="10"/>
  <c r="P13" i="16"/>
  <c r="Q3" i="43"/>
  <c r="Q3" i="41"/>
  <c r="Q100" i="41"/>
  <c r="P11" i="3"/>
  <c r="P11" i="13"/>
  <c r="P11" i="8"/>
  <c r="Q11" i="12"/>
  <c r="O35" i="8"/>
  <c r="P12" i="41"/>
  <c r="P13" i="43"/>
  <c r="P16" i="41"/>
  <c r="P17" i="43"/>
  <c r="P18" i="16"/>
  <c r="P18" i="41"/>
  <c r="P134" i="5"/>
  <c r="P135" i="5"/>
  <c r="P17" i="41"/>
  <c r="P71" i="41"/>
  <c r="P20" i="41"/>
  <c r="P11" i="11"/>
  <c r="P11" i="41"/>
  <c r="P11" i="16"/>
  <c r="P11" i="4"/>
  <c r="P18" i="11"/>
  <c r="P18" i="4"/>
  <c r="P18" i="13"/>
  <c r="P18" i="8"/>
  <c r="P18" i="10"/>
  <c r="Q18" i="12"/>
  <c r="P18" i="3"/>
  <c r="P136" i="5"/>
  <c r="P30" i="3"/>
  <c r="P53" i="3"/>
  <c r="P16" i="8"/>
  <c r="P16" i="13"/>
  <c r="P16" i="4"/>
  <c r="P16" i="11"/>
  <c r="P16" i="16"/>
  <c r="P16" i="3"/>
  <c r="Q16" i="12"/>
  <c r="P16" i="10"/>
  <c r="P17" i="8"/>
  <c r="P17" i="13"/>
  <c r="P17" i="4"/>
  <c r="P17" i="11"/>
  <c r="P17" i="16"/>
  <c r="P17" i="3"/>
  <c r="Q17" i="12"/>
  <c r="P17" i="10"/>
  <c r="P45" i="5"/>
  <c r="O29" i="16"/>
  <c r="Q4" i="5"/>
  <c r="Q3" i="9"/>
  <c r="Q3" i="15"/>
  <c r="Q3" i="17"/>
  <c r="Q3" i="8"/>
  <c r="Q3" i="13"/>
  <c r="Q3" i="4"/>
  <c r="Q3" i="1"/>
  <c r="Q3" i="14"/>
  <c r="M4" i="56"/>
  <c r="M80" i="56"/>
  <c r="M98" i="56"/>
  <c r="Q3" i="11"/>
  <c r="Q3" i="3"/>
  <c r="Q3" i="16"/>
  <c r="Q3" i="2"/>
  <c r="Q3" i="18"/>
  <c r="R3" i="12"/>
  <c r="N65" i="27"/>
  <c r="Q3" i="10"/>
  <c r="Q50" i="5"/>
  <c r="M54" i="3"/>
  <c r="O53" i="3"/>
  <c r="P37" i="18"/>
  <c r="P52" i="18"/>
  <c r="M46" i="3"/>
  <c r="M32" i="3"/>
  <c r="P139" i="5"/>
  <c r="P12" i="8"/>
  <c r="P12" i="13"/>
  <c r="P12" i="4"/>
  <c r="P12" i="11"/>
  <c r="P12" i="16"/>
  <c r="P12" i="3"/>
  <c r="Q12" i="12"/>
  <c r="P12" i="10"/>
  <c r="P39" i="5"/>
  <c r="P20" i="8"/>
  <c r="P20" i="13"/>
  <c r="P20" i="4"/>
  <c r="P20" i="11"/>
  <c r="P20" i="16"/>
  <c r="P73" i="16"/>
  <c r="P20" i="3"/>
  <c r="Q20" i="12"/>
  <c r="P20" i="10"/>
  <c r="P51" i="5"/>
  <c r="P141" i="5"/>
  <c r="P42" i="17"/>
  <c r="BS67" i="5"/>
  <c r="BS11" i="7"/>
  <c r="BS66" i="5"/>
  <c r="BS73" i="5"/>
  <c r="BS72" i="5"/>
  <c r="BS119" i="5"/>
  <c r="BS124" i="5"/>
  <c r="BS238" i="7"/>
  <c r="BS120" i="5"/>
  <c r="BS123" i="5"/>
  <c r="BS237" i="7"/>
  <c r="BT115" i="5"/>
  <c r="BT3" i="7"/>
  <c r="BW2" i="59"/>
  <c r="O52" i="3"/>
  <c r="N31" i="3"/>
  <c r="Q4" i="55"/>
  <c r="Q4" i="47"/>
  <c r="Q50" i="47"/>
  <c r="Q151" i="5"/>
  <c r="Q147" i="5"/>
  <c r="BT24" i="5"/>
  <c r="BT63" i="5"/>
  <c r="BT26" i="5"/>
  <c r="BT6" i="7"/>
  <c r="BW5" i="59"/>
  <c r="Q38" i="5"/>
  <c r="Q13" i="41"/>
  <c r="Q4" i="43"/>
  <c r="Q4" i="41"/>
  <c r="Q101" i="41"/>
  <c r="P82" i="8"/>
  <c r="P83" i="8"/>
  <c r="Q36" i="5"/>
  <c r="Q12" i="43"/>
  <c r="Q48" i="5"/>
  <c r="P43" i="17"/>
  <c r="P102" i="5"/>
  <c r="P101" i="5"/>
  <c r="P100" i="5"/>
  <c r="P99" i="5"/>
  <c r="P104" i="5"/>
  <c r="P103" i="5"/>
  <c r="Q4" i="9"/>
  <c r="Q4" i="15"/>
  <c r="Q4" i="17"/>
  <c r="Q4" i="8"/>
  <c r="Q4" i="13"/>
  <c r="Q4" i="4"/>
  <c r="Q4" i="1"/>
  <c r="Q4" i="14"/>
  <c r="Q4" i="11"/>
  <c r="Q4" i="16"/>
  <c r="Q4" i="3"/>
  <c r="Q4" i="18"/>
  <c r="R4" i="12"/>
  <c r="N66" i="27"/>
  <c r="Q4" i="2"/>
  <c r="Q4" i="10"/>
  <c r="Q47" i="10"/>
  <c r="Q37" i="5"/>
  <c r="Q91" i="5"/>
  <c r="Q90" i="5"/>
  <c r="R3" i="5"/>
  <c r="Q43" i="5"/>
  <c r="Q18" i="43"/>
  <c r="Q49" i="5"/>
  <c r="U51" i="22"/>
  <c r="Q89" i="5"/>
  <c r="M47" i="3"/>
  <c r="M28" i="15"/>
  <c r="M55" i="3"/>
  <c r="P34" i="8"/>
  <c r="P29" i="41"/>
  <c r="P140" i="5"/>
  <c r="Q44" i="5"/>
  <c r="P53" i="18"/>
  <c r="Q42" i="5"/>
  <c r="BT71" i="5"/>
  <c r="BT4" i="7"/>
  <c r="BW3" i="59"/>
  <c r="BT116" i="5"/>
  <c r="BT64" i="5"/>
  <c r="BT70" i="5"/>
  <c r="BT65" i="5"/>
  <c r="BT69" i="5"/>
  <c r="BT25" i="5"/>
  <c r="BT5" i="7"/>
  <c r="BW4" i="59"/>
  <c r="BU23" i="5"/>
  <c r="R3" i="55"/>
  <c r="R3" i="47"/>
  <c r="R49" i="47"/>
  <c r="Q37" i="55"/>
  <c r="Q52" i="55"/>
  <c r="Q53" i="55"/>
  <c r="Q21" i="43"/>
  <c r="U218" i="22"/>
  <c r="Q13" i="11"/>
  <c r="Q13" i="4"/>
  <c r="Q13" i="13"/>
  <c r="Q13" i="8"/>
  <c r="Q13" i="10"/>
  <c r="Q13" i="16"/>
  <c r="R13" i="12"/>
  <c r="Q13" i="3"/>
  <c r="Q14" i="43"/>
  <c r="Q11" i="4"/>
  <c r="Q11" i="13"/>
  <c r="Q11" i="8"/>
  <c r="R3" i="43"/>
  <c r="R3" i="41"/>
  <c r="R100" i="41"/>
  <c r="P35" i="8"/>
  <c r="Q16" i="41"/>
  <c r="Q17" i="43"/>
  <c r="Q18" i="41"/>
  <c r="Q19" i="43"/>
  <c r="Q12" i="41"/>
  <c r="Q13" i="43"/>
  <c r="Q71" i="41"/>
  <c r="Q20" i="41"/>
  <c r="Q11" i="11"/>
  <c r="Q11" i="41"/>
  <c r="Q139" i="5"/>
  <c r="Q34" i="8"/>
  <c r="Q29" i="41"/>
  <c r="Q17" i="41"/>
  <c r="Q11" i="10"/>
  <c r="R11" i="12"/>
  <c r="Q11" i="3"/>
  <c r="Q11" i="16"/>
  <c r="Q141" i="5"/>
  <c r="Q42" i="17"/>
  <c r="Q136" i="5"/>
  <c r="Q43" i="17"/>
  <c r="Q16" i="8"/>
  <c r="Q16" i="13"/>
  <c r="Q16" i="4"/>
  <c r="Q16" i="11"/>
  <c r="Q16" i="16"/>
  <c r="Q16" i="3"/>
  <c r="R16" i="12"/>
  <c r="Q16" i="10"/>
  <c r="Q20" i="8"/>
  <c r="Q20" i="13"/>
  <c r="Q20" i="4"/>
  <c r="Q20" i="11"/>
  <c r="Q20" i="16"/>
  <c r="Q20" i="3"/>
  <c r="Q73" i="16"/>
  <c r="R20" i="12"/>
  <c r="Q20" i="10"/>
  <c r="Q51" i="5"/>
  <c r="Q17" i="8"/>
  <c r="Q17" i="13"/>
  <c r="Q17" i="4"/>
  <c r="Q17" i="11"/>
  <c r="Q17" i="16"/>
  <c r="Q17" i="3"/>
  <c r="R17" i="12"/>
  <c r="Q17" i="10"/>
  <c r="Q45" i="5"/>
  <c r="Q12" i="8"/>
  <c r="Q12" i="13"/>
  <c r="Q12" i="4"/>
  <c r="Q12" i="11"/>
  <c r="Q12" i="16"/>
  <c r="Q12" i="3"/>
  <c r="R12" i="12"/>
  <c r="Q12" i="10"/>
  <c r="Q54" i="5"/>
  <c r="U207" i="22"/>
  <c r="Q39" i="5"/>
  <c r="R4" i="5"/>
  <c r="R3" i="9"/>
  <c r="R3" i="15"/>
  <c r="R3" i="17"/>
  <c r="R3" i="8"/>
  <c r="R3" i="13"/>
  <c r="R3" i="14"/>
  <c r="N4" i="56"/>
  <c r="N80" i="56"/>
  <c r="N98" i="56"/>
  <c r="R3" i="4"/>
  <c r="R3" i="1"/>
  <c r="R3" i="11"/>
  <c r="R3" i="16"/>
  <c r="R3" i="3"/>
  <c r="R3" i="18"/>
  <c r="R3" i="2"/>
  <c r="S3" i="12"/>
  <c r="O65" i="27"/>
  <c r="R3" i="10"/>
  <c r="R50" i="5"/>
  <c r="R36" i="5"/>
  <c r="N54" i="3"/>
  <c r="Q134" i="5"/>
  <c r="N46" i="3"/>
  <c r="N32" i="3"/>
  <c r="Q18" i="8"/>
  <c r="Q18" i="13"/>
  <c r="Q18" i="4"/>
  <c r="Q18" i="11"/>
  <c r="Q18" i="16"/>
  <c r="Q18" i="3"/>
  <c r="R18" i="12"/>
  <c r="Q18" i="10"/>
  <c r="P29" i="16"/>
  <c r="P29" i="3"/>
  <c r="Q37" i="18"/>
  <c r="Q52" i="18"/>
  <c r="BT67" i="5"/>
  <c r="BT11" i="7"/>
  <c r="BT66" i="5"/>
  <c r="BT120" i="5"/>
  <c r="BT123" i="5"/>
  <c r="BT237" i="7"/>
  <c r="BT119" i="5"/>
  <c r="BT124" i="5"/>
  <c r="BT238" i="7"/>
  <c r="BU115" i="5"/>
  <c r="BU3" i="7"/>
  <c r="BX2" i="59"/>
  <c r="BT73" i="5"/>
  <c r="BT72" i="5"/>
  <c r="R42" i="5"/>
  <c r="R16" i="13"/>
  <c r="R4" i="55"/>
  <c r="R4" i="47"/>
  <c r="R50" i="47"/>
  <c r="R147" i="5"/>
  <c r="BU24" i="5"/>
  <c r="BU63" i="5"/>
  <c r="BU26" i="5"/>
  <c r="BU6" i="7"/>
  <c r="BX5" i="59"/>
  <c r="R38" i="5"/>
  <c r="R14" i="43"/>
  <c r="R4" i="43"/>
  <c r="R4" i="41"/>
  <c r="R101" i="41"/>
  <c r="U183" i="22"/>
  <c r="U185" i="22"/>
  <c r="Q49" i="43"/>
  <c r="U191" i="22"/>
  <c r="U195" i="22"/>
  <c r="Q101" i="43"/>
  <c r="R11" i="41"/>
  <c r="R12" i="43"/>
  <c r="Q140" i="5"/>
  <c r="Q23" i="41"/>
  <c r="Q24" i="43"/>
  <c r="R44" i="5"/>
  <c r="R19" i="43"/>
  <c r="R48" i="5"/>
  <c r="Q30" i="3"/>
  <c r="Q53" i="3"/>
  <c r="R11" i="8"/>
  <c r="R11" i="13"/>
  <c r="R11" i="4"/>
  <c r="R11" i="11"/>
  <c r="R11" i="16"/>
  <c r="R11" i="3"/>
  <c r="R11" i="10"/>
  <c r="S11" i="12"/>
  <c r="Q29" i="16"/>
  <c r="Q29" i="3"/>
  <c r="Q103" i="5"/>
  <c r="Q102" i="5"/>
  <c r="Q101" i="5"/>
  <c r="Q100" i="5"/>
  <c r="Q99" i="5"/>
  <c r="Q104" i="5"/>
  <c r="Q82" i="8"/>
  <c r="Q135" i="5"/>
  <c r="Q53" i="18"/>
  <c r="R16" i="8"/>
  <c r="Q23" i="8"/>
  <c r="Q23" i="13"/>
  <c r="Q23" i="4"/>
  <c r="Q23" i="11"/>
  <c r="Q23" i="16"/>
  <c r="Q23" i="3"/>
  <c r="R23" i="12"/>
  <c r="Q23" i="10"/>
  <c r="N47" i="3"/>
  <c r="N28" i="15"/>
  <c r="N55" i="3"/>
  <c r="R4" i="9"/>
  <c r="R4" i="15"/>
  <c r="R4" i="17"/>
  <c r="R4" i="8"/>
  <c r="R4" i="13"/>
  <c r="R4" i="4"/>
  <c r="R4" i="1"/>
  <c r="R4" i="14"/>
  <c r="R4" i="11"/>
  <c r="R4" i="3"/>
  <c r="R4" i="16"/>
  <c r="S4" i="12"/>
  <c r="O66" i="27"/>
  <c r="R4" i="2"/>
  <c r="R4" i="18"/>
  <c r="R4" i="10"/>
  <c r="R47" i="10"/>
  <c r="S3" i="5"/>
  <c r="R37" i="5"/>
  <c r="R43" i="5"/>
  <c r="R18" i="43"/>
  <c r="R49" i="5"/>
  <c r="V51" i="22"/>
  <c r="R89" i="5"/>
  <c r="R91" i="5"/>
  <c r="R90" i="5"/>
  <c r="P52" i="3"/>
  <c r="O31" i="3"/>
  <c r="R16" i="11"/>
  <c r="BU69" i="5"/>
  <c r="R16" i="41"/>
  <c r="BU71" i="5"/>
  <c r="R16" i="16"/>
  <c r="BU65" i="5"/>
  <c r="R16" i="4"/>
  <c r="R16" i="10"/>
  <c r="S16" i="12"/>
  <c r="R17" i="43"/>
  <c r="R16" i="3"/>
  <c r="BU116" i="5"/>
  <c r="BU4" i="7"/>
  <c r="BX3" i="59"/>
  <c r="BU64" i="5"/>
  <c r="BU70" i="5"/>
  <c r="R13" i="4"/>
  <c r="R13" i="8"/>
  <c r="BU25" i="5"/>
  <c r="BU5" i="7"/>
  <c r="BX4" i="59"/>
  <c r="BV23" i="5"/>
  <c r="S3" i="55"/>
  <c r="S3" i="47"/>
  <c r="S49" i="47"/>
  <c r="R37" i="55"/>
  <c r="R52" i="55"/>
  <c r="R53" i="55"/>
  <c r="R21" i="43"/>
  <c r="V218" i="22"/>
  <c r="S13" i="12"/>
  <c r="R13" i="10"/>
  <c r="R13" i="3"/>
  <c r="R13" i="41"/>
  <c r="R13" i="16"/>
  <c r="R13" i="11"/>
  <c r="R13" i="13"/>
  <c r="S3" i="43"/>
  <c r="S3" i="41"/>
  <c r="S100" i="41"/>
  <c r="Q83" i="8"/>
  <c r="Q35" i="8"/>
  <c r="R12" i="41"/>
  <c r="R13" i="43"/>
  <c r="R71" i="41"/>
  <c r="R20" i="41"/>
  <c r="R18" i="16"/>
  <c r="R18" i="41"/>
  <c r="R139" i="5"/>
  <c r="R34" i="8"/>
  <c r="R29" i="41"/>
  <c r="R17" i="41"/>
  <c r="R18" i="4"/>
  <c r="R18" i="11"/>
  <c r="R18" i="8"/>
  <c r="R18" i="13"/>
  <c r="R18" i="10"/>
  <c r="S18" i="12"/>
  <c r="R18" i="3"/>
  <c r="R141" i="5"/>
  <c r="R42" i="17"/>
  <c r="R134" i="5"/>
  <c r="R136" i="5"/>
  <c r="R30" i="3"/>
  <c r="R53" i="3"/>
  <c r="O46" i="3"/>
  <c r="O32" i="3"/>
  <c r="S4" i="5"/>
  <c r="S3" i="9"/>
  <c r="S3" i="15"/>
  <c r="S3" i="17"/>
  <c r="S3" i="8"/>
  <c r="S3" i="13"/>
  <c r="S3" i="14"/>
  <c r="O4" i="56"/>
  <c r="O80" i="56"/>
  <c r="O98" i="56"/>
  <c r="S3" i="4"/>
  <c r="S3" i="1"/>
  <c r="S3" i="11"/>
  <c r="S3" i="16"/>
  <c r="S3" i="3"/>
  <c r="S3" i="18"/>
  <c r="S3" i="2"/>
  <c r="T3" i="12"/>
  <c r="P65" i="27"/>
  <c r="S3" i="10"/>
  <c r="P31" i="3"/>
  <c r="Q52" i="3"/>
  <c r="R52" i="18"/>
  <c r="R37" i="18"/>
  <c r="R20" i="8"/>
  <c r="R20" i="13"/>
  <c r="R20" i="4"/>
  <c r="R20" i="11"/>
  <c r="R20" i="16"/>
  <c r="R20" i="3"/>
  <c r="R73" i="16"/>
  <c r="S20" i="12"/>
  <c r="R20" i="10"/>
  <c r="R51" i="5"/>
  <c r="R17" i="8"/>
  <c r="R17" i="13"/>
  <c r="R17" i="4"/>
  <c r="R17" i="11"/>
  <c r="R17" i="16"/>
  <c r="R17" i="3"/>
  <c r="S17" i="12"/>
  <c r="R17" i="10"/>
  <c r="R45" i="5"/>
  <c r="O54" i="3"/>
  <c r="O55" i="3"/>
  <c r="R12" i="8"/>
  <c r="R12" i="13"/>
  <c r="R12" i="4"/>
  <c r="R12" i="11"/>
  <c r="R12" i="16"/>
  <c r="R12" i="3"/>
  <c r="R12" i="10"/>
  <c r="S12" i="12"/>
  <c r="R54" i="5"/>
  <c r="V207" i="22"/>
  <c r="R39" i="5"/>
  <c r="BU67" i="5"/>
  <c r="BU11" i="7"/>
  <c r="BU66" i="5"/>
  <c r="BV115" i="5"/>
  <c r="BV3" i="7"/>
  <c r="BY2" i="59"/>
  <c r="BV24" i="5"/>
  <c r="BV63" i="5"/>
  <c r="BV69" i="5"/>
  <c r="BV65" i="5"/>
  <c r="BU119" i="5"/>
  <c r="BU124" i="5"/>
  <c r="BU238" i="7"/>
  <c r="BU120" i="5"/>
  <c r="BU123" i="5"/>
  <c r="BU237" i="7"/>
  <c r="BU73" i="5"/>
  <c r="BU72" i="5"/>
  <c r="S4" i="55"/>
  <c r="S4" i="47"/>
  <c r="S50" i="47"/>
  <c r="S147" i="5"/>
  <c r="BV26" i="5"/>
  <c r="BV6" i="7"/>
  <c r="BY5" i="59"/>
  <c r="R140" i="5"/>
  <c r="R35" i="8"/>
  <c r="S38" i="5"/>
  <c r="S14" i="43"/>
  <c r="S4" i="43"/>
  <c r="S4" i="41"/>
  <c r="S101" i="41"/>
  <c r="V183" i="22"/>
  <c r="V185" i="22"/>
  <c r="R49" i="43"/>
  <c r="V191" i="22"/>
  <c r="V195" i="22"/>
  <c r="R101" i="43"/>
  <c r="R82" i="8"/>
  <c r="R23" i="41"/>
  <c r="R24" i="43"/>
  <c r="R43" i="17"/>
  <c r="S44" i="5"/>
  <c r="S19" i="43"/>
  <c r="S42" i="5"/>
  <c r="S17" i="43"/>
  <c r="S48" i="5"/>
  <c r="R135" i="5"/>
  <c r="R29" i="16"/>
  <c r="R29" i="3"/>
  <c r="P46" i="3"/>
  <c r="P32" i="3"/>
  <c r="R53" i="18"/>
  <c r="S4" i="9"/>
  <c r="S4" i="15"/>
  <c r="S4" i="17"/>
  <c r="S4" i="8"/>
  <c r="S4" i="13"/>
  <c r="S4" i="4"/>
  <c r="S4" i="14"/>
  <c r="S4" i="1"/>
  <c r="S4" i="11"/>
  <c r="S4" i="16"/>
  <c r="S4" i="3"/>
  <c r="S4" i="18"/>
  <c r="T4" i="12"/>
  <c r="P66" i="27"/>
  <c r="S4" i="2"/>
  <c r="S4" i="10"/>
  <c r="S47" i="10"/>
  <c r="T3" i="5"/>
  <c r="S90" i="5"/>
  <c r="S37" i="5"/>
  <c r="S43" i="5"/>
  <c r="S18" i="43"/>
  <c r="S49" i="5"/>
  <c r="W51" i="22"/>
  <c r="S89" i="5"/>
  <c r="S91" i="5"/>
  <c r="R23" i="8"/>
  <c r="R23" i="13"/>
  <c r="R23" i="4"/>
  <c r="R23" i="11"/>
  <c r="R23" i="16"/>
  <c r="R23" i="3"/>
  <c r="S23" i="12"/>
  <c r="R23" i="10"/>
  <c r="R104" i="5"/>
  <c r="R103" i="5"/>
  <c r="R102" i="5"/>
  <c r="R101" i="5"/>
  <c r="R100" i="5"/>
  <c r="R99" i="5"/>
  <c r="S36" i="5"/>
  <c r="O47" i="3"/>
  <c r="O28" i="15"/>
  <c r="P54" i="3"/>
  <c r="S50" i="5"/>
  <c r="BV4" i="7"/>
  <c r="BY3" i="59"/>
  <c r="BV116" i="5"/>
  <c r="BV64" i="5"/>
  <c r="BV70" i="5"/>
  <c r="BV71" i="5"/>
  <c r="S13" i="41"/>
  <c r="S13" i="16"/>
  <c r="BV25" i="5"/>
  <c r="BV5" i="7"/>
  <c r="BY4" i="59"/>
  <c r="BW23" i="5"/>
  <c r="T3" i="55"/>
  <c r="T3" i="47"/>
  <c r="T49" i="47"/>
  <c r="S52" i="55"/>
  <c r="S53" i="55"/>
  <c r="S37" i="55"/>
  <c r="S21" i="43"/>
  <c r="W218" i="22"/>
  <c r="S13" i="10"/>
  <c r="T13" i="12"/>
  <c r="S13" i="3"/>
  <c r="S13" i="11"/>
  <c r="S13" i="4"/>
  <c r="S13" i="13"/>
  <c r="S16" i="11"/>
  <c r="S13" i="8"/>
  <c r="S16" i="4"/>
  <c r="T3" i="43"/>
  <c r="T3" i="41"/>
  <c r="T100" i="41"/>
  <c r="S16" i="13"/>
  <c r="S16" i="8"/>
  <c r="S18" i="8"/>
  <c r="R83" i="8"/>
  <c r="S12" i="41"/>
  <c r="S13" i="43"/>
  <c r="S11" i="41"/>
  <c r="S12" i="43"/>
  <c r="S139" i="5"/>
  <c r="S17" i="41"/>
  <c r="S18" i="13"/>
  <c r="S18" i="41"/>
  <c r="S71" i="41"/>
  <c r="S20" i="41"/>
  <c r="S16" i="10"/>
  <c r="S16" i="41"/>
  <c r="S16" i="16"/>
  <c r="S16" i="3"/>
  <c r="T16" i="12"/>
  <c r="T18" i="12"/>
  <c r="S18" i="10"/>
  <c r="S18" i="3"/>
  <c r="S18" i="16"/>
  <c r="S18" i="11"/>
  <c r="S18" i="4"/>
  <c r="S141" i="5"/>
  <c r="S42" i="17"/>
  <c r="S134" i="5"/>
  <c r="S136" i="5"/>
  <c r="S43" i="17"/>
  <c r="P55" i="3"/>
  <c r="T4" i="5"/>
  <c r="T3" i="9"/>
  <c r="T3" i="15"/>
  <c r="T3" i="17"/>
  <c r="T3" i="8"/>
  <c r="T3" i="13"/>
  <c r="T3" i="14"/>
  <c r="P4" i="56"/>
  <c r="P80" i="56"/>
  <c r="P98" i="56"/>
  <c r="T3" i="4"/>
  <c r="T3" i="1"/>
  <c r="T3" i="11"/>
  <c r="T3" i="16"/>
  <c r="T3" i="3"/>
  <c r="T3" i="18"/>
  <c r="T3" i="10"/>
  <c r="T3" i="2"/>
  <c r="U3" i="12"/>
  <c r="Q65" i="27"/>
  <c r="Q31" i="3"/>
  <c r="R52" i="3"/>
  <c r="S20" i="8"/>
  <c r="S20" i="13"/>
  <c r="S20" i="4"/>
  <c r="S20" i="11"/>
  <c r="S20" i="16"/>
  <c r="S20" i="3"/>
  <c r="S73" i="16"/>
  <c r="S20" i="10"/>
  <c r="T20" i="12"/>
  <c r="S51" i="5"/>
  <c r="S11" i="8"/>
  <c r="S11" i="13"/>
  <c r="S11" i="4"/>
  <c r="S11" i="11"/>
  <c r="S11" i="16"/>
  <c r="S11" i="3"/>
  <c r="S11" i="10"/>
  <c r="T11" i="12"/>
  <c r="S17" i="8"/>
  <c r="S17" i="13"/>
  <c r="S17" i="4"/>
  <c r="S17" i="11"/>
  <c r="S17" i="16"/>
  <c r="S17" i="3"/>
  <c r="S17" i="10"/>
  <c r="T17" i="12"/>
  <c r="S45" i="5"/>
  <c r="S52" i="18"/>
  <c r="S53" i="18"/>
  <c r="S37" i="18"/>
  <c r="S12" i="8"/>
  <c r="S12" i="13"/>
  <c r="S12" i="4"/>
  <c r="S12" i="11"/>
  <c r="S12" i="16"/>
  <c r="S12" i="3"/>
  <c r="S12" i="10"/>
  <c r="T12" i="12"/>
  <c r="S54" i="5"/>
  <c r="W207" i="22"/>
  <c r="S39" i="5"/>
  <c r="P47" i="3"/>
  <c r="P28" i="15"/>
  <c r="BV120" i="5"/>
  <c r="BV119" i="5"/>
  <c r="BV124" i="5"/>
  <c r="BV238" i="7"/>
  <c r="BV123" i="5"/>
  <c r="BV237" i="7"/>
  <c r="BW115" i="5"/>
  <c r="BW3" i="7"/>
  <c r="BZ2" i="59"/>
  <c r="BV73" i="5"/>
  <c r="BV72" i="5"/>
  <c r="BV11" i="7"/>
  <c r="BV67" i="5"/>
  <c r="BV66" i="5"/>
  <c r="BW24" i="5"/>
  <c r="BW26" i="5"/>
  <c r="BW6" i="7"/>
  <c r="BZ5" i="59"/>
  <c r="T4" i="55"/>
  <c r="T4" i="47"/>
  <c r="T50" i="47"/>
  <c r="T147" i="5"/>
  <c r="T48" i="5"/>
  <c r="T4" i="43"/>
  <c r="T4" i="41"/>
  <c r="T101" i="41"/>
  <c r="T42" i="5"/>
  <c r="T16" i="4"/>
  <c r="W183" i="22"/>
  <c r="W185" i="22"/>
  <c r="S49" i="43"/>
  <c r="W191" i="22"/>
  <c r="W195" i="22"/>
  <c r="S101" i="43"/>
  <c r="S23" i="41"/>
  <c r="S24" i="43"/>
  <c r="S140" i="5"/>
  <c r="S34" i="8"/>
  <c r="S29" i="41"/>
  <c r="S82" i="8"/>
  <c r="S135" i="5"/>
  <c r="T38" i="5"/>
  <c r="T14" i="43"/>
  <c r="T36" i="5"/>
  <c r="T12" i="43"/>
  <c r="T50" i="5"/>
  <c r="T44" i="5"/>
  <c r="T19" i="43"/>
  <c r="S30" i="3"/>
  <c r="S53" i="3"/>
  <c r="Q46" i="3"/>
  <c r="Q32" i="3"/>
  <c r="S23" i="8"/>
  <c r="S23" i="13"/>
  <c r="S23" i="4"/>
  <c r="S23" i="11"/>
  <c r="S23" i="16"/>
  <c r="S23" i="3"/>
  <c r="T23" i="12"/>
  <c r="S23" i="10"/>
  <c r="T16" i="8"/>
  <c r="S104" i="5"/>
  <c r="S103" i="5"/>
  <c r="S102" i="5"/>
  <c r="S101" i="5"/>
  <c r="S100" i="5"/>
  <c r="S99" i="5"/>
  <c r="Q54" i="3"/>
  <c r="T4" i="9"/>
  <c r="T4" i="15"/>
  <c r="T4" i="17"/>
  <c r="T4" i="8"/>
  <c r="T4" i="13"/>
  <c r="T4" i="4"/>
  <c r="T4" i="14"/>
  <c r="T4" i="1"/>
  <c r="T4" i="11"/>
  <c r="T4" i="16"/>
  <c r="T4" i="3"/>
  <c r="T4" i="18"/>
  <c r="U4" i="12"/>
  <c r="Q66" i="27"/>
  <c r="T4" i="2"/>
  <c r="T4" i="10"/>
  <c r="T47" i="10"/>
  <c r="T91" i="5"/>
  <c r="U3" i="5"/>
  <c r="T90" i="5"/>
  <c r="T37" i="5"/>
  <c r="T43" i="5"/>
  <c r="T18" i="43"/>
  <c r="T49" i="5"/>
  <c r="X51" i="22"/>
  <c r="T89" i="5"/>
  <c r="BW116" i="5"/>
  <c r="BW4" i="7"/>
  <c r="BZ3" i="59"/>
  <c r="BW64" i="5"/>
  <c r="BW70" i="5"/>
  <c r="BW63" i="5"/>
  <c r="BW69" i="5"/>
  <c r="BW71" i="5"/>
  <c r="BW65" i="5"/>
  <c r="U16" i="12"/>
  <c r="T37" i="55"/>
  <c r="T52" i="55"/>
  <c r="T53" i="55"/>
  <c r="U3" i="55"/>
  <c r="U3" i="47"/>
  <c r="U49" i="47"/>
  <c r="BW25" i="5"/>
  <c r="BW5" i="7"/>
  <c r="BZ4" i="59"/>
  <c r="BX23" i="5"/>
  <c r="T21" i="43"/>
  <c r="X218" i="22"/>
  <c r="T13" i="10"/>
  <c r="T16" i="3"/>
  <c r="T16" i="16"/>
  <c r="T16" i="13"/>
  <c r="T16" i="10"/>
  <c r="U3" i="43"/>
  <c r="U3" i="41"/>
  <c r="U100" i="41"/>
  <c r="T17" i="43"/>
  <c r="T16" i="11"/>
  <c r="T16" i="41"/>
  <c r="S29" i="3"/>
  <c r="R31" i="3"/>
  <c r="S29" i="16"/>
  <c r="S35" i="8"/>
  <c r="T12" i="41"/>
  <c r="T13" i="43"/>
  <c r="S83" i="8"/>
  <c r="T141" i="5"/>
  <c r="T42" i="17"/>
  <c r="T17" i="41"/>
  <c r="T18" i="13"/>
  <c r="T18" i="41"/>
  <c r="T71" i="41"/>
  <c r="T20" i="41"/>
  <c r="T11" i="13"/>
  <c r="T11" i="41"/>
  <c r="T13" i="8"/>
  <c r="T13" i="41"/>
  <c r="T13" i="13"/>
  <c r="U13" i="12"/>
  <c r="T13" i="3"/>
  <c r="T13" i="16"/>
  <c r="T13" i="11"/>
  <c r="T13" i="4"/>
  <c r="U11" i="12"/>
  <c r="T11" i="10"/>
  <c r="T11" i="11"/>
  <c r="T18" i="10"/>
  <c r="T11" i="3"/>
  <c r="T11" i="16"/>
  <c r="T11" i="4"/>
  <c r="T11" i="8"/>
  <c r="T18" i="8"/>
  <c r="U18" i="12"/>
  <c r="T18" i="16"/>
  <c r="T18" i="3"/>
  <c r="T18" i="11"/>
  <c r="T18" i="4"/>
  <c r="T134" i="5"/>
  <c r="T136" i="5"/>
  <c r="T43" i="17"/>
  <c r="T139" i="5"/>
  <c r="U4" i="5"/>
  <c r="U3" i="9"/>
  <c r="U3" i="15"/>
  <c r="U3" i="17"/>
  <c r="U3" i="8"/>
  <c r="U3" i="13"/>
  <c r="U3" i="1"/>
  <c r="U3" i="14"/>
  <c r="Q4" i="56"/>
  <c r="Q80" i="56"/>
  <c r="Q98" i="56"/>
  <c r="U3" i="4"/>
  <c r="U3" i="11"/>
  <c r="U3" i="16"/>
  <c r="U3" i="3"/>
  <c r="V3" i="12"/>
  <c r="R65" i="27"/>
  <c r="U3" i="18"/>
  <c r="U3" i="10"/>
  <c r="U3" i="2"/>
  <c r="T20" i="8"/>
  <c r="T20" i="13"/>
  <c r="T20" i="4"/>
  <c r="T20" i="11"/>
  <c r="T20" i="16"/>
  <c r="T20" i="3"/>
  <c r="T73" i="16"/>
  <c r="U20" i="12"/>
  <c r="T20" i="10"/>
  <c r="T51" i="5"/>
  <c r="T17" i="8"/>
  <c r="T17" i="13"/>
  <c r="T17" i="4"/>
  <c r="T17" i="11"/>
  <c r="T17" i="16"/>
  <c r="T17" i="3"/>
  <c r="U17" i="12"/>
  <c r="T17" i="10"/>
  <c r="T45" i="5"/>
  <c r="Q55" i="3"/>
  <c r="T12" i="8"/>
  <c r="T12" i="13"/>
  <c r="T12" i="4"/>
  <c r="T12" i="11"/>
  <c r="T12" i="16"/>
  <c r="T12" i="3"/>
  <c r="U12" i="12"/>
  <c r="T12" i="10"/>
  <c r="T54" i="5"/>
  <c r="X207" i="22"/>
  <c r="T39" i="5"/>
  <c r="T52" i="18"/>
  <c r="T53" i="18"/>
  <c r="T37" i="18"/>
  <c r="Q47" i="3"/>
  <c r="Q28" i="15"/>
  <c r="BX115" i="5"/>
  <c r="BX3" i="7"/>
  <c r="CA2" i="59"/>
  <c r="BW11" i="7"/>
  <c r="BW67" i="5"/>
  <c r="BW66" i="5"/>
  <c r="BW73" i="5"/>
  <c r="BW72" i="5"/>
  <c r="BW119" i="5"/>
  <c r="BW124" i="5"/>
  <c r="BW238" i="7"/>
  <c r="BW120" i="5"/>
  <c r="BW123" i="5"/>
  <c r="BW237" i="7"/>
  <c r="BX24" i="5"/>
  <c r="BX65" i="5"/>
  <c r="BX26" i="5"/>
  <c r="BX6" i="7"/>
  <c r="CA5" i="59"/>
  <c r="U4" i="55"/>
  <c r="U4" i="47"/>
  <c r="U50" i="47"/>
  <c r="U147" i="5"/>
  <c r="S52" i="3"/>
  <c r="U38" i="5"/>
  <c r="V13" i="12"/>
  <c r="U4" i="43"/>
  <c r="U4" i="41"/>
  <c r="U101" i="41"/>
  <c r="X183" i="22"/>
  <c r="X185" i="22"/>
  <c r="T49" i="43"/>
  <c r="X191" i="22"/>
  <c r="X195" i="22"/>
  <c r="T101" i="43"/>
  <c r="T23" i="41"/>
  <c r="T24" i="43"/>
  <c r="T34" i="8"/>
  <c r="T29" i="41"/>
  <c r="T135" i="5"/>
  <c r="U36" i="5"/>
  <c r="U11" i="8"/>
  <c r="U50" i="5"/>
  <c r="U48" i="5"/>
  <c r="U44" i="5"/>
  <c r="U19" i="43"/>
  <c r="T82" i="8"/>
  <c r="T30" i="3"/>
  <c r="T53" i="3"/>
  <c r="T140" i="5"/>
  <c r="R46" i="3"/>
  <c r="R32" i="3"/>
  <c r="U42" i="5"/>
  <c r="T23" i="8"/>
  <c r="T23" i="13"/>
  <c r="T23" i="4"/>
  <c r="T23" i="11"/>
  <c r="T23" i="3"/>
  <c r="T23" i="16"/>
  <c r="U23" i="12"/>
  <c r="T23" i="10"/>
  <c r="T104" i="5"/>
  <c r="T103" i="5"/>
  <c r="T102" i="5"/>
  <c r="T101" i="5"/>
  <c r="T100" i="5"/>
  <c r="T99" i="5"/>
  <c r="U4" i="9"/>
  <c r="U4" i="15"/>
  <c r="U4" i="17"/>
  <c r="U4" i="8"/>
  <c r="U4" i="13"/>
  <c r="U4" i="4"/>
  <c r="U4" i="14"/>
  <c r="U4" i="1"/>
  <c r="U4" i="11"/>
  <c r="U4" i="16"/>
  <c r="U4" i="3"/>
  <c r="U4" i="18"/>
  <c r="U4" i="10"/>
  <c r="U47" i="10"/>
  <c r="V4" i="12"/>
  <c r="R66" i="27"/>
  <c r="U4" i="2"/>
  <c r="U91" i="5"/>
  <c r="V3" i="5"/>
  <c r="U90" i="5"/>
  <c r="U37" i="5"/>
  <c r="U43" i="5"/>
  <c r="U18" i="43"/>
  <c r="U49" i="5"/>
  <c r="Y51" i="22"/>
  <c r="U89" i="5"/>
  <c r="R54" i="3"/>
  <c r="BX69" i="5"/>
  <c r="BX63" i="5"/>
  <c r="BX71" i="5"/>
  <c r="BX116" i="5"/>
  <c r="BX4" i="7"/>
  <c r="CA3" i="59"/>
  <c r="BX64" i="5"/>
  <c r="BX70" i="5"/>
  <c r="U13" i="8"/>
  <c r="U13" i="13"/>
  <c r="U13" i="10"/>
  <c r="U13" i="3"/>
  <c r="U13" i="16"/>
  <c r="U52" i="55"/>
  <c r="U53" i="55"/>
  <c r="U37" i="55"/>
  <c r="U13" i="11"/>
  <c r="V3" i="55"/>
  <c r="V3" i="47"/>
  <c r="V49" i="47"/>
  <c r="U13" i="4"/>
  <c r="BX25" i="5"/>
  <c r="BX5" i="7"/>
  <c r="CA4" i="59"/>
  <c r="BY23" i="5"/>
  <c r="U21" i="43"/>
  <c r="Y218" i="22"/>
  <c r="U14" i="43"/>
  <c r="U13" i="41"/>
  <c r="U11" i="4"/>
  <c r="U11" i="11"/>
  <c r="U11" i="13"/>
  <c r="V3" i="43"/>
  <c r="V3" i="41"/>
  <c r="V100" i="41"/>
  <c r="T29" i="16"/>
  <c r="T29" i="3"/>
  <c r="S31" i="3"/>
  <c r="U11" i="41"/>
  <c r="U12" i="43"/>
  <c r="U16" i="41"/>
  <c r="U17" i="43"/>
  <c r="T35" i="8"/>
  <c r="U12" i="41"/>
  <c r="U13" i="43"/>
  <c r="T83" i="8"/>
  <c r="U18" i="8"/>
  <c r="U18" i="41"/>
  <c r="U136" i="5"/>
  <c r="U43" i="17"/>
  <c r="U17" i="41"/>
  <c r="V11" i="12"/>
  <c r="U11" i="10"/>
  <c r="U71" i="41"/>
  <c r="U20" i="41"/>
  <c r="U11" i="3"/>
  <c r="U11" i="16"/>
  <c r="V18" i="12"/>
  <c r="U18" i="3"/>
  <c r="U18" i="4"/>
  <c r="U18" i="16"/>
  <c r="U18" i="11"/>
  <c r="U18" i="13"/>
  <c r="U18" i="10"/>
  <c r="U141" i="5"/>
  <c r="U42" i="17"/>
  <c r="U134" i="5"/>
  <c r="U37" i="18"/>
  <c r="U52" i="18"/>
  <c r="U53" i="18"/>
  <c r="U139" i="5"/>
  <c r="V4" i="5"/>
  <c r="V3" i="9"/>
  <c r="V3" i="15"/>
  <c r="V3" i="17"/>
  <c r="V3" i="8"/>
  <c r="V3" i="13"/>
  <c r="V3" i="4"/>
  <c r="V3" i="1"/>
  <c r="V3" i="14"/>
  <c r="R4" i="56"/>
  <c r="R80" i="56"/>
  <c r="R98" i="56"/>
  <c r="V3" i="11"/>
  <c r="V3" i="16"/>
  <c r="V3" i="3"/>
  <c r="V3" i="18"/>
  <c r="W3" i="12"/>
  <c r="S65" i="27"/>
  <c r="V3" i="10"/>
  <c r="V3" i="2"/>
  <c r="R55" i="3"/>
  <c r="U16" i="8"/>
  <c r="U16" i="13"/>
  <c r="U16" i="4"/>
  <c r="U16" i="11"/>
  <c r="U16" i="16"/>
  <c r="U16" i="3"/>
  <c r="V16" i="12"/>
  <c r="U16" i="10"/>
  <c r="U20" i="8"/>
  <c r="U20" i="13"/>
  <c r="U20" i="4"/>
  <c r="U20" i="11"/>
  <c r="U20" i="16"/>
  <c r="U73" i="16"/>
  <c r="U20" i="3"/>
  <c r="V20" i="12"/>
  <c r="U20" i="10"/>
  <c r="U51" i="5"/>
  <c r="U17" i="8"/>
  <c r="U17" i="13"/>
  <c r="U17" i="4"/>
  <c r="U17" i="11"/>
  <c r="U17" i="16"/>
  <c r="U17" i="3"/>
  <c r="V17" i="12"/>
  <c r="U17" i="10"/>
  <c r="U45" i="5"/>
  <c r="U12" i="8"/>
  <c r="U12" i="13"/>
  <c r="U12" i="4"/>
  <c r="U12" i="11"/>
  <c r="U12" i="16"/>
  <c r="U12" i="3"/>
  <c r="U12" i="10"/>
  <c r="V12" i="12"/>
  <c r="U54" i="5"/>
  <c r="Y207" i="22"/>
  <c r="U39" i="5"/>
  <c r="R47" i="3"/>
  <c r="R28" i="15"/>
  <c r="BX73" i="5"/>
  <c r="BX72" i="5"/>
  <c r="BX67" i="5"/>
  <c r="BX11" i="7"/>
  <c r="BX66" i="5"/>
  <c r="BY3" i="7"/>
  <c r="CB2" i="59"/>
  <c r="BY115" i="5"/>
  <c r="BX120" i="5"/>
  <c r="BX123" i="5"/>
  <c r="BX237" i="7"/>
  <c r="BX124" i="5"/>
  <c r="BX238" i="7"/>
  <c r="BX119" i="5"/>
  <c r="V4" i="55"/>
  <c r="V4" i="47"/>
  <c r="V50" i="47"/>
  <c r="V147" i="5"/>
  <c r="BY24" i="5"/>
  <c r="BY63" i="5"/>
  <c r="BY26" i="5"/>
  <c r="BY6" i="7"/>
  <c r="CB5" i="59"/>
  <c r="V42" i="5"/>
  <c r="V16" i="41"/>
  <c r="V4" i="43"/>
  <c r="V4" i="41"/>
  <c r="V101" i="41"/>
  <c r="Y183" i="22"/>
  <c r="Y185" i="22"/>
  <c r="U49" i="43"/>
  <c r="Y191" i="22"/>
  <c r="Y195" i="22"/>
  <c r="U101" i="43"/>
  <c r="T52" i="3"/>
  <c r="S54" i="3"/>
  <c r="U30" i="3"/>
  <c r="U53" i="3"/>
  <c r="U23" i="41"/>
  <c r="U24" i="43"/>
  <c r="U135" i="5"/>
  <c r="U82" i="8"/>
  <c r="V36" i="5"/>
  <c r="V11" i="8"/>
  <c r="V50" i="5"/>
  <c r="V38" i="5"/>
  <c r="V14" i="43"/>
  <c r="V44" i="5"/>
  <c r="V19" i="43"/>
  <c r="V48" i="5"/>
  <c r="U34" i="8"/>
  <c r="U29" i="41"/>
  <c r="U140" i="5"/>
  <c r="U23" i="8"/>
  <c r="U23" i="13"/>
  <c r="U23" i="4"/>
  <c r="U23" i="11"/>
  <c r="U23" i="16"/>
  <c r="U23" i="3"/>
  <c r="V23" i="12"/>
  <c r="U23" i="10"/>
  <c r="U99" i="5"/>
  <c r="U104" i="5"/>
  <c r="U103" i="5"/>
  <c r="U102" i="5"/>
  <c r="U101" i="5"/>
  <c r="U100" i="5"/>
  <c r="S46" i="3"/>
  <c r="S32" i="3"/>
  <c r="V4" i="9"/>
  <c r="V4" i="15"/>
  <c r="V4" i="17"/>
  <c r="V4" i="8"/>
  <c r="V4" i="13"/>
  <c r="V4" i="1"/>
  <c r="V4" i="4"/>
  <c r="V4" i="14"/>
  <c r="V4" i="11"/>
  <c r="V4" i="16"/>
  <c r="V4" i="3"/>
  <c r="W4" i="12"/>
  <c r="S66" i="27"/>
  <c r="V4" i="18"/>
  <c r="V4" i="10"/>
  <c r="V47" i="10"/>
  <c r="V4" i="2"/>
  <c r="V91" i="5"/>
  <c r="W3" i="5"/>
  <c r="V90" i="5"/>
  <c r="V37" i="5"/>
  <c r="V43" i="5"/>
  <c r="V18" i="43"/>
  <c r="V49" i="5"/>
  <c r="Z51" i="22"/>
  <c r="V89" i="5"/>
  <c r="BY116" i="5"/>
  <c r="BY4" i="7"/>
  <c r="CB3" i="59"/>
  <c r="BY64" i="5"/>
  <c r="BY70" i="5"/>
  <c r="BY71" i="5"/>
  <c r="BY65" i="5"/>
  <c r="BY69" i="5"/>
  <c r="V16" i="3"/>
  <c r="V16" i="4"/>
  <c r="V16" i="13"/>
  <c r="W16" i="12"/>
  <c r="W3" i="55"/>
  <c r="W3" i="47"/>
  <c r="W49" i="47"/>
  <c r="BY25" i="5"/>
  <c r="BY5" i="7"/>
  <c r="CB4" i="59"/>
  <c r="BZ23" i="5"/>
  <c r="V37" i="55"/>
  <c r="V52" i="55"/>
  <c r="V53" i="55"/>
  <c r="V16" i="10"/>
  <c r="V16" i="16"/>
  <c r="V16" i="11"/>
  <c r="V21" i="43"/>
  <c r="Z218" i="22"/>
  <c r="V17" i="43"/>
  <c r="V16" i="8"/>
  <c r="V13" i="10"/>
  <c r="V13" i="16"/>
  <c r="W3" i="43"/>
  <c r="W3" i="41"/>
  <c r="W100" i="41"/>
  <c r="V13" i="4"/>
  <c r="V11" i="13"/>
  <c r="V12" i="43"/>
  <c r="U35" i="8"/>
  <c r="V12" i="41"/>
  <c r="V13" i="43"/>
  <c r="U83" i="8"/>
  <c r="W11" i="12"/>
  <c r="V11" i="41"/>
  <c r="V11" i="10"/>
  <c r="V71" i="41"/>
  <c r="V20" i="41"/>
  <c r="V139" i="5"/>
  <c r="V17" i="41"/>
  <c r="V11" i="3"/>
  <c r="V11" i="16"/>
  <c r="V11" i="11"/>
  <c r="V18" i="4"/>
  <c r="V18" i="41"/>
  <c r="V11" i="4"/>
  <c r="V13" i="13"/>
  <c r="V13" i="41"/>
  <c r="V13" i="3"/>
  <c r="V13" i="11"/>
  <c r="V18" i="8"/>
  <c r="V13" i="8"/>
  <c r="W13" i="12"/>
  <c r="V18" i="13"/>
  <c r="V18" i="3"/>
  <c r="V18" i="16"/>
  <c r="W18" i="12"/>
  <c r="V18" i="10"/>
  <c r="V18" i="11"/>
  <c r="V134" i="5"/>
  <c r="V37" i="18"/>
  <c r="V52" i="18"/>
  <c r="V53" i="18"/>
  <c r="S47" i="3"/>
  <c r="S28" i="15"/>
  <c r="V136" i="5"/>
  <c r="S55" i="3"/>
  <c r="W4" i="5"/>
  <c r="W3" i="9"/>
  <c r="W3" i="15"/>
  <c r="W3" i="17"/>
  <c r="W3" i="8"/>
  <c r="W3" i="13"/>
  <c r="W3" i="4"/>
  <c r="W3" i="1"/>
  <c r="W3" i="14"/>
  <c r="S4" i="56"/>
  <c r="S80" i="56"/>
  <c r="S98" i="56"/>
  <c r="W3" i="11"/>
  <c r="W3" i="16"/>
  <c r="W3" i="3"/>
  <c r="W3" i="18"/>
  <c r="W3" i="2"/>
  <c r="X3" i="12"/>
  <c r="T65" i="27"/>
  <c r="W3" i="10"/>
  <c r="V141" i="5"/>
  <c r="V42" i="17"/>
  <c r="V20" i="8"/>
  <c r="V20" i="13"/>
  <c r="V20" i="4"/>
  <c r="V20" i="11"/>
  <c r="V73" i="16"/>
  <c r="V20" i="16"/>
  <c r="V20" i="3"/>
  <c r="W20" i="12"/>
  <c r="V20" i="10"/>
  <c r="V51" i="5"/>
  <c r="U29" i="16"/>
  <c r="U29" i="3"/>
  <c r="V17" i="8"/>
  <c r="V17" i="13"/>
  <c r="V17" i="4"/>
  <c r="V17" i="11"/>
  <c r="V17" i="16"/>
  <c r="V17" i="3"/>
  <c r="V17" i="10"/>
  <c r="W17" i="12"/>
  <c r="V45" i="5"/>
  <c r="V12" i="8"/>
  <c r="V12" i="13"/>
  <c r="V12" i="4"/>
  <c r="V12" i="11"/>
  <c r="V12" i="16"/>
  <c r="V12" i="3"/>
  <c r="V12" i="10"/>
  <c r="W12" i="12"/>
  <c r="V54" i="5"/>
  <c r="Z207" i="22"/>
  <c r="V39" i="5"/>
  <c r="BY124" i="5"/>
  <c r="BY238" i="7"/>
  <c r="BY120" i="5"/>
  <c r="BY123" i="5"/>
  <c r="BY237" i="7"/>
  <c r="BY119" i="5"/>
  <c r="BZ115" i="5"/>
  <c r="BZ3" i="7"/>
  <c r="CC2" i="59"/>
  <c r="BY73" i="5"/>
  <c r="BY72" i="5"/>
  <c r="BY11" i="7"/>
  <c r="BY67" i="5"/>
  <c r="BY66" i="5"/>
  <c r="BZ24" i="5"/>
  <c r="BZ65" i="5"/>
  <c r="BZ26" i="5"/>
  <c r="BZ6" i="7"/>
  <c r="CC5" i="59"/>
  <c r="W4" i="55"/>
  <c r="W4" i="47"/>
  <c r="W50" i="47"/>
  <c r="W147" i="5"/>
  <c r="W42" i="5"/>
  <c r="W16" i="41"/>
  <c r="W4" i="43"/>
  <c r="W4" i="41"/>
  <c r="W101" i="41"/>
  <c r="Z183" i="22"/>
  <c r="Z185" i="22"/>
  <c r="V49" i="43"/>
  <c r="Z191" i="22"/>
  <c r="Z195" i="22"/>
  <c r="V101" i="43"/>
  <c r="V23" i="41"/>
  <c r="V24" i="43"/>
  <c r="V135" i="5"/>
  <c r="V34" i="8"/>
  <c r="V29" i="41"/>
  <c r="V140" i="5"/>
  <c r="V82" i="8"/>
  <c r="W36" i="5"/>
  <c r="W12" i="43"/>
  <c r="W50" i="5"/>
  <c r="W38" i="5"/>
  <c r="W14" i="43"/>
  <c r="W48" i="5"/>
  <c r="W44" i="5"/>
  <c r="W19" i="43"/>
  <c r="V23" i="8"/>
  <c r="V23" i="13"/>
  <c r="V23" i="4"/>
  <c r="V23" i="11"/>
  <c r="V23" i="16"/>
  <c r="V23" i="3"/>
  <c r="W23" i="12"/>
  <c r="V23" i="10"/>
  <c r="V43" i="17"/>
  <c r="V30" i="3"/>
  <c r="V53" i="3"/>
  <c r="T31" i="3"/>
  <c r="U52" i="3"/>
  <c r="V100" i="5"/>
  <c r="V99" i="5"/>
  <c r="V104" i="5"/>
  <c r="V103" i="5"/>
  <c r="V102" i="5"/>
  <c r="V101" i="5"/>
  <c r="W4" i="9"/>
  <c r="W4" i="15"/>
  <c r="W4" i="17"/>
  <c r="W4" i="8"/>
  <c r="W4" i="13"/>
  <c r="W4" i="4"/>
  <c r="W4" i="1"/>
  <c r="W4" i="14"/>
  <c r="W4" i="11"/>
  <c r="W4" i="16"/>
  <c r="W4" i="3"/>
  <c r="W4" i="18"/>
  <c r="W4" i="10"/>
  <c r="W47" i="10"/>
  <c r="X4" i="12"/>
  <c r="T66" i="27"/>
  <c r="W4" i="2"/>
  <c r="W91" i="5"/>
  <c r="X3" i="5"/>
  <c r="W90" i="5"/>
  <c r="W37" i="5"/>
  <c r="W43" i="5"/>
  <c r="W18" i="43"/>
  <c r="W49" i="5"/>
  <c r="AA51" i="22"/>
  <c r="W89" i="5"/>
  <c r="BZ4" i="7"/>
  <c r="CC3" i="59"/>
  <c r="BZ116" i="5"/>
  <c r="BZ64" i="5"/>
  <c r="BZ70" i="5"/>
  <c r="BZ69" i="5"/>
  <c r="BZ63" i="5"/>
  <c r="BZ71" i="5"/>
  <c r="W17" i="43"/>
  <c r="W16" i="11"/>
  <c r="W16" i="4"/>
  <c r="W16" i="13"/>
  <c r="W16" i="8"/>
  <c r="W37" i="55"/>
  <c r="W52" i="55"/>
  <c r="W53" i="55"/>
  <c r="X3" i="55"/>
  <c r="X3" i="47"/>
  <c r="X49" i="47"/>
  <c r="BZ25" i="5"/>
  <c r="BZ5" i="7"/>
  <c r="CC4" i="59"/>
  <c r="CA23" i="5"/>
  <c r="W21" i="43"/>
  <c r="AA218" i="22"/>
  <c r="W16" i="10"/>
  <c r="X16" i="12"/>
  <c r="W16" i="16"/>
  <c r="W16" i="3"/>
  <c r="W11" i="11"/>
  <c r="X3" i="43"/>
  <c r="X3" i="41"/>
  <c r="X100" i="41"/>
  <c r="V29" i="3"/>
  <c r="U31" i="3"/>
  <c r="V29" i="16"/>
  <c r="W11" i="4"/>
  <c r="V35" i="8"/>
  <c r="V83" i="8"/>
  <c r="W12" i="41"/>
  <c r="W13" i="43"/>
  <c r="W11" i="8"/>
  <c r="W11" i="41"/>
  <c r="W139" i="5"/>
  <c r="W140" i="5"/>
  <c r="W17" i="41"/>
  <c r="W11" i="13"/>
  <c r="W11" i="10"/>
  <c r="W18" i="11"/>
  <c r="W18" i="41"/>
  <c r="W11" i="16"/>
  <c r="X11" i="12"/>
  <c r="W71" i="41"/>
  <c r="W20" i="41"/>
  <c r="W11" i="3"/>
  <c r="W13" i="3"/>
  <c r="W13" i="41"/>
  <c r="W13" i="4"/>
  <c r="W18" i="13"/>
  <c r="W18" i="8"/>
  <c r="W13" i="10"/>
  <c r="W13" i="16"/>
  <c r="W18" i="10"/>
  <c r="W13" i="11"/>
  <c r="W13" i="8"/>
  <c r="X18" i="12"/>
  <c r="W18" i="16"/>
  <c r="W18" i="4"/>
  <c r="W13" i="13"/>
  <c r="X13" i="12"/>
  <c r="W18" i="3"/>
  <c r="W136" i="5"/>
  <c r="W43" i="17"/>
  <c r="W17" i="8"/>
  <c r="W17" i="13"/>
  <c r="W17" i="4"/>
  <c r="W17" i="11"/>
  <c r="W17" i="3"/>
  <c r="W17" i="16"/>
  <c r="X17" i="12"/>
  <c r="W17" i="10"/>
  <c r="W45" i="5"/>
  <c r="T54" i="3"/>
  <c r="W12" i="8"/>
  <c r="W12" i="13"/>
  <c r="W12" i="4"/>
  <c r="W12" i="11"/>
  <c r="W12" i="3"/>
  <c r="W12" i="16"/>
  <c r="X12" i="12"/>
  <c r="W12" i="10"/>
  <c r="W54" i="5"/>
  <c r="AA207" i="22"/>
  <c r="W39" i="5"/>
  <c r="W134" i="5"/>
  <c r="T46" i="3"/>
  <c r="T32" i="3"/>
  <c r="W20" i="8"/>
  <c r="W20" i="13"/>
  <c r="W20" i="4"/>
  <c r="W20" i="11"/>
  <c r="W20" i="3"/>
  <c r="W73" i="16"/>
  <c r="W20" i="16"/>
  <c r="X20" i="12"/>
  <c r="W20" i="10"/>
  <c r="W51" i="5"/>
  <c r="W37" i="18"/>
  <c r="W52" i="18"/>
  <c r="W53" i="18"/>
  <c r="X4" i="5"/>
  <c r="X3" i="9"/>
  <c r="X3" i="15"/>
  <c r="X3" i="17"/>
  <c r="X3" i="8"/>
  <c r="X3" i="13"/>
  <c r="X3" i="4"/>
  <c r="X3" i="1"/>
  <c r="X3" i="14"/>
  <c r="T4" i="56"/>
  <c r="T80" i="56"/>
  <c r="T98" i="56"/>
  <c r="X3" i="11"/>
  <c r="X3" i="16"/>
  <c r="X3" i="3"/>
  <c r="X3" i="18"/>
  <c r="X3" i="2"/>
  <c r="Y3" i="12"/>
  <c r="U65" i="27"/>
  <c r="X3" i="10"/>
  <c r="W141" i="5"/>
  <c r="W42" i="17"/>
  <c r="BZ73" i="5"/>
  <c r="BZ72" i="5"/>
  <c r="CA3" i="7"/>
  <c r="CD2" i="59"/>
  <c r="CA115" i="5"/>
  <c r="BZ123" i="5"/>
  <c r="BZ237" i="7"/>
  <c r="BZ119" i="5"/>
  <c r="BZ124" i="5"/>
  <c r="BZ238" i="7"/>
  <c r="BZ120" i="5"/>
  <c r="BZ67" i="5"/>
  <c r="BZ11" i="7"/>
  <c r="BZ66" i="5"/>
  <c r="CA24" i="5"/>
  <c r="CA26" i="5"/>
  <c r="CA6" i="7"/>
  <c r="CD5" i="59"/>
  <c r="X4" i="55"/>
  <c r="X4" i="47"/>
  <c r="X50" i="47"/>
  <c r="X147" i="5"/>
  <c r="V52" i="3"/>
  <c r="U54" i="3"/>
  <c r="X4" i="43"/>
  <c r="X4" i="41"/>
  <c r="X101" i="41"/>
  <c r="AA183" i="22"/>
  <c r="AA185" i="22"/>
  <c r="W49" i="43"/>
  <c r="AA191" i="22"/>
  <c r="AA195" i="22"/>
  <c r="W101" i="43"/>
  <c r="W34" i="8"/>
  <c r="W29" i="41"/>
  <c r="W35" i="8"/>
  <c r="W23" i="41"/>
  <c r="W24" i="43"/>
  <c r="W30" i="3"/>
  <c r="W53" i="3"/>
  <c r="X4" i="9"/>
  <c r="X4" i="15"/>
  <c r="X4" i="17"/>
  <c r="X4" i="8"/>
  <c r="X4" i="13"/>
  <c r="X4" i="4"/>
  <c r="X4" i="1"/>
  <c r="X4" i="14"/>
  <c r="X4" i="11"/>
  <c r="X4" i="16"/>
  <c r="X4" i="3"/>
  <c r="X4" i="18"/>
  <c r="X4" i="2"/>
  <c r="X4" i="10"/>
  <c r="X47" i="10"/>
  <c r="Y4" i="12"/>
  <c r="U66" i="27"/>
  <c r="X91" i="5"/>
  <c r="Y3" i="5"/>
  <c r="X90" i="5"/>
  <c r="X37" i="5"/>
  <c r="X43" i="5"/>
  <c r="X18" i="43"/>
  <c r="X49" i="5"/>
  <c r="AB51" i="22"/>
  <c r="X89" i="5"/>
  <c r="W23" i="8"/>
  <c r="W23" i="13"/>
  <c r="W23" i="4"/>
  <c r="W23" i="11"/>
  <c r="W23" i="3"/>
  <c r="W23" i="16"/>
  <c r="X23" i="12"/>
  <c r="W23" i="10"/>
  <c r="U46" i="3"/>
  <c r="U32" i="3"/>
  <c r="X50" i="5"/>
  <c r="X44" i="5"/>
  <c r="T47" i="3"/>
  <c r="T28" i="15"/>
  <c r="X42" i="5"/>
  <c r="W82" i="8"/>
  <c r="W135" i="5"/>
  <c r="X38" i="5"/>
  <c r="T55" i="3"/>
  <c r="X48" i="5"/>
  <c r="X36" i="5"/>
  <c r="W101" i="5"/>
  <c r="W100" i="5"/>
  <c r="W99" i="5"/>
  <c r="W104" i="5"/>
  <c r="W103" i="5"/>
  <c r="W102" i="5"/>
  <c r="CA4" i="7"/>
  <c r="CD3" i="59"/>
  <c r="CA116" i="5"/>
  <c r="CA64" i="5"/>
  <c r="CA70" i="5"/>
  <c r="CA69" i="5"/>
  <c r="CA63" i="5"/>
  <c r="CA65" i="5"/>
  <c r="CA71" i="5"/>
  <c r="X37" i="55"/>
  <c r="X52" i="55"/>
  <c r="X53" i="55"/>
  <c r="Y3" i="55"/>
  <c r="Y3" i="47"/>
  <c r="Y49" i="47"/>
  <c r="CA25" i="5"/>
  <c r="CA5" i="7"/>
  <c r="CD4" i="59"/>
  <c r="CB23" i="5"/>
  <c r="X21" i="43"/>
  <c r="AB218" i="22"/>
  <c r="Y3" i="43"/>
  <c r="Y3" i="41"/>
  <c r="Y100" i="41"/>
  <c r="W29" i="3"/>
  <c r="V31" i="3"/>
  <c r="W29" i="16"/>
  <c r="X18" i="41"/>
  <c r="X19" i="43"/>
  <c r="X11" i="41"/>
  <c r="X12" i="43"/>
  <c r="X16" i="41"/>
  <c r="X17" i="43"/>
  <c r="X13" i="41"/>
  <c r="X14" i="43"/>
  <c r="W83" i="8"/>
  <c r="X12" i="41"/>
  <c r="X13" i="43"/>
  <c r="X71" i="41"/>
  <c r="X20" i="41"/>
  <c r="X139" i="5"/>
  <c r="X143" i="5"/>
  <c r="X17" i="41"/>
  <c r="X134" i="5"/>
  <c r="X136" i="5"/>
  <c r="X30" i="3"/>
  <c r="X53" i="3"/>
  <c r="X12" i="8"/>
  <c r="X12" i="13"/>
  <c r="X12" i="4"/>
  <c r="X12" i="11"/>
  <c r="X12" i="16"/>
  <c r="X12" i="3"/>
  <c r="Y12" i="12"/>
  <c r="X12" i="10"/>
  <c r="X54" i="5"/>
  <c r="AB207" i="22"/>
  <c r="X39" i="5"/>
  <c r="U47" i="3"/>
  <c r="U28" i="15"/>
  <c r="Y4" i="5"/>
  <c r="Y3" i="9"/>
  <c r="Y3" i="15"/>
  <c r="Y3" i="17"/>
  <c r="Y3" i="8"/>
  <c r="Y3" i="13"/>
  <c r="Y3" i="4"/>
  <c r="Y3" i="1"/>
  <c r="Y3" i="14"/>
  <c r="U4" i="56"/>
  <c r="U80" i="56"/>
  <c r="U98" i="56"/>
  <c r="Y3" i="11"/>
  <c r="Y3" i="16"/>
  <c r="Y3" i="3"/>
  <c r="Y3" i="2"/>
  <c r="Z3" i="12"/>
  <c r="V65" i="27"/>
  <c r="Y3" i="18"/>
  <c r="Y3" i="10"/>
  <c r="X37" i="18"/>
  <c r="X52" i="18"/>
  <c r="X53" i="18"/>
  <c r="X13" i="8"/>
  <c r="X13" i="13"/>
  <c r="X13" i="4"/>
  <c r="X13" i="11"/>
  <c r="X13" i="16"/>
  <c r="X13" i="3"/>
  <c r="Y13" i="12"/>
  <c r="X13" i="10"/>
  <c r="X20" i="8"/>
  <c r="X20" i="13"/>
  <c r="X20" i="4"/>
  <c r="X20" i="11"/>
  <c r="X20" i="16"/>
  <c r="X73" i="16"/>
  <c r="Y20" i="12"/>
  <c r="X20" i="3"/>
  <c r="X20" i="10"/>
  <c r="X51" i="5"/>
  <c r="U55" i="3"/>
  <c r="X11" i="8"/>
  <c r="X11" i="13"/>
  <c r="X11" i="4"/>
  <c r="X11" i="11"/>
  <c r="X11" i="16"/>
  <c r="X11" i="3"/>
  <c r="Y11" i="12"/>
  <c r="X11" i="10"/>
  <c r="X16" i="8"/>
  <c r="X16" i="13"/>
  <c r="X16" i="4"/>
  <c r="X16" i="11"/>
  <c r="X16" i="16"/>
  <c r="X16" i="3"/>
  <c r="Y16" i="12"/>
  <c r="X16" i="10"/>
  <c r="X18" i="8"/>
  <c r="X18" i="13"/>
  <c r="X18" i="4"/>
  <c r="X18" i="11"/>
  <c r="X18" i="16"/>
  <c r="X18" i="3"/>
  <c r="Y18" i="12"/>
  <c r="X18" i="10"/>
  <c r="X17" i="8"/>
  <c r="X17" i="13"/>
  <c r="X17" i="4"/>
  <c r="X17" i="11"/>
  <c r="X17" i="16"/>
  <c r="X17" i="3"/>
  <c r="Y17" i="12"/>
  <c r="X17" i="10"/>
  <c r="X45" i="5"/>
  <c r="X141" i="5"/>
  <c r="X42" i="17"/>
  <c r="CB115" i="5"/>
  <c r="CB3" i="7"/>
  <c r="CE2" i="59"/>
  <c r="CA73" i="5"/>
  <c r="CA72" i="5"/>
  <c r="CA67" i="5"/>
  <c r="CA11" i="7"/>
  <c r="CA66" i="5"/>
  <c r="CA123" i="5"/>
  <c r="CA237" i="7"/>
  <c r="CA119" i="5"/>
  <c r="CA124" i="5"/>
  <c r="CA238" i="7"/>
  <c r="CA120" i="5"/>
  <c r="CB24" i="5"/>
  <c r="CB26" i="5"/>
  <c r="CB6" i="7"/>
  <c r="Y4" i="55"/>
  <c r="Y4" i="47"/>
  <c r="Y50" i="47"/>
  <c r="Y147" i="5"/>
  <c r="W52" i="3"/>
  <c r="V54" i="3"/>
  <c r="X43" i="17"/>
  <c r="Y36" i="5"/>
  <c r="Y11" i="16"/>
  <c r="Y4" i="43"/>
  <c r="Y4" i="41"/>
  <c r="Y101" i="41"/>
  <c r="AB183" i="22"/>
  <c r="AB185" i="22"/>
  <c r="X49" i="43"/>
  <c r="AB191" i="22"/>
  <c r="AB195" i="22"/>
  <c r="X101" i="43"/>
  <c r="X140" i="5"/>
  <c r="X35" i="8"/>
  <c r="X82" i="8"/>
  <c r="X88" i="8"/>
  <c r="X34" i="8"/>
  <c r="X29" i="41"/>
  <c r="X23" i="41"/>
  <c r="X24" i="43"/>
  <c r="X135" i="5"/>
  <c r="Y4" i="9"/>
  <c r="Y4" i="15"/>
  <c r="Y4" i="17"/>
  <c r="Y4" i="8"/>
  <c r="Y4" i="13"/>
  <c r="Y4" i="4"/>
  <c r="Y4" i="1"/>
  <c r="Y4" i="14"/>
  <c r="Y4" i="11"/>
  <c r="Y4" i="16"/>
  <c r="Y4" i="3"/>
  <c r="Y4" i="18"/>
  <c r="Y4" i="2"/>
  <c r="Y4" i="10"/>
  <c r="Y47" i="10"/>
  <c r="Z4" i="12"/>
  <c r="V66" i="27"/>
  <c r="Y91" i="5"/>
  <c r="Z3" i="5"/>
  <c r="Y90" i="5"/>
  <c r="Y37" i="5"/>
  <c r="Y43" i="5"/>
  <c r="Y18" i="43"/>
  <c r="Y49" i="5"/>
  <c r="AC51" i="22"/>
  <c r="Y89" i="5"/>
  <c r="Y50" i="5"/>
  <c r="X23" i="8"/>
  <c r="X23" i="13"/>
  <c r="X23" i="4"/>
  <c r="X23" i="11"/>
  <c r="X23" i="3"/>
  <c r="X23" i="16"/>
  <c r="Y23" i="12"/>
  <c r="X23" i="10"/>
  <c r="Y48" i="5"/>
  <c r="Y44" i="5"/>
  <c r="Y42" i="5"/>
  <c r="V46" i="3"/>
  <c r="V32" i="3"/>
  <c r="X102" i="5"/>
  <c r="X101" i="5"/>
  <c r="X100" i="5"/>
  <c r="X99" i="5"/>
  <c r="X104" i="5"/>
  <c r="X103" i="5"/>
  <c r="Y38" i="5"/>
  <c r="CB25" i="5"/>
  <c r="CB5" i="7"/>
  <c r="CE4" i="59"/>
  <c r="CB4" i="7"/>
  <c r="CE3" i="59"/>
  <c r="CB116" i="5"/>
  <c r="CC23" i="5"/>
  <c r="CB64" i="5"/>
  <c r="CB70" i="5"/>
  <c r="CB69" i="5"/>
  <c r="CB71" i="5"/>
  <c r="CB65" i="5"/>
  <c r="CB63" i="5"/>
  <c r="CE5" i="59"/>
  <c r="Z3" i="55"/>
  <c r="Z3" i="47"/>
  <c r="Z49" i="47"/>
  <c r="Y11" i="8"/>
  <c r="Y52" i="55"/>
  <c r="Y53" i="55"/>
  <c r="Y37" i="55"/>
  <c r="Y21" i="43"/>
  <c r="AC218" i="22"/>
  <c r="Y11" i="3"/>
  <c r="Y11" i="11"/>
  <c r="Y11" i="13"/>
  <c r="Y11" i="10"/>
  <c r="Z11" i="12"/>
  <c r="Y12" i="43"/>
  <c r="Y11" i="4"/>
  <c r="Y11" i="41"/>
  <c r="Z3" i="43"/>
  <c r="Z3" i="41"/>
  <c r="Z100" i="41"/>
  <c r="X41" i="8"/>
  <c r="X89" i="8"/>
  <c r="X40" i="8"/>
  <c r="X42" i="8"/>
  <c r="X29" i="16"/>
  <c r="X29" i="3"/>
  <c r="X52" i="3"/>
  <c r="X83" i="8"/>
  <c r="Y12" i="41"/>
  <c r="Y13" i="43"/>
  <c r="Y16" i="41"/>
  <c r="Y17" i="43"/>
  <c r="Y13" i="41"/>
  <c r="Y14" i="43"/>
  <c r="Y18" i="41"/>
  <c r="Y19" i="43"/>
  <c r="Y71" i="41"/>
  <c r="Y20" i="41"/>
  <c r="Y139" i="5"/>
  <c r="Y34" i="8"/>
  <c r="Y29" i="41"/>
  <c r="Y17" i="41"/>
  <c r="Y134" i="5"/>
  <c r="Y136" i="5"/>
  <c r="Y43" i="17"/>
  <c r="V47" i="3"/>
  <c r="V28" i="15"/>
  <c r="Y20" i="8"/>
  <c r="Y20" i="13"/>
  <c r="Y20" i="4"/>
  <c r="Y20" i="11"/>
  <c r="Y20" i="16"/>
  <c r="Y20" i="3"/>
  <c r="Y73" i="16"/>
  <c r="Z20" i="12"/>
  <c r="Y20" i="10"/>
  <c r="Y51" i="5"/>
  <c r="Y16" i="8"/>
  <c r="Y16" i="13"/>
  <c r="Y16" i="4"/>
  <c r="Y16" i="11"/>
  <c r="Y16" i="16"/>
  <c r="Y16" i="3"/>
  <c r="Z16" i="12"/>
  <c r="Y16" i="10"/>
  <c r="Y18" i="8"/>
  <c r="Y18" i="13"/>
  <c r="Y18" i="4"/>
  <c r="Y18" i="11"/>
  <c r="Y18" i="16"/>
  <c r="Y18" i="3"/>
  <c r="Z18" i="12"/>
  <c r="Y18" i="10"/>
  <c r="Y17" i="8"/>
  <c r="Y17" i="13"/>
  <c r="Y17" i="4"/>
  <c r="Y17" i="11"/>
  <c r="Y17" i="16"/>
  <c r="Y17" i="3"/>
  <c r="Z17" i="12"/>
  <c r="Y17" i="10"/>
  <c r="Y45" i="5"/>
  <c r="Y141" i="5"/>
  <c r="Y42" i="17"/>
  <c r="Y12" i="8"/>
  <c r="Y12" i="13"/>
  <c r="Y12" i="4"/>
  <c r="Y12" i="11"/>
  <c r="Y12" i="16"/>
  <c r="Y12" i="3"/>
  <c r="Z12" i="12"/>
  <c r="Y12" i="10"/>
  <c r="Y54" i="5"/>
  <c r="AC207" i="22"/>
  <c r="Y39" i="5"/>
  <c r="V55" i="3"/>
  <c r="Y13" i="8"/>
  <c r="Y13" i="13"/>
  <c r="Y13" i="4"/>
  <c r="Y13" i="11"/>
  <c r="Y13" i="16"/>
  <c r="Y13" i="3"/>
  <c r="Z13" i="12"/>
  <c r="Y13" i="10"/>
  <c r="Z4" i="5"/>
  <c r="Z3" i="9"/>
  <c r="Z3" i="15"/>
  <c r="Z3" i="17"/>
  <c r="Z3" i="8"/>
  <c r="Z3" i="13"/>
  <c r="Z3" i="4"/>
  <c r="Z3" i="14"/>
  <c r="V4" i="56"/>
  <c r="V80" i="56"/>
  <c r="V98" i="56"/>
  <c r="Z3" i="1"/>
  <c r="Z3" i="11"/>
  <c r="Z3" i="16"/>
  <c r="Z3" i="3"/>
  <c r="Z3" i="18"/>
  <c r="Z3" i="2"/>
  <c r="AA3" i="12"/>
  <c r="W65" i="27"/>
  <c r="Z3" i="10"/>
  <c r="Y37" i="18"/>
  <c r="Y52" i="18"/>
  <c r="Y53" i="18"/>
  <c r="CC115" i="5"/>
  <c r="CC3" i="7"/>
  <c r="CC26" i="5"/>
  <c r="CC6" i="7"/>
  <c r="CC24" i="5"/>
  <c r="CC63" i="5"/>
  <c r="CC69" i="5"/>
  <c r="CC65" i="5"/>
  <c r="CC71" i="5"/>
  <c r="CB11" i="7"/>
  <c r="CB67" i="5"/>
  <c r="CB66" i="5"/>
  <c r="CB119" i="5"/>
  <c r="CB124" i="5"/>
  <c r="CB238" i="7"/>
  <c r="CB123" i="5"/>
  <c r="CB237" i="7"/>
  <c r="CB120" i="5"/>
  <c r="CB73" i="5"/>
  <c r="CB72" i="5"/>
  <c r="Z4" i="55"/>
  <c r="Z4" i="47"/>
  <c r="Z50" i="47"/>
  <c r="Z147" i="5"/>
  <c r="Z38" i="5"/>
  <c r="AA13" i="12"/>
  <c r="Z4" i="43"/>
  <c r="Z4" i="41"/>
  <c r="Z101" i="41"/>
  <c r="AC183" i="22"/>
  <c r="AC185" i="22"/>
  <c r="Y49" i="43"/>
  <c r="AC191" i="22"/>
  <c r="AC195" i="22"/>
  <c r="Y101" i="43"/>
  <c r="W31" i="3"/>
  <c r="W46" i="3"/>
  <c r="Y143" i="5"/>
  <c r="Y23" i="41"/>
  <c r="Y24" i="43"/>
  <c r="Y135" i="5"/>
  <c r="Y140" i="5"/>
  <c r="Z13" i="41"/>
  <c r="Y82" i="8"/>
  <c r="Y88" i="8"/>
  <c r="Z48" i="5"/>
  <c r="Z50" i="5"/>
  <c r="Z44" i="5"/>
  <c r="Z19" i="43"/>
  <c r="Z42" i="5"/>
  <c r="Z17" i="43"/>
  <c r="Y30" i="3"/>
  <c r="Y53" i="3"/>
  <c r="Z13" i="8"/>
  <c r="W54" i="3"/>
  <c r="Y103" i="5"/>
  <c r="Y102" i="5"/>
  <c r="Y101" i="5"/>
  <c r="Y100" i="5"/>
  <c r="Y99" i="5"/>
  <c r="Y104" i="5"/>
  <c r="Z4" i="9"/>
  <c r="Z4" i="15"/>
  <c r="Z4" i="17"/>
  <c r="Z4" i="8"/>
  <c r="Z4" i="13"/>
  <c r="Z4" i="4"/>
  <c r="Z4" i="1"/>
  <c r="Z4" i="14"/>
  <c r="Z4" i="11"/>
  <c r="Z4" i="3"/>
  <c r="Z4" i="16"/>
  <c r="Z4" i="18"/>
  <c r="AA4" i="12"/>
  <c r="W66" i="27"/>
  <c r="Z4" i="2"/>
  <c r="Z4" i="10"/>
  <c r="Z47" i="10"/>
  <c r="Z37" i="5"/>
  <c r="Z43" i="5"/>
  <c r="Z18" i="43"/>
  <c r="Z49" i="5"/>
  <c r="AD51" i="22"/>
  <c r="Z89" i="5"/>
  <c r="Z91" i="5"/>
  <c r="AA3" i="5"/>
  <c r="Z90" i="5"/>
  <c r="Y23" i="8"/>
  <c r="Y23" i="13"/>
  <c r="Y23" i="4"/>
  <c r="Y23" i="11"/>
  <c r="Y23" i="3"/>
  <c r="Y23" i="16"/>
  <c r="Z23" i="12"/>
  <c r="Y23" i="10"/>
  <c r="Z36" i="5"/>
  <c r="Y42" i="8"/>
  <c r="Y40" i="8"/>
  <c r="Y41" i="8"/>
  <c r="Y29" i="16"/>
  <c r="Y29" i="3"/>
  <c r="CC25" i="5"/>
  <c r="CC5" i="7"/>
  <c r="CC116" i="5"/>
  <c r="CC4" i="7"/>
  <c r="CC64" i="5"/>
  <c r="CC70" i="5"/>
  <c r="Z13" i="13"/>
  <c r="Z14" i="43"/>
  <c r="Z13" i="10"/>
  <c r="Z13" i="3"/>
  <c r="Z13" i="16"/>
  <c r="Z13" i="11"/>
  <c r="Z13" i="4"/>
  <c r="AA3" i="55"/>
  <c r="AA3" i="47"/>
  <c r="AA49" i="47"/>
  <c r="Z37" i="55"/>
  <c r="Z52" i="55"/>
  <c r="Z53" i="55"/>
  <c r="Z21" i="43"/>
  <c r="AD218" i="22"/>
  <c r="W32" i="3"/>
  <c r="AA3" i="43"/>
  <c r="AA3" i="41"/>
  <c r="AA100" i="41"/>
  <c r="Y35" i="8"/>
  <c r="Z11" i="41"/>
  <c r="Z12" i="43"/>
  <c r="Y83" i="8"/>
  <c r="Z12" i="41"/>
  <c r="Z13" i="43"/>
  <c r="Z18" i="8"/>
  <c r="Z18" i="41"/>
  <c r="Z141" i="5"/>
  <c r="Z42" i="17"/>
  <c r="Z17" i="41"/>
  <c r="Z71" i="41"/>
  <c r="Z20" i="41"/>
  <c r="Z16" i="8"/>
  <c r="Z16" i="41"/>
  <c r="Y89" i="8"/>
  <c r="Z16" i="10"/>
  <c r="Z16" i="3"/>
  <c r="Z16" i="11"/>
  <c r="AA18" i="12"/>
  <c r="Z18" i="10"/>
  <c r="Z18" i="3"/>
  <c r="Z18" i="16"/>
  <c r="Z18" i="11"/>
  <c r="AA16" i="12"/>
  <c r="Z18" i="4"/>
  <c r="Z16" i="16"/>
  <c r="Z16" i="4"/>
  <c r="Z16" i="13"/>
  <c r="Z18" i="13"/>
  <c r="Z134" i="5"/>
  <c r="Z136" i="5"/>
  <c r="Z30" i="3"/>
  <c r="Z53" i="3"/>
  <c r="Z139" i="5"/>
  <c r="AA4" i="5"/>
  <c r="AA3" i="9"/>
  <c r="AA3" i="15"/>
  <c r="AA3" i="17"/>
  <c r="AA3" i="8"/>
  <c r="AA3" i="13"/>
  <c r="AA3" i="4"/>
  <c r="AA3" i="14"/>
  <c r="W4" i="56"/>
  <c r="W80" i="56"/>
  <c r="W98" i="56"/>
  <c r="AA3" i="1"/>
  <c r="AA3" i="11"/>
  <c r="AA3" i="16"/>
  <c r="AA3" i="3"/>
  <c r="AA3" i="18"/>
  <c r="AA3" i="2"/>
  <c r="AB3" i="12"/>
  <c r="X65" i="27"/>
  <c r="AA3" i="10"/>
  <c r="Z12" i="8"/>
  <c r="Z12" i="13"/>
  <c r="Z12" i="4"/>
  <c r="Z12" i="11"/>
  <c r="Z12" i="16"/>
  <c r="Z12" i="3"/>
  <c r="Z12" i="10"/>
  <c r="AA12" i="12"/>
  <c r="Z54" i="5"/>
  <c r="AD207" i="22"/>
  <c r="Z39" i="5"/>
  <c r="W55" i="3"/>
  <c r="Z52" i="18"/>
  <c r="Z53" i="18"/>
  <c r="Z37" i="18"/>
  <c r="Z20" i="8"/>
  <c r="Z20" i="13"/>
  <c r="Z20" i="4"/>
  <c r="Z20" i="11"/>
  <c r="Z20" i="3"/>
  <c r="Z20" i="16"/>
  <c r="Z73" i="16"/>
  <c r="AA20" i="12"/>
  <c r="Z20" i="10"/>
  <c r="Z51" i="5"/>
  <c r="W47" i="3"/>
  <c r="W28" i="15"/>
  <c r="Z11" i="8"/>
  <c r="Z11" i="13"/>
  <c r="Z11" i="4"/>
  <c r="Z11" i="11"/>
  <c r="Z11" i="16"/>
  <c r="Z11" i="3"/>
  <c r="Z11" i="10"/>
  <c r="AA11" i="12"/>
  <c r="X31" i="3"/>
  <c r="Y52" i="3"/>
  <c r="Z17" i="8"/>
  <c r="Z17" i="13"/>
  <c r="Z17" i="4"/>
  <c r="Z17" i="11"/>
  <c r="Z17" i="16"/>
  <c r="Z17" i="3"/>
  <c r="AA17" i="12"/>
  <c r="Z17" i="10"/>
  <c r="Z45" i="5"/>
  <c r="CC67" i="5"/>
  <c r="CD66" i="5"/>
  <c r="CC66" i="5"/>
  <c r="CC73" i="5"/>
  <c r="CD72" i="5"/>
  <c r="CC72" i="5"/>
  <c r="CC124" i="5"/>
  <c r="CC120" i="5"/>
  <c r="CC119" i="5"/>
  <c r="CC123" i="5"/>
  <c r="AA4" i="55"/>
  <c r="AA4" i="47"/>
  <c r="AA50" i="47"/>
  <c r="AA147" i="5"/>
  <c r="AA38" i="5"/>
  <c r="AA13" i="41"/>
  <c r="AA4" i="43"/>
  <c r="AA4" i="41"/>
  <c r="AA101" i="41"/>
  <c r="AD183" i="22"/>
  <c r="AD185" i="22"/>
  <c r="Z49" i="43"/>
  <c r="AD191" i="22"/>
  <c r="AD195" i="22"/>
  <c r="Z101" i="43"/>
  <c r="Z82" i="8"/>
  <c r="Z88" i="8"/>
  <c r="Z34" i="8"/>
  <c r="Z29" i="41"/>
  <c r="Z23" i="41"/>
  <c r="Z24" i="43"/>
  <c r="Z140" i="5"/>
  <c r="Z43" i="17"/>
  <c r="AA44" i="5"/>
  <c r="AA19" i="43"/>
  <c r="Z135" i="5"/>
  <c r="AA36" i="5"/>
  <c r="AA12" i="43"/>
  <c r="AA50" i="5"/>
  <c r="AA48" i="5"/>
  <c r="Z143" i="5"/>
  <c r="Z104" i="5"/>
  <c r="Z103" i="5"/>
  <c r="Z102" i="5"/>
  <c r="Z101" i="5"/>
  <c r="Z100" i="5"/>
  <c r="Z99" i="5"/>
  <c r="AA42" i="5"/>
  <c r="X54" i="3"/>
  <c r="X46" i="3"/>
  <c r="X32" i="3"/>
  <c r="AA4" i="9"/>
  <c r="AA4" i="15"/>
  <c r="AA4" i="17"/>
  <c r="AA4" i="8"/>
  <c r="AA4" i="13"/>
  <c r="AA4" i="14"/>
  <c r="AA4" i="4"/>
  <c r="AA4" i="1"/>
  <c r="AA4" i="11"/>
  <c r="AA4" i="16"/>
  <c r="AA4" i="3"/>
  <c r="AA4" i="18"/>
  <c r="AB4" i="12"/>
  <c r="X66" i="27"/>
  <c r="AA4" i="2"/>
  <c r="AB3" i="5"/>
  <c r="AA4" i="10"/>
  <c r="AA47" i="10"/>
  <c r="AA90" i="5"/>
  <c r="AA37" i="5"/>
  <c r="AA43" i="5"/>
  <c r="AA49" i="5"/>
  <c r="AE51" i="22"/>
  <c r="AA89" i="5"/>
  <c r="AA91" i="5"/>
  <c r="Z23" i="8"/>
  <c r="Z23" i="13"/>
  <c r="Z23" i="4"/>
  <c r="Z23" i="11"/>
  <c r="Z23" i="3"/>
  <c r="Z23" i="16"/>
  <c r="AA23" i="12"/>
  <c r="Z23" i="10"/>
  <c r="AB3" i="55"/>
  <c r="AB3" i="47"/>
  <c r="AB49" i="47"/>
  <c r="AA52" i="55"/>
  <c r="AA53" i="55"/>
  <c r="AA37" i="55"/>
  <c r="AA21" i="43"/>
  <c r="AE218" i="22"/>
  <c r="AA13" i="3"/>
  <c r="AA13" i="10"/>
  <c r="AA13" i="16"/>
  <c r="AA13" i="4"/>
  <c r="AA13" i="13"/>
  <c r="AA13" i="8"/>
  <c r="AA13" i="11"/>
  <c r="AB13" i="12"/>
  <c r="AA14" i="43"/>
  <c r="Z29" i="3"/>
  <c r="Y31" i="3"/>
  <c r="Z29" i="16"/>
  <c r="Z40" i="8"/>
  <c r="Z42" i="8"/>
  <c r="AB3" i="43"/>
  <c r="AB3" i="41"/>
  <c r="AB100" i="41"/>
  <c r="Z41" i="8"/>
  <c r="Z89" i="8"/>
  <c r="Z83" i="8"/>
  <c r="AA17" i="41"/>
  <c r="AA18" i="43"/>
  <c r="AA12" i="41"/>
  <c r="AA13" i="43"/>
  <c r="Z35" i="8"/>
  <c r="AA16" i="41"/>
  <c r="AA17" i="43"/>
  <c r="AA18" i="13"/>
  <c r="AA18" i="41"/>
  <c r="AA71" i="41"/>
  <c r="AA20" i="41"/>
  <c r="AA11" i="8"/>
  <c r="AA11" i="41"/>
  <c r="AB11" i="12"/>
  <c r="AB18" i="12"/>
  <c r="AA18" i="10"/>
  <c r="AA18" i="11"/>
  <c r="AA18" i="4"/>
  <c r="AA18" i="8"/>
  <c r="AA11" i="10"/>
  <c r="AA11" i="3"/>
  <c r="AA18" i="3"/>
  <c r="AA11" i="16"/>
  <c r="AA18" i="16"/>
  <c r="AA11" i="11"/>
  <c r="AA11" i="4"/>
  <c r="AA11" i="13"/>
  <c r="AA20" i="8"/>
  <c r="AA20" i="13"/>
  <c r="AA20" i="4"/>
  <c r="AA20" i="11"/>
  <c r="AA20" i="3"/>
  <c r="AA20" i="16"/>
  <c r="AA73" i="16"/>
  <c r="AA20" i="10"/>
  <c r="AB20" i="12"/>
  <c r="AA51" i="5"/>
  <c r="X47" i="3"/>
  <c r="X28" i="15"/>
  <c r="X55" i="3"/>
  <c r="AA17" i="8"/>
  <c r="AA17" i="13"/>
  <c r="AA17" i="4"/>
  <c r="AA17" i="11"/>
  <c r="AA17" i="16"/>
  <c r="AA17" i="3"/>
  <c r="AA17" i="10"/>
  <c r="AB17" i="12"/>
  <c r="AA45" i="5"/>
  <c r="AA16" i="8"/>
  <c r="AA16" i="13"/>
  <c r="AA16" i="4"/>
  <c r="AA16" i="11"/>
  <c r="AA16" i="16"/>
  <c r="AA16" i="3"/>
  <c r="AA16" i="10"/>
  <c r="AB16" i="12"/>
  <c r="AA52" i="18"/>
  <c r="AA53" i="18"/>
  <c r="AA37" i="18"/>
  <c r="AA12" i="8"/>
  <c r="AA12" i="13"/>
  <c r="AA12" i="4"/>
  <c r="AA12" i="11"/>
  <c r="AA12" i="16"/>
  <c r="AA12" i="3"/>
  <c r="AA12" i="10"/>
  <c r="AB12" i="12"/>
  <c r="AA54" i="5"/>
  <c r="AE207" i="22"/>
  <c r="AA39" i="5"/>
  <c r="AA134" i="5"/>
  <c r="AA136" i="5"/>
  <c r="AA139" i="5"/>
  <c r="AA141" i="5"/>
  <c r="AA42" i="17"/>
  <c r="AB4" i="5"/>
  <c r="AB3" i="9"/>
  <c r="AB3" i="15"/>
  <c r="AB3" i="17"/>
  <c r="AB3" i="8"/>
  <c r="AB3" i="13"/>
  <c r="AB3" i="4"/>
  <c r="AB3" i="14"/>
  <c r="X4" i="56"/>
  <c r="X80" i="56"/>
  <c r="X98" i="56"/>
  <c r="AB3" i="1"/>
  <c r="AB3" i="11"/>
  <c r="AB3" i="16"/>
  <c r="AB3" i="3"/>
  <c r="AB3" i="18"/>
  <c r="AB3" i="10"/>
  <c r="AB3" i="2"/>
  <c r="AC3" i="12"/>
  <c r="Y65" i="27"/>
  <c r="AB4" i="55"/>
  <c r="AB4" i="47"/>
  <c r="AB50" i="47"/>
  <c r="AB147" i="5"/>
  <c r="Z52" i="3"/>
  <c r="Y54" i="3"/>
  <c r="AB44" i="5"/>
  <c r="AB18" i="8"/>
  <c r="AB4" i="43"/>
  <c r="AB4" i="41"/>
  <c r="AB101" i="41"/>
  <c r="AE183" i="22"/>
  <c r="AE185" i="22"/>
  <c r="AA49" i="43"/>
  <c r="AE191" i="22"/>
  <c r="AE195" i="22"/>
  <c r="AA101" i="43"/>
  <c r="AA23" i="41"/>
  <c r="AA24" i="43"/>
  <c r="AB38" i="5"/>
  <c r="AA34" i="8"/>
  <c r="AA29" i="41"/>
  <c r="AA143" i="5"/>
  <c r="AA140" i="5"/>
  <c r="Y46" i="3"/>
  <c r="Y32" i="3"/>
  <c r="AA23" i="8"/>
  <c r="AA23" i="4"/>
  <c r="AA23" i="13"/>
  <c r="AA23" i="11"/>
  <c r="AA23" i="16"/>
  <c r="AA23" i="3"/>
  <c r="AA23" i="10"/>
  <c r="AB23" i="12"/>
  <c r="AA43" i="17"/>
  <c r="AA30" i="3"/>
  <c r="AA53" i="3"/>
  <c r="AA82" i="8"/>
  <c r="AA135" i="5"/>
  <c r="AB36" i="5"/>
  <c r="AB48" i="5"/>
  <c r="AA104" i="5"/>
  <c r="AA103" i="5"/>
  <c r="AA102" i="5"/>
  <c r="AA101" i="5"/>
  <c r="AA100" i="5"/>
  <c r="AA99" i="5"/>
  <c r="AB4" i="9"/>
  <c r="AB4" i="15"/>
  <c r="AB4" i="17"/>
  <c r="AB4" i="8"/>
  <c r="AB4" i="13"/>
  <c r="AB4" i="14"/>
  <c r="AB4" i="4"/>
  <c r="AB4" i="1"/>
  <c r="AB4" i="11"/>
  <c r="AB4" i="16"/>
  <c r="AB4" i="3"/>
  <c r="AB4" i="18"/>
  <c r="AC4" i="12"/>
  <c r="Y66" i="27"/>
  <c r="AB4" i="2"/>
  <c r="AB4" i="10"/>
  <c r="AB47" i="10"/>
  <c r="AC3" i="5"/>
  <c r="AB91" i="5"/>
  <c r="AB90" i="5"/>
  <c r="AB37" i="5"/>
  <c r="AB43" i="5"/>
  <c r="AB18" i="43"/>
  <c r="AB49" i="5"/>
  <c r="AF51" i="22"/>
  <c r="AB89" i="5"/>
  <c r="AB50" i="5"/>
  <c r="AB42" i="5"/>
  <c r="AC3" i="55"/>
  <c r="AC3" i="47"/>
  <c r="AC49" i="47"/>
  <c r="AB37" i="55"/>
  <c r="AB52" i="55"/>
  <c r="AB53" i="55"/>
  <c r="AB19" i="43"/>
  <c r="AB21" i="43"/>
  <c r="AF218" i="22"/>
  <c r="AB18" i="41"/>
  <c r="AB18" i="10"/>
  <c r="AC18" i="12"/>
  <c r="AB18" i="3"/>
  <c r="AB18" i="11"/>
  <c r="AB18" i="16"/>
  <c r="AB18" i="4"/>
  <c r="AB18" i="13"/>
  <c r="AC3" i="43"/>
  <c r="AC3" i="41"/>
  <c r="AC100" i="41"/>
  <c r="AB11" i="41"/>
  <c r="AB12" i="43"/>
  <c r="AA83" i="8"/>
  <c r="AB13" i="41"/>
  <c r="AB14" i="43"/>
  <c r="AB16" i="41"/>
  <c r="AB17" i="43"/>
  <c r="AB12" i="41"/>
  <c r="AB13" i="43"/>
  <c r="AA35" i="8"/>
  <c r="AB71" i="41"/>
  <c r="AB20" i="41"/>
  <c r="AB141" i="5"/>
  <c r="AB42" i="17"/>
  <c r="AB17" i="41"/>
  <c r="AB139" i="5"/>
  <c r="AB136" i="5"/>
  <c r="AB43" i="17"/>
  <c r="AC4" i="5"/>
  <c r="AC3" i="9"/>
  <c r="AC3" i="15"/>
  <c r="AC3" i="17"/>
  <c r="AC3" i="8"/>
  <c r="AC3" i="13"/>
  <c r="AC3" i="1"/>
  <c r="AC3" i="4"/>
  <c r="AC3" i="14"/>
  <c r="Y4" i="56"/>
  <c r="Y80" i="56"/>
  <c r="Y98" i="56"/>
  <c r="AC3" i="11"/>
  <c r="AC3" i="16"/>
  <c r="AC3" i="3"/>
  <c r="AD3" i="12"/>
  <c r="Z65" i="27"/>
  <c r="AC3" i="18"/>
  <c r="AC3" i="10"/>
  <c r="AC3" i="2"/>
  <c r="AC38" i="5"/>
  <c r="AC42" i="5"/>
  <c r="AB11" i="8"/>
  <c r="AB11" i="13"/>
  <c r="AB11" i="4"/>
  <c r="AB11" i="11"/>
  <c r="AB11" i="16"/>
  <c r="AB11" i="3"/>
  <c r="AB11" i="10"/>
  <c r="AC11" i="12"/>
  <c r="Y47" i="3"/>
  <c r="Y28" i="15"/>
  <c r="AA89" i="8"/>
  <c r="AA88" i="8"/>
  <c r="AB20" i="8"/>
  <c r="AB20" i="13"/>
  <c r="AB20" i="4"/>
  <c r="AB20" i="11"/>
  <c r="AB20" i="3"/>
  <c r="AB20" i="16"/>
  <c r="AB73" i="16"/>
  <c r="AC20" i="12"/>
  <c r="AB20" i="10"/>
  <c r="AB51" i="5"/>
  <c r="Y55" i="3"/>
  <c r="AB17" i="8"/>
  <c r="AB17" i="13"/>
  <c r="AB17" i="4"/>
  <c r="AB17" i="11"/>
  <c r="AB17" i="16"/>
  <c r="AB17" i="3"/>
  <c r="AC17" i="12"/>
  <c r="AB17" i="10"/>
  <c r="AB45" i="5"/>
  <c r="AB16" i="8"/>
  <c r="AB16" i="13"/>
  <c r="AB16" i="4"/>
  <c r="AB16" i="11"/>
  <c r="AB16" i="16"/>
  <c r="AB16" i="3"/>
  <c r="AC16" i="12"/>
  <c r="AB16" i="10"/>
  <c r="AB12" i="8"/>
  <c r="AB12" i="13"/>
  <c r="AB12" i="4"/>
  <c r="AB12" i="11"/>
  <c r="AB12" i="16"/>
  <c r="AB12" i="3"/>
  <c r="AC12" i="12"/>
  <c r="AB12" i="10"/>
  <c r="AB54" i="5"/>
  <c r="AF207" i="22"/>
  <c r="AB39" i="5"/>
  <c r="AB52" i="18"/>
  <c r="AB53" i="18"/>
  <c r="AB37" i="18"/>
  <c r="AA41" i="8"/>
  <c r="AA42" i="8"/>
  <c r="AA40" i="8"/>
  <c r="AA29" i="16"/>
  <c r="AA29" i="3"/>
  <c r="AB134" i="5"/>
  <c r="AB13" i="8"/>
  <c r="AB13" i="13"/>
  <c r="AB13" i="4"/>
  <c r="AB13" i="11"/>
  <c r="AB13" i="16"/>
  <c r="AB13" i="3"/>
  <c r="AC13" i="12"/>
  <c r="AB13" i="10"/>
  <c r="AC4" i="55"/>
  <c r="AC4" i="47"/>
  <c r="AC50" i="47"/>
  <c r="AC147" i="5"/>
  <c r="AC44" i="5"/>
  <c r="AC18" i="41"/>
  <c r="AC4" i="43"/>
  <c r="AC4" i="41"/>
  <c r="AC101" i="41"/>
  <c r="AF183" i="22"/>
  <c r="AF185" i="22"/>
  <c r="AB49" i="43"/>
  <c r="AF191" i="22"/>
  <c r="AF195" i="22"/>
  <c r="AB101" i="43"/>
  <c r="AC16" i="41"/>
  <c r="AC17" i="43"/>
  <c r="AC13" i="41"/>
  <c r="AC14" i="43"/>
  <c r="AB23" i="41"/>
  <c r="AB24" i="43"/>
  <c r="AB34" i="8"/>
  <c r="AB29" i="41"/>
  <c r="AB140" i="5"/>
  <c r="AB143" i="5"/>
  <c r="AB30" i="3"/>
  <c r="AB53" i="3"/>
  <c r="AB82" i="8"/>
  <c r="AB135" i="5"/>
  <c r="AC16" i="8"/>
  <c r="AC16" i="13"/>
  <c r="AC16" i="4"/>
  <c r="AC16" i="11"/>
  <c r="AC16" i="16"/>
  <c r="AC16" i="3"/>
  <c r="AD16" i="12"/>
  <c r="AC16" i="10"/>
  <c r="AB23" i="8"/>
  <c r="AB23" i="13"/>
  <c r="AB23" i="4"/>
  <c r="AB23" i="11"/>
  <c r="AB23" i="3"/>
  <c r="AB23" i="16"/>
  <c r="AC23" i="12"/>
  <c r="AB23" i="10"/>
  <c r="AC13" i="8"/>
  <c r="AC13" i="13"/>
  <c r="AC13" i="4"/>
  <c r="AC13" i="11"/>
  <c r="AC13" i="16"/>
  <c r="AC13" i="3"/>
  <c r="AD13" i="12"/>
  <c r="AC13" i="10"/>
  <c r="AC4" i="9"/>
  <c r="AC4" i="15"/>
  <c r="AC4" i="17"/>
  <c r="AC4" i="8"/>
  <c r="AC4" i="13"/>
  <c r="AC4" i="14"/>
  <c r="AC4" i="4"/>
  <c r="AC4" i="1"/>
  <c r="AC4" i="11"/>
  <c r="AC4" i="16"/>
  <c r="AC4" i="3"/>
  <c r="AC4" i="18"/>
  <c r="AC4" i="10"/>
  <c r="AC47" i="10"/>
  <c r="AD4" i="12"/>
  <c r="Z66" i="27"/>
  <c r="AC4" i="2"/>
  <c r="AD3" i="5"/>
  <c r="AC91" i="5"/>
  <c r="AC90" i="5"/>
  <c r="AC37" i="5"/>
  <c r="AC43" i="5"/>
  <c r="AC49" i="5"/>
  <c r="AG51" i="22"/>
  <c r="AC89" i="5"/>
  <c r="AC36" i="5"/>
  <c r="AB104" i="5"/>
  <c r="AB103" i="5"/>
  <c r="AB102" i="5"/>
  <c r="AB101" i="5"/>
  <c r="AB100" i="5"/>
  <c r="AB99" i="5"/>
  <c r="AC50" i="5"/>
  <c r="Z31" i="3"/>
  <c r="AA52" i="3"/>
  <c r="AC48" i="5"/>
  <c r="AD3" i="55"/>
  <c r="AD3" i="47"/>
  <c r="AD49" i="47"/>
  <c r="AC37" i="55"/>
  <c r="AC52" i="55"/>
  <c r="AC53" i="55"/>
  <c r="AC18" i="8"/>
  <c r="AC18" i="13"/>
  <c r="AC21" i="43"/>
  <c r="AG218" i="22"/>
  <c r="AC18" i="10"/>
  <c r="AD18" i="12"/>
  <c r="AC18" i="3"/>
  <c r="AC18" i="16"/>
  <c r="AC18" i="11"/>
  <c r="AC18" i="4"/>
  <c r="AC19" i="43"/>
  <c r="AB29" i="3"/>
  <c r="AA31" i="3"/>
  <c r="AB42" i="8"/>
  <c r="AB41" i="8"/>
  <c r="AB29" i="16"/>
  <c r="AD3" i="43"/>
  <c r="AD3" i="41"/>
  <c r="AD100" i="41"/>
  <c r="AB40" i="8"/>
  <c r="AB35" i="8"/>
  <c r="AC17" i="41"/>
  <c r="AC18" i="43"/>
  <c r="AB83" i="8"/>
  <c r="AC11" i="41"/>
  <c r="AC12" i="43"/>
  <c r="AC12" i="41"/>
  <c r="AC13" i="43"/>
  <c r="AC71" i="41"/>
  <c r="AC20" i="41"/>
  <c r="AC17" i="8"/>
  <c r="AC17" i="13"/>
  <c r="AC17" i="4"/>
  <c r="AC17" i="11"/>
  <c r="AC17" i="16"/>
  <c r="AC17" i="3"/>
  <c r="AD17" i="12"/>
  <c r="AC17" i="10"/>
  <c r="AC45" i="5"/>
  <c r="AC12" i="8"/>
  <c r="AC12" i="13"/>
  <c r="AC12" i="4"/>
  <c r="AC12" i="11"/>
  <c r="AC12" i="16"/>
  <c r="AC12" i="3"/>
  <c r="AC12" i="10"/>
  <c r="AD12" i="12"/>
  <c r="AC54" i="5"/>
  <c r="AG207" i="22"/>
  <c r="AC39" i="5"/>
  <c r="AC134" i="5"/>
  <c r="AC37" i="18"/>
  <c r="AC52" i="18"/>
  <c r="AC53" i="18"/>
  <c r="Z46" i="3"/>
  <c r="Z32" i="3"/>
  <c r="AC139" i="5"/>
  <c r="AC11" i="8"/>
  <c r="AC11" i="13"/>
  <c r="AC11" i="4"/>
  <c r="AC11" i="11"/>
  <c r="AC11" i="16"/>
  <c r="AC11" i="3"/>
  <c r="AC11" i="10"/>
  <c r="AD11" i="12"/>
  <c r="AC141" i="5"/>
  <c r="AC42" i="17"/>
  <c r="AD4" i="5"/>
  <c r="AD3" i="9"/>
  <c r="AD3" i="15"/>
  <c r="AD3" i="17"/>
  <c r="AD3" i="8"/>
  <c r="AD3" i="13"/>
  <c r="AD3" i="4"/>
  <c r="AD3" i="1"/>
  <c r="AD3" i="14"/>
  <c r="Z4" i="56"/>
  <c r="Z80" i="56"/>
  <c r="Z98" i="56"/>
  <c r="AD3" i="11"/>
  <c r="AD3" i="16"/>
  <c r="AD3" i="3"/>
  <c r="AD3" i="18"/>
  <c r="AD3" i="10"/>
  <c r="AD3" i="2"/>
  <c r="AE3" i="12"/>
  <c r="AA65" i="27"/>
  <c r="AC136" i="5"/>
  <c r="Z54" i="3"/>
  <c r="AC20" i="8"/>
  <c r="AC20" i="13"/>
  <c r="AC20" i="4"/>
  <c r="AC20" i="11"/>
  <c r="AC20" i="16"/>
  <c r="AC73" i="16"/>
  <c r="AC20" i="3"/>
  <c r="AD20" i="12"/>
  <c r="AC20" i="10"/>
  <c r="AC51" i="5"/>
  <c r="AB89" i="8"/>
  <c r="AB88" i="8"/>
  <c r="AD4" i="55"/>
  <c r="AD4" i="47"/>
  <c r="AD50" i="47"/>
  <c r="AD147" i="5"/>
  <c r="AB52" i="3"/>
  <c r="AD38" i="5"/>
  <c r="AD13" i="11"/>
  <c r="AD4" i="43"/>
  <c r="AD4" i="41"/>
  <c r="AD101" i="41"/>
  <c r="AG183" i="22"/>
  <c r="AG185" i="22"/>
  <c r="AC49" i="43"/>
  <c r="AG191" i="22"/>
  <c r="AG195" i="22"/>
  <c r="AC101" i="43"/>
  <c r="AC23" i="41"/>
  <c r="AC24" i="43"/>
  <c r="AD36" i="5"/>
  <c r="AD12" i="43"/>
  <c r="AD50" i="5"/>
  <c r="AD48" i="5"/>
  <c r="AD13" i="8"/>
  <c r="AA54" i="3"/>
  <c r="AC99" i="5"/>
  <c r="AC104" i="5"/>
  <c r="AC103" i="5"/>
  <c r="AC102" i="5"/>
  <c r="AC101" i="5"/>
  <c r="AC100" i="5"/>
  <c r="AC34" i="8"/>
  <c r="AC29" i="41"/>
  <c r="AC143" i="5"/>
  <c r="AC140" i="5"/>
  <c r="AC82" i="8"/>
  <c r="AC135" i="5"/>
  <c r="AD44" i="5"/>
  <c r="Z55" i="3"/>
  <c r="AC43" i="17"/>
  <c r="AC30" i="3"/>
  <c r="AC53" i="3"/>
  <c r="AD42" i="5"/>
  <c r="AD4" i="9"/>
  <c r="AD4" i="15"/>
  <c r="AD4" i="17"/>
  <c r="AD4" i="8"/>
  <c r="AD4" i="13"/>
  <c r="AD4" i="1"/>
  <c r="AD4" i="14"/>
  <c r="AD4" i="4"/>
  <c r="AD4" i="11"/>
  <c r="AD4" i="16"/>
  <c r="AD4" i="3"/>
  <c r="AD4" i="18"/>
  <c r="AD4" i="10"/>
  <c r="AD47" i="10"/>
  <c r="AE4" i="12"/>
  <c r="AA66" i="27"/>
  <c r="AD4" i="2"/>
  <c r="AE3" i="5"/>
  <c r="AD91" i="5"/>
  <c r="AD90" i="5"/>
  <c r="AD37" i="5"/>
  <c r="AD43" i="5"/>
  <c r="AD18" i="43"/>
  <c r="AD49" i="5"/>
  <c r="AH51" i="22"/>
  <c r="AD89" i="5"/>
  <c r="AA46" i="3"/>
  <c r="AA32" i="3"/>
  <c r="Z47" i="3"/>
  <c r="Z28" i="15"/>
  <c r="AC23" i="8"/>
  <c r="AC23" i="13"/>
  <c r="AC23" i="4"/>
  <c r="AC23" i="11"/>
  <c r="AC23" i="16"/>
  <c r="AD23" i="12"/>
  <c r="AC23" i="10"/>
  <c r="AC23" i="3"/>
  <c r="AE3" i="55"/>
  <c r="AE3" i="47"/>
  <c r="AE49" i="47"/>
  <c r="AD13" i="3"/>
  <c r="AD13" i="16"/>
  <c r="AD14" i="43"/>
  <c r="AD13" i="4"/>
  <c r="AD52" i="55"/>
  <c r="AD53" i="55"/>
  <c r="AD37" i="55"/>
  <c r="AD21" i="43"/>
  <c r="AH218" i="22"/>
  <c r="AD13" i="13"/>
  <c r="AD13" i="41"/>
  <c r="AE13" i="12"/>
  <c r="AD13" i="10"/>
  <c r="AE3" i="43"/>
  <c r="AE3" i="41"/>
  <c r="AE100" i="41"/>
  <c r="AD11" i="10"/>
  <c r="AD18" i="41"/>
  <c r="AD19" i="43"/>
  <c r="AD12" i="41"/>
  <c r="AD13" i="43"/>
  <c r="AC83" i="8"/>
  <c r="AC35" i="8"/>
  <c r="AD16" i="41"/>
  <c r="AD17" i="43"/>
  <c r="AE11" i="12"/>
  <c r="AD11" i="8"/>
  <c r="AD11" i="41"/>
  <c r="AD11" i="3"/>
  <c r="AD11" i="16"/>
  <c r="AD11" i="11"/>
  <c r="AD141" i="5"/>
  <c r="AD42" i="17"/>
  <c r="AD17" i="41"/>
  <c r="AD11" i="4"/>
  <c r="AD71" i="41"/>
  <c r="AD20" i="41"/>
  <c r="AD11" i="13"/>
  <c r="AD136" i="5"/>
  <c r="AD43" i="17"/>
  <c r="AD139" i="5"/>
  <c r="AD34" i="8"/>
  <c r="AD29" i="41"/>
  <c r="AD18" i="8"/>
  <c r="AD18" i="13"/>
  <c r="AD18" i="4"/>
  <c r="AD18" i="11"/>
  <c r="AD18" i="16"/>
  <c r="AD18" i="3"/>
  <c r="AD18" i="10"/>
  <c r="AE18" i="12"/>
  <c r="AA47" i="3"/>
  <c r="AA28" i="15"/>
  <c r="AD20" i="8"/>
  <c r="AD20" i="13"/>
  <c r="AD20" i="4"/>
  <c r="AD20" i="11"/>
  <c r="AD20" i="16"/>
  <c r="AD73" i="16"/>
  <c r="AD20" i="3"/>
  <c r="AE20" i="12"/>
  <c r="AD20" i="10"/>
  <c r="AD51" i="5"/>
  <c r="AC88" i="8"/>
  <c r="AC89" i="8"/>
  <c r="AD17" i="8"/>
  <c r="AD17" i="13"/>
  <c r="AD17" i="4"/>
  <c r="AD17" i="11"/>
  <c r="AD17" i="16"/>
  <c r="AD17" i="3"/>
  <c r="AD17" i="10"/>
  <c r="AE17" i="12"/>
  <c r="AD45" i="5"/>
  <c r="AD16" i="8"/>
  <c r="AD16" i="13"/>
  <c r="AD16" i="4"/>
  <c r="AD16" i="11"/>
  <c r="AD16" i="16"/>
  <c r="AD16" i="3"/>
  <c r="AD16" i="10"/>
  <c r="AE16" i="12"/>
  <c r="AD12" i="8"/>
  <c r="AD12" i="13"/>
  <c r="AD12" i="4"/>
  <c r="AD12" i="11"/>
  <c r="AD12" i="16"/>
  <c r="AD12" i="3"/>
  <c r="AD12" i="10"/>
  <c r="AE12" i="12"/>
  <c r="AD54" i="5"/>
  <c r="AH207" i="22"/>
  <c r="AD39" i="5"/>
  <c r="AD134" i="5"/>
  <c r="AC40" i="8"/>
  <c r="AC41" i="8"/>
  <c r="AC42" i="8"/>
  <c r="AC29" i="16"/>
  <c r="AC29" i="3"/>
  <c r="AA55" i="3"/>
  <c r="AE4" i="5"/>
  <c r="AE48" i="5"/>
  <c r="AE3" i="9"/>
  <c r="AE3" i="15"/>
  <c r="AE3" i="17"/>
  <c r="AE3" i="8"/>
  <c r="AE3" i="13"/>
  <c r="AE3" i="4"/>
  <c r="AE3" i="1"/>
  <c r="AE3" i="14"/>
  <c r="AA4" i="56"/>
  <c r="AA80" i="56"/>
  <c r="AA98" i="56"/>
  <c r="AE3" i="11"/>
  <c r="AE3" i="16"/>
  <c r="AE3" i="3"/>
  <c r="AE3" i="18"/>
  <c r="AF3" i="12"/>
  <c r="AB65" i="27"/>
  <c r="AE3" i="2"/>
  <c r="AE3" i="10"/>
  <c r="AD37" i="18"/>
  <c r="AD52" i="18"/>
  <c r="AD53" i="18"/>
  <c r="AE4" i="55"/>
  <c r="AE4" i="47"/>
  <c r="AE50" i="47"/>
  <c r="AE147" i="5"/>
  <c r="AE38" i="5"/>
  <c r="AE14" i="43"/>
  <c r="AE4" i="43"/>
  <c r="AE4" i="41"/>
  <c r="AE101" i="41"/>
  <c r="AH183" i="22"/>
  <c r="AH185" i="22"/>
  <c r="AD49" i="43"/>
  <c r="AH191" i="22"/>
  <c r="AH195" i="22"/>
  <c r="AD101" i="43"/>
  <c r="AD23" i="41"/>
  <c r="AD24" i="43"/>
  <c r="AD143" i="5"/>
  <c r="AE50" i="5"/>
  <c r="AE42" i="5"/>
  <c r="AF16" i="12"/>
  <c r="AE44" i="5"/>
  <c r="AE19" i="43"/>
  <c r="AD30" i="3"/>
  <c r="AD53" i="3"/>
  <c r="AD140" i="5"/>
  <c r="AB31" i="3"/>
  <c r="AC52" i="3"/>
  <c r="AD40" i="8"/>
  <c r="AD41" i="8"/>
  <c r="AD42" i="8"/>
  <c r="AD29" i="16"/>
  <c r="AD29" i="3"/>
  <c r="AD100" i="5"/>
  <c r="AD99" i="5"/>
  <c r="AD104" i="5"/>
  <c r="AD103" i="5"/>
  <c r="AD102" i="5"/>
  <c r="AD101" i="5"/>
  <c r="AE13" i="8"/>
  <c r="AE13" i="13"/>
  <c r="AE4" i="9"/>
  <c r="AE4" i="15"/>
  <c r="AE4" i="17"/>
  <c r="AE4" i="8"/>
  <c r="AE4" i="13"/>
  <c r="AE4" i="4"/>
  <c r="AE4" i="1"/>
  <c r="AE4" i="14"/>
  <c r="AE4" i="11"/>
  <c r="AE4" i="16"/>
  <c r="AE4" i="3"/>
  <c r="AE4" i="18"/>
  <c r="AE4" i="10"/>
  <c r="AE47" i="10"/>
  <c r="AF4" i="12"/>
  <c r="AB66" i="27"/>
  <c r="AE4" i="2"/>
  <c r="AF3" i="5"/>
  <c r="AE91" i="5"/>
  <c r="AE90" i="5"/>
  <c r="AE37" i="5"/>
  <c r="AE43" i="5"/>
  <c r="AE18" i="43"/>
  <c r="AE49" i="5"/>
  <c r="AI51" i="22"/>
  <c r="AE89" i="5"/>
  <c r="AD82" i="8"/>
  <c r="AD135" i="5"/>
  <c r="AE36" i="5"/>
  <c r="AD23" i="8"/>
  <c r="AD23" i="13"/>
  <c r="AD23" i="4"/>
  <c r="AD23" i="11"/>
  <c r="AD23" i="16"/>
  <c r="AD23" i="3"/>
  <c r="AE23" i="12"/>
  <c r="AD23" i="10"/>
  <c r="AE13" i="41"/>
  <c r="AE13" i="10"/>
  <c r="AE13" i="16"/>
  <c r="AE13" i="3"/>
  <c r="AE16" i="13"/>
  <c r="AE13" i="11"/>
  <c r="AE13" i="4"/>
  <c r="AF3" i="55"/>
  <c r="AF3" i="47"/>
  <c r="AF49" i="47"/>
  <c r="AE52" i="55"/>
  <c r="AE53" i="55"/>
  <c r="AE37" i="55"/>
  <c r="AE16" i="16"/>
  <c r="AE16" i="8"/>
  <c r="AE21" i="43"/>
  <c r="AI218" i="22"/>
  <c r="AF13" i="12"/>
  <c r="AF3" i="43"/>
  <c r="AF3" i="41"/>
  <c r="AF100" i="41"/>
  <c r="AE16" i="10"/>
  <c r="AD35" i="8"/>
  <c r="AE12" i="41"/>
  <c r="AE13" i="43"/>
  <c r="AD83" i="8"/>
  <c r="AE16" i="41"/>
  <c r="AE17" i="43"/>
  <c r="AE11" i="41"/>
  <c r="AE12" i="43"/>
  <c r="AE18" i="10"/>
  <c r="AE18" i="41"/>
  <c r="AE71" i="41"/>
  <c r="AE20" i="41"/>
  <c r="AE16" i="3"/>
  <c r="AE16" i="11"/>
  <c r="AE134" i="5"/>
  <c r="AE135" i="5"/>
  <c r="AE17" i="41"/>
  <c r="AE16" i="4"/>
  <c r="AE18" i="11"/>
  <c r="AE18" i="4"/>
  <c r="AE18" i="13"/>
  <c r="AE18" i="8"/>
  <c r="AE18" i="3"/>
  <c r="AF18" i="12"/>
  <c r="AE18" i="16"/>
  <c r="AE17" i="8"/>
  <c r="AE17" i="13"/>
  <c r="AE17" i="4"/>
  <c r="AE17" i="11"/>
  <c r="AE17" i="3"/>
  <c r="AE17" i="16"/>
  <c r="AF17" i="12"/>
  <c r="AE17" i="10"/>
  <c r="AE45" i="5"/>
  <c r="AC31" i="3"/>
  <c r="AD52" i="3"/>
  <c r="AE12" i="8"/>
  <c r="AE12" i="13"/>
  <c r="AE12" i="4"/>
  <c r="AE12" i="11"/>
  <c r="AE12" i="3"/>
  <c r="AE12" i="16"/>
  <c r="AF12" i="12"/>
  <c r="AE12" i="10"/>
  <c r="AE54" i="5"/>
  <c r="AI207" i="22"/>
  <c r="AE39" i="5"/>
  <c r="AD88" i="8"/>
  <c r="AD89" i="8"/>
  <c r="AE141" i="5"/>
  <c r="AE42" i="17"/>
  <c r="AF4" i="5"/>
  <c r="AF3" i="9"/>
  <c r="AF3" i="15"/>
  <c r="AF3" i="17"/>
  <c r="AF3" i="8"/>
  <c r="AF3" i="13"/>
  <c r="AF3" i="4"/>
  <c r="AF3" i="1"/>
  <c r="AF3" i="14"/>
  <c r="AB4" i="56"/>
  <c r="AB80" i="56"/>
  <c r="AB98" i="56"/>
  <c r="AF3" i="11"/>
  <c r="AF3" i="16"/>
  <c r="AF3" i="3"/>
  <c r="AF3" i="18"/>
  <c r="AG3" i="12"/>
  <c r="AC65" i="27"/>
  <c r="AF3" i="2"/>
  <c r="AF3" i="10"/>
  <c r="AE136" i="5"/>
  <c r="AB54" i="3"/>
  <c r="AE37" i="18"/>
  <c r="AE52" i="18"/>
  <c r="AE53" i="18"/>
  <c r="AE11" i="8"/>
  <c r="AE11" i="13"/>
  <c r="AE11" i="4"/>
  <c r="AE11" i="11"/>
  <c r="AE11" i="3"/>
  <c r="AE11" i="16"/>
  <c r="AF11" i="12"/>
  <c r="AE11" i="10"/>
  <c r="AE20" i="8"/>
  <c r="AE20" i="13"/>
  <c r="AE20" i="4"/>
  <c r="AE20" i="11"/>
  <c r="AE20" i="3"/>
  <c r="AE20" i="16"/>
  <c r="AE73" i="16"/>
  <c r="AF20" i="12"/>
  <c r="AE20" i="10"/>
  <c r="AE51" i="5"/>
  <c r="AE139" i="5"/>
  <c r="AB46" i="3"/>
  <c r="AB32" i="3"/>
  <c r="AF4" i="55"/>
  <c r="AF4" i="47"/>
  <c r="AF50" i="47"/>
  <c r="AF147" i="5"/>
  <c r="AF4" i="43"/>
  <c r="AF4" i="41"/>
  <c r="AF101" i="41"/>
  <c r="AG3" i="5"/>
  <c r="AI183" i="22"/>
  <c r="AI185" i="22"/>
  <c r="AE49" i="43"/>
  <c r="AI191" i="22"/>
  <c r="AI195" i="22"/>
  <c r="AE101" i="43"/>
  <c r="AE82" i="8"/>
  <c r="AE88" i="8"/>
  <c r="AE23" i="41"/>
  <c r="AE24" i="43"/>
  <c r="AE83" i="8"/>
  <c r="AF4" i="9"/>
  <c r="AF4" i="15"/>
  <c r="AF4" i="17"/>
  <c r="AF4" i="8"/>
  <c r="AF4" i="13"/>
  <c r="AF4" i="4"/>
  <c r="AF4" i="1"/>
  <c r="AF4" i="14"/>
  <c r="AF4" i="11"/>
  <c r="AF4" i="16"/>
  <c r="AF4" i="3"/>
  <c r="AF4" i="18"/>
  <c r="AF4" i="2"/>
  <c r="AF4" i="10"/>
  <c r="AF47" i="10"/>
  <c r="AG4" i="12"/>
  <c r="AC66" i="27"/>
  <c r="AF91" i="5"/>
  <c r="AF90" i="5"/>
  <c r="AF37" i="5"/>
  <c r="AF43" i="5"/>
  <c r="AF18" i="43"/>
  <c r="AF49" i="5"/>
  <c r="AJ51" i="22"/>
  <c r="AF89" i="5"/>
  <c r="AE23" i="8"/>
  <c r="AE23" i="13"/>
  <c r="AE23" i="4"/>
  <c r="AE23" i="11"/>
  <c r="AE23" i="16"/>
  <c r="AE23" i="3"/>
  <c r="AF23" i="12"/>
  <c r="AE23" i="10"/>
  <c r="AF50" i="5"/>
  <c r="AC54" i="3"/>
  <c r="AF48" i="5"/>
  <c r="AC46" i="3"/>
  <c r="AC32" i="3"/>
  <c r="AB47" i="3"/>
  <c r="AB28" i="15"/>
  <c r="AF44" i="5"/>
  <c r="AE34" i="8"/>
  <c r="AE29" i="41"/>
  <c r="AE143" i="5"/>
  <c r="AE140" i="5"/>
  <c r="AB55" i="3"/>
  <c r="AF42" i="5"/>
  <c r="AE101" i="5"/>
  <c r="AE100" i="5"/>
  <c r="AE99" i="5"/>
  <c r="AE104" i="5"/>
  <c r="AE103" i="5"/>
  <c r="AE102" i="5"/>
  <c r="AE43" i="17"/>
  <c r="AE30" i="3"/>
  <c r="AE53" i="3"/>
  <c r="AF38" i="5"/>
  <c r="AF36" i="5"/>
  <c r="AG3" i="55"/>
  <c r="AG3" i="47"/>
  <c r="AG49" i="47"/>
  <c r="AF52" i="55"/>
  <c r="AF53" i="55"/>
  <c r="AF37" i="55"/>
  <c r="AF21" i="43"/>
  <c r="AJ218" i="22"/>
  <c r="AE89" i="8"/>
  <c r="AG3" i="43"/>
  <c r="AG3" i="41"/>
  <c r="AG100" i="41"/>
  <c r="AF18" i="41"/>
  <c r="AF19" i="43"/>
  <c r="AF13" i="41"/>
  <c r="AF14" i="43"/>
  <c r="AF12" i="41"/>
  <c r="AF13" i="43"/>
  <c r="AE35" i="8"/>
  <c r="AF16" i="41"/>
  <c r="AF17" i="43"/>
  <c r="AF11" i="41"/>
  <c r="AF12" i="43"/>
  <c r="AF139" i="5"/>
  <c r="AF34" i="8"/>
  <c r="AF29" i="41"/>
  <c r="AF17" i="41"/>
  <c r="AF71" i="41"/>
  <c r="AF20" i="41"/>
  <c r="AF134" i="5"/>
  <c r="AF136" i="5"/>
  <c r="AF43" i="17"/>
  <c r="AF18" i="8"/>
  <c r="AF18" i="13"/>
  <c r="AF18" i="4"/>
  <c r="AF18" i="11"/>
  <c r="AF18" i="16"/>
  <c r="AF18" i="3"/>
  <c r="AG18" i="12"/>
  <c r="AF18" i="10"/>
  <c r="AC55" i="3"/>
  <c r="AF37" i="18"/>
  <c r="AF52" i="18"/>
  <c r="AF53" i="18"/>
  <c r="AG4" i="5"/>
  <c r="AG3" i="9"/>
  <c r="AG3" i="15"/>
  <c r="AG3" i="17"/>
  <c r="AG3" i="8"/>
  <c r="AG3" i="13"/>
  <c r="AG3" i="4"/>
  <c r="AG3" i="1"/>
  <c r="AG3" i="14"/>
  <c r="AC4" i="56"/>
  <c r="AC80" i="56"/>
  <c r="AC98" i="56"/>
  <c r="AG3" i="11"/>
  <c r="AG3" i="3"/>
  <c r="AG3" i="16"/>
  <c r="AH3" i="12"/>
  <c r="AD65" i="27"/>
  <c r="AG3" i="2"/>
  <c r="AG3" i="18"/>
  <c r="AG3" i="10"/>
  <c r="AF13" i="8"/>
  <c r="AF13" i="13"/>
  <c r="AF13" i="4"/>
  <c r="AF13" i="11"/>
  <c r="AF13" i="16"/>
  <c r="AF13" i="3"/>
  <c r="AG13" i="12"/>
  <c r="AF13" i="10"/>
  <c r="AC47" i="3"/>
  <c r="AC28" i="15"/>
  <c r="AF20" i="8"/>
  <c r="AF20" i="13"/>
  <c r="AF20" i="4"/>
  <c r="AF20" i="11"/>
  <c r="AF20" i="16"/>
  <c r="AF73" i="16"/>
  <c r="AF20" i="3"/>
  <c r="AG20" i="12"/>
  <c r="AF20" i="10"/>
  <c r="AF51" i="5"/>
  <c r="AF16" i="8"/>
  <c r="AF16" i="13"/>
  <c r="AF16" i="4"/>
  <c r="AF16" i="11"/>
  <c r="AF16" i="16"/>
  <c r="AF16" i="3"/>
  <c r="AG16" i="12"/>
  <c r="AF16" i="10"/>
  <c r="AF11" i="8"/>
  <c r="AF11" i="13"/>
  <c r="AF11" i="4"/>
  <c r="AF11" i="11"/>
  <c r="AF11" i="16"/>
  <c r="AF11" i="3"/>
  <c r="AG11" i="12"/>
  <c r="AF11" i="10"/>
  <c r="AF17" i="8"/>
  <c r="AF17" i="13"/>
  <c r="AF17" i="4"/>
  <c r="AF17" i="11"/>
  <c r="AF17" i="16"/>
  <c r="AF17" i="3"/>
  <c r="AG17" i="12"/>
  <c r="AF17" i="10"/>
  <c r="AF45" i="5"/>
  <c r="AF141" i="5"/>
  <c r="AF42" i="17"/>
  <c r="AE40" i="8"/>
  <c r="AE41" i="8"/>
  <c r="AE42" i="8"/>
  <c r="AE29" i="16"/>
  <c r="AE29" i="3"/>
  <c r="AF12" i="8"/>
  <c r="AF12" i="13"/>
  <c r="AF12" i="4"/>
  <c r="AF12" i="11"/>
  <c r="AF12" i="16"/>
  <c r="AF12" i="3"/>
  <c r="AG12" i="12"/>
  <c r="AF12" i="10"/>
  <c r="AF54" i="5"/>
  <c r="AJ207" i="22"/>
  <c r="AF39" i="5"/>
  <c r="AG4" i="55"/>
  <c r="AG4" i="47"/>
  <c r="AG50" i="47"/>
  <c r="AG147" i="5"/>
  <c r="AG50" i="5"/>
  <c r="AG4" i="43"/>
  <c r="AG4" i="41"/>
  <c r="AG101" i="41"/>
  <c r="AJ183" i="22"/>
  <c r="AJ185" i="22"/>
  <c r="AF49" i="43"/>
  <c r="AJ191" i="22"/>
  <c r="AJ195" i="22"/>
  <c r="AF101" i="43"/>
  <c r="AF140" i="5"/>
  <c r="AF35" i="8"/>
  <c r="AF23" i="41"/>
  <c r="AF24" i="43"/>
  <c r="AF82" i="8"/>
  <c r="AF89" i="8"/>
  <c r="AF143" i="5"/>
  <c r="AG36" i="5"/>
  <c r="AG12" i="43"/>
  <c r="AG42" i="5"/>
  <c r="AG17" i="43"/>
  <c r="AH3" i="5"/>
  <c r="AG48" i="5"/>
  <c r="AG38" i="5"/>
  <c r="AG14" i="43"/>
  <c r="AF135" i="5"/>
  <c r="AF30" i="3"/>
  <c r="AF53" i="3"/>
  <c r="AF23" i="8"/>
  <c r="AF23" i="13"/>
  <c r="AF23" i="4"/>
  <c r="AF23" i="11"/>
  <c r="AF23" i="16"/>
  <c r="AF23" i="3"/>
  <c r="AG23" i="12"/>
  <c r="AF23" i="10"/>
  <c r="AG4" i="9"/>
  <c r="AG4" i="15"/>
  <c r="AG4" i="17"/>
  <c r="AG4" i="8"/>
  <c r="AG4" i="13"/>
  <c r="AG4" i="4"/>
  <c r="AG4" i="1"/>
  <c r="AG4" i="14"/>
  <c r="AG4" i="11"/>
  <c r="AG4" i="16"/>
  <c r="AG4" i="3"/>
  <c r="AG4" i="18"/>
  <c r="AG4" i="2"/>
  <c r="AG4" i="10"/>
  <c r="AG47" i="10"/>
  <c r="AH4" i="12"/>
  <c r="AD66" i="27"/>
  <c r="AG91" i="5"/>
  <c r="AG90" i="5"/>
  <c r="AG37" i="5"/>
  <c r="AG43" i="5"/>
  <c r="AG49" i="5"/>
  <c r="AK51" i="22"/>
  <c r="AG89" i="5"/>
  <c r="AF102" i="5"/>
  <c r="AF101" i="5"/>
  <c r="AF100" i="5"/>
  <c r="AF99" i="5"/>
  <c r="AF104" i="5"/>
  <c r="AF103" i="5"/>
  <c r="AD31" i="3"/>
  <c r="AE52" i="3"/>
  <c r="AG44" i="5"/>
  <c r="AF42" i="8"/>
  <c r="AF40" i="8"/>
  <c r="AF41" i="8"/>
  <c r="AF29" i="16"/>
  <c r="AF29" i="3"/>
  <c r="AH3" i="55"/>
  <c r="AH3" i="47"/>
  <c r="AH49" i="47"/>
  <c r="AG52" i="55"/>
  <c r="AG53" i="55"/>
  <c r="AG37" i="55"/>
  <c r="AG21" i="43"/>
  <c r="AK218" i="22"/>
  <c r="AG11" i="4"/>
  <c r="AH3" i="43"/>
  <c r="AH3" i="41"/>
  <c r="AH100" i="41"/>
  <c r="AG11" i="13"/>
  <c r="AG11" i="10"/>
  <c r="AF88" i="8"/>
  <c r="AG18" i="41"/>
  <c r="AG19" i="43"/>
  <c r="AG17" i="41"/>
  <c r="AG18" i="43"/>
  <c r="AF83" i="8"/>
  <c r="AG12" i="41"/>
  <c r="AG13" i="43"/>
  <c r="AG16" i="13"/>
  <c r="AG16" i="41"/>
  <c r="AG11" i="8"/>
  <c r="AG11" i="41"/>
  <c r="AH11" i="12"/>
  <c r="AG16" i="8"/>
  <c r="AG11" i="3"/>
  <c r="AG11" i="16"/>
  <c r="AG20" i="41"/>
  <c r="AG71" i="41"/>
  <c r="AG11" i="11"/>
  <c r="AG13" i="16"/>
  <c r="AG13" i="41"/>
  <c r="AH13" i="12"/>
  <c r="AG13" i="8"/>
  <c r="AH16" i="12"/>
  <c r="AG16" i="10"/>
  <c r="AG16" i="3"/>
  <c r="AG16" i="16"/>
  <c r="AG16" i="11"/>
  <c r="AG13" i="10"/>
  <c r="AG16" i="4"/>
  <c r="AG13" i="3"/>
  <c r="AG13" i="11"/>
  <c r="AG13" i="4"/>
  <c r="AG13" i="13"/>
  <c r="AG17" i="8"/>
  <c r="AG17" i="13"/>
  <c r="AG17" i="4"/>
  <c r="AG17" i="11"/>
  <c r="AG17" i="16"/>
  <c r="AG17" i="3"/>
  <c r="AH17" i="12"/>
  <c r="AG17" i="10"/>
  <c r="AG45" i="5"/>
  <c r="AG141" i="5"/>
  <c r="AG42" i="17"/>
  <c r="AG12" i="8"/>
  <c r="AG12" i="13"/>
  <c r="AG12" i="4"/>
  <c r="AG12" i="11"/>
  <c r="AG12" i="16"/>
  <c r="AG12" i="3"/>
  <c r="AH12" i="12"/>
  <c r="AG12" i="10"/>
  <c r="AG54" i="5"/>
  <c r="AK207" i="22"/>
  <c r="AG39" i="5"/>
  <c r="AG134" i="5"/>
  <c r="AG37" i="18"/>
  <c r="AG52" i="18"/>
  <c r="AG53" i="18"/>
  <c r="AH4" i="5"/>
  <c r="AH3" i="9"/>
  <c r="AH3" i="15"/>
  <c r="AH3" i="17"/>
  <c r="AH3" i="8"/>
  <c r="AH3" i="13"/>
  <c r="AH3" i="14"/>
  <c r="AD4" i="56"/>
  <c r="AD80" i="56"/>
  <c r="AD98" i="56"/>
  <c r="AH3" i="4"/>
  <c r="AH3" i="1"/>
  <c r="AH3" i="11"/>
  <c r="AH3" i="16"/>
  <c r="AH3" i="3"/>
  <c r="AH3" i="18"/>
  <c r="AI3" i="12"/>
  <c r="AE65" i="27"/>
  <c r="AH3" i="2"/>
  <c r="AH3" i="10"/>
  <c r="AD54" i="3"/>
  <c r="AD46" i="3"/>
  <c r="AD32" i="3"/>
  <c r="AG136" i="5"/>
  <c r="AG18" i="8"/>
  <c r="AG18" i="13"/>
  <c r="AG18" i="4"/>
  <c r="AG18" i="11"/>
  <c r="AG18" i="16"/>
  <c r="AG18" i="3"/>
  <c r="AH18" i="12"/>
  <c r="AG18" i="10"/>
  <c r="AF52" i="3"/>
  <c r="AE31" i="3"/>
  <c r="AG20" i="8"/>
  <c r="AG20" i="13"/>
  <c r="AG20" i="4"/>
  <c r="AG20" i="11"/>
  <c r="AG20" i="16"/>
  <c r="AG20" i="3"/>
  <c r="AG73" i="16"/>
  <c r="AH20" i="12"/>
  <c r="AG20" i="10"/>
  <c r="AG51" i="5"/>
  <c r="AG139" i="5"/>
  <c r="AH4" i="55"/>
  <c r="AH4" i="47"/>
  <c r="AH50" i="47"/>
  <c r="AH147" i="5"/>
  <c r="AH4" i="43"/>
  <c r="AH4" i="41"/>
  <c r="AH101" i="41"/>
  <c r="AK183" i="22"/>
  <c r="AK185" i="22"/>
  <c r="AG49" i="43"/>
  <c r="AK191" i="22"/>
  <c r="AK195" i="22"/>
  <c r="AG101" i="43"/>
  <c r="AG23" i="41"/>
  <c r="AG24" i="43"/>
  <c r="AH38" i="5"/>
  <c r="AH14" i="43"/>
  <c r="AI3" i="5"/>
  <c r="AH36" i="5"/>
  <c r="AH12" i="43"/>
  <c r="AH42" i="5"/>
  <c r="AH17" i="43"/>
  <c r="AH48" i="5"/>
  <c r="AH44" i="5"/>
  <c r="AH19" i="43"/>
  <c r="AG82" i="8"/>
  <c r="AG135" i="5"/>
  <c r="AD47" i="3"/>
  <c r="AD28" i="15"/>
  <c r="AG23" i="8"/>
  <c r="AG23" i="13"/>
  <c r="AG23" i="4"/>
  <c r="AG23" i="11"/>
  <c r="AG23" i="16"/>
  <c r="AG23" i="3"/>
  <c r="AH23" i="12"/>
  <c r="AG23" i="10"/>
  <c r="AH4" i="9"/>
  <c r="AH4" i="15"/>
  <c r="AH4" i="17"/>
  <c r="AH4" i="8"/>
  <c r="AH4" i="13"/>
  <c r="AH4" i="4"/>
  <c r="AH4" i="1"/>
  <c r="AH4" i="14"/>
  <c r="AH4" i="11"/>
  <c r="AH4" i="3"/>
  <c r="AH4" i="16"/>
  <c r="AI4" i="12"/>
  <c r="AE66" i="27"/>
  <c r="AH4" i="18"/>
  <c r="AH4" i="2"/>
  <c r="AH4" i="10"/>
  <c r="AH47" i="10"/>
  <c r="AH37" i="5"/>
  <c r="AH43" i="5"/>
  <c r="AH18" i="43"/>
  <c r="AH49" i="5"/>
  <c r="AL51" i="22"/>
  <c r="AH89" i="5"/>
  <c r="AH91" i="5"/>
  <c r="AH90" i="5"/>
  <c r="AG43" i="17"/>
  <c r="AG30" i="3"/>
  <c r="AG53" i="3"/>
  <c r="AE46" i="3"/>
  <c r="AE32" i="3"/>
  <c r="AE54" i="3"/>
  <c r="AD55" i="3"/>
  <c r="AG34" i="8"/>
  <c r="AG29" i="41"/>
  <c r="AG143" i="5"/>
  <c r="AG140" i="5"/>
  <c r="AG103" i="5"/>
  <c r="AG102" i="5"/>
  <c r="AG101" i="5"/>
  <c r="AG100" i="5"/>
  <c r="AG99" i="5"/>
  <c r="AG104" i="5"/>
  <c r="AH50" i="5"/>
  <c r="AI3" i="55"/>
  <c r="AI3" i="47"/>
  <c r="AI49" i="47"/>
  <c r="AH52" i="55"/>
  <c r="AH53" i="55"/>
  <c r="AH37" i="55"/>
  <c r="AH21" i="43"/>
  <c r="AL218" i="22"/>
  <c r="AI3" i="43"/>
  <c r="AI3" i="41"/>
  <c r="AI100" i="41"/>
  <c r="AH11" i="3"/>
  <c r="AH11" i="11"/>
  <c r="AH11" i="13"/>
  <c r="AG35" i="8"/>
  <c r="AH12" i="41"/>
  <c r="AH13" i="43"/>
  <c r="AH11" i="8"/>
  <c r="AG83" i="8"/>
  <c r="AH71" i="41"/>
  <c r="AH20" i="41"/>
  <c r="AH11" i="16"/>
  <c r="AH11" i="41"/>
  <c r="AH139" i="5"/>
  <c r="AH17" i="41"/>
  <c r="AH13" i="11"/>
  <c r="AH13" i="41"/>
  <c r="AH18" i="4"/>
  <c r="AH18" i="41"/>
  <c r="AH11" i="10"/>
  <c r="AI16" i="12"/>
  <c r="AH16" i="41"/>
  <c r="AI11" i="12"/>
  <c r="AH11" i="4"/>
  <c r="AH16" i="3"/>
  <c r="AH16" i="16"/>
  <c r="AH16" i="11"/>
  <c r="AH16" i="4"/>
  <c r="AH16" i="8"/>
  <c r="AH13" i="13"/>
  <c r="AH13" i="10"/>
  <c r="AH13" i="4"/>
  <c r="AI13" i="12"/>
  <c r="AH13" i="3"/>
  <c r="AH13" i="8"/>
  <c r="AH13" i="16"/>
  <c r="AH16" i="13"/>
  <c r="AH16" i="10"/>
  <c r="AH18" i="13"/>
  <c r="AH18" i="8"/>
  <c r="AH18" i="10"/>
  <c r="AH18" i="16"/>
  <c r="AI18" i="12"/>
  <c r="AH18" i="3"/>
  <c r="AH18" i="11"/>
  <c r="AH141" i="5"/>
  <c r="AH42" i="17"/>
  <c r="AH134" i="5"/>
  <c r="AH136" i="5"/>
  <c r="AH43" i="17"/>
  <c r="AE47" i="3"/>
  <c r="AE28" i="15"/>
  <c r="AH52" i="18"/>
  <c r="AH53" i="18"/>
  <c r="AH37" i="18"/>
  <c r="AH20" i="8"/>
  <c r="AH20" i="13"/>
  <c r="AH20" i="4"/>
  <c r="AH20" i="11"/>
  <c r="AH20" i="16"/>
  <c r="AH20" i="3"/>
  <c r="AH73" i="16"/>
  <c r="AI20" i="12"/>
  <c r="AH20" i="10"/>
  <c r="AH51" i="5"/>
  <c r="AE55" i="3"/>
  <c r="AH17" i="8"/>
  <c r="AH17" i="13"/>
  <c r="AH17" i="4"/>
  <c r="AH17" i="11"/>
  <c r="AH17" i="16"/>
  <c r="AH17" i="3"/>
  <c r="AI17" i="12"/>
  <c r="AH17" i="10"/>
  <c r="AH45" i="5"/>
  <c r="AH12" i="8"/>
  <c r="AH12" i="13"/>
  <c r="AH12" i="4"/>
  <c r="AH12" i="11"/>
  <c r="AH12" i="16"/>
  <c r="AH12" i="3"/>
  <c r="AH12" i="10"/>
  <c r="AI12" i="12"/>
  <c r="AH54" i="5"/>
  <c r="AL207" i="22"/>
  <c r="AH39" i="5"/>
  <c r="AG88" i="8"/>
  <c r="AG89" i="8"/>
  <c r="AG42" i="8"/>
  <c r="AG40" i="8"/>
  <c r="AG41" i="8"/>
  <c r="AG29" i="3"/>
  <c r="AG29" i="16"/>
  <c r="AI4" i="5"/>
  <c r="AI3" i="9"/>
  <c r="AI3" i="15"/>
  <c r="AI3" i="17"/>
  <c r="AI3" i="8"/>
  <c r="AI3" i="13"/>
  <c r="AI3" i="14"/>
  <c r="AE4" i="56"/>
  <c r="AE80" i="56"/>
  <c r="AE98" i="56"/>
  <c r="AI3" i="4"/>
  <c r="AI3" i="1"/>
  <c r="AI3" i="11"/>
  <c r="AI3" i="16"/>
  <c r="AI3" i="3"/>
  <c r="AI3" i="18"/>
  <c r="AJ3" i="12"/>
  <c r="AF65" i="27"/>
  <c r="AI3" i="2"/>
  <c r="AI3" i="10"/>
  <c r="AI4" i="55"/>
  <c r="AI4" i="47"/>
  <c r="AI50" i="47"/>
  <c r="AI147" i="5"/>
  <c r="AI4" i="43"/>
  <c r="AI4" i="41"/>
  <c r="AI101" i="41"/>
  <c r="AL183" i="22"/>
  <c r="AL185" i="22"/>
  <c r="AH49" i="43"/>
  <c r="AL191" i="22"/>
  <c r="AL195" i="22"/>
  <c r="AH101" i="43"/>
  <c r="AH82" i="8"/>
  <c r="AH88" i="8"/>
  <c r="AH143" i="5"/>
  <c r="AH34" i="8"/>
  <c r="AH29" i="41"/>
  <c r="AH23" i="41"/>
  <c r="AH24" i="43"/>
  <c r="AH140" i="5"/>
  <c r="AI38" i="5"/>
  <c r="AI14" i="43"/>
  <c r="D14" i="43"/>
  <c r="AJ3" i="5"/>
  <c r="AI50" i="5"/>
  <c r="D50" i="5"/>
  <c r="AI48" i="5"/>
  <c r="D48" i="5"/>
  <c r="AI44" i="5"/>
  <c r="AI19" i="43"/>
  <c r="AI42" i="5"/>
  <c r="AI17" i="43"/>
  <c r="D17" i="43"/>
  <c r="AH30" i="3"/>
  <c r="AH53" i="3"/>
  <c r="AH135" i="5"/>
  <c r="AH23" i="8"/>
  <c r="AH23" i="13"/>
  <c r="AH23" i="4"/>
  <c r="AH23" i="11"/>
  <c r="AH23" i="16"/>
  <c r="AH23" i="3"/>
  <c r="AI23" i="12"/>
  <c r="AH23" i="10"/>
  <c r="AH104" i="5"/>
  <c r="AH103" i="5"/>
  <c r="AH102" i="5"/>
  <c r="AH101" i="5"/>
  <c r="AH100" i="5"/>
  <c r="AH99" i="5"/>
  <c r="AI4" i="9"/>
  <c r="AI4" i="15"/>
  <c r="AI4" i="17"/>
  <c r="AI4" i="8"/>
  <c r="AI4" i="13"/>
  <c r="AI4" i="4"/>
  <c r="AI4" i="14"/>
  <c r="AI4" i="1"/>
  <c r="AI4" i="11"/>
  <c r="AI4" i="16"/>
  <c r="AI4" i="3"/>
  <c r="AI4" i="18"/>
  <c r="AJ4" i="12"/>
  <c r="AF66" i="27"/>
  <c r="AI4" i="2"/>
  <c r="AI4" i="10"/>
  <c r="AI47" i="10"/>
  <c r="AI90" i="5"/>
  <c r="AI37" i="5"/>
  <c r="AI43" i="5"/>
  <c r="AI49" i="5"/>
  <c r="AM51" i="22"/>
  <c r="AI89" i="5"/>
  <c r="AI91" i="5"/>
  <c r="AI36" i="5"/>
  <c r="AF31" i="3"/>
  <c r="AG52" i="3"/>
  <c r="AJ3" i="55"/>
  <c r="AJ3" i="47"/>
  <c r="AJ49" i="47"/>
  <c r="AI37" i="55"/>
  <c r="AI52" i="55"/>
  <c r="AI53" i="55"/>
  <c r="AI21" i="43"/>
  <c r="AM218" i="22"/>
  <c r="D38" i="5"/>
  <c r="AI13" i="8"/>
  <c r="D13" i="8"/>
  <c r="AJ13" i="12"/>
  <c r="E13" i="12"/>
  <c r="AH89" i="8"/>
  <c r="AJ3" i="43"/>
  <c r="AJ3" i="41"/>
  <c r="AJ100" i="41"/>
  <c r="AJ3" i="3"/>
  <c r="AJ3" i="17"/>
  <c r="AJ3" i="10"/>
  <c r="AJ3" i="13"/>
  <c r="AJ3" i="15"/>
  <c r="AJ3" i="8"/>
  <c r="AJ3" i="4"/>
  <c r="AJ3" i="14"/>
  <c r="AF4" i="56"/>
  <c r="AF80" i="56"/>
  <c r="AF98" i="56"/>
  <c r="AJ3" i="18"/>
  <c r="AJ3" i="16"/>
  <c r="AJ3" i="9"/>
  <c r="AJ3" i="11"/>
  <c r="AJ3" i="1"/>
  <c r="AJ4" i="5"/>
  <c r="AK3" i="12"/>
  <c r="AG65" i="27"/>
  <c r="AJ48" i="5"/>
  <c r="AJ36" i="5"/>
  <c r="AJ38" i="5"/>
  <c r="AJ50" i="5"/>
  <c r="AJ44" i="5"/>
  <c r="AH40" i="8"/>
  <c r="AH42" i="8"/>
  <c r="AH41" i="8"/>
  <c r="AI17" i="41"/>
  <c r="D17" i="41"/>
  <c r="AI18" i="43"/>
  <c r="AI11" i="41"/>
  <c r="D11" i="41"/>
  <c r="AI12" i="43"/>
  <c r="D12" i="43"/>
  <c r="AH29" i="16"/>
  <c r="AH83" i="8"/>
  <c r="AH35" i="8"/>
  <c r="AI12" i="41"/>
  <c r="D12" i="41"/>
  <c r="AI13" i="43"/>
  <c r="D13" i="43"/>
  <c r="AH29" i="3"/>
  <c r="AG31" i="3"/>
  <c r="AI13" i="13"/>
  <c r="D13" i="13"/>
  <c r="AI13" i="41"/>
  <c r="D13" i="41"/>
  <c r="AI71" i="41"/>
  <c r="AI20" i="41"/>
  <c r="AI16" i="13"/>
  <c r="D16" i="13"/>
  <c r="AI16" i="41"/>
  <c r="D16" i="41"/>
  <c r="AI18" i="13"/>
  <c r="D18" i="13"/>
  <c r="AI18" i="41"/>
  <c r="D18" i="41"/>
  <c r="AJ16" i="12"/>
  <c r="E16" i="12"/>
  <c r="AI13" i="10"/>
  <c r="D13" i="10"/>
  <c r="D42" i="5"/>
  <c r="AI16" i="11"/>
  <c r="D16" i="11"/>
  <c r="AI16" i="16"/>
  <c r="D16" i="16"/>
  <c r="AI16" i="4"/>
  <c r="D16" i="4"/>
  <c r="AI13" i="3"/>
  <c r="D13" i="3"/>
  <c r="AI16" i="8"/>
  <c r="D16" i="8"/>
  <c r="AI13" i="16"/>
  <c r="D13" i="16"/>
  <c r="AI13" i="11"/>
  <c r="D13" i="11"/>
  <c r="AI16" i="10"/>
  <c r="D16" i="10"/>
  <c r="AI13" i="4"/>
  <c r="D13" i="4"/>
  <c r="AI16" i="3"/>
  <c r="D16" i="3"/>
  <c r="AI136" i="5"/>
  <c r="AI43" i="17"/>
  <c r="F43" i="17"/>
  <c r="AI18" i="8"/>
  <c r="D44" i="5"/>
  <c r="AJ18" i="12"/>
  <c r="E18" i="12"/>
  <c r="AI18" i="3"/>
  <c r="D18" i="3"/>
  <c r="AI18" i="10"/>
  <c r="D18" i="10"/>
  <c r="AI18" i="16"/>
  <c r="D18" i="16"/>
  <c r="AI18" i="11"/>
  <c r="D18" i="11"/>
  <c r="AI18" i="4"/>
  <c r="D18" i="4"/>
  <c r="AI20" i="8"/>
  <c r="AI20" i="13"/>
  <c r="D20" i="13"/>
  <c r="AI20" i="4"/>
  <c r="D20" i="4"/>
  <c r="AI20" i="11"/>
  <c r="D20" i="11"/>
  <c r="AI20" i="16"/>
  <c r="D20" i="16"/>
  <c r="AI20" i="3"/>
  <c r="D20" i="3"/>
  <c r="AI73" i="16"/>
  <c r="AI20" i="10"/>
  <c r="D20" i="10"/>
  <c r="AJ20" i="12"/>
  <c r="E20" i="12"/>
  <c r="AI51" i="5"/>
  <c r="D51" i="5"/>
  <c r="AI52" i="18"/>
  <c r="AI37" i="18"/>
  <c r="AF46" i="3"/>
  <c r="AF32" i="3"/>
  <c r="AI12" i="8"/>
  <c r="D12" i="8"/>
  <c r="AI12" i="13"/>
  <c r="D12" i="13"/>
  <c r="AI12" i="4"/>
  <c r="D12" i="4"/>
  <c r="AI12" i="11"/>
  <c r="D12" i="11"/>
  <c r="AI12" i="16"/>
  <c r="D12" i="16"/>
  <c r="AI12" i="3"/>
  <c r="D12" i="3"/>
  <c r="AI12" i="10"/>
  <c r="D12" i="10"/>
  <c r="AJ12" i="12"/>
  <c r="E12" i="12"/>
  <c r="AI54" i="5"/>
  <c r="AM207" i="22"/>
  <c r="D37" i="5"/>
  <c r="AI39" i="5"/>
  <c r="D39" i="5"/>
  <c r="AF54" i="3"/>
  <c r="AI11" i="8"/>
  <c r="D11" i="8"/>
  <c r="AI11" i="13"/>
  <c r="D11" i="13"/>
  <c r="AI11" i="4"/>
  <c r="D11" i="4"/>
  <c r="AI11" i="11"/>
  <c r="D11" i="11"/>
  <c r="AI11" i="16"/>
  <c r="D11" i="16"/>
  <c r="AI11" i="3"/>
  <c r="D11" i="3"/>
  <c r="AI11" i="10"/>
  <c r="D11" i="10"/>
  <c r="AJ11" i="12"/>
  <c r="E11" i="12"/>
  <c r="D36" i="5"/>
  <c r="AI17" i="8"/>
  <c r="AI17" i="13"/>
  <c r="D17" i="13"/>
  <c r="AI17" i="4"/>
  <c r="D17" i="4"/>
  <c r="AI17" i="11"/>
  <c r="AI17" i="16"/>
  <c r="D17" i="16"/>
  <c r="AI17" i="3"/>
  <c r="D17" i="3"/>
  <c r="AI17" i="10"/>
  <c r="D17" i="10"/>
  <c r="AJ17" i="12"/>
  <c r="E17" i="12"/>
  <c r="AI45" i="5"/>
  <c r="AI139" i="5"/>
  <c r="AI141" i="5"/>
  <c r="AI42" i="17"/>
  <c r="F42" i="17"/>
  <c r="AI134" i="5"/>
  <c r="AJ42" i="5"/>
  <c r="AJ16" i="10"/>
  <c r="AJ4" i="55"/>
  <c r="AJ4" i="47"/>
  <c r="AJ50" i="47"/>
  <c r="AJ147" i="5"/>
  <c r="AJ16" i="41"/>
  <c r="AJ16" i="4"/>
  <c r="AJ16" i="11"/>
  <c r="AJ17" i="43"/>
  <c r="AJ16" i="16"/>
  <c r="AJ18" i="8"/>
  <c r="AJ18" i="16"/>
  <c r="AJ18" i="11"/>
  <c r="AK18" i="12"/>
  <c r="AJ18" i="4"/>
  <c r="AJ18" i="10"/>
  <c r="AJ18" i="41"/>
  <c r="AJ18" i="3"/>
  <c r="AJ19" i="43"/>
  <c r="AJ18" i="13"/>
  <c r="AJ13" i="41"/>
  <c r="AJ13" i="10"/>
  <c r="AJ14" i="43"/>
  <c r="AJ13" i="3"/>
  <c r="AJ13" i="8"/>
  <c r="AJ13" i="13"/>
  <c r="AK13" i="12"/>
  <c r="AJ13" i="4"/>
  <c r="AJ13" i="11"/>
  <c r="AJ13" i="16"/>
  <c r="AJ11" i="10"/>
  <c r="AJ11" i="11"/>
  <c r="AJ11" i="3"/>
  <c r="AJ11" i="8"/>
  <c r="AJ11" i="16"/>
  <c r="AJ11" i="13"/>
  <c r="AJ11" i="41"/>
  <c r="AJ12" i="43"/>
  <c r="AK11" i="12"/>
  <c r="AJ11" i="4"/>
  <c r="AK3" i="5"/>
  <c r="AJ4" i="43"/>
  <c r="AJ4" i="41"/>
  <c r="AJ101" i="41"/>
  <c r="AJ4" i="10"/>
  <c r="AJ47" i="10"/>
  <c r="AJ4" i="3"/>
  <c r="AJ4" i="17"/>
  <c r="AJ4" i="15"/>
  <c r="AJ4" i="8"/>
  <c r="AJ4" i="9"/>
  <c r="AJ4" i="18"/>
  <c r="AJ4" i="11"/>
  <c r="AJ4" i="13"/>
  <c r="AJ4" i="14"/>
  <c r="AJ4" i="16"/>
  <c r="AJ4" i="4"/>
  <c r="AJ4" i="1"/>
  <c r="AK4" i="12"/>
  <c r="AG66" i="27"/>
  <c r="AJ90" i="5"/>
  <c r="AJ89" i="5"/>
  <c r="AJ91" i="5"/>
  <c r="AJ37" i="5"/>
  <c r="AJ49" i="5"/>
  <c r="AJ43" i="5"/>
  <c r="AJ136" i="5"/>
  <c r="AJ30" i="3"/>
  <c r="AJ53" i="3"/>
  <c r="AM183" i="22"/>
  <c r="AM185" i="22"/>
  <c r="AI49" i="43"/>
  <c r="AM191" i="22"/>
  <c r="AM195" i="22"/>
  <c r="AI101" i="43"/>
  <c r="AH52" i="3"/>
  <c r="AG54" i="3"/>
  <c r="AI23" i="41"/>
  <c r="AI24" i="43"/>
  <c r="D20" i="41"/>
  <c r="D71" i="41"/>
  <c r="AI30" i="3"/>
  <c r="AI53" i="3"/>
  <c r="D53" i="3"/>
  <c r="AR135" i="5"/>
  <c r="BA135" i="5"/>
  <c r="AP135" i="5"/>
  <c r="AV135" i="5"/>
  <c r="AJ135" i="5"/>
  <c r="AO135" i="5"/>
  <c r="AU135" i="5"/>
  <c r="AS135" i="5"/>
  <c r="AT135" i="5"/>
  <c r="AN135" i="5"/>
  <c r="AW135" i="5"/>
  <c r="AK135" i="5"/>
  <c r="AQ135" i="5"/>
  <c r="AM135" i="5"/>
  <c r="AZ135" i="5"/>
  <c r="AL135" i="5"/>
  <c r="D17" i="11"/>
  <c r="AI23" i="8"/>
  <c r="AI23" i="13"/>
  <c r="AI23" i="4"/>
  <c r="AI23" i="11"/>
  <c r="AI23" i="16"/>
  <c r="AI23" i="3"/>
  <c r="AI23" i="10"/>
  <c r="AJ23" i="12"/>
  <c r="AG46" i="3"/>
  <c r="AG32" i="3"/>
  <c r="AF47" i="3"/>
  <c r="AF28" i="15"/>
  <c r="AI53" i="18"/>
  <c r="AF55" i="3"/>
  <c r="AI34" i="8"/>
  <c r="AI143" i="5"/>
  <c r="AI140" i="5"/>
  <c r="AI104" i="5"/>
  <c r="AI103" i="5"/>
  <c r="AI102" i="5"/>
  <c r="AI101" i="5"/>
  <c r="AI100" i="5"/>
  <c r="AI99" i="5"/>
  <c r="AI82" i="8"/>
  <c r="AI135" i="5"/>
  <c r="AJ16" i="13"/>
  <c r="AK16" i="12"/>
  <c r="AJ16" i="8"/>
  <c r="AJ16" i="3"/>
  <c r="AK3" i="55"/>
  <c r="AK3" i="47"/>
  <c r="AK49" i="47"/>
  <c r="AJ52" i="55"/>
  <c r="AJ53" i="55"/>
  <c r="AJ37" i="55"/>
  <c r="AN51" i="22"/>
  <c r="AJ141" i="5"/>
  <c r="AJ139" i="5"/>
  <c r="AJ140" i="5"/>
  <c r="AJ35" i="8"/>
  <c r="AJ37" i="18"/>
  <c r="AJ52" i="18"/>
  <c r="AJ53" i="18"/>
  <c r="AK4" i="5"/>
  <c r="AK3" i="43"/>
  <c r="AK3" i="41"/>
  <c r="AK100" i="41"/>
  <c r="AK3" i="3"/>
  <c r="AK3" i="17"/>
  <c r="AK3" i="10"/>
  <c r="AK3" i="13"/>
  <c r="AK3" i="15"/>
  <c r="AK3" i="8"/>
  <c r="AK3" i="4"/>
  <c r="AK3" i="14"/>
  <c r="AG4" i="56"/>
  <c r="AG80" i="56"/>
  <c r="AG98" i="56"/>
  <c r="AK3" i="18"/>
  <c r="AK3" i="16"/>
  <c r="AK3" i="9"/>
  <c r="AK3" i="11"/>
  <c r="AK3" i="1"/>
  <c r="AL3" i="12"/>
  <c r="AH65" i="27"/>
  <c r="AK42" i="5"/>
  <c r="AK36" i="5"/>
  <c r="AJ17" i="3"/>
  <c r="AJ17" i="11"/>
  <c r="AJ17" i="8"/>
  <c r="AJ17" i="13"/>
  <c r="AJ56" i="13"/>
  <c r="AK17" i="12"/>
  <c r="AJ17" i="41"/>
  <c r="AJ18" i="43"/>
  <c r="AJ17" i="4"/>
  <c r="AJ17" i="10"/>
  <c r="AJ17" i="16"/>
  <c r="AJ45" i="5"/>
  <c r="AJ21" i="43"/>
  <c r="AK20" i="12"/>
  <c r="AJ20" i="4"/>
  <c r="AJ20" i="8"/>
  <c r="AJ20" i="3"/>
  <c r="AJ71" i="41"/>
  <c r="AJ20" i="10"/>
  <c r="AJ73" i="16"/>
  <c r="AJ20" i="41"/>
  <c r="AJ20" i="13"/>
  <c r="AJ20" i="16"/>
  <c r="AJ20" i="11"/>
  <c r="AJ51" i="5"/>
  <c r="AJ12" i="10"/>
  <c r="AJ12" i="3"/>
  <c r="AJ12" i="8"/>
  <c r="AK12" i="12"/>
  <c r="AJ12" i="13"/>
  <c r="AJ54" i="5"/>
  <c r="AN207" i="22"/>
  <c r="AJ12" i="16"/>
  <c r="AJ12" i="4"/>
  <c r="AJ12" i="41"/>
  <c r="AJ12" i="11"/>
  <c r="AJ13" i="43"/>
  <c r="AJ39" i="5"/>
  <c r="D30" i="3"/>
  <c r="AU83" i="8"/>
  <c r="AM83" i="8"/>
  <c r="AO83" i="8"/>
  <c r="AQ83" i="8"/>
  <c r="AJ83" i="8"/>
  <c r="AK83" i="8"/>
  <c r="AV83" i="8"/>
  <c r="AW83" i="8"/>
  <c r="AP83" i="8"/>
  <c r="AI35" i="8"/>
  <c r="AN83" i="8"/>
  <c r="AT83" i="8"/>
  <c r="AR83" i="8"/>
  <c r="AI83" i="8"/>
  <c r="D83" i="8"/>
  <c r="AL83" i="8"/>
  <c r="AS83" i="8"/>
  <c r="AI29" i="41"/>
  <c r="AG55" i="3"/>
  <c r="AI89" i="8"/>
  <c r="AI88" i="8"/>
  <c r="D82" i="8"/>
  <c r="AG47" i="3"/>
  <c r="AG28" i="15"/>
  <c r="AI41" i="8"/>
  <c r="AI42" i="8"/>
  <c r="AI40" i="8"/>
  <c r="AI29" i="16"/>
  <c r="AI29" i="3"/>
  <c r="AK4" i="55"/>
  <c r="AK4" i="47"/>
  <c r="AK50" i="47"/>
  <c r="AK147" i="5"/>
  <c r="AN218" i="22"/>
  <c r="AJ143" i="5"/>
  <c r="AJ34" i="8"/>
  <c r="AJ29" i="3"/>
  <c r="AJ100" i="5"/>
  <c r="AJ101" i="5"/>
  <c r="AJ102" i="5"/>
  <c r="AJ103" i="5"/>
  <c r="AJ104" i="5"/>
  <c r="AJ99" i="5"/>
  <c r="AK11" i="41"/>
  <c r="AK11" i="10"/>
  <c r="AL11" i="12"/>
  <c r="AK11" i="11"/>
  <c r="AK12" i="43"/>
  <c r="AK11" i="3"/>
  <c r="AK11" i="8"/>
  <c r="AK11" i="13"/>
  <c r="AK11" i="16"/>
  <c r="AK11" i="4"/>
  <c r="AK16" i="41"/>
  <c r="AK16" i="8"/>
  <c r="AL16" i="12"/>
  <c r="AK16" i="11"/>
  <c r="AK17" i="43"/>
  <c r="AK16" i="13"/>
  <c r="AK16" i="4"/>
  <c r="AK36" i="4"/>
  <c r="AK16" i="16"/>
  <c r="AK16" i="10"/>
  <c r="AK16" i="3"/>
  <c r="AL3" i="5"/>
  <c r="AK4" i="43"/>
  <c r="AK4" i="41"/>
  <c r="AK101" i="41"/>
  <c r="AK4" i="10"/>
  <c r="AK4" i="3"/>
  <c r="AK4" i="17"/>
  <c r="AK4" i="16"/>
  <c r="AK4" i="4"/>
  <c r="AK4" i="15"/>
  <c r="AK4" i="8"/>
  <c r="AK4" i="9"/>
  <c r="AK4" i="18"/>
  <c r="AK4" i="11"/>
  <c r="AK4" i="13"/>
  <c r="AK4" i="14"/>
  <c r="AK4" i="1"/>
  <c r="AL4" i="12"/>
  <c r="AH66" i="27"/>
  <c r="AK90" i="5"/>
  <c r="AK89" i="5"/>
  <c r="AK91" i="5"/>
  <c r="AK37" i="5"/>
  <c r="AK49" i="5"/>
  <c r="AK43" i="5"/>
  <c r="AK139" i="5"/>
  <c r="AN191" i="22"/>
  <c r="AN195" i="22"/>
  <c r="AJ101" i="43"/>
  <c r="AJ23" i="10"/>
  <c r="AJ23" i="3"/>
  <c r="AJ23" i="8"/>
  <c r="AJ23" i="13"/>
  <c r="AJ23" i="4"/>
  <c r="AJ24" i="43"/>
  <c r="AK23" i="12"/>
  <c r="AN183" i="22"/>
  <c r="AN185" i="22"/>
  <c r="AJ49" i="43"/>
  <c r="AJ23" i="11"/>
  <c r="AK50" i="5"/>
  <c r="AK44" i="5"/>
  <c r="AK47" i="10"/>
  <c r="AK38" i="5"/>
  <c r="AK48" i="5"/>
  <c r="D29" i="41"/>
  <c r="AO84" i="8"/>
  <c r="AW84" i="8"/>
  <c r="AT84" i="8"/>
  <c r="AP84" i="8"/>
  <c r="AX84" i="8"/>
  <c r="AQ84" i="8"/>
  <c r="AY84" i="8"/>
  <c r="AJ84" i="8"/>
  <c r="AR84" i="8"/>
  <c r="AK84" i="8"/>
  <c r="AS84" i="8"/>
  <c r="AM84" i="8"/>
  <c r="AU84" i="8"/>
  <c r="AN84" i="8"/>
  <c r="AV84" i="8"/>
  <c r="AL84" i="8"/>
  <c r="AX90" i="8"/>
  <c r="AY90" i="8"/>
  <c r="AH31" i="3"/>
  <c r="AI52" i="3"/>
  <c r="D29" i="3"/>
  <c r="O84" i="8"/>
  <c r="W84" i="8"/>
  <c r="AE84" i="8"/>
  <c r="P84" i="8"/>
  <c r="X84" i="8"/>
  <c r="AF84" i="8"/>
  <c r="I84" i="8"/>
  <c r="Q84" i="8"/>
  <c r="Y84" i="8"/>
  <c r="AG84" i="8"/>
  <c r="J84" i="8"/>
  <c r="R84" i="8"/>
  <c r="Z84" i="8"/>
  <c r="AH84" i="8"/>
  <c r="K84" i="8"/>
  <c r="S84" i="8"/>
  <c r="AA84" i="8"/>
  <c r="AI84" i="8"/>
  <c r="L84" i="8"/>
  <c r="T84" i="8"/>
  <c r="AB84" i="8"/>
  <c r="M84" i="8"/>
  <c r="U84" i="8"/>
  <c r="AC84" i="8"/>
  <c r="N84" i="8"/>
  <c r="V84" i="8"/>
  <c r="AD84" i="8"/>
  <c r="D29" i="16"/>
  <c r="AJ40" i="8"/>
  <c r="AL3" i="55"/>
  <c r="AL3" i="47"/>
  <c r="AL49" i="47"/>
  <c r="AK37" i="55"/>
  <c r="AK52" i="55"/>
  <c r="AK53" i="55"/>
  <c r="AO51" i="22"/>
  <c r="AJ41" i="8"/>
  <c r="AJ42" i="8"/>
  <c r="AK141" i="5"/>
  <c r="AK136" i="5"/>
  <c r="AK30" i="3"/>
  <c r="AK53" i="3"/>
  <c r="AJ52" i="3"/>
  <c r="AI31" i="3"/>
  <c r="AK37" i="18"/>
  <c r="AK52" i="18"/>
  <c r="AK53" i="18"/>
  <c r="AK44" i="4"/>
  <c r="AK51" i="4"/>
  <c r="AK50" i="10"/>
  <c r="AL13" i="12"/>
  <c r="AK13" i="10"/>
  <c r="AK13" i="4"/>
  <c r="AK13" i="41"/>
  <c r="AK13" i="3"/>
  <c r="AK13" i="11"/>
  <c r="AK14" i="43"/>
  <c r="AK13" i="8"/>
  <c r="AK13" i="16"/>
  <c r="AK13" i="13"/>
  <c r="AL4" i="5"/>
  <c r="AL36" i="5"/>
  <c r="AL3" i="43"/>
  <c r="AL3" i="41"/>
  <c r="AL100" i="41"/>
  <c r="AL3" i="3"/>
  <c r="AL3" i="17"/>
  <c r="AL3" i="10"/>
  <c r="AL3" i="16"/>
  <c r="AL3" i="9"/>
  <c r="AL3" i="11"/>
  <c r="AL3" i="13"/>
  <c r="AL3" i="15"/>
  <c r="AL3" i="8"/>
  <c r="AL3" i="4"/>
  <c r="AL3" i="14"/>
  <c r="AH4" i="56"/>
  <c r="AH80" i="56"/>
  <c r="AH98" i="56"/>
  <c r="AL3" i="18"/>
  <c r="AM3" i="12"/>
  <c r="AI65" i="27"/>
  <c r="AL3" i="1"/>
  <c r="AL48" i="5"/>
  <c r="AL38" i="5"/>
  <c r="AL44" i="5"/>
  <c r="AL50" i="5"/>
  <c r="AK18" i="3"/>
  <c r="AK18" i="11"/>
  <c r="AK18" i="13"/>
  <c r="AL18" i="12"/>
  <c r="AK18" i="8"/>
  <c r="AK18" i="4"/>
  <c r="AK18" i="41"/>
  <c r="AK19" i="43"/>
  <c r="AK18" i="10"/>
  <c r="AK18" i="16"/>
  <c r="AK143" i="5"/>
  <c r="AK34" i="8"/>
  <c r="AK140" i="5"/>
  <c r="AK35" i="8"/>
  <c r="AK17" i="10"/>
  <c r="AK17" i="4"/>
  <c r="AK17" i="8"/>
  <c r="AK17" i="16"/>
  <c r="AK17" i="41"/>
  <c r="AK17" i="13"/>
  <c r="AK56" i="13"/>
  <c r="AK17" i="11"/>
  <c r="AK18" i="43"/>
  <c r="AL17" i="12"/>
  <c r="AK17" i="3"/>
  <c r="AK45" i="5"/>
  <c r="AK21" i="43"/>
  <c r="AK73" i="16"/>
  <c r="AK20" i="16"/>
  <c r="AL20" i="12"/>
  <c r="AK20" i="8"/>
  <c r="AK20" i="11"/>
  <c r="AK20" i="4"/>
  <c r="AK71" i="41"/>
  <c r="AK20" i="41"/>
  <c r="AK20" i="10"/>
  <c r="AK20" i="3"/>
  <c r="AK20" i="13"/>
  <c r="AK51" i="5"/>
  <c r="AK12" i="10"/>
  <c r="AK54" i="5"/>
  <c r="AO207" i="22"/>
  <c r="AK12" i="3"/>
  <c r="AK12" i="8"/>
  <c r="AK12" i="13"/>
  <c r="AK12" i="16"/>
  <c r="AL12" i="12"/>
  <c r="AK12" i="41"/>
  <c r="AK12" i="4"/>
  <c r="AK13" i="43"/>
  <c r="AK12" i="11"/>
  <c r="AK39" i="5"/>
  <c r="D84" i="8"/>
  <c r="AH54" i="3"/>
  <c r="D52" i="3"/>
  <c r="AH46" i="3"/>
  <c r="AH32" i="3"/>
  <c r="AL42" i="5"/>
  <c r="AL16" i="11"/>
  <c r="AL4" i="55"/>
  <c r="AL4" i="47"/>
  <c r="AL50" i="47"/>
  <c r="AL147" i="5"/>
  <c r="AO218" i="22"/>
  <c r="AK16" i="15"/>
  <c r="AL16" i="8"/>
  <c r="AL16" i="4"/>
  <c r="AL36" i="4"/>
  <c r="AL16" i="13"/>
  <c r="AL16" i="16"/>
  <c r="AL16" i="41"/>
  <c r="AL17" i="43"/>
  <c r="AL16" i="3"/>
  <c r="AL16" i="10"/>
  <c r="AM16" i="12"/>
  <c r="AL18" i="4"/>
  <c r="AL18" i="3"/>
  <c r="AL18" i="41"/>
  <c r="AL18" i="10"/>
  <c r="AL19" i="43"/>
  <c r="AL18" i="8"/>
  <c r="AL18" i="16"/>
  <c r="AL18" i="13"/>
  <c r="AL18" i="11"/>
  <c r="AM18" i="12"/>
  <c r="AK104" i="5"/>
  <c r="AK99" i="5"/>
  <c r="AK100" i="5"/>
  <c r="AK101" i="5"/>
  <c r="AK102" i="5"/>
  <c r="AK103" i="5"/>
  <c r="AK96" i="8"/>
  <c r="AL13" i="41"/>
  <c r="AL13" i="16"/>
  <c r="AL14" i="43"/>
  <c r="AL13" i="4"/>
  <c r="AL13" i="11"/>
  <c r="AL13" i="10"/>
  <c r="AL13" i="3"/>
  <c r="AL13" i="8"/>
  <c r="AL13" i="13"/>
  <c r="AM13" i="12"/>
  <c r="AK51" i="10"/>
  <c r="AK52" i="10"/>
  <c r="AK54" i="10"/>
  <c r="AK24" i="43"/>
  <c r="AK23" i="8"/>
  <c r="AL23" i="12"/>
  <c r="AO183" i="22"/>
  <c r="AO185" i="22"/>
  <c r="AK49" i="43"/>
  <c r="AK23" i="4"/>
  <c r="AK23" i="11"/>
  <c r="AO191" i="22"/>
  <c r="AO195" i="22"/>
  <c r="AK101" i="43"/>
  <c r="AK23" i="13"/>
  <c r="AK23" i="3"/>
  <c r="AK23" i="10"/>
  <c r="AK41" i="8"/>
  <c r="AK42" i="8"/>
  <c r="AK40" i="8"/>
  <c r="AK29" i="3"/>
  <c r="AL11" i="16"/>
  <c r="AL11" i="41"/>
  <c r="AL11" i="10"/>
  <c r="AM11" i="12"/>
  <c r="AL12" i="43"/>
  <c r="AL11" i="3"/>
  <c r="AL11" i="11"/>
  <c r="AL11" i="8"/>
  <c r="AL11" i="13"/>
  <c r="AL11" i="4"/>
  <c r="AI46" i="3"/>
  <c r="AI47" i="3"/>
  <c r="AI28" i="15"/>
  <c r="AI32" i="3"/>
  <c r="D32" i="3"/>
  <c r="AL4" i="43"/>
  <c r="AL4" i="41"/>
  <c r="AL101" i="41"/>
  <c r="AL4" i="10"/>
  <c r="AL47" i="10"/>
  <c r="AL4" i="3"/>
  <c r="AL4" i="17"/>
  <c r="AL4" i="13"/>
  <c r="AL4" i="14"/>
  <c r="AL4" i="16"/>
  <c r="AL4" i="4"/>
  <c r="AL4" i="15"/>
  <c r="AL4" i="8"/>
  <c r="AL4" i="9"/>
  <c r="AL4" i="18"/>
  <c r="AL4" i="11"/>
  <c r="AM4" i="12"/>
  <c r="AI66" i="27"/>
  <c r="AL4" i="1"/>
  <c r="AM3" i="5"/>
  <c r="AM3" i="55"/>
  <c r="AL90" i="5"/>
  <c r="AL89" i="5"/>
  <c r="AL91" i="5"/>
  <c r="AL37" i="5"/>
  <c r="AL43" i="5"/>
  <c r="AL136" i="5"/>
  <c r="AL30" i="3"/>
  <c r="AL53" i="3"/>
  <c r="AL49" i="5"/>
  <c r="AI54" i="3"/>
  <c r="AI55" i="3"/>
  <c r="AH55" i="3"/>
  <c r="AH47" i="3"/>
  <c r="D55" i="3"/>
  <c r="AL52" i="55"/>
  <c r="AL53" i="55"/>
  <c r="AL37" i="55"/>
  <c r="AP51" i="22"/>
  <c r="AK15" i="18"/>
  <c r="AK15" i="55"/>
  <c r="D47" i="3"/>
  <c r="AL141" i="5"/>
  <c r="D46" i="3"/>
  <c r="D205" i="7"/>
  <c r="AL139" i="5"/>
  <c r="AL34" i="8"/>
  <c r="AL12" i="41"/>
  <c r="AL12" i="13"/>
  <c r="AL13" i="43"/>
  <c r="AM12" i="12"/>
  <c r="AL12" i="3"/>
  <c r="AL12" i="16"/>
  <c r="AL54" i="5"/>
  <c r="AP207" i="22"/>
  <c r="AL12" i="10"/>
  <c r="AL12" i="4"/>
  <c r="AL12" i="8"/>
  <c r="AL12" i="11"/>
  <c r="AL39" i="5"/>
  <c r="AL37" i="18"/>
  <c r="AL52" i="18"/>
  <c r="AL53" i="18"/>
  <c r="AK52" i="3"/>
  <c r="AJ54" i="3"/>
  <c r="AJ55" i="3"/>
  <c r="AJ31" i="3"/>
  <c r="AM4" i="5"/>
  <c r="AM3" i="43"/>
  <c r="AM3" i="41"/>
  <c r="AM100" i="41"/>
  <c r="AM3" i="10"/>
  <c r="AM3" i="3"/>
  <c r="AM3" i="17"/>
  <c r="AM3" i="16"/>
  <c r="AM3" i="11"/>
  <c r="AM3" i="13"/>
  <c r="AM3" i="8"/>
  <c r="AM3" i="4"/>
  <c r="AI4" i="56"/>
  <c r="AI80" i="56"/>
  <c r="AI98" i="56"/>
  <c r="AM3" i="18"/>
  <c r="AM36" i="5"/>
  <c r="AM48" i="5"/>
  <c r="AL21" i="43"/>
  <c r="AL20" i="8"/>
  <c r="AL20" i="10"/>
  <c r="AL71" i="41"/>
  <c r="AL20" i="3"/>
  <c r="AL20" i="41"/>
  <c r="AL20" i="13"/>
  <c r="AL73" i="16"/>
  <c r="AL20" i="16"/>
  <c r="AM20" i="12"/>
  <c r="AL20" i="11"/>
  <c r="AL20" i="4"/>
  <c r="AL51" i="5"/>
  <c r="AL44" i="4"/>
  <c r="AL51" i="4"/>
  <c r="AL50" i="10"/>
  <c r="AL17" i="41"/>
  <c r="AL17" i="13"/>
  <c r="AL56" i="13"/>
  <c r="AL18" i="43"/>
  <c r="AL17" i="4"/>
  <c r="AL17" i="16"/>
  <c r="AM17" i="12"/>
  <c r="AL17" i="11"/>
  <c r="AL17" i="3"/>
  <c r="AL17" i="10"/>
  <c r="AL17" i="8"/>
  <c r="AL45" i="5"/>
  <c r="AH28" i="15"/>
  <c r="D28" i="15"/>
  <c r="K41" i="8"/>
  <c r="K42" i="8"/>
  <c r="K88" i="8"/>
  <c r="K89" i="8"/>
  <c r="K143" i="5"/>
  <c r="AM42" i="5"/>
  <c r="AM16" i="41"/>
  <c r="AM4" i="55"/>
  <c r="AM147" i="5"/>
  <c r="AP218" i="22"/>
  <c r="O56" i="19"/>
  <c r="AL140" i="5"/>
  <c r="AL35" i="8"/>
  <c r="AL143" i="5"/>
  <c r="AM16" i="4"/>
  <c r="AM36" i="4"/>
  <c r="AM16" i="11"/>
  <c r="AM16" i="8"/>
  <c r="AM16" i="13"/>
  <c r="AM11" i="4"/>
  <c r="AM11" i="11"/>
  <c r="AM11" i="16"/>
  <c r="AM11" i="10"/>
  <c r="AM11" i="3"/>
  <c r="AM11" i="41"/>
  <c r="AM11" i="8"/>
  <c r="AM12" i="43"/>
  <c r="AM11" i="13"/>
  <c r="AL23" i="4"/>
  <c r="AM23" i="12"/>
  <c r="AL23" i="13"/>
  <c r="AL23" i="11"/>
  <c r="AL24" i="43"/>
  <c r="AL23" i="3"/>
  <c r="AP183" i="22"/>
  <c r="AP185" i="22"/>
  <c r="AL49" i="43"/>
  <c r="AL23" i="10"/>
  <c r="AP191" i="22"/>
  <c r="AP195" i="22"/>
  <c r="AL101" i="43"/>
  <c r="AL23" i="8"/>
  <c r="AL16" i="15"/>
  <c r="AL51" i="10"/>
  <c r="AL52" i="10"/>
  <c r="AL54" i="10"/>
  <c r="AN3" i="5"/>
  <c r="AN3" i="55"/>
  <c r="AM4" i="43"/>
  <c r="AM4" i="41"/>
  <c r="AM101" i="41"/>
  <c r="AM4" i="10"/>
  <c r="AM47" i="10"/>
  <c r="AM4" i="3"/>
  <c r="AM4" i="17"/>
  <c r="AM4" i="13"/>
  <c r="AM4" i="16"/>
  <c r="AM4" i="4"/>
  <c r="AM4" i="8"/>
  <c r="AM4" i="18"/>
  <c r="AM4" i="11"/>
  <c r="AM91" i="5"/>
  <c r="AM89" i="5"/>
  <c r="AM90" i="5"/>
  <c r="AM37" i="5"/>
  <c r="AM49" i="5"/>
  <c r="AM43" i="5"/>
  <c r="AM136" i="5"/>
  <c r="AM30" i="3"/>
  <c r="AM53" i="3"/>
  <c r="AM50" i="5"/>
  <c r="AJ46" i="3"/>
  <c r="AJ47" i="3"/>
  <c r="AJ28" i="15"/>
  <c r="AJ32" i="3"/>
  <c r="AM44" i="5"/>
  <c r="AL41" i="8"/>
  <c r="AL29" i="3"/>
  <c r="AL40" i="8"/>
  <c r="AL42" i="8"/>
  <c r="AL102" i="5"/>
  <c r="AL104" i="5"/>
  <c r="AL99" i="5"/>
  <c r="AL101" i="5"/>
  <c r="AL103" i="5"/>
  <c r="AL100" i="5"/>
  <c r="AL96" i="8"/>
  <c r="AM38" i="5"/>
  <c r="AM16" i="3"/>
  <c r="AM17" i="43"/>
  <c r="AM16" i="16"/>
  <c r="AM16" i="10"/>
  <c r="AM52" i="55"/>
  <c r="AM53" i="55"/>
  <c r="AM37" i="55"/>
  <c r="AL15" i="18"/>
  <c r="AL15" i="55"/>
  <c r="AM141" i="5"/>
  <c r="AM139" i="5"/>
  <c r="AM140" i="5"/>
  <c r="AM35" i="8"/>
  <c r="AM12" i="16"/>
  <c r="AM12" i="4"/>
  <c r="AM12" i="10"/>
  <c r="AM12" i="3"/>
  <c r="AM54" i="5"/>
  <c r="AM12" i="41"/>
  <c r="AM12" i="8"/>
  <c r="AM13" i="43"/>
  <c r="AM12" i="13"/>
  <c r="AM12" i="11"/>
  <c r="AM39" i="5"/>
  <c r="AN3" i="43"/>
  <c r="AN3" i="41"/>
  <c r="AN100" i="41"/>
  <c r="AN3" i="10"/>
  <c r="AN3" i="3"/>
  <c r="AN3" i="17"/>
  <c r="AJ4" i="56"/>
  <c r="AJ80" i="56"/>
  <c r="AJ98" i="56"/>
  <c r="AN3" i="18"/>
  <c r="AN3" i="16"/>
  <c r="AN3" i="11"/>
  <c r="AN3" i="4"/>
  <c r="AN3" i="13"/>
  <c r="AN3" i="8"/>
  <c r="AN4" i="5"/>
  <c r="AN36" i="5"/>
  <c r="AK31" i="3"/>
  <c r="AL52" i="3"/>
  <c r="AM17" i="13"/>
  <c r="AM56" i="13"/>
  <c r="AM17" i="41"/>
  <c r="AM17" i="4"/>
  <c r="AM18" i="43"/>
  <c r="AM17" i="3"/>
  <c r="AM17" i="16"/>
  <c r="AM17" i="10"/>
  <c r="AM17" i="11"/>
  <c r="AM17" i="8"/>
  <c r="AM96" i="8"/>
  <c r="AM45" i="5"/>
  <c r="AM13" i="41"/>
  <c r="AM13" i="16"/>
  <c r="AM14" i="43"/>
  <c r="AM13" i="4"/>
  <c r="AM13" i="3"/>
  <c r="AM13" i="11"/>
  <c r="AM13" i="10"/>
  <c r="AM13" i="8"/>
  <c r="AM13" i="13"/>
  <c r="AM18" i="16"/>
  <c r="AM18" i="4"/>
  <c r="AM18" i="11"/>
  <c r="AM18" i="3"/>
  <c r="AM18" i="41"/>
  <c r="AM18" i="10"/>
  <c r="AM19" i="43"/>
  <c r="AM18" i="8"/>
  <c r="AM18" i="13"/>
  <c r="AM21" i="43"/>
  <c r="AM20" i="41"/>
  <c r="AM20" i="10"/>
  <c r="AM20" i="3"/>
  <c r="AM20" i="13"/>
  <c r="AM20" i="4"/>
  <c r="AM73" i="16"/>
  <c r="AM20" i="8"/>
  <c r="AM20" i="16"/>
  <c r="AM71" i="41"/>
  <c r="AM20" i="11"/>
  <c r="AM51" i="5"/>
  <c r="AM52" i="18"/>
  <c r="AM53" i="18"/>
  <c r="AM37" i="18"/>
  <c r="AM44" i="4"/>
  <c r="AM51" i="4"/>
  <c r="AM50" i="10"/>
  <c r="O153" i="22"/>
  <c r="O150" i="22"/>
  <c r="O152" i="22"/>
  <c r="AN4" i="55"/>
  <c r="AN147" i="5"/>
  <c r="AN42" i="5"/>
  <c r="AN16" i="3"/>
  <c r="AM143" i="5"/>
  <c r="AM34" i="8"/>
  <c r="AM40" i="8"/>
  <c r="AN11" i="41"/>
  <c r="AN11" i="3"/>
  <c r="AN12" i="43"/>
  <c r="AN11" i="10"/>
  <c r="AN11" i="16"/>
  <c r="AN11" i="8"/>
  <c r="AN11" i="13"/>
  <c r="AN11" i="4"/>
  <c r="AN11" i="11"/>
  <c r="AN16" i="16"/>
  <c r="AK54" i="3"/>
  <c r="AK55" i="3"/>
  <c r="AM23" i="3"/>
  <c r="AM23" i="10"/>
  <c r="AM24" i="43"/>
  <c r="AM23" i="8"/>
  <c r="AM49" i="43"/>
  <c r="AM23" i="4"/>
  <c r="AM101" i="43"/>
  <c r="AM23" i="13"/>
  <c r="AM23" i="11"/>
  <c r="AK46" i="3"/>
  <c r="AK47" i="3"/>
  <c r="AK28" i="15"/>
  <c r="AK32" i="3"/>
  <c r="AO3" i="5"/>
  <c r="AO3" i="55"/>
  <c r="AN4" i="43"/>
  <c r="AN4" i="41"/>
  <c r="AN101" i="41"/>
  <c r="AN4" i="17"/>
  <c r="AN4" i="10"/>
  <c r="AN47" i="10"/>
  <c r="AN4" i="3"/>
  <c r="AN4" i="11"/>
  <c r="AN4" i="13"/>
  <c r="AN4" i="16"/>
  <c r="AN4" i="4"/>
  <c r="AN4" i="8"/>
  <c r="AN4" i="18"/>
  <c r="AN89" i="5"/>
  <c r="AN91" i="5"/>
  <c r="AN90" i="5"/>
  <c r="AN37" i="5"/>
  <c r="AN49" i="5"/>
  <c r="AN43" i="5"/>
  <c r="AN136" i="5"/>
  <c r="AN30" i="3"/>
  <c r="AN53" i="3"/>
  <c r="AM100" i="5"/>
  <c r="AM101" i="5"/>
  <c r="AM102" i="5"/>
  <c r="AM103" i="5"/>
  <c r="AM104" i="5"/>
  <c r="AM99" i="5"/>
  <c r="AN44" i="5"/>
  <c r="AM51" i="10"/>
  <c r="AM52" i="10"/>
  <c r="AM54" i="10"/>
  <c r="AN50" i="5"/>
  <c r="AN38" i="5"/>
  <c r="AN48" i="5"/>
  <c r="AN16" i="10"/>
  <c r="AN16" i="8"/>
  <c r="AN16" i="11"/>
  <c r="AN17" i="43"/>
  <c r="AN16" i="4"/>
  <c r="AN36" i="4"/>
  <c r="AN44" i="4"/>
  <c r="AN51" i="4"/>
  <c r="AN50" i="10"/>
  <c r="AN16" i="13"/>
  <c r="AN16" i="41"/>
  <c r="AN52" i="55"/>
  <c r="AN53" i="55"/>
  <c r="AN37" i="55"/>
  <c r="AM15" i="18"/>
  <c r="AM15" i="55"/>
  <c r="AM42" i="8"/>
  <c r="AM41" i="8"/>
  <c r="AM29" i="3"/>
  <c r="AM52" i="3"/>
  <c r="AN52" i="18"/>
  <c r="AN53" i="18"/>
  <c r="AN37" i="18"/>
  <c r="AN21" i="43"/>
  <c r="AN20" i="3"/>
  <c r="AN20" i="13"/>
  <c r="AN73" i="16"/>
  <c r="AN20" i="4"/>
  <c r="AN20" i="8"/>
  <c r="AN20" i="16"/>
  <c r="AN71" i="41"/>
  <c r="AN20" i="11"/>
  <c r="AN20" i="41"/>
  <c r="AN20" i="10"/>
  <c r="AN51" i="5"/>
  <c r="AN17" i="10"/>
  <c r="AN17" i="16"/>
  <c r="AN17" i="8"/>
  <c r="AN96" i="8"/>
  <c r="AN90" i="8"/>
  <c r="AN93" i="8"/>
  <c r="AN17" i="11"/>
  <c r="AN17" i="41"/>
  <c r="AN17" i="13"/>
  <c r="AN56" i="13"/>
  <c r="AN18" i="43"/>
  <c r="AN17" i="3"/>
  <c r="AN17" i="4"/>
  <c r="AN45" i="5"/>
  <c r="AN13" i="41"/>
  <c r="AN13" i="16"/>
  <c r="AN14" i="43"/>
  <c r="AN13" i="4"/>
  <c r="AN13" i="3"/>
  <c r="AN13" i="11"/>
  <c r="AN13" i="10"/>
  <c r="AN13" i="8"/>
  <c r="AN13" i="13"/>
  <c r="AN12" i="16"/>
  <c r="AN12" i="4"/>
  <c r="AN12" i="41"/>
  <c r="AN12" i="10"/>
  <c r="AN13" i="43"/>
  <c r="AN12" i="3"/>
  <c r="AN54" i="5"/>
  <c r="AN12" i="8"/>
  <c r="AN12" i="13"/>
  <c r="AN12" i="11"/>
  <c r="AN39" i="5"/>
  <c r="AN141" i="5"/>
  <c r="AN18" i="41"/>
  <c r="AN19" i="43"/>
  <c r="AN18" i="3"/>
  <c r="AN18" i="16"/>
  <c r="AN18" i="10"/>
  <c r="AN18" i="11"/>
  <c r="AN18" i="8"/>
  <c r="AN18" i="13"/>
  <c r="AN18" i="4"/>
  <c r="AN139" i="5"/>
  <c r="AO4" i="5"/>
  <c r="AO50" i="5"/>
  <c r="AO3" i="43"/>
  <c r="AO3" i="41"/>
  <c r="AO100" i="41"/>
  <c r="AO3" i="10"/>
  <c r="AO3" i="3"/>
  <c r="AO3" i="17"/>
  <c r="AO3" i="8"/>
  <c r="AK4" i="56"/>
  <c r="AK80" i="56"/>
  <c r="AK98" i="56"/>
  <c r="AO3" i="18"/>
  <c r="AO3" i="16"/>
  <c r="AO3" i="11"/>
  <c r="AO3" i="4"/>
  <c r="AO3" i="13"/>
  <c r="AO4" i="55"/>
  <c r="AO147" i="5"/>
  <c r="AO44" i="5"/>
  <c r="AO18" i="41"/>
  <c r="AL31" i="3"/>
  <c r="AL46" i="3"/>
  <c r="AL47" i="3"/>
  <c r="AL28" i="15"/>
  <c r="AP3" i="5"/>
  <c r="AP3" i="55"/>
  <c r="AO4" i="43"/>
  <c r="AO4" i="41"/>
  <c r="AO101" i="41"/>
  <c r="AO4" i="3"/>
  <c r="AO4" i="17"/>
  <c r="AO4" i="10"/>
  <c r="AO47" i="10"/>
  <c r="AO4" i="11"/>
  <c r="AO4" i="13"/>
  <c r="AO4" i="16"/>
  <c r="AO4" i="4"/>
  <c r="AO4" i="8"/>
  <c r="AO4" i="18"/>
  <c r="AO90" i="5"/>
  <c r="AO91" i="5"/>
  <c r="AO89" i="5"/>
  <c r="AO37" i="5"/>
  <c r="AO43" i="5"/>
  <c r="AO141" i="5"/>
  <c r="AO49" i="5"/>
  <c r="AN143" i="5"/>
  <c r="AN34" i="8"/>
  <c r="AN140" i="5"/>
  <c r="AN35" i="8"/>
  <c r="AN51" i="10"/>
  <c r="AN52" i="10"/>
  <c r="AN54" i="10"/>
  <c r="AO38" i="5"/>
  <c r="AO36" i="5"/>
  <c r="AN49" i="43"/>
  <c r="AN101" i="43"/>
  <c r="AN23" i="3"/>
  <c r="AN23" i="10"/>
  <c r="AN23" i="8"/>
  <c r="AN23" i="11"/>
  <c r="AN23" i="4"/>
  <c r="AN24" i="43"/>
  <c r="AN23" i="13"/>
  <c r="AN99" i="5"/>
  <c r="AN100" i="5"/>
  <c r="AN101" i="5"/>
  <c r="AN102" i="5"/>
  <c r="AN103" i="5"/>
  <c r="AN104" i="5"/>
  <c r="AO48" i="5"/>
  <c r="AL54" i="3"/>
  <c r="AL55" i="3"/>
  <c r="AO42" i="5"/>
  <c r="AO18" i="11"/>
  <c r="AO18" i="16"/>
  <c r="AO18" i="13"/>
  <c r="AO18" i="4"/>
  <c r="AO18" i="8"/>
  <c r="AO18" i="10"/>
  <c r="AO19" i="43"/>
  <c r="AO18" i="3"/>
  <c r="AO52" i="55"/>
  <c r="AO53" i="55"/>
  <c r="AO37" i="55"/>
  <c r="AN15" i="18"/>
  <c r="AN15" i="55"/>
  <c r="AL32" i="3"/>
  <c r="AO21" i="43"/>
  <c r="AO71" i="41"/>
  <c r="AO20" i="11"/>
  <c r="AO20" i="41"/>
  <c r="AO20" i="3"/>
  <c r="AO20" i="10"/>
  <c r="AO20" i="4"/>
  <c r="AO20" i="13"/>
  <c r="AO73" i="16"/>
  <c r="AO20" i="8"/>
  <c r="AO20" i="16"/>
  <c r="AO51" i="5"/>
  <c r="AO52" i="18"/>
  <c r="AO53" i="18"/>
  <c r="AO37" i="18"/>
  <c r="AO11" i="13"/>
  <c r="AO11" i="16"/>
  <c r="AO11" i="41"/>
  <c r="AO11" i="4"/>
  <c r="AO12" i="43"/>
  <c r="AO11" i="11"/>
  <c r="AO11" i="10"/>
  <c r="AO11" i="3"/>
  <c r="AO11" i="8"/>
  <c r="AN40" i="8"/>
  <c r="AN29" i="3"/>
  <c r="AN42" i="8"/>
  <c r="AN41" i="8"/>
  <c r="AO17" i="41"/>
  <c r="AO17" i="13"/>
  <c r="AO56" i="13"/>
  <c r="AO17" i="16"/>
  <c r="AO18" i="43"/>
  <c r="AO17" i="11"/>
  <c r="AO17" i="10"/>
  <c r="AO17" i="3"/>
  <c r="AO17" i="8"/>
  <c r="AO96" i="8"/>
  <c r="AO90" i="8"/>
  <c r="AO93" i="8"/>
  <c r="AO17" i="4"/>
  <c r="AO45" i="5"/>
  <c r="AO16" i="8"/>
  <c r="AO16" i="4"/>
  <c r="AO36" i="4"/>
  <c r="AO16" i="13"/>
  <c r="AO16" i="11"/>
  <c r="AO16" i="16"/>
  <c r="AO16" i="41"/>
  <c r="AO17" i="43"/>
  <c r="AO16" i="10"/>
  <c r="AO16" i="3"/>
  <c r="AO13" i="4"/>
  <c r="AO13" i="41"/>
  <c r="AO14" i="43"/>
  <c r="AO13" i="10"/>
  <c r="AO13" i="3"/>
  <c r="AO13" i="8"/>
  <c r="AO13" i="16"/>
  <c r="AO13" i="13"/>
  <c r="AO13" i="11"/>
  <c r="AO12" i="4"/>
  <c r="AO12" i="11"/>
  <c r="AO12" i="10"/>
  <c r="AO12" i="16"/>
  <c r="AO12" i="3"/>
  <c r="AO12" i="41"/>
  <c r="AO12" i="8"/>
  <c r="AO54" i="5"/>
  <c r="AO13" i="43"/>
  <c r="AO12" i="13"/>
  <c r="AO39" i="5"/>
  <c r="AN53" i="10"/>
  <c r="AO136" i="5"/>
  <c r="AO30" i="3"/>
  <c r="AO53" i="3"/>
  <c r="AO139" i="5"/>
  <c r="AP4" i="5"/>
  <c r="AP3" i="43"/>
  <c r="AP3" i="41"/>
  <c r="AP100" i="41"/>
  <c r="AP3" i="10"/>
  <c r="AP3" i="3"/>
  <c r="AP3" i="17"/>
  <c r="AP3" i="8"/>
  <c r="AL4" i="56"/>
  <c r="AL80" i="56"/>
  <c r="AL98" i="56"/>
  <c r="AP3" i="18"/>
  <c r="AP3" i="16"/>
  <c r="AP3" i="11"/>
  <c r="AP3" i="4"/>
  <c r="AP3" i="13"/>
  <c r="AP4" i="55"/>
  <c r="AP147" i="5"/>
  <c r="AQ3" i="5"/>
  <c r="AQ3" i="55"/>
  <c r="AP4" i="43"/>
  <c r="AP4" i="41"/>
  <c r="AP101" i="41"/>
  <c r="AP4" i="3"/>
  <c r="AP4" i="17"/>
  <c r="AP4" i="10"/>
  <c r="AP47" i="10"/>
  <c r="AP4" i="18"/>
  <c r="AP4" i="11"/>
  <c r="AP4" i="13"/>
  <c r="AP4" i="16"/>
  <c r="AP4" i="4"/>
  <c r="AP4" i="8"/>
  <c r="AP90" i="5"/>
  <c r="AP91" i="5"/>
  <c r="AP89" i="5"/>
  <c r="AP37" i="5"/>
  <c r="AP43" i="5"/>
  <c r="AP136" i="5"/>
  <c r="AP30" i="3"/>
  <c r="AP53" i="3"/>
  <c r="AP49" i="5"/>
  <c r="AO24" i="43"/>
  <c r="AO23" i="10"/>
  <c r="AO49" i="43"/>
  <c r="AO23" i="3"/>
  <c r="AO101" i="43"/>
  <c r="AO23" i="13"/>
  <c r="AO23" i="11"/>
  <c r="AO23" i="8"/>
  <c r="AO23" i="4"/>
  <c r="AO44" i="4"/>
  <c r="AO51" i="4"/>
  <c r="AO50" i="10"/>
  <c r="AM31" i="3"/>
  <c r="AN52" i="3"/>
  <c r="AM54" i="3"/>
  <c r="AM55" i="3"/>
  <c r="AP50" i="5"/>
  <c r="AP38" i="5"/>
  <c r="AP48" i="5"/>
  <c r="AO34" i="8"/>
  <c r="AO143" i="5"/>
  <c r="AO140" i="5"/>
  <c r="AO35" i="8"/>
  <c r="AP44" i="5"/>
  <c r="AP36" i="5"/>
  <c r="AP42" i="5"/>
  <c r="AO104" i="5"/>
  <c r="AO99" i="5"/>
  <c r="AO100" i="5"/>
  <c r="AO101" i="5"/>
  <c r="AO102" i="5"/>
  <c r="AO103" i="5"/>
  <c r="AP52" i="55"/>
  <c r="AP53" i="55"/>
  <c r="AP37" i="55"/>
  <c r="AP52" i="18"/>
  <c r="AP53" i="18"/>
  <c r="AP37" i="18"/>
  <c r="AM46" i="3"/>
  <c r="AM47" i="3"/>
  <c r="AM32" i="3"/>
  <c r="AP21" i="43"/>
  <c r="AP71" i="41"/>
  <c r="AP20" i="3"/>
  <c r="AP20" i="41"/>
  <c r="AP20" i="10"/>
  <c r="AP20" i="13"/>
  <c r="AP73" i="16"/>
  <c r="AP20" i="16"/>
  <c r="AP20" i="11"/>
  <c r="AP20" i="4"/>
  <c r="AP20" i="8"/>
  <c r="AP51" i="5"/>
  <c r="AP17" i="11"/>
  <c r="AP17" i="41"/>
  <c r="AP18" i="43"/>
  <c r="AP17" i="10"/>
  <c r="AP17" i="3"/>
  <c r="AP17" i="13"/>
  <c r="AP56" i="13"/>
  <c r="AP17" i="8"/>
  <c r="AP96" i="8"/>
  <c r="AP90" i="8"/>
  <c r="AP93" i="8"/>
  <c r="AP17" i="4"/>
  <c r="AP17" i="16"/>
  <c r="AP45" i="5"/>
  <c r="AO40" i="8"/>
  <c r="AO42" i="8"/>
  <c r="AO41" i="8"/>
  <c r="AO29" i="3"/>
  <c r="AO54" i="10"/>
  <c r="AO51" i="10"/>
  <c r="AO52" i="10"/>
  <c r="AP12" i="3"/>
  <c r="AP12" i="16"/>
  <c r="AP12" i="10"/>
  <c r="AP54" i="5"/>
  <c r="AP12" i="8"/>
  <c r="AP12" i="13"/>
  <c r="AP12" i="41"/>
  <c r="AP13" i="43"/>
  <c r="AP12" i="4"/>
  <c r="AP12" i="11"/>
  <c r="AP39" i="5"/>
  <c r="AP11" i="10"/>
  <c r="AP11" i="16"/>
  <c r="AP11" i="3"/>
  <c r="AP11" i="4"/>
  <c r="AP11" i="8"/>
  <c r="AP11" i="11"/>
  <c r="AP11" i="13"/>
  <c r="AP11" i="41"/>
  <c r="AP12" i="43"/>
  <c r="AP13" i="10"/>
  <c r="AP13" i="3"/>
  <c r="AP13" i="8"/>
  <c r="AP13" i="11"/>
  <c r="AP13" i="13"/>
  <c r="AP13" i="16"/>
  <c r="AP13" i="4"/>
  <c r="AP13" i="41"/>
  <c r="AP14" i="43"/>
  <c r="AP16" i="41"/>
  <c r="AP16" i="16"/>
  <c r="AP17" i="43"/>
  <c r="AP16" i="4"/>
  <c r="AP36" i="4"/>
  <c r="AP16" i="3"/>
  <c r="AP16" i="11"/>
  <c r="AP16" i="10"/>
  <c r="AP16" i="8"/>
  <c r="AP16" i="13"/>
  <c r="AP18" i="4"/>
  <c r="AP18" i="10"/>
  <c r="AP18" i="41"/>
  <c r="AP18" i="3"/>
  <c r="AP18" i="16"/>
  <c r="AP19" i="43"/>
  <c r="AP18" i="8"/>
  <c r="AP18" i="11"/>
  <c r="AP18" i="13"/>
  <c r="AP141" i="5"/>
  <c r="AP139" i="5"/>
  <c r="AQ4" i="5"/>
  <c r="AQ38" i="5"/>
  <c r="AQ3" i="43"/>
  <c r="AQ3" i="41"/>
  <c r="AQ100" i="41"/>
  <c r="AQ3" i="10"/>
  <c r="AQ3" i="3"/>
  <c r="AQ3" i="17"/>
  <c r="AQ3" i="13"/>
  <c r="AQ3" i="8"/>
  <c r="AM4" i="56"/>
  <c r="AM80" i="56"/>
  <c r="AM98" i="56"/>
  <c r="AQ3" i="18"/>
  <c r="AQ3" i="16"/>
  <c r="AQ3" i="11"/>
  <c r="AQ3" i="4"/>
  <c r="AQ48" i="5"/>
  <c r="AQ44" i="5"/>
  <c r="E31" i="13"/>
  <c r="F31" i="13"/>
  <c r="F32" i="13"/>
  <c r="G31" i="13"/>
  <c r="G32" i="13"/>
  <c r="H31" i="13"/>
  <c r="H32" i="13"/>
  <c r="N5" i="6"/>
  <c r="O5" i="6"/>
  <c r="N6" i="6"/>
  <c r="O6" i="6"/>
  <c r="N7" i="6"/>
  <c r="O7" i="6"/>
  <c r="N10" i="6"/>
  <c r="O10" i="6"/>
  <c r="N11" i="6"/>
  <c r="O11" i="6"/>
  <c r="AQ50" i="5"/>
  <c r="AQ4" i="55"/>
  <c r="AQ147" i="5"/>
  <c r="AQ36" i="5"/>
  <c r="AQ11" i="41"/>
  <c r="AQ42" i="5"/>
  <c r="AQ16" i="13"/>
  <c r="AO15" i="18"/>
  <c r="AO15" i="55"/>
  <c r="AP44" i="4"/>
  <c r="AP51" i="4"/>
  <c r="AP50" i="10"/>
  <c r="AP23" i="10"/>
  <c r="AP23" i="3"/>
  <c r="AP23" i="13"/>
  <c r="AP23" i="8"/>
  <c r="AP23" i="11"/>
  <c r="AP24" i="43"/>
  <c r="AP23" i="4"/>
  <c r="AP49" i="43"/>
  <c r="AP101" i="43"/>
  <c r="AQ13" i="41"/>
  <c r="AQ13" i="10"/>
  <c r="AQ14" i="43"/>
  <c r="AQ13" i="3"/>
  <c r="AQ13" i="8"/>
  <c r="AQ13" i="13"/>
  <c r="AQ13" i="4"/>
  <c r="AQ13" i="11"/>
  <c r="AQ13" i="16"/>
  <c r="AQ11" i="4"/>
  <c r="AQ11" i="8"/>
  <c r="AQ11" i="13"/>
  <c r="AP104" i="5"/>
  <c r="AP99" i="5"/>
  <c r="AP100" i="5"/>
  <c r="AP101" i="5"/>
  <c r="AP102" i="5"/>
  <c r="AP103" i="5"/>
  <c r="AO53" i="10"/>
  <c r="AR3" i="5"/>
  <c r="AR3" i="55"/>
  <c r="AQ4" i="43"/>
  <c r="AQ4" i="41"/>
  <c r="AQ101" i="41"/>
  <c r="AQ4" i="3"/>
  <c r="AQ4" i="17"/>
  <c r="AQ4" i="10"/>
  <c r="AQ47" i="10"/>
  <c r="AQ4" i="8"/>
  <c r="AQ4" i="18"/>
  <c r="AQ4" i="11"/>
  <c r="AQ4" i="13"/>
  <c r="AQ4" i="16"/>
  <c r="AQ4" i="4"/>
  <c r="AQ91" i="5"/>
  <c r="AQ90" i="5"/>
  <c r="AQ89" i="5"/>
  <c r="AQ37" i="5"/>
  <c r="AQ49" i="5"/>
  <c r="AQ43" i="5"/>
  <c r="AQ141" i="5"/>
  <c r="AP34" i="8"/>
  <c r="AP143" i="5"/>
  <c r="AP140" i="5"/>
  <c r="AP35" i="8"/>
  <c r="AQ18" i="4"/>
  <c r="AQ18" i="16"/>
  <c r="AQ18" i="11"/>
  <c r="AQ18" i="10"/>
  <c r="AQ18" i="3"/>
  <c r="AQ18" i="41"/>
  <c r="AQ18" i="8"/>
  <c r="AQ19" i="43"/>
  <c r="AQ18" i="13"/>
  <c r="AN31" i="3"/>
  <c r="AO52" i="3"/>
  <c r="P11" i="6"/>
  <c r="P5" i="6"/>
  <c r="P7" i="6"/>
  <c r="P10" i="6"/>
  <c r="O12" i="6"/>
  <c r="N12" i="6"/>
  <c r="O8" i="6"/>
  <c r="N8" i="6"/>
  <c r="P6" i="6"/>
  <c r="AQ11" i="3"/>
  <c r="AQ11" i="10"/>
  <c r="AQ11" i="11"/>
  <c r="AQ11" i="16"/>
  <c r="AQ12" i="43"/>
  <c r="AQ17" i="43"/>
  <c r="AQ16" i="8"/>
  <c r="AQ16" i="41"/>
  <c r="AQ16" i="3"/>
  <c r="AQ16" i="10"/>
  <c r="AQ16" i="16"/>
  <c r="AQ16" i="4"/>
  <c r="AQ36" i="4"/>
  <c r="AQ44" i="4"/>
  <c r="AQ51" i="4"/>
  <c r="AQ50" i="10"/>
  <c r="AQ16" i="11"/>
  <c r="AQ37" i="55"/>
  <c r="AQ52" i="55"/>
  <c r="AQ53" i="55"/>
  <c r="AQ136" i="5"/>
  <c r="AQ30" i="3"/>
  <c r="AQ53" i="3"/>
  <c r="AQ139" i="5"/>
  <c r="AQ143" i="5"/>
  <c r="AP29" i="3"/>
  <c r="AP41" i="8"/>
  <c r="AP40" i="8"/>
  <c r="AP42" i="8"/>
  <c r="AN54" i="3"/>
  <c r="AN55" i="3"/>
  <c r="AQ37" i="18"/>
  <c r="AQ52" i="18"/>
  <c r="AQ53" i="18"/>
  <c r="AR4" i="5"/>
  <c r="AR44" i="5"/>
  <c r="AR3" i="43"/>
  <c r="AR3" i="41"/>
  <c r="AR100" i="41"/>
  <c r="AR3" i="3"/>
  <c r="AR3" i="17"/>
  <c r="AR3" i="10"/>
  <c r="AR3" i="13"/>
  <c r="AR3" i="8"/>
  <c r="AN4" i="56"/>
  <c r="AN80" i="56"/>
  <c r="AN98" i="56"/>
  <c r="AR3" i="18"/>
  <c r="AR3" i="16"/>
  <c r="AR3" i="11"/>
  <c r="AR3" i="4"/>
  <c r="AR38" i="5"/>
  <c r="AQ17" i="13"/>
  <c r="AQ56" i="13"/>
  <c r="AQ17" i="8"/>
  <c r="AQ96" i="8"/>
  <c r="AQ90" i="8"/>
  <c r="AQ93" i="8"/>
  <c r="AQ17" i="4"/>
  <c r="AQ17" i="16"/>
  <c r="AQ17" i="11"/>
  <c r="AQ17" i="41"/>
  <c r="AQ17" i="10"/>
  <c r="AQ18" i="43"/>
  <c r="AQ17" i="3"/>
  <c r="AQ45" i="5"/>
  <c r="AQ21" i="43"/>
  <c r="AQ71" i="41"/>
  <c r="AQ20" i="13"/>
  <c r="AQ20" i="41"/>
  <c r="AQ73" i="16"/>
  <c r="AQ20" i="16"/>
  <c r="AQ20" i="3"/>
  <c r="AQ20" i="11"/>
  <c r="AQ20" i="4"/>
  <c r="AQ20" i="8"/>
  <c r="AQ20" i="10"/>
  <c r="AQ51" i="5"/>
  <c r="AQ12" i="10"/>
  <c r="AQ12" i="3"/>
  <c r="AQ12" i="4"/>
  <c r="AQ54" i="5"/>
  <c r="AQ12" i="8"/>
  <c r="AQ12" i="16"/>
  <c r="AQ12" i="13"/>
  <c r="AQ12" i="11"/>
  <c r="AQ12" i="41"/>
  <c r="AQ13" i="43"/>
  <c r="AQ39" i="5"/>
  <c r="AN46" i="3"/>
  <c r="AN47" i="3"/>
  <c r="AN32" i="3"/>
  <c r="AP51" i="10"/>
  <c r="AP52" i="10"/>
  <c r="AP54" i="10"/>
  <c r="P12" i="6"/>
  <c r="P8" i="6"/>
  <c r="I154" i="11"/>
  <c r="AR50" i="5"/>
  <c r="AR42" i="5"/>
  <c r="AR16" i="13"/>
  <c r="AR4" i="55"/>
  <c r="AR147" i="5"/>
  <c r="AR48" i="5"/>
  <c r="AR36" i="5"/>
  <c r="AR11" i="10"/>
  <c r="I391" i="11"/>
  <c r="I29" i="47"/>
  <c r="D42" i="58"/>
  <c r="AQ140" i="5"/>
  <c r="AQ35" i="8"/>
  <c r="AQ34" i="8"/>
  <c r="AQ42" i="8"/>
  <c r="AP15" i="18"/>
  <c r="AP15" i="55"/>
  <c r="AR16" i="8"/>
  <c r="AR16" i="4"/>
  <c r="AR36" i="4"/>
  <c r="AR17" i="43"/>
  <c r="AR18" i="41"/>
  <c r="AR18" i="10"/>
  <c r="AR18" i="4"/>
  <c r="AR19" i="43"/>
  <c r="AR18" i="3"/>
  <c r="AR18" i="13"/>
  <c r="AR18" i="8"/>
  <c r="AR18" i="16"/>
  <c r="AR18" i="11"/>
  <c r="AR13" i="41"/>
  <c r="AR13" i="16"/>
  <c r="AR14" i="43"/>
  <c r="AR13" i="3"/>
  <c r="AR13" i="10"/>
  <c r="AR13" i="8"/>
  <c r="AR13" i="4"/>
  <c r="AR13" i="13"/>
  <c r="AR13" i="11"/>
  <c r="AQ49" i="43"/>
  <c r="AQ23" i="8"/>
  <c r="AQ101" i="43"/>
  <c r="AQ23" i="4"/>
  <c r="AQ23" i="10"/>
  <c r="AQ23" i="11"/>
  <c r="AQ23" i="3"/>
  <c r="AQ24" i="43"/>
  <c r="AQ23" i="13"/>
  <c r="AP53" i="10"/>
  <c r="AQ102" i="5"/>
  <c r="AQ103" i="5"/>
  <c r="AQ104" i="5"/>
  <c r="AQ99" i="5"/>
  <c r="AQ100" i="5"/>
  <c r="AQ101" i="5"/>
  <c r="AQ51" i="10"/>
  <c r="AQ52" i="10"/>
  <c r="AQ54" i="10"/>
  <c r="AS3" i="5"/>
  <c r="AS3" i="55"/>
  <c r="AR4" i="43"/>
  <c r="AR4" i="41"/>
  <c r="AR101" i="41"/>
  <c r="AR4" i="10"/>
  <c r="AR47" i="10"/>
  <c r="AR4" i="3"/>
  <c r="AR4" i="17"/>
  <c r="AR4" i="4"/>
  <c r="AR4" i="8"/>
  <c r="AR4" i="18"/>
  <c r="AR4" i="11"/>
  <c r="AR4" i="13"/>
  <c r="AR4" i="16"/>
  <c r="AR90" i="5"/>
  <c r="AR89" i="5"/>
  <c r="AR91" i="5"/>
  <c r="AR37" i="5"/>
  <c r="AR43" i="5"/>
  <c r="AR141" i="5"/>
  <c r="AR49" i="5"/>
  <c r="AO31" i="3"/>
  <c r="AP52" i="3"/>
  <c r="I153" i="11"/>
  <c r="D41" i="58"/>
  <c r="I166" i="11"/>
  <c r="D60" i="58"/>
  <c r="J166" i="11"/>
  <c r="E60" i="58"/>
  <c r="I168" i="11"/>
  <c r="AR12" i="43"/>
  <c r="AR11" i="4"/>
  <c r="AR11" i="41"/>
  <c r="AR11" i="16"/>
  <c r="AR11" i="13"/>
  <c r="AR11" i="3"/>
  <c r="AR11" i="8"/>
  <c r="AR11" i="11"/>
  <c r="AR16" i="3"/>
  <c r="AR16" i="10"/>
  <c r="AR16" i="41"/>
  <c r="AR16" i="11"/>
  <c r="AR16" i="16"/>
  <c r="AR52" i="55"/>
  <c r="AR53" i="55"/>
  <c r="AR37" i="55"/>
  <c r="AQ40" i="8"/>
  <c r="AQ29" i="3"/>
  <c r="AP31" i="3"/>
  <c r="AQ41" i="8"/>
  <c r="I385" i="11"/>
  <c r="D62" i="58"/>
  <c r="AQ15" i="18"/>
  <c r="AQ15" i="55"/>
  <c r="I373" i="11"/>
  <c r="I13" i="47"/>
  <c r="AR136" i="5"/>
  <c r="AR30" i="3"/>
  <c r="AR53" i="3"/>
  <c r="AR139" i="5"/>
  <c r="AR140" i="5"/>
  <c r="AR35" i="8"/>
  <c r="AR12" i="10"/>
  <c r="AR54" i="5"/>
  <c r="AR12" i="3"/>
  <c r="AR12" i="8"/>
  <c r="AR12" i="13"/>
  <c r="AR12" i="41"/>
  <c r="AR13" i="43"/>
  <c r="AR12" i="16"/>
  <c r="AR12" i="4"/>
  <c r="AR12" i="11"/>
  <c r="AR39" i="5"/>
  <c r="AO54" i="3"/>
  <c r="AO55" i="3"/>
  <c r="AO46" i="3"/>
  <c r="AO47" i="3"/>
  <c r="AO32" i="3"/>
  <c r="AR37" i="18"/>
  <c r="AR52" i="18"/>
  <c r="AR53" i="18"/>
  <c r="AS4" i="5"/>
  <c r="AS3" i="43"/>
  <c r="AS3" i="41"/>
  <c r="AS100" i="41"/>
  <c r="AS3" i="3"/>
  <c r="AS3" i="17"/>
  <c r="AS3" i="10"/>
  <c r="AS3" i="13"/>
  <c r="AS3" i="16"/>
  <c r="AS3" i="8"/>
  <c r="AO4" i="56"/>
  <c r="AO80" i="56"/>
  <c r="AO98" i="56"/>
  <c r="AS3" i="18"/>
  <c r="AS3" i="11"/>
  <c r="AS3" i="4"/>
  <c r="AS48" i="5"/>
  <c r="AS36" i="5"/>
  <c r="AS38" i="5"/>
  <c r="AQ53" i="10"/>
  <c r="AR21" i="43"/>
  <c r="AR20" i="8"/>
  <c r="AR71" i="41"/>
  <c r="AR20" i="41"/>
  <c r="AR20" i="4"/>
  <c r="AR20" i="11"/>
  <c r="AR20" i="3"/>
  <c r="AR73" i="16"/>
  <c r="AR20" i="10"/>
  <c r="AR20" i="16"/>
  <c r="AR20" i="13"/>
  <c r="AR51" i="5"/>
  <c r="AR44" i="4"/>
  <c r="AR51" i="4"/>
  <c r="AR50" i="10"/>
  <c r="AR17" i="10"/>
  <c r="AR17" i="41"/>
  <c r="AR17" i="3"/>
  <c r="AR18" i="43"/>
  <c r="AR17" i="8"/>
  <c r="AR96" i="8"/>
  <c r="AR90" i="8"/>
  <c r="AR93" i="8"/>
  <c r="AR17" i="13"/>
  <c r="AR56" i="13"/>
  <c r="AR17" i="4"/>
  <c r="AR17" i="16"/>
  <c r="AR17" i="11"/>
  <c r="AR45" i="5"/>
  <c r="I169" i="11"/>
  <c r="D63" i="58"/>
  <c r="AS4" i="55"/>
  <c r="AS147" i="5"/>
  <c r="AS42" i="5"/>
  <c r="AS16" i="41"/>
  <c r="AS44" i="5"/>
  <c r="AS18" i="41"/>
  <c r="AQ52" i="3"/>
  <c r="AP54" i="3"/>
  <c r="AP55" i="3"/>
  <c r="AR34" i="8"/>
  <c r="AR42" i="8"/>
  <c r="I386" i="11"/>
  <c r="AR143" i="5"/>
  <c r="AS13" i="41"/>
  <c r="AS14" i="43"/>
  <c r="AS13" i="10"/>
  <c r="AS13" i="16"/>
  <c r="AS13" i="3"/>
  <c r="AS13" i="4"/>
  <c r="AS13" i="8"/>
  <c r="AS13" i="11"/>
  <c r="AS13" i="13"/>
  <c r="AS11" i="11"/>
  <c r="AS11" i="41"/>
  <c r="AS11" i="16"/>
  <c r="AS12" i="43"/>
  <c r="AS11" i="4"/>
  <c r="AS11" i="10"/>
  <c r="AS11" i="3"/>
  <c r="AS11" i="8"/>
  <c r="AS11" i="13"/>
  <c r="AP46" i="3"/>
  <c r="AP47" i="3"/>
  <c r="AP32" i="3"/>
  <c r="AS16" i="4"/>
  <c r="AS36" i="4"/>
  <c r="AS16" i="16"/>
  <c r="AS16" i="10"/>
  <c r="AT3" i="5"/>
  <c r="AT3" i="55"/>
  <c r="AS4" i="43"/>
  <c r="AS4" i="41"/>
  <c r="AS101" i="41"/>
  <c r="AS4" i="10"/>
  <c r="AS47" i="10"/>
  <c r="AS4" i="3"/>
  <c r="AS4" i="17"/>
  <c r="AS4" i="16"/>
  <c r="AS4" i="4"/>
  <c r="AS4" i="8"/>
  <c r="AS4" i="18"/>
  <c r="AS4" i="11"/>
  <c r="AS4" i="13"/>
  <c r="AS91" i="5"/>
  <c r="AS90" i="5"/>
  <c r="AS89" i="5"/>
  <c r="AS37" i="5"/>
  <c r="AS49" i="5"/>
  <c r="AS43" i="5"/>
  <c r="AS141" i="5"/>
  <c r="AR23" i="10"/>
  <c r="AR24" i="43"/>
  <c r="AR23" i="3"/>
  <c r="AR23" i="11"/>
  <c r="AR49" i="43"/>
  <c r="AR23" i="8"/>
  <c r="AR101" i="43"/>
  <c r="AR23" i="4"/>
  <c r="AR23" i="13"/>
  <c r="AR99" i="5"/>
  <c r="AR100" i="5"/>
  <c r="AR101" i="5"/>
  <c r="AR102" i="5"/>
  <c r="AR103" i="5"/>
  <c r="AR104" i="5"/>
  <c r="AS50" i="5"/>
  <c r="AR54" i="10"/>
  <c r="AR51" i="10"/>
  <c r="AR52" i="10"/>
  <c r="AS19" i="43"/>
  <c r="AS18" i="10"/>
  <c r="AS18" i="4"/>
  <c r="I2" i="9"/>
  <c r="I2" i="15"/>
  <c r="I2" i="17"/>
  <c r="I27" i="17"/>
  <c r="I2" i="8"/>
  <c r="I31" i="8"/>
  <c r="I45" i="16"/>
  <c r="I2" i="13"/>
  <c r="I2" i="4"/>
  <c r="I2" i="1"/>
  <c r="I2" i="14"/>
  <c r="I2" i="11"/>
  <c r="I2" i="16"/>
  <c r="I46" i="16"/>
  <c r="I2" i="3"/>
  <c r="I2" i="18"/>
  <c r="I36" i="18"/>
  <c r="J2" i="12"/>
  <c r="I2" i="2"/>
  <c r="I2" i="10"/>
  <c r="AS18" i="13"/>
  <c r="AS18" i="11"/>
  <c r="AS18" i="3"/>
  <c r="AS18" i="16"/>
  <c r="AS16" i="13"/>
  <c r="AS16" i="8"/>
  <c r="AS18" i="8"/>
  <c r="AS16" i="11"/>
  <c r="AS16" i="3"/>
  <c r="AS17" i="43"/>
  <c r="AS52" i="55"/>
  <c r="AS53" i="55"/>
  <c r="AS37" i="55"/>
  <c r="AR29" i="3"/>
  <c r="AR52" i="3"/>
  <c r="AQ54" i="3"/>
  <c r="AQ55" i="3"/>
  <c r="AR40" i="8"/>
  <c r="AR41" i="8"/>
  <c r="AR15" i="18"/>
  <c r="AR15" i="55"/>
  <c r="AS139" i="5"/>
  <c r="AS34" i="8"/>
  <c r="AS136" i="5"/>
  <c r="AS30" i="3"/>
  <c r="AS53" i="3"/>
  <c r="AT4" i="5"/>
  <c r="AT38" i="5"/>
  <c r="AT3" i="43"/>
  <c r="AT3" i="41"/>
  <c r="AT100" i="41"/>
  <c r="AT3" i="3"/>
  <c r="AT3" i="17"/>
  <c r="AT3" i="10"/>
  <c r="AT3" i="11"/>
  <c r="AT3" i="4"/>
  <c r="AT3" i="13"/>
  <c r="AT3" i="16"/>
  <c r="AP4" i="56"/>
  <c r="AP80" i="56"/>
  <c r="AP98" i="56"/>
  <c r="AT3" i="8"/>
  <c r="AT3" i="18"/>
  <c r="AT36" i="5"/>
  <c r="AS17" i="16"/>
  <c r="AS17" i="3"/>
  <c r="AS17" i="11"/>
  <c r="AS17" i="10"/>
  <c r="AS17" i="8"/>
  <c r="AS96" i="8"/>
  <c r="AS90" i="8"/>
  <c r="AS93" i="8"/>
  <c r="AS17" i="41"/>
  <c r="AS17" i="13"/>
  <c r="AS56" i="13"/>
  <c r="AS18" i="43"/>
  <c r="AS17" i="4"/>
  <c r="AS45" i="5"/>
  <c r="AR53" i="10"/>
  <c r="AS21" i="43"/>
  <c r="AS73" i="16"/>
  <c r="AS20" i="16"/>
  <c r="AS20" i="10"/>
  <c r="AS20" i="11"/>
  <c r="AS20" i="8"/>
  <c r="AS20" i="3"/>
  <c r="AS20" i="4"/>
  <c r="AS71" i="41"/>
  <c r="AS20" i="13"/>
  <c r="AS20" i="41"/>
  <c r="AS51" i="5"/>
  <c r="AS12" i="10"/>
  <c r="AS12" i="11"/>
  <c r="AS12" i="3"/>
  <c r="AS12" i="8"/>
  <c r="AS12" i="13"/>
  <c r="AS12" i="41"/>
  <c r="AS12" i="16"/>
  <c r="AS54" i="5"/>
  <c r="AS13" i="43"/>
  <c r="AS12" i="4"/>
  <c r="AS39" i="5"/>
  <c r="AS52" i="18"/>
  <c r="AS53" i="18"/>
  <c r="AS37" i="18"/>
  <c r="AS44" i="4"/>
  <c r="AS51" i="4"/>
  <c r="AS50" i="10"/>
  <c r="I48" i="10"/>
  <c r="I57" i="8"/>
  <c r="I58" i="8"/>
  <c r="I80" i="10"/>
  <c r="I83" i="10"/>
  <c r="I104" i="8"/>
  <c r="I105" i="8"/>
  <c r="I119" i="8"/>
  <c r="I28" i="17"/>
  <c r="I97" i="8"/>
  <c r="I98" i="8"/>
  <c r="I90" i="8"/>
  <c r="I93" i="8"/>
  <c r="I59" i="10"/>
  <c r="I78" i="10"/>
  <c r="I98" i="10"/>
  <c r="I69" i="10"/>
  <c r="AT4" i="55"/>
  <c r="AT147" i="5"/>
  <c r="AT48" i="5"/>
  <c r="AT42" i="5"/>
  <c r="AT16" i="8"/>
  <c r="AQ31" i="3"/>
  <c r="AQ46" i="3"/>
  <c r="AQ47" i="3"/>
  <c r="I73" i="8"/>
  <c r="AS143" i="5"/>
  <c r="AS140" i="5"/>
  <c r="AS35" i="8"/>
  <c r="AS51" i="10"/>
  <c r="AS52" i="10"/>
  <c r="AS54" i="10"/>
  <c r="AT13" i="41"/>
  <c r="AT13" i="10"/>
  <c r="AT14" i="43"/>
  <c r="AT13" i="3"/>
  <c r="AT13" i="8"/>
  <c r="AT13" i="16"/>
  <c r="AT13" i="13"/>
  <c r="AT13" i="4"/>
  <c r="AT13" i="11"/>
  <c r="AT11" i="41"/>
  <c r="AT12" i="43"/>
  <c r="AT11" i="10"/>
  <c r="AT11" i="3"/>
  <c r="AT11" i="8"/>
  <c r="AT11" i="13"/>
  <c r="AT11" i="16"/>
  <c r="AT11" i="11"/>
  <c r="AT11" i="4"/>
  <c r="AS102" i="5"/>
  <c r="AS103" i="5"/>
  <c r="AS104" i="5"/>
  <c r="AS99" i="5"/>
  <c r="AS100" i="5"/>
  <c r="AS101" i="5"/>
  <c r="AU3" i="5"/>
  <c r="AU3" i="55"/>
  <c r="AT4" i="43"/>
  <c r="AT4" i="41"/>
  <c r="AT101" i="41"/>
  <c r="AT4" i="10"/>
  <c r="AT47" i="10"/>
  <c r="AT4" i="3"/>
  <c r="AT4" i="17"/>
  <c r="AT4" i="13"/>
  <c r="AT4" i="16"/>
  <c r="AT4" i="4"/>
  <c r="AT4" i="8"/>
  <c r="AT4" i="18"/>
  <c r="AT4" i="11"/>
  <c r="AT90" i="5"/>
  <c r="AT91" i="5"/>
  <c r="AT89" i="5"/>
  <c r="AT37" i="5"/>
  <c r="AT49" i="5"/>
  <c r="AT43" i="5"/>
  <c r="AT136" i="5"/>
  <c r="AT30" i="3"/>
  <c r="AT53" i="3"/>
  <c r="AS23" i="8"/>
  <c r="AS23" i="4"/>
  <c r="AS23" i="13"/>
  <c r="AS23" i="11"/>
  <c r="AS24" i="43"/>
  <c r="AS49" i="43"/>
  <c r="AS101" i="43"/>
  <c r="AS23" i="3"/>
  <c r="AS23" i="10"/>
  <c r="AT50" i="5"/>
  <c r="AS41" i="8"/>
  <c r="AS42" i="8"/>
  <c r="AS29" i="3"/>
  <c r="AS40" i="8"/>
  <c r="AT44" i="5"/>
  <c r="I106" i="8"/>
  <c r="J103" i="8"/>
  <c r="I18" i="15"/>
  <c r="I113" i="8"/>
  <c r="I114" i="8"/>
  <c r="I120" i="8"/>
  <c r="I40" i="47"/>
  <c r="AT16" i="41"/>
  <c r="AT16" i="11"/>
  <c r="AT16" i="16"/>
  <c r="AT16" i="10"/>
  <c r="AT16" i="4"/>
  <c r="AT36" i="4"/>
  <c r="AT44" i="4"/>
  <c r="AT51" i="4"/>
  <c r="AT50" i="10"/>
  <c r="AT16" i="13"/>
  <c r="AT16" i="3"/>
  <c r="AT17" i="43"/>
  <c r="AT52" i="55"/>
  <c r="AT53" i="55"/>
  <c r="AT37" i="55"/>
  <c r="AQ32" i="3"/>
  <c r="I59" i="8"/>
  <c r="J56" i="8"/>
  <c r="AS15" i="18"/>
  <c r="AS15" i="55"/>
  <c r="AS52" i="3"/>
  <c r="AR54" i="3"/>
  <c r="AR55" i="3"/>
  <c r="AR31" i="3"/>
  <c r="AT17" i="8"/>
  <c r="AT96" i="8"/>
  <c r="AT90" i="8"/>
  <c r="AT93" i="8"/>
  <c r="AT17" i="13"/>
  <c r="AT56" i="13"/>
  <c r="AT17" i="4"/>
  <c r="AT17" i="41"/>
  <c r="AT17" i="16"/>
  <c r="AT18" i="43"/>
  <c r="AT17" i="11"/>
  <c r="AT17" i="3"/>
  <c r="AT17" i="10"/>
  <c r="AT45" i="5"/>
  <c r="AT21" i="43"/>
  <c r="AT71" i="41"/>
  <c r="AT20" i="16"/>
  <c r="AT20" i="4"/>
  <c r="AT20" i="41"/>
  <c r="AT20" i="11"/>
  <c r="AT20" i="10"/>
  <c r="AT20" i="3"/>
  <c r="AT20" i="8"/>
  <c r="AT20" i="13"/>
  <c r="AT73" i="16"/>
  <c r="AT51" i="5"/>
  <c r="AT12" i="3"/>
  <c r="AT12" i="4"/>
  <c r="AT12" i="10"/>
  <c r="AT12" i="11"/>
  <c r="AT12" i="8"/>
  <c r="AT12" i="13"/>
  <c r="AT12" i="41"/>
  <c r="AT54" i="5"/>
  <c r="AT13" i="43"/>
  <c r="AT12" i="16"/>
  <c r="AT39" i="5"/>
  <c r="AT37" i="18"/>
  <c r="AT52" i="18"/>
  <c r="AT53" i="18"/>
  <c r="AT18" i="16"/>
  <c r="AT18" i="4"/>
  <c r="AT18" i="10"/>
  <c r="AT18" i="11"/>
  <c r="AT18" i="3"/>
  <c r="AT18" i="8"/>
  <c r="AT18" i="41"/>
  <c r="AT18" i="13"/>
  <c r="AT19" i="43"/>
  <c r="AT141" i="5"/>
  <c r="AT139" i="5"/>
  <c r="AU4" i="5"/>
  <c r="AU42" i="5"/>
  <c r="AU3" i="43"/>
  <c r="AU3" i="41"/>
  <c r="AU100" i="41"/>
  <c r="AU3" i="3"/>
  <c r="AU3" i="17"/>
  <c r="AU3" i="10"/>
  <c r="AU3" i="11"/>
  <c r="AU3" i="4"/>
  <c r="AU3" i="13"/>
  <c r="AU3" i="16"/>
  <c r="AQ4" i="56"/>
  <c r="AQ80" i="56"/>
  <c r="AQ98" i="56"/>
  <c r="AU3" i="8"/>
  <c r="AU3" i="18"/>
  <c r="AS53" i="10"/>
  <c r="I115" i="8"/>
  <c r="J112" i="8"/>
  <c r="I19" i="14"/>
  <c r="I31" i="15"/>
  <c r="AU48" i="5"/>
  <c r="AU4" i="55"/>
  <c r="AU147" i="5"/>
  <c r="AU16" i="10"/>
  <c r="AU16" i="16"/>
  <c r="AU16" i="4"/>
  <c r="AU36" i="4"/>
  <c r="AU16" i="11"/>
  <c r="AU16" i="3"/>
  <c r="AU16" i="8"/>
  <c r="AU16" i="13"/>
  <c r="AU16" i="41"/>
  <c r="AU17" i="43"/>
  <c r="AV3" i="5"/>
  <c r="AV3" i="55"/>
  <c r="AU4" i="43"/>
  <c r="AU4" i="41"/>
  <c r="AU101" i="41"/>
  <c r="AU4" i="3"/>
  <c r="AU4" i="10"/>
  <c r="AU47" i="10"/>
  <c r="AU4" i="17"/>
  <c r="AU4" i="13"/>
  <c r="AU4" i="16"/>
  <c r="AU4" i="4"/>
  <c r="AU4" i="8"/>
  <c r="AU4" i="18"/>
  <c r="AU4" i="11"/>
  <c r="AU91" i="5"/>
  <c r="AU89" i="5"/>
  <c r="AU90" i="5"/>
  <c r="AU37" i="5"/>
  <c r="AU43" i="5"/>
  <c r="AU49" i="5"/>
  <c r="AT100" i="5"/>
  <c r="AT102" i="5"/>
  <c r="AT104" i="5"/>
  <c r="AT99" i="5"/>
  <c r="AT101" i="5"/>
  <c r="AT103" i="5"/>
  <c r="AT51" i="10"/>
  <c r="AT52" i="10"/>
  <c r="AT54" i="10"/>
  <c r="AT34" i="8"/>
  <c r="AT143" i="5"/>
  <c r="AT140" i="5"/>
  <c r="AT35" i="8"/>
  <c r="AU44" i="5"/>
  <c r="AU50" i="5"/>
  <c r="AT24" i="43"/>
  <c r="AT23" i="10"/>
  <c r="AT49" i="43"/>
  <c r="AT23" i="8"/>
  <c r="AT101" i="43"/>
  <c r="AT23" i="4"/>
  <c r="AT23" i="13"/>
  <c r="AT23" i="3"/>
  <c r="AT23" i="11"/>
  <c r="AU38" i="5"/>
  <c r="AR46" i="3"/>
  <c r="AR47" i="3"/>
  <c r="AR32" i="3"/>
  <c r="AU36" i="5"/>
  <c r="J2" i="9"/>
  <c r="K2" i="9"/>
  <c r="L2" i="9"/>
  <c r="M2" i="9"/>
  <c r="N2" i="9"/>
  <c r="O2" i="9"/>
  <c r="P2" i="9"/>
  <c r="Q2" i="9"/>
  <c r="R2" i="9"/>
  <c r="S2" i="9"/>
  <c r="T2" i="9"/>
  <c r="U2" i="9"/>
  <c r="V2" i="9"/>
  <c r="W2" i="9"/>
  <c r="X2" i="9"/>
  <c r="Y2" i="9"/>
  <c r="Z2" i="9"/>
  <c r="AA2" i="9"/>
  <c r="AB2" i="9"/>
  <c r="AC2" i="9"/>
  <c r="AD2" i="9"/>
  <c r="AE2" i="9"/>
  <c r="AF2" i="9"/>
  <c r="AG2" i="9"/>
  <c r="AH2" i="9"/>
  <c r="AI2" i="9"/>
  <c r="J2" i="15"/>
  <c r="K2" i="15"/>
  <c r="L2" i="15"/>
  <c r="M2" i="15"/>
  <c r="N2" i="15"/>
  <c r="O2" i="15"/>
  <c r="P2" i="15"/>
  <c r="Q2" i="15"/>
  <c r="R2" i="15"/>
  <c r="S2" i="15"/>
  <c r="T2" i="15"/>
  <c r="U2" i="15"/>
  <c r="V2" i="15"/>
  <c r="W2" i="15"/>
  <c r="X2" i="15"/>
  <c r="Y2" i="15"/>
  <c r="Z2" i="15"/>
  <c r="AA2" i="15"/>
  <c r="AB2" i="15"/>
  <c r="AC2" i="15"/>
  <c r="AD2" i="15"/>
  <c r="AE2" i="15"/>
  <c r="AF2" i="15"/>
  <c r="AG2" i="15"/>
  <c r="AH2" i="15"/>
  <c r="AI2" i="15"/>
  <c r="J2" i="17"/>
  <c r="J28" i="17"/>
  <c r="K2" i="17"/>
  <c r="K28" i="17"/>
  <c r="L2" i="17"/>
  <c r="L28" i="17"/>
  <c r="M2" i="17"/>
  <c r="M28" i="17"/>
  <c r="N2" i="17"/>
  <c r="O2" i="17"/>
  <c r="P2" i="17"/>
  <c r="Q2" i="17"/>
  <c r="R2" i="17"/>
  <c r="S2" i="17"/>
  <c r="T2" i="17"/>
  <c r="U2" i="17"/>
  <c r="V2" i="17"/>
  <c r="W2" i="17"/>
  <c r="X2" i="17"/>
  <c r="Y2" i="17"/>
  <c r="Z2" i="17"/>
  <c r="AA2" i="17"/>
  <c r="AB2" i="17"/>
  <c r="AC2" i="17"/>
  <c r="AD2" i="17"/>
  <c r="AE2" i="17"/>
  <c r="AF2" i="17"/>
  <c r="AG2" i="17"/>
  <c r="AH2" i="17"/>
  <c r="AI2" i="17"/>
  <c r="J27" i="17"/>
  <c r="J2" i="8"/>
  <c r="J31" i="8"/>
  <c r="J45" i="16"/>
  <c r="K2" i="8"/>
  <c r="L2" i="8"/>
  <c r="M2" i="8"/>
  <c r="N2" i="8"/>
  <c r="N97" i="8"/>
  <c r="N18" i="15"/>
  <c r="O2" i="8"/>
  <c r="P2" i="8"/>
  <c r="Q2" i="8"/>
  <c r="R2" i="8"/>
  <c r="S2" i="8"/>
  <c r="T2" i="8"/>
  <c r="U2" i="8"/>
  <c r="V2" i="8"/>
  <c r="W2" i="8"/>
  <c r="X2" i="8"/>
  <c r="Y2" i="8"/>
  <c r="Z2" i="8"/>
  <c r="AA2" i="8"/>
  <c r="AB2" i="8"/>
  <c r="AC2" i="8"/>
  <c r="AD2" i="8"/>
  <c r="AE2" i="8"/>
  <c r="AF2" i="8"/>
  <c r="AG2" i="8"/>
  <c r="AH2" i="8"/>
  <c r="AI2" i="8"/>
  <c r="AI51" i="8"/>
  <c r="AI50" i="8"/>
  <c r="AI17" i="15"/>
  <c r="M51" i="8"/>
  <c r="S51" i="8"/>
  <c r="U51" i="8"/>
  <c r="AA51" i="8"/>
  <c r="AB51" i="8"/>
  <c r="AC51" i="8"/>
  <c r="K97" i="8"/>
  <c r="K18" i="15"/>
  <c r="L97" i="8"/>
  <c r="L18" i="15"/>
  <c r="M97" i="8"/>
  <c r="M18" i="15"/>
  <c r="S97" i="8"/>
  <c r="S18" i="15"/>
  <c r="T97" i="8"/>
  <c r="T18" i="15"/>
  <c r="U97" i="8"/>
  <c r="U18" i="15"/>
  <c r="AA97" i="8"/>
  <c r="AA18" i="15"/>
  <c r="AB97" i="8"/>
  <c r="AB18" i="15"/>
  <c r="AC97" i="8"/>
  <c r="AC18" i="15"/>
  <c r="AI97" i="8"/>
  <c r="AI18" i="15"/>
  <c r="L98" i="8"/>
  <c r="M98" i="8"/>
  <c r="S98" i="8"/>
  <c r="T98" i="8"/>
  <c r="U98" i="8"/>
  <c r="AA98" i="8"/>
  <c r="AB98" i="8"/>
  <c r="AC98" i="8"/>
  <c r="AE98" i="8"/>
  <c r="AI98" i="8"/>
  <c r="J2" i="13"/>
  <c r="K2" i="13"/>
  <c r="L2" i="13"/>
  <c r="M2" i="13"/>
  <c r="M31" i="13"/>
  <c r="M19" i="15"/>
  <c r="N2" i="13"/>
  <c r="N31" i="13"/>
  <c r="N19" i="15"/>
  <c r="O2" i="13"/>
  <c r="O31" i="13"/>
  <c r="O19" i="15"/>
  <c r="P2" i="13"/>
  <c r="Q2" i="13"/>
  <c r="Q31" i="13"/>
  <c r="Q19" i="15"/>
  <c r="R2" i="13"/>
  <c r="R31" i="13"/>
  <c r="R19" i="15"/>
  <c r="S2" i="13"/>
  <c r="S31" i="13"/>
  <c r="S19" i="15"/>
  <c r="T2" i="13"/>
  <c r="T31" i="13"/>
  <c r="T19" i="15"/>
  <c r="U2" i="13"/>
  <c r="U31" i="13"/>
  <c r="V2" i="13"/>
  <c r="V31" i="13"/>
  <c r="V19" i="15"/>
  <c r="W2" i="13"/>
  <c r="W31" i="13"/>
  <c r="W19" i="15"/>
  <c r="X2" i="13"/>
  <c r="Y2" i="13"/>
  <c r="Y31" i="13"/>
  <c r="Y19" i="15"/>
  <c r="Z2" i="13"/>
  <c r="Z31" i="13"/>
  <c r="Z19" i="15"/>
  <c r="AA2" i="13"/>
  <c r="AA31" i="13"/>
  <c r="AA19" i="15"/>
  <c r="AB2" i="13"/>
  <c r="AB31" i="13"/>
  <c r="AB19" i="15"/>
  <c r="AC2" i="13"/>
  <c r="AC31" i="13"/>
  <c r="AD2" i="13"/>
  <c r="AD31" i="13"/>
  <c r="AD19" i="15"/>
  <c r="AE2" i="13"/>
  <c r="AE31" i="13"/>
  <c r="AE19" i="15"/>
  <c r="AF2" i="13"/>
  <c r="AG2" i="13"/>
  <c r="AG31" i="13"/>
  <c r="AG19" i="15"/>
  <c r="AH2" i="13"/>
  <c r="AH31" i="13"/>
  <c r="AH19" i="15"/>
  <c r="AI2" i="13"/>
  <c r="AI31" i="13"/>
  <c r="AI19" i="15"/>
  <c r="J2" i="4"/>
  <c r="K2" i="4"/>
  <c r="L2" i="4"/>
  <c r="M2" i="4"/>
  <c r="N2" i="4"/>
  <c r="O2" i="4"/>
  <c r="O35" i="4"/>
  <c r="P2" i="4"/>
  <c r="P35" i="4"/>
  <c r="Q2" i="4"/>
  <c r="Q35" i="4"/>
  <c r="R2" i="4"/>
  <c r="R35" i="4"/>
  <c r="S2" i="4"/>
  <c r="S35" i="4"/>
  <c r="T2" i="4"/>
  <c r="T35" i="4"/>
  <c r="U2" i="4"/>
  <c r="U35" i="4"/>
  <c r="V2" i="4"/>
  <c r="V35" i="4"/>
  <c r="W2" i="4"/>
  <c r="W35" i="4"/>
  <c r="X2" i="4"/>
  <c r="X35" i="4"/>
  <c r="Y2" i="4"/>
  <c r="Y35" i="4"/>
  <c r="Z2" i="4"/>
  <c r="Z35" i="4"/>
  <c r="AA2" i="4"/>
  <c r="AA35" i="4"/>
  <c r="AB2" i="4"/>
  <c r="AB35" i="4"/>
  <c r="AC2" i="4"/>
  <c r="AC35" i="4"/>
  <c r="AD2" i="4"/>
  <c r="AD35" i="4"/>
  <c r="AE2" i="4"/>
  <c r="AE35" i="4"/>
  <c r="AF2" i="4"/>
  <c r="AF35" i="4"/>
  <c r="AG2" i="4"/>
  <c r="AG35" i="4"/>
  <c r="AH2" i="4"/>
  <c r="AH35" i="4"/>
  <c r="AI2" i="4"/>
  <c r="AI35" i="4"/>
  <c r="J2" i="1"/>
  <c r="K2" i="1"/>
  <c r="L2" i="1"/>
  <c r="M2" i="1"/>
  <c r="N2" i="1"/>
  <c r="O2" i="1"/>
  <c r="P2" i="1"/>
  <c r="Q2" i="1"/>
  <c r="R2" i="1"/>
  <c r="S2" i="1"/>
  <c r="T2" i="1"/>
  <c r="U2" i="1"/>
  <c r="V2" i="1"/>
  <c r="W2" i="1"/>
  <c r="X2" i="1"/>
  <c r="Y2" i="1"/>
  <c r="Z2" i="1"/>
  <c r="AA2" i="1"/>
  <c r="AB2" i="1"/>
  <c r="AC2" i="1"/>
  <c r="AD2" i="1"/>
  <c r="AE2" i="1"/>
  <c r="AF2" i="1"/>
  <c r="AG2" i="1"/>
  <c r="AH2" i="1"/>
  <c r="AI2" i="1"/>
  <c r="J2" i="14"/>
  <c r="K2" i="14"/>
  <c r="L2" i="14"/>
  <c r="M2" i="14"/>
  <c r="N2" i="14"/>
  <c r="O2" i="14"/>
  <c r="P2" i="14"/>
  <c r="Q2" i="14"/>
  <c r="R2" i="14"/>
  <c r="S2" i="14"/>
  <c r="T2" i="14"/>
  <c r="U2" i="14"/>
  <c r="V2" i="14"/>
  <c r="W2" i="14"/>
  <c r="X2" i="14"/>
  <c r="Y2" i="14"/>
  <c r="Z2" i="14"/>
  <c r="AA2" i="14"/>
  <c r="AB2" i="14"/>
  <c r="AC2" i="14"/>
  <c r="AD2" i="14"/>
  <c r="AE2" i="14"/>
  <c r="AF2" i="14"/>
  <c r="AG2" i="14"/>
  <c r="AH2" i="14"/>
  <c r="AI2" i="14"/>
  <c r="J2" i="11"/>
  <c r="K2" i="11"/>
  <c r="L2" i="11"/>
  <c r="M2" i="11"/>
  <c r="N2" i="11"/>
  <c r="O2" i="11"/>
  <c r="P2" i="11"/>
  <c r="Q2" i="11"/>
  <c r="R2" i="11"/>
  <c r="S2" i="11"/>
  <c r="T2" i="11"/>
  <c r="U2" i="11"/>
  <c r="V2" i="11"/>
  <c r="W2" i="11"/>
  <c r="X2" i="11"/>
  <c r="Y2" i="11"/>
  <c r="Z2" i="11"/>
  <c r="AA2" i="11"/>
  <c r="AB2" i="11"/>
  <c r="AC2" i="11"/>
  <c r="AD2" i="11"/>
  <c r="AE2" i="11"/>
  <c r="AF2" i="11"/>
  <c r="AG2" i="11"/>
  <c r="AH2" i="11"/>
  <c r="AI2" i="11"/>
  <c r="J2" i="16"/>
  <c r="J46" i="16"/>
  <c r="K2" i="16"/>
  <c r="K46" i="16"/>
  <c r="L2" i="16"/>
  <c r="L46" i="16"/>
  <c r="M2" i="16"/>
  <c r="M46" i="16"/>
  <c r="N2" i="16"/>
  <c r="N46" i="16"/>
  <c r="O2" i="16"/>
  <c r="O46" i="16"/>
  <c r="P2" i="16"/>
  <c r="P46" i="16"/>
  <c r="Q2" i="16"/>
  <c r="Q46" i="16"/>
  <c r="R2" i="16"/>
  <c r="R46" i="16"/>
  <c r="S2" i="16"/>
  <c r="S46" i="16"/>
  <c r="T2" i="16"/>
  <c r="T46" i="16"/>
  <c r="U2" i="16"/>
  <c r="U46" i="16"/>
  <c r="V2" i="16"/>
  <c r="V46" i="16"/>
  <c r="W2" i="16"/>
  <c r="W46" i="16"/>
  <c r="X2" i="16"/>
  <c r="X46" i="16"/>
  <c r="Y2" i="16"/>
  <c r="Y46" i="16"/>
  <c r="Z2" i="16"/>
  <c r="Z46" i="16"/>
  <c r="AA2" i="16"/>
  <c r="AA46" i="16"/>
  <c r="AB2" i="16"/>
  <c r="AB46" i="16"/>
  <c r="AC2" i="16"/>
  <c r="AC46" i="16"/>
  <c r="AD2" i="16"/>
  <c r="AD46" i="16"/>
  <c r="AE2" i="16"/>
  <c r="AE46" i="16"/>
  <c r="AF2" i="16"/>
  <c r="AF46" i="16"/>
  <c r="AG2" i="16"/>
  <c r="AG46" i="16"/>
  <c r="AH2" i="16"/>
  <c r="AH46" i="16"/>
  <c r="AI2" i="16"/>
  <c r="AI46" i="16"/>
  <c r="J2" i="3"/>
  <c r="K2" i="3"/>
  <c r="L2" i="3"/>
  <c r="M2" i="3"/>
  <c r="N2" i="3"/>
  <c r="O2" i="3"/>
  <c r="P2" i="3"/>
  <c r="Q2" i="3"/>
  <c r="R2" i="3"/>
  <c r="S2" i="3"/>
  <c r="T2" i="3"/>
  <c r="U2" i="3"/>
  <c r="V2" i="3"/>
  <c r="W2" i="3"/>
  <c r="X2" i="3"/>
  <c r="Y2" i="3"/>
  <c r="Z2" i="3"/>
  <c r="AA2" i="3"/>
  <c r="AB2" i="3"/>
  <c r="AC2" i="3"/>
  <c r="AD2" i="3"/>
  <c r="AE2" i="3"/>
  <c r="AF2" i="3"/>
  <c r="AG2" i="3"/>
  <c r="AH2" i="3"/>
  <c r="AI2" i="3"/>
  <c r="J2" i="18"/>
  <c r="J36" i="18"/>
  <c r="K2" i="18"/>
  <c r="K36" i="18"/>
  <c r="L2" i="18"/>
  <c r="L36" i="18"/>
  <c r="M2" i="18"/>
  <c r="M36" i="18"/>
  <c r="N2" i="18"/>
  <c r="N36" i="18"/>
  <c r="O2" i="18"/>
  <c r="O36" i="18"/>
  <c r="P2" i="18"/>
  <c r="P36" i="18"/>
  <c r="Q2" i="18"/>
  <c r="Q36" i="18"/>
  <c r="R2" i="18"/>
  <c r="R36" i="18"/>
  <c r="S2" i="18"/>
  <c r="S36" i="18"/>
  <c r="T2" i="18"/>
  <c r="T36" i="18"/>
  <c r="U2" i="18"/>
  <c r="U36" i="18"/>
  <c r="V2" i="18"/>
  <c r="V36" i="18"/>
  <c r="W2" i="18"/>
  <c r="W36" i="18"/>
  <c r="X2" i="18"/>
  <c r="X36" i="18"/>
  <c r="Y2" i="18"/>
  <c r="Y36" i="18"/>
  <c r="Z2" i="18"/>
  <c r="Z36" i="18"/>
  <c r="AA2" i="18"/>
  <c r="AA36" i="18"/>
  <c r="AB2" i="18"/>
  <c r="AB36" i="18"/>
  <c r="AC2" i="18"/>
  <c r="AC36" i="18"/>
  <c r="AD2" i="18"/>
  <c r="AD36" i="18"/>
  <c r="AE2" i="18"/>
  <c r="AE36" i="18"/>
  <c r="AF2" i="18"/>
  <c r="AF36" i="18"/>
  <c r="AG2" i="18"/>
  <c r="AG36" i="18"/>
  <c r="AH2" i="18"/>
  <c r="AH36" i="18"/>
  <c r="AI2" i="18"/>
  <c r="AI36" i="18"/>
  <c r="K2" i="12"/>
  <c r="L2" i="12"/>
  <c r="M2" i="12"/>
  <c r="N2" i="12"/>
  <c r="O2" i="12"/>
  <c r="P2" i="12"/>
  <c r="Q2" i="12"/>
  <c r="R2" i="12"/>
  <c r="S2" i="12"/>
  <c r="T2" i="12"/>
  <c r="U2" i="12"/>
  <c r="V2" i="12"/>
  <c r="W2" i="12"/>
  <c r="X2" i="12"/>
  <c r="Y2" i="12"/>
  <c r="Z2" i="12"/>
  <c r="AA2" i="12"/>
  <c r="AB2" i="12"/>
  <c r="AC2" i="12"/>
  <c r="AD2" i="12"/>
  <c r="AE2" i="12"/>
  <c r="AF2" i="12"/>
  <c r="AG2" i="12"/>
  <c r="AH2" i="12"/>
  <c r="AI2" i="12"/>
  <c r="AJ2" i="12"/>
  <c r="J2" i="2"/>
  <c r="K2" i="2"/>
  <c r="L2" i="2"/>
  <c r="M2" i="2"/>
  <c r="N2" i="2"/>
  <c r="O2" i="2"/>
  <c r="P2" i="2"/>
  <c r="Q2" i="2"/>
  <c r="R2" i="2"/>
  <c r="S2" i="2"/>
  <c r="T2" i="2"/>
  <c r="U2" i="2"/>
  <c r="V2" i="2"/>
  <c r="W2" i="2"/>
  <c r="X2" i="2"/>
  <c r="Y2" i="2"/>
  <c r="Z2" i="2"/>
  <c r="AA2" i="2"/>
  <c r="AB2" i="2"/>
  <c r="AC2" i="2"/>
  <c r="AD2" i="2"/>
  <c r="AE2" i="2"/>
  <c r="AF2" i="2"/>
  <c r="AG2" i="2"/>
  <c r="AH2" i="2"/>
  <c r="AI2" i="2"/>
  <c r="J2" i="10"/>
  <c r="J48" i="10"/>
  <c r="K2" i="10"/>
  <c r="K69" i="10"/>
  <c r="L2" i="10"/>
  <c r="L48" i="10"/>
  <c r="M2" i="10"/>
  <c r="M69" i="10"/>
  <c r="N2" i="10"/>
  <c r="N48" i="10"/>
  <c r="O2" i="10"/>
  <c r="O48" i="10"/>
  <c r="P2" i="10"/>
  <c r="P48" i="10"/>
  <c r="Q2" i="10"/>
  <c r="Q48" i="10"/>
  <c r="R2" i="10"/>
  <c r="R48" i="10"/>
  <c r="S2" i="10"/>
  <c r="S48" i="10"/>
  <c r="T2" i="10"/>
  <c r="T48" i="10"/>
  <c r="U2" i="10"/>
  <c r="U48" i="10"/>
  <c r="V2" i="10"/>
  <c r="V48" i="10"/>
  <c r="W2" i="10"/>
  <c r="W48" i="10"/>
  <c r="X2" i="10"/>
  <c r="X48" i="10"/>
  <c r="Y2" i="10"/>
  <c r="Y48" i="10"/>
  <c r="Z2" i="10"/>
  <c r="Z48" i="10"/>
  <c r="AA2" i="10"/>
  <c r="AA48" i="10"/>
  <c r="AB2" i="10"/>
  <c r="AB48" i="10"/>
  <c r="AC2" i="10"/>
  <c r="AC48" i="10"/>
  <c r="AD2" i="10"/>
  <c r="AD48" i="10"/>
  <c r="AE2" i="10"/>
  <c r="AE48" i="10"/>
  <c r="AF2" i="10"/>
  <c r="AF48" i="10"/>
  <c r="AG2" i="10"/>
  <c r="AG48" i="10"/>
  <c r="AH2" i="10"/>
  <c r="AH48" i="10"/>
  <c r="AI2" i="10"/>
  <c r="AI48" i="10"/>
  <c r="AG50" i="8"/>
  <c r="AG17" i="15"/>
  <c r="Y51" i="8"/>
  <c r="Y50" i="8"/>
  <c r="Y17" i="15"/>
  <c r="Q31" i="8"/>
  <c r="Q45" i="16"/>
  <c r="Q50" i="8"/>
  <c r="Z97" i="8"/>
  <c r="Z18" i="15"/>
  <c r="Z50" i="8"/>
  <c r="Z17" i="15"/>
  <c r="AF51" i="8"/>
  <c r="AF50" i="8"/>
  <c r="X31" i="8"/>
  <c r="X45" i="16"/>
  <c r="X50" i="8"/>
  <c r="P31" i="8"/>
  <c r="P45" i="16"/>
  <c r="P50" i="8"/>
  <c r="L61" i="56"/>
  <c r="AE50" i="8"/>
  <c r="AE17" i="15"/>
  <c r="W31" i="8"/>
  <c r="W45" i="16"/>
  <c r="W50" i="8"/>
  <c r="W17" i="15"/>
  <c r="O31" i="8"/>
  <c r="O45" i="16"/>
  <c r="O50" i="8"/>
  <c r="K61" i="56"/>
  <c r="R31" i="8"/>
  <c r="R45" i="16"/>
  <c r="R50" i="8"/>
  <c r="AD50" i="8"/>
  <c r="AD17" i="15"/>
  <c r="V97" i="8"/>
  <c r="V18" i="15"/>
  <c r="V50" i="8"/>
  <c r="V17" i="15"/>
  <c r="AC50" i="8"/>
  <c r="AC17" i="15"/>
  <c r="U31" i="8"/>
  <c r="U45" i="16"/>
  <c r="U50" i="8"/>
  <c r="U17" i="15"/>
  <c r="AH98" i="8"/>
  <c r="AH50" i="8"/>
  <c r="AH17" i="15"/>
  <c r="AB50" i="8"/>
  <c r="AB17" i="15"/>
  <c r="T31" i="8"/>
  <c r="T45" i="16"/>
  <c r="T50" i="8"/>
  <c r="AA50" i="8"/>
  <c r="AA17" i="15"/>
  <c r="S31" i="8"/>
  <c r="S45" i="16"/>
  <c r="S50" i="8"/>
  <c r="W97" i="8"/>
  <c r="W18" i="15"/>
  <c r="AU52" i="55"/>
  <c r="AU53" i="55"/>
  <c r="AU37" i="55"/>
  <c r="O98" i="8"/>
  <c r="L27" i="17"/>
  <c r="P51" i="8"/>
  <c r="P98" i="8"/>
  <c r="X97" i="8"/>
  <c r="X18" i="15"/>
  <c r="X98" i="8"/>
  <c r="AF97" i="8"/>
  <c r="AF18" i="15"/>
  <c r="AE97" i="8"/>
  <c r="AE18" i="15"/>
  <c r="Z51" i="8"/>
  <c r="K80" i="10"/>
  <c r="K83" i="10"/>
  <c r="AF98" i="8"/>
  <c r="P97" i="8"/>
  <c r="P18" i="15"/>
  <c r="W51" i="8"/>
  <c r="AH97" i="8"/>
  <c r="AH18" i="15"/>
  <c r="J97" i="8"/>
  <c r="J18" i="15"/>
  <c r="M27" i="17"/>
  <c r="R98" i="8"/>
  <c r="J57" i="8"/>
  <c r="J58" i="8"/>
  <c r="J73" i="8"/>
  <c r="AH51" i="8"/>
  <c r="R51" i="8"/>
  <c r="R17" i="15"/>
  <c r="J80" i="10"/>
  <c r="J83" i="10"/>
  <c r="J104" i="8"/>
  <c r="J105" i="8"/>
  <c r="J119" i="8"/>
  <c r="Z98" i="8"/>
  <c r="R97" i="8"/>
  <c r="R18" i="15"/>
  <c r="O51" i="8"/>
  <c r="W98" i="8"/>
  <c r="P169" i="41"/>
  <c r="M39" i="56"/>
  <c r="AD169" i="41"/>
  <c r="AA39" i="56"/>
  <c r="AH169" i="41"/>
  <c r="AE39" i="56"/>
  <c r="Z169" i="41"/>
  <c r="W39" i="56"/>
  <c r="R169" i="41"/>
  <c r="O39" i="56"/>
  <c r="AG169" i="41"/>
  <c r="AD39" i="56"/>
  <c r="Y169" i="41"/>
  <c r="V39" i="56"/>
  <c r="Q169" i="41"/>
  <c r="N39" i="56"/>
  <c r="AE169" i="41"/>
  <c r="AB39" i="56"/>
  <c r="W169" i="41"/>
  <c r="T39" i="56"/>
  <c r="O169" i="41"/>
  <c r="L39" i="56"/>
  <c r="AF169" i="41"/>
  <c r="AC39" i="56"/>
  <c r="X169" i="41"/>
  <c r="U39" i="56"/>
  <c r="V169" i="41"/>
  <c r="S39" i="56"/>
  <c r="AC169" i="41"/>
  <c r="Z39" i="56"/>
  <c r="U169" i="41"/>
  <c r="R39" i="56"/>
  <c r="AB169" i="41"/>
  <c r="Y39" i="56"/>
  <c r="T169" i="41"/>
  <c r="Q39" i="56"/>
  <c r="N169" i="41"/>
  <c r="N171" i="41"/>
  <c r="K39" i="56"/>
  <c r="AA169" i="41"/>
  <c r="X39" i="56"/>
  <c r="S169" i="41"/>
  <c r="P39" i="56"/>
  <c r="M20" i="18"/>
  <c r="M20" i="55"/>
  <c r="M27" i="55"/>
  <c r="AB27" i="18"/>
  <c r="AB27" i="55"/>
  <c r="AB20" i="55"/>
  <c r="T20" i="18"/>
  <c r="T27" i="55"/>
  <c r="T20" i="55"/>
  <c r="AI20" i="18"/>
  <c r="AI20" i="55"/>
  <c r="AI27" i="55"/>
  <c r="AA20" i="18"/>
  <c r="AA20" i="55"/>
  <c r="AA27" i="55"/>
  <c r="S20" i="18"/>
  <c r="S20" i="55"/>
  <c r="S27" i="55"/>
  <c r="AH20" i="18"/>
  <c r="AH20" i="55"/>
  <c r="AH27" i="55"/>
  <c r="Z27" i="18"/>
  <c r="Z20" i="55"/>
  <c r="Z27" i="55"/>
  <c r="R27" i="18"/>
  <c r="R20" i="55"/>
  <c r="R27" i="55"/>
  <c r="AG27" i="18"/>
  <c r="AG27" i="55"/>
  <c r="AG20" i="55"/>
  <c r="Y27" i="18"/>
  <c r="Y27" i="55"/>
  <c r="Y20" i="55"/>
  <c r="Q20" i="18"/>
  <c r="Q27" i="55"/>
  <c r="Q20" i="55"/>
  <c r="AE27" i="18"/>
  <c r="AE27" i="55"/>
  <c r="AE20" i="55"/>
  <c r="W27" i="18"/>
  <c r="W27" i="55"/>
  <c r="W20" i="55"/>
  <c r="O20" i="18"/>
  <c r="O27" i="55"/>
  <c r="O20" i="55"/>
  <c r="AD20" i="18"/>
  <c r="AD27" i="55"/>
  <c r="AD20" i="55"/>
  <c r="V27" i="18"/>
  <c r="V27" i="55"/>
  <c r="V20" i="55"/>
  <c r="N20" i="18"/>
  <c r="N27" i="55"/>
  <c r="N20" i="55"/>
  <c r="AT15" i="18"/>
  <c r="AT15" i="55"/>
  <c r="K27" i="17"/>
  <c r="AG97" i="8"/>
  <c r="AG18" i="15"/>
  <c r="T51" i="8"/>
  <c r="O97" i="8"/>
  <c r="O18" i="15"/>
  <c r="AG51" i="8"/>
  <c r="AF17" i="15"/>
  <c r="L69" i="10"/>
  <c r="L80" i="10"/>
  <c r="L83" i="10"/>
  <c r="J59" i="10"/>
  <c r="J78" i="10"/>
  <c r="J98" i="10"/>
  <c r="AE51" i="8"/>
  <c r="Q98" i="8"/>
  <c r="Y98" i="8"/>
  <c r="J69" i="10"/>
  <c r="AG98" i="8"/>
  <c r="K59" i="10"/>
  <c r="K78" i="10"/>
  <c r="K98" i="10"/>
  <c r="Q51" i="8"/>
  <c r="K48" i="10"/>
  <c r="Q97" i="8"/>
  <c r="Q18" i="15"/>
  <c r="Y97" i="8"/>
  <c r="Y18" i="15"/>
  <c r="X51" i="8"/>
  <c r="L59" i="10"/>
  <c r="L78" i="10"/>
  <c r="L98" i="10"/>
  <c r="AD98" i="8"/>
  <c r="V98" i="8"/>
  <c r="N98" i="8"/>
  <c r="AD97" i="8"/>
  <c r="AD18" i="15"/>
  <c r="M59" i="10"/>
  <c r="M78" i="10"/>
  <c r="M98" i="10"/>
  <c r="M80" i="10"/>
  <c r="M83" i="10"/>
  <c r="X17" i="15"/>
  <c r="V31" i="8"/>
  <c r="V45" i="16"/>
  <c r="N31" i="8"/>
  <c r="N45" i="16"/>
  <c r="M31" i="8"/>
  <c r="M45" i="16"/>
  <c r="L31" i="8"/>
  <c r="L45" i="16"/>
  <c r="L51" i="8"/>
  <c r="M48" i="10"/>
  <c r="K31" i="8"/>
  <c r="K45" i="16"/>
  <c r="AF31" i="13"/>
  <c r="AF19" i="15"/>
  <c r="X31" i="13"/>
  <c r="X19" i="15"/>
  <c r="P31" i="13"/>
  <c r="P19" i="15"/>
  <c r="B289" i="11" a="1"/>
  <c r="B319" i="11" a="1"/>
  <c r="AU11" i="41"/>
  <c r="AU11" i="10"/>
  <c r="AU12" i="43"/>
  <c r="AU11" i="3"/>
  <c r="AU11" i="8"/>
  <c r="AU11" i="13"/>
  <c r="AU11" i="11"/>
  <c r="AU11" i="4"/>
  <c r="AU11" i="16"/>
  <c r="AU18" i="10"/>
  <c r="AU18" i="8"/>
  <c r="AU18" i="16"/>
  <c r="AU18" i="13"/>
  <c r="AU18" i="11"/>
  <c r="AU18" i="4"/>
  <c r="AU18" i="41"/>
  <c r="AU19" i="43"/>
  <c r="AU18" i="3"/>
  <c r="AU17" i="10"/>
  <c r="AU17" i="4"/>
  <c r="AU17" i="8"/>
  <c r="AU96" i="8"/>
  <c r="AU90" i="8"/>
  <c r="AU93" i="8"/>
  <c r="AU17" i="16"/>
  <c r="AU17" i="13"/>
  <c r="AU56" i="13"/>
  <c r="AU17" i="11"/>
  <c r="AU17" i="41"/>
  <c r="AU18" i="43"/>
  <c r="AU17" i="3"/>
  <c r="AU45" i="5"/>
  <c r="AU52" i="18"/>
  <c r="AU53" i="18"/>
  <c r="AU37" i="18"/>
  <c r="AU12" i="13"/>
  <c r="AU12" i="41"/>
  <c r="AU13" i="43"/>
  <c r="AU54" i="5"/>
  <c r="AU12" i="11"/>
  <c r="AU12" i="10"/>
  <c r="AU12" i="16"/>
  <c r="AU12" i="3"/>
  <c r="AU12" i="4"/>
  <c r="AU12" i="8"/>
  <c r="AU39" i="5"/>
  <c r="AU13" i="16"/>
  <c r="AU13" i="4"/>
  <c r="AU13" i="41"/>
  <c r="AU13" i="11"/>
  <c r="AU14" i="43"/>
  <c r="AU13" i="10"/>
  <c r="AU13" i="3"/>
  <c r="AU13" i="8"/>
  <c r="AU13" i="13"/>
  <c r="AT41" i="8"/>
  <c r="AT42" i="8"/>
  <c r="AT29" i="3"/>
  <c r="AT40" i="8"/>
  <c r="AU136" i="5"/>
  <c r="AU30" i="3"/>
  <c r="AU53" i="3"/>
  <c r="AT53" i="10"/>
  <c r="AU139" i="5"/>
  <c r="AV4" i="5"/>
  <c r="AV50" i="5"/>
  <c r="AV3" i="43"/>
  <c r="AV3" i="41"/>
  <c r="AV100" i="41"/>
  <c r="AV3" i="17"/>
  <c r="AV3" i="3"/>
  <c r="AV3" i="10"/>
  <c r="AV3" i="18"/>
  <c r="AV3" i="11"/>
  <c r="AV3" i="4"/>
  <c r="AV3" i="13"/>
  <c r="AV3" i="16"/>
  <c r="AR4" i="56"/>
  <c r="AR80" i="56"/>
  <c r="AR98" i="56"/>
  <c r="AV3" i="8"/>
  <c r="AV36" i="5"/>
  <c r="AV48" i="5"/>
  <c r="AV38" i="5"/>
  <c r="AV44" i="5"/>
  <c r="AU44" i="4"/>
  <c r="AU51" i="4"/>
  <c r="AU50" i="10"/>
  <c r="AU141" i="5"/>
  <c r="AU21" i="43"/>
  <c r="AU20" i="10"/>
  <c r="AU20" i="3"/>
  <c r="AU20" i="8"/>
  <c r="AU20" i="13"/>
  <c r="AU73" i="16"/>
  <c r="AU20" i="41"/>
  <c r="AU20" i="16"/>
  <c r="AU71" i="41"/>
  <c r="AU20" i="11"/>
  <c r="AU20" i="4"/>
  <c r="AU51" i="5"/>
  <c r="AC19" i="15"/>
  <c r="U19" i="15"/>
  <c r="AD51" i="8"/>
  <c r="V51" i="8"/>
  <c r="N51" i="8"/>
  <c r="W20" i="18"/>
  <c r="N27" i="18"/>
  <c r="AG20" i="18"/>
  <c r="O27" i="18"/>
  <c r="AD27" i="18"/>
  <c r="M27" i="18"/>
  <c r="Y20" i="18"/>
  <c r="V20" i="18"/>
  <c r="AH27" i="18"/>
  <c r="R20" i="18"/>
  <c r="AE20" i="18"/>
  <c r="AB20" i="18"/>
  <c r="S27" i="18"/>
  <c r="Q27" i="18"/>
  <c r="AA27" i="18"/>
  <c r="Z20" i="18"/>
  <c r="AI27" i="18"/>
  <c r="T27" i="18"/>
  <c r="AV42" i="5"/>
  <c r="AV4" i="55"/>
  <c r="AV147" i="5"/>
  <c r="P17" i="15"/>
  <c r="J106" i="8"/>
  <c r="K103" i="8"/>
  <c r="J59" i="8"/>
  <c r="K56" i="8"/>
  <c r="O17" i="15"/>
  <c r="Q17" i="15"/>
  <c r="S17" i="15"/>
  <c r="T17" i="15"/>
  <c r="U20" i="18"/>
  <c r="U20" i="55"/>
  <c r="U27" i="55"/>
  <c r="X20" i="55"/>
  <c r="X27" i="55"/>
  <c r="AF20" i="55"/>
  <c r="AF27" i="55"/>
  <c r="AC27" i="18"/>
  <c r="AC20" i="55"/>
  <c r="AC27" i="55"/>
  <c r="P20" i="55"/>
  <c r="P27" i="55"/>
  <c r="D18" i="15"/>
  <c r="D97" i="8"/>
  <c r="O41" i="19"/>
  <c r="P20" i="18"/>
  <c r="P27" i="18"/>
  <c r="X27" i="18"/>
  <c r="X20" i="18"/>
  <c r="AF27" i="18"/>
  <c r="AF20" i="18"/>
  <c r="B289" i="11"/>
  <c r="B293" i="11"/>
  <c r="B301" i="11"/>
  <c r="B307" i="11"/>
  <c r="B313" i="11"/>
  <c r="B300" i="11"/>
  <c r="B304" i="11"/>
  <c r="B290" i="11"/>
  <c r="B292" i="11"/>
  <c r="B298" i="11"/>
  <c r="B310" i="11"/>
  <c r="B296" i="11"/>
  <c r="B299" i="11"/>
  <c r="B294" i="11"/>
  <c r="B297" i="11"/>
  <c r="B291" i="11"/>
  <c r="B295" i="11"/>
  <c r="B306" i="11"/>
  <c r="B303" i="11"/>
  <c r="B308" i="11"/>
  <c r="B305" i="11"/>
  <c r="B311" i="11"/>
  <c r="B309" i="11"/>
  <c r="B312" i="11"/>
  <c r="B315" i="11"/>
  <c r="B302" i="11"/>
  <c r="B314" i="11"/>
  <c r="B322" i="11"/>
  <c r="B331" i="11"/>
  <c r="B324" i="11"/>
  <c r="B326" i="11"/>
  <c r="B319" i="11"/>
  <c r="B325" i="11"/>
  <c r="B328" i="11"/>
  <c r="B321" i="11"/>
  <c r="B330" i="11"/>
  <c r="B336" i="11"/>
  <c r="B341" i="11"/>
  <c r="B320" i="11"/>
  <c r="B332" i="11"/>
  <c r="B340" i="11"/>
  <c r="B344" i="11"/>
  <c r="B345" i="11"/>
  <c r="B333" i="11"/>
  <c r="B334" i="11"/>
  <c r="B338" i="11"/>
  <c r="B339" i="11"/>
  <c r="B342" i="11"/>
  <c r="B327" i="11"/>
  <c r="B329" i="11"/>
  <c r="B343" i="11"/>
  <c r="B323" i="11"/>
  <c r="B335" i="11"/>
  <c r="B337" i="11"/>
  <c r="AV16" i="8"/>
  <c r="AV16" i="16"/>
  <c r="AV16" i="13"/>
  <c r="AV16" i="4"/>
  <c r="AV36" i="4"/>
  <c r="AV16" i="41"/>
  <c r="AV16" i="11"/>
  <c r="AV17" i="43"/>
  <c r="AV16" i="10"/>
  <c r="AV16" i="3"/>
  <c r="AV18" i="4"/>
  <c r="AV18" i="10"/>
  <c r="AV18" i="41"/>
  <c r="AV18" i="3"/>
  <c r="AV19" i="43"/>
  <c r="AV18" i="8"/>
  <c r="AV18" i="13"/>
  <c r="AV18" i="16"/>
  <c r="AV18" i="11"/>
  <c r="AU99" i="5"/>
  <c r="AU100" i="5"/>
  <c r="AU101" i="5"/>
  <c r="AU102" i="5"/>
  <c r="AU103" i="5"/>
  <c r="AU104" i="5"/>
  <c r="AV13" i="10"/>
  <c r="AV13" i="3"/>
  <c r="AV54" i="3"/>
  <c r="AV13" i="41"/>
  <c r="AV13" i="8"/>
  <c r="AV14" i="43"/>
  <c r="AV13" i="13"/>
  <c r="AV13" i="16"/>
  <c r="AV13" i="4"/>
  <c r="AV13" i="11"/>
  <c r="AU23" i="13"/>
  <c r="AU24" i="43"/>
  <c r="AU49" i="43"/>
  <c r="AU23" i="3"/>
  <c r="AU101" i="43"/>
  <c r="AU23" i="10"/>
  <c r="AU23" i="11"/>
  <c r="AU23" i="8"/>
  <c r="AU23" i="4"/>
  <c r="AV11" i="4"/>
  <c r="AV11" i="41"/>
  <c r="AV11" i="11"/>
  <c r="AV12" i="43"/>
  <c r="AV11" i="16"/>
  <c r="AV11" i="3"/>
  <c r="AV11" i="10"/>
  <c r="AV11" i="8"/>
  <c r="AV11" i="13"/>
  <c r="AW3" i="5"/>
  <c r="AW3" i="55"/>
  <c r="AV4" i="43"/>
  <c r="AV4" i="41"/>
  <c r="AV101" i="41"/>
  <c r="AV4" i="10"/>
  <c r="AV47" i="10"/>
  <c r="AV4" i="17"/>
  <c r="AV4" i="3"/>
  <c r="AV4" i="11"/>
  <c r="AV4" i="13"/>
  <c r="AV4" i="16"/>
  <c r="AV4" i="4"/>
  <c r="AV4" i="8"/>
  <c r="AV4" i="18"/>
  <c r="AV89" i="5"/>
  <c r="AV90" i="5"/>
  <c r="AV91" i="5"/>
  <c r="AV37" i="5"/>
  <c r="AV43" i="5"/>
  <c r="AV49" i="5"/>
  <c r="AS31" i="3"/>
  <c r="AT52" i="3"/>
  <c r="AU51" i="10"/>
  <c r="AU52" i="10"/>
  <c r="AU54" i="10"/>
  <c r="AU34" i="8"/>
  <c r="AU143" i="5"/>
  <c r="AU140" i="5"/>
  <c r="AU35" i="8"/>
  <c r="AC20" i="18"/>
  <c r="U27" i="18"/>
  <c r="AV52" i="55"/>
  <c r="AV53" i="55"/>
  <c r="AV37" i="55"/>
  <c r="AU15" i="18"/>
  <c r="AU15" i="55"/>
  <c r="AL342" i="11"/>
  <c r="AQ342" i="11"/>
  <c r="AT342" i="11"/>
  <c r="AO342" i="11"/>
  <c r="AJ342" i="11"/>
  <c r="AW342" i="11"/>
  <c r="AR342" i="11"/>
  <c r="AM342" i="11"/>
  <c r="AU342" i="11"/>
  <c r="AK342" i="11"/>
  <c r="AN342" i="11"/>
  <c r="AP342" i="11"/>
  <c r="AS342" i="11"/>
  <c r="AV342" i="11"/>
  <c r="L342" i="11"/>
  <c r="T342" i="11"/>
  <c r="AB342" i="11"/>
  <c r="M342" i="11"/>
  <c r="U342" i="11"/>
  <c r="AC342" i="11"/>
  <c r="N342" i="11"/>
  <c r="V342" i="11"/>
  <c r="AG342" i="11"/>
  <c r="O342" i="11"/>
  <c r="W342" i="11"/>
  <c r="AH342" i="11"/>
  <c r="P342" i="11"/>
  <c r="X342" i="11"/>
  <c r="AI342" i="11"/>
  <c r="I342" i="11"/>
  <c r="Q342" i="11"/>
  <c r="Y342" i="11"/>
  <c r="J342" i="11"/>
  <c r="R342" i="11"/>
  <c r="Z342" i="11"/>
  <c r="K342" i="11"/>
  <c r="S342" i="11"/>
  <c r="AA342" i="11"/>
  <c r="M332" i="11"/>
  <c r="AS332" i="11"/>
  <c r="AN332" i="11"/>
  <c r="AV332" i="11"/>
  <c r="AQ332" i="11"/>
  <c r="AJ332" i="11"/>
  <c r="AL332" i="11"/>
  <c r="AO332" i="11"/>
  <c r="AR332" i="11"/>
  <c r="AT332" i="11"/>
  <c r="AW332" i="11"/>
  <c r="AM332" i="11"/>
  <c r="AP332" i="11"/>
  <c r="AK332" i="11"/>
  <c r="AU332" i="11"/>
  <c r="N332" i="11"/>
  <c r="AE332" i="11"/>
  <c r="O332" i="11"/>
  <c r="AF332" i="11"/>
  <c r="AC332" i="11"/>
  <c r="AD332" i="11"/>
  <c r="AI332" i="11"/>
  <c r="K332" i="11"/>
  <c r="P332" i="11"/>
  <c r="S332" i="11"/>
  <c r="W332" i="11"/>
  <c r="AA332" i="11"/>
  <c r="J332" i="11"/>
  <c r="X332" i="11"/>
  <c r="R332" i="11"/>
  <c r="Z332" i="11"/>
  <c r="AH332" i="11"/>
  <c r="I332" i="11"/>
  <c r="L332" i="11"/>
  <c r="Q332" i="11"/>
  <c r="AB332" i="11"/>
  <c r="Y332" i="11"/>
  <c r="AG332" i="11"/>
  <c r="AN319" i="11"/>
  <c r="AS319" i="11"/>
  <c r="AV319" i="11"/>
  <c r="AQ319" i="11"/>
  <c r="AL319" i="11"/>
  <c r="AT319" i="11"/>
  <c r="AO319" i="11"/>
  <c r="AW319" i="11"/>
  <c r="AJ319" i="11"/>
  <c r="AM319" i="11"/>
  <c r="AP319" i="11"/>
  <c r="AR319" i="11"/>
  <c r="AU319" i="11"/>
  <c r="AK319" i="11"/>
  <c r="P319" i="11"/>
  <c r="X319" i="11"/>
  <c r="AF319" i="11"/>
  <c r="Q319" i="11"/>
  <c r="Y319" i="11"/>
  <c r="AG319" i="11"/>
  <c r="T319" i="11"/>
  <c r="AH319" i="11"/>
  <c r="J319" i="11"/>
  <c r="U319" i="11"/>
  <c r="AI319" i="11"/>
  <c r="K319" i="11"/>
  <c r="V319" i="11"/>
  <c r="L319" i="11"/>
  <c r="Z319" i="11"/>
  <c r="M319" i="11"/>
  <c r="AA319" i="11"/>
  <c r="N319" i="11"/>
  <c r="AB319" i="11"/>
  <c r="R319" i="11"/>
  <c r="AC319" i="11"/>
  <c r="S319" i="11"/>
  <c r="AD319" i="11"/>
  <c r="AE319" i="11"/>
  <c r="W319" i="11"/>
  <c r="O319" i="11"/>
  <c r="M312" i="11"/>
  <c r="AP312" i="11"/>
  <c r="AU312" i="11"/>
  <c r="AK312" i="11"/>
  <c r="AS312" i="11"/>
  <c r="AN312" i="11"/>
  <c r="AQ312" i="11"/>
  <c r="AV312" i="11"/>
  <c r="AO312" i="11"/>
  <c r="AL312" i="11"/>
  <c r="AT312" i="11"/>
  <c r="AJ312" i="11"/>
  <c r="AR312" i="11"/>
  <c r="AM312" i="11"/>
  <c r="AW312" i="11"/>
  <c r="K312" i="11"/>
  <c r="L312" i="11"/>
  <c r="Z312" i="11"/>
  <c r="R312" i="11"/>
  <c r="S312" i="11"/>
  <c r="T312" i="11"/>
  <c r="AA312" i="11"/>
  <c r="AB312" i="11"/>
  <c r="I312" i="11"/>
  <c r="AG312" i="11"/>
  <c r="O312" i="11"/>
  <c r="AH312" i="11"/>
  <c r="Q312" i="11"/>
  <c r="AI312" i="11"/>
  <c r="X312" i="11"/>
  <c r="P312" i="11"/>
  <c r="AC312" i="11"/>
  <c r="U312" i="11"/>
  <c r="W312" i="11"/>
  <c r="V312" i="11"/>
  <c r="J312" i="11"/>
  <c r="N312" i="11"/>
  <c r="Y312" i="11"/>
  <c r="AJ291" i="11"/>
  <c r="AL291" i="11"/>
  <c r="AO291" i="11"/>
  <c r="AR291" i="11"/>
  <c r="AT291" i="11"/>
  <c r="AW291" i="11"/>
  <c r="AM291" i="11"/>
  <c r="AP291" i="11"/>
  <c r="AK291" i="11"/>
  <c r="AU291" i="11"/>
  <c r="AS291" i="11"/>
  <c r="AN291" i="11"/>
  <c r="AV291" i="11"/>
  <c r="AQ291" i="11"/>
  <c r="R291" i="11"/>
  <c r="AB291" i="11"/>
  <c r="S291" i="11"/>
  <c r="AD291" i="11"/>
  <c r="T291" i="11"/>
  <c r="AE291" i="11"/>
  <c r="V291" i="11"/>
  <c r="AF291" i="11"/>
  <c r="L291" i="11"/>
  <c r="AI291" i="11"/>
  <c r="AC291" i="11"/>
  <c r="X291" i="11"/>
  <c r="AG291" i="11"/>
  <c r="Z291" i="11"/>
  <c r="P291" i="11"/>
  <c r="W291" i="11"/>
  <c r="O291" i="11"/>
  <c r="Q291" i="11"/>
  <c r="M291" i="11"/>
  <c r="N291" i="11"/>
  <c r="AH291" i="11"/>
  <c r="AA291" i="11"/>
  <c r="Y291" i="11"/>
  <c r="U291" i="11"/>
  <c r="N290" i="11"/>
  <c r="AK290" i="11"/>
  <c r="AN290" i="11"/>
  <c r="AS290" i="11"/>
  <c r="AV290" i="11"/>
  <c r="AQ290" i="11"/>
  <c r="AL290" i="11"/>
  <c r="AT290" i="11"/>
  <c r="AO290" i="11"/>
  <c r="AW290" i="11"/>
  <c r="AJ290" i="11"/>
  <c r="AM290" i="11"/>
  <c r="AP290" i="11"/>
  <c r="AR290" i="11"/>
  <c r="AU290" i="11"/>
  <c r="P290" i="11"/>
  <c r="X290" i="11"/>
  <c r="AF290" i="11"/>
  <c r="T290" i="11"/>
  <c r="R290" i="11"/>
  <c r="W290" i="11"/>
  <c r="L290" i="11"/>
  <c r="O290" i="11"/>
  <c r="AA290" i="11"/>
  <c r="V290" i="11"/>
  <c r="M290" i="11"/>
  <c r="AH290" i="11"/>
  <c r="Q290" i="11"/>
  <c r="AB290" i="11"/>
  <c r="AC290" i="11"/>
  <c r="AG290" i="11"/>
  <c r="AD290" i="11"/>
  <c r="U290" i="11"/>
  <c r="Y290" i="11"/>
  <c r="AI290" i="11"/>
  <c r="S290" i="11"/>
  <c r="AE290" i="11"/>
  <c r="K290" i="11"/>
  <c r="Z290" i="11"/>
  <c r="AU326" i="11"/>
  <c r="AK326" i="11"/>
  <c r="AN326" i="11"/>
  <c r="AP326" i="11"/>
  <c r="AS326" i="11"/>
  <c r="AV326" i="11"/>
  <c r="AL326" i="11"/>
  <c r="AQ326" i="11"/>
  <c r="AT326" i="11"/>
  <c r="AO326" i="11"/>
  <c r="AJ326" i="11"/>
  <c r="AW326" i="11"/>
  <c r="AR326" i="11"/>
  <c r="AM326" i="11"/>
  <c r="Q326" i="11"/>
  <c r="Y326" i="11"/>
  <c r="AG326" i="11"/>
  <c r="R326" i="11"/>
  <c r="Z326" i="11"/>
  <c r="AH326" i="11"/>
  <c r="S326" i="11"/>
  <c r="M326" i="11"/>
  <c r="AC326" i="11"/>
  <c r="T326" i="11"/>
  <c r="AD326" i="11"/>
  <c r="U326" i="11"/>
  <c r="AE326" i="11"/>
  <c r="V326" i="11"/>
  <c r="AF326" i="11"/>
  <c r="I326" i="11"/>
  <c r="W326" i="11"/>
  <c r="AI326" i="11"/>
  <c r="J326" i="11"/>
  <c r="X326" i="11"/>
  <c r="K326" i="11"/>
  <c r="AA326" i="11"/>
  <c r="L326" i="11"/>
  <c r="AB326" i="11"/>
  <c r="AM297" i="11"/>
  <c r="AU297" i="11"/>
  <c r="AK297" i="11"/>
  <c r="AN297" i="11"/>
  <c r="AP297" i="11"/>
  <c r="AS297" i="11"/>
  <c r="AV297" i="11"/>
  <c r="AL297" i="11"/>
  <c r="AQ297" i="11"/>
  <c r="AT297" i="11"/>
  <c r="AO297" i="11"/>
  <c r="AJ297" i="11"/>
  <c r="AW297" i="11"/>
  <c r="AR297" i="11"/>
  <c r="N297" i="11"/>
  <c r="T297" i="11"/>
  <c r="U297" i="11"/>
  <c r="V297" i="11"/>
  <c r="W297" i="11"/>
  <c r="L297" i="11"/>
  <c r="AC297" i="11"/>
  <c r="M297" i="11"/>
  <c r="AD297" i="11"/>
  <c r="AB297" i="11"/>
  <c r="AH297" i="11"/>
  <c r="S297" i="11"/>
  <c r="K297" i="11"/>
  <c r="AE297" i="11"/>
  <c r="Z297" i="11"/>
  <c r="R297" i="11"/>
  <c r="AG297" i="11"/>
  <c r="J297" i="11"/>
  <c r="Y297" i="11"/>
  <c r="AI297" i="11"/>
  <c r="I297" i="11"/>
  <c r="AF297" i="11"/>
  <c r="AA297" i="11"/>
  <c r="X297" i="11"/>
  <c r="M304" i="11"/>
  <c r="AT304" i="11"/>
  <c r="AV304" i="11"/>
  <c r="AJ304" i="11"/>
  <c r="AO304" i="11"/>
  <c r="AR304" i="11"/>
  <c r="AM304" i="11"/>
  <c r="AW304" i="11"/>
  <c r="AU304" i="11"/>
  <c r="AP304" i="11"/>
  <c r="AK304" i="11"/>
  <c r="AS304" i="11"/>
  <c r="AL304" i="11"/>
  <c r="AN304" i="11"/>
  <c r="AQ304" i="11"/>
  <c r="I304" i="11"/>
  <c r="T304" i="11"/>
  <c r="AI304" i="11"/>
  <c r="Q304" i="11"/>
  <c r="AE304" i="11"/>
  <c r="AB304" i="11"/>
  <c r="J304" i="11"/>
  <c r="K304" i="11"/>
  <c r="L304" i="11"/>
  <c r="O304" i="11"/>
  <c r="Y304" i="11"/>
  <c r="Z304" i="11"/>
  <c r="AA304" i="11"/>
  <c r="AH304" i="11"/>
  <c r="AC304" i="11"/>
  <c r="S304" i="11"/>
  <c r="U304" i="11"/>
  <c r="R304" i="11"/>
  <c r="AF304" i="11"/>
  <c r="AG304" i="11"/>
  <c r="P304" i="11"/>
  <c r="AD304" i="11"/>
  <c r="N304" i="11"/>
  <c r="AR337" i="11"/>
  <c r="AM337" i="11"/>
  <c r="AW337" i="11"/>
  <c r="AU337" i="11"/>
  <c r="AP337" i="11"/>
  <c r="AK337" i="11"/>
  <c r="AS337" i="11"/>
  <c r="AL337" i="11"/>
  <c r="AN337" i="11"/>
  <c r="AQ337" i="11"/>
  <c r="AT337" i="11"/>
  <c r="AV337" i="11"/>
  <c r="AJ337" i="11"/>
  <c r="AO337" i="11"/>
  <c r="K337" i="11"/>
  <c r="AD337" i="11"/>
  <c r="L337" i="11"/>
  <c r="AE337" i="11"/>
  <c r="N337" i="11"/>
  <c r="AH337" i="11"/>
  <c r="S337" i="11"/>
  <c r="T337" i="11"/>
  <c r="U337" i="11"/>
  <c r="V337" i="11"/>
  <c r="J337" i="11"/>
  <c r="AC337" i="11"/>
  <c r="AG337" i="11"/>
  <c r="P337" i="11"/>
  <c r="X337" i="11"/>
  <c r="AB337" i="11"/>
  <c r="AI337" i="11"/>
  <c r="AF337" i="11"/>
  <c r="R337" i="11"/>
  <c r="O337" i="11"/>
  <c r="W337" i="11"/>
  <c r="I337" i="11"/>
  <c r="M337" i="11"/>
  <c r="Q337" i="11"/>
  <c r="R338" i="11"/>
  <c r="AV338" i="11"/>
  <c r="AL338" i="11"/>
  <c r="AQ338" i="11"/>
  <c r="AT338" i="11"/>
  <c r="AO338" i="11"/>
  <c r="AJ338" i="11"/>
  <c r="AW338" i="11"/>
  <c r="AR338" i="11"/>
  <c r="AM338" i="11"/>
  <c r="AU338" i="11"/>
  <c r="AK338" i="11"/>
  <c r="AN338" i="11"/>
  <c r="AP338" i="11"/>
  <c r="AS338" i="11"/>
  <c r="X338" i="11"/>
  <c r="AC338" i="11"/>
  <c r="AG338" i="11"/>
  <c r="AH338" i="11"/>
  <c r="M338" i="11"/>
  <c r="N338" i="11"/>
  <c r="Q338" i="11"/>
  <c r="W338" i="11"/>
  <c r="Y338" i="11"/>
  <c r="AF338" i="11"/>
  <c r="L338" i="11"/>
  <c r="O338" i="11"/>
  <c r="V338" i="11"/>
  <c r="AE338" i="11"/>
  <c r="T338" i="11"/>
  <c r="J338" i="11"/>
  <c r="U338" i="11"/>
  <c r="I338" i="11"/>
  <c r="P338" i="11"/>
  <c r="AD338" i="11"/>
  <c r="K338" i="11"/>
  <c r="S338" i="11"/>
  <c r="AI338" i="11"/>
  <c r="R341" i="11"/>
  <c r="AU341" i="11"/>
  <c r="AP341" i="11"/>
  <c r="AK341" i="11"/>
  <c r="AS341" i="11"/>
  <c r="AL341" i="11"/>
  <c r="AN341" i="11"/>
  <c r="AQ341" i="11"/>
  <c r="AT341" i="11"/>
  <c r="AV341" i="11"/>
  <c r="AJ341" i="11"/>
  <c r="AO341" i="11"/>
  <c r="AR341" i="11"/>
  <c r="AM341" i="11"/>
  <c r="AW341" i="11"/>
  <c r="Q341" i="11"/>
  <c r="AA341" i="11"/>
  <c r="P341" i="11"/>
  <c r="S341" i="11"/>
  <c r="L341" i="11"/>
  <c r="AG341" i="11"/>
  <c r="I341" i="11"/>
  <c r="T341" i="11"/>
  <c r="AI341" i="11"/>
  <c r="W341" i="11"/>
  <c r="AF341" i="11"/>
  <c r="AB341" i="11"/>
  <c r="Y341" i="11"/>
  <c r="AH341" i="11"/>
  <c r="K341" i="11"/>
  <c r="V341" i="11"/>
  <c r="M341" i="11"/>
  <c r="O341" i="11"/>
  <c r="X341" i="11"/>
  <c r="J341" i="11"/>
  <c r="U341" i="11"/>
  <c r="N341" i="11"/>
  <c r="Z341" i="11"/>
  <c r="AM324" i="11"/>
  <c r="AP324" i="11"/>
  <c r="AK324" i="11"/>
  <c r="AU324" i="11"/>
  <c r="AS324" i="11"/>
  <c r="AN324" i="11"/>
  <c r="AV324" i="11"/>
  <c r="AQ324" i="11"/>
  <c r="AJ324" i="11"/>
  <c r="AL324" i="11"/>
  <c r="AO324" i="11"/>
  <c r="AR324" i="11"/>
  <c r="AT324" i="11"/>
  <c r="AW324" i="11"/>
  <c r="U324" i="11"/>
  <c r="V324" i="11"/>
  <c r="W324" i="11"/>
  <c r="AD324" i="11"/>
  <c r="Y324" i="11"/>
  <c r="AA324" i="11"/>
  <c r="AG324" i="11"/>
  <c r="AI324" i="11"/>
  <c r="J324" i="11"/>
  <c r="T324" i="11"/>
  <c r="R324" i="11"/>
  <c r="AB324" i="11"/>
  <c r="AC324" i="11"/>
  <c r="O324" i="11"/>
  <c r="Z324" i="11"/>
  <c r="P324" i="11"/>
  <c r="AH324" i="11"/>
  <c r="X324" i="11"/>
  <c r="AE324" i="11"/>
  <c r="I324" i="11"/>
  <c r="K324" i="11"/>
  <c r="AF324" i="11"/>
  <c r="Q324" i="11"/>
  <c r="S324" i="11"/>
  <c r="J311" i="11"/>
  <c r="AN311" i="11"/>
  <c r="AQ311" i="11"/>
  <c r="AL311" i="11"/>
  <c r="AV311" i="11"/>
  <c r="AO311" i="11"/>
  <c r="AT311" i="11"/>
  <c r="AW311" i="11"/>
  <c r="AJ311" i="11"/>
  <c r="AR311" i="11"/>
  <c r="AS311" i="11"/>
  <c r="AM311" i="11"/>
  <c r="AP311" i="11"/>
  <c r="AK311" i="11"/>
  <c r="AU311" i="11"/>
  <c r="O311" i="11"/>
  <c r="W311" i="11"/>
  <c r="Q311" i="11"/>
  <c r="P311" i="11"/>
  <c r="AA311" i="11"/>
  <c r="I311" i="11"/>
  <c r="S311" i="11"/>
  <c r="K311" i="11"/>
  <c r="U311" i="11"/>
  <c r="M311" i="11"/>
  <c r="AH311" i="11"/>
  <c r="Z311" i="11"/>
  <c r="V311" i="11"/>
  <c r="AB311" i="11"/>
  <c r="AG311" i="11"/>
  <c r="AF311" i="11"/>
  <c r="N311" i="11"/>
  <c r="T311" i="11"/>
  <c r="Y311" i="11"/>
  <c r="X311" i="11"/>
  <c r="L311" i="11"/>
  <c r="R311" i="11"/>
  <c r="AI311" i="11"/>
  <c r="AN294" i="11"/>
  <c r="AS294" i="11"/>
  <c r="AV294" i="11"/>
  <c r="AQ294" i="11"/>
  <c r="AL294" i="11"/>
  <c r="AT294" i="11"/>
  <c r="AO294" i="11"/>
  <c r="AW294" i="11"/>
  <c r="AJ294" i="11"/>
  <c r="AM294" i="11"/>
  <c r="AP294" i="11"/>
  <c r="AR294" i="11"/>
  <c r="AU294" i="11"/>
  <c r="AK294" i="11"/>
  <c r="Q294" i="11"/>
  <c r="Y294" i="11"/>
  <c r="AG294" i="11"/>
  <c r="R294" i="11"/>
  <c r="Z294" i="11"/>
  <c r="AH294" i="11"/>
  <c r="S294" i="11"/>
  <c r="AA294" i="11"/>
  <c r="AI294" i="11"/>
  <c r="I294" i="11"/>
  <c r="T294" i="11"/>
  <c r="AB294" i="11"/>
  <c r="U294" i="11"/>
  <c r="AC294" i="11"/>
  <c r="J294" i="11"/>
  <c r="X294" i="11"/>
  <c r="K294" i="11"/>
  <c r="P294" i="11"/>
  <c r="AD294" i="11"/>
  <c r="AE294" i="11"/>
  <c r="V294" i="11"/>
  <c r="W294" i="11"/>
  <c r="O294" i="11"/>
  <c r="AF294" i="11"/>
  <c r="I300" i="11"/>
  <c r="AL300" i="11"/>
  <c r="AN300" i="11"/>
  <c r="AQ300" i="11"/>
  <c r="AT300" i="11"/>
  <c r="AV300" i="11"/>
  <c r="AJ300" i="11"/>
  <c r="AO300" i="11"/>
  <c r="AR300" i="11"/>
  <c r="AM300" i="11"/>
  <c r="AW300" i="11"/>
  <c r="AU300" i="11"/>
  <c r="AP300" i="11"/>
  <c r="AK300" i="11"/>
  <c r="AS300" i="11"/>
  <c r="N300" i="11"/>
  <c r="O300" i="11"/>
  <c r="V300" i="11"/>
  <c r="AD300" i="11"/>
  <c r="AE300" i="11"/>
  <c r="W300" i="11"/>
  <c r="J300" i="11"/>
  <c r="Q300" i="11"/>
  <c r="AB300" i="11"/>
  <c r="L300" i="11"/>
  <c r="AF300" i="11"/>
  <c r="AC300" i="11"/>
  <c r="X300" i="11"/>
  <c r="U300" i="11"/>
  <c r="AI300" i="11"/>
  <c r="P300" i="11"/>
  <c r="M300" i="11"/>
  <c r="AA300" i="11"/>
  <c r="AH300" i="11"/>
  <c r="AG300" i="11"/>
  <c r="K300" i="11"/>
  <c r="Y300" i="11"/>
  <c r="Z300" i="11"/>
  <c r="V335" i="11"/>
  <c r="AW335" i="11"/>
  <c r="AJ335" i="11"/>
  <c r="AM335" i="11"/>
  <c r="AP335" i="11"/>
  <c r="AR335" i="11"/>
  <c r="AU335" i="11"/>
  <c r="AK335" i="11"/>
  <c r="AN335" i="11"/>
  <c r="AS335" i="11"/>
  <c r="AV335" i="11"/>
  <c r="AQ335" i="11"/>
  <c r="AL335" i="11"/>
  <c r="AT335" i="11"/>
  <c r="AO335" i="11"/>
  <c r="L335" i="11"/>
  <c r="AG335" i="11"/>
  <c r="N335" i="11"/>
  <c r="O335" i="11"/>
  <c r="Q335" i="11"/>
  <c r="T335" i="11"/>
  <c r="AB335" i="11"/>
  <c r="AD335" i="11"/>
  <c r="I335" i="11"/>
  <c r="AE335" i="11"/>
  <c r="AF335" i="11"/>
  <c r="J335" i="11"/>
  <c r="M335" i="11"/>
  <c r="R335" i="11"/>
  <c r="U335" i="11"/>
  <c r="Z335" i="11"/>
  <c r="AC335" i="11"/>
  <c r="AH335" i="11"/>
  <c r="P335" i="11"/>
  <c r="K335" i="11"/>
  <c r="S335" i="11"/>
  <c r="AA335" i="11"/>
  <c r="AI335" i="11"/>
  <c r="P305" i="11"/>
  <c r="AK305" i="11"/>
  <c r="AN305" i="11"/>
  <c r="AP305" i="11"/>
  <c r="AS305" i="11"/>
  <c r="AV305" i="11"/>
  <c r="AL305" i="11"/>
  <c r="AQ305" i="11"/>
  <c r="AT305" i="11"/>
  <c r="AO305" i="11"/>
  <c r="AJ305" i="11"/>
  <c r="AW305" i="11"/>
  <c r="AR305" i="11"/>
  <c r="AM305" i="11"/>
  <c r="AU305" i="11"/>
  <c r="T305" i="11"/>
  <c r="U305" i="11"/>
  <c r="V305" i="11"/>
  <c r="O305" i="11"/>
  <c r="AE305" i="11"/>
  <c r="L305" i="11"/>
  <c r="M305" i="11"/>
  <c r="N305" i="11"/>
  <c r="AB305" i="11"/>
  <c r="AC305" i="11"/>
  <c r="AD305" i="11"/>
  <c r="R305" i="11"/>
  <c r="AI305" i="11"/>
  <c r="J305" i="11"/>
  <c r="AA305" i="11"/>
  <c r="S305" i="11"/>
  <c r="AG305" i="11"/>
  <c r="K305" i="11"/>
  <c r="Q305" i="11"/>
  <c r="I305" i="11"/>
  <c r="AH305" i="11"/>
  <c r="Z305" i="11"/>
  <c r="AF305" i="11"/>
  <c r="N299" i="11"/>
  <c r="AM299" i="11"/>
  <c r="AP299" i="11"/>
  <c r="AK299" i="11"/>
  <c r="AU299" i="11"/>
  <c r="AS299" i="11"/>
  <c r="AN299" i="11"/>
  <c r="AV299" i="11"/>
  <c r="AQ299" i="11"/>
  <c r="AJ299" i="11"/>
  <c r="AL299" i="11"/>
  <c r="AO299" i="11"/>
  <c r="AR299" i="11"/>
  <c r="AT299" i="11"/>
  <c r="AW299" i="11"/>
  <c r="M299" i="11"/>
  <c r="AB299" i="11"/>
  <c r="T299" i="11"/>
  <c r="AC299" i="11"/>
  <c r="I299" i="11"/>
  <c r="U299" i="11"/>
  <c r="AE299" i="11"/>
  <c r="K299" i="11"/>
  <c r="X299" i="11"/>
  <c r="AG299" i="11"/>
  <c r="L299" i="11"/>
  <c r="AH299" i="11"/>
  <c r="AF299" i="11"/>
  <c r="J299" i="11"/>
  <c r="W299" i="11"/>
  <c r="Z299" i="11"/>
  <c r="AD299" i="11"/>
  <c r="V299" i="11"/>
  <c r="P299" i="11"/>
  <c r="Y299" i="11"/>
  <c r="AA299" i="11"/>
  <c r="AI299" i="11"/>
  <c r="O299" i="11"/>
  <c r="P313" i="11"/>
  <c r="AL313" i="11"/>
  <c r="AQ313" i="11"/>
  <c r="AT313" i="11"/>
  <c r="AO313" i="11"/>
  <c r="AP313" i="11"/>
  <c r="AN313" i="11"/>
  <c r="AJ313" i="11"/>
  <c r="AW313" i="11"/>
  <c r="AR313" i="11"/>
  <c r="AM313" i="11"/>
  <c r="AK313" i="11"/>
  <c r="AU313" i="11"/>
  <c r="AS313" i="11"/>
  <c r="AV313" i="11"/>
  <c r="L313" i="11"/>
  <c r="AB313" i="11"/>
  <c r="M313" i="11"/>
  <c r="AC313" i="11"/>
  <c r="N313" i="11"/>
  <c r="O313" i="11"/>
  <c r="T313" i="11"/>
  <c r="U313" i="11"/>
  <c r="V313" i="11"/>
  <c r="AD313" i="11"/>
  <c r="X313" i="11"/>
  <c r="AH313" i="11"/>
  <c r="Z313" i="11"/>
  <c r="Y313" i="11"/>
  <c r="R313" i="11"/>
  <c r="Q313" i="11"/>
  <c r="W313" i="11"/>
  <c r="AI313" i="11"/>
  <c r="J313" i="11"/>
  <c r="I313" i="11"/>
  <c r="AA313" i="11"/>
  <c r="S313" i="11"/>
  <c r="K313" i="11"/>
  <c r="L309" i="11"/>
  <c r="AN309" i="11"/>
  <c r="AS309" i="11"/>
  <c r="AL309" i="11"/>
  <c r="AO309" i="11"/>
  <c r="AJ309" i="11"/>
  <c r="AW309" i="11"/>
  <c r="AR309" i="11"/>
  <c r="AM309" i="11"/>
  <c r="AK309" i="11"/>
  <c r="AU309" i="11"/>
  <c r="AQ309" i="11"/>
  <c r="AV309" i="11"/>
  <c r="AT309" i="11"/>
  <c r="AP309" i="11"/>
  <c r="K309" i="11"/>
  <c r="N309" i="11"/>
  <c r="AI309" i="11"/>
  <c r="O309" i="11"/>
  <c r="J309" i="11"/>
  <c r="V309" i="11"/>
  <c r="AG309" i="11"/>
  <c r="S309" i="11"/>
  <c r="Z309" i="11"/>
  <c r="AD309" i="11"/>
  <c r="AE309" i="11"/>
  <c r="I309" i="11"/>
  <c r="AF309" i="11"/>
  <c r="P309" i="11"/>
  <c r="Q309" i="11"/>
  <c r="R309" i="11"/>
  <c r="AH309" i="11"/>
  <c r="W309" i="11"/>
  <c r="Y309" i="11"/>
  <c r="U309" i="11"/>
  <c r="X309" i="11"/>
  <c r="M309" i="11"/>
  <c r="T309" i="11"/>
  <c r="N323" i="11"/>
  <c r="AV323" i="11"/>
  <c r="AQ323" i="11"/>
  <c r="AL323" i="11"/>
  <c r="AT323" i="11"/>
  <c r="AO323" i="11"/>
  <c r="AW323" i="11"/>
  <c r="AJ323" i="11"/>
  <c r="AM323" i="11"/>
  <c r="AP323" i="11"/>
  <c r="AR323" i="11"/>
  <c r="AU323" i="11"/>
  <c r="AK323" i="11"/>
  <c r="AN323" i="11"/>
  <c r="AS323" i="11"/>
  <c r="Z323" i="11"/>
  <c r="AI323" i="11"/>
  <c r="R323" i="11"/>
  <c r="AA323" i="11"/>
  <c r="S323" i="11"/>
  <c r="AB323" i="11"/>
  <c r="J323" i="11"/>
  <c r="AC323" i="11"/>
  <c r="O323" i="11"/>
  <c r="AE323" i="11"/>
  <c r="P323" i="11"/>
  <c r="AF323" i="11"/>
  <c r="T323" i="11"/>
  <c r="AG323" i="11"/>
  <c r="U323" i="11"/>
  <c r="AH323" i="11"/>
  <c r="W323" i="11"/>
  <c r="X323" i="11"/>
  <c r="I323" i="11"/>
  <c r="Y323" i="11"/>
  <c r="AD323" i="11"/>
  <c r="V323" i="11"/>
  <c r="Q323" i="11"/>
  <c r="L333" i="11"/>
  <c r="AJ333" i="11"/>
  <c r="AO333" i="11"/>
  <c r="AR333" i="11"/>
  <c r="AM333" i="11"/>
  <c r="AW333" i="11"/>
  <c r="AU333" i="11"/>
  <c r="AP333" i="11"/>
  <c r="AK333" i="11"/>
  <c r="AS333" i="11"/>
  <c r="AL333" i="11"/>
  <c r="AN333" i="11"/>
  <c r="AQ333" i="11"/>
  <c r="AT333" i="11"/>
  <c r="AV333" i="11"/>
  <c r="O333" i="11"/>
  <c r="AA333" i="11"/>
  <c r="P333" i="11"/>
  <c r="AD333" i="11"/>
  <c r="Q333" i="11"/>
  <c r="AG333" i="11"/>
  <c r="R333" i="11"/>
  <c r="AH333" i="11"/>
  <c r="S333" i="11"/>
  <c r="AI333" i="11"/>
  <c r="X333" i="11"/>
  <c r="I333" i="11"/>
  <c r="Y333" i="11"/>
  <c r="J333" i="11"/>
  <c r="Z333" i="11"/>
  <c r="K333" i="11"/>
  <c r="AE333" i="11"/>
  <c r="N333" i="11"/>
  <c r="AF333" i="11"/>
  <c r="AC333" i="11"/>
  <c r="M333" i="11"/>
  <c r="AB333" i="11"/>
  <c r="T333" i="11"/>
  <c r="AK330" i="11"/>
  <c r="AN330" i="11"/>
  <c r="AP330" i="11"/>
  <c r="AS330" i="11"/>
  <c r="AV330" i="11"/>
  <c r="AL330" i="11"/>
  <c r="AQ330" i="11"/>
  <c r="AT330" i="11"/>
  <c r="AO330" i="11"/>
  <c r="AJ330" i="11"/>
  <c r="AW330" i="11"/>
  <c r="AR330" i="11"/>
  <c r="AM330" i="11"/>
  <c r="AU330" i="11"/>
  <c r="P330" i="11"/>
  <c r="U330" i="11"/>
  <c r="AG330" i="11"/>
  <c r="AH330" i="11"/>
  <c r="I330" i="11"/>
  <c r="J330" i="11"/>
  <c r="W330" i="11"/>
  <c r="X330" i="11"/>
  <c r="Y330" i="11"/>
  <c r="AC330" i="11"/>
  <c r="N330" i="11"/>
  <c r="V330" i="11"/>
  <c r="K330" i="11"/>
  <c r="AD330" i="11"/>
  <c r="AF330" i="11"/>
  <c r="AE330" i="11"/>
  <c r="AA330" i="11"/>
  <c r="Q330" i="11"/>
  <c r="AI330" i="11"/>
  <c r="L330" i="11"/>
  <c r="AB330" i="11"/>
  <c r="Z330" i="11"/>
  <c r="M330" i="11"/>
  <c r="O330" i="11"/>
  <c r="AM322" i="11"/>
  <c r="AU322" i="11"/>
  <c r="AK322" i="11"/>
  <c r="AN322" i="11"/>
  <c r="AP322" i="11"/>
  <c r="AS322" i="11"/>
  <c r="AV322" i="11"/>
  <c r="AL322" i="11"/>
  <c r="AQ322" i="11"/>
  <c r="AT322" i="11"/>
  <c r="AO322" i="11"/>
  <c r="AJ322" i="11"/>
  <c r="AW322" i="11"/>
  <c r="AR322" i="11"/>
  <c r="AE322" i="11"/>
  <c r="I322" i="11"/>
  <c r="AF322" i="11"/>
  <c r="O322" i="11"/>
  <c r="AG322" i="11"/>
  <c r="P322" i="11"/>
  <c r="Q322" i="11"/>
  <c r="W322" i="11"/>
  <c r="X322" i="11"/>
  <c r="Y322" i="11"/>
  <c r="AC322" i="11"/>
  <c r="S322" i="11"/>
  <c r="U322" i="11"/>
  <c r="M322" i="11"/>
  <c r="AB322" i="11"/>
  <c r="AD322" i="11"/>
  <c r="T322" i="11"/>
  <c r="AH322" i="11"/>
  <c r="V322" i="11"/>
  <c r="Z322" i="11"/>
  <c r="N322" i="11"/>
  <c r="R322" i="11"/>
  <c r="AI322" i="11"/>
  <c r="AA322" i="11"/>
  <c r="I308" i="11"/>
  <c r="AJ308" i="11"/>
  <c r="AO308" i="11"/>
  <c r="AR308" i="11"/>
  <c r="AM308" i="11"/>
  <c r="AW308" i="11"/>
  <c r="AU308" i="11"/>
  <c r="AP308" i="11"/>
  <c r="AK308" i="11"/>
  <c r="AS308" i="11"/>
  <c r="AL308" i="11"/>
  <c r="AN308" i="11"/>
  <c r="AQ308" i="11"/>
  <c r="AT308" i="11"/>
  <c r="AV308" i="11"/>
  <c r="V308" i="11"/>
  <c r="N308" i="11"/>
  <c r="AD308" i="11"/>
  <c r="AE308" i="11"/>
  <c r="U308" i="11"/>
  <c r="AI308" i="11"/>
  <c r="Y308" i="11"/>
  <c r="M308" i="11"/>
  <c r="S308" i="11"/>
  <c r="Q308" i="11"/>
  <c r="K308" i="11"/>
  <c r="O308" i="11"/>
  <c r="AF308" i="11"/>
  <c r="W308" i="11"/>
  <c r="X308" i="11"/>
  <c r="P308" i="11"/>
  <c r="T308" i="11"/>
  <c r="L308" i="11"/>
  <c r="AH308" i="11"/>
  <c r="R308" i="11"/>
  <c r="AC308" i="11"/>
  <c r="AG308" i="11"/>
  <c r="J308" i="11"/>
  <c r="M296" i="11"/>
  <c r="AL296" i="11"/>
  <c r="AN296" i="11"/>
  <c r="AQ296" i="11"/>
  <c r="AT296" i="11"/>
  <c r="AV296" i="11"/>
  <c r="AJ296" i="11"/>
  <c r="AO296" i="11"/>
  <c r="AR296" i="11"/>
  <c r="AM296" i="11"/>
  <c r="AW296" i="11"/>
  <c r="AU296" i="11"/>
  <c r="AP296" i="11"/>
  <c r="AK296" i="11"/>
  <c r="AS296" i="11"/>
  <c r="AB296" i="11"/>
  <c r="T296" i="11"/>
  <c r="AH296" i="11"/>
  <c r="I296" i="11"/>
  <c r="W296" i="11"/>
  <c r="AI296" i="11"/>
  <c r="J296" i="11"/>
  <c r="Y296" i="11"/>
  <c r="K296" i="11"/>
  <c r="Z296" i="11"/>
  <c r="L296" i="11"/>
  <c r="AA296" i="11"/>
  <c r="Q296" i="11"/>
  <c r="V296" i="11"/>
  <c r="AC296" i="11"/>
  <c r="AE296" i="11"/>
  <c r="U296" i="11"/>
  <c r="R296" i="11"/>
  <c r="AF296" i="11"/>
  <c r="X296" i="11"/>
  <c r="AG296" i="11"/>
  <c r="S296" i="11"/>
  <c r="AD296" i="11"/>
  <c r="N307" i="11"/>
  <c r="AS307" i="11"/>
  <c r="AN307" i="11"/>
  <c r="AV307" i="11"/>
  <c r="AQ307" i="11"/>
  <c r="AJ307" i="11"/>
  <c r="AL307" i="11"/>
  <c r="AR307" i="11"/>
  <c r="AT307" i="11"/>
  <c r="AM307" i="11"/>
  <c r="AP307" i="11"/>
  <c r="AK307" i="11"/>
  <c r="AU307" i="11"/>
  <c r="AO307" i="11"/>
  <c r="AW307" i="11"/>
  <c r="AC307" i="11"/>
  <c r="I307" i="11"/>
  <c r="S307" i="11"/>
  <c r="AF307" i="11"/>
  <c r="P307" i="11"/>
  <c r="AB307" i="11"/>
  <c r="O307" i="11"/>
  <c r="T307" i="11"/>
  <c r="U307" i="11"/>
  <c r="W307" i="11"/>
  <c r="X307" i="11"/>
  <c r="K307" i="11"/>
  <c r="AG307" i="11"/>
  <c r="L307" i="11"/>
  <c r="AH307" i="11"/>
  <c r="M307" i="11"/>
  <c r="AI307" i="11"/>
  <c r="Q307" i="11"/>
  <c r="AD307" i="11"/>
  <c r="V307" i="11"/>
  <c r="J307" i="11"/>
  <c r="AE307" i="11"/>
  <c r="R307" i="11"/>
  <c r="L320" i="11"/>
  <c r="AR320" i="11"/>
  <c r="AT320" i="11"/>
  <c r="AW320" i="11"/>
  <c r="AM320" i="11"/>
  <c r="AP320" i="11"/>
  <c r="AK320" i="11"/>
  <c r="AU320" i="11"/>
  <c r="AS320" i="11"/>
  <c r="AN320" i="11"/>
  <c r="AV320" i="11"/>
  <c r="AQ320" i="11"/>
  <c r="AJ320" i="11"/>
  <c r="AL320" i="11"/>
  <c r="AO320" i="11"/>
  <c r="R320" i="11"/>
  <c r="X320" i="11"/>
  <c r="Y320" i="11"/>
  <c r="AH320" i="11"/>
  <c r="P320" i="11"/>
  <c r="Q320" i="11"/>
  <c r="Z320" i="11"/>
  <c r="AF320" i="11"/>
  <c r="AG320" i="11"/>
  <c r="AA320" i="11"/>
  <c r="O320" i="11"/>
  <c r="S320" i="11"/>
  <c r="AB320" i="11"/>
  <c r="K320" i="11"/>
  <c r="T320" i="11"/>
  <c r="AD320" i="11"/>
  <c r="V320" i="11"/>
  <c r="AC320" i="11"/>
  <c r="N320" i="11"/>
  <c r="U320" i="11"/>
  <c r="AE320" i="11"/>
  <c r="M320" i="11"/>
  <c r="AI320" i="11"/>
  <c r="W320" i="11"/>
  <c r="AN334" i="11"/>
  <c r="AP334" i="11"/>
  <c r="AS334" i="11"/>
  <c r="AV334" i="11"/>
  <c r="AL334" i="11"/>
  <c r="AQ334" i="11"/>
  <c r="AT334" i="11"/>
  <c r="AO334" i="11"/>
  <c r="AJ334" i="11"/>
  <c r="AW334" i="11"/>
  <c r="AR334" i="11"/>
  <c r="AM334" i="11"/>
  <c r="AU334" i="11"/>
  <c r="AK334" i="11"/>
  <c r="I334" i="11"/>
  <c r="Q334" i="11"/>
  <c r="AB334" i="11"/>
  <c r="J334" i="11"/>
  <c r="R334" i="11"/>
  <c r="AC334" i="11"/>
  <c r="O334" i="11"/>
  <c r="AD334" i="11"/>
  <c r="P334" i="11"/>
  <c r="AE334" i="11"/>
  <c r="S334" i="11"/>
  <c r="AF334" i="11"/>
  <c r="T334" i="11"/>
  <c r="AG334" i="11"/>
  <c r="K334" i="11"/>
  <c r="U334" i="11"/>
  <c r="AH334" i="11"/>
  <c r="L334" i="11"/>
  <c r="Y334" i="11"/>
  <c r="AI334" i="11"/>
  <c r="M334" i="11"/>
  <c r="Z334" i="11"/>
  <c r="N334" i="11"/>
  <c r="AA334" i="11"/>
  <c r="AP343" i="11"/>
  <c r="AR343" i="11"/>
  <c r="AU343" i="11"/>
  <c r="AK343" i="11"/>
  <c r="AN343" i="11"/>
  <c r="AS343" i="11"/>
  <c r="AV343" i="11"/>
  <c r="AQ343" i="11"/>
  <c r="AL343" i="11"/>
  <c r="AT343" i="11"/>
  <c r="AO343" i="11"/>
  <c r="AW343" i="11"/>
  <c r="AJ343" i="11"/>
  <c r="AM343" i="11"/>
  <c r="L343" i="11"/>
  <c r="U343" i="11"/>
  <c r="AD343" i="11"/>
  <c r="M343" i="11"/>
  <c r="V343" i="11"/>
  <c r="AI343" i="11"/>
  <c r="T343" i="11"/>
  <c r="N343" i="11"/>
  <c r="W343" i="11"/>
  <c r="O343" i="11"/>
  <c r="X343" i="11"/>
  <c r="P343" i="11"/>
  <c r="Y343" i="11"/>
  <c r="Q343" i="11"/>
  <c r="AA343" i="11"/>
  <c r="AC343" i="11"/>
  <c r="I343" i="11"/>
  <c r="S343" i="11"/>
  <c r="AB343" i="11"/>
  <c r="K343" i="11"/>
  <c r="J343" i="11"/>
  <c r="R343" i="11"/>
  <c r="Z343" i="11"/>
  <c r="AH343" i="11"/>
  <c r="AK345" i="11"/>
  <c r="AS345" i="11"/>
  <c r="AL345" i="11"/>
  <c r="AN345" i="11"/>
  <c r="AQ345" i="11"/>
  <c r="AT345" i="11"/>
  <c r="AV345" i="11"/>
  <c r="AJ345" i="11"/>
  <c r="AO345" i="11"/>
  <c r="AR345" i="11"/>
  <c r="AM345" i="11"/>
  <c r="AW345" i="11"/>
  <c r="AU345" i="11"/>
  <c r="AP345" i="11"/>
  <c r="O345" i="11"/>
  <c r="Z345" i="11"/>
  <c r="N345" i="11"/>
  <c r="Q345" i="11"/>
  <c r="AA345" i="11"/>
  <c r="R345" i="11"/>
  <c r="AB345" i="11"/>
  <c r="Y345" i="11"/>
  <c r="I345" i="11"/>
  <c r="S345" i="11"/>
  <c r="AC345" i="11"/>
  <c r="J345" i="11"/>
  <c r="T345" i="11"/>
  <c r="AD345" i="11"/>
  <c r="K345" i="11"/>
  <c r="U345" i="11"/>
  <c r="L345" i="11"/>
  <c r="W345" i="11"/>
  <c r="V345" i="11"/>
  <c r="M345" i="11"/>
  <c r="P345" i="11"/>
  <c r="X345" i="11"/>
  <c r="AF345" i="11"/>
  <c r="AE345" i="11"/>
  <c r="AL321" i="11"/>
  <c r="AN321" i="11"/>
  <c r="AQ321" i="11"/>
  <c r="AT321" i="11"/>
  <c r="AV321" i="11"/>
  <c r="AJ321" i="11"/>
  <c r="AO321" i="11"/>
  <c r="AR321" i="11"/>
  <c r="AM321" i="11"/>
  <c r="AW321" i="11"/>
  <c r="AU321" i="11"/>
  <c r="AP321" i="11"/>
  <c r="AK321" i="11"/>
  <c r="AS321" i="11"/>
  <c r="L321" i="11"/>
  <c r="T321" i="11"/>
  <c r="AB321" i="11"/>
  <c r="M321" i="11"/>
  <c r="U321" i="11"/>
  <c r="AC321" i="11"/>
  <c r="N321" i="11"/>
  <c r="V321" i="11"/>
  <c r="AD321" i="11"/>
  <c r="X321" i="11"/>
  <c r="AI321" i="11"/>
  <c r="Y321" i="11"/>
  <c r="O321" i="11"/>
  <c r="Z321" i="11"/>
  <c r="P321" i="11"/>
  <c r="AA321" i="11"/>
  <c r="Q321" i="11"/>
  <c r="AE321" i="11"/>
  <c r="R321" i="11"/>
  <c r="AF321" i="11"/>
  <c r="S321" i="11"/>
  <c r="AG321" i="11"/>
  <c r="W321" i="11"/>
  <c r="AH321" i="11"/>
  <c r="K314" i="11"/>
  <c r="AP314" i="11"/>
  <c r="AW314" i="11"/>
  <c r="AK314" i="11"/>
  <c r="AN314" i="11"/>
  <c r="AS314" i="11"/>
  <c r="AR314" i="11"/>
  <c r="AV314" i="11"/>
  <c r="AQ314" i="11"/>
  <c r="AL314" i="11"/>
  <c r="AT314" i="11"/>
  <c r="AO314" i="11"/>
  <c r="AJ314" i="11"/>
  <c r="AM314" i="11"/>
  <c r="AU314" i="11"/>
  <c r="X314" i="11"/>
  <c r="O314" i="11"/>
  <c r="P314" i="11"/>
  <c r="Y314" i="11"/>
  <c r="AE314" i="11"/>
  <c r="I314" i="11"/>
  <c r="W314" i="11"/>
  <c r="M314" i="11"/>
  <c r="T314" i="11"/>
  <c r="AD314" i="11"/>
  <c r="L314" i="11"/>
  <c r="V314" i="11"/>
  <c r="Q314" i="11"/>
  <c r="Z314" i="11"/>
  <c r="N314" i="11"/>
  <c r="R314" i="11"/>
  <c r="J314" i="11"/>
  <c r="AI314" i="11"/>
  <c r="AC314" i="11"/>
  <c r="AA314" i="11"/>
  <c r="U314" i="11"/>
  <c r="AB314" i="11"/>
  <c r="S314" i="11"/>
  <c r="J303" i="11"/>
  <c r="AP303" i="11"/>
  <c r="AK303" i="11"/>
  <c r="AU303" i="11"/>
  <c r="AS303" i="11"/>
  <c r="AN303" i="11"/>
  <c r="AV303" i="11"/>
  <c r="AQ303" i="11"/>
  <c r="AJ303" i="11"/>
  <c r="AL303" i="11"/>
  <c r="AR303" i="11"/>
  <c r="AT303" i="11"/>
  <c r="AW303" i="11"/>
  <c r="AM303" i="11"/>
  <c r="AO303" i="11"/>
  <c r="O303" i="11"/>
  <c r="AG303" i="11"/>
  <c r="M303" i="11"/>
  <c r="AI303" i="11"/>
  <c r="Y303" i="11"/>
  <c r="AF303" i="11"/>
  <c r="AA303" i="11"/>
  <c r="S303" i="11"/>
  <c r="AH303" i="11"/>
  <c r="Q303" i="11"/>
  <c r="X303" i="11"/>
  <c r="AD303" i="11"/>
  <c r="AB303" i="11"/>
  <c r="AE303" i="11"/>
  <c r="I303" i="11"/>
  <c r="P303" i="11"/>
  <c r="N303" i="11"/>
  <c r="T303" i="11"/>
  <c r="K303" i="11"/>
  <c r="Z303" i="11"/>
  <c r="L303" i="11"/>
  <c r="AC303" i="11"/>
  <c r="R303" i="11"/>
  <c r="AT310" i="11"/>
  <c r="AM310" i="11"/>
  <c r="AU310" i="11"/>
  <c r="AQ310" i="11"/>
  <c r="AP310" i="11"/>
  <c r="AK310" i="11"/>
  <c r="AJ310" i="11"/>
  <c r="AN310" i="11"/>
  <c r="AS310" i="11"/>
  <c r="AV310" i="11"/>
  <c r="AO310" i="11"/>
  <c r="AL310" i="11"/>
  <c r="AW310" i="11"/>
  <c r="AR310" i="11"/>
  <c r="N310" i="11"/>
  <c r="V310" i="11"/>
  <c r="P310" i="11"/>
  <c r="X310" i="11"/>
  <c r="AI310" i="11"/>
  <c r="M310" i="11"/>
  <c r="U310" i="11"/>
  <c r="AF310" i="11"/>
  <c r="L310" i="11"/>
  <c r="AE310" i="11"/>
  <c r="Q310" i="11"/>
  <c r="R310" i="11"/>
  <c r="S310" i="11"/>
  <c r="T310" i="11"/>
  <c r="I310" i="11"/>
  <c r="Y310" i="11"/>
  <c r="J310" i="11"/>
  <c r="Z310" i="11"/>
  <c r="K310" i="11"/>
  <c r="AA310" i="11"/>
  <c r="AH310" i="11"/>
  <c r="W310" i="11"/>
  <c r="O310" i="11"/>
  <c r="AG310" i="11"/>
  <c r="L301" i="11"/>
  <c r="AU301" i="11"/>
  <c r="AK301" i="11"/>
  <c r="AN301" i="11"/>
  <c r="AP301" i="11"/>
  <c r="AS301" i="11"/>
  <c r="AV301" i="11"/>
  <c r="AL301" i="11"/>
  <c r="AQ301" i="11"/>
  <c r="AT301" i="11"/>
  <c r="AO301" i="11"/>
  <c r="AJ301" i="11"/>
  <c r="AW301" i="11"/>
  <c r="AR301" i="11"/>
  <c r="AM301" i="11"/>
  <c r="I301" i="11"/>
  <c r="V301" i="11"/>
  <c r="K301" i="11"/>
  <c r="X301" i="11"/>
  <c r="AH301" i="11"/>
  <c r="N301" i="11"/>
  <c r="Y301" i="11"/>
  <c r="P301" i="11"/>
  <c r="AA301" i="11"/>
  <c r="AD301" i="11"/>
  <c r="O301" i="11"/>
  <c r="Z301" i="11"/>
  <c r="AI301" i="11"/>
  <c r="W301" i="11"/>
  <c r="J301" i="11"/>
  <c r="Q301" i="11"/>
  <c r="AF301" i="11"/>
  <c r="AC301" i="11"/>
  <c r="M301" i="11"/>
  <c r="AE301" i="11"/>
  <c r="AG301" i="11"/>
  <c r="R301" i="11"/>
  <c r="AB301" i="11"/>
  <c r="I336" i="11"/>
  <c r="AV336" i="11"/>
  <c r="AQ336" i="11"/>
  <c r="AJ336" i="11"/>
  <c r="AL336" i="11"/>
  <c r="AO336" i="11"/>
  <c r="AR336" i="11"/>
  <c r="AT336" i="11"/>
  <c r="AW336" i="11"/>
  <c r="AM336" i="11"/>
  <c r="AP336" i="11"/>
  <c r="AK336" i="11"/>
  <c r="AU336" i="11"/>
  <c r="AS336" i="11"/>
  <c r="AN336" i="11"/>
  <c r="Q336" i="11"/>
  <c r="R336" i="11"/>
  <c r="AA336" i="11"/>
  <c r="AB336" i="11"/>
  <c r="T336" i="11"/>
  <c r="M336" i="11"/>
  <c r="P336" i="11"/>
  <c r="J336" i="11"/>
  <c r="AE336" i="11"/>
  <c r="U336" i="11"/>
  <c r="AG336" i="11"/>
  <c r="S336" i="11"/>
  <c r="AC336" i="11"/>
  <c r="W336" i="11"/>
  <c r="N336" i="11"/>
  <c r="K336" i="11"/>
  <c r="V336" i="11"/>
  <c r="AD336" i="11"/>
  <c r="AI336" i="11"/>
  <c r="AH336" i="11"/>
  <c r="O336" i="11"/>
  <c r="L336" i="11"/>
  <c r="AF336" i="11"/>
  <c r="AT329" i="11"/>
  <c r="AV329" i="11"/>
  <c r="AJ329" i="11"/>
  <c r="AO329" i="11"/>
  <c r="AR329" i="11"/>
  <c r="AM329" i="11"/>
  <c r="AW329" i="11"/>
  <c r="AU329" i="11"/>
  <c r="AP329" i="11"/>
  <c r="AK329" i="11"/>
  <c r="AS329" i="11"/>
  <c r="AL329" i="11"/>
  <c r="AN329" i="11"/>
  <c r="AQ329" i="11"/>
  <c r="M329" i="11"/>
  <c r="U329" i="11"/>
  <c r="AC329" i="11"/>
  <c r="V329" i="11"/>
  <c r="W329" i="11"/>
  <c r="Y329" i="11"/>
  <c r="AB329" i="11"/>
  <c r="AG329" i="11"/>
  <c r="L329" i="11"/>
  <c r="J329" i="11"/>
  <c r="Z329" i="11"/>
  <c r="T329" i="11"/>
  <c r="AE329" i="11"/>
  <c r="P329" i="11"/>
  <c r="AH329" i="11"/>
  <c r="O329" i="11"/>
  <c r="AD329" i="11"/>
  <c r="X329" i="11"/>
  <c r="K329" i="11"/>
  <c r="N329" i="11"/>
  <c r="AF329" i="11"/>
  <c r="AA329" i="11"/>
  <c r="I329" i="11"/>
  <c r="AI329" i="11"/>
  <c r="Q344" i="11"/>
  <c r="AJ344" i="11"/>
  <c r="AL344" i="11"/>
  <c r="AO344" i="11"/>
  <c r="AR344" i="11"/>
  <c r="AT344" i="11"/>
  <c r="AW344" i="11"/>
  <c r="AM344" i="11"/>
  <c r="AP344" i="11"/>
  <c r="AK344" i="11"/>
  <c r="AU344" i="11"/>
  <c r="AS344" i="11"/>
  <c r="AN344" i="11"/>
  <c r="AV344" i="11"/>
  <c r="AQ344" i="11"/>
  <c r="AD344" i="11"/>
  <c r="AE344" i="11"/>
  <c r="L344" i="11"/>
  <c r="P344" i="11"/>
  <c r="Y344" i="11"/>
  <c r="T344" i="11"/>
  <c r="V344" i="11"/>
  <c r="S344" i="11"/>
  <c r="AA344" i="11"/>
  <c r="Z344" i="11"/>
  <c r="U344" i="11"/>
  <c r="J344" i="11"/>
  <c r="R344" i="11"/>
  <c r="AC344" i="11"/>
  <c r="I344" i="11"/>
  <c r="X344" i="11"/>
  <c r="O344" i="11"/>
  <c r="W344" i="11"/>
  <c r="N344" i="11"/>
  <c r="K344" i="11"/>
  <c r="AB344" i="11"/>
  <c r="AI344" i="11"/>
  <c r="M344" i="11"/>
  <c r="M328" i="11"/>
  <c r="AP328" i="11"/>
  <c r="AK328" i="11"/>
  <c r="AU328" i="11"/>
  <c r="AS328" i="11"/>
  <c r="AN328" i="11"/>
  <c r="AV328" i="11"/>
  <c r="AQ328" i="11"/>
  <c r="AJ328" i="11"/>
  <c r="AL328" i="11"/>
  <c r="AO328" i="11"/>
  <c r="AR328" i="11"/>
  <c r="AT328" i="11"/>
  <c r="AW328" i="11"/>
  <c r="AM328" i="11"/>
  <c r="J328" i="11"/>
  <c r="Z328" i="11"/>
  <c r="K328" i="11"/>
  <c r="AA328" i="11"/>
  <c r="AB328" i="11"/>
  <c r="I328" i="11"/>
  <c r="AE328" i="11"/>
  <c r="L328" i="11"/>
  <c r="AG328" i="11"/>
  <c r="O328" i="11"/>
  <c r="AH328" i="11"/>
  <c r="S328" i="11"/>
  <c r="AI328" i="11"/>
  <c r="T328" i="11"/>
  <c r="W328" i="11"/>
  <c r="Y328" i="11"/>
  <c r="AC328" i="11"/>
  <c r="AF328" i="11"/>
  <c r="U328" i="11"/>
  <c r="X328" i="11"/>
  <c r="AD328" i="11"/>
  <c r="V328" i="11"/>
  <c r="N328" i="11"/>
  <c r="AT302" i="11"/>
  <c r="AO302" i="11"/>
  <c r="AW302" i="11"/>
  <c r="AJ302" i="11"/>
  <c r="AM302" i="11"/>
  <c r="AP302" i="11"/>
  <c r="AR302" i="11"/>
  <c r="AK302" i="11"/>
  <c r="AN302" i="11"/>
  <c r="AS302" i="11"/>
  <c r="AV302" i="11"/>
  <c r="AQ302" i="11"/>
  <c r="AL302" i="11"/>
  <c r="AU302" i="11"/>
  <c r="AD302" i="11"/>
  <c r="L302" i="11"/>
  <c r="M302" i="11"/>
  <c r="N302" i="11"/>
  <c r="I302" i="11"/>
  <c r="J302" i="11"/>
  <c r="R302" i="11"/>
  <c r="AC302" i="11"/>
  <c r="Q302" i="11"/>
  <c r="Y302" i="11"/>
  <c r="Z302" i="11"/>
  <c r="AA302" i="11"/>
  <c r="AB302" i="11"/>
  <c r="AG302" i="11"/>
  <c r="O302" i="11"/>
  <c r="AH302" i="11"/>
  <c r="P302" i="11"/>
  <c r="AI302" i="11"/>
  <c r="AE302" i="11"/>
  <c r="W302" i="11"/>
  <c r="S302" i="11"/>
  <c r="AF302" i="11"/>
  <c r="K302" i="11"/>
  <c r="X302" i="11"/>
  <c r="K306" i="11"/>
  <c r="AO306" i="11"/>
  <c r="AW306" i="11"/>
  <c r="AJ306" i="11"/>
  <c r="AM306" i="11"/>
  <c r="AP306" i="11"/>
  <c r="AR306" i="11"/>
  <c r="AU306" i="11"/>
  <c r="AK306" i="11"/>
  <c r="AN306" i="11"/>
  <c r="AS306" i="11"/>
  <c r="AV306" i="11"/>
  <c r="AQ306" i="11"/>
  <c r="AL306" i="11"/>
  <c r="AT306" i="11"/>
  <c r="I306" i="11"/>
  <c r="P306" i="11"/>
  <c r="AG306" i="11"/>
  <c r="Q306" i="11"/>
  <c r="W306" i="11"/>
  <c r="AE306" i="11"/>
  <c r="AF306" i="11"/>
  <c r="N306" i="11"/>
  <c r="AB306" i="11"/>
  <c r="T306" i="11"/>
  <c r="L306" i="11"/>
  <c r="AC306" i="11"/>
  <c r="AI306" i="11"/>
  <c r="U306" i="11"/>
  <c r="AH306" i="11"/>
  <c r="M306" i="11"/>
  <c r="R306" i="11"/>
  <c r="AD306" i="11"/>
  <c r="S306" i="11"/>
  <c r="O306" i="11"/>
  <c r="J306" i="11"/>
  <c r="V306" i="11"/>
  <c r="AA306" i="11"/>
  <c r="K298" i="11"/>
  <c r="AV298" i="11"/>
  <c r="AQ298" i="11"/>
  <c r="AL298" i="11"/>
  <c r="AT298" i="11"/>
  <c r="AO298" i="11"/>
  <c r="AW298" i="11"/>
  <c r="AJ298" i="11"/>
  <c r="AP298" i="11"/>
  <c r="AR298" i="11"/>
  <c r="AK298" i="11"/>
  <c r="AN298" i="11"/>
  <c r="AS298" i="11"/>
  <c r="AM298" i="11"/>
  <c r="AU298" i="11"/>
  <c r="I298" i="11"/>
  <c r="O298" i="11"/>
  <c r="X298" i="11"/>
  <c r="W298" i="11"/>
  <c r="Z298" i="11"/>
  <c r="AC298" i="11"/>
  <c r="AE298" i="11"/>
  <c r="J298" i="11"/>
  <c r="U298" i="11"/>
  <c r="AB298" i="11"/>
  <c r="M298" i="11"/>
  <c r="T298" i="11"/>
  <c r="AG298" i="11"/>
  <c r="AD298" i="11"/>
  <c r="L298" i="11"/>
  <c r="AI298" i="11"/>
  <c r="V298" i="11"/>
  <c r="N298" i="11"/>
  <c r="Y298" i="11"/>
  <c r="AF298" i="11"/>
  <c r="AH298" i="11"/>
  <c r="AA298" i="11"/>
  <c r="S298" i="11"/>
  <c r="AW293" i="11"/>
  <c r="AR293" i="11"/>
  <c r="AM293" i="11"/>
  <c r="AU293" i="11"/>
  <c r="AK293" i="11"/>
  <c r="AN293" i="11"/>
  <c r="AP293" i="11"/>
  <c r="AV293" i="11"/>
  <c r="AL293" i="11"/>
  <c r="AQ293" i="11"/>
  <c r="AT293" i="11"/>
  <c r="AO293" i="11"/>
  <c r="AJ293" i="11"/>
  <c r="AS293" i="11"/>
  <c r="I293" i="11"/>
  <c r="N293" i="11"/>
  <c r="X293" i="11"/>
  <c r="AH293" i="11"/>
  <c r="O293" i="11"/>
  <c r="AI293" i="11"/>
  <c r="P293" i="11"/>
  <c r="Z293" i="11"/>
  <c r="Q293" i="11"/>
  <c r="AA293" i="11"/>
  <c r="AD293" i="11"/>
  <c r="AE293" i="11"/>
  <c r="S293" i="11"/>
  <c r="AF293" i="11"/>
  <c r="R293" i="11"/>
  <c r="Y293" i="11"/>
  <c r="AG293" i="11"/>
  <c r="W293" i="11"/>
  <c r="J293" i="11"/>
  <c r="AC293" i="11"/>
  <c r="U293" i="11"/>
  <c r="T293" i="11"/>
  <c r="V293" i="11"/>
  <c r="AB293" i="11"/>
  <c r="N339" i="11"/>
  <c r="AJ339" i="11"/>
  <c r="AM339" i="11"/>
  <c r="AP339" i="11"/>
  <c r="AR339" i="11"/>
  <c r="AU339" i="11"/>
  <c r="AK339" i="11"/>
  <c r="AN339" i="11"/>
  <c r="AS339" i="11"/>
  <c r="AV339" i="11"/>
  <c r="AQ339" i="11"/>
  <c r="AL339" i="11"/>
  <c r="AT339" i="11"/>
  <c r="AO339" i="11"/>
  <c r="AW339" i="11"/>
  <c r="L339" i="11"/>
  <c r="U339" i="11"/>
  <c r="AH339" i="11"/>
  <c r="M339" i="11"/>
  <c r="W339" i="11"/>
  <c r="AI339" i="11"/>
  <c r="O339" i="11"/>
  <c r="X339" i="11"/>
  <c r="P339" i="11"/>
  <c r="Y339" i="11"/>
  <c r="Q339" i="11"/>
  <c r="Z339" i="11"/>
  <c r="I339" i="11"/>
  <c r="R339" i="11"/>
  <c r="AE339" i="11"/>
  <c r="J339" i="11"/>
  <c r="S339" i="11"/>
  <c r="AF339" i="11"/>
  <c r="K339" i="11"/>
  <c r="T339" i="11"/>
  <c r="AG339" i="11"/>
  <c r="AD339" i="11"/>
  <c r="V339" i="11"/>
  <c r="N331" i="11"/>
  <c r="AO331" i="11"/>
  <c r="AW331" i="11"/>
  <c r="AJ331" i="11"/>
  <c r="AM331" i="11"/>
  <c r="AP331" i="11"/>
  <c r="AR331" i="11"/>
  <c r="AU331" i="11"/>
  <c r="AK331" i="11"/>
  <c r="AN331" i="11"/>
  <c r="AS331" i="11"/>
  <c r="AV331" i="11"/>
  <c r="AQ331" i="11"/>
  <c r="AL331" i="11"/>
  <c r="AT331" i="11"/>
  <c r="Q331" i="11"/>
  <c r="AC331" i="11"/>
  <c r="I331" i="11"/>
  <c r="R331" i="11"/>
  <c r="AE331" i="11"/>
  <c r="W331" i="11"/>
  <c r="AH331" i="11"/>
  <c r="X331" i="11"/>
  <c r="AI331" i="11"/>
  <c r="J331" i="11"/>
  <c r="Y331" i="11"/>
  <c r="K331" i="11"/>
  <c r="Z331" i="11"/>
  <c r="L331" i="11"/>
  <c r="AA331" i="11"/>
  <c r="M331" i="11"/>
  <c r="AB331" i="11"/>
  <c r="O331" i="11"/>
  <c r="AF331" i="11"/>
  <c r="P331" i="11"/>
  <c r="AG331" i="11"/>
  <c r="AD331" i="11"/>
  <c r="V331" i="11"/>
  <c r="AE327" i="11"/>
  <c r="AT327" i="11"/>
  <c r="AO327" i="11"/>
  <c r="AW327" i="11"/>
  <c r="AJ327" i="11"/>
  <c r="AM327" i="11"/>
  <c r="AP327" i="11"/>
  <c r="AR327" i="11"/>
  <c r="AU327" i="11"/>
  <c r="AK327" i="11"/>
  <c r="AN327" i="11"/>
  <c r="AS327" i="11"/>
  <c r="AV327" i="11"/>
  <c r="AQ327" i="11"/>
  <c r="AL327" i="11"/>
  <c r="V327" i="11"/>
  <c r="AD327" i="11"/>
  <c r="W327" i="11"/>
  <c r="AH327" i="11"/>
  <c r="M327" i="11"/>
  <c r="K327" i="11"/>
  <c r="U327" i="11"/>
  <c r="S327" i="11"/>
  <c r="AC327" i="11"/>
  <c r="X327" i="11"/>
  <c r="AA327" i="11"/>
  <c r="I327" i="11"/>
  <c r="AI327" i="11"/>
  <c r="Y327" i="11"/>
  <c r="AF327" i="11"/>
  <c r="J327" i="11"/>
  <c r="L327" i="11"/>
  <c r="AG327" i="11"/>
  <c r="N327" i="11"/>
  <c r="R327" i="11"/>
  <c r="T327" i="11"/>
  <c r="Z327" i="11"/>
  <c r="AB327" i="11"/>
  <c r="T340" i="11"/>
  <c r="AQ340" i="11"/>
  <c r="AJ340" i="11"/>
  <c r="AL340" i="11"/>
  <c r="AO340" i="11"/>
  <c r="AR340" i="11"/>
  <c r="AT340" i="11"/>
  <c r="AW340" i="11"/>
  <c r="AM340" i="11"/>
  <c r="AP340" i="11"/>
  <c r="AK340" i="11"/>
  <c r="AU340" i="11"/>
  <c r="AS340" i="11"/>
  <c r="AN340" i="11"/>
  <c r="AV340" i="11"/>
  <c r="AI340" i="11"/>
  <c r="M340" i="11"/>
  <c r="N340" i="11"/>
  <c r="S340" i="11"/>
  <c r="W340" i="11"/>
  <c r="X340" i="11"/>
  <c r="K340" i="11"/>
  <c r="AG340" i="11"/>
  <c r="J340" i="11"/>
  <c r="R340" i="11"/>
  <c r="P340" i="11"/>
  <c r="Z340" i="11"/>
  <c r="AH340" i="11"/>
  <c r="AF340" i="11"/>
  <c r="I340" i="11"/>
  <c r="AA340" i="11"/>
  <c r="V340" i="11"/>
  <c r="AE340" i="11"/>
  <c r="Q340" i="11"/>
  <c r="O340" i="11"/>
  <c r="L340" i="11"/>
  <c r="U340" i="11"/>
  <c r="Y340" i="11"/>
  <c r="L325" i="11"/>
  <c r="AL325" i="11"/>
  <c r="AN325" i="11"/>
  <c r="AQ325" i="11"/>
  <c r="AT325" i="11"/>
  <c r="AV325" i="11"/>
  <c r="AJ325" i="11"/>
  <c r="AO325" i="11"/>
  <c r="AR325" i="11"/>
  <c r="AM325" i="11"/>
  <c r="AW325" i="11"/>
  <c r="AU325" i="11"/>
  <c r="AP325" i="11"/>
  <c r="AK325" i="11"/>
  <c r="AS325" i="11"/>
  <c r="J325" i="11"/>
  <c r="X325" i="11"/>
  <c r="AH325" i="11"/>
  <c r="K325" i="11"/>
  <c r="Y325" i="11"/>
  <c r="AI325" i="11"/>
  <c r="P325" i="11"/>
  <c r="Z325" i="11"/>
  <c r="AD325" i="11"/>
  <c r="I325" i="11"/>
  <c r="AE325" i="11"/>
  <c r="Q325" i="11"/>
  <c r="AF325" i="11"/>
  <c r="R325" i="11"/>
  <c r="AG325" i="11"/>
  <c r="S325" i="11"/>
  <c r="V325" i="11"/>
  <c r="W325" i="11"/>
  <c r="AA325" i="11"/>
  <c r="AC325" i="11"/>
  <c r="U325" i="11"/>
  <c r="AB325" i="11"/>
  <c r="T325" i="11"/>
  <c r="N315" i="11"/>
  <c r="AN315" i="11"/>
  <c r="AO315" i="11"/>
  <c r="AT315" i="11"/>
  <c r="AW315" i="11"/>
  <c r="AJ315" i="11"/>
  <c r="AM315" i="11"/>
  <c r="AU315" i="11"/>
  <c r="AR315" i="11"/>
  <c r="AK315" i="11"/>
  <c r="AP315" i="11"/>
  <c r="AS315" i="11"/>
  <c r="AV315" i="11"/>
  <c r="AQ315" i="11"/>
  <c r="AL315" i="11"/>
  <c r="K315" i="11"/>
  <c r="T315" i="11"/>
  <c r="AC315" i="11"/>
  <c r="L315" i="11"/>
  <c r="U315" i="11"/>
  <c r="M315" i="11"/>
  <c r="W315" i="11"/>
  <c r="AF315" i="11"/>
  <c r="P315" i="11"/>
  <c r="AB315" i="11"/>
  <c r="Q315" i="11"/>
  <c r="R315" i="11"/>
  <c r="S315" i="11"/>
  <c r="X315" i="11"/>
  <c r="I315" i="11"/>
  <c r="Y315" i="11"/>
  <c r="J315" i="11"/>
  <c r="Z315" i="11"/>
  <c r="O315" i="11"/>
  <c r="AA315" i="11"/>
  <c r="AD315" i="11"/>
  <c r="V315" i="11"/>
  <c r="AE315" i="11"/>
  <c r="J295" i="11"/>
  <c r="AR295" i="11"/>
  <c r="AT295" i="11"/>
  <c r="AW295" i="11"/>
  <c r="AM295" i="11"/>
  <c r="AP295" i="11"/>
  <c r="AK295" i="11"/>
  <c r="AU295" i="11"/>
  <c r="AS295" i="11"/>
  <c r="AN295" i="11"/>
  <c r="AV295" i="11"/>
  <c r="AQ295" i="11"/>
  <c r="AJ295" i="11"/>
  <c r="AL295" i="11"/>
  <c r="AO295" i="11"/>
  <c r="V295" i="11"/>
  <c r="L295" i="11"/>
  <c r="AI295" i="11"/>
  <c r="AA295" i="11"/>
  <c r="AG295" i="11"/>
  <c r="AH295" i="11"/>
  <c r="AE295" i="11"/>
  <c r="X295" i="11"/>
  <c r="Y295" i="11"/>
  <c r="S295" i="11"/>
  <c r="Z295" i="11"/>
  <c r="Q295" i="11"/>
  <c r="P295" i="11"/>
  <c r="AC295" i="11"/>
  <c r="K295" i="11"/>
  <c r="I295" i="11"/>
  <c r="U295" i="11"/>
  <c r="AF295" i="11"/>
  <c r="AB295" i="11"/>
  <c r="W295" i="11"/>
  <c r="AD295" i="11"/>
  <c r="T295" i="11"/>
  <c r="R295" i="11"/>
  <c r="I292" i="11"/>
  <c r="AS292" i="11"/>
  <c r="AL292" i="11"/>
  <c r="AN292" i="11"/>
  <c r="AQ292" i="11"/>
  <c r="AT292" i="11"/>
  <c r="AV292" i="11"/>
  <c r="AJ292" i="11"/>
  <c r="AO292" i="11"/>
  <c r="AR292" i="11"/>
  <c r="AM292" i="11"/>
  <c r="AW292" i="11"/>
  <c r="AU292" i="11"/>
  <c r="AP292" i="11"/>
  <c r="AK292" i="11"/>
  <c r="M292" i="11"/>
  <c r="AC292" i="11"/>
  <c r="N292" i="11"/>
  <c r="AD292" i="11"/>
  <c r="Q292" i="11"/>
  <c r="AE292" i="11"/>
  <c r="S292" i="11"/>
  <c r="AF292" i="11"/>
  <c r="U292" i="11"/>
  <c r="AI292" i="11"/>
  <c r="W292" i="11"/>
  <c r="Y292" i="11"/>
  <c r="X292" i="11"/>
  <c r="T292" i="11"/>
  <c r="P292" i="11"/>
  <c r="O292" i="11"/>
  <c r="AB292" i="11"/>
  <c r="V292" i="11"/>
  <c r="Z292" i="11"/>
  <c r="AA292" i="11"/>
  <c r="R292" i="11"/>
  <c r="AH292" i="11"/>
  <c r="AG292" i="11"/>
  <c r="AT289" i="11"/>
  <c r="AO289" i="11"/>
  <c r="AJ289" i="11"/>
  <c r="AW289" i="11"/>
  <c r="AR289" i="11"/>
  <c r="AM289" i="11"/>
  <c r="AU289" i="11"/>
  <c r="AK289" i="11"/>
  <c r="AN289" i="11"/>
  <c r="AP289" i="11"/>
  <c r="AS289" i="11"/>
  <c r="AV289" i="11"/>
  <c r="AL289" i="11"/>
  <c r="AQ289" i="11"/>
  <c r="L289" i="11"/>
  <c r="T289" i="11"/>
  <c r="AB289" i="11"/>
  <c r="M289" i="11"/>
  <c r="U289" i="11"/>
  <c r="AC289" i="11"/>
  <c r="N289" i="11"/>
  <c r="V289" i="11"/>
  <c r="AD289" i="11"/>
  <c r="O289" i="11"/>
  <c r="W289" i="11"/>
  <c r="AE289" i="11"/>
  <c r="P289" i="11"/>
  <c r="X289" i="11"/>
  <c r="AF289" i="11"/>
  <c r="AH289" i="11"/>
  <c r="Z289" i="11"/>
  <c r="R289" i="11"/>
  <c r="AG289" i="11"/>
  <c r="AI289" i="11"/>
  <c r="J289" i="11"/>
  <c r="Y289" i="11"/>
  <c r="S289" i="11"/>
  <c r="Q289" i="11"/>
  <c r="K289" i="11"/>
  <c r="AA289" i="11"/>
  <c r="AV37" i="18"/>
  <c r="AV52" i="18"/>
  <c r="AV53" i="18"/>
  <c r="AV12" i="11"/>
  <c r="AV12" i="4"/>
  <c r="AV12" i="16"/>
  <c r="AV54" i="5"/>
  <c r="AV12" i="10"/>
  <c r="AV12" i="3"/>
  <c r="AV12" i="41"/>
  <c r="AV12" i="8"/>
  <c r="AV13" i="43"/>
  <c r="AV12" i="13"/>
  <c r="AV39" i="5"/>
  <c r="AV17" i="41"/>
  <c r="AV18" i="43"/>
  <c r="AV17" i="3"/>
  <c r="AV17" i="10"/>
  <c r="AV17" i="4"/>
  <c r="AV17" i="8"/>
  <c r="AV96" i="8"/>
  <c r="AV90" i="8"/>
  <c r="AV93" i="8"/>
  <c r="AV17" i="11"/>
  <c r="AV17" i="13"/>
  <c r="AV56" i="13"/>
  <c r="AV17" i="16"/>
  <c r="AV45" i="5"/>
  <c r="AV44" i="4"/>
  <c r="AV51" i="4"/>
  <c r="AV50" i="10"/>
  <c r="AU53" i="10"/>
  <c r="AS46" i="3"/>
  <c r="AS47" i="3"/>
  <c r="AS32" i="3"/>
  <c r="AV139" i="5"/>
  <c r="AV141" i="5"/>
  <c r="AW4" i="5"/>
  <c r="AW44" i="5"/>
  <c r="AW3" i="43"/>
  <c r="AW3" i="41"/>
  <c r="AW100" i="41"/>
  <c r="AW3" i="17"/>
  <c r="AW3" i="3"/>
  <c r="AW3" i="10"/>
  <c r="AW3" i="8"/>
  <c r="AW3" i="18"/>
  <c r="AW3" i="13"/>
  <c r="AW3" i="11"/>
  <c r="AW3" i="4"/>
  <c r="AW3" i="16"/>
  <c r="AS4" i="56"/>
  <c r="AS80" i="56"/>
  <c r="AS98" i="56"/>
  <c r="AW42" i="5"/>
  <c r="AW38" i="5"/>
  <c r="AW50" i="5"/>
  <c r="AV21" i="43"/>
  <c r="AV20" i="8"/>
  <c r="AV20" i="3"/>
  <c r="AV73" i="16"/>
  <c r="AV71" i="41"/>
  <c r="AV20" i="10"/>
  <c r="AV20" i="16"/>
  <c r="AV20" i="4"/>
  <c r="AV20" i="41"/>
  <c r="AV20" i="13"/>
  <c r="AV20" i="11"/>
  <c r="AV51" i="5"/>
  <c r="AS54" i="3"/>
  <c r="AS55" i="3"/>
  <c r="AU42" i="8"/>
  <c r="AU29" i="3"/>
  <c r="AU40" i="8"/>
  <c r="AU41" i="8"/>
  <c r="AV136" i="5"/>
  <c r="AV30" i="3"/>
  <c r="AV53" i="3"/>
  <c r="AW4" i="55"/>
  <c r="AW147" i="5"/>
  <c r="AW48" i="5"/>
  <c r="AW36" i="5"/>
  <c r="AW11" i="3"/>
  <c r="AM316" i="11"/>
  <c r="AQ316" i="11"/>
  <c r="AL316" i="11"/>
  <c r="AR316" i="11"/>
  <c r="AV316" i="11"/>
  <c r="AS316" i="11"/>
  <c r="AJ316" i="11"/>
  <c r="AP316" i="11"/>
  <c r="AO316" i="11"/>
  <c r="AT316" i="11"/>
  <c r="AR346" i="11"/>
  <c r="AR350" i="11"/>
  <c r="AQ346" i="11"/>
  <c r="AQ350" i="11"/>
  <c r="AP346" i="11"/>
  <c r="AP350" i="11"/>
  <c r="AV346" i="11"/>
  <c r="AV350" i="11"/>
  <c r="AW316" i="11"/>
  <c r="AM346" i="11"/>
  <c r="AM350" i="11"/>
  <c r="AS346" i="11"/>
  <c r="AS350" i="11"/>
  <c r="AJ346" i="11"/>
  <c r="AJ350" i="11"/>
  <c r="AN346" i="11"/>
  <c r="AN350" i="11"/>
  <c r="AW346" i="11"/>
  <c r="AW350" i="11"/>
  <c r="AN316" i="11"/>
  <c r="AO346" i="11"/>
  <c r="AO350" i="11"/>
  <c r="AK316" i="11"/>
  <c r="AK346" i="11"/>
  <c r="AK350" i="11"/>
  <c r="AT346" i="11"/>
  <c r="AT350" i="11"/>
  <c r="AU316" i="11"/>
  <c r="AU346" i="11"/>
  <c r="AU350" i="11"/>
  <c r="AL346" i="11"/>
  <c r="AL350" i="11"/>
  <c r="AW19" i="43"/>
  <c r="D19" i="43"/>
  <c r="AW18" i="3"/>
  <c r="AW18" i="10"/>
  <c r="AW18" i="8"/>
  <c r="D18" i="8"/>
  <c r="AW18" i="13"/>
  <c r="AW18" i="4"/>
  <c r="AW18" i="16"/>
  <c r="AW18" i="11"/>
  <c r="AW18" i="41"/>
  <c r="AW13" i="8"/>
  <c r="AW13" i="13"/>
  <c r="AW13" i="41"/>
  <c r="AW13" i="16"/>
  <c r="AW14" i="43"/>
  <c r="AW13" i="4"/>
  <c r="AW13" i="10"/>
  <c r="AW13" i="11"/>
  <c r="AW13" i="3"/>
  <c r="AW31" i="3"/>
  <c r="AV24" i="43"/>
  <c r="AV23" i="11"/>
  <c r="AV49" i="43"/>
  <c r="AV101" i="43"/>
  <c r="AV23" i="3"/>
  <c r="AV23" i="10"/>
  <c r="AV23" i="13"/>
  <c r="AV23" i="8"/>
  <c r="AV23" i="4"/>
  <c r="AW11" i="13"/>
  <c r="AW11" i="4"/>
  <c r="AW11" i="11"/>
  <c r="AW11" i="16"/>
  <c r="AW11" i="10"/>
  <c r="AW16" i="41"/>
  <c r="AW16" i="4"/>
  <c r="AW36" i="4"/>
  <c r="AW17" i="43"/>
  <c r="AW16" i="11"/>
  <c r="AW16" i="10"/>
  <c r="AW16" i="3"/>
  <c r="AW16" i="13"/>
  <c r="AW16" i="8"/>
  <c r="AW16" i="16"/>
  <c r="AW4" i="43"/>
  <c r="AW4" i="41"/>
  <c r="AW101" i="41"/>
  <c r="AW4" i="10"/>
  <c r="AW47" i="10"/>
  <c r="AW4" i="17"/>
  <c r="AW4" i="3"/>
  <c r="AW4" i="11"/>
  <c r="AW4" i="13"/>
  <c r="AW4" i="16"/>
  <c r="AW4" i="4"/>
  <c r="AW4" i="8"/>
  <c r="AW4" i="18"/>
  <c r="AW91" i="5"/>
  <c r="AW90" i="5"/>
  <c r="AW89" i="5"/>
  <c r="AW37" i="5"/>
  <c r="AW43" i="5"/>
  <c r="D43" i="5"/>
  <c r="AW49" i="5"/>
  <c r="AU52" i="3"/>
  <c r="AT31" i="3"/>
  <c r="AV51" i="10"/>
  <c r="AV52" i="10"/>
  <c r="AV54" i="10"/>
  <c r="AV34" i="8"/>
  <c r="AV143" i="5"/>
  <c r="AV140" i="5"/>
  <c r="AV35" i="8"/>
  <c r="AV99" i="5"/>
  <c r="AV100" i="5"/>
  <c r="AV101" i="5"/>
  <c r="AV102" i="5"/>
  <c r="AV103" i="5"/>
  <c r="AV104" i="5"/>
  <c r="AW11" i="8"/>
  <c r="AW12" i="43"/>
  <c r="AW11" i="41"/>
  <c r="BY39" i="5"/>
  <c r="BQ39" i="5"/>
  <c r="BA39" i="5"/>
  <c r="BE39" i="5"/>
  <c r="BZ39" i="5"/>
  <c r="BU39" i="5"/>
  <c r="BF39" i="5"/>
  <c r="BN39" i="5"/>
  <c r="BI39" i="5"/>
  <c r="BR39" i="5"/>
  <c r="BJ39" i="5"/>
  <c r="BV39" i="5"/>
  <c r="CD39" i="5"/>
  <c r="CC39" i="5"/>
  <c r="BB39" i="5"/>
  <c r="BM39" i="5"/>
  <c r="BT39" i="5"/>
  <c r="AY39" i="5"/>
  <c r="AZ39" i="5"/>
  <c r="BG39" i="5"/>
  <c r="BW39" i="5"/>
  <c r="BK39" i="5"/>
  <c r="CB39" i="5"/>
  <c r="BS39" i="5"/>
  <c r="BL39" i="5"/>
  <c r="BO39" i="5"/>
  <c r="BP39" i="5"/>
  <c r="BD39" i="5"/>
  <c r="BH39" i="5"/>
  <c r="CA39" i="5"/>
  <c r="AX39" i="5"/>
  <c r="BC39" i="5"/>
  <c r="BX39" i="5"/>
  <c r="AW37" i="55"/>
  <c r="AW52" i="55"/>
  <c r="AW53" i="55"/>
  <c r="D49" i="5"/>
  <c r="AV15" i="18"/>
  <c r="AV15" i="55"/>
  <c r="AW21" i="43"/>
  <c r="D21" i="43"/>
  <c r="AW20" i="11"/>
  <c r="AW71" i="41"/>
  <c r="AW20" i="8"/>
  <c r="D20" i="8"/>
  <c r="AW20" i="41"/>
  <c r="AW20" i="3"/>
  <c r="AW20" i="10"/>
  <c r="AW20" i="13"/>
  <c r="AW20" i="4"/>
  <c r="AW73" i="16"/>
  <c r="D73" i="16"/>
  <c r="AW20" i="16"/>
  <c r="AW51" i="5"/>
  <c r="AW18" i="43"/>
  <c r="D18" i="43"/>
  <c r="AW17" i="10"/>
  <c r="AW17" i="3"/>
  <c r="AW17" i="8"/>
  <c r="AW17" i="4"/>
  <c r="AW17" i="41"/>
  <c r="AW17" i="13"/>
  <c r="AW17" i="16"/>
  <c r="AW17" i="11"/>
  <c r="AW45" i="5"/>
  <c r="D45" i="5"/>
  <c r="AT46" i="3"/>
  <c r="AT47" i="3"/>
  <c r="AT32" i="3"/>
  <c r="AW12" i="13"/>
  <c r="AW12" i="4"/>
  <c r="AW54" i="5"/>
  <c r="AW12" i="11"/>
  <c r="AW12" i="41"/>
  <c r="AW12" i="10"/>
  <c r="AW12" i="16"/>
  <c r="AW13" i="43"/>
  <c r="AW12" i="3"/>
  <c r="AW12" i="8"/>
  <c r="AW39" i="5"/>
  <c r="AT54" i="3"/>
  <c r="AT55" i="3"/>
  <c r="AV53" i="10"/>
  <c r="AV41" i="8"/>
  <c r="AV40" i="8"/>
  <c r="AV29" i="3"/>
  <c r="AV42" i="8"/>
  <c r="AW141" i="5"/>
  <c r="AW136" i="5"/>
  <c r="AW30" i="3"/>
  <c r="AW44" i="4"/>
  <c r="AW51" i="4"/>
  <c r="AW50" i="10"/>
  <c r="AW139" i="5"/>
  <c r="AW52" i="18"/>
  <c r="AW53" i="18"/>
  <c r="AW37" i="18"/>
  <c r="AX140" i="5"/>
  <c r="AX35" i="8"/>
  <c r="AY140" i="5"/>
  <c r="AY35" i="8"/>
  <c r="AZ140" i="5"/>
  <c r="AW101" i="5"/>
  <c r="AW102" i="5"/>
  <c r="AW103" i="5"/>
  <c r="AW100" i="5"/>
  <c r="AW104" i="5"/>
  <c r="AW99" i="5"/>
  <c r="AW101" i="43"/>
  <c r="AW23" i="4"/>
  <c r="AW23" i="11"/>
  <c r="AW23" i="10"/>
  <c r="AW23" i="3"/>
  <c r="AW24" i="43"/>
  <c r="AW23" i="13"/>
  <c r="AW49" i="43"/>
  <c r="AW23" i="8"/>
  <c r="AW34" i="8"/>
  <c r="AW143" i="5"/>
  <c r="AW140" i="5"/>
  <c r="AW35" i="8"/>
  <c r="D35" i="8"/>
  <c r="BA140" i="5"/>
  <c r="AW96" i="8"/>
  <c r="AW90" i="8"/>
  <c r="AW93" i="8"/>
  <c r="D17" i="8"/>
  <c r="AV52" i="3"/>
  <c r="AU31" i="3"/>
  <c r="AW54" i="10"/>
  <c r="AW51" i="10"/>
  <c r="AW52" i="10"/>
  <c r="AW53" i="10"/>
  <c r="AW15" i="18"/>
  <c r="AW15" i="55"/>
  <c r="AV55" i="3"/>
  <c r="AU54" i="3"/>
  <c r="AU55" i="3"/>
  <c r="AU46" i="3"/>
  <c r="AU47" i="3"/>
  <c r="AU32" i="3"/>
  <c r="AW29" i="3"/>
  <c r="AW40" i="8"/>
  <c r="AW42" i="8"/>
  <c r="AW41" i="8"/>
  <c r="D34" i="8"/>
  <c r="L36" i="8"/>
  <c r="AW32" i="3"/>
  <c r="AV31" i="3"/>
  <c r="AX36" i="8"/>
  <c r="AM36" i="8"/>
  <c r="W36" i="8"/>
  <c r="AG36" i="8"/>
  <c r="AI36" i="8"/>
  <c r="AH36" i="8"/>
  <c r="I36" i="8"/>
  <c r="AQ36" i="8"/>
  <c r="AY36" i="8"/>
  <c r="AE36" i="8"/>
  <c r="J36" i="8"/>
  <c r="P36" i="8"/>
  <c r="T36" i="8"/>
  <c r="X36" i="8"/>
  <c r="M36" i="8"/>
  <c r="K36" i="8"/>
  <c r="AJ36" i="8"/>
  <c r="AK36" i="8"/>
  <c r="R36" i="8"/>
  <c r="Z36" i="8"/>
  <c r="AF36" i="8"/>
  <c r="Q36" i="8"/>
  <c r="AR36" i="8"/>
  <c r="AS36" i="8"/>
  <c r="AB36" i="8"/>
  <c r="N36" i="8"/>
  <c r="AN36" i="8"/>
  <c r="AU36" i="8"/>
  <c r="V36" i="8"/>
  <c r="S36" i="8"/>
  <c r="AO36" i="8"/>
  <c r="AV36" i="8"/>
  <c r="U36" i="8"/>
  <c r="AW36" i="8"/>
  <c r="AL36" i="8"/>
  <c r="AD36" i="8"/>
  <c r="AP36" i="8"/>
  <c r="AT36" i="8"/>
  <c r="O36" i="8"/>
  <c r="Y36" i="8"/>
  <c r="AA36" i="8"/>
  <c r="AC36" i="8"/>
  <c r="AV46" i="3"/>
  <c r="AV47" i="3"/>
  <c r="AV32" i="3"/>
  <c r="D36" i="8"/>
  <c r="P150" i="22"/>
  <c r="Q150" i="22"/>
  <c r="R150" i="22"/>
  <c r="S150" i="22"/>
  <c r="T150" i="22"/>
  <c r="U150" i="22"/>
  <c r="V150" i="22"/>
  <c r="W150" i="22"/>
  <c r="X150" i="22"/>
  <c r="Y150" i="22"/>
  <c r="Z150" i="22"/>
  <c r="AA150" i="22"/>
  <c r="AB150" i="22"/>
  <c r="AC150" i="22"/>
  <c r="AD150" i="22"/>
  <c r="AE150" i="22"/>
  <c r="AF150" i="22"/>
  <c r="AG150" i="22"/>
  <c r="AH150" i="22"/>
  <c r="AI150" i="22"/>
  <c r="AJ150" i="22"/>
  <c r="AK150" i="22"/>
  <c r="AL150" i="22"/>
  <c r="AM150" i="22"/>
  <c r="AN150" i="22"/>
  <c r="AO150" i="22"/>
  <c r="AP150" i="22"/>
  <c r="P152" i="22"/>
  <c r="Q152" i="22"/>
  <c r="R152" i="22"/>
  <c r="S152" i="22"/>
  <c r="T152" i="22"/>
  <c r="U152" i="22"/>
  <c r="V152" i="22"/>
  <c r="W152" i="22"/>
  <c r="X152" i="22"/>
  <c r="Y152" i="22"/>
  <c r="Z152" i="22"/>
  <c r="AA152" i="22"/>
  <c r="AB152" i="22"/>
  <c r="AC152" i="22"/>
  <c r="AD152" i="22"/>
  <c r="AE152" i="22"/>
  <c r="AF152" i="22"/>
  <c r="AG152" i="22"/>
  <c r="AH152" i="22"/>
  <c r="AI152" i="22"/>
  <c r="AJ152" i="22"/>
  <c r="AK152" i="22"/>
  <c r="AL152" i="22"/>
  <c r="AM152" i="22"/>
  <c r="AN152" i="22"/>
  <c r="AO152" i="22"/>
  <c r="AP152" i="22"/>
  <c r="P153" i="22"/>
  <c r="Q153" i="22"/>
  <c r="R153" i="22"/>
  <c r="S153" i="22"/>
  <c r="T153" i="22"/>
  <c r="U153" i="22"/>
  <c r="V153" i="22"/>
  <c r="W153" i="22"/>
  <c r="X153" i="22"/>
  <c r="Y153" i="22"/>
  <c r="Z153" i="22"/>
  <c r="AA153" i="22"/>
  <c r="AB153" i="22"/>
  <c r="AC153" i="22"/>
  <c r="AD153" i="22"/>
  <c r="AE153" i="22"/>
  <c r="AF153" i="22"/>
  <c r="AG153" i="22"/>
  <c r="AH153" i="22"/>
  <c r="AI153" i="22"/>
  <c r="AJ153" i="22"/>
  <c r="AK153" i="22"/>
  <c r="AL153" i="22"/>
  <c r="AM153" i="22"/>
  <c r="AN153" i="22"/>
  <c r="AO153" i="22"/>
  <c r="AP153" i="22"/>
  <c r="AN56" i="8"/>
  <c r="AO56" i="8"/>
  <c r="AP56" i="8"/>
  <c r="AQ56" i="8"/>
  <c r="AR56" i="8"/>
  <c r="AS56" i="8"/>
  <c r="AT56" i="8"/>
  <c r="AU56" i="8"/>
  <c r="AV56" i="8"/>
  <c r="AW56" i="8"/>
  <c r="AX56" i="8"/>
  <c r="AY56" i="8"/>
  <c r="AK56" i="8"/>
  <c r="AL56" i="8"/>
  <c r="AM56" i="8"/>
  <c r="AO65" i="8"/>
  <c r="AP65" i="8"/>
  <c r="AQ65" i="8"/>
  <c r="AR65" i="8"/>
  <c r="AS65" i="8"/>
  <c r="AT65" i="8"/>
  <c r="AU65" i="8"/>
  <c r="AV65" i="8"/>
  <c r="AW65" i="8"/>
  <c r="AX65" i="8"/>
  <c r="AY65" i="8"/>
  <c r="AK65" i="8"/>
  <c r="AL65" i="8"/>
  <c r="AM65" i="8"/>
  <c r="AN65" i="8"/>
  <c r="AW22" i="55"/>
  <c r="AW22" i="18"/>
  <c r="AJ72" i="8"/>
  <c r="AJ23" i="15"/>
  <c r="AF60" i="56"/>
  <c r="AK72" i="8"/>
  <c r="AK23" i="15"/>
  <c r="AG60" i="56"/>
  <c r="AL72" i="8"/>
  <c r="AL23" i="15"/>
  <c r="AH60" i="56"/>
  <c r="AM72" i="8"/>
  <c r="AN72" i="8"/>
  <c r="AO72" i="8"/>
  <c r="AP72" i="8"/>
  <c r="AQ72" i="8"/>
  <c r="AR72" i="8"/>
  <c r="AS72" i="8"/>
  <c r="AT72" i="8"/>
  <c r="AU72" i="8"/>
  <c r="AV72" i="8"/>
  <c r="AW72" i="8"/>
  <c r="AL9" i="56"/>
  <c r="AR9" i="56"/>
  <c r="AO9" i="56"/>
  <c r="AK9" i="56"/>
  <c r="AQ9" i="56"/>
  <c r="AI9" i="56"/>
  <c r="AH9" i="56"/>
  <c r="AN9" i="56"/>
  <c r="AF9" i="56"/>
  <c r="AS9" i="56"/>
  <c r="AJ9" i="56"/>
  <c r="AP9" i="56"/>
  <c r="AG9" i="56"/>
  <c r="AM9" i="56"/>
  <c r="I54" i="47"/>
  <c r="M175" i="22"/>
  <c r="M272" i="22"/>
  <c r="M267" i="22"/>
  <c r="I7" i="47"/>
  <c r="M8" i="22"/>
  <c r="N7" i="22"/>
  <c r="M148" i="22"/>
  <c r="M211" i="22"/>
  <c r="M162" i="22"/>
  <c r="M265" i="22"/>
  <c r="J196" i="12"/>
  <c r="M270" i="22"/>
  <c r="M276" i="22"/>
  <c r="I92" i="43"/>
  <c r="N8" i="22"/>
  <c r="N545" i="22"/>
  <c r="N130" i="22"/>
  <c r="M9" i="22"/>
  <c r="M10" i="22"/>
  <c r="M11" i="22"/>
  <c r="M409" i="22"/>
  <c r="M545" i="22"/>
  <c r="M494" i="22"/>
  <c r="M48" i="22"/>
  <c r="M564" i="22"/>
  <c r="M59" i="22"/>
  <c r="M58" i="22"/>
  <c r="N138" i="22"/>
  <c r="K53" i="12"/>
  <c r="N139" i="22"/>
  <c r="K54" i="12"/>
  <c r="I96" i="43"/>
  <c r="I112" i="43"/>
  <c r="J203" i="12"/>
  <c r="J222" i="12"/>
  <c r="N9" i="22"/>
  <c r="N494" i="22"/>
  <c r="J103" i="12"/>
  <c r="M274" i="22"/>
  <c r="M277" i="22"/>
  <c r="I60" i="43"/>
  <c r="I64" i="43"/>
  <c r="I70" i="43"/>
  <c r="M226" i="22"/>
  <c r="J237" i="12"/>
  <c r="J213" i="12"/>
  <c r="M172" i="22"/>
  <c r="M181" i="22"/>
  <c r="I34" i="43"/>
  <c r="M481" i="22"/>
  <c r="M532" i="22"/>
  <c r="M526" i="22"/>
  <c r="N10" i="22"/>
  <c r="N11" i="22"/>
  <c r="O7" i="22"/>
  <c r="M492" i="22"/>
  <c r="M501" i="22"/>
  <c r="M507" i="22"/>
  <c r="M506" i="22"/>
  <c r="M505" i="22"/>
  <c r="N467" i="22"/>
  <c r="G227" i="48"/>
  <c r="N466" i="22"/>
  <c r="M500" i="22"/>
  <c r="N58" i="22"/>
  <c r="N59" i="22"/>
  <c r="J93" i="5"/>
  <c r="N48" i="22"/>
  <c r="N560" i="22"/>
  <c r="N561" i="22"/>
  <c r="M560" i="22"/>
  <c r="M561" i="22"/>
  <c r="M562" i="22"/>
  <c r="E5" i="58"/>
  <c r="G108" i="48"/>
  <c r="E6" i="58"/>
  <c r="N526" i="22"/>
  <c r="N532" i="22"/>
  <c r="I42" i="43"/>
  <c r="J200" i="12"/>
  <c r="J218" i="12"/>
  <c r="J223" i="12"/>
  <c r="M64" i="22"/>
  <c r="I93" i="5"/>
  <c r="M68" i="22"/>
  <c r="M69" i="22"/>
  <c r="M496" i="22"/>
  <c r="M502" i="22"/>
  <c r="I92" i="5"/>
  <c r="O8" i="22"/>
  <c r="O545" i="22"/>
  <c r="I44" i="43"/>
  <c r="I68" i="43"/>
  <c r="J115" i="12"/>
  <c r="J116" i="12"/>
  <c r="J126" i="12"/>
  <c r="M508" i="22"/>
  <c r="J80" i="12"/>
  <c r="J81" i="12"/>
  <c r="J108" i="12"/>
  <c r="M517" i="22"/>
  <c r="M515" i="22"/>
  <c r="M539" i="22"/>
  <c r="M514" i="22"/>
  <c r="M538" i="22"/>
  <c r="F232" i="48"/>
  <c r="M513" i="22"/>
  <c r="N492" i="22"/>
  <c r="N501" i="22"/>
  <c r="N477" i="22"/>
  <c r="K63" i="12"/>
  <c r="N485" i="22"/>
  <c r="K99" i="12"/>
  <c r="M509" i="22"/>
  <c r="N486" i="22"/>
  <c r="K100" i="12"/>
  <c r="N478" i="22"/>
  <c r="K64" i="12"/>
  <c r="J106" i="12"/>
  <c r="N64" i="22"/>
  <c r="N500" i="22"/>
  <c r="F117" i="48"/>
  <c r="J70" i="12"/>
  <c r="J76" i="12"/>
  <c r="J77" i="12"/>
  <c r="N564" i="22"/>
  <c r="N562" i="22"/>
  <c r="N563" i="22"/>
  <c r="M563" i="22"/>
  <c r="J72" i="12"/>
  <c r="J86" i="12"/>
  <c r="J87" i="12"/>
  <c r="J94" i="12"/>
  <c r="N496" i="22"/>
  <c r="N502" i="22"/>
  <c r="N69" i="22"/>
  <c r="N68" i="22"/>
  <c r="J92" i="5"/>
  <c r="J157" i="12"/>
  <c r="J137" i="12"/>
  <c r="O10" i="22"/>
  <c r="O11" i="22"/>
  <c r="O9" i="22"/>
  <c r="P7" i="22"/>
  <c r="O494" i="22"/>
  <c r="M537" i="22"/>
  <c r="F231" i="48"/>
  <c r="F118" i="48"/>
  <c r="M511" i="22"/>
  <c r="M541" i="22"/>
  <c r="F233" i="48"/>
  <c r="N507" i="22"/>
  <c r="K134" i="12"/>
  <c r="K194" i="12"/>
  <c r="N506" i="22"/>
  <c r="K133" i="12"/>
  <c r="K193" i="12"/>
  <c r="M518" i="22"/>
  <c r="J91" i="12"/>
  <c r="J92" i="12"/>
  <c r="J143" i="12"/>
  <c r="J164" i="12"/>
  <c r="J90" i="12"/>
  <c r="N514" i="22"/>
  <c r="N515" i="22"/>
  <c r="N497" i="22"/>
  <c r="O58" i="22"/>
  <c r="O59" i="22"/>
  <c r="O48" i="22"/>
  <c r="N503" i="22"/>
  <c r="J118" i="12"/>
  <c r="J119" i="12"/>
  <c r="J127" i="12"/>
  <c r="J112" i="12"/>
  <c r="J113" i="12"/>
  <c r="P8" i="22"/>
  <c r="P545" i="22"/>
  <c r="O532" i="22"/>
  <c r="O526" i="22"/>
  <c r="M542" i="22"/>
  <c r="F234" i="48"/>
  <c r="J144" i="12"/>
  <c r="J165" i="12"/>
  <c r="N538" i="22"/>
  <c r="G232" i="48"/>
  <c r="N539" i="22"/>
  <c r="M522" i="22"/>
  <c r="I9" i="47"/>
  <c r="F122" i="48"/>
  <c r="J123" i="12"/>
  <c r="J140" i="12"/>
  <c r="J161" i="12"/>
  <c r="J125" i="12"/>
  <c r="J142" i="12"/>
  <c r="J163" i="12"/>
  <c r="J124" i="12"/>
  <c r="J95" i="12"/>
  <c r="O492" i="22"/>
  <c r="O501" i="22"/>
  <c r="O560" i="22"/>
  <c r="O561" i="22"/>
  <c r="O562" i="22"/>
  <c r="O564" i="22"/>
  <c r="P10" i="22"/>
  <c r="P11" i="22"/>
  <c r="P9" i="22"/>
  <c r="O68" i="22"/>
  <c r="O69" i="22"/>
  <c r="O502" i="22"/>
  <c r="O496" i="22"/>
  <c r="O500" i="22"/>
  <c r="K92" i="5"/>
  <c r="Q7" i="22"/>
  <c r="O64" i="22"/>
  <c r="K93" i="5"/>
  <c r="P494" i="22"/>
  <c r="I57" i="47"/>
  <c r="F123" i="48"/>
  <c r="J145" i="12"/>
  <c r="D27" i="58"/>
  <c r="D11" i="58"/>
  <c r="J128" i="12"/>
  <c r="J141" i="12"/>
  <c r="J162" i="12"/>
  <c r="J166" i="12"/>
  <c r="J169" i="12"/>
  <c r="J170" i="12"/>
  <c r="D28" i="58"/>
  <c r="D12" i="58"/>
  <c r="P58" i="22"/>
  <c r="P48" i="22"/>
  <c r="P560" i="22"/>
  <c r="P561" i="22"/>
  <c r="P59" i="22"/>
  <c r="O563" i="22"/>
  <c r="Q8" i="22"/>
  <c r="Q545" i="22"/>
  <c r="O503" i="22"/>
  <c r="P526" i="22"/>
  <c r="P532" i="22"/>
  <c r="O497" i="22"/>
  <c r="J177" i="12"/>
  <c r="I7" i="14"/>
  <c r="P492" i="22"/>
  <c r="P501" i="22"/>
  <c r="P564" i="22"/>
  <c r="P562" i="22"/>
  <c r="P563" i="22"/>
  <c r="P64" i="22"/>
  <c r="L93" i="5"/>
  <c r="P69" i="22"/>
  <c r="P68" i="22"/>
  <c r="P500" i="22"/>
  <c r="P502" i="22"/>
  <c r="P496" i="22"/>
  <c r="L92" i="5"/>
  <c r="K157" i="12"/>
  <c r="Q10" i="22"/>
  <c r="Q11" i="22"/>
  <c r="Q9" i="22"/>
  <c r="R7" i="22"/>
  <c r="Q494" i="22"/>
  <c r="I105" i="41"/>
  <c r="I46" i="14"/>
  <c r="D26" i="58"/>
  <c r="D10" i="58"/>
  <c r="D24" i="58"/>
  <c r="Q48" i="22"/>
  <c r="Q58" i="22"/>
  <c r="Q59" i="22"/>
  <c r="Q526" i="22"/>
  <c r="Q532" i="22"/>
  <c r="R8" i="22"/>
  <c r="P497" i="22"/>
  <c r="P503" i="22"/>
  <c r="Q492" i="22"/>
  <c r="Q501" i="22"/>
  <c r="Q564" i="22"/>
  <c r="Q562" i="22"/>
  <c r="Q560" i="22"/>
  <c r="Q561" i="22"/>
  <c r="R545" i="22"/>
  <c r="R34" i="22"/>
  <c r="R10" i="22"/>
  <c r="R11" i="22"/>
  <c r="R9" i="22"/>
  <c r="R59" i="22"/>
  <c r="Q64" i="22"/>
  <c r="M93" i="5"/>
  <c r="S7" i="22"/>
  <c r="Q68" i="22"/>
  <c r="Q69" i="22"/>
  <c r="Q496" i="22"/>
  <c r="Q500" i="22"/>
  <c r="Q502" i="22"/>
  <c r="M92" i="5"/>
  <c r="Q563" i="22"/>
  <c r="R48" i="22"/>
  <c r="R58" i="22"/>
  <c r="S8" i="22"/>
  <c r="S545" i="22"/>
  <c r="R526" i="22"/>
  <c r="R532" i="22"/>
  <c r="Q497" i="22"/>
  <c r="Q503" i="22"/>
  <c r="R35" i="22"/>
  <c r="N61" i="1"/>
  <c r="R492" i="22"/>
  <c r="R501" i="22"/>
  <c r="R564" i="22"/>
  <c r="R562" i="22"/>
  <c r="R560" i="22"/>
  <c r="R561" i="22"/>
  <c r="R563" i="22"/>
  <c r="S34" i="22"/>
  <c r="R36" i="22"/>
  <c r="R62" i="22"/>
  <c r="S11" i="22"/>
  <c r="S10" i="22"/>
  <c r="S9" i="22"/>
  <c r="S59" i="22"/>
  <c r="R68" i="22"/>
  <c r="R69" i="22"/>
  <c r="R496" i="22"/>
  <c r="R500" i="22"/>
  <c r="R502" i="22"/>
  <c r="N92" i="5"/>
  <c r="T7" i="22"/>
  <c r="R64" i="22"/>
  <c r="N93" i="5"/>
  <c r="R63" i="22"/>
  <c r="S48" i="22"/>
  <c r="S58" i="22"/>
  <c r="S526" i="22"/>
  <c r="S532" i="22"/>
  <c r="R503" i="22"/>
  <c r="O61" i="1"/>
  <c r="S35" i="22"/>
  <c r="T8" i="22"/>
  <c r="T545" i="22"/>
  <c r="R494" i="22"/>
  <c r="R497" i="22"/>
  <c r="S492" i="22"/>
  <c r="S501" i="22"/>
  <c r="S562" i="22"/>
  <c r="S564" i="22"/>
  <c r="S560" i="22"/>
  <c r="S561" i="22"/>
  <c r="T34" i="22"/>
  <c r="T35" i="22"/>
  <c r="T36" i="22"/>
  <c r="T62" i="22"/>
  <c r="S36" i="22"/>
  <c r="S62" i="22"/>
  <c r="T10" i="22"/>
  <c r="T11" i="22"/>
  <c r="T9" i="22"/>
  <c r="T59" i="22"/>
  <c r="U7" i="22"/>
  <c r="S68" i="22"/>
  <c r="S69" i="22"/>
  <c r="S496" i="22"/>
  <c r="S500" i="22"/>
  <c r="S502" i="22"/>
  <c r="O92" i="5"/>
  <c r="S64" i="22"/>
  <c r="O93" i="5"/>
  <c r="S563" i="22"/>
  <c r="T63" i="22"/>
  <c r="T494" i="22"/>
  <c r="S63" i="22"/>
  <c r="T48" i="22"/>
  <c r="T58" i="22"/>
  <c r="U8" i="22"/>
  <c r="U545" i="22"/>
  <c r="T526" i="22"/>
  <c r="T532" i="22"/>
  <c r="S503" i="22"/>
  <c r="P61" i="1"/>
  <c r="S494" i="22"/>
  <c r="S497" i="22"/>
  <c r="T492" i="22"/>
  <c r="T501" i="22"/>
  <c r="T560" i="22"/>
  <c r="T561" i="22"/>
  <c r="T562" i="22"/>
  <c r="T564" i="22"/>
  <c r="U34" i="22"/>
  <c r="Q61" i="1"/>
  <c r="T68" i="22"/>
  <c r="T69" i="22"/>
  <c r="T496" i="22"/>
  <c r="T500" i="22"/>
  <c r="T502" i="22"/>
  <c r="P92" i="5"/>
  <c r="T64" i="22"/>
  <c r="P93" i="5"/>
  <c r="U10" i="22"/>
  <c r="U11" i="22"/>
  <c r="U9" i="22"/>
  <c r="U59" i="22"/>
  <c r="V7" i="22"/>
  <c r="T563" i="22"/>
  <c r="U48" i="22"/>
  <c r="U58" i="22"/>
  <c r="U35" i="22"/>
  <c r="U36" i="22"/>
  <c r="U62" i="22"/>
  <c r="T503" i="22"/>
  <c r="U526" i="22"/>
  <c r="U532" i="22"/>
  <c r="T497" i="22"/>
  <c r="V8" i="22"/>
  <c r="V545" i="22"/>
  <c r="U492" i="22"/>
  <c r="U501" i="22"/>
  <c r="U63" i="22"/>
  <c r="U494" i="22"/>
  <c r="U560" i="22"/>
  <c r="U561" i="22"/>
  <c r="U562" i="22"/>
  <c r="U564" i="22"/>
  <c r="V34" i="22"/>
  <c r="U64" i="22"/>
  <c r="Q93" i="5"/>
  <c r="U68" i="22"/>
  <c r="U69" i="22"/>
  <c r="U496" i="22"/>
  <c r="U500" i="22"/>
  <c r="U502" i="22"/>
  <c r="Q92" i="5"/>
  <c r="W7" i="22"/>
  <c r="V10" i="22"/>
  <c r="V11" i="22"/>
  <c r="V9" i="22"/>
  <c r="V59" i="22"/>
  <c r="U563" i="22"/>
  <c r="V48" i="22"/>
  <c r="V58" i="22"/>
  <c r="R61" i="1"/>
  <c r="V35" i="22"/>
  <c r="W8" i="22"/>
  <c r="X7" i="22"/>
  <c r="U497" i="22"/>
  <c r="V526" i="22"/>
  <c r="V532" i="22"/>
  <c r="U503" i="22"/>
  <c r="V492" i="22"/>
  <c r="V501" i="22"/>
  <c r="V560" i="22"/>
  <c r="V561" i="22"/>
  <c r="V562" i="22"/>
  <c r="V564" i="22"/>
  <c r="W34" i="22"/>
  <c r="W35" i="22"/>
  <c r="X8" i="22"/>
  <c r="X545" i="22"/>
  <c r="V64" i="22"/>
  <c r="R93" i="5"/>
  <c r="V36" i="22"/>
  <c r="V62" i="22"/>
  <c r="W10" i="22"/>
  <c r="W11" i="22"/>
  <c r="W9" i="22"/>
  <c r="V68" i="22"/>
  <c r="V69" i="22"/>
  <c r="V496" i="22"/>
  <c r="V500" i="22"/>
  <c r="V502" i="22"/>
  <c r="R92" i="5"/>
  <c r="W545" i="22"/>
  <c r="V63" i="22"/>
  <c r="W59" i="22"/>
  <c r="W58" i="22"/>
  <c r="V563" i="22"/>
  <c r="W48" i="22"/>
  <c r="X34" i="22"/>
  <c r="W36" i="22"/>
  <c r="W62" i="22"/>
  <c r="W63" i="22"/>
  <c r="W494" i="22"/>
  <c r="V503" i="22"/>
  <c r="S61" i="1"/>
  <c r="X10" i="22"/>
  <c r="X11" i="22"/>
  <c r="X9" i="22"/>
  <c r="W526" i="22"/>
  <c r="W532" i="22"/>
  <c r="Y7" i="22"/>
  <c r="V494" i="22"/>
  <c r="V497" i="22"/>
  <c r="W492" i="22"/>
  <c r="W501" i="22"/>
  <c r="X48" i="22"/>
  <c r="X59" i="22"/>
  <c r="X58" i="22"/>
  <c r="X526" i="22"/>
  <c r="X532" i="22"/>
  <c r="Y8" i="22"/>
  <c r="Y545" i="22"/>
  <c r="T61" i="1"/>
  <c r="W64" i="22"/>
  <c r="S93" i="5"/>
  <c r="W68" i="22"/>
  <c r="W69" i="22"/>
  <c r="W502" i="22"/>
  <c r="W496" i="22"/>
  <c r="W500" i="22"/>
  <c r="S92" i="5"/>
  <c r="X35" i="22"/>
  <c r="X492" i="22"/>
  <c r="X501" i="22"/>
  <c r="Y34" i="22"/>
  <c r="Y35" i="22"/>
  <c r="Z7" i="22"/>
  <c r="Z8" i="22"/>
  <c r="Z545" i="22"/>
  <c r="X36" i="22"/>
  <c r="X62" i="22"/>
  <c r="X63" i="22"/>
  <c r="X494" i="22"/>
  <c r="W497" i="22"/>
  <c r="W503" i="22"/>
  <c r="X64" i="22"/>
  <c r="T93" i="5"/>
  <c r="Y10" i="22"/>
  <c r="Y11" i="22"/>
  <c r="Y9" i="22"/>
  <c r="X69" i="22"/>
  <c r="X68" i="22"/>
  <c r="X500" i="22"/>
  <c r="X502" i="22"/>
  <c r="X496" i="22"/>
  <c r="T92" i="5"/>
  <c r="Y59" i="22"/>
  <c r="Y48" i="22"/>
  <c r="Y58" i="22"/>
  <c r="Z34" i="22"/>
  <c r="Y36" i="22"/>
  <c r="Y62" i="22"/>
  <c r="Y63" i="22"/>
  <c r="Y494" i="22"/>
  <c r="Y526" i="22"/>
  <c r="Y532" i="22"/>
  <c r="Z10" i="22"/>
  <c r="Z11" i="22"/>
  <c r="Z9" i="22"/>
  <c r="AA7" i="22"/>
  <c r="X497" i="22"/>
  <c r="X503" i="22"/>
  <c r="U61" i="1"/>
  <c r="Y492" i="22"/>
  <c r="Y501" i="22"/>
  <c r="Z58" i="22"/>
  <c r="Z48" i="22"/>
  <c r="Z59" i="22"/>
  <c r="V61" i="1"/>
  <c r="Y64" i="22"/>
  <c r="U93" i="5"/>
  <c r="Y68" i="22"/>
  <c r="Y69" i="22"/>
  <c r="Y496" i="22"/>
  <c r="Y500" i="22"/>
  <c r="Y502" i="22"/>
  <c r="U92" i="5"/>
  <c r="AA8" i="22"/>
  <c r="AA34" i="22"/>
  <c r="Z526" i="22"/>
  <c r="Z532" i="22"/>
  <c r="Z35" i="22"/>
  <c r="Z492" i="22"/>
  <c r="Z501" i="22"/>
  <c r="AA11" i="22"/>
  <c r="AA10" i="22"/>
  <c r="AA9" i="22"/>
  <c r="AB7" i="22"/>
  <c r="AA35" i="22"/>
  <c r="Z36" i="22"/>
  <c r="Z62" i="22"/>
  <c r="Z63" i="22"/>
  <c r="Z494" i="22"/>
  <c r="Z68" i="22"/>
  <c r="Z69" i="22"/>
  <c r="Z496" i="22"/>
  <c r="Z500" i="22"/>
  <c r="Z502" i="22"/>
  <c r="V92" i="5"/>
  <c r="Z64" i="22"/>
  <c r="V93" i="5"/>
  <c r="Y497" i="22"/>
  <c r="Y503" i="22"/>
  <c r="AA545" i="22"/>
  <c r="AA59" i="22"/>
  <c r="AA58" i="22"/>
  <c r="AA48" i="22"/>
  <c r="AA526" i="22"/>
  <c r="AA532" i="22"/>
  <c r="AA36" i="22"/>
  <c r="AA62" i="22"/>
  <c r="AA63" i="22"/>
  <c r="AA494" i="22"/>
  <c r="W61" i="1"/>
  <c r="Z503" i="22"/>
  <c r="AB8" i="22"/>
  <c r="Z497" i="22"/>
  <c r="AA492" i="22"/>
  <c r="AA501" i="22"/>
  <c r="AC7" i="22"/>
  <c r="AB34" i="22"/>
  <c r="AC8" i="22"/>
  <c r="AC545" i="22"/>
  <c r="AA68" i="22"/>
  <c r="AA69" i="22"/>
  <c r="AA496" i="22"/>
  <c r="AA500" i="22"/>
  <c r="AA502" i="22"/>
  <c r="W92" i="5"/>
  <c r="AB545" i="22"/>
  <c r="AA64" i="22"/>
  <c r="W93" i="5"/>
  <c r="AB10" i="22"/>
  <c r="AB11" i="22"/>
  <c r="AB9" i="22"/>
  <c r="AB59" i="22"/>
  <c r="AB58" i="22"/>
  <c r="AB48" i="22"/>
  <c r="AC9" i="22"/>
  <c r="AC48" i="22"/>
  <c r="AC34" i="22"/>
  <c r="AA497" i="22"/>
  <c r="X61" i="1"/>
  <c r="AB35" i="22"/>
  <c r="AC10" i="22"/>
  <c r="AC11" i="22"/>
  <c r="AB526" i="22"/>
  <c r="AB532" i="22"/>
  <c r="AA503" i="22"/>
  <c r="AD7" i="22"/>
  <c r="AB492" i="22"/>
  <c r="AB494" i="22"/>
  <c r="AB501" i="22"/>
  <c r="AC59" i="22"/>
  <c r="AC58" i="22"/>
  <c r="Y61" i="1"/>
  <c r="AC35" i="22"/>
  <c r="AB36" i="22"/>
  <c r="AB62" i="22"/>
  <c r="AB63" i="22"/>
  <c r="AD8" i="22"/>
  <c r="AD34" i="22"/>
  <c r="AB64" i="22"/>
  <c r="X93" i="5"/>
  <c r="AB68" i="22"/>
  <c r="AB69" i="22"/>
  <c r="AB496" i="22"/>
  <c r="AB500" i="22"/>
  <c r="AB502" i="22"/>
  <c r="X92" i="5"/>
  <c r="AC532" i="22"/>
  <c r="AC526" i="22"/>
  <c r="AC492" i="22"/>
  <c r="AC494" i="22"/>
  <c r="AC501" i="22"/>
  <c r="AD545" i="22"/>
  <c r="AE7" i="22"/>
  <c r="AE8" i="22"/>
  <c r="AE545" i="22"/>
  <c r="Z61" i="1"/>
  <c r="AB497" i="22"/>
  <c r="AC64" i="22"/>
  <c r="Y93" i="5"/>
  <c r="AC68" i="22"/>
  <c r="AC69" i="22"/>
  <c r="AC496" i="22"/>
  <c r="AC502" i="22"/>
  <c r="AC500" i="22"/>
  <c r="Y92" i="5"/>
  <c r="AD35" i="22"/>
  <c r="AC36" i="22"/>
  <c r="AC62" i="22"/>
  <c r="AC63" i="22"/>
  <c r="AB503" i="22"/>
  <c r="AD10" i="22"/>
  <c r="AD11" i="22"/>
  <c r="AD9" i="22"/>
  <c r="AD59" i="22"/>
  <c r="AD48" i="22"/>
  <c r="AD58" i="22"/>
  <c r="AE34" i="22"/>
  <c r="AD36" i="22"/>
  <c r="AD62" i="22"/>
  <c r="AD63" i="22"/>
  <c r="AD526" i="22"/>
  <c r="AD532" i="22"/>
  <c r="AF7" i="22"/>
  <c r="AC497" i="22"/>
  <c r="AE10" i="22"/>
  <c r="AE11" i="22"/>
  <c r="AE9" i="22"/>
  <c r="AC503" i="22"/>
  <c r="AD492" i="22"/>
  <c r="AD494" i="22"/>
  <c r="AD501" i="22"/>
  <c r="AE48" i="22"/>
  <c r="AE58" i="22"/>
  <c r="AE59" i="22"/>
  <c r="AE526" i="22"/>
  <c r="AE532" i="22"/>
  <c r="AD68" i="22"/>
  <c r="AD69" i="22"/>
  <c r="AD496" i="22"/>
  <c r="AD502" i="22"/>
  <c r="AD500" i="22"/>
  <c r="Z92" i="5"/>
  <c r="AA61" i="1"/>
  <c r="AD64" i="22"/>
  <c r="Z93" i="5"/>
  <c r="AF8" i="22"/>
  <c r="AF34" i="22"/>
  <c r="AE35" i="22"/>
  <c r="AE492" i="22"/>
  <c r="AE494" i="22"/>
  <c r="AE501" i="22"/>
  <c r="AB61" i="1"/>
  <c r="AF10" i="22"/>
  <c r="AF11" i="22"/>
  <c r="AF9" i="22"/>
  <c r="AG7" i="22"/>
  <c r="AE64" i="22"/>
  <c r="AA93" i="5"/>
  <c r="AF35" i="22"/>
  <c r="AE36" i="22"/>
  <c r="AE62" i="22"/>
  <c r="AE63" i="22"/>
  <c r="AE68" i="22"/>
  <c r="AE69" i="22"/>
  <c r="AE502" i="22"/>
  <c r="AE496" i="22"/>
  <c r="AE500" i="22"/>
  <c r="AA92" i="5"/>
  <c r="AF545" i="22"/>
  <c r="AD503" i="22"/>
  <c r="AD497" i="22"/>
  <c r="AF59" i="22"/>
  <c r="AF58" i="22"/>
  <c r="AF48" i="22"/>
  <c r="AG8" i="22"/>
  <c r="AF36" i="22"/>
  <c r="AF62" i="22"/>
  <c r="AF63" i="22"/>
  <c r="AF526" i="22"/>
  <c r="AF532" i="22"/>
  <c r="AE503" i="22"/>
  <c r="AE497" i="22"/>
  <c r="AF492" i="22"/>
  <c r="AF494" i="22"/>
  <c r="AF501" i="22"/>
  <c r="AG545" i="22"/>
  <c r="AG34" i="22"/>
  <c r="AG10" i="22"/>
  <c r="AG11" i="22"/>
  <c r="AG9" i="22"/>
  <c r="AF64" i="22"/>
  <c r="AB93" i="5"/>
  <c r="AH7" i="22"/>
  <c r="AF69" i="22"/>
  <c r="AF68" i="22"/>
  <c r="AF500" i="22"/>
  <c r="AF502" i="22"/>
  <c r="AF496" i="22"/>
  <c r="AB92" i="5"/>
  <c r="AG59" i="22"/>
  <c r="AG58" i="22"/>
  <c r="AG48" i="22"/>
  <c r="AF497" i="22"/>
  <c r="AF503" i="22"/>
  <c r="AH8" i="22"/>
  <c r="AH545" i="22"/>
  <c r="AC61" i="1"/>
  <c r="AG35" i="22"/>
  <c r="AG526" i="22"/>
  <c r="AG532" i="22"/>
  <c r="AG492" i="22"/>
  <c r="AG494" i="22"/>
  <c r="AG501" i="22"/>
  <c r="AH34" i="22"/>
  <c r="AD61" i="1"/>
  <c r="AG68" i="22"/>
  <c r="AG69" i="22"/>
  <c r="AG496" i="22"/>
  <c r="AG500" i="22"/>
  <c r="AG502" i="22"/>
  <c r="AC92" i="5"/>
  <c r="AG36" i="22"/>
  <c r="AG62" i="22"/>
  <c r="AG63" i="22"/>
  <c r="AH10" i="22"/>
  <c r="AH11" i="22"/>
  <c r="AH9" i="22"/>
  <c r="AI7" i="22"/>
  <c r="AG64" i="22"/>
  <c r="AC93" i="5"/>
  <c r="AH59" i="22"/>
  <c r="AH58" i="22"/>
  <c r="AH48" i="22"/>
  <c r="AH35" i="22"/>
  <c r="AH36" i="22"/>
  <c r="AH62" i="22"/>
  <c r="AH63" i="22"/>
  <c r="AI8" i="22"/>
  <c r="AI545" i="22"/>
  <c r="AG497" i="22"/>
  <c r="AH526" i="22"/>
  <c r="AH532" i="22"/>
  <c r="AG503" i="22"/>
  <c r="AH492" i="22"/>
  <c r="AH494" i="22"/>
  <c r="AH501" i="22"/>
  <c r="AI34" i="22"/>
  <c r="AH68" i="22"/>
  <c r="AH69" i="22"/>
  <c r="AH496" i="22"/>
  <c r="AH500" i="22"/>
  <c r="AH502" i="22"/>
  <c r="AD92" i="5"/>
  <c r="AH64" i="22"/>
  <c r="AD93" i="5"/>
  <c r="AI11" i="22"/>
  <c r="AI10" i="22"/>
  <c r="AI9" i="22"/>
  <c r="AJ7" i="22"/>
  <c r="AI59" i="22"/>
  <c r="AI58" i="22"/>
  <c r="AI48" i="22"/>
  <c r="AH503" i="22"/>
  <c r="AJ8" i="22"/>
  <c r="AJ34" i="22"/>
  <c r="AI526" i="22"/>
  <c r="AI532" i="22"/>
  <c r="AE61" i="1"/>
  <c r="AI35" i="22"/>
  <c r="AH497" i="22"/>
  <c r="AI492" i="22"/>
  <c r="AI494" i="22"/>
  <c r="AI501" i="22"/>
  <c r="AF61" i="1"/>
  <c r="AI68" i="22"/>
  <c r="AI69" i="22"/>
  <c r="AI496" i="22"/>
  <c r="AI500" i="22"/>
  <c r="AI502" i="22"/>
  <c r="AE92" i="5"/>
  <c r="AJ35" i="22"/>
  <c r="AI36" i="22"/>
  <c r="AI62" i="22"/>
  <c r="AI63" i="22"/>
  <c r="AJ10" i="22"/>
  <c r="AJ11" i="22"/>
  <c r="AJ9" i="22"/>
  <c r="AK7" i="22"/>
  <c r="AI64" i="22"/>
  <c r="AE93" i="5"/>
  <c r="AJ545" i="22"/>
  <c r="AJ59" i="22"/>
  <c r="AJ58" i="22"/>
  <c r="AJ48" i="22"/>
  <c r="AI503" i="22"/>
  <c r="AK8" i="22"/>
  <c r="AK34" i="22"/>
  <c r="AJ526" i="22"/>
  <c r="AJ532" i="22"/>
  <c r="AI497" i="22"/>
  <c r="AJ36" i="22"/>
  <c r="AJ62" i="22"/>
  <c r="AJ63" i="22"/>
  <c r="AJ492" i="22"/>
  <c r="AJ494" i="22"/>
  <c r="AJ501" i="22"/>
  <c r="AK10" i="22"/>
  <c r="AK11" i="22"/>
  <c r="AK9" i="22"/>
  <c r="AL7" i="22"/>
  <c r="AJ64" i="22"/>
  <c r="AF93" i="5"/>
  <c r="AJ68" i="22"/>
  <c r="AJ69" i="22"/>
  <c r="AJ496" i="22"/>
  <c r="AJ500" i="22"/>
  <c r="AJ502" i="22"/>
  <c r="AF92" i="5"/>
  <c r="AK545" i="22"/>
  <c r="AK59" i="22"/>
  <c r="AK58" i="22"/>
  <c r="AK48" i="22"/>
  <c r="AJ503" i="22"/>
  <c r="AL8" i="22"/>
  <c r="AJ497" i="22"/>
  <c r="AG61" i="1"/>
  <c r="AK35" i="22"/>
  <c r="AK532" i="22"/>
  <c r="AK526" i="22"/>
  <c r="AK492" i="22"/>
  <c r="AK494" i="22"/>
  <c r="AK501" i="22"/>
  <c r="AM7" i="22"/>
  <c r="AM8" i="22"/>
  <c r="AM545" i="22"/>
  <c r="AL34" i="22"/>
  <c r="AL545" i="22"/>
  <c r="AK68" i="22"/>
  <c r="AK69" i="22"/>
  <c r="AK496" i="22"/>
  <c r="AK500" i="22"/>
  <c r="AK502" i="22"/>
  <c r="AG92" i="5"/>
  <c r="AK36" i="22"/>
  <c r="AK62" i="22"/>
  <c r="AK63" i="22"/>
  <c r="AL10" i="22"/>
  <c r="AL11" i="22"/>
  <c r="AL9" i="22"/>
  <c r="AK64" i="22"/>
  <c r="AG93" i="5"/>
  <c r="AL59" i="22"/>
  <c r="AL58" i="22"/>
  <c r="AL48" i="22"/>
  <c r="AM9" i="22"/>
  <c r="AM48" i="22"/>
  <c r="AM34" i="22"/>
  <c r="AK497" i="22"/>
  <c r="AH61" i="1"/>
  <c r="AM10" i="22"/>
  <c r="AM11" i="22"/>
  <c r="AL35" i="22"/>
  <c r="AL526" i="22"/>
  <c r="AL532" i="22"/>
  <c r="AN7" i="22"/>
  <c r="AK503" i="22"/>
  <c r="AL492" i="22"/>
  <c r="AL494" i="22"/>
  <c r="AL501" i="22"/>
  <c r="AM59" i="22"/>
  <c r="AM58" i="22"/>
  <c r="AM526" i="22"/>
  <c r="AM532" i="22"/>
  <c r="AL68" i="22"/>
  <c r="AL69" i="22"/>
  <c r="AL496" i="22"/>
  <c r="AL500" i="22"/>
  <c r="AL502" i="22"/>
  <c r="AH92" i="5"/>
  <c r="AI61" i="1"/>
  <c r="AL64" i="22"/>
  <c r="AH93" i="5"/>
  <c r="AN8" i="22"/>
  <c r="AN34" i="22"/>
  <c r="AM35" i="22"/>
  <c r="AL36" i="22"/>
  <c r="AL62" i="22"/>
  <c r="AL63" i="22"/>
  <c r="AM492" i="22"/>
  <c r="AM494" i="22"/>
  <c r="AM501" i="22"/>
  <c r="AJ61" i="1"/>
  <c r="AN10" i="22"/>
  <c r="AN11" i="22"/>
  <c r="AN9" i="22"/>
  <c r="AL503" i="22"/>
  <c r="AN35" i="22"/>
  <c r="AM36" i="22"/>
  <c r="AM62" i="22"/>
  <c r="AM63" i="22"/>
  <c r="AN545" i="22"/>
  <c r="AL497" i="22"/>
  <c r="AM64" i="22"/>
  <c r="AI93" i="5"/>
  <c r="AO7" i="22"/>
  <c r="AM68" i="22"/>
  <c r="AM69" i="22"/>
  <c r="AM502" i="22"/>
  <c r="AM496" i="22"/>
  <c r="AM500" i="22"/>
  <c r="AI92" i="5"/>
  <c r="AN59" i="22"/>
  <c r="AN48" i="22"/>
  <c r="AN58" i="22"/>
  <c r="AM503" i="22"/>
  <c r="AN36" i="22"/>
  <c r="AN62" i="22"/>
  <c r="AN63" i="22"/>
  <c r="AN526" i="22"/>
  <c r="AN532" i="22"/>
  <c r="AO8" i="22"/>
  <c r="AM497" i="22"/>
  <c r="AN492" i="22"/>
  <c r="AN494" i="22"/>
  <c r="AN501" i="22"/>
  <c r="AO545" i="22"/>
  <c r="AO34" i="22"/>
  <c r="AN64" i="22"/>
  <c r="AJ93" i="5"/>
  <c r="AN69" i="22"/>
  <c r="AN68" i="22"/>
  <c r="AN500" i="22"/>
  <c r="AN502" i="22"/>
  <c r="AN496" i="22"/>
  <c r="AJ92" i="5"/>
  <c r="AO10" i="22"/>
  <c r="AO11" i="22"/>
  <c r="AO9" i="22"/>
  <c r="AP7" i="22"/>
  <c r="AO48" i="22"/>
  <c r="AO59" i="22"/>
  <c r="AO58" i="22"/>
  <c r="AP8" i="22"/>
  <c r="AN497" i="22"/>
  <c r="AO526" i="22"/>
  <c r="AO532" i="22"/>
  <c r="AK61" i="1"/>
  <c r="AO35" i="22"/>
  <c r="AN503" i="22"/>
  <c r="AO492" i="22"/>
  <c r="AO494" i="22"/>
  <c r="AO501" i="22"/>
  <c r="AP34" i="22"/>
  <c r="AL61" i="1"/>
  <c r="AP545" i="22"/>
  <c r="AP10" i="22"/>
  <c r="AP11" i="22"/>
  <c r="AP9" i="22"/>
  <c r="J24" i="22"/>
  <c r="AO64" i="22"/>
  <c r="AK93" i="5"/>
  <c r="AO68" i="22"/>
  <c r="AO69" i="22"/>
  <c r="AO496" i="22"/>
  <c r="AO500" i="22"/>
  <c r="AO502" i="22"/>
  <c r="AK92" i="5"/>
  <c r="AO36" i="22"/>
  <c r="AO62" i="22"/>
  <c r="AO63" i="22"/>
  <c r="AP48" i="22"/>
  <c r="AP59" i="22"/>
  <c r="AP58" i="22"/>
  <c r="AP35" i="22"/>
  <c r="AP36" i="22"/>
  <c r="AP62" i="22"/>
  <c r="AP63" i="22"/>
  <c r="AP526" i="22"/>
  <c r="AP532" i="22"/>
  <c r="AO497" i="22"/>
  <c r="AO503" i="22"/>
  <c r="AP492" i="22"/>
  <c r="AP494" i="22"/>
  <c r="AP501" i="22"/>
  <c r="AP64" i="22"/>
  <c r="AL93" i="5"/>
  <c r="AP68" i="22"/>
  <c r="AP69" i="22"/>
  <c r="AP496" i="22"/>
  <c r="AP500" i="22"/>
  <c r="AP502" i="22"/>
  <c r="AL92" i="5"/>
  <c r="AP497" i="22"/>
  <c r="AM93" i="5"/>
  <c r="AP503" i="22"/>
  <c r="AM92" i="5"/>
  <c r="AN93" i="5"/>
  <c r="AN92" i="5"/>
  <c r="AO93" i="5"/>
  <c r="AO92" i="5"/>
  <c r="AP93" i="5"/>
  <c r="AP92" i="5"/>
  <c r="AQ93" i="5"/>
  <c r="AQ92" i="5"/>
  <c r="AR93" i="5"/>
  <c r="AR92" i="5"/>
  <c r="AS93" i="5"/>
  <c r="AS92" i="5"/>
  <c r="AT92" i="5"/>
  <c r="AT93" i="5"/>
  <c r="AU92" i="5"/>
  <c r="AU93" i="5"/>
  <c r="J23" i="22"/>
  <c r="AV93" i="5"/>
  <c r="AV92" i="5"/>
  <c r="AW93" i="5"/>
  <c r="AW92" i="5"/>
  <c r="AL19" i="15"/>
  <c r="AY55" i="7"/>
  <c r="AX55" i="7"/>
  <c r="AW55" i="7"/>
  <c r="AV55" i="7"/>
  <c r="AU55" i="7"/>
  <c r="AT55" i="7"/>
  <c r="AS55" i="7"/>
  <c r="AR55" i="7"/>
  <c r="AQ55" i="7"/>
  <c r="AP55" i="7"/>
  <c r="AO55" i="7"/>
  <c r="AN55" i="7"/>
  <c r="AM55" i="7"/>
  <c r="AL55" i="7"/>
  <c r="AK55" i="7"/>
  <c r="AJ55" i="7"/>
  <c r="AL27" i="18"/>
  <c r="AL27" i="55"/>
  <c r="AL20" i="55"/>
  <c r="AP20" i="18"/>
  <c r="AP20" i="55"/>
  <c r="AP27" i="55"/>
  <c r="AO27" i="18"/>
  <c r="AO27" i="55"/>
  <c r="AO20" i="55"/>
  <c r="AN27" i="18"/>
  <c r="AN20" i="55"/>
  <c r="AN27" i="55"/>
  <c r="AN20" i="18"/>
  <c r="AO20" i="18"/>
  <c r="AL20" i="18"/>
  <c r="AP27" i="18"/>
  <c r="F299" i="1"/>
  <c r="D221" i="7"/>
  <c r="D230" i="7"/>
  <c r="F301" i="1"/>
  <c r="AX131" i="48"/>
  <c r="D220" i="7"/>
  <c r="D231" i="7"/>
  <c r="D400" i="1"/>
  <c r="D398" i="1"/>
  <c r="H95" i="2"/>
  <c r="D222" i="7"/>
  <c r="D232" i="7"/>
  <c r="D399" i="1"/>
  <c r="E232" i="7"/>
  <c r="K155" i="48"/>
  <c r="E403" i="1"/>
  <c r="AD38" i="18"/>
  <c r="H399" i="1"/>
  <c r="K154" i="48"/>
  <c r="D401" i="1"/>
  <c r="D233" i="7"/>
  <c r="AB38" i="18"/>
  <c r="F31" i="19"/>
  <c r="AJ38" i="18"/>
  <c r="S38" i="18"/>
  <c r="X6" i="56"/>
  <c r="X34" i="56"/>
  <c r="X81" i="56"/>
  <c r="H99" i="2"/>
  <c r="K38" i="18"/>
  <c r="Y38" i="18"/>
  <c r="AP38" i="18"/>
  <c r="AV38" i="18"/>
  <c r="V38" i="18"/>
  <c r="N38" i="18"/>
  <c r="AS38" i="18"/>
  <c r="AR38" i="18"/>
  <c r="P38" i="18"/>
  <c r="H400" i="1"/>
  <c r="H97" i="2"/>
  <c r="AS38" i="55"/>
  <c r="E6" i="56"/>
  <c r="E34" i="56"/>
  <c r="E81" i="56"/>
  <c r="T38" i="18"/>
  <c r="Z38" i="18"/>
  <c r="AM38" i="18"/>
  <c r="AC38" i="18"/>
  <c r="AQ38" i="18"/>
  <c r="J38" i="18"/>
  <c r="O38" i="18"/>
  <c r="AK38" i="18"/>
  <c r="AE38" i="18"/>
  <c r="AT38" i="18"/>
  <c r="U38" i="18"/>
  <c r="AI38" i="18"/>
  <c r="AO38" i="18"/>
  <c r="L38" i="18"/>
  <c r="R38" i="18"/>
  <c r="AL38" i="18"/>
  <c r="M38" i="18"/>
  <c r="AA38" i="18"/>
  <c r="AG38" i="18"/>
  <c r="I170" i="41"/>
  <c r="Q38" i="18"/>
  <c r="AH38" i="18"/>
  <c r="I38" i="18"/>
  <c r="H170" i="41"/>
  <c r="AN38" i="18"/>
  <c r="AW38" i="18"/>
  <c r="AF38" i="18"/>
  <c r="X38" i="18"/>
  <c r="AC38" i="55"/>
  <c r="AH38" i="55"/>
  <c r="AI38" i="55"/>
  <c r="R38" i="55"/>
  <c r="AR38" i="55"/>
  <c r="AM6" i="56"/>
  <c r="AM34" i="56"/>
  <c r="AM81" i="56"/>
  <c r="E48" i="56"/>
  <c r="D90" i="56"/>
  <c r="W38" i="18"/>
  <c r="Q38" i="55"/>
  <c r="N6" i="56"/>
  <c r="N34" i="56"/>
  <c r="N81" i="56"/>
  <c r="AG6" i="56"/>
  <c r="AG34" i="56"/>
  <c r="AG81" i="56"/>
  <c r="J170" i="41"/>
  <c r="AV38" i="55"/>
  <c r="M6" i="56"/>
  <c r="M34" i="56"/>
  <c r="M81" i="56"/>
  <c r="G51" i="2"/>
  <c r="AE6" i="56"/>
  <c r="AE34" i="56"/>
  <c r="AE81" i="56"/>
  <c r="W38" i="55"/>
  <c r="G6" i="56"/>
  <c r="G34" i="56"/>
  <c r="G81" i="56"/>
  <c r="AL6" i="56"/>
  <c r="AL34" i="56"/>
  <c r="AL81" i="56"/>
  <c r="AD6" i="56"/>
  <c r="AD34" i="56"/>
  <c r="AD81" i="56"/>
  <c r="V6" i="56"/>
  <c r="V34" i="56"/>
  <c r="V81" i="56"/>
  <c r="AS6" i="56"/>
  <c r="AS34" i="56"/>
  <c r="AS81" i="56"/>
  <c r="K6" i="56"/>
  <c r="K34" i="56"/>
  <c r="K81" i="56"/>
  <c r="AK6" i="56"/>
  <c r="AK34" i="56"/>
  <c r="AK81" i="56"/>
  <c r="U6" i="56"/>
  <c r="U34" i="56"/>
  <c r="U81" i="56"/>
  <c r="AU38" i="18"/>
  <c r="AO38" i="55"/>
  <c r="AN6" i="56"/>
  <c r="AN34" i="56"/>
  <c r="AN81" i="56"/>
  <c r="J6" i="56"/>
  <c r="J34" i="56"/>
  <c r="J81" i="56"/>
  <c r="E46" i="56"/>
  <c r="D88" i="56"/>
  <c r="AB6" i="56"/>
  <c r="AB34" i="56"/>
  <c r="AB81" i="56"/>
  <c r="AA6" i="56"/>
  <c r="AA34" i="56"/>
  <c r="AA81" i="56"/>
  <c r="AQ6" i="56"/>
  <c r="AQ34" i="56"/>
  <c r="AQ81" i="56"/>
  <c r="S6" i="56"/>
  <c r="S34" i="56"/>
  <c r="S81" i="56"/>
  <c r="AC6" i="56"/>
  <c r="AC34" i="56"/>
  <c r="AC81" i="56"/>
  <c r="H6" i="56"/>
  <c r="H34" i="56"/>
  <c r="H81" i="56"/>
  <c r="AF6" i="56"/>
  <c r="AF34" i="56"/>
  <c r="AF81" i="56"/>
  <c r="AR6" i="56"/>
  <c r="AR34" i="56"/>
  <c r="AR81" i="56"/>
  <c r="AP6" i="56"/>
  <c r="AP34" i="56"/>
  <c r="AP81" i="56"/>
  <c r="AH6" i="56"/>
  <c r="AH34" i="56"/>
  <c r="AH81" i="56"/>
  <c r="AI6" i="56"/>
  <c r="AI34" i="56"/>
  <c r="AI81" i="56"/>
  <c r="Z6" i="56"/>
  <c r="Z34" i="56"/>
  <c r="Z81" i="56"/>
  <c r="R6" i="56"/>
  <c r="R34" i="56"/>
  <c r="R81" i="56"/>
  <c r="P6" i="56"/>
  <c r="P34" i="56"/>
  <c r="P81" i="56"/>
  <c r="F6" i="56"/>
  <c r="F34" i="56"/>
  <c r="F81" i="56"/>
  <c r="AJ6" i="56"/>
  <c r="AJ34" i="56"/>
  <c r="AJ81" i="56"/>
  <c r="T6" i="56"/>
  <c r="T34" i="56"/>
  <c r="T81" i="56"/>
  <c r="AO6" i="56"/>
  <c r="AO34" i="56"/>
  <c r="AO81" i="56"/>
  <c r="W6" i="56"/>
  <c r="W34" i="56"/>
  <c r="W81" i="56"/>
  <c r="I6" i="56"/>
  <c r="I34" i="56"/>
  <c r="I81" i="56"/>
  <c r="O6" i="56"/>
  <c r="O34" i="56"/>
  <c r="O81" i="56"/>
  <c r="L6" i="56"/>
  <c r="L34" i="56"/>
  <c r="L81" i="56"/>
  <c r="Y6" i="56"/>
  <c r="Y34" i="56"/>
  <c r="Y81" i="56"/>
  <c r="Q6" i="56"/>
  <c r="Q34" i="56"/>
  <c r="Q81" i="56"/>
  <c r="Y38" i="55"/>
  <c r="AE38" i="55"/>
  <c r="AJ38" i="55"/>
  <c r="AF38" i="55"/>
  <c r="V38" i="55"/>
  <c r="AK38" i="55"/>
  <c r="AA38" i="55"/>
  <c r="S38" i="55"/>
  <c r="N38" i="55"/>
  <c r="AN38" i="55"/>
  <c r="O38" i="55"/>
  <c r="AU38" i="55"/>
  <c r="J38" i="55"/>
  <c r="AL38" i="55"/>
  <c r="AG38" i="55"/>
  <c r="I38" i="55"/>
  <c r="AW38" i="55"/>
  <c r="AQ38" i="55"/>
  <c r="X38" i="55"/>
  <c r="AM38" i="55"/>
  <c r="AP38" i="55"/>
  <c r="AD38" i="55"/>
  <c r="M38" i="55"/>
  <c r="T38" i="55"/>
  <c r="Z38" i="55"/>
  <c r="P38" i="55"/>
  <c r="U38" i="55"/>
  <c r="AB38" i="55"/>
  <c r="L38" i="55"/>
  <c r="AT38" i="55"/>
  <c r="K38" i="55"/>
  <c r="AJ28" i="2"/>
  <c r="AJ19" i="2"/>
  <c r="AJ10" i="2"/>
  <c r="D192" i="7"/>
  <c r="D191" i="7"/>
  <c r="F240" i="1"/>
  <c r="D54" i="11"/>
  <c r="I106" i="11"/>
  <c r="I170" i="11"/>
  <c r="J106" i="11"/>
  <c r="J170" i="11"/>
  <c r="E64" i="58"/>
  <c r="I387" i="11"/>
  <c r="D64" i="58"/>
  <c r="AM22" i="18"/>
  <c r="AN22" i="18"/>
  <c r="AO22" i="18"/>
  <c r="AP22" i="18"/>
  <c r="AQ22" i="18"/>
  <c r="AR22" i="18"/>
  <c r="AS22" i="18"/>
  <c r="AT22" i="18"/>
  <c r="AU22" i="18"/>
  <c r="AV22" i="18"/>
  <c r="J93" i="8"/>
  <c r="K93" i="8"/>
  <c r="X93" i="8"/>
  <c r="Y93" i="8"/>
  <c r="Z93" i="8"/>
  <c r="AA93" i="8"/>
  <c r="AB93" i="8"/>
  <c r="AC93" i="8"/>
  <c r="AD93" i="8"/>
  <c r="AE93" i="8"/>
  <c r="AF93" i="8"/>
  <c r="AG93" i="8"/>
  <c r="AH93" i="8"/>
  <c r="AI93" i="8"/>
  <c r="AJ93" i="8"/>
  <c r="W40" i="8"/>
  <c r="W46" i="8"/>
  <c r="W41" i="8"/>
  <c r="W42" i="8"/>
  <c r="W143" i="5"/>
  <c r="U88" i="8"/>
  <c r="U93" i="8"/>
  <c r="V88" i="8"/>
  <c r="V93" i="8"/>
  <c r="W88" i="8"/>
  <c r="W93" i="8"/>
  <c r="U89" i="8"/>
  <c r="V89" i="8"/>
  <c r="W89" i="8"/>
  <c r="J46" i="8"/>
  <c r="K46" i="8"/>
  <c r="X46" i="8"/>
  <c r="Y46" i="8"/>
  <c r="Z46" i="8"/>
  <c r="AA46" i="8"/>
  <c r="AB46" i="8"/>
  <c r="AC46" i="8"/>
  <c r="AD46" i="8"/>
  <c r="AE46" i="8"/>
  <c r="AF46" i="8"/>
  <c r="AG46" i="8"/>
  <c r="AH46" i="8"/>
  <c r="AI46" i="8"/>
  <c r="K55" i="5"/>
  <c r="K159" i="5"/>
  <c r="L28" i="12"/>
  <c r="K160" i="5"/>
  <c r="L29" i="12"/>
  <c r="O134" i="22"/>
  <c r="O130" i="22"/>
  <c r="K24" i="8"/>
  <c r="K24" i="13"/>
  <c r="K24" i="4"/>
  <c r="K24" i="11"/>
  <c r="K24" i="16"/>
  <c r="K24" i="41"/>
  <c r="K25" i="43"/>
  <c r="K24" i="3"/>
  <c r="L24" i="12"/>
  <c r="K24" i="10"/>
  <c r="O139" i="22"/>
  <c r="L54" i="12"/>
  <c r="O138" i="22"/>
  <c r="K101" i="11"/>
  <c r="K102" i="11"/>
  <c r="K103" i="11"/>
  <c r="K104" i="11"/>
  <c r="K105" i="11"/>
  <c r="K106" i="11"/>
  <c r="K111" i="11"/>
  <c r="K112" i="11"/>
  <c r="K113" i="11"/>
  <c r="K114" i="11"/>
  <c r="K115" i="11"/>
  <c r="K116" i="11"/>
  <c r="K250" i="11"/>
  <c r="K251" i="11"/>
  <c r="K252" i="11"/>
  <c r="K253" i="11"/>
  <c r="K254" i="11"/>
  <c r="K284" i="11"/>
  <c r="L53" i="12"/>
  <c r="H108" i="48"/>
  <c r="O467" i="22"/>
  <c r="H227" i="48"/>
  <c r="O466" i="22"/>
  <c r="F5" i="58"/>
  <c r="F6" i="58"/>
  <c r="K267" i="11"/>
  <c r="K170" i="11"/>
  <c r="F64" i="58"/>
  <c r="K169" i="11"/>
  <c r="F63" i="58"/>
  <c r="K183" i="11"/>
  <c r="F85" i="58"/>
  <c r="K168" i="11"/>
  <c r="F62" i="58"/>
  <c r="K182" i="11"/>
  <c r="F84" i="58"/>
  <c r="K167" i="11"/>
  <c r="F61" i="58"/>
  <c r="K255" i="11"/>
  <c r="K266" i="11"/>
  <c r="K285" i="11"/>
  <c r="K181" i="11"/>
  <c r="F83" i="58"/>
  <c r="K166" i="11"/>
  <c r="F60" i="58"/>
  <c r="K184" i="11"/>
  <c r="F86" i="58"/>
  <c r="K180" i="11"/>
  <c r="F82" i="58"/>
  <c r="K165" i="11"/>
  <c r="F59" i="58"/>
  <c r="K179" i="11"/>
  <c r="F81" i="58"/>
  <c r="K270" i="11"/>
  <c r="K269" i="11"/>
  <c r="K268" i="11"/>
  <c r="F73" i="58"/>
  <c r="O478" i="22"/>
  <c r="L64" i="12"/>
  <c r="O486" i="22"/>
  <c r="L100" i="12"/>
  <c r="O477" i="22"/>
  <c r="L63" i="12"/>
  <c r="O485" i="22"/>
  <c r="L99" i="12"/>
  <c r="F70" i="58"/>
  <c r="F71" i="58"/>
  <c r="F68" i="58"/>
  <c r="F69" i="58"/>
  <c r="F72" i="58"/>
  <c r="K271" i="11"/>
  <c r="K351" i="11"/>
  <c r="O514" i="22"/>
  <c r="O506" i="22"/>
  <c r="O515" i="22"/>
  <c r="O507" i="22"/>
  <c r="K278" i="11"/>
  <c r="K58" i="3"/>
  <c r="K27" i="15"/>
  <c r="O538" i="22"/>
  <c r="L134" i="12"/>
  <c r="L194" i="12"/>
  <c r="L133" i="12"/>
  <c r="O539" i="22"/>
  <c r="L193" i="12"/>
  <c r="H232" i="48"/>
  <c r="U40" i="8"/>
  <c r="U46" i="8"/>
  <c r="V40" i="8"/>
  <c r="V46" i="8"/>
  <c r="U41" i="8"/>
  <c r="V41" i="8"/>
  <c r="U42" i="8"/>
  <c r="V42" i="8"/>
  <c r="U143" i="5"/>
  <c r="V143" i="5"/>
  <c r="AP55" i="5"/>
  <c r="AP159" i="5"/>
  <c r="AQ55" i="5"/>
  <c r="AQ159" i="5"/>
  <c r="AR55" i="5"/>
  <c r="AR160" i="5"/>
  <c r="AS55" i="5"/>
  <c r="AT55" i="5"/>
  <c r="AT159" i="5"/>
  <c r="AU55" i="5"/>
  <c r="AU24" i="10"/>
  <c r="AU25" i="10"/>
  <c r="AV55" i="5"/>
  <c r="AV24" i="10"/>
  <c r="AV25" i="10"/>
  <c r="AW55" i="5"/>
  <c r="AW25" i="43"/>
  <c r="AW26" i="43"/>
  <c r="AP158" i="5"/>
  <c r="AQ158" i="5"/>
  <c r="AR158" i="5"/>
  <c r="AS158" i="5"/>
  <c r="AT158" i="5"/>
  <c r="AU158" i="5"/>
  <c r="AV158" i="5"/>
  <c r="AW158" i="5"/>
  <c r="AW161" i="5"/>
  <c r="AP160" i="5"/>
  <c r="AR159" i="5"/>
  <c r="AQ161" i="5"/>
  <c r="AS161" i="5"/>
  <c r="AR161" i="5"/>
  <c r="AW159" i="5"/>
  <c r="AQ160" i="5"/>
  <c r="AW160" i="5"/>
  <c r="AT24" i="10"/>
  <c r="AT25" i="10"/>
  <c r="AU56" i="5"/>
  <c r="AS56" i="5"/>
  <c r="AP161" i="5"/>
  <c r="AS160" i="5"/>
  <c r="AT56" i="5"/>
  <c r="AR56" i="5"/>
  <c r="AQ24" i="16"/>
  <c r="AQ25" i="16"/>
  <c r="AT160" i="5"/>
  <c r="AU159" i="5"/>
  <c r="AW24" i="10"/>
  <c r="AW25" i="10"/>
  <c r="AV159" i="5"/>
  <c r="AS159" i="5"/>
  <c r="AR24" i="11"/>
  <c r="AR254" i="11"/>
  <c r="AR270" i="11"/>
  <c r="AU27" i="11"/>
  <c r="AU161" i="5"/>
  <c r="AU27" i="4"/>
  <c r="AP24" i="8"/>
  <c r="AP24" i="13"/>
  <c r="AP25" i="13"/>
  <c r="AP24" i="4"/>
  <c r="AP25" i="4"/>
  <c r="AP24" i="11"/>
  <c r="AP24" i="3"/>
  <c r="AP25" i="3"/>
  <c r="AP24" i="41"/>
  <c r="AP25" i="41"/>
  <c r="AP25" i="43"/>
  <c r="AP26" i="43"/>
  <c r="AP56" i="5"/>
  <c r="AP24" i="10"/>
  <c r="AP25" i="10"/>
  <c r="AV27" i="4"/>
  <c r="AV27" i="11"/>
  <c r="AV161" i="5"/>
  <c r="AT27" i="4"/>
  <c r="AT27" i="11"/>
  <c r="AT161" i="5"/>
  <c r="AW24" i="8"/>
  <c r="AW24" i="4"/>
  <c r="AW25" i="4"/>
  <c r="AW24" i="11"/>
  <c r="AW24" i="16"/>
  <c r="AW25" i="16"/>
  <c r="AW56" i="5"/>
  <c r="AW24" i="13"/>
  <c r="AW25" i="13"/>
  <c r="AW24" i="41"/>
  <c r="AW25" i="41"/>
  <c r="AW24" i="3"/>
  <c r="AW25" i="3"/>
  <c r="AS27" i="4"/>
  <c r="AS27" i="11"/>
  <c r="AV24" i="8"/>
  <c r="AV24" i="11"/>
  <c r="AV24" i="4"/>
  <c r="AV25" i="4"/>
  <c r="AV24" i="16"/>
  <c r="AV25" i="16"/>
  <c r="AV24" i="13"/>
  <c r="AV25" i="13"/>
  <c r="AV24" i="41"/>
  <c r="AV25" i="41"/>
  <c r="AV25" i="43"/>
  <c r="AV26" i="43"/>
  <c r="AV160" i="5"/>
  <c r="AV24" i="3"/>
  <c r="AV25" i="3"/>
  <c r="AP24" i="16"/>
  <c r="AP25" i="16"/>
  <c r="AV56" i="5"/>
  <c r="AU24" i="8"/>
  <c r="AU24" i="11"/>
  <c r="AU24" i="4"/>
  <c r="AU25" i="4"/>
  <c r="AU24" i="16"/>
  <c r="AU25" i="16"/>
  <c r="AU24" i="3"/>
  <c r="AU25" i="3"/>
  <c r="AU24" i="13"/>
  <c r="AU25" i="13"/>
  <c r="AU24" i="41"/>
  <c r="AU25" i="41"/>
  <c r="AU25" i="43"/>
  <c r="AU26" i="43"/>
  <c r="AU160" i="5"/>
  <c r="AR27" i="4"/>
  <c r="AR27" i="11"/>
  <c r="AT24" i="8"/>
  <c r="AT24" i="4"/>
  <c r="AT25" i="4"/>
  <c r="AT24" i="11"/>
  <c r="AT24" i="16"/>
  <c r="AT25" i="16"/>
  <c r="AT24" i="3"/>
  <c r="AT25" i="3"/>
  <c r="AT25" i="43"/>
  <c r="AT26" i="43"/>
  <c r="AT24" i="13"/>
  <c r="AT25" i="13"/>
  <c r="AT24" i="41"/>
  <c r="AT25" i="41"/>
  <c r="AS24" i="10"/>
  <c r="AS25" i="10"/>
  <c r="AQ27" i="4"/>
  <c r="AQ27" i="11"/>
  <c r="AQ56" i="5"/>
  <c r="AS24" i="8"/>
  <c r="AS24" i="13"/>
  <c r="AS25" i="13"/>
  <c r="AS24" i="4"/>
  <c r="AS25" i="4"/>
  <c r="AS24" i="16"/>
  <c r="AS25" i="16"/>
  <c r="AS24" i="41"/>
  <c r="AS25" i="41"/>
  <c r="AS24" i="11"/>
  <c r="AS25" i="43"/>
  <c r="AS26" i="43"/>
  <c r="AS24" i="3"/>
  <c r="AS25" i="3"/>
  <c r="AP27" i="4"/>
  <c r="AP27" i="11"/>
  <c r="AR24" i="8"/>
  <c r="AR24" i="13"/>
  <c r="AR25" i="13"/>
  <c r="AR24" i="4"/>
  <c r="AR25" i="4"/>
  <c r="AR24" i="16"/>
  <c r="AR25" i="16"/>
  <c r="AR24" i="41"/>
  <c r="AR25" i="41"/>
  <c r="AR24" i="10"/>
  <c r="AR25" i="10"/>
  <c r="AR24" i="3"/>
  <c r="AR25" i="3"/>
  <c r="AR25" i="43"/>
  <c r="AR26" i="43"/>
  <c r="AW27" i="4"/>
  <c r="AW27" i="11"/>
  <c r="AQ24" i="8"/>
  <c r="AQ24" i="13"/>
  <c r="AQ25" i="13"/>
  <c r="AQ24" i="4"/>
  <c r="AQ25" i="4"/>
  <c r="AQ24" i="11"/>
  <c r="AQ24" i="41"/>
  <c r="AQ25" i="41"/>
  <c r="AQ24" i="10"/>
  <c r="AQ25" i="10"/>
  <c r="AQ24" i="3"/>
  <c r="AQ25" i="3"/>
  <c r="AQ25" i="43"/>
  <c r="AQ26" i="43"/>
  <c r="AR284" i="11"/>
  <c r="AR285" i="11"/>
  <c r="AR351" i="11"/>
  <c r="AR253" i="11"/>
  <c r="AR269" i="11"/>
  <c r="AR115" i="11"/>
  <c r="AR183" i="11"/>
  <c r="AR112" i="11"/>
  <c r="AR180" i="11"/>
  <c r="AR25" i="11"/>
  <c r="AR101" i="11"/>
  <c r="AR165" i="11"/>
  <c r="AR104" i="11"/>
  <c r="AR168" i="11"/>
  <c r="AR113" i="11"/>
  <c r="AR181" i="11"/>
  <c r="AR106" i="11"/>
  <c r="AR170" i="11"/>
  <c r="AR252" i="11"/>
  <c r="AR268" i="11"/>
  <c r="AR251" i="11"/>
  <c r="AR267" i="11"/>
  <c r="AR103" i="11"/>
  <c r="AR167" i="11"/>
  <c r="AR102" i="11"/>
  <c r="AR166" i="11"/>
  <c r="AR250" i="11"/>
  <c r="AR266" i="11"/>
  <c r="AR116" i="11"/>
  <c r="AR184" i="11"/>
  <c r="AR111" i="11"/>
  <c r="AR179" i="11"/>
  <c r="AR114" i="11"/>
  <c r="AR182" i="11"/>
  <c r="AR105" i="11"/>
  <c r="AR169" i="11"/>
  <c r="AQ102" i="11"/>
  <c r="AQ166" i="11"/>
  <c r="AQ113" i="11"/>
  <c r="AQ181" i="11"/>
  <c r="AQ101" i="11"/>
  <c r="AQ165" i="11"/>
  <c r="AQ112" i="11"/>
  <c r="AQ180" i="11"/>
  <c r="AQ111" i="11"/>
  <c r="AQ179" i="11"/>
  <c r="AQ25" i="11"/>
  <c r="AQ254" i="11"/>
  <c r="AQ270" i="11"/>
  <c r="AQ103" i="11"/>
  <c r="AQ167" i="11"/>
  <c r="AQ104" i="11"/>
  <c r="AQ168" i="11"/>
  <c r="AQ105" i="11"/>
  <c r="AQ169" i="11"/>
  <c r="AQ106" i="11"/>
  <c r="AQ170" i="11"/>
  <c r="AQ253" i="11"/>
  <c r="AQ269" i="11"/>
  <c r="AQ114" i="11"/>
  <c r="AQ182" i="11"/>
  <c r="AQ250" i="11"/>
  <c r="AQ251" i="11"/>
  <c r="AQ267" i="11"/>
  <c r="AQ252" i="11"/>
  <c r="AQ268" i="11"/>
  <c r="AQ284" i="11"/>
  <c r="AQ285" i="11"/>
  <c r="AQ351" i="11"/>
  <c r="AQ116" i="11"/>
  <c r="AQ184" i="11"/>
  <c r="AQ115" i="11"/>
  <c r="AQ183" i="11"/>
  <c r="AS113" i="8"/>
  <c r="AS114" i="8"/>
  <c r="AS120" i="8"/>
  <c r="AS25" i="8"/>
  <c r="AS104" i="8"/>
  <c r="AS105" i="8"/>
  <c r="AS119" i="8"/>
  <c r="AV92" i="11"/>
  <c r="AV152" i="11"/>
  <c r="AV93" i="11"/>
  <c r="AV153" i="11"/>
  <c r="AV94" i="11"/>
  <c r="AV154" i="11"/>
  <c r="AV95" i="11"/>
  <c r="AV155" i="11"/>
  <c r="AV96" i="11"/>
  <c r="AV156" i="11"/>
  <c r="AV97" i="11"/>
  <c r="AV157" i="11"/>
  <c r="AV122" i="11"/>
  <c r="AV193" i="11"/>
  <c r="AV123" i="11"/>
  <c r="AV194" i="11"/>
  <c r="AV124" i="11"/>
  <c r="AV195" i="11"/>
  <c r="AV125" i="11"/>
  <c r="AV196" i="11"/>
  <c r="AV126" i="11"/>
  <c r="AV197" i="11"/>
  <c r="AV127" i="11"/>
  <c r="AV198" i="11"/>
  <c r="AV130" i="11"/>
  <c r="AV206" i="11"/>
  <c r="AV132" i="11"/>
  <c r="AV208" i="11"/>
  <c r="AV133" i="11"/>
  <c r="AV209" i="11"/>
  <c r="AV134" i="11"/>
  <c r="AV210" i="11"/>
  <c r="AV135" i="11"/>
  <c r="AV211" i="11"/>
  <c r="AV136" i="11"/>
  <c r="AV212" i="11"/>
  <c r="AV137" i="11"/>
  <c r="AV213" i="11"/>
  <c r="AQ113" i="8"/>
  <c r="AQ114" i="8"/>
  <c r="AQ120" i="8"/>
  <c r="AQ25" i="8"/>
  <c r="AQ104" i="8"/>
  <c r="AQ105" i="8"/>
  <c r="AQ119" i="8"/>
  <c r="AU25" i="11"/>
  <c r="AU106" i="11"/>
  <c r="AU170" i="11"/>
  <c r="AU105" i="11"/>
  <c r="AU169" i="11"/>
  <c r="AU116" i="11"/>
  <c r="AU184" i="11"/>
  <c r="AU104" i="11"/>
  <c r="AU168" i="11"/>
  <c r="AU115" i="11"/>
  <c r="AU183" i="11"/>
  <c r="AU251" i="11"/>
  <c r="AU267" i="11"/>
  <c r="AU250" i="11"/>
  <c r="AU101" i="11"/>
  <c r="AU165" i="11"/>
  <c r="AU114" i="11"/>
  <c r="AU182" i="11"/>
  <c r="AU113" i="11"/>
  <c r="AU181" i="11"/>
  <c r="AU254" i="11"/>
  <c r="AU270" i="11"/>
  <c r="AU112" i="11"/>
  <c r="AU180" i="11"/>
  <c r="AU252" i="11"/>
  <c r="AU268" i="11"/>
  <c r="AU253" i="11"/>
  <c r="AU269" i="11"/>
  <c r="AU111" i="11"/>
  <c r="AU179" i="11"/>
  <c r="AU102" i="11"/>
  <c r="AU166" i="11"/>
  <c r="AU103" i="11"/>
  <c r="AU167" i="11"/>
  <c r="AU284" i="11"/>
  <c r="AU285" i="11"/>
  <c r="AU351" i="11"/>
  <c r="AU122" i="11"/>
  <c r="AU193" i="11"/>
  <c r="AU123" i="11"/>
  <c r="AU194" i="11"/>
  <c r="AU124" i="11"/>
  <c r="AU195" i="11"/>
  <c r="AU125" i="11"/>
  <c r="AU196" i="11"/>
  <c r="AU126" i="11"/>
  <c r="AU197" i="11"/>
  <c r="AU127" i="11"/>
  <c r="AU198" i="11"/>
  <c r="AU130" i="11"/>
  <c r="AU206" i="11"/>
  <c r="AU132" i="11"/>
  <c r="AU208" i="11"/>
  <c r="AU133" i="11"/>
  <c r="AU209" i="11"/>
  <c r="AU134" i="11"/>
  <c r="AU210" i="11"/>
  <c r="AU135" i="11"/>
  <c r="AU211" i="11"/>
  <c r="AU136" i="11"/>
  <c r="AU212" i="11"/>
  <c r="AU137" i="11"/>
  <c r="AU213" i="11"/>
  <c r="AU94" i="11"/>
  <c r="AU154" i="11"/>
  <c r="AU95" i="11"/>
  <c r="AU155" i="11"/>
  <c r="AU96" i="11"/>
  <c r="AU156" i="11"/>
  <c r="AU97" i="11"/>
  <c r="AU157" i="11"/>
  <c r="AU92" i="11"/>
  <c r="AU152" i="11"/>
  <c r="AU93" i="11"/>
  <c r="AU153" i="11"/>
  <c r="AV25" i="11"/>
  <c r="AV106" i="11"/>
  <c r="AV170" i="11"/>
  <c r="AV105" i="11"/>
  <c r="AV169" i="11"/>
  <c r="AV116" i="11"/>
  <c r="AV184" i="11"/>
  <c r="AV252" i="11"/>
  <c r="AV268" i="11"/>
  <c r="AV251" i="11"/>
  <c r="AV267" i="11"/>
  <c r="AV250" i="11"/>
  <c r="AV102" i="11"/>
  <c r="AV166" i="11"/>
  <c r="AV101" i="11"/>
  <c r="AV165" i="11"/>
  <c r="AV115" i="11"/>
  <c r="AV183" i="11"/>
  <c r="AV114" i="11"/>
  <c r="AV182" i="11"/>
  <c r="AV104" i="11"/>
  <c r="AV168" i="11"/>
  <c r="AV112" i="11"/>
  <c r="AV180" i="11"/>
  <c r="AV113" i="11"/>
  <c r="AV181" i="11"/>
  <c r="AV284" i="11"/>
  <c r="AV285" i="11"/>
  <c r="AV351" i="11"/>
  <c r="AV253" i="11"/>
  <c r="AV269" i="11"/>
  <c r="AV111" i="11"/>
  <c r="AV179" i="11"/>
  <c r="AV103" i="11"/>
  <c r="AV167" i="11"/>
  <c r="AV254" i="11"/>
  <c r="AV270" i="11"/>
  <c r="AQ123" i="11"/>
  <c r="AQ194" i="11"/>
  <c r="AQ133" i="11"/>
  <c r="AQ209" i="11"/>
  <c r="AQ124" i="11"/>
  <c r="AQ195" i="11"/>
  <c r="AQ134" i="11"/>
  <c r="AQ210" i="11"/>
  <c r="AQ92" i="11"/>
  <c r="AQ152" i="11"/>
  <c r="AQ125" i="11"/>
  <c r="AQ196" i="11"/>
  <c r="AQ135" i="11"/>
  <c r="AQ211" i="11"/>
  <c r="AQ136" i="11"/>
  <c r="AQ212" i="11"/>
  <c r="AQ137" i="11"/>
  <c r="AQ213" i="11"/>
  <c r="AQ93" i="11"/>
  <c r="AQ153" i="11"/>
  <c r="AQ94" i="11"/>
  <c r="AQ154" i="11"/>
  <c r="AQ95" i="11"/>
  <c r="AQ155" i="11"/>
  <c r="AQ96" i="11"/>
  <c r="AQ156" i="11"/>
  <c r="AQ97" i="11"/>
  <c r="AQ157" i="11"/>
  <c r="AQ127" i="11"/>
  <c r="AQ198" i="11"/>
  <c r="AQ122" i="11"/>
  <c r="AQ193" i="11"/>
  <c r="AQ130" i="11"/>
  <c r="AQ206" i="11"/>
  <c r="AQ132" i="11"/>
  <c r="AQ208" i="11"/>
  <c r="AQ126" i="11"/>
  <c r="AQ197" i="11"/>
  <c r="AP113" i="8"/>
  <c r="AP114" i="8"/>
  <c r="AP120" i="8"/>
  <c r="AP25" i="8"/>
  <c r="AP104" i="8"/>
  <c r="AP105" i="8"/>
  <c r="AP119" i="8"/>
  <c r="AR113" i="8"/>
  <c r="AR114" i="8"/>
  <c r="AR120" i="8"/>
  <c r="AR25" i="8"/>
  <c r="AR104" i="8"/>
  <c r="AR105" i="8"/>
  <c r="AR119" i="8"/>
  <c r="AT105" i="11"/>
  <c r="AT169" i="11"/>
  <c r="AT116" i="11"/>
  <c r="AT184" i="11"/>
  <c r="AT104" i="11"/>
  <c r="AT168" i="11"/>
  <c r="AT115" i="11"/>
  <c r="AT183" i="11"/>
  <c r="AT103" i="11"/>
  <c r="AT167" i="11"/>
  <c r="AT114" i="11"/>
  <c r="AT182" i="11"/>
  <c r="AT250" i="11"/>
  <c r="AT101" i="11"/>
  <c r="AT165" i="11"/>
  <c r="AT102" i="11"/>
  <c r="AT166" i="11"/>
  <c r="AT113" i="11"/>
  <c r="AT181" i="11"/>
  <c r="AT112" i="11"/>
  <c r="AT180" i="11"/>
  <c r="AT254" i="11"/>
  <c r="AT270" i="11"/>
  <c r="AT25" i="11"/>
  <c r="AT253" i="11"/>
  <c r="AT269" i="11"/>
  <c r="AT252" i="11"/>
  <c r="AT268" i="11"/>
  <c r="AT111" i="11"/>
  <c r="AT179" i="11"/>
  <c r="AT251" i="11"/>
  <c r="AT267" i="11"/>
  <c r="AT284" i="11"/>
  <c r="AT285" i="11"/>
  <c r="AT351" i="11"/>
  <c r="AT106" i="11"/>
  <c r="AT170" i="11"/>
  <c r="AU25" i="8"/>
  <c r="AU104" i="8"/>
  <c r="AU105" i="8"/>
  <c r="AU119" i="8"/>
  <c r="AU113" i="8"/>
  <c r="AU114" i="8"/>
  <c r="AU120" i="8"/>
  <c r="AS96" i="11"/>
  <c r="AS156" i="11"/>
  <c r="AS97" i="11"/>
  <c r="AS157" i="11"/>
  <c r="AS122" i="11"/>
  <c r="AS193" i="11"/>
  <c r="AS132" i="11"/>
  <c r="AS208" i="11"/>
  <c r="AS123" i="11"/>
  <c r="AS194" i="11"/>
  <c r="AS133" i="11"/>
  <c r="AS209" i="11"/>
  <c r="AS134" i="11"/>
  <c r="AS210" i="11"/>
  <c r="AS135" i="11"/>
  <c r="AS211" i="11"/>
  <c r="AS136" i="11"/>
  <c r="AS212" i="11"/>
  <c r="AS137" i="11"/>
  <c r="AS213" i="11"/>
  <c r="AS93" i="11"/>
  <c r="AS153" i="11"/>
  <c r="AS126" i="11"/>
  <c r="AS197" i="11"/>
  <c r="AS94" i="11"/>
  <c r="AS154" i="11"/>
  <c r="AS127" i="11"/>
  <c r="AS198" i="11"/>
  <c r="AS95" i="11"/>
  <c r="AS155" i="11"/>
  <c r="AS124" i="11"/>
  <c r="AS195" i="11"/>
  <c r="AS130" i="11"/>
  <c r="AS206" i="11"/>
  <c r="AS92" i="11"/>
  <c r="AS152" i="11"/>
  <c r="AS125" i="11"/>
  <c r="AS196" i="11"/>
  <c r="AW92" i="11"/>
  <c r="AW152" i="11"/>
  <c r="AW93" i="11"/>
  <c r="AW153" i="11"/>
  <c r="AW94" i="11"/>
  <c r="AW154" i="11"/>
  <c r="AW95" i="11"/>
  <c r="AW155" i="11"/>
  <c r="AW96" i="11"/>
  <c r="AW156" i="11"/>
  <c r="AW97" i="11"/>
  <c r="AW157" i="11"/>
  <c r="AW130" i="11"/>
  <c r="AW206" i="11"/>
  <c r="AW122" i="11"/>
  <c r="AW193" i="11"/>
  <c r="AW132" i="11"/>
  <c r="AW208" i="11"/>
  <c r="AW133" i="11"/>
  <c r="AW209" i="11"/>
  <c r="AW137" i="11"/>
  <c r="AW213" i="11"/>
  <c r="AW126" i="11"/>
  <c r="AW197" i="11"/>
  <c r="AW134" i="11"/>
  <c r="AW210" i="11"/>
  <c r="AW125" i="11"/>
  <c r="AW196" i="11"/>
  <c r="AW124" i="11"/>
  <c r="AW195" i="11"/>
  <c r="AW123" i="11"/>
  <c r="AW194" i="11"/>
  <c r="AW127" i="11"/>
  <c r="AW198" i="11"/>
  <c r="AW135" i="11"/>
  <c r="AW211" i="11"/>
  <c r="AW136" i="11"/>
  <c r="AW212" i="11"/>
  <c r="AP92" i="11"/>
  <c r="AP152" i="11"/>
  <c r="AP93" i="11"/>
  <c r="AP153" i="11"/>
  <c r="AP94" i="11"/>
  <c r="AP154" i="11"/>
  <c r="AP95" i="11"/>
  <c r="AP155" i="11"/>
  <c r="AP96" i="11"/>
  <c r="AP156" i="11"/>
  <c r="AP97" i="11"/>
  <c r="AP157" i="11"/>
  <c r="AP124" i="11"/>
  <c r="AP195" i="11"/>
  <c r="AP134" i="11"/>
  <c r="AP210" i="11"/>
  <c r="AP125" i="11"/>
  <c r="AP196" i="11"/>
  <c r="AP135" i="11"/>
  <c r="AP211" i="11"/>
  <c r="AP126" i="11"/>
  <c r="AP197" i="11"/>
  <c r="AP136" i="11"/>
  <c r="AP212" i="11"/>
  <c r="AP127" i="11"/>
  <c r="AP198" i="11"/>
  <c r="AP130" i="11"/>
  <c r="AP206" i="11"/>
  <c r="AP132" i="11"/>
  <c r="AP208" i="11"/>
  <c r="AP133" i="11"/>
  <c r="AP209" i="11"/>
  <c r="AP122" i="11"/>
  <c r="AP193" i="11"/>
  <c r="AP123" i="11"/>
  <c r="AP194" i="11"/>
  <c r="AP137" i="11"/>
  <c r="AP213" i="11"/>
  <c r="AP101" i="11"/>
  <c r="AP165" i="11"/>
  <c r="AP112" i="11"/>
  <c r="AP180" i="11"/>
  <c r="AP111" i="11"/>
  <c r="AP179" i="11"/>
  <c r="AP254" i="11"/>
  <c r="AP270" i="11"/>
  <c r="AP102" i="11"/>
  <c r="AP166" i="11"/>
  <c r="AP103" i="11"/>
  <c r="AP167" i="11"/>
  <c r="AP104" i="11"/>
  <c r="AP168" i="11"/>
  <c r="AP105" i="11"/>
  <c r="AP169" i="11"/>
  <c r="AP106" i="11"/>
  <c r="AP170" i="11"/>
  <c r="AP253" i="11"/>
  <c r="AP269" i="11"/>
  <c r="AP252" i="11"/>
  <c r="AP268" i="11"/>
  <c r="AP113" i="11"/>
  <c r="AP181" i="11"/>
  <c r="AP25" i="11"/>
  <c r="AP114" i="11"/>
  <c r="AP182" i="11"/>
  <c r="AP115" i="11"/>
  <c r="AP183" i="11"/>
  <c r="AP251" i="11"/>
  <c r="AP267" i="11"/>
  <c r="AP116" i="11"/>
  <c r="AP184" i="11"/>
  <c r="AP250" i="11"/>
  <c r="AP284" i="11"/>
  <c r="AP285" i="11"/>
  <c r="AP351" i="11"/>
  <c r="AR97" i="11"/>
  <c r="AR157" i="11"/>
  <c r="AR122" i="11"/>
  <c r="AR193" i="11"/>
  <c r="AR132" i="11"/>
  <c r="AR208" i="11"/>
  <c r="AR123" i="11"/>
  <c r="AR194" i="11"/>
  <c r="AR133" i="11"/>
  <c r="AR209" i="11"/>
  <c r="AR124" i="11"/>
  <c r="AR195" i="11"/>
  <c r="AR134" i="11"/>
  <c r="AR210" i="11"/>
  <c r="AR135" i="11"/>
  <c r="AR211" i="11"/>
  <c r="AR136" i="11"/>
  <c r="AR212" i="11"/>
  <c r="AR137" i="11"/>
  <c r="AR213" i="11"/>
  <c r="AR92" i="11"/>
  <c r="AR152" i="11"/>
  <c r="AR93" i="11"/>
  <c r="AR153" i="11"/>
  <c r="AR94" i="11"/>
  <c r="AR154" i="11"/>
  <c r="AR95" i="11"/>
  <c r="AR155" i="11"/>
  <c r="AR96" i="11"/>
  <c r="AR156" i="11"/>
  <c r="AR127" i="11"/>
  <c r="AR198" i="11"/>
  <c r="AR130" i="11"/>
  <c r="AR206" i="11"/>
  <c r="AR125" i="11"/>
  <c r="AR196" i="11"/>
  <c r="AR126" i="11"/>
  <c r="AR197" i="11"/>
  <c r="AW111" i="11"/>
  <c r="AW179" i="11"/>
  <c r="AW25" i="11"/>
  <c r="AW106" i="11"/>
  <c r="AW170" i="11"/>
  <c r="AW112" i="11"/>
  <c r="AW180" i="11"/>
  <c r="AW113" i="11"/>
  <c r="AW181" i="11"/>
  <c r="AW114" i="11"/>
  <c r="AW182" i="11"/>
  <c r="AW115" i="11"/>
  <c r="AW183" i="11"/>
  <c r="AW116" i="11"/>
  <c r="AW184" i="11"/>
  <c r="AW253" i="11"/>
  <c r="AW269" i="11"/>
  <c r="AW252" i="11"/>
  <c r="AW268" i="11"/>
  <c r="AW251" i="11"/>
  <c r="AW267" i="11"/>
  <c r="AW103" i="11"/>
  <c r="AW167" i="11"/>
  <c r="AW102" i="11"/>
  <c r="AW166" i="11"/>
  <c r="AW101" i="11"/>
  <c r="AW165" i="11"/>
  <c r="AW284" i="11"/>
  <c r="AW285" i="11"/>
  <c r="AW351" i="11"/>
  <c r="AW104" i="11"/>
  <c r="AW168" i="11"/>
  <c r="AW105" i="11"/>
  <c r="AW169" i="11"/>
  <c r="AW250" i="11"/>
  <c r="AW254" i="11"/>
  <c r="AW270" i="11"/>
  <c r="AS104" i="11"/>
  <c r="AS168" i="11"/>
  <c r="AS115" i="11"/>
  <c r="AS183" i="11"/>
  <c r="AS103" i="11"/>
  <c r="AS167" i="11"/>
  <c r="AS114" i="11"/>
  <c r="AS182" i="11"/>
  <c r="AS102" i="11"/>
  <c r="AS166" i="11"/>
  <c r="AS113" i="11"/>
  <c r="AS181" i="11"/>
  <c r="AS101" i="11"/>
  <c r="AS165" i="11"/>
  <c r="AS25" i="11"/>
  <c r="AS116" i="11"/>
  <c r="AS184" i="11"/>
  <c r="AS112" i="11"/>
  <c r="AS180" i="11"/>
  <c r="AS111" i="11"/>
  <c r="AS179" i="11"/>
  <c r="AS250" i="11"/>
  <c r="AS251" i="11"/>
  <c r="AS267" i="11"/>
  <c r="AS252" i="11"/>
  <c r="AS268" i="11"/>
  <c r="AS253" i="11"/>
  <c r="AS269" i="11"/>
  <c r="AS254" i="11"/>
  <c r="AS270" i="11"/>
  <c r="AS284" i="11"/>
  <c r="AS285" i="11"/>
  <c r="AS351" i="11"/>
  <c r="AS105" i="11"/>
  <c r="AS169" i="11"/>
  <c r="AS106" i="11"/>
  <c r="AS170" i="11"/>
  <c r="AV25" i="8"/>
  <c r="AV104" i="8"/>
  <c r="AV105" i="8"/>
  <c r="AV119" i="8"/>
  <c r="AV113" i="8"/>
  <c r="AV114" i="8"/>
  <c r="AV120" i="8"/>
  <c r="AW25" i="8"/>
  <c r="AW104" i="8"/>
  <c r="AW105" i="8"/>
  <c r="AW119" i="8"/>
  <c r="AW113" i="8"/>
  <c r="AW114" i="8"/>
  <c r="AW120" i="8"/>
  <c r="AT25" i="8"/>
  <c r="AT104" i="8"/>
  <c r="AT105" i="8"/>
  <c r="AT119" i="8"/>
  <c r="AT113" i="8"/>
  <c r="AT114" i="8"/>
  <c r="AT120" i="8"/>
  <c r="AT122" i="11"/>
  <c r="AT193" i="11"/>
  <c r="AT123" i="11"/>
  <c r="AT194" i="11"/>
  <c r="AT124" i="11"/>
  <c r="AT195" i="11"/>
  <c r="AT125" i="11"/>
  <c r="AT196" i="11"/>
  <c r="AT126" i="11"/>
  <c r="AT197" i="11"/>
  <c r="AT127" i="11"/>
  <c r="AT198" i="11"/>
  <c r="AT130" i="11"/>
  <c r="AT206" i="11"/>
  <c r="AT132" i="11"/>
  <c r="AT208" i="11"/>
  <c r="AT133" i="11"/>
  <c r="AT209" i="11"/>
  <c r="AT134" i="11"/>
  <c r="AT210" i="11"/>
  <c r="AT135" i="11"/>
  <c r="AT211" i="11"/>
  <c r="AT136" i="11"/>
  <c r="AT212" i="11"/>
  <c r="AT137" i="11"/>
  <c r="AT213" i="11"/>
  <c r="AT95" i="11"/>
  <c r="AT155" i="11"/>
  <c r="AT96" i="11"/>
  <c r="AT156" i="11"/>
  <c r="AT97" i="11"/>
  <c r="AT157" i="11"/>
  <c r="AT93" i="11"/>
  <c r="AT153" i="11"/>
  <c r="AT94" i="11"/>
  <c r="AT154" i="11"/>
  <c r="AT92" i="11"/>
  <c r="AT152" i="11"/>
  <c r="AR271" i="11"/>
  <c r="AR278" i="11"/>
  <c r="AR255" i="11"/>
  <c r="AR387" i="11"/>
  <c r="AR414" i="11"/>
  <c r="AW385" i="11"/>
  <c r="AT375" i="11"/>
  <c r="AQ373" i="11"/>
  <c r="AT410" i="11"/>
  <c r="AP385" i="11"/>
  <c r="AW411" i="11"/>
  <c r="AS411" i="11"/>
  <c r="AT409" i="11"/>
  <c r="AW266" i="11"/>
  <c r="AW271" i="11"/>
  <c r="AW278" i="11"/>
  <c r="AW255" i="11"/>
  <c r="AR373" i="11"/>
  <c r="AW373" i="11"/>
  <c r="AU266" i="11"/>
  <c r="AU271" i="11"/>
  <c r="AU278" i="11"/>
  <c r="AU255" i="11"/>
  <c r="AT414" i="11"/>
  <c r="AR409" i="11"/>
  <c r="AV409" i="11"/>
  <c r="AT373" i="11"/>
  <c r="AT398" i="11"/>
  <c r="AP375" i="11"/>
  <c r="AP409" i="11"/>
  <c r="AW409" i="11"/>
  <c r="AS409" i="11"/>
  <c r="AS373" i="11"/>
  <c r="AS400" i="11"/>
  <c r="AT387" i="11"/>
  <c r="AQ409" i="11"/>
  <c r="AU391" i="11"/>
  <c r="AR375" i="11"/>
  <c r="AV414" i="11"/>
  <c r="AV373" i="11"/>
  <c r="AQ387" i="11"/>
  <c r="AP411" i="11"/>
  <c r="AV375" i="11"/>
  <c r="AQ255" i="11"/>
  <c r="AQ266" i="11"/>
  <c r="AQ271" i="11"/>
  <c r="AQ278" i="11"/>
  <c r="AR391" i="11"/>
  <c r="AU375" i="11"/>
  <c r="AP398" i="11"/>
  <c r="AW400" i="11"/>
  <c r="AQ400" i="11"/>
  <c r="AU386" i="11"/>
  <c r="AW414" i="11"/>
  <c r="AT400" i="11"/>
  <c r="AR411" i="11"/>
  <c r="AR400" i="11"/>
  <c r="AQ386" i="11"/>
  <c r="AU411" i="11"/>
  <c r="AV398" i="11"/>
  <c r="AQ375" i="11"/>
  <c r="AT411" i="11"/>
  <c r="AP386" i="11"/>
  <c r="AU414" i="11"/>
  <c r="AR410" i="11"/>
  <c r="AP255" i="11"/>
  <c r="AP266" i="11"/>
  <c r="AP271" i="11"/>
  <c r="AP278" i="11"/>
  <c r="AW391" i="11"/>
  <c r="AV386" i="11"/>
  <c r="AP410" i="11"/>
  <c r="AS398" i="11"/>
  <c r="AT266" i="11"/>
  <c r="AT271" i="11"/>
  <c r="AT278" i="11"/>
  <c r="AT255" i="11"/>
  <c r="AQ398" i="11"/>
  <c r="AV266" i="11"/>
  <c r="AV271" i="11"/>
  <c r="AV278" i="11"/>
  <c r="AV255" i="11"/>
  <c r="AS375" i="11"/>
  <c r="AR398" i="11"/>
  <c r="AP373" i="11"/>
  <c r="AS410" i="11"/>
  <c r="AQ411" i="11"/>
  <c r="AU385" i="11"/>
  <c r="AT386" i="11"/>
  <c r="AS266" i="11"/>
  <c r="AS271" i="11"/>
  <c r="AS278" i="11"/>
  <c r="AS255" i="11"/>
  <c r="AW375" i="11"/>
  <c r="AP414" i="11"/>
  <c r="AW410" i="11"/>
  <c r="AQ385" i="11"/>
  <c r="AU410" i="11"/>
  <c r="AV400" i="11"/>
  <c r="AR385" i="11"/>
  <c r="AS385" i="11"/>
  <c r="AS386" i="11"/>
  <c r="AU387" i="11"/>
  <c r="AW387" i="11"/>
  <c r="AU398" i="11"/>
  <c r="AV411" i="11"/>
  <c r="AT391" i="11"/>
  <c r="AP387" i="11"/>
  <c r="AP391" i="11"/>
  <c r="AW398" i="11"/>
  <c r="AS391" i="11"/>
  <c r="AU400" i="11"/>
  <c r="AV410" i="11"/>
  <c r="AV385" i="11"/>
  <c r="AP400" i="11"/>
  <c r="AV391" i="11"/>
  <c r="AT385" i="11"/>
  <c r="AS387" i="11"/>
  <c r="AR386" i="11"/>
  <c r="AW386" i="11"/>
  <c r="AS414" i="11"/>
  <c r="AQ410" i="11"/>
  <c r="AQ391" i="11"/>
  <c r="AQ414" i="11"/>
  <c r="AV387" i="11"/>
  <c r="AU373" i="11"/>
  <c r="AU409" i="11"/>
  <c r="AI139" i="56"/>
  <c r="AJ139" i="56"/>
  <c r="AK139" i="56"/>
  <c r="AL139" i="56"/>
  <c r="AM139" i="56"/>
  <c r="AN139" i="56"/>
  <c r="AO139" i="56"/>
  <c r="AP139" i="56"/>
  <c r="AQ139" i="56"/>
  <c r="AR139" i="56"/>
  <c r="AS139" i="56"/>
  <c r="J115" i="22"/>
  <c r="J122" i="22"/>
  <c r="F267" i="1"/>
  <c r="F274" i="1"/>
  <c r="D78" i="11"/>
  <c r="AT131" i="11"/>
  <c r="AU131" i="11"/>
  <c r="AV131" i="11"/>
  <c r="I131" i="11"/>
  <c r="AW131" i="11"/>
  <c r="AP131" i="11"/>
  <c r="AQ131" i="11"/>
  <c r="AR131" i="11"/>
  <c r="AS131" i="11"/>
  <c r="I207" i="11"/>
  <c r="I214" i="11"/>
  <c r="I216" i="11"/>
  <c r="I217" i="11"/>
  <c r="AQ207" i="11"/>
  <c r="AQ214" i="11"/>
  <c r="AV207" i="11"/>
  <c r="AV214" i="11"/>
  <c r="AW207" i="11"/>
  <c r="AW214" i="11"/>
  <c r="AR207" i="11"/>
  <c r="AR214" i="11"/>
  <c r="AU207" i="11"/>
  <c r="AU214" i="11"/>
  <c r="AT207" i="11"/>
  <c r="AT214" i="11"/>
  <c r="AP207" i="11"/>
  <c r="AP214" i="11"/>
  <c r="AS207" i="11"/>
  <c r="AS214" i="11"/>
  <c r="AT216" i="11"/>
  <c r="AT217" i="11"/>
  <c r="AQ216" i="11"/>
  <c r="AQ217" i="11"/>
  <c r="AR216" i="11"/>
  <c r="AR217" i="11"/>
  <c r="AW216" i="11"/>
  <c r="AW217" i="11"/>
  <c r="AP216" i="11"/>
  <c r="AP217" i="11"/>
  <c r="AS216" i="11"/>
  <c r="AS217" i="11"/>
  <c r="AU216" i="11"/>
  <c r="AU217" i="11"/>
  <c r="AV216" i="11"/>
  <c r="AV217" i="11"/>
  <c r="AR106" i="41"/>
  <c r="AR141" i="41"/>
  <c r="AN106" i="41"/>
  <c r="AN141" i="41"/>
  <c r="AO141" i="41"/>
  <c r="AO106" i="41"/>
  <c r="AM106" i="41"/>
  <c r="AM141" i="41"/>
  <c r="AP141" i="41"/>
  <c r="AP106" i="41"/>
  <c r="AS106" i="41"/>
  <c r="AS141" i="41"/>
  <c r="AW141" i="41"/>
  <c r="AW106" i="41"/>
  <c r="AQ106" i="41"/>
  <c r="AQ141" i="41"/>
  <c r="AU106" i="41"/>
  <c r="AU141" i="41"/>
  <c r="AT141" i="41"/>
  <c r="AT106" i="41"/>
  <c r="AV106" i="41"/>
  <c r="AV141" i="41"/>
  <c r="D207" i="7"/>
  <c r="P212" i="7"/>
  <c r="BE212" i="7"/>
  <c r="BE213" i="7"/>
  <c r="BM212" i="7"/>
  <c r="BM213" i="7"/>
  <c r="BU212" i="7"/>
  <c r="BU213" i="7"/>
  <c r="CC212" i="7"/>
  <c r="CC213" i="7"/>
  <c r="BF212" i="7"/>
  <c r="BF213" i="7"/>
  <c r="BN212" i="7"/>
  <c r="BN213" i="7"/>
  <c r="BV212" i="7"/>
  <c r="BV213" i="7"/>
  <c r="BG212" i="7"/>
  <c r="BG213" i="7"/>
  <c r="BO212" i="7"/>
  <c r="BO213" i="7"/>
  <c r="BW212" i="7"/>
  <c r="BW213" i="7"/>
  <c r="BI212" i="7"/>
  <c r="BI213" i="7"/>
  <c r="BY212" i="7"/>
  <c r="BY213" i="7"/>
  <c r="AZ212" i="7"/>
  <c r="AZ213" i="7"/>
  <c r="BH212" i="7"/>
  <c r="BH213" i="7"/>
  <c r="BP212" i="7"/>
  <c r="BP213" i="7"/>
  <c r="BX212" i="7"/>
  <c r="BX213" i="7"/>
  <c r="BA212" i="7"/>
  <c r="BA213" i="7"/>
  <c r="BQ212" i="7"/>
  <c r="BQ213" i="7"/>
  <c r="BB212" i="7"/>
  <c r="BB213" i="7"/>
  <c r="BJ212" i="7"/>
  <c r="BJ213" i="7"/>
  <c r="BR212" i="7"/>
  <c r="BR213" i="7"/>
  <c r="BZ212" i="7"/>
  <c r="BZ213" i="7"/>
  <c r="BD212" i="7"/>
  <c r="BD213" i="7"/>
  <c r="BT212" i="7"/>
  <c r="BT213" i="7"/>
  <c r="BC212" i="7"/>
  <c r="BC213" i="7"/>
  <c r="BK212" i="7"/>
  <c r="BK213" i="7"/>
  <c r="BS212" i="7"/>
  <c r="BS213" i="7"/>
  <c r="CA212" i="7"/>
  <c r="CA213" i="7"/>
  <c r="BL212" i="7"/>
  <c r="BL213" i="7"/>
  <c r="CB212" i="7"/>
  <c r="CB213" i="7"/>
  <c r="AU212" i="7"/>
  <c r="AT212" i="7"/>
  <c r="AR212" i="7"/>
  <c r="AM212" i="7"/>
  <c r="AJ212" i="7"/>
  <c r="AE212" i="7"/>
  <c r="AL212" i="7"/>
  <c r="AD212" i="7"/>
  <c r="AB212" i="7"/>
  <c r="W212" i="7"/>
  <c r="V212" i="7"/>
  <c r="T212" i="7"/>
  <c r="O212" i="7"/>
  <c r="N212" i="7"/>
  <c r="L212" i="7"/>
  <c r="AS212" i="7"/>
  <c r="AK212" i="7"/>
  <c r="AC212" i="7"/>
  <c r="U212" i="7"/>
  <c r="M212" i="7"/>
  <c r="AY212" i="7"/>
  <c r="AQ212" i="7"/>
  <c r="AI212" i="7"/>
  <c r="AA212" i="7"/>
  <c r="S212" i="7"/>
  <c r="K212" i="7"/>
  <c r="AX212" i="7"/>
  <c r="AP212" i="7"/>
  <c r="AH212" i="7"/>
  <c r="Z212" i="7"/>
  <c r="R212" i="7"/>
  <c r="J212" i="7"/>
  <c r="AW212" i="7"/>
  <c r="AO212" i="7"/>
  <c r="AG212" i="7"/>
  <c r="Y212" i="7"/>
  <c r="Q212" i="7"/>
  <c r="I212" i="7"/>
  <c r="AV212" i="7"/>
  <c r="AN212" i="7"/>
  <c r="AF212" i="7"/>
  <c r="X212" i="7"/>
  <c r="N35" i="4"/>
  <c r="J39" i="56"/>
  <c r="M35" i="4"/>
  <c r="L169" i="41"/>
  <c r="L171" i="41"/>
  <c r="D212" i="7"/>
  <c r="M169" i="41"/>
  <c r="M171" i="41"/>
  <c r="I39" i="56"/>
  <c r="AM45" i="8"/>
  <c r="AN45" i="8"/>
  <c r="AO45" i="8"/>
  <c r="AP45" i="8"/>
  <c r="AQ45" i="8"/>
  <c r="AR45" i="8"/>
  <c r="AS45" i="8"/>
  <c r="AT45" i="8"/>
  <c r="AU45" i="8"/>
  <c r="AV45" i="8"/>
  <c r="AW45" i="8"/>
  <c r="AM92" i="8"/>
  <c r="AN92" i="8"/>
  <c r="AN99" i="8"/>
  <c r="AN118" i="8"/>
  <c r="AO92" i="8"/>
  <c r="AO99" i="8"/>
  <c r="AO118" i="8"/>
  <c r="AP92" i="8"/>
  <c r="AQ92" i="8"/>
  <c r="AR92" i="8"/>
  <c r="AS92" i="8"/>
  <c r="AT92" i="8"/>
  <c r="AT99" i="8"/>
  <c r="AT118" i="8"/>
  <c r="AT121" i="8"/>
  <c r="AU92" i="8"/>
  <c r="AU99" i="8"/>
  <c r="AU118" i="8"/>
  <c r="AU121" i="8"/>
  <c r="AV92" i="8"/>
  <c r="AV99" i="8"/>
  <c r="AV118" i="8"/>
  <c r="AV121" i="8"/>
  <c r="AW92" i="8"/>
  <c r="AW99" i="8"/>
  <c r="AW118" i="8"/>
  <c r="AW121" i="8"/>
  <c r="AP99" i="8"/>
  <c r="AP118" i="8"/>
  <c r="AP121" i="8"/>
  <c r="AQ99" i="8"/>
  <c r="AQ118" i="8"/>
  <c r="AQ121" i="8"/>
  <c r="AR99" i="8"/>
  <c r="AR118" i="8"/>
  <c r="AR121" i="8"/>
  <c r="AS99" i="8"/>
  <c r="AS118" i="8"/>
  <c r="AS121" i="8"/>
  <c r="AM44" i="13"/>
  <c r="AN44" i="13"/>
  <c r="AN46" i="13"/>
  <c r="AN47" i="13"/>
  <c r="AO44" i="13"/>
  <c r="AO46" i="13"/>
  <c r="AO47" i="13"/>
  <c r="AP44" i="13"/>
  <c r="AP46" i="13"/>
  <c r="AP47" i="13"/>
  <c r="AQ44" i="13"/>
  <c r="AR44" i="13"/>
  <c r="AS44" i="13"/>
  <c r="AT44" i="13"/>
  <c r="AU44" i="13"/>
  <c r="AV44" i="13"/>
  <c r="AV46" i="13"/>
  <c r="AV47" i="13"/>
  <c r="AW44" i="13"/>
  <c r="AW46" i="13"/>
  <c r="AW47" i="13"/>
  <c r="AM46" i="13"/>
  <c r="AM47" i="13"/>
  <c r="AQ46" i="13"/>
  <c r="AQ47" i="13"/>
  <c r="AR46" i="13"/>
  <c r="AS46" i="13"/>
  <c r="AT46" i="13"/>
  <c r="AT47" i="13"/>
  <c r="AU46" i="13"/>
  <c r="AU47" i="13"/>
  <c r="AM358" i="11"/>
  <c r="AN358" i="11"/>
  <c r="AN359" i="11"/>
  <c r="AO358" i="11"/>
  <c r="AO359" i="11"/>
  <c r="AP361" i="11"/>
  <c r="AP358" i="11"/>
  <c r="AP359" i="11"/>
  <c r="AQ361" i="11"/>
  <c r="AQ358" i="11"/>
  <c r="AQ359" i="11"/>
  <c r="AR361" i="11"/>
  <c r="AR358" i="11"/>
  <c r="AR359" i="11"/>
  <c r="AS361" i="11"/>
  <c r="AS358" i="11"/>
  <c r="AS359" i="11"/>
  <c r="AT361" i="11"/>
  <c r="AT358" i="11"/>
  <c r="AT359" i="11"/>
  <c r="AU361" i="11"/>
  <c r="AU358" i="11"/>
  <c r="AV358" i="11"/>
  <c r="AV359" i="11"/>
  <c r="AW361" i="11"/>
  <c r="AW358" i="11"/>
  <c r="AW359" i="11"/>
  <c r="AM359" i="11"/>
  <c r="AU359" i="11"/>
  <c r="AV361" i="11"/>
  <c r="AM31" i="16"/>
  <c r="AM35" i="16"/>
  <c r="AN31" i="16"/>
  <c r="AN35" i="16"/>
  <c r="AO31" i="16"/>
  <c r="AO35" i="16"/>
  <c r="AP31" i="16"/>
  <c r="AQ31" i="16"/>
  <c r="AR31" i="16"/>
  <c r="AS31" i="16"/>
  <c r="AS48" i="16"/>
  <c r="AT31" i="16"/>
  <c r="AT48" i="16"/>
  <c r="AU31" i="16"/>
  <c r="AU35" i="16"/>
  <c r="AV31" i="16"/>
  <c r="AV35" i="16"/>
  <c r="AW31" i="16"/>
  <c r="AW35" i="16"/>
  <c r="AM32" i="16"/>
  <c r="AM36" i="16"/>
  <c r="AN32" i="16"/>
  <c r="AO32" i="16"/>
  <c r="AP32" i="16"/>
  <c r="AP36" i="16"/>
  <c r="AQ32" i="16"/>
  <c r="AQ36" i="16"/>
  <c r="AR32" i="16"/>
  <c r="AR54" i="16"/>
  <c r="AS32" i="16"/>
  <c r="AS54" i="16"/>
  <c r="AT32" i="16"/>
  <c r="AT36" i="16"/>
  <c r="AU32" i="16"/>
  <c r="AU36" i="16"/>
  <c r="AV32" i="16"/>
  <c r="AW32" i="16"/>
  <c r="AW36" i="16"/>
  <c r="AP35" i="16"/>
  <c r="AQ35" i="16"/>
  <c r="AR35" i="16"/>
  <c r="AN36" i="16"/>
  <c r="AO36" i="16"/>
  <c r="AV36" i="16"/>
  <c r="AO48" i="16"/>
  <c r="AP48" i="16"/>
  <c r="AQ48" i="16"/>
  <c r="AR48" i="16"/>
  <c r="AN54" i="16"/>
  <c r="AO54" i="16"/>
  <c r="AP54" i="16"/>
  <c r="AV54" i="16"/>
  <c r="AW54" i="16"/>
  <c r="AM56" i="16"/>
  <c r="AN56" i="16"/>
  <c r="AO56" i="16"/>
  <c r="AP56" i="16"/>
  <c r="AQ56" i="16"/>
  <c r="AR56" i="16"/>
  <c r="AS56" i="16"/>
  <c r="AT56" i="16"/>
  <c r="AU56" i="16"/>
  <c r="AV56" i="16"/>
  <c r="AW56" i="16"/>
  <c r="AO77" i="16"/>
  <c r="AP77" i="16"/>
  <c r="AQ77" i="16"/>
  <c r="AR77" i="16"/>
  <c r="AS77" i="16"/>
  <c r="AM79" i="16"/>
  <c r="AN79" i="16"/>
  <c r="AO79" i="16"/>
  <c r="AP79" i="16"/>
  <c r="AQ79" i="16"/>
  <c r="AR79" i="16"/>
  <c r="AS79" i="16"/>
  <c r="AT79" i="16"/>
  <c r="AU79" i="16"/>
  <c r="AV79" i="16"/>
  <c r="AW79" i="16"/>
  <c r="AM83" i="16"/>
  <c r="AN83" i="16"/>
  <c r="AO83" i="16"/>
  <c r="AP83" i="16"/>
  <c r="AQ83" i="16"/>
  <c r="AT83" i="16"/>
  <c r="AV83" i="16"/>
  <c r="AW83" i="16"/>
  <c r="AM85" i="16"/>
  <c r="AN85" i="16"/>
  <c r="AO85" i="16"/>
  <c r="AP85" i="16"/>
  <c r="AQ85" i="16"/>
  <c r="AR85" i="16"/>
  <c r="AS85" i="16"/>
  <c r="AT85" i="16"/>
  <c r="AU85" i="16"/>
  <c r="AV85" i="16"/>
  <c r="AW85" i="16"/>
  <c r="AM31" i="41"/>
  <c r="AM48" i="41"/>
  <c r="AN31" i="41"/>
  <c r="AN75" i="41"/>
  <c r="AO31" i="41"/>
  <c r="AO48" i="41"/>
  <c r="AP31" i="41"/>
  <c r="AP75" i="41"/>
  <c r="AQ31" i="41"/>
  <c r="AQ48" i="41"/>
  <c r="AR31" i="41"/>
  <c r="AR48" i="41"/>
  <c r="AS31" i="41"/>
  <c r="AS48" i="41"/>
  <c r="AT31" i="41"/>
  <c r="AT48" i="41"/>
  <c r="AU31" i="41"/>
  <c r="AV31" i="41"/>
  <c r="AV75" i="41"/>
  <c r="AW31" i="41"/>
  <c r="AW48" i="41"/>
  <c r="AM32" i="41"/>
  <c r="AM54" i="41"/>
  <c r="AN32" i="41"/>
  <c r="AN54" i="41"/>
  <c r="AO32" i="41"/>
  <c r="AO54" i="41"/>
  <c r="AP32" i="41"/>
  <c r="AP54" i="41"/>
  <c r="AQ32" i="41"/>
  <c r="AQ54" i="41"/>
  <c r="AR32" i="41"/>
  <c r="AR81" i="41"/>
  <c r="AS32" i="41"/>
  <c r="AS54" i="41"/>
  <c r="AT32" i="41"/>
  <c r="AT81" i="41"/>
  <c r="AU32" i="41"/>
  <c r="AU81" i="41"/>
  <c r="AV32" i="41"/>
  <c r="AV81" i="41"/>
  <c r="AW32" i="41"/>
  <c r="AW54" i="41"/>
  <c r="AP48" i="41"/>
  <c r="AU48" i="41"/>
  <c r="AR54" i="41"/>
  <c r="AM56" i="41"/>
  <c r="AN56" i="41"/>
  <c r="AO56" i="41"/>
  <c r="AP56" i="41"/>
  <c r="AQ56" i="41"/>
  <c r="AR56" i="41"/>
  <c r="AS56" i="41"/>
  <c r="AT56" i="41"/>
  <c r="AU56" i="41"/>
  <c r="AV56" i="41"/>
  <c r="AW56" i="41"/>
  <c r="AM75" i="41"/>
  <c r="AO75" i="41"/>
  <c r="AU75" i="41"/>
  <c r="AM77" i="41"/>
  <c r="AN77" i="41"/>
  <c r="AO77" i="41"/>
  <c r="AP77" i="41"/>
  <c r="AQ77" i="41"/>
  <c r="AR77" i="41"/>
  <c r="AS77" i="41"/>
  <c r="AT77" i="41"/>
  <c r="AU77" i="41"/>
  <c r="AV77" i="41"/>
  <c r="AW77" i="41"/>
  <c r="AM81" i="41"/>
  <c r="AN81" i="41"/>
  <c r="AO81" i="41"/>
  <c r="AM83" i="41"/>
  <c r="AN83" i="41"/>
  <c r="AO83" i="41"/>
  <c r="AP83" i="41"/>
  <c r="AQ83" i="41"/>
  <c r="AR83" i="41"/>
  <c r="AS83" i="41"/>
  <c r="AT83" i="41"/>
  <c r="AU83" i="41"/>
  <c r="AV83" i="41"/>
  <c r="AW83" i="41"/>
  <c r="AM111" i="41"/>
  <c r="AN111" i="41"/>
  <c r="AO111" i="41"/>
  <c r="AP111" i="41"/>
  <c r="AQ111" i="41"/>
  <c r="AR111" i="41"/>
  <c r="AS111" i="41"/>
  <c r="AT111" i="41"/>
  <c r="AU111" i="41"/>
  <c r="AV111" i="41"/>
  <c r="AW111" i="41"/>
  <c r="AM37" i="3"/>
  <c r="AM40" i="3"/>
  <c r="AM42" i="3"/>
  <c r="AN37" i="3"/>
  <c r="AN40" i="3"/>
  <c r="AN42" i="3"/>
  <c r="AO37" i="3"/>
  <c r="AO40" i="3"/>
  <c r="AO42" i="3"/>
  <c r="AP37" i="3"/>
  <c r="AQ37" i="3"/>
  <c r="AQ40" i="3"/>
  <c r="AQ42" i="3"/>
  <c r="AR37" i="3"/>
  <c r="AR40" i="3"/>
  <c r="AR42" i="3"/>
  <c r="AS37" i="3"/>
  <c r="AT37" i="3"/>
  <c r="AU37" i="3"/>
  <c r="AU40" i="3"/>
  <c r="AU42" i="3"/>
  <c r="AV37" i="3"/>
  <c r="AV40" i="3"/>
  <c r="AV42" i="3"/>
  <c r="AW37" i="3"/>
  <c r="AP40" i="3"/>
  <c r="AP42" i="3"/>
  <c r="AS40" i="3"/>
  <c r="AS42" i="3"/>
  <c r="AT40" i="3"/>
  <c r="AT42" i="3"/>
  <c r="AM59" i="3"/>
  <c r="AN59" i="3"/>
  <c r="AO59" i="3"/>
  <c r="AO70" i="3"/>
  <c r="AO74" i="3"/>
  <c r="AO75" i="3"/>
  <c r="AP59" i="3"/>
  <c r="AQ59" i="3"/>
  <c r="AQ70" i="3"/>
  <c r="AQ74" i="3"/>
  <c r="AQ75" i="3"/>
  <c r="AR59" i="3"/>
  <c r="AR70" i="3"/>
  <c r="AR74" i="3"/>
  <c r="AR75" i="3"/>
  <c r="AS59" i="3"/>
  <c r="AS70" i="3"/>
  <c r="AS74" i="3"/>
  <c r="AS75" i="3"/>
  <c r="AT59" i="3"/>
  <c r="AT70" i="3"/>
  <c r="AT74" i="3"/>
  <c r="AT75" i="3"/>
  <c r="AU59" i="3"/>
  <c r="AV59" i="3"/>
  <c r="AV70" i="3"/>
  <c r="AV74" i="3"/>
  <c r="AV75" i="3"/>
  <c r="AM70" i="3"/>
  <c r="AM74" i="3"/>
  <c r="AM75" i="3"/>
  <c r="AN70" i="3"/>
  <c r="AN74" i="3"/>
  <c r="AN75" i="3"/>
  <c r="AP70" i="3"/>
  <c r="AP74" i="3"/>
  <c r="AP75" i="3"/>
  <c r="AU70" i="3"/>
  <c r="AU74" i="3"/>
  <c r="AU75" i="3"/>
  <c r="AM10" i="18"/>
  <c r="AN10" i="18"/>
  <c r="AO10" i="18"/>
  <c r="AP10" i="18"/>
  <c r="AQ10" i="18"/>
  <c r="AR10" i="18"/>
  <c r="AS10" i="18"/>
  <c r="AT10" i="18"/>
  <c r="AU10" i="18"/>
  <c r="AV10" i="18"/>
  <c r="AW10" i="18"/>
  <c r="AM11" i="18"/>
  <c r="AN11" i="18"/>
  <c r="AO11" i="18"/>
  <c r="AP11" i="18"/>
  <c r="AQ11" i="18"/>
  <c r="AR11" i="18"/>
  <c r="AS11" i="18"/>
  <c r="AT11" i="18"/>
  <c r="AU11" i="18"/>
  <c r="AV11" i="18"/>
  <c r="AW11" i="18"/>
  <c r="AM12" i="18"/>
  <c r="AN12" i="18"/>
  <c r="AO12" i="18"/>
  <c r="AP12" i="18"/>
  <c r="AQ12" i="18"/>
  <c r="AR12" i="18"/>
  <c r="AS12" i="18"/>
  <c r="AT12" i="18"/>
  <c r="AU12" i="18"/>
  <c r="AV12" i="18"/>
  <c r="AW12" i="18"/>
  <c r="AM13" i="18"/>
  <c r="AN13" i="18"/>
  <c r="AO13" i="18"/>
  <c r="AP13" i="18"/>
  <c r="AQ13" i="18"/>
  <c r="AR13" i="18"/>
  <c r="AS13" i="18"/>
  <c r="AT13" i="18"/>
  <c r="AU13" i="18"/>
  <c r="AV13" i="18"/>
  <c r="AM14" i="18"/>
  <c r="AN14" i="18"/>
  <c r="AO14" i="18"/>
  <c r="AP14" i="18"/>
  <c r="AQ14" i="18"/>
  <c r="AR14" i="18"/>
  <c r="AS14" i="18"/>
  <c r="AT14" i="18"/>
  <c r="AU14" i="18"/>
  <c r="AV14" i="18"/>
  <c r="AW14" i="18"/>
  <c r="AM21" i="18"/>
  <c r="AM23" i="18"/>
  <c r="AM57" i="18"/>
  <c r="AN21" i="18"/>
  <c r="AN23" i="18"/>
  <c r="AN57" i="18"/>
  <c r="AN56" i="18"/>
  <c r="AO21" i="18"/>
  <c r="AO23" i="18"/>
  <c r="AO57" i="18"/>
  <c r="AO56" i="18"/>
  <c r="AP21" i="18"/>
  <c r="AP23" i="18"/>
  <c r="AP57" i="18"/>
  <c r="AQ21" i="18"/>
  <c r="AR21" i="18"/>
  <c r="AR23" i="18"/>
  <c r="AR57" i="18"/>
  <c r="AS21" i="18"/>
  <c r="AS23" i="18"/>
  <c r="AS57" i="18"/>
  <c r="AT21" i="18"/>
  <c r="AT23" i="18"/>
  <c r="AT57" i="18"/>
  <c r="AU21" i="18"/>
  <c r="AU23" i="18"/>
  <c r="AU57" i="18"/>
  <c r="AV21" i="18"/>
  <c r="AV23" i="18"/>
  <c r="AV57" i="18"/>
  <c r="AV56" i="18"/>
  <c r="AQ23" i="18"/>
  <c r="AM28" i="18"/>
  <c r="AM29" i="18"/>
  <c r="AM67" i="18"/>
  <c r="AN28" i="18"/>
  <c r="AO28" i="18"/>
  <c r="AO29" i="18"/>
  <c r="AO67" i="18"/>
  <c r="AP28" i="18"/>
  <c r="AP29" i="18"/>
  <c r="AP67" i="18"/>
  <c r="AP66" i="18"/>
  <c r="AM11" i="54"/>
  <c r="AQ28" i="18"/>
  <c r="AQ29" i="18"/>
  <c r="AQ67" i="18"/>
  <c r="AR28" i="18"/>
  <c r="AR29" i="18"/>
  <c r="AR67" i="18"/>
  <c r="AS28" i="18"/>
  <c r="AT28" i="18"/>
  <c r="AT29" i="18"/>
  <c r="AT67" i="18"/>
  <c r="AU28" i="18"/>
  <c r="AU29" i="18"/>
  <c r="AU67" i="18"/>
  <c r="AV28" i="18"/>
  <c r="AV29" i="18"/>
  <c r="AV67" i="18"/>
  <c r="AW28" i="18"/>
  <c r="AW29" i="18"/>
  <c r="AW67" i="18"/>
  <c r="AN29" i="18"/>
  <c r="AN67" i="18"/>
  <c r="AN66" i="18"/>
  <c r="AK11" i="54"/>
  <c r="AS29" i="18"/>
  <c r="AS67" i="18"/>
  <c r="AW56" i="18"/>
  <c r="AQ57" i="18"/>
  <c r="AQ56" i="18"/>
  <c r="AQ12" i="54"/>
  <c r="AI7" i="56"/>
  <c r="AL102" i="48"/>
  <c r="AJ7" i="56"/>
  <c r="AM102" i="48"/>
  <c r="AK7" i="56"/>
  <c r="AN102" i="48"/>
  <c r="AL7" i="56"/>
  <c r="AO102" i="48"/>
  <c r="AM7" i="56"/>
  <c r="AP102" i="48"/>
  <c r="AN7" i="56"/>
  <c r="AQ102" i="48"/>
  <c r="AO7" i="56"/>
  <c r="AR102" i="48"/>
  <c r="AP7" i="56"/>
  <c r="AS102" i="48"/>
  <c r="AQ7" i="56"/>
  <c r="AT102" i="48"/>
  <c r="AR7" i="56"/>
  <c r="AU102" i="48"/>
  <c r="AS7" i="56"/>
  <c r="AV102" i="48"/>
  <c r="AI8" i="56"/>
  <c r="AI10" i="56"/>
  <c r="AL103" i="48"/>
  <c r="AJ8" i="56"/>
  <c r="AJ10" i="56"/>
  <c r="AK8" i="56"/>
  <c r="AK10" i="56"/>
  <c r="AN103" i="48"/>
  <c r="AL8" i="56"/>
  <c r="AL10" i="56"/>
  <c r="AO103" i="48"/>
  <c r="AM8" i="56"/>
  <c r="AM10" i="56"/>
  <c r="AP103" i="48"/>
  <c r="AN8" i="56"/>
  <c r="AN10" i="56"/>
  <c r="AO8" i="56"/>
  <c r="AO10" i="56"/>
  <c r="AP8" i="56"/>
  <c r="AP10" i="56"/>
  <c r="AQ8" i="56"/>
  <c r="AQ10" i="56"/>
  <c r="AT103" i="48"/>
  <c r="AR8" i="56"/>
  <c r="AR10" i="56"/>
  <c r="AU103" i="48"/>
  <c r="AS8" i="56"/>
  <c r="AS10" i="56"/>
  <c r="AV103" i="48"/>
  <c r="AI11" i="56"/>
  <c r="AI13" i="56"/>
  <c r="AJ11" i="56"/>
  <c r="AJ13" i="56"/>
  <c r="AN11" i="56"/>
  <c r="AN13" i="56"/>
  <c r="AP11" i="56"/>
  <c r="AP13" i="56"/>
  <c r="AQ11" i="56"/>
  <c r="AQ13" i="56"/>
  <c r="AR11" i="56"/>
  <c r="AI58" i="56"/>
  <c r="AJ58" i="56"/>
  <c r="AJ59" i="56"/>
  <c r="AK58" i="56"/>
  <c r="AK59" i="56"/>
  <c r="AL58" i="56"/>
  <c r="AL59" i="56"/>
  <c r="AM58" i="56"/>
  <c r="AN58" i="56"/>
  <c r="AN59" i="56"/>
  <c r="AO58" i="56"/>
  <c r="AP58" i="56"/>
  <c r="AQ58" i="56"/>
  <c r="AR58" i="56"/>
  <c r="AR59" i="56"/>
  <c r="AS58" i="56"/>
  <c r="AS59" i="56"/>
  <c r="AI59" i="56"/>
  <c r="AM59" i="56"/>
  <c r="AO59" i="56"/>
  <c r="AP59" i="56"/>
  <c r="AQ59" i="56"/>
  <c r="AM10" i="55"/>
  <c r="AN10" i="55"/>
  <c r="AO10" i="55"/>
  <c r="AP10" i="55"/>
  <c r="AQ10" i="55"/>
  <c r="AR10" i="55"/>
  <c r="AS10" i="55"/>
  <c r="AT10" i="55"/>
  <c r="AU10" i="55"/>
  <c r="AV10" i="55"/>
  <c r="AW10" i="55"/>
  <c r="AM11" i="55"/>
  <c r="AN11" i="55"/>
  <c r="AO11" i="55"/>
  <c r="AP11" i="55"/>
  <c r="AQ11" i="55"/>
  <c r="AR11" i="55"/>
  <c r="AS11" i="55"/>
  <c r="AT11" i="55"/>
  <c r="AU11" i="55"/>
  <c r="AV11" i="55"/>
  <c r="AW11" i="55"/>
  <c r="AM12" i="55"/>
  <c r="AN12" i="55"/>
  <c r="AO12" i="55"/>
  <c r="AP12" i="55"/>
  <c r="AQ12" i="55"/>
  <c r="AR12" i="55"/>
  <c r="AS12" i="55"/>
  <c r="AT12" i="55"/>
  <c r="AU12" i="55"/>
  <c r="AV12" i="55"/>
  <c r="AW12" i="55"/>
  <c r="AM13" i="55"/>
  <c r="AN13" i="55"/>
  <c r="AO13" i="55"/>
  <c r="AP13" i="55"/>
  <c r="AQ13" i="55"/>
  <c r="AR13" i="55"/>
  <c r="AS13" i="55"/>
  <c r="AT13" i="55"/>
  <c r="AU13" i="55"/>
  <c r="AV13" i="55"/>
  <c r="AM14" i="55"/>
  <c r="AN14" i="55"/>
  <c r="AO14" i="55"/>
  <c r="AP14" i="55"/>
  <c r="AQ14" i="55"/>
  <c r="AR14" i="55"/>
  <c r="AS14" i="55"/>
  <c r="AT14" i="55"/>
  <c r="AU14" i="55"/>
  <c r="AV14" i="55"/>
  <c r="AW14" i="55"/>
  <c r="AW56" i="55"/>
  <c r="AM21" i="55"/>
  <c r="AN21" i="55"/>
  <c r="AO21" i="55"/>
  <c r="AP21" i="55"/>
  <c r="AQ21" i="55"/>
  <c r="AR21" i="55"/>
  <c r="AS21" i="55"/>
  <c r="AT21" i="55"/>
  <c r="AU21" i="55"/>
  <c r="AV21" i="55"/>
  <c r="AM28" i="55"/>
  <c r="AM29" i="55"/>
  <c r="AM67" i="55"/>
  <c r="AM66" i="55"/>
  <c r="AN28" i="55"/>
  <c r="AN29" i="55"/>
  <c r="AN67" i="55"/>
  <c r="AO28" i="55"/>
  <c r="AO29" i="55"/>
  <c r="AO67" i="55"/>
  <c r="AO66" i="55"/>
  <c r="AP28" i="55"/>
  <c r="AQ28" i="55"/>
  <c r="AQ29" i="55"/>
  <c r="AQ67" i="55"/>
  <c r="AQ66" i="55"/>
  <c r="AR28" i="55"/>
  <c r="AR29" i="55"/>
  <c r="AR67" i="55"/>
  <c r="AR66" i="55"/>
  <c r="AS28" i="55"/>
  <c r="AT28" i="55"/>
  <c r="AU28" i="55"/>
  <c r="AU29" i="55"/>
  <c r="AU67" i="55"/>
  <c r="AU66" i="55"/>
  <c r="AV28" i="55"/>
  <c r="AV29" i="55"/>
  <c r="AV67" i="55"/>
  <c r="AW28" i="55"/>
  <c r="AW29" i="55"/>
  <c r="AW67" i="55"/>
  <c r="AP29" i="55"/>
  <c r="AP67" i="55"/>
  <c r="AP66" i="55"/>
  <c r="AS29" i="55"/>
  <c r="AS67" i="55"/>
  <c r="AS66" i="55"/>
  <c r="AT29" i="55"/>
  <c r="AT67" i="55"/>
  <c r="AT66" i="55"/>
  <c r="AV54" i="41"/>
  <c r="AP16" i="55"/>
  <c r="AP42" i="55"/>
  <c r="AS16" i="55"/>
  <c r="AS42" i="55"/>
  <c r="AR83" i="16"/>
  <c r="AW81" i="41"/>
  <c r="AQ75" i="41"/>
  <c r="AV16" i="55"/>
  <c r="AV42" i="55"/>
  <c r="AU16" i="55"/>
  <c r="AU42" i="55"/>
  <c r="AS81" i="41"/>
  <c r="AR56" i="18"/>
  <c r="AU54" i="41"/>
  <c r="AU54" i="16"/>
  <c r="AV16" i="18"/>
  <c r="AV42" i="18"/>
  <c r="AS7" i="54"/>
  <c r="AN16" i="18"/>
  <c r="AN42" i="18"/>
  <c r="AK7" i="54"/>
  <c r="AQ16" i="18"/>
  <c r="AQ42" i="18"/>
  <c r="AQ41" i="18"/>
  <c r="AT16" i="18"/>
  <c r="AT42" i="18"/>
  <c r="AW16" i="18"/>
  <c r="AW42" i="18"/>
  <c r="AT54" i="41"/>
  <c r="AT54" i="16"/>
  <c r="AP56" i="18"/>
  <c r="AS16" i="18"/>
  <c r="AS42" i="18"/>
  <c r="AV48" i="41"/>
  <c r="AM103" i="48"/>
  <c r="AJ12" i="56"/>
  <c r="AP12" i="54"/>
  <c r="AS66" i="18"/>
  <c r="AP11" i="54"/>
  <c r="AW16" i="55"/>
  <c r="AW42" i="55"/>
  <c r="AW103" i="55"/>
  <c r="AO16" i="55"/>
  <c r="AO42" i="55"/>
  <c r="AR16" i="55"/>
  <c r="AR42" i="55"/>
  <c r="AR103" i="55"/>
  <c r="AW75" i="41"/>
  <c r="AQ16" i="55"/>
  <c r="AQ42" i="55"/>
  <c r="AU16" i="18"/>
  <c r="AU42" i="18"/>
  <c r="AM16" i="18"/>
  <c r="AM42" i="18"/>
  <c r="AP16" i="18"/>
  <c r="AP42" i="18"/>
  <c r="AM16" i="55"/>
  <c r="AM42" i="55"/>
  <c r="AT56" i="18"/>
  <c r="AO16" i="18"/>
  <c r="AO42" i="18"/>
  <c r="AN178" i="41"/>
  <c r="AN16" i="55"/>
  <c r="AN42" i="55"/>
  <c r="AN41" i="55"/>
  <c r="AN102" i="55"/>
  <c r="AM11" i="56"/>
  <c r="AU56" i="18"/>
  <c r="AM56" i="18"/>
  <c r="AL11" i="56"/>
  <c r="AL13" i="56"/>
  <c r="AW77" i="16"/>
  <c r="AW78" i="16"/>
  <c r="AM54" i="16"/>
  <c r="AR12" i="56"/>
  <c r="AN48" i="41"/>
  <c r="AW48" i="16"/>
  <c r="AR36" i="16"/>
  <c r="AL178" i="41"/>
  <c r="AJ7" i="54"/>
  <c r="AM103" i="18"/>
  <c r="AQ66" i="18"/>
  <c r="AN11" i="54"/>
  <c r="AN12" i="54"/>
  <c r="AP178" i="41"/>
  <c r="AQ103" i="18"/>
  <c r="AN7" i="54"/>
  <c r="AV178" i="41"/>
  <c r="AW103" i="18"/>
  <c r="AT7" i="54"/>
  <c r="AQ41" i="55"/>
  <c r="AQ102" i="55"/>
  <c r="AQ103" i="55"/>
  <c r="AO178" i="41"/>
  <c r="AM7" i="54"/>
  <c r="AP41" i="18"/>
  <c r="AP103" i="18"/>
  <c r="AL12" i="54"/>
  <c r="AO66" i="18"/>
  <c r="AL11" i="54"/>
  <c r="AT12" i="54"/>
  <c r="AW66" i="18"/>
  <c r="AT11" i="54"/>
  <c r="AO41" i="55"/>
  <c r="AO102" i="55"/>
  <c r="AO103" i="55"/>
  <c r="AV66" i="18"/>
  <c r="AS11" i="54"/>
  <c r="AS12" i="54"/>
  <c r="AS103" i="48"/>
  <c r="AP12" i="56"/>
  <c r="AN103" i="55"/>
  <c r="AR103" i="48"/>
  <c r="AO12" i="56"/>
  <c r="AQ103" i="48"/>
  <c r="AN12" i="56"/>
  <c r="AS178" i="41"/>
  <c r="AQ7" i="54"/>
  <c r="AT41" i="18"/>
  <c r="AT103" i="18"/>
  <c r="AO12" i="54"/>
  <c r="AR66" i="18"/>
  <c r="AO11" i="54"/>
  <c r="AV41" i="55"/>
  <c r="AV102" i="55"/>
  <c r="AV103" i="55"/>
  <c r="AR178" i="41"/>
  <c r="AP7" i="54"/>
  <c r="AS103" i="18"/>
  <c r="AS41" i="55"/>
  <c r="AS102" i="55"/>
  <c r="AS103" i="55"/>
  <c r="AT178" i="41"/>
  <c r="AU103" i="18"/>
  <c r="AR7" i="54"/>
  <c r="AM41" i="55"/>
  <c r="AM102" i="55"/>
  <c r="AM103" i="55"/>
  <c r="AU41" i="55"/>
  <c r="AU102" i="55"/>
  <c r="AU103" i="55"/>
  <c r="AT75" i="41"/>
  <c r="AM12" i="54"/>
  <c r="AS75" i="41"/>
  <c r="AV77" i="16"/>
  <c r="AN48" i="16"/>
  <c r="AV66" i="55"/>
  <c r="AM66" i="18"/>
  <c r="AJ11" i="54"/>
  <c r="AW66" i="55"/>
  <c r="AQ12" i="56"/>
  <c r="AI12" i="56"/>
  <c r="AQ81" i="41"/>
  <c r="AT35" i="16"/>
  <c r="AM12" i="56"/>
  <c r="AN66" i="55"/>
  <c r="AK12" i="56"/>
  <c r="AK12" i="54"/>
  <c r="AS11" i="56"/>
  <c r="AS15" i="56"/>
  <c r="AK11" i="56"/>
  <c r="AK13" i="56"/>
  <c r="AS56" i="18"/>
  <c r="AP81" i="41"/>
  <c r="AS83" i="16"/>
  <c r="AS36" i="16"/>
  <c r="AN77" i="16"/>
  <c r="AL12" i="56"/>
  <c r="AO11" i="56"/>
  <c r="AM15" i="56"/>
  <c r="AR75" i="41"/>
  <c r="AU77" i="16"/>
  <c r="AM77" i="16"/>
  <c r="AV48" i="16"/>
  <c r="AM48" i="16"/>
  <c r="AR47" i="13"/>
  <c r="AT77" i="16"/>
  <c r="AO78" i="16"/>
  <c r="AU48" i="16"/>
  <c r="AS12" i="56"/>
  <c r="AS13" i="56"/>
  <c r="AU66" i="18"/>
  <c r="AR11" i="54"/>
  <c r="AT16" i="55"/>
  <c r="AT42" i="55"/>
  <c r="AT41" i="55"/>
  <c r="AT102" i="55"/>
  <c r="AR12" i="54"/>
  <c r="AJ12" i="54"/>
  <c r="AT66" i="18"/>
  <c r="AQ11" i="54"/>
  <c r="AR16" i="18"/>
  <c r="AR42" i="18"/>
  <c r="AO7" i="54"/>
  <c r="AU83" i="16"/>
  <c r="AQ54" i="16"/>
  <c r="AS47" i="13"/>
  <c r="AU78" i="16"/>
  <c r="AR13" i="56"/>
  <c r="AT78" i="16"/>
  <c r="AZ78" i="16"/>
  <c r="AV78" i="16"/>
  <c r="AM13" i="56"/>
  <c r="AP41" i="55"/>
  <c r="AP102" i="55"/>
  <c r="AP103" i="55"/>
  <c r="AU178" i="41"/>
  <c r="AV41" i="18"/>
  <c r="AV103" i="18"/>
  <c r="AM178" i="41"/>
  <c r="AN41" i="18"/>
  <c r="AN103" i="18"/>
  <c r="AQ178" i="41"/>
  <c r="AR41" i="18"/>
  <c r="AW41" i="18"/>
  <c r="AO41" i="18"/>
  <c r="AU41" i="18"/>
  <c r="AM41" i="18"/>
  <c r="AS41" i="18"/>
  <c r="AY78" i="16"/>
  <c r="AS35" i="16"/>
  <c r="AX78" i="16"/>
  <c r="AS78" i="16"/>
  <c r="AP78" i="16"/>
  <c r="AL15" i="56"/>
  <c r="AI15" i="56"/>
  <c r="AP15" i="56"/>
  <c r="AK15" i="56"/>
  <c r="AQ15" i="56"/>
  <c r="AR15" i="56"/>
  <c r="AN15" i="56"/>
  <c r="AO15" i="56"/>
  <c r="AT103" i="55"/>
  <c r="AQ78" i="16"/>
  <c r="AR41" i="55"/>
  <c r="AR102" i="55"/>
  <c r="AW41" i="55"/>
  <c r="AW102" i="55"/>
  <c r="AM78" i="16"/>
  <c r="AL78" i="16"/>
  <c r="AL7" i="54"/>
  <c r="AO13" i="56"/>
  <c r="AN78" i="16"/>
  <c r="AO103" i="18"/>
  <c r="AR103" i="18"/>
  <c r="AJ15" i="56"/>
  <c r="AP102" i="18"/>
  <c r="AM6" i="54"/>
  <c r="AR78" i="16"/>
  <c r="AT102" i="18"/>
  <c r="AQ6" i="54"/>
  <c r="AN6" i="54"/>
  <c r="AQ102" i="18"/>
  <c r="AS102" i="18"/>
  <c r="AP6" i="54"/>
  <c r="AR102" i="18"/>
  <c r="AO6" i="54"/>
  <c r="AO102" i="18"/>
  <c r="AL6" i="54"/>
  <c r="AV102" i="18"/>
  <c r="AS6" i="54"/>
  <c r="AM102" i="18"/>
  <c r="AJ6" i="54"/>
  <c r="AU102" i="18"/>
  <c r="AR6" i="54"/>
  <c r="AW102" i="18"/>
  <c r="AT6" i="54"/>
  <c r="AN102" i="18"/>
  <c r="AK6" i="54"/>
  <c r="AQ12" i="17"/>
  <c r="AR12" i="17"/>
  <c r="AS12" i="17"/>
  <c r="AT12" i="17"/>
  <c r="AU12" i="17"/>
  <c r="AV12" i="17"/>
  <c r="AW12" i="17"/>
  <c r="AQ13" i="17"/>
  <c r="AR13" i="17"/>
  <c r="AS13" i="17"/>
  <c r="AT13" i="17"/>
  <c r="AU13" i="17"/>
  <c r="AV13" i="17"/>
  <c r="AW13" i="17"/>
  <c r="AQ109" i="41"/>
  <c r="AR109" i="41"/>
  <c r="AS109" i="41"/>
  <c r="AT109" i="41"/>
  <c r="AT110" i="41"/>
  <c r="AT120" i="41"/>
  <c r="AU109" i="41"/>
  <c r="AU110" i="41"/>
  <c r="AU120" i="41"/>
  <c r="AV109" i="41"/>
  <c r="AW109" i="41"/>
  <c r="AQ110" i="41"/>
  <c r="AQ120" i="41"/>
  <c r="AR110" i="41"/>
  <c r="AS110" i="41"/>
  <c r="AV110" i="41"/>
  <c r="AW110" i="41"/>
  <c r="AQ114" i="41"/>
  <c r="AR114" i="41"/>
  <c r="AR132" i="41"/>
  <c r="AS114" i="41"/>
  <c r="AT114" i="41"/>
  <c r="AU114" i="41"/>
  <c r="AV114" i="41"/>
  <c r="AV115" i="41"/>
  <c r="AV117" i="41"/>
  <c r="AV125" i="41"/>
  <c r="AV138" i="41"/>
  <c r="AW114" i="41"/>
  <c r="AQ115" i="41"/>
  <c r="AR115" i="41"/>
  <c r="AS115" i="41"/>
  <c r="AS121" i="41"/>
  <c r="AT115" i="41"/>
  <c r="AU115" i="41"/>
  <c r="AW115" i="41"/>
  <c r="AW121" i="41"/>
  <c r="AQ117" i="41"/>
  <c r="AR117" i="41"/>
  <c r="AS117" i="41"/>
  <c r="AT117" i="41"/>
  <c r="AU117" i="41"/>
  <c r="AW117" i="41"/>
  <c r="AR120" i="41"/>
  <c r="AS120" i="41"/>
  <c r="AV120" i="41"/>
  <c r="AW120" i="41"/>
  <c r="AT121" i="41"/>
  <c r="AU121" i="41"/>
  <c r="AV121" i="41"/>
  <c r="AR124" i="41"/>
  <c r="AR137" i="41"/>
  <c r="AS124" i="41"/>
  <c r="AT124" i="41"/>
  <c r="AT137" i="41"/>
  <c r="AT125" i="41"/>
  <c r="AT138" i="41"/>
  <c r="AT139" i="41"/>
  <c r="AV124" i="41"/>
  <c r="AW124" i="41"/>
  <c r="AS125" i="41"/>
  <c r="AU125" i="41"/>
  <c r="AS132" i="41"/>
  <c r="AT132" i="41"/>
  <c r="AU132" i="41"/>
  <c r="AV132" i="41"/>
  <c r="AW132" i="41"/>
  <c r="AS137" i="41"/>
  <c r="AS138" i="41"/>
  <c r="AS139" i="41"/>
  <c r="AV137" i="41"/>
  <c r="AW137" i="41"/>
  <c r="AU138" i="41"/>
  <c r="AQ146" i="41"/>
  <c r="AR146" i="41"/>
  <c r="AS146" i="41"/>
  <c r="AT146" i="41"/>
  <c r="AU146" i="41"/>
  <c r="AV146" i="41"/>
  <c r="AW146" i="41"/>
  <c r="AQ147" i="41"/>
  <c r="AR147" i="41"/>
  <c r="AS147" i="41"/>
  <c r="AT147" i="41"/>
  <c r="AU147" i="41"/>
  <c r="AV147" i="41"/>
  <c r="AW147" i="41"/>
  <c r="AQ150" i="41"/>
  <c r="AQ152" i="41"/>
  <c r="AR150" i="41"/>
  <c r="AR152" i="41"/>
  <c r="AS150" i="41"/>
  <c r="AT150" i="41"/>
  <c r="AU150" i="41"/>
  <c r="AV150" i="41"/>
  <c r="AV152" i="41"/>
  <c r="AS152" i="41"/>
  <c r="AT152" i="41"/>
  <c r="AU152" i="41"/>
  <c r="AV38" i="13"/>
  <c r="AW38" i="13"/>
  <c r="AV40" i="13"/>
  <c r="AW40" i="13"/>
  <c r="AV27" i="17"/>
  <c r="AW27" i="17"/>
  <c r="AV105" i="41"/>
  <c r="AW105" i="41"/>
  <c r="AW131" i="41"/>
  <c r="AW133" i="41"/>
  <c r="AV131" i="41"/>
  <c r="AV133" i="41"/>
  <c r="AV156" i="41"/>
  <c r="AW156" i="41"/>
  <c r="AV157" i="41"/>
  <c r="AW157" i="41"/>
  <c r="AV160" i="41"/>
  <c r="AW160" i="41"/>
  <c r="AU166" i="41"/>
  <c r="AU168" i="41"/>
  <c r="AU175" i="41"/>
  <c r="AV166" i="41"/>
  <c r="AV168" i="41"/>
  <c r="AV175" i="41"/>
  <c r="AV73" i="10"/>
  <c r="AW73" i="10"/>
  <c r="AV74" i="10"/>
  <c r="AV75" i="10"/>
  <c r="AW74" i="10"/>
  <c r="AR36" i="56"/>
  <c r="AS36" i="56"/>
  <c r="AS37" i="56"/>
  <c r="AR37" i="56"/>
  <c r="AR38" i="56"/>
  <c r="AR40" i="56"/>
  <c r="AS38" i="56"/>
  <c r="AR82" i="56"/>
  <c r="AR100" i="56"/>
  <c r="AS82" i="56"/>
  <c r="AS100" i="56"/>
  <c r="AW125" i="41"/>
  <c r="AW138" i="41"/>
  <c r="AW139" i="41"/>
  <c r="AW75" i="10"/>
  <c r="AV158" i="41"/>
  <c r="AV162" i="41"/>
  <c r="AU124" i="41"/>
  <c r="AU137" i="41"/>
  <c r="AU139" i="41"/>
  <c r="AV139" i="41"/>
  <c r="AQ121" i="41"/>
  <c r="AQ124" i="41"/>
  <c r="AQ137" i="41"/>
  <c r="AR121" i="41"/>
  <c r="AQ132" i="41"/>
  <c r="AR125" i="41"/>
  <c r="AR138" i="41"/>
  <c r="AR139" i="41"/>
  <c r="AQ125" i="41"/>
  <c r="AQ138" i="41"/>
  <c r="AW158" i="41"/>
  <c r="AW162" i="41"/>
  <c r="AS40" i="56"/>
  <c r="AS83" i="56"/>
  <c r="AS84" i="56"/>
  <c r="AR41" i="56"/>
  <c r="AR42" i="56"/>
  <c r="AR57" i="56"/>
  <c r="AR62" i="56"/>
  <c r="AR83" i="56"/>
  <c r="AR84" i="56"/>
  <c r="AR85" i="56"/>
  <c r="AW64" i="10"/>
  <c r="AV64" i="10"/>
  <c r="AQ139" i="41"/>
  <c r="AS57" i="56"/>
  <c r="AS62" i="56"/>
  <c r="AS63" i="56"/>
  <c r="AS41" i="56"/>
  <c r="AS42" i="56"/>
  <c r="AR116" i="56"/>
  <c r="AR125" i="56"/>
  <c r="AR63" i="56"/>
  <c r="AR64" i="56"/>
  <c r="AS85" i="56"/>
  <c r="AS125" i="56"/>
  <c r="AS116" i="56"/>
  <c r="AS64" i="56"/>
  <c r="AR135" i="56"/>
  <c r="AR101" i="56"/>
  <c r="AS101" i="56"/>
  <c r="AS135" i="56"/>
  <c r="AR105" i="41"/>
  <c r="AR131" i="41"/>
  <c r="AR133" i="41"/>
  <c r="AS105" i="41"/>
  <c r="AS131" i="41"/>
  <c r="AS133" i="41"/>
  <c r="AM105" i="41"/>
  <c r="AN105" i="41"/>
  <c r="AO105" i="41"/>
  <c r="AP105" i="41"/>
  <c r="AQ105" i="41"/>
  <c r="AQ131" i="41"/>
  <c r="AQ133" i="41"/>
  <c r="AU105" i="41"/>
  <c r="AU131" i="41"/>
  <c r="AU133" i="41"/>
  <c r="AO109" i="41"/>
  <c r="AP109" i="41"/>
  <c r="AO131" i="41"/>
  <c r="AT105" i="41"/>
  <c r="AT131" i="41"/>
  <c r="AT133" i="41"/>
  <c r="AM109" i="41"/>
  <c r="AM131" i="41"/>
  <c r="AP131" i="41"/>
  <c r="AN109" i="41"/>
  <c r="AN131" i="41"/>
  <c r="AM13" i="17"/>
  <c r="AN13" i="17"/>
  <c r="AO13" i="17"/>
  <c r="AP13" i="17"/>
  <c r="AM27" i="17"/>
  <c r="AN27" i="17"/>
  <c r="AO27" i="17"/>
  <c r="AP27" i="17"/>
  <c r="AQ27" i="17"/>
  <c r="AR27" i="17"/>
  <c r="AS27" i="17"/>
  <c r="AT27" i="17"/>
  <c r="AU27" i="17"/>
  <c r="AM38" i="13"/>
  <c r="AN38" i="13"/>
  <c r="AO38" i="13"/>
  <c r="AP38" i="13"/>
  <c r="AQ38" i="13"/>
  <c r="AR38" i="13"/>
  <c r="AS38" i="13"/>
  <c r="AT38" i="13"/>
  <c r="AU38" i="13"/>
  <c r="AM40" i="13"/>
  <c r="AN40" i="13"/>
  <c r="AO40" i="13"/>
  <c r="AP40" i="13"/>
  <c r="AQ40" i="13"/>
  <c r="AR40" i="13"/>
  <c r="AS40" i="13"/>
  <c r="AT40" i="13"/>
  <c r="AU40" i="13"/>
  <c r="AM156" i="41"/>
  <c r="AN156" i="41"/>
  <c r="AN157" i="41"/>
  <c r="AN158" i="41"/>
  <c r="AN160" i="41"/>
  <c r="AN162" i="41"/>
  <c r="AO156" i="41"/>
  <c r="AP156" i="41"/>
  <c r="AP157" i="41"/>
  <c r="AP158" i="41"/>
  <c r="AQ156" i="41"/>
  <c r="AR156" i="41"/>
  <c r="AS156" i="41"/>
  <c r="AT156" i="41"/>
  <c r="AU156" i="41"/>
  <c r="AM157" i="41"/>
  <c r="AO157" i="41"/>
  <c r="AO158" i="41"/>
  <c r="AO160" i="41"/>
  <c r="AO162" i="41"/>
  <c r="AQ157" i="41"/>
  <c r="AR157" i="41"/>
  <c r="AS157" i="41"/>
  <c r="AT157" i="41"/>
  <c r="AU157" i="41"/>
  <c r="AU158" i="41"/>
  <c r="AU160" i="41"/>
  <c r="AU162" i="41"/>
  <c r="AR158" i="41"/>
  <c r="AR160" i="41"/>
  <c r="AR162" i="41"/>
  <c r="AM160" i="41"/>
  <c r="AP160" i="41"/>
  <c r="AQ160" i="41"/>
  <c r="AS160" i="41"/>
  <c r="AT160" i="41"/>
  <c r="AL166" i="41"/>
  <c r="AL168" i="41"/>
  <c r="AL175" i="41"/>
  <c r="AM166" i="41"/>
  <c r="AN166" i="41"/>
  <c r="AN168" i="41"/>
  <c r="AN175" i="41"/>
  <c r="AO166" i="41"/>
  <c r="AO168" i="41"/>
  <c r="AO175" i="41"/>
  <c r="AP166" i="41"/>
  <c r="AP168" i="41"/>
  <c r="AP175" i="41"/>
  <c r="AQ166" i="41"/>
  <c r="AQ168" i="41"/>
  <c r="AQ175" i="41"/>
  <c r="AR166" i="41"/>
  <c r="AS166" i="41"/>
  <c r="AT166" i="41"/>
  <c r="AT168" i="41"/>
  <c r="AT175" i="41"/>
  <c r="AM168" i="41"/>
  <c r="AM175" i="41"/>
  <c r="AR168" i="41"/>
  <c r="AR175" i="41"/>
  <c r="AS168" i="41"/>
  <c r="AS175" i="41"/>
  <c r="AM73" i="10"/>
  <c r="AN73" i="10"/>
  <c r="AN74" i="10"/>
  <c r="AN75" i="10"/>
  <c r="AO73" i="10"/>
  <c r="AP73" i="10"/>
  <c r="AQ73" i="10"/>
  <c r="AR73" i="10"/>
  <c r="AR74" i="10"/>
  <c r="AR75" i="10"/>
  <c r="AR64" i="10"/>
  <c r="AS73" i="10"/>
  <c r="AT73" i="10"/>
  <c r="AT74" i="10"/>
  <c r="AT75" i="10"/>
  <c r="AT64" i="10"/>
  <c r="AU73" i="10"/>
  <c r="AM74" i="10"/>
  <c r="AM75" i="10"/>
  <c r="AM64" i="10"/>
  <c r="AO74" i="10"/>
  <c r="AO75" i="10"/>
  <c r="AO64" i="10"/>
  <c r="AT69" i="10"/>
  <c r="AP74" i="10"/>
  <c r="AP75" i="10"/>
  <c r="AP64" i="10"/>
  <c r="AQ74" i="10"/>
  <c r="AS74" i="10"/>
  <c r="AS75" i="10"/>
  <c r="AS64" i="10"/>
  <c r="AU74" i="10"/>
  <c r="AU75" i="10"/>
  <c r="AU64" i="10"/>
  <c r="AI36" i="56"/>
  <c r="AI37" i="56"/>
  <c r="AI38" i="56"/>
  <c r="AI40" i="56"/>
  <c r="AI83" i="56"/>
  <c r="AJ36" i="56"/>
  <c r="AK36" i="56"/>
  <c r="AK37" i="56"/>
  <c r="AL36" i="56"/>
  <c r="AM36" i="56"/>
  <c r="AM37" i="56"/>
  <c r="AM38" i="56"/>
  <c r="AM40" i="56"/>
  <c r="AM83" i="56"/>
  <c r="AM82" i="56"/>
  <c r="AM84" i="56"/>
  <c r="AN36" i="56"/>
  <c r="AO36" i="56"/>
  <c r="AO37" i="56"/>
  <c r="AO38" i="56"/>
  <c r="AO40" i="56"/>
  <c r="AO41" i="56"/>
  <c r="AP36" i="56"/>
  <c r="AP37" i="56"/>
  <c r="AQ36" i="56"/>
  <c r="AQ37" i="56"/>
  <c r="AQ38" i="56"/>
  <c r="AQ40" i="56"/>
  <c r="AQ83" i="56"/>
  <c r="AJ37" i="56"/>
  <c r="AJ38" i="56"/>
  <c r="AJ40" i="56"/>
  <c r="AJ41" i="56"/>
  <c r="AJ42" i="56"/>
  <c r="AL37" i="56"/>
  <c r="AN37" i="56"/>
  <c r="AK38" i="56"/>
  <c r="AL38" i="56"/>
  <c r="AN38" i="56"/>
  <c r="AP38" i="56"/>
  <c r="AN40" i="56"/>
  <c r="AN83" i="56"/>
  <c r="AN82" i="56"/>
  <c r="AN84" i="56"/>
  <c r="AI82" i="56"/>
  <c r="AJ82" i="56"/>
  <c r="AJ100" i="56"/>
  <c r="AK82" i="56"/>
  <c r="AK100" i="56"/>
  <c r="AL82" i="56"/>
  <c r="AL100" i="56"/>
  <c r="AN100" i="56"/>
  <c r="AO82" i="56"/>
  <c r="AO100" i="56"/>
  <c r="AP82" i="56"/>
  <c r="AQ82" i="56"/>
  <c r="AQ100" i="56"/>
  <c r="AM100" i="56"/>
  <c r="AQ75" i="10"/>
  <c r="AQ64" i="10"/>
  <c r="AT158" i="41"/>
  <c r="AT162" i="41"/>
  <c r="AL40" i="56"/>
  <c r="AL83" i="56"/>
  <c r="AL84" i="56"/>
  <c r="AP162" i="41"/>
  <c r="AK40" i="56"/>
  <c r="AK83" i="56"/>
  <c r="AK84" i="56"/>
  <c r="AK85" i="56"/>
  <c r="AM158" i="41"/>
  <c r="AM162" i="41"/>
  <c r="AI84" i="56"/>
  <c r="AI85" i="56"/>
  <c r="AP40" i="56"/>
  <c r="AP83" i="56"/>
  <c r="AP84" i="56"/>
  <c r="AP85" i="56"/>
  <c r="AS158" i="41"/>
  <c r="AS162" i="41"/>
  <c r="AQ158" i="41"/>
  <c r="AQ162" i="41"/>
  <c r="AJ116" i="56"/>
  <c r="AN85" i="56"/>
  <c r="AN125" i="56"/>
  <c r="AO42" i="56"/>
  <c r="AO116" i="56"/>
  <c r="AJ83" i="56"/>
  <c r="AJ84" i="56"/>
  <c r="AO83" i="56"/>
  <c r="AO84" i="56"/>
  <c r="AO85" i="56"/>
  <c r="AO57" i="56"/>
  <c r="AO62" i="56"/>
  <c r="AM85" i="56"/>
  <c r="AM125" i="56"/>
  <c r="AP100" i="56"/>
  <c r="AM57" i="56"/>
  <c r="AM62" i="56"/>
  <c r="AM41" i="56"/>
  <c r="AW69" i="10"/>
  <c r="AV69" i="10"/>
  <c r="AQ84" i="56"/>
  <c r="AU69" i="10"/>
  <c r="AI57" i="56"/>
  <c r="AI62" i="56"/>
  <c r="AI41" i="56"/>
  <c r="AJ57" i="56"/>
  <c r="AJ62" i="56"/>
  <c r="AN57" i="56"/>
  <c r="AN62" i="56"/>
  <c r="AN41" i="56"/>
  <c r="AQ57" i="56"/>
  <c r="AQ62" i="56"/>
  <c r="AQ41" i="56"/>
  <c r="AR69" i="10"/>
  <c r="AN64" i="10"/>
  <c r="AK57" i="56"/>
  <c r="AK62" i="56"/>
  <c r="AK64" i="56"/>
  <c r="AL41" i="56"/>
  <c r="AL42" i="56"/>
  <c r="AL57" i="56"/>
  <c r="AL62" i="56"/>
  <c r="AL64" i="56"/>
  <c r="AK41" i="56"/>
  <c r="AK42" i="56"/>
  <c r="AI125" i="56"/>
  <c r="AK125" i="56"/>
  <c r="AP41" i="56"/>
  <c r="AP42" i="56"/>
  <c r="AP57" i="56"/>
  <c r="AP62" i="56"/>
  <c r="AP64" i="56"/>
  <c r="AJ125" i="56"/>
  <c r="AJ85" i="56"/>
  <c r="AO125" i="56"/>
  <c r="AP125" i="56"/>
  <c r="AO64" i="56"/>
  <c r="AO63" i="56"/>
  <c r="AI64" i="56"/>
  <c r="AI63" i="56"/>
  <c r="AQ42" i="56"/>
  <c r="AQ116" i="56"/>
  <c r="AN42" i="56"/>
  <c r="AN116" i="56"/>
  <c r="AN63" i="56"/>
  <c r="AN64" i="56"/>
  <c r="AM42" i="56"/>
  <c r="AM116" i="56"/>
  <c r="AQ64" i="56"/>
  <c r="AQ63" i="56"/>
  <c r="AJ63" i="56"/>
  <c r="AJ64" i="56"/>
  <c r="AQ85" i="56"/>
  <c r="AQ125" i="56"/>
  <c r="AM63" i="56"/>
  <c r="AM64" i="56"/>
  <c r="AL125" i="56"/>
  <c r="AL85" i="56"/>
  <c r="AS69" i="10"/>
  <c r="AI42" i="56"/>
  <c r="AI116" i="56"/>
  <c r="AK63" i="56"/>
  <c r="AK135" i="56"/>
  <c r="AL116" i="56"/>
  <c r="AL63" i="56"/>
  <c r="AL135" i="56"/>
  <c r="AK116" i="56"/>
  <c r="AP116" i="56"/>
  <c r="AP63" i="56"/>
  <c r="AP135" i="56"/>
  <c r="AO101" i="56"/>
  <c r="AO135" i="56"/>
  <c r="AN101" i="56"/>
  <c r="AN135" i="56"/>
  <c r="AI135" i="56"/>
  <c r="AI101" i="56"/>
  <c r="AJ101" i="56"/>
  <c r="AJ135" i="56"/>
  <c r="AQ135" i="56"/>
  <c r="AQ101" i="56"/>
  <c r="AK101" i="56"/>
  <c r="AM101" i="56"/>
  <c r="AM135" i="56"/>
  <c r="AM12" i="17"/>
  <c r="AN12" i="17"/>
  <c r="AO12" i="17"/>
  <c r="AP12" i="17"/>
  <c r="AM110" i="41"/>
  <c r="AN110" i="41"/>
  <c r="AO110" i="41"/>
  <c r="AP110" i="41"/>
  <c r="AM114" i="41"/>
  <c r="AN114" i="41"/>
  <c r="AO114" i="41"/>
  <c r="AO115" i="41"/>
  <c r="AO121" i="41"/>
  <c r="AP114" i="41"/>
  <c r="AP115" i="41"/>
  <c r="AP117" i="41"/>
  <c r="AP125" i="41"/>
  <c r="AP138" i="41"/>
  <c r="AM115" i="41"/>
  <c r="AM121" i="41"/>
  <c r="AN115" i="41"/>
  <c r="AM117" i="41"/>
  <c r="AN117" i="41"/>
  <c r="AO117" i="41"/>
  <c r="AM120" i="41"/>
  <c r="AN120" i="41"/>
  <c r="AO120" i="41"/>
  <c r="AP120" i="41"/>
  <c r="AN121" i="41"/>
  <c r="AP121" i="41"/>
  <c r="AM124" i="41"/>
  <c r="AM137" i="41"/>
  <c r="AN124" i="41"/>
  <c r="AN137" i="41"/>
  <c r="AO124" i="41"/>
  <c r="AP124" i="41"/>
  <c r="AP137" i="41"/>
  <c r="AN125" i="41"/>
  <c r="AN138" i="41"/>
  <c r="AM132" i="41"/>
  <c r="AM133" i="41"/>
  <c r="AN132" i="41"/>
  <c r="AN133" i="41"/>
  <c r="AO132" i="41"/>
  <c r="AO133" i="41"/>
  <c r="AO137" i="41"/>
  <c r="AM146" i="41"/>
  <c r="AN146" i="41"/>
  <c r="AO146" i="41"/>
  <c r="AP146" i="41"/>
  <c r="AM147" i="41"/>
  <c r="AN147" i="41"/>
  <c r="AO147" i="41"/>
  <c r="AP147" i="41"/>
  <c r="AM150" i="41"/>
  <c r="AM152" i="41"/>
  <c r="AN150" i="41"/>
  <c r="AN152" i="41"/>
  <c r="AO150" i="41"/>
  <c r="AO152" i="41"/>
  <c r="AP150" i="41"/>
  <c r="AP152" i="41"/>
  <c r="AM125" i="41"/>
  <c r="AM138" i="41"/>
  <c r="AM139" i="41"/>
  <c r="AP139" i="41"/>
  <c r="AO125" i="41"/>
  <c r="AO138" i="41"/>
  <c r="AO139" i="41"/>
  <c r="AP132" i="41"/>
  <c r="AP133" i="41"/>
  <c r="AN139" i="41"/>
  <c r="AL101" i="56"/>
  <c r="AP101" i="56"/>
  <c r="N157" i="12"/>
  <c r="O157" i="12"/>
  <c r="P157" i="12"/>
  <c r="Q157" i="12"/>
  <c r="R157" i="12"/>
  <c r="S157" i="12"/>
  <c r="T157" i="12"/>
  <c r="U157" i="12"/>
  <c r="V157" i="12"/>
  <c r="W157" i="12"/>
  <c r="X157" i="12"/>
  <c r="Y157" i="12"/>
  <c r="Z157" i="12"/>
  <c r="AA157" i="12"/>
  <c r="AB157" i="12"/>
  <c r="AC157" i="12"/>
  <c r="AD157" i="12"/>
  <c r="AE157" i="12"/>
  <c r="AF157" i="12"/>
  <c r="AG157" i="12"/>
  <c r="AH157" i="12"/>
  <c r="AI157" i="12"/>
  <c r="AJ157" i="12"/>
  <c r="AK157" i="12"/>
  <c r="AL157" i="12"/>
  <c r="AM157" i="12"/>
  <c r="C16" i="30"/>
  <c r="J360" i="22"/>
  <c r="C126" i="1"/>
  <c r="C18" i="30"/>
  <c r="C52" i="30"/>
  <c r="C54" i="30"/>
  <c r="C19" i="30"/>
  <c r="J362" i="22"/>
  <c r="C129" i="1"/>
  <c r="C55" i="30"/>
  <c r="C56" i="30"/>
  <c r="C127" i="1"/>
  <c r="D46" i="48"/>
  <c r="D47" i="48"/>
  <c r="E126" i="1"/>
  <c r="C20" i="30"/>
  <c r="E127" i="1"/>
  <c r="C143" i="7"/>
  <c r="J364" i="22"/>
  <c r="D49" i="48"/>
  <c r="D50" i="48"/>
  <c r="E129" i="1"/>
  <c r="C146" i="7"/>
  <c r="J384" i="22"/>
  <c r="N157" i="7"/>
  <c r="N182" i="7"/>
  <c r="V157" i="7"/>
  <c r="V182" i="7"/>
  <c r="AD157" i="7"/>
  <c r="AD182" i="7"/>
  <c r="AL157" i="7"/>
  <c r="AL182" i="7"/>
  <c r="AT157" i="7"/>
  <c r="AT182" i="7"/>
  <c r="J157" i="7"/>
  <c r="J182" i="7"/>
  <c r="S157" i="7"/>
  <c r="S182" i="7"/>
  <c r="AB157" i="7"/>
  <c r="AB182" i="7"/>
  <c r="AK157" i="7"/>
  <c r="AK182" i="7"/>
  <c r="AU157" i="7"/>
  <c r="AU182" i="7"/>
  <c r="K157" i="7"/>
  <c r="K182" i="7"/>
  <c r="T157" i="7"/>
  <c r="T182" i="7"/>
  <c r="AC157" i="7"/>
  <c r="AC182" i="7"/>
  <c r="AM157" i="7"/>
  <c r="AM182" i="7"/>
  <c r="AV157" i="7"/>
  <c r="AV182" i="7"/>
  <c r="I157" i="7"/>
  <c r="W157" i="7"/>
  <c r="W182" i="7"/>
  <c r="AH157" i="7"/>
  <c r="AH182" i="7"/>
  <c r="AS157" i="7"/>
  <c r="AS182" i="7"/>
  <c r="Y157" i="7"/>
  <c r="Y182" i="7"/>
  <c r="AX157" i="7"/>
  <c r="AX182" i="7"/>
  <c r="O157" i="7"/>
  <c r="O182" i="7"/>
  <c r="AN157" i="7"/>
  <c r="AN182" i="7"/>
  <c r="P157" i="7"/>
  <c r="P182" i="7"/>
  <c r="AA157" i="7"/>
  <c r="AA182" i="7"/>
  <c r="AO157" i="7"/>
  <c r="AO182" i="7"/>
  <c r="C144" i="7"/>
  <c r="AF157" i="7"/>
  <c r="AF182" i="7"/>
  <c r="L157" i="7"/>
  <c r="L182" i="7"/>
  <c r="X157" i="7"/>
  <c r="X182" i="7"/>
  <c r="AI157" i="7"/>
  <c r="AI182" i="7"/>
  <c r="AW157" i="7"/>
  <c r="AW182" i="7"/>
  <c r="M157" i="7"/>
  <c r="M182" i="7"/>
  <c r="AJ157" i="7"/>
  <c r="AJ182" i="7"/>
  <c r="Z157" i="7"/>
  <c r="Z182" i="7"/>
  <c r="AY157" i="7"/>
  <c r="AY182" i="7"/>
  <c r="AZ157" i="7"/>
  <c r="AZ182" i="7"/>
  <c r="Q157" i="7"/>
  <c r="Q182" i="7"/>
  <c r="AE157" i="7"/>
  <c r="AE182" i="7"/>
  <c r="AP157" i="7"/>
  <c r="AP182" i="7"/>
  <c r="R157" i="7"/>
  <c r="R182" i="7"/>
  <c r="AQ157" i="7"/>
  <c r="AQ182" i="7"/>
  <c r="AG157" i="7"/>
  <c r="AG182" i="7"/>
  <c r="U157" i="7"/>
  <c r="U182" i="7"/>
  <c r="AR157" i="7"/>
  <c r="AR182" i="7"/>
  <c r="C130" i="1"/>
  <c r="D131" i="1"/>
  <c r="E130" i="1"/>
  <c r="F132" i="1"/>
  <c r="I158" i="7"/>
  <c r="Q158" i="7"/>
  <c r="Q183" i="7"/>
  <c r="Y158" i="7"/>
  <c r="Y183" i="7"/>
  <c r="AG158" i="7"/>
  <c r="AG183" i="7"/>
  <c r="AO158" i="7"/>
  <c r="AO183" i="7"/>
  <c r="AW158" i="7"/>
  <c r="AW183" i="7"/>
  <c r="K158" i="7"/>
  <c r="K183" i="7"/>
  <c r="T158" i="7"/>
  <c r="T183" i="7"/>
  <c r="AC158" i="7"/>
  <c r="AC183" i="7"/>
  <c r="AL158" i="7"/>
  <c r="AL183" i="7"/>
  <c r="AU158" i="7"/>
  <c r="AU183" i="7"/>
  <c r="L158" i="7"/>
  <c r="L183" i="7"/>
  <c r="U158" i="7"/>
  <c r="U183" i="7"/>
  <c r="AD158" i="7"/>
  <c r="AD183" i="7"/>
  <c r="AM158" i="7"/>
  <c r="AM183" i="7"/>
  <c r="AV158" i="7"/>
  <c r="AV183" i="7"/>
  <c r="N158" i="7"/>
  <c r="N183" i="7"/>
  <c r="Z158" i="7"/>
  <c r="Z183" i="7"/>
  <c r="AK158" i="7"/>
  <c r="AK183" i="7"/>
  <c r="AY158" i="7"/>
  <c r="AY183" i="7"/>
  <c r="AB158" i="7"/>
  <c r="AB183" i="7"/>
  <c r="AP158" i="7"/>
  <c r="AP183" i="7"/>
  <c r="R158" i="7"/>
  <c r="R183" i="7"/>
  <c r="S158" i="7"/>
  <c r="S183" i="7"/>
  <c r="AF158" i="7"/>
  <c r="AF183" i="7"/>
  <c r="V158" i="7"/>
  <c r="V183" i="7"/>
  <c r="AS158" i="7"/>
  <c r="AS183" i="7"/>
  <c r="C147" i="7"/>
  <c r="J158" i="7"/>
  <c r="J183" i="7"/>
  <c r="AI158" i="7"/>
  <c r="AI183" i="7"/>
  <c r="O158" i="7"/>
  <c r="O183" i="7"/>
  <c r="AA158" i="7"/>
  <c r="AA183" i="7"/>
  <c r="AN158" i="7"/>
  <c r="AN183" i="7"/>
  <c r="AZ158" i="7"/>
  <c r="AZ183" i="7"/>
  <c r="P158" i="7"/>
  <c r="P183" i="7"/>
  <c r="AE158" i="7"/>
  <c r="AE183" i="7"/>
  <c r="AQ158" i="7"/>
  <c r="AQ183" i="7"/>
  <c r="AR158" i="7"/>
  <c r="AR183" i="7"/>
  <c r="AH158" i="7"/>
  <c r="AH183" i="7"/>
  <c r="W158" i="7"/>
  <c r="W183" i="7"/>
  <c r="AT158" i="7"/>
  <c r="AT183" i="7"/>
  <c r="M158" i="7"/>
  <c r="M183" i="7"/>
  <c r="X158" i="7"/>
  <c r="X183" i="7"/>
  <c r="AJ158" i="7"/>
  <c r="AJ183" i="7"/>
  <c r="AX158" i="7"/>
  <c r="AX183" i="7"/>
  <c r="E426" i="11"/>
  <c r="L160" i="7"/>
  <c r="L185" i="7"/>
  <c r="T160" i="7"/>
  <c r="T185" i="7"/>
  <c r="AB160" i="7"/>
  <c r="AB185" i="7"/>
  <c r="AJ160" i="7"/>
  <c r="AJ185" i="7"/>
  <c r="AR160" i="7"/>
  <c r="AR185" i="7"/>
  <c r="AZ160" i="7"/>
  <c r="AZ185" i="7"/>
  <c r="K160" i="7"/>
  <c r="K185" i="7"/>
  <c r="U160" i="7"/>
  <c r="U185" i="7"/>
  <c r="AD160" i="7"/>
  <c r="AD185" i="7"/>
  <c r="AM160" i="7"/>
  <c r="AM185" i="7"/>
  <c r="AV160" i="7"/>
  <c r="AV185" i="7"/>
  <c r="M160" i="7"/>
  <c r="M185" i="7"/>
  <c r="V160" i="7"/>
  <c r="V185" i="7"/>
  <c r="AE160" i="7"/>
  <c r="AE185" i="7"/>
  <c r="AN160" i="7"/>
  <c r="AN185" i="7"/>
  <c r="AW160" i="7"/>
  <c r="AW185" i="7"/>
  <c r="Q160" i="7"/>
  <c r="Q185" i="7"/>
  <c r="AC160" i="7"/>
  <c r="AC185" i="7"/>
  <c r="AP160" i="7"/>
  <c r="AP185" i="7"/>
  <c r="S160" i="7"/>
  <c r="S185" i="7"/>
  <c r="AS160" i="7"/>
  <c r="AS185" i="7"/>
  <c r="I160" i="7"/>
  <c r="AH160" i="7"/>
  <c r="AH185" i="7"/>
  <c r="J160" i="7"/>
  <c r="J185" i="7"/>
  <c r="AI160" i="7"/>
  <c r="AI185" i="7"/>
  <c r="Y160" i="7"/>
  <c r="Y185" i="7"/>
  <c r="AX160" i="7"/>
  <c r="AX185" i="7"/>
  <c r="O160" i="7"/>
  <c r="O185" i="7"/>
  <c r="AL160" i="7"/>
  <c r="AL185" i="7"/>
  <c r="R160" i="7"/>
  <c r="R185" i="7"/>
  <c r="AF160" i="7"/>
  <c r="AF185" i="7"/>
  <c r="AQ160" i="7"/>
  <c r="AQ185" i="7"/>
  <c r="AG160" i="7"/>
  <c r="AG185" i="7"/>
  <c r="W160" i="7"/>
  <c r="W185" i="7"/>
  <c r="AT160" i="7"/>
  <c r="AT185" i="7"/>
  <c r="X160" i="7"/>
  <c r="X185" i="7"/>
  <c r="AU160" i="7"/>
  <c r="AU185" i="7"/>
  <c r="N160" i="7"/>
  <c r="N185" i="7"/>
  <c r="AK160" i="7"/>
  <c r="AK185" i="7"/>
  <c r="Z160" i="7"/>
  <c r="Z185" i="7"/>
  <c r="AY160" i="7"/>
  <c r="AY185" i="7"/>
  <c r="P160" i="7"/>
  <c r="P185" i="7"/>
  <c r="AA160" i="7"/>
  <c r="AA185" i="7"/>
  <c r="AO160" i="7"/>
  <c r="AO185" i="7"/>
  <c r="I182" i="7"/>
  <c r="D182" i="7"/>
  <c r="D157" i="7"/>
  <c r="AZ187" i="7"/>
  <c r="AZ190" i="7"/>
  <c r="AZ193" i="7"/>
  <c r="AH161" i="7"/>
  <c r="AH164" i="7"/>
  <c r="AH167" i="7"/>
  <c r="AH171" i="7"/>
  <c r="AH172" i="7"/>
  <c r="I161" i="7"/>
  <c r="I164" i="7"/>
  <c r="AC161" i="7"/>
  <c r="AC164" i="7"/>
  <c r="AC167" i="7"/>
  <c r="AC171" i="7"/>
  <c r="AC172" i="7"/>
  <c r="O161" i="7"/>
  <c r="O164" i="7"/>
  <c r="O167" i="7"/>
  <c r="O171" i="7"/>
  <c r="O172" i="7"/>
  <c r="V161" i="7"/>
  <c r="V164" i="7"/>
  <c r="V167" i="7"/>
  <c r="V171" i="7"/>
  <c r="V172" i="7"/>
  <c r="AF161" i="7"/>
  <c r="AF164" i="7"/>
  <c r="AF167" i="7"/>
  <c r="AF171" i="7"/>
  <c r="AF172" i="7"/>
  <c r="AE161" i="7"/>
  <c r="AE164" i="7"/>
  <c r="AE167" i="7"/>
  <c r="AE171" i="7"/>
  <c r="AE172" i="7"/>
  <c r="J161" i="7"/>
  <c r="J164" i="7"/>
  <c r="J167" i="7"/>
  <c r="J171" i="7"/>
  <c r="J172" i="7"/>
  <c r="AS161" i="7"/>
  <c r="AS164" i="7"/>
  <c r="AS167" i="7"/>
  <c r="AS171" i="7"/>
  <c r="AS172" i="7"/>
  <c r="AS196" i="7"/>
  <c r="AS197" i="7"/>
  <c r="AS209" i="7"/>
  <c r="AU161" i="7"/>
  <c r="AU164" i="7"/>
  <c r="AU167" i="7"/>
  <c r="AU171" i="7"/>
  <c r="AU172" i="7"/>
  <c r="AU196" i="7"/>
  <c r="AU197" i="7"/>
  <c r="AU209" i="7"/>
  <c r="AD161" i="7"/>
  <c r="AD164" i="7"/>
  <c r="AD167" i="7"/>
  <c r="AD171" i="7"/>
  <c r="AD172" i="7"/>
  <c r="AO161" i="7"/>
  <c r="AO164" i="7"/>
  <c r="AO167" i="7"/>
  <c r="AO171" i="7"/>
  <c r="AO172" i="7"/>
  <c r="AO196" i="7"/>
  <c r="AO197" i="7"/>
  <c r="AO209" i="7"/>
  <c r="AW161" i="7"/>
  <c r="AW164" i="7"/>
  <c r="AW167" i="7"/>
  <c r="AW171" i="7"/>
  <c r="AW172" i="7"/>
  <c r="AW196" i="7"/>
  <c r="AW197" i="7"/>
  <c r="AW209" i="7"/>
  <c r="AR161" i="7"/>
  <c r="AR164" i="7"/>
  <c r="AR167" i="7"/>
  <c r="AR171" i="7"/>
  <c r="AR172" i="7"/>
  <c r="AR196" i="7"/>
  <c r="AR197" i="7"/>
  <c r="AR209" i="7"/>
  <c r="N161" i="7"/>
  <c r="N164" i="7"/>
  <c r="N167" i="7"/>
  <c r="N171" i="7"/>
  <c r="N172" i="7"/>
  <c r="AP161" i="7"/>
  <c r="AP164" i="7"/>
  <c r="AP167" i="7"/>
  <c r="AP171" i="7"/>
  <c r="AP172" i="7"/>
  <c r="AP196" i="7"/>
  <c r="AP197" i="7"/>
  <c r="AP209" i="7"/>
  <c r="E429" i="11"/>
  <c r="AX161" i="7"/>
  <c r="AX164" i="7"/>
  <c r="AX167" i="7"/>
  <c r="AX171" i="7"/>
  <c r="AX172" i="7"/>
  <c r="AX196" i="7"/>
  <c r="AX197" i="7"/>
  <c r="AX209" i="7"/>
  <c r="T161" i="7"/>
  <c r="T164" i="7"/>
  <c r="T167" i="7"/>
  <c r="T171" i="7"/>
  <c r="T172" i="7"/>
  <c r="AV161" i="7"/>
  <c r="AV164" i="7"/>
  <c r="AV167" i="7"/>
  <c r="AV171" i="7"/>
  <c r="AV172" i="7"/>
  <c r="AV196" i="7"/>
  <c r="AV197" i="7"/>
  <c r="AV209" i="7"/>
  <c r="Z161" i="7"/>
  <c r="Z164" i="7"/>
  <c r="Z167" i="7"/>
  <c r="Z171" i="7"/>
  <c r="Z172" i="7"/>
  <c r="AA161" i="7"/>
  <c r="AA164" i="7"/>
  <c r="AA167" i="7"/>
  <c r="AA171" i="7"/>
  <c r="AA172" i="7"/>
  <c r="E41" i="48"/>
  <c r="E42" i="48"/>
  <c r="E45" i="48"/>
  <c r="E40" i="48"/>
  <c r="E48" i="48"/>
  <c r="E43" i="48"/>
  <c r="E44" i="48"/>
  <c r="E46" i="48"/>
  <c r="X161" i="7"/>
  <c r="X164" i="7"/>
  <c r="X167" i="7"/>
  <c r="X171" i="7"/>
  <c r="X172" i="7"/>
  <c r="AM161" i="7"/>
  <c r="AM164" i="7"/>
  <c r="AM167" i="7"/>
  <c r="AM171" i="7"/>
  <c r="AM172" i="7"/>
  <c r="AM196" i="7"/>
  <c r="AM197" i="7"/>
  <c r="AM209" i="7"/>
  <c r="AB161" i="7"/>
  <c r="AB164" i="7"/>
  <c r="AB167" i="7"/>
  <c r="AB171" i="7"/>
  <c r="AB172" i="7"/>
  <c r="AQ161" i="7"/>
  <c r="AQ164" i="7"/>
  <c r="AQ167" i="7"/>
  <c r="AQ171" i="7"/>
  <c r="AQ172" i="7"/>
  <c r="AQ196" i="7"/>
  <c r="AQ197" i="7"/>
  <c r="AQ209" i="7"/>
  <c r="L161" i="7"/>
  <c r="L164" i="7"/>
  <c r="L167" i="7"/>
  <c r="L171" i="7"/>
  <c r="L172" i="7"/>
  <c r="U161" i="7"/>
  <c r="U164" i="7"/>
  <c r="U167" i="7"/>
  <c r="U171" i="7"/>
  <c r="U172" i="7"/>
  <c r="I185" i="7"/>
  <c r="D160" i="7"/>
  <c r="K161" i="7"/>
  <c r="K164" i="7"/>
  <c r="K167" i="7"/>
  <c r="K171" i="7"/>
  <c r="K172" i="7"/>
  <c r="Y161" i="7"/>
  <c r="Y164" i="7"/>
  <c r="Y167" i="7"/>
  <c r="Y171" i="7"/>
  <c r="Y172" i="7"/>
  <c r="W161" i="7"/>
  <c r="W164" i="7"/>
  <c r="W167" i="7"/>
  <c r="W171" i="7"/>
  <c r="W172" i="7"/>
  <c r="P161" i="7"/>
  <c r="P164" i="7"/>
  <c r="P167" i="7"/>
  <c r="P171" i="7"/>
  <c r="P172" i="7"/>
  <c r="AY161" i="7"/>
  <c r="AY164" i="7"/>
  <c r="AY167" i="7"/>
  <c r="AY171" i="7"/>
  <c r="AY172" i="7"/>
  <c r="AY196" i="7"/>
  <c r="AY197" i="7"/>
  <c r="AY209" i="7"/>
  <c r="AK161" i="7"/>
  <c r="AK164" i="7"/>
  <c r="AK167" i="7"/>
  <c r="AK171" i="7"/>
  <c r="AK172" i="7"/>
  <c r="AK196" i="7"/>
  <c r="AK197" i="7"/>
  <c r="AK209" i="7"/>
  <c r="I183" i="7"/>
  <c r="D183" i="7"/>
  <c r="D158" i="7"/>
  <c r="AN161" i="7"/>
  <c r="AN164" i="7"/>
  <c r="AN167" i="7"/>
  <c r="AN171" i="7"/>
  <c r="AN172" i="7"/>
  <c r="AN196" i="7"/>
  <c r="AN197" i="7"/>
  <c r="AN209" i="7"/>
  <c r="E49" i="48"/>
  <c r="AJ161" i="7"/>
  <c r="AJ164" i="7"/>
  <c r="AJ167" i="7"/>
  <c r="AJ171" i="7"/>
  <c r="AJ172" i="7"/>
  <c r="AJ196" i="7"/>
  <c r="AJ197" i="7"/>
  <c r="AJ209" i="7"/>
  <c r="AG161" i="7"/>
  <c r="AG164" i="7"/>
  <c r="AG167" i="7"/>
  <c r="AG171" i="7"/>
  <c r="AG172" i="7"/>
  <c r="Q161" i="7"/>
  <c r="Q164" i="7"/>
  <c r="Q167" i="7"/>
  <c r="Q171" i="7"/>
  <c r="Q172" i="7"/>
  <c r="AI161" i="7"/>
  <c r="AI164" i="7"/>
  <c r="AI167" i="7"/>
  <c r="AI171" i="7"/>
  <c r="AI172" i="7"/>
  <c r="R161" i="7"/>
  <c r="R164" i="7"/>
  <c r="R167" i="7"/>
  <c r="R171" i="7"/>
  <c r="R172" i="7"/>
  <c r="AT161" i="7"/>
  <c r="AT164" i="7"/>
  <c r="AT167" i="7"/>
  <c r="AT171" i="7"/>
  <c r="AT172" i="7"/>
  <c r="AT196" i="7"/>
  <c r="AT197" i="7"/>
  <c r="AT209" i="7"/>
  <c r="W9" i="48"/>
  <c r="M161" i="7"/>
  <c r="M164" i="7"/>
  <c r="M167" i="7"/>
  <c r="M171" i="7"/>
  <c r="M172" i="7"/>
  <c r="AL161" i="7"/>
  <c r="AL164" i="7"/>
  <c r="AL167" i="7"/>
  <c r="AL171" i="7"/>
  <c r="AL172" i="7"/>
  <c r="AL196" i="7"/>
  <c r="AL197" i="7"/>
  <c r="AL209" i="7"/>
  <c r="S161" i="7"/>
  <c r="S164" i="7"/>
  <c r="S167" i="7"/>
  <c r="S171" i="7"/>
  <c r="S172" i="7"/>
  <c r="D185" i="7"/>
  <c r="W11" i="48"/>
  <c r="D161" i="7"/>
  <c r="G41" i="2"/>
  <c r="E50" i="48"/>
  <c r="I167" i="7"/>
  <c r="I171" i="7"/>
  <c r="I172" i="7"/>
  <c r="D164" i="7"/>
  <c r="D167" i="7"/>
  <c r="V21" i="48"/>
  <c r="H183" i="56"/>
  <c r="AL84" i="48"/>
  <c r="AM84" i="48"/>
  <c r="AN84" i="48"/>
  <c r="AO84" i="48"/>
  <c r="AP84" i="48"/>
  <c r="AQ84" i="48"/>
  <c r="AR84" i="48"/>
  <c r="AS84" i="48"/>
  <c r="AT84" i="48"/>
  <c r="AU84" i="48"/>
  <c r="AV84" i="48"/>
  <c r="AL85" i="48"/>
  <c r="AM85" i="48"/>
  <c r="AN85" i="48"/>
  <c r="AO85" i="48"/>
  <c r="AP85" i="48"/>
  <c r="AQ85" i="48"/>
  <c r="AR85" i="48"/>
  <c r="AS85" i="48"/>
  <c r="AT85" i="48"/>
  <c r="AU85" i="48"/>
  <c r="AV85" i="48"/>
  <c r="AL86" i="48"/>
  <c r="AM86" i="48"/>
  <c r="AN86" i="48"/>
  <c r="AO86" i="48"/>
  <c r="AP86" i="48"/>
  <c r="AQ86" i="48"/>
  <c r="AR86" i="48"/>
  <c r="AS86" i="48"/>
  <c r="AT86" i="48"/>
  <c r="AU86" i="48"/>
  <c r="AV86" i="48"/>
  <c r="AL91" i="48"/>
  <c r="AM91" i="48"/>
  <c r="AN91" i="48"/>
  <c r="AO91" i="48"/>
  <c r="AP91" i="48"/>
  <c r="AQ91" i="48"/>
  <c r="AR91" i="48"/>
  <c r="AS91" i="48"/>
  <c r="AT91" i="48"/>
  <c r="AU91" i="48"/>
  <c r="AV91" i="48"/>
  <c r="AL92" i="48"/>
  <c r="AM92" i="48"/>
  <c r="AN92" i="48"/>
  <c r="AO92" i="48"/>
  <c r="AP92" i="48"/>
  <c r="AQ92" i="48"/>
  <c r="AR92" i="48"/>
  <c r="AS92" i="48"/>
  <c r="AT92" i="48"/>
  <c r="AU92" i="48"/>
  <c r="AV92" i="48"/>
  <c r="AL97" i="48"/>
  <c r="AM97" i="48"/>
  <c r="AN97" i="48"/>
  <c r="AO97" i="48"/>
  <c r="AP97" i="48"/>
  <c r="AQ97" i="48"/>
  <c r="AR97" i="48"/>
  <c r="AS97" i="48"/>
  <c r="AT97" i="48"/>
  <c r="AU97" i="48"/>
  <c r="AV97" i="48"/>
  <c r="AL98" i="48"/>
  <c r="AM98" i="48"/>
  <c r="AN98" i="48"/>
  <c r="AO98" i="48"/>
  <c r="AP98" i="48"/>
  <c r="AQ98" i="48"/>
  <c r="AR98" i="48"/>
  <c r="AS98" i="48"/>
  <c r="AT98" i="48"/>
  <c r="AU98" i="48"/>
  <c r="AV98" i="48"/>
  <c r="Y130" i="28"/>
  <c r="Y44" i="28"/>
  <c r="Z55" i="48"/>
  <c r="AC55" i="48"/>
  <c r="Y49" i="28"/>
  <c r="Y50" i="28"/>
  <c r="AE20" i="28"/>
  <c r="AA44" i="28"/>
  <c r="Z18" i="48"/>
  <c r="AC18" i="48"/>
  <c r="AA49" i="28"/>
  <c r="Z59" i="48"/>
  <c r="AE44" i="28"/>
  <c r="AE25" i="28"/>
  <c r="AC59" i="48"/>
  <c r="AC61" i="48"/>
  <c r="AC64" i="48"/>
  <c r="Z61" i="48"/>
  <c r="AE49" i="28"/>
  <c r="AE26" i="28"/>
  <c r="AE27" i="28"/>
  <c r="AA50" i="28"/>
  <c r="AA51" i="28"/>
  <c r="Z23" i="48"/>
  <c r="J300" i="22"/>
  <c r="C74" i="1"/>
  <c r="D56" i="28"/>
  <c r="D61" i="28"/>
  <c r="Y51" i="28"/>
  <c r="AC23" i="48"/>
  <c r="AC24" i="48"/>
  <c r="AC25" i="48"/>
  <c r="Z24" i="48"/>
  <c r="J342" i="22"/>
  <c r="AE50" i="28"/>
  <c r="AE51" i="28"/>
  <c r="J305" i="22"/>
  <c r="C80" i="1"/>
  <c r="D62" i="28"/>
  <c r="D63" i="28"/>
  <c r="D6" i="48"/>
  <c r="D10" i="48"/>
  <c r="E74" i="1"/>
  <c r="E78" i="1"/>
  <c r="C78" i="1"/>
  <c r="C23" i="7"/>
  <c r="AC32" i="48"/>
  <c r="AE22" i="48"/>
  <c r="D27" i="28"/>
  <c r="L37" i="7"/>
  <c r="L179" i="7"/>
  <c r="T37" i="7"/>
  <c r="T179" i="7"/>
  <c r="AB37" i="7"/>
  <c r="AB179" i="7"/>
  <c r="AJ37" i="7"/>
  <c r="AJ179" i="7"/>
  <c r="AR37" i="7"/>
  <c r="AR179" i="7"/>
  <c r="C27" i="7"/>
  <c r="M37" i="7"/>
  <c r="M179" i="7"/>
  <c r="U37" i="7"/>
  <c r="U179" i="7"/>
  <c r="AC37" i="7"/>
  <c r="AC179" i="7"/>
  <c r="AK37" i="7"/>
  <c r="AK179" i="7"/>
  <c r="AS37" i="7"/>
  <c r="AS179" i="7"/>
  <c r="N37" i="7"/>
  <c r="N179" i="7"/>
  <c r="V37" i="7"/>
  <c r="V179" i="7"/>
  <c r="AD37" i="7"/>
  <c r="AD179" i="7"/>
  <c r="AL37" i="7"/>
  <c r="AL179" i="7"/>
  <c r="AT37" i="7"/>
  <c r="AT179" i="7"/>
  <c r="O37" i="7"/>
  <c r="O179" i="7"/>
  <c r="W37" i="7"/>
  <c r="W179" i="7"/>
  <c r="AE37" i="7"/>
  <c r="AE179" i="7"/>
  <c r="AM37" i="7"/>
  <c r="AM179" i="7"/>
  <c r="AU37" i="7"/>
  <c r="AU179" i="7"/>
  <c r="P37" i="7"/>
  <c r="P179" i="7"/>
  <c r="X37" i="7"/>
  <c r="X179" i="7"/>
  <c r="AF37" i="7"/>
  <c r="AF179" i="7"/>
  <c r="AN37" i="7"/>
  <c r="AN179" i="7"/>
  <c r="AV37" i="7"/>
  <c r="AV179" i="7"/>
  <c r="I37" i="7"/>
  <c r="Q37" i="7"/>
  <c r="Q179" i="7"/>
  <c r="Y37" i="7"/>
  <c r="Y179" i="7"/>
  <c r="AG37" i="7"/>
  <c r="AG179" i="7"/>
  <c r="AO37" i="7"/>
  <c r="AO179" i="7"/>
  <c r="AW37" i="7"/>
  <c r="AW179" i="7"/>
  <c r="J37" i="7"/>
  <c r="J179" i="7"/>
  <c r="R37" i="7"/>
  <c r="R179" i="7"/>
  <c r="Z37" i="7"/>
  <c r="Z179" i="7"/>
  <c r="AH37" i="7"/>
  <c r="AH179" i="7"/>
  <c r="AP37" i="7"/>
  <c r="AP179" i="7"/>
  <c r="AX37" i="7"/>
  <c r="AX179" i="7"/>
  <c r="K37" i="7"/>
  <c r="K179" i="7"/>
  <c r="S37" i="7"/>
  <c r="S179" i="7"/>
  <c r="AA37" i="7"/>
  <c r="AA179" i="7"/>
  <c r="AI37" i="7"/>
  <c r="AI179" i="7"/>
  <c r="AQ37" i="7"/>
  <c r="AQ179" i="7"/>
  <c r="AY37" i="7"/>
  <c r="AY179" i="7"/>
  <c r="J347" i="22"/>
  <c r="J350" i="22"/>
  <c r="J308" i="22"/>
  <c r="D12" i="48"/>
  <c r="D13" i="48"/>
  <c r="E80" i="1"/>
  <c r="E82" i="1"/>
  <c r="F84" i="1"/>
  <c r="F134" i="1"/>
  <c r="C28" i="7"/>
  <c r="D37" i="7"/>
  <c r="I179" i="7"/>
  <c r="T412" i="22"/>
  <c r="T413" i="22"/>
  <c r="T420" i="22"/>
  <c r="AB412" i="22"/>
  <c r="AB413" i="22"/>
  <c r="AB420" i="22"/>
  <c r="AJ412" i="22"/>
  <c r="AJ413" i="22"/>
  <c r="AJ420" i="22"/>
  <c r="M412" i="22"/>
  <c r="M413" i="22"/>
  <c r="M420" i="22"/>
  <c r="U412" i="22"/>
  <c r="U413" i="22"/>
  <c r="U420" i="22"/>
  <c r="AC412" i="22"/>
  <c r="AC413" i="22"/>
  <c r="AC420" i="22"/>
  <c r="AK412" i="22"/>
  <c r="AK413" i="22"/>
  <c r="AK420" i="22"/>
  <c r="N412" i="22"/>
  <c r="N413" i="22"/>
  <c r="N420" i="22"/>
  <c r="V412" i="22"/>
  <c r="V413" i="22"/>
  <c r="V420" i="22"/>
  <c r="AD412" i="22"/>
  <c r="AD413" i="22"/>
  <c r="AD420" i="22"/>
  <c r="AL412" i="22"/>
  <c r="AL413" i="22"/>
  <c r="AL420" i="22"/>
  <c r="O412" i="22"/>
  <c r="O413" i="22"/>
  <c r="O420" i="22"/>
  <c r="W412" i="22"/>
  <c r="W413" i="22"/>
  <c r="W420" i="22"/>
  <c r="AE412" i="22"/>
  <c r="AE413" i="22"/>
  <c r="AE420" i="22"/>
  <c r="AM412" i="22"/>
  <c r="AM413" i="22"/>
  <c r="AM420" i="22"/>
  <c r="P412" i="22"/>
  <c r="P413" i="22"/>
  <c r="P420" i="22"/>
  <c r="X412" i="22"/>
  <c r="X413" i="22"/>
  <c r="X420" i="22"/>
  <c r="AF412" i="22"/>
  <c r="AF413" i="22"/>
  <c r="AF420" i="22"/>
  <c r="AN412" i="22"/>
  <c r="AN413" i="22"/>
  <c r="Q412" i="22"/>
  <c r="Q413" i="22"/>
  <c r="Q420" i="22"/>
  <c r="Y412" i="22"/>
  <c r="Y413" i="22"/>
  <c r="Y420" i="22"/>
  <c r="AG412" i="22"/>
  <c r="AG413" i="22"/>
  <c r="AG420" i="22"/>
  <c r="AO412" i="22"/>
  <c r="AO413" i="22"/>
  <c r="J380" i="22"/>
  <c r="J386" i="22"/>
  <c r="R412" i="22"/>
  <c r="R413" i="22"/>
  <c r="R420" i="22"/>
  <c r="Z412" i="22"/>
  <c r="Z413" i="22"/>
  <c r="Z420" i="22"/>
  <c r="AH412" i="22"/>
  <c r="AH413" i="22"/>
  <c r="AH420" i="22"/>
  <c r="AP412" i="22"/>
  <c r="AP413" i="22"/>
  <c r="S412" i="22"/>
  <c r="S413" i="22"/>
  <c r="S420" i="22"/>
  <c r="AA412" i="22"/>
  <c r="AA413" i="22"/>
  <c r="AA420" i="22"/>
  <c r="AI412" i="22"/>
  <c r="AI413" i="22"/>
  <c r="AI420" i="22"/>
  <c r="C82" i="1"/>
  <c r="D83" i="1"/>
  <c r="V19" i="48"/>
  <c r="D179" i="7"/>
  <c r="W6" i="48"/>
  <c r="P42" i="7"/>
  <c r="P184" i="7"/>
  <c r="P187" i="7"/>
  <c r="P190" i="7"/>
  <c r="X42" i="7"/>
  <c r="X184" i="7"/>
  <c r="X187" i="7"/>
  <c r="X190" i="7"/>
  <c r="AF42" i="7"/>
  <c r="AF184" i="7"/>
  <c r="AF187" i="7"/>
  <c r="AF190" i="7"/>
  <c r="AN42" i="7"/>
  <c r="AV42" i="7"/>
  <c r="I42" i="7"/>
  <c r="Q42" i="7"/>
  <c r="Q184" i="7"/>
  <c r="Q187" i="7"/>
  <c r="Q190" i="7"/>
  <c r="Y42" i="7"/>
  <c r="Y184" i="7"/>
  <c r="Y187" i="7"/>
  <c r="Y190" i="7"/>
  <c r="AG42" i="7"/>
  <c r="AG184" i="7"/>
  <c r="AG187" i="7"/>
  <c r="AG190" i="7"/>
  <c r="AO42" i="7"/>
  <c r="AW42" i="7"/>
  <c r="J42" i="7"/>
  <c r="J184" i="7"/>
  <c r="J187" i="7"/>
  <c r="J190" i="7"/>
  <c r="R42" i="7"/>
  <c r="R184" i="7"/>
  <c r="R187" i="7"/>
  <c r="R190" i="7"/>
  <c r="Z42" i="7"/>
  <c r="Z184" i="7"/>
  <c r="Z187" i="7"/>
  <c r="Z190" i="7"/>
  <c r="AH42" i="7"/>
  <c r="AH184" i="7"/>
  <c r="AH187" i="7"/>
  <c r="AH190" i="7"/>
  <c r="AP42" i="7"/>
  <c r="AX42" i="7"/>
  <c r="AX184" i="7"/>
  <c r="AX187" i="7"/>
  <c r="AX190" i="7"/>
  <c r="AX193" i="7"/>
  <c r="K42" i="7"/>
  <c r="K184" i="7"/>
  <c r="K187" i="7"/>
  <c r="K190" i="7"/>
  <c r="S42" i="7"/>
  <c r="S184" i="7"/>
  <c r="S187" i="7"/>
  <c r="S190" i="7"/>
  <c r="AA42" i="7"/>
  <c r="AA184" i="7"/>
  <c r="AA187" i="7"/>
  <c r="AA190" i="7"/>
  <c r="AI42" i="7"/>
  <c r="AI184" i="7"/>
  <c r="AI187" i="7"/>
  <c r="AI190" i="7"/>
  <c r="AQ42" i="7"/>
  <c r="AY42" i="7"/>
  <c r="AY184" i="7"/>
  <c r="AY187" i="7"/>
  <c r="AY190" i="7"/>
  <c r="AY193" i="7"/>
  <c r="L42" i="7"/>
  <c r="L184" i="7"/>
  <c r="L187" i="7"/>
  <c r="L190" i="7"/>
  <c r="T42" i="7"/>
  <c r="T184" i="7"/>
  <c r="T187" i="7"/>
  <c r="T190" i="7"/>
  <c r="AB42" i="7"/>
  <c r="AB184" i="7"/>
  <c r="AB187" i="7"/>
  <c r="AB190" i="7"/>
  <c r="AJ42" i="7"/>
  <c r="AR42" i="7"/>
  <c r="M42" i="7"/>
  <c r="M184" i="7"/>
  <c r="M187" i="7"/>
  <c r="M190" i="7"/>
  <c r="U42" i="7"/>
  <c r="U184" i="7"/>
  <c r="U187" i="7"/>
  <c r="U190" i="7"/>
  <c r="AC42" i="7"/>
  <c r="AC184" i="7"/>
  <c r="AC187" i="7"/>
  <c r="AC190" i="7"/>
  <c r="AK42" i="7"/>
  <c r="AS42" i="7"/>
  <c r="N42" i="7"/>
  <c r="N184" i="7"/>
  <c r="N187" i="7"/>
  <c r="N190" i="7"/>
  <c r="V42" i="7"/>
  <c r="V184" i="7"/>
  <c r="V187" i="7"/>
  <c r="V190" i="7"/>
  <c r="AD42" i="7"/>
  <c r="AD184" i="7"/>
  <c r="AD187" i="7"/>
  <c r="AD190" i="7"/>
  <c r="AL42" i="7"/>
  <c r="AT42" i="7"/>
  <c r="O42" i="7"/>
  <c r="O184" i="7"/>
  <c r="O187" i="7"/>
  <c r="O190" i="7"/>
  <c r="W42" i="7"/>
  <c r="W184" i="7"/>
  <c r="W187" i="7"/>
  <c r="W190" i="7"/>
  <c r="AE42" i="7"/>
  <c r="AE184" i="7"/>
  <c r="AE187" i="7"/>
  <c r="AE190" i="7"/>
  <c r="AM42" i="7"/>
  <c r="AU42" i="7"/>
  <c r="O421" i="22"/>
  <c r="W421" i="22"/>
  <c r="AE421" i="22"/>
  <c r="AM421" i="22"/>
  <c r="P421" i="22"/>
  <c r="X421" i="22"/>
  <c r="AF421" i="22"/>
  <c r="Q421" i="22"/>
  <c r="Y421" i="22"/>
  <c r="AG421" i="22"/>
  <c r="R421" i="22"/>
  <c r="Z421" i="22"/>
  <c r="AH421" i="22"/>
  <c r="S421" i="22"/>
  <c r="AA421" i="22"/>
  <c r="AI421" i="22"/>
  <c r="T421" i="22"/>
  <c r="AB421" i="22"/>
  <c r="AJ421" i="22"/>
  <c r="M421" i="22"/>
  <c r="U421" i="22"/>
  <c r="AC421" i="22"/>
  <c r="AK421" i="22"/>
  <c r="N421" i="22"/>
  <c r="V421" i="22"/>
  <c r="AD421" i="22"/>
  <c r="AL421" i="22"/>
  <c r="D134" i="1"/>
  <c r="F192" i="1"/>
  <c r="D426" i="11"/>
  <c r="D429" i="11"/>
  <c r="C31" i="7"/>
  <c r="AR184" i="7"/>
  <c r="AR187" i="7"/>
  <c r="AR190" i="7"/>
  <c r="AR193" i="7"/>
  <c r="AN184" i="7"/>
  <c r="AN187" i="7"/>
  <c r="AN190" i="7"/>
  <c r="AN193" i="7"/>
  <c r="AJ184" i="7"/>
  <c r="AJ187" i="7"/>
  <c r="AJ190" i="7"/>
  <c r="AJ193" i="7"/>
  <c r="AM184" i="7"/>
  <c r="AM187" i="7"/>
  <c r="AM190" i="7"/>
  <c r="AM193" i="7"/>
  <c r="AS184" i="7"/>
  <c r="AS187" i="7"/>
  <c r="AS190" i="7"/>
  <c r="AS193" i="7"/>
  <c r="AT184" i="7"/>
  <c r="AT187" i="7"/>
  <c r="AT190" i="7"/>
  <c r="AT193" i="7"/>
  <c r="AQ184" i="7"/>
  <c r="AQ187" i="7"/>
  <c r="AQ190" i="7"/>
  <c r="AQ193" i="7"/>
  <c r="AL184" i="7"/>
  <c r="AL187" i="7"/>
  <c r="AL190" i="7"/>
  <c r="AL193" i="7"/>
  <c r="AV184" i="7"/>
  <c r="AV187" i="7"/>
  <c r="AV190" i="7"/>
  <c r="AV193" i="7"/>
  <c r="AU184" i="7"/>
  <c r="AU187" i="7"/>
  <c r="AU190" i="7"/>
  <c r="AU193" i="7"/>
  <c r="AW184" i="7"/>
  <c r="AW187" i="7"/>
  <c r="AW190" i="7"/>
  <c r="AW193" i="7"/>
  <c r="AO184" i="7"/>
  <c r="AO187" i="7"/>
  <c r="AO190" i="7"/>
  <c r="AO193" i="7"/>
  <c r="AK184" i="7"/>
  <c r="AK187" i="7"/>
  <c r="AK190" i="7"/>
  <c r="AK193" i="7"/>
  <c r="AP184" i="7"/>
  <c r="AP187" i="7"/>
  <c r="AP190" i="7"/>
  <c r="AP193" i="7"/>
  <c r="W193" i="7"/>
  <c r="W45" i="7"/>
  <c r="W48" i="7"/>
  <c r="L193" i="7"/>
  <c r="L45" i="7"/>
  <c r="L48" i="7"/>
  <c r="Y193" i="7"/>
  <c r="Y45" i="7"/>
  <c r="Y48" i="7"/>
  <c r="T422" i="22"/>
  <c r="T423" i="22"/>
  <c r="AB422" i="22"/>
  <c r="AB423" i="22"/>
  <c r="AJ422" i="22"/>
  <c r="AJ423" i="22"/>
  <c r="M422" i="22"/>
  <c r="M423" i="22"/>
  <c r="U422" i="22"/>
  <c r="U423" i="22"/>
  <c r="AC422" i="22"/>
  <c r="AC423" i="22"/>
  <c r="AK422" i="22"/>
  <c r="AK423" i="22"/>
  <c r="N422" i="22"/>
  <c r="N423" i="22"/>
  <c r="V422" i="22"/>
  <c r="V423" i="22"/>
  <c r="AD422" i="22"/>
  <c r="AD423" i="22"/>
  <c r="AL422" i="22"/>
  <c r="AL423" i="22"/>
  <c r="O422" i="22"/>
  <c r="O423" i="22"/>
  <c r="W422" i="22"/>
  <c r="W423" i="22"/>
  <c r="AE422" i="22"/>
  <c r="AE423" i="22"/>
  <c r="AM422" i="22"/>
  <c r="AM423" i="22"/>
  <c r="P422" i="22"/>
  <c r="P423" i="22"/>
  <c r="X422" i="22"/>
  <c r="X423" i="22"/>
  <c r="AF422" i="22"/>
  <c r="AF423" i="22"/>
  <c r="Q422" i="22"/>
  <c r="Q423" i="22"/>
  <c r="Y422" i="22"/>
  <c r="Y423" i="22"/>
  <c r="AG422" i="22"/>
  <c r="AG423" i="22"/>
  <c r="R422" i="22"/>
  <c r="R423" i="22"/>
  <c r="Z422" i="22"/>
  <c r="Z423" i="22"/>
  <c r="AH422" i="22"/>
  <c r="AH423" i="22"/>
  <c r="S422" i="22"/>
  <c r="S423" i="22"/>
  <c r="AA422" i="22"/>
  <c r="AA423" i="22"/>
  <c r="AI422" i="22"/>
  <c r="AI423" i="22"/>
  <c r="O193" i="7"/>
  <c r="O45" i="7"/>
  <c r="O48" i="7"/>
  <c r="AC193" i="7"/>
  <c r="AC45" i="7"/>
  <c r="AC48" i="7"/>
  <c r="AH193" i="7"/>
  <c r="AH45" i="7"/>
  <c r="AH48" i="7"/>
  <c r="Q193" i="7"/>
  <c r="Q45" i="7"/>
  <c r="Q48" i="7"/>
  <c r="U193" i="7"/>
  <c r="U45" i="7"/>
  <c r="U48" i="7"/>
  <c r="Z193" i="7"/>
  <c r="Z45" i="7"/>
  <c r="Z48" i="7"/>
  <c r="D42" i="7"/>
  <c r="I184" i="7"/>
  <c r="I45" i="7"/>
  <c r="M193" i="7"/>
  <c r="M45" i="7"/>
  <c r="M48" i="7"/>
  <c r="AI193" i="7"/>
  <c r="AI45" i="7"/>
  <c r="AI48" i="7"/>
  <c r="R193" i="7"/>
  <c r="R45" i="7"/>
  <c r="R48" i="7"/>
  <c r="AD193" i="7"/>
  <c r="AD45" i="7"/>
  <c r="AD48" i="7"/>
  <c r="AA193" i="7"/>
  <c r="AA45" i="7"/>
  <c r="AA48" i="7"/>
  <c r="J193" i="7"/>
  <c r="J45" i="7"/>
  <c r="J48" i="7"/>
  <c r="E3" i="48"/>
  <c r="E9" i="48"/>
  <c r="E4" i="48"/>
  <c r="E11" i="48"/>
  <c r="E5" i="48"/>
  <c r="E7" i="48"/>
  <c r="E8" i="48"/>
  <c r="E6" i="48"/>
  <c r="V193" i="7"/>
  <c r="V45" i="7"/>
  <c r="V48" i="7"/>
  <c r="S193" i="7"/>
  <c r="S45" i="7"/>
  <c r="S48" i="7"/>
  <c r="AF193" i="7"/>
  <c r="AF45" i="7"/>
  <c r="AF48" i="7"/>
  <c r="D431" i="11"/>
  <c r="AC378" i="11"/>
  <c r="E12" i="48"/>
  <c r="N193" i="7"/>
  <c r="N45" i="7"/>
  <c r="N48" i="7"/>
  <c r="AB193" i="7"/>
  <c r="AB45" i="7"/>
  <c r="AB48" i="7"/>
  <c r="K193" i="7"/>
  <c r="K45" i="7"/>
  <c r="K48" i="7"/>
  <c r="X193" i="7"/>
  <c r="X45" i="7"/>
  <c r="X48" i="7"/>
  <c r="AE193" i="7"/>
  <c r="AE45" i="7"/>
  <c r="AE48" i="7"/>
  <c r="T193" i="7"/>
  <c r="T45" i="7"/>
  <c r="T48" i="7"/>
  <c r="AG193" i="7"/>
  <c r="AG45" i="7"/>
  <c r="AG48" i="7"/>
  <c r="P193" i="7"/>
  <c r="P45" i="7"/>
  <c r="P48" i="7"/>
  <c r="D184" i="7"/>
  <c r="W10" i="48"/>
  <c r="I187" i="7"/>
  <c r="D187" i="7"/>
  <c r="AT199" i="7"/>
  <c r="AY199" i="7"/>
  <c r="AW199" i="7"/>
  <c r="AO199" i="7"/>
  <c r="AJ199" i="7"/>
  <c r="AQ199" i="7"/>
  <c r="AN378" i="11"/>
  <c r="AR199" i="7"/>
  <c r="AV199" i="7"/>
  <c r="AP199" i="7"/>
  <c r="O378" i="11"/>
  <c r="AQ378" i="11"/>
  <c r="AQ379" i="11"/>
  <c r="AQ382" i="11"/>
  <c r="AK199" i="7"/>
  <c r="AI378" i="11"/>
  <c r="AN199" i="7"/>
  <c r="R378" i="11"/>
  <c r="AD54" i="7"/>
  <c r="AD55" i="7"/>
  <c r="AD196" i="7"/>
  <c r="AD197" i="7"/>
  <c r="AD209" i="7"/>
  <c r="Z54" i="7"/>
  <c r="Z55" i="7"/>
  <c r="Z196" i="7"/>
  <c r="Z197" i="7"/>
  <c r="Z209" i="7"/>
  <c r="L402" i="11"/>
  <c r="T402" i="11"/>
  <c r="AB402" i="11"/>
  <c r="AJ402" i="11"/>
  <c r="AR402" i="11"/>
  <c r="AR403" i="11"/>
  <c r="AR405" i="11"/>
  <c r="M402" i="11"/>
  <c r="U402" i="11"/>
  <c r="AC402" i="11"/>
  <c r="AK402" i="11"/>
  <c r="AS402" i="11"/>
  <c r="AS403" i="11"/>
  <c r="AS405" i="11"/>
  <c r="N402" i="11"/>
  <c r="V402" i="11"/>
  <c r="AD402" i="11"/>
  <c r="AL402" i="11"/>
  <c r="AT402" i="11"/>
  <c r="AT403" i="11"/>
  <c r="AT405" i="11"/>
  <c r="O402" i="11"/>
  <c r="W402" i="11"/>
  <c r="AE402" i="11"/>
  <c r="AM402" i="11"/>
  <c r="AU402" i="11"/>
  <c r="AU403" i="11"/>
  <c r="AU405" i="11"/>
  <c r="P402" i="11"/>
  <c r="X402" i="11"/>
  <c r="AF402" i="11"/>
  <c r="AN402" i="11"/>
  <c r="AV402" i="11"/>
  <c r="AV403" i="11"/>
  <c r="AV405" i="11"/>
  <c r="Q402" i="11"/>
  <c r="Y402" i="11"/>
  <c r="AG402" i="11"/>
  <c r="AO402" i="11"/>
  <c r="AW402" i="11"/>
  <c r="AW403" i="11"/>
  <c r="AW405" i="11"/>
  <c r="R402" i="11"/>
  <c r="Z402" i="11"/>
  <c r="AH402" i="11"/>
  <c r="AP402" i="11"/>
  <c r="AP403" i="11"/>
  <c r="AP405" i="11"/>
  <c r="E433" i="11"/>
  <c r="S402" i="11"/>
  <c r="AA402" i="11"/>
  <c r="AI402" i="11"/>
  <c r="AQ402" i="11"/>
  <c r="AQ403" i="11"/>
  <c r="AQ405" i="11"/>
  <c r="AF378" i="11"/>
  <c r="AT378" i="11"/>
  <c r="AT379" i="11"/>
  <c r="AT382" i="11"/>
  <c r="U378" i="11"/>
  <c r="M54" i="7"/>
  <c r="M55" i="7"/>
  <c r="M196" i="7"/>
  <c r="M197" i="7"/>
  <c r="M209" i="7"/>
  <c r="Q54" i="7"/>
  <c r="Q55" i="7"/>
  <c r="Q196" i="7"/>
  <c r="Q197" i="7"/>
  <c r="Q209" i="7"/>
  <c r="O54" i="7"/>
  <c r="O55" i="7"/>
  <c r="O196" i="7"/>
  <c r="O197" i="7"/>
  <c r="O209" i="7"/>
  <c r="T54" i="7"/>
  <c r="T55" i="7"/>
  <c r="T196" i="7"/>
  <c r="T197" i="7"/>
  <c r="T209" i="7"/>
  <c r="K54" i="7"/>
  <c r="K55" i="7"/>
  <c r="K196" i="7"/>
  <c r="K197" i="7"/>
  <c r="K209" i="7"/>
  <c r="AA378" i="11"/>
  <c r="AW378" i="11"/>
  <c r="AW379" i="11"/>
  <c r="AW382" i="11"/>
  <c r="X378" i="11"/>
  <c r="AL378" i="11"/>
  <c r="M378" i="11"/>
  <c r="J54" i="7"/>
  <c r="J55" i="7"/>
  <c r="J196" i="7"/>
  <c r="J197" i="7"/>
  <c r="J209" i="7"/>
  <c r="Y54" i="7"/>
  <c r="Y55" i="7"/>
  <c r="Y196" i="7"/>
  <c r="Y197" i="7"/>
  <c r="Y209" i="7"/>
  <c r="W54" i="7"/>
  <c r="W55" i="7"/>
  <c r="W196" i="7"/>
  <c r="W197" i="7"/>
  <c r="W209" i="7"/>
  <c r="AR378" i="11"/>
  <c r="AR379" i="11"/>
  <c r="AR382" i="11"/>
  <c r="AO378" i="11"/>
  <c r="P378" i="11"/>
  <c r="AD378" i="11"/>
  <c r="AF54" i="7"/>
  <c r="AF55" i="7"/>
  <c r="AF196" i="7"/>
  <c r="AF197" i="7"/>
  <c r="AF209" i="7"/>
  <c r="V54" i="7"/>
  <c r="V55" i="7"/>
  <c r="V196" i="7"/>
  <c r="V197" i="7"/>
  <c r="V209" i="7"/>
  <c r="AH54" i="7"/>
  <c r="AH55" i="7"/>
  <c r="AH196" i="7"/>
  <c r="AH197" i="7"/>
  <c r="AH209" i="7"/>
  <c r="AM199" i="7"/>
  <c r="AS199" i="7"/>
  <c r="AE54" i="7"/>
  <c r="AE55" i="7"/>
  <c r="AE196" i="7"/>
  <c r="AE197" i="7"/>
  <c r="AE209" i="7"/>
  <c r="AJ378" i="11"/>
  <c r="D433" i="11"/>
  <c r="AG378" i="11"/>
  <c r="AU378" i="11"/>
  <c r="AU379" i="11"/>
  <c r="AU382" i="11"/>
  <c r="V378" i="11"/>
  <c r="AA54" i="7"/>
  <c r="AA55" i="7"/>
  <c r="AA196" i="7"/>
  <c r="AA197" i="7"/>
  <c r="AA209" i="7"/>
  <c r="AL199" i="7"/>
  <c r="U54" i="7"/>
  <c r="U55" i="7"/>
  <c r="U196" i="7"/>
  <c r="U197" i="7"/>
  <c r="U209" i="7"/>
  <c r="AB54" i="7"/>
  <c r="AB55" i="7"/>
  <c r="AB196" i="7"/>
  <c r="AB197" i="7"/>
  <c r="AB209" i="7"/>
  <c r="AB378" i="11"/>
  <c r="AP378" i="11"/>
  <c r="AP379" i="11"/>
  <c r="AP382" i="11"/>
  <c r="Y378" i="11"/>
  <c r="AM378" i="11"/>
  <c r="N378" i="11"/>
  <c r="R54" i="7"/>
  <c r="R55" i="7"/>
  <c r="R196" i="7"/>
  <c r="R197" i="7"/>
  <c r="R209" i="7"/>
  <c r="I48" i="7"/>
  <c r="D45" i="7"/>
  <c r="G38" i="2"/>
  <c r="S378" i="11"/>
  <c r="AX199" i="7"/>
  <c r="X54" i="7"/>
  <c r="X55" i="7"/>
  <c r="X196" i="7"/>
  <c r="X197" i="7"/>
  <c r="X209" i="7"/>
  <c r="N54" i="7"/>
  <c r="N55" i="7"/>
  <c r="N196" i="7"/>
  <c r="N197" i="7"/>
  <c r="N209" i="7"/>
  <c r="T378" i="11"/>
  <c r="AH378" i="11"/>
  <c r="Q378" i="11"/>
  <c r="AE378" i="11"/>
  <c r="AS378" i="11"/>
  <c r="AS379" i="11"/>
  <c r="AS382" i="11"/>
  <c r="AU199" i="7"/>
  <c r="E13" i="48"/>
  <c r="L54" i="7"/>
  <c r="L55" i="7"/>
  <c r="L196" i="7"/>
  <c r="L197" i="7"/>
  <c r="L209" i="7"/>
  <c r="P54" i="7"/>
  <c r="P55" i="7"/>
  <c r="P196" i="7"/>
  <c r="P197" i="7"/>
  <c r="P209" i="7"/>
  <c r="AG54" i="7"/>
  <c r="AG55" i="7"/>
  <c r="AG196" i="7"/>
  <c r="AG197" i="7"/>
  <c r="AG209" i="7"/>
  <c r="L378" i="11"/>
  <c r="Z378" i="11"/>
  <c r="AV378" i="11"/>
  <c r="AV379" i="11"/>
  <c r="AV382" i="11"/>
  <c r="W378" i="11"/>
  <c r="AK378" i="11"/>
  <c r="S54" i="7"/>
  <c r="S55" i="7"/>
  <c r="S196" i="7"/>
  <c r="S197" i="7"/>
  <c r="S209" i="7"/>
  <c r="AI54" i="7"/>
  <c r="AI55" i="7"/>
  <c r="AI196" i="7"/>
  <c r="AI197" i="7"/>
  <c r="AI209" i="7"/>
  <c r="AC54" i="7"/>
  <c r="AC55" i="7"/>
  <c r="AC196" i="7"/>
  <c r="AC197" i="7"/>
  <c r="AC209" i="7"/>
  <c r="AF199" i="7"/>
  <c r="Z199" i="7"/>
  <c r="S199" i="7"/>
  <c r="J199" i="7"/>
  <c r="M199" i="7"/>
  <c r="T199" i="7"/>
  <c r="U199" i="7"/>
  <c r="W199" i="7"/>
  <c r="AC199" i="7"/>
  <c r="AG199" i="7"/>
  <c r="X199" i="7"/>
  <c r="R199" i="7"/>
  <c r="AA199" i="7"/>
  <c r="N199" i="7"/>
  <c r="K199" i="7"/>
  <c r="Y199" i="7"/>
  <c r="AI199" i="7"/>
  <c r="H181" i="56"/>
  <c r="I190" i="7"/>
  <c r="D190" i="7"/>
  <c r="AB199" i="7"/>
  <c r="D48" i="7"/>
  <c r="I54" i="7"/>
  <c r="I55" i="7"/>
  <c r="I196" i="7"/>
  <c r="I197" i="7"/>
  <c r="I209" i="7"/>
  <c r="D209" i="7"/>
  <c r="AH199" i="7"/>
  <c r="V199" i="7"/>
  <c r="AE199" i="7"/>
  <c r="O199" i="7"/>
  <c r="L199" i="7"/>
  <c r="P199" i="7"/>
  <c r="Q199" i="7"/>
  <c r="AD199" i="7"/>
  <c r="I193" i="7"/>
  <c r="D193" i="7"/>
  <c r="M388" i="22"/>
  <c r="I199" i="7"/>
  <c r="M52" i="19"/>
  <c r="Q69" i="28"/>
  <c r="Q76" i="28"/>
  <c r="P69" i="28"/>
  <c r="E26" i="19"/>
  <c r="F26" i="19"/>
  <c r="Y69" i="28"/>
  <c r="F62" i="30"/>
  <c r="O62" i="30"/>
  <c r="H69" i="28"/>
  <c r="Z69" i="28"/>
  <c r="X62" i="30"/>
  <c r="R69" i="28"/>
  <c r="R76" i="28"/>
  <c r="V69" i="28"/>
  <c r="P76" i="28"/>
  <c r="Q62" i="30"/>
  <c r="Q69" i="30"/>
  <c r="U62" i="30"/>
  <c r="O69" i="30"/>
  <c r="H62" i="30"/>
  <c r="H69" i="30"/>
  <c r="L62" i="30"/>
  <c r="F69" i="30"/>
  <c r="M80" i="28"/>
  <c r="M87" i="28"/>
  <c r="H76" i="28"/>
  <c r="AE80" i="28"/>
  <c r="Z76" i="28"/>
  <c r="V80" i="28"/>
  <c r="V87" i="28"/>
  <c r="M69" i="28"/>
  <c r="G76" i="28"/>
  <c r="I69" i="28"/>
  <c r="I76" i="28"/>
  <c r="Z62" i="30"/>
  <c r="Z69" i="30"/>
  <c r="AD62" i="30"/>
  <c r="X69" i="30"/>
  <c r="AE69" i="28"/>
  <c r="Y76" i="28"/>
  <c r="AA69" i="28"/>
  <c r="AA76" i="28"/>
  <c r="D91" i="28"/>
  <c r="D80" i="28"/>
  <c r="J559" i="22"/>
  <c r="AE87" i="28"/>
  <c r="U69" i="30"/>
  <c r="U84" i="30"/>
  <c r="U91" i="30"/>
  <c r="C62" i="30"/>
  <c r="L84" i="30"/>
  <c r="L91" i="30"/>
  <c r="L69" i="30"/>
  <c r="AE91" i="28"/>
  <c r="AE98" i="28"/>
  <c r="D69" i="28"/>
  <c r="AE76" i="28"/>
  <c r="M91" i="28"/>
  <c r="M98" i="28"/>
  <c r="M76" i="28"/>
  <c r="V91" i="28"/>
  <c r="V98" i="28"/>
  <c r="V76" i="28"/>
  <c r="AD69" i="30"/>
  <c r="AD84" i="30"/>
  <c r="AD91" i="30"/>
  <c r="C69" i="30"/>
  <c r="J569" i="22"/>
  <c r="D98" i="28"/>
  <c r="J582" i="22"/>
  <c r="C94" i="30"/>
  <c r="C101" i="30"/>
  <c r="J549" i="22"/>
  <c r="D101" i="28"/>
  <c r="D108" i="28"/>
  <c r="D76" i="28"/>
  <c r="D87" i="28"/>
  <c r="J576" i="22"/>
  <c r="F244" i="1"/>
  <c r="J566" i="22"/>
  <c r="F234" i="1"/>
  <c r="J556" i="22"/>
  <c r="F224" i="1"/>
  <c r="J589" i="22"/>
  <c r="F255" i="1"/>
  <c r="D58" i="11"/>
  <c r="F251" i="1"/>
  <c r="F231" i="1"/>
  <c r="D38" i="11"/>
  <c r="F241" i="1"/>
  <c r="D48" i="11"/>
  <c r="F262" i="1"/>
  <c r="D68" i="11"/>
  <c r="AR110" i="11"/>
  <c r="AR178" i="11"/>
  <c r="K110" i="11"/>
  <c r="K178" i="11"/>
  <c r="AQ110" i="11"/>
  <c r="AQ178" i="11"/>
  <c r="AW110" i="11"/>
  <c r="AW178" i="11"/>
  <c r="I110" i="11"/>
  <c r="I178" i="11"/>
  <c r="AP110" i="11"/>
  <c r="AP178" i="11"/>
  <c r="AS110" i="11"/>
  <c r="AS178" i="11"/>
  <c r="AU110" i="11"/>
  <c r="AU178" i="11"/>
  <c r="AV110" i="11"/>
  <c r="AV178" i="11"/>
  <c r="J110" i="11"/>
  <c r="J178" i="11"/>
  <c r="AT110" i="11"/>
  <c r="AT178" i="11"/>
  <c r="AS100" i="11"/>
  <c r="AS164" i="11"/>
  <c r="AT100" i="11"/>
  <c r="AT164" i="11"/>
  <c r="AU100" i="11"/>
  <c r="AU164" i="11"/>
  <c r="AV100" i="11"/>
  <c r="AV164" i="11"/>
  <c r="I100" i="11"/>
  <c r="AW100" i="11"/>
  <c r="AW164" i="11"/>
  <c r="J100" i="11"/>
  <c r="J164" i="11"/>
  <c r="AP100" i="11"/>
  <c r="AP164" i="11"/>
  <c r="K100" i="11"/>
  <c r="K164" i="11"/>
  <c r="AQ100" i="11"/>
  <c r="AQ164" i="11"/>
  <c r="AR100" i="11"/>
  <c r="AR164" i="11"/>
  <c r="AU91" i="11"/>
  <c r="AV91" i="11"/>
  <c r="I91" i="11"/>
  <c r="AW91" i="11"/>
  <c r="AP91" i="11"/>
  <c r="AY91" i="11"/>
  <c r="AQ91" i="11"/>
  <c r="AZ91" i="11"/>
  <c r="AR91" i="11"/>
  <c r="AS91" i="11"/>
  <c r="AT91" i="11"/>
  <c r="AU121" i="11"/>
  <c r="AU192" i="11"/>
  <c r="AV121" i="11"/>
  <c r="AV192" i="11"/>
  <c r="I121" i="11"/>
  <c r="AW121" i="11"/>
  <c r="AW192" i="11"/>
  <c r="AP121" i="11"/>
  <c r="AP192" i="11"/>
  <c r="AQ121" i="11"/>
  <c r="AQ192" i="11"/>
  <c r="AR121" i="11"/>
  <c r="AR192" i="11"/>
  <c r="AS121" i="11"/>
  <c r="AS192" i="11"/>
  <c r="AT121" i="11"/>
  <c r="AT192" i="11"/>
  <c r="I185" i="11"/>
  <c r="I187" i="11"/>
  <c r="I188" i="11"/>
  <c r="D80" i="58"/>
  <c r="AW185" i="11"/>
  <c r="AW187" i="11"/>
  <c r="AW188" i="11"/>
  <c r="AV185" i="11"/>
  <c r="AV187" i="11"/>
  <c r="AV188" i="11"/>
  <c r="E80" i="58"/>
  <c r="J185" i="11"/>
  <c r="J187" i="11"/>
  <c r="J188" i="11"/>
  <c r="AU185" i="11"/>
  <c r="AU187" i="11"/>
  <c r="AU188" i="11"/>
  <c r="AT185" i="11"/>
  <c r="AT187" i="11"/>
  <c r="AT188" i="11"/>
  <c r="AQ185" i="11"/>
  <c r="AQ187" i="11"/>
  <c r="AQ188" i="11"/>
  <c r="AS185" i="11"/>
  <c r="AS187" i="11"/>
  <c r="AS188" i="11"/>
  <c r="F80" i="58"/>
  <c r="K185" i="11"/>
  <c r="K187" i="11"/>
  <c r="K188" i="11"/>
  <c r="AP185" i="11"/>
  <c r="AP187" i="11"/>
  <c r="AP188" i="11"/>
  <c r="AR185" i="11"/>
  <c r="AR187" i="11"/>
  <c r="AR188" i="11"/>
  <c r="AP199" i="11"/>
  <c r="AP201" i="11"/>
  <c r="AP202" i="11"/>
  <c r="AP408" i="11"/>
  <c r="AP412" i="11"/>
  <c r="AU199" i="11"/>
  <c r="AU201" i="11"/>
  <c r="AU202" i="11"/>
  <c r="AU408" i="11"/>
  <c r="AU412" i="11"/>
  <c r="AP142" i="11"/>
  <c r="AP151" i="11"/>
  <c r="AU142" i="11"/>
  <c r="AU151" i="11"/>
  <c r="F58" i="58"/>
  <c r="F67" i="58"/>
  <c r="K171" i="11"/>
  <c r="K173" i="11"/>
  <c r="K174" i="11"/>
  <c r="AP171" i="11"/>
  <c r="AP173" i="11"/>
  <c r="AP174" i="11"/>
  <c r="AU171" i="11"/>
  <c r="AU173" i="11"/>
  <c r="AU174" i="11"/>
  <c r="I192" i="11"/>
  <c r="AT151" i="11"/>
  <c r="AT142" i="11"/>
  <c r="AQ142" i="11"/>
  <c r="AQ151" i="11"/>
  <c r="I142" i="11"/>
  <c r="I151" i="11"/>
  <c r="AS199" i="11"/>
  <c r="AS201" i="11"/>
  <c r="AS202" i="11"/>
  <c r="AS408" i="11"/>
  <c r="AS412" i="11"/>
  <c r="AQ199" i="11"/>
  <c r="AQ201" i="11"/>
  <c r="AQ202" i="11"/>
  <c r="AQ408" i="11"/>
  <c r="AQ412" i="11"/>
  <c r="AV199" i="11"/>
  <c r="AV201" i="11"/>
  <c r="AV202" i="11"/>
  <c r="AV408" i="11"/>
  <c r="AV412" i="11"/>
  <c r="AV142" i="11"/>
  <c r="AV151" i="11"/>
  <c r="I164" i="11"/>
  <c r="AS171" i="11"/>
  <c r="AS173" i="11"/>
  <c r="AS174" i="11"/>
  <c r="AT199" i="11"/>
  <c r="AT201" i="11"/>
  <c r="AT202" i="11"/>
  <c r="AT408" i="11"/>
  <c r="AT412" i="11"/>
  <c r="AR142" i="11"/>
  <c r="AR151" i="11"/>
  <c r="AQ171" i="11"/>
  <c r="AQ173" i="11"/>
  <c r="AQ174" i="11"/>
  <c r="AV171" i="11"/>
  <c r="AV173" i="11"/>
  <c r="AV174" i="11"/>
  <c r="AW199" i="11"/>
  <c r="AW201" i="11"/>
  <c r="AW202" i="11"/>
  <c r="AW408" i="11"/>
  <c r="AW412" i="11"/>
  <c r="AW142" i="11"/>
  <c r="AW151" i="11"/>
  <c r="E58" i="58"/>
  <c r="J171" i="11"/>
  <c r="J173" i="11"/>
  <c r="J174" i="11"/>
  <c r="AR199" i="11"/>
  <c r="AR201" i="11"/>
  <c r="AR202" i="11"/>
  <c r="AR408" i="11"/>
  <c r="AR412" i="11"/>
  <c r="AW171" i="11"/>
  <c r="AW173" i="11"/>
  <c r="AW174" i="11"/>
  <c r="AT171" i="11"/>
  <c r="AT173" i="11"/>
  <c r="AT174" i="11"/>
  <c r="AS151" i="11"/>
  <c r="AS142" i="11"/>
  <c r="AR171" i="11"/>
  <c r="AR173" i="11"/>
  <c r="AR174" i="11"/>
  <c r="AS158" i="11"/>
  <c r="AS160" i="11"/>
  <c r="AS161" i="11"/>
  <c r="AS221" i="11"/>
  <c r="AS224" i="11"/>
  <c r="AS225" i="11"/>
  <c r="AS233" i="11"/>
  <c r="AS384" i="11"/>
  <c r="AS388" i="11"/>
  <c r="AP158" i="11"/>
  <c r="AP160" i="11"/>
  <c r="AP161" i="11"/>
  <c r="AP221" i="11"/>
  <c r="AP224" i="11"/>
  <c r="AP225" i="11"/>
  <c r="AP233" i="11"/>
  <c r="AP384" i="11"/>
  <c r="AP388" i="11"/>
  <c r="AV158" i="11"/>
  <c r="AV160" i="11"/>
  <c r="AV161" i="11"/>
  <c r="AV221" i="11"/>
  <c r="AV224" i="11"/>
  <c r="AV225" i="11"/>
  <c r="AV233" i="11"/>
  <c r="AV384" i="11"/>
  <c r="AV388" i="11"/>
  <c r="AQ158" i="11"/>
  <c r="AQ160" i="11"/>
  <c r="AQ161" i="11"/>
  <c r="AQ221" i="11"/>
  <c r="AQ224" i="11"/>
  <c r="AQ225" i="11"/>
  <c r="AQ233" i="11"/>
  <c r="AQ384" i="11"/>
  <c r="AQ388" i="11"/>
  <c r="AR158" i="11"/>
  <c r="AR160" i="11"/>
  <c r="AR161" i="11"/>
  <c r="AR221" i="11"/>
  <c r="AR224" i="11"/>
  <c r="AR225" i="11"/>
  <c r="AR233" i="11"/>
  <c r="AR384" i="11"/>
  <c r="AR388" i="11"/>
  <c r="AT158" i="11"/>
  <c r="AT160" i="11"/>
  <c r="AT161" i="11"/>
  <c r="AT221" i="11"/>
  <c r="AT224" i="11"/>
  <c r="AT225" i="11"/>
  <c r="AT233" i="11"/>
  <c r="AT384" i="11"/>
  <c r="AT388" i="11"/>
  <c r="D100" i="58"/>
  <c r="I199" i="11"/>
  <c r="I201" i="11"/>
  <c r="I202" i="11"/>
  <c r="AW158" i="11"/>
  <c r="AW160" i="11"/>
  <c r="AW161" i="11"/>
  <c r="AW221" i="11"/>
  <c r="AW224" i="11"/>
  <c r="AW225" i="11"/>
  <c r="AW233" i="11"/>
  <c r="AW384" i="11"/>
  <c r="AW388" i="11"/>
  <c r="D39" i="58"/>
  <c r="D46" i="58"/>
  <c r="I158" i="11"/>
  <c r="I160" i="11"/>
  <c r="I161" i="11"/>
  <c r="I384" i="11"/>
  <c r="I15" i="47"/>
  <c r="AU158" i="11"/>
  <c r="AU160" i="11"/>
  <c r="AU161" i="11"/>
  <c r="AU221" i="11"/>
  <c r="AU224" i="11"/>
  <c r="AU225" i="11"/>
  <c r="AU233" i="11"/>
  <c r="AU384" i="11"/>
  <c r="AU388" i="11"/>
  <c r="D58" i="58"/>
  <c r="D65" i="58"/>
  <c r="I171" i="11"/>
  <c r="I173" i="11"/>
  <c r="I174" i="11"/>
  <c r="I221" i="11"/>
  <c r="I224" i="11"/>
  <c r="I225" i="11"/>
  <c r="I9" i="14"/>
  <c r="F91" i="48"/>
  <c r="I17" i="47"/>
  <c r="F84" i="48"/>
  <c r="I233" i="11"/>
  <c r="I141" i="41"/>
  <c r="I106" i="41"/>
  <c r="K51" i="8"/>
  <c r="K98" i="8"/>
  <c r="S40" i="8"/>
  <c r="S46" i="8"/>
  <c r="T40" i="8"/>
  <c r="T46" i="8"/>
  <c r="S41" i="8"/>
  <c r="T41" i="8"/>
  <c r="S42" i="8"/>
  <c r="T42" i="8"/>
  <c r="S143" i="5"/>
  <c r="T143" i="5"/>
  <c r="L157" i="12"/>
  <c r="M157" i="12"/>
  <c r="AV22" i="55"/>
  <c r="AV23" i="55"/>
  <c r="AV57" i="55"/>
  <c r="AV56" i="55"/>
  <c r="AU22" i="55"/>
  <c r="AU23" i="55"/>
  <c r="AU57" i="55"/>
  <c r="AU56" i="55"/>
  <c r="AT22" i="55"/>
  <c r="AT23" i="55"/>
  <c r="AT57" i="55"/>
  <c r="AT56" i="55"/>
  <c r="AS22" i="55"/>
  <c r="AS23" i="55"/>
  <c r="AS57" i="55"/>
  <c r="AS56" i="55"/>
  <c r="AR22" i="55"/>
  <c r="AR23" i="55"/>
  <c r="AR57" i="55"/>
  <c r="AR56" i="55"/>
  <c r="AQ22" i="55"/>
  <c r="AQ23" i="55"/>
  <c r="AQ57" i="55"/>
  <c r="AQ56" i="55"/>
  <c r="AP22" i="55"/>
  <c r="AP23" i="55"/>
  <c r="AP57" i="55"/>
  <c r="AP56" i="55"/>
  <c r="AO22" i="55"/>
  <c r="AO23" i="55"/>
  <c r="AO57" i="55"/>
  <c r="AO56" i="55"/>
  <c r="AN22" i="55"/>
  <c r="AN23" i="55"/>
  <c r="AN57" i="55"/>
  <c r="AN56" i="55"/>
  <c r="AM22" i="55"/>
  <c r="AM23" i="55"/>
  <c r="AM57" i="55"/>
  <c r="AM56" i="55"/>
  <c r="AM93" i="8"/>
  <c r="AM99" i="8"/>
  <c r="AM118" i="8"/>
  <c r="AK93" i="8"/>
  <c r="AL93" i="8"/>
  <c r="I36" i="17"/>
  <c r="J36" i="17"/>
  <c r="K36" i="17"/>
  <c r="L36" i="17"/>
  <c r="M36" i="17"/>
  <c r="N36" i="17"/>
  <c r="O36" i="17"/>
  <c r="P36" i="17"/>
  <c r="Q36" i="17"/>
  <c r="R36" i="17"/>
  <c r="S36" i="17"/>
  <c r="T36" i="17"/>
  <c r="U36" i="17"/>
  <c r="V36" i="17"/>
  <c r="W36" i="17"/>
  <c r="X36" i="17"/>
  <c r="Y36" i="17"/>
  <c r="Z36" i="17"/>
  <c r="AA36" i="17"/>
  <c r="AB36" i="17"/>
  <c r="AC36" i="17"/>
  <c r="AD36" i="17"/>
  <c r="AE36" i="17"/>
  <c r="AF36" i="17"/>
  <c r="AG36" i="17"/>
  <c r="AH36" i="17"/>
  <c r="AI36" i="17"/>
  <c r="AJ36" i="17"/>
  <c r="AK36" i="17"/>
  <c r="AL36" i="17"/>
  <c r="AM36" i="17"/>
  <c r="AN36" i="17"/>
  <c r="AO36" i="17"/>
  <c r="AP36" i="17"/>
  <c r="AQ36" i="17"/>
  <c r="AR36" i="17"/>
  <c r="AS36" i="17"/>
  <c r="AT36" i="17"/>
  <c r="AU36" i="17"/>
  <c r="AV36" i="17"/>
  <c r="AW36" i="17"/>
  <c r="E230" i="7"/>
  <c r="H249" i="7"/>
  <c r="E231" i="7"/>
  <c r="J299" i="7"/>
  <c r="I298" i="7"/>
  <c r="H255" i="7"/>
  <c r="G249" i="7"/>
  <c r="E44" i="19"/>
  <c r="AU299" i="7"/>
  <c r="AD299" i="7"/>
  <c r="AS299" i="7"/>
  <c r="AK299" i="7"/>
  <c r="AC299" i="7"/>
  <c r="AM299" i="7"/>
  <c r="AL299" i="7"/>
  <c r="AR299" i="7"/>
  <c r="AJ299" i="7"/>
  <c r="AB299" i="7"/>
  <c r="AE299" i="7"/>
  <c r="AQ299" i="7"/>
  <c r="AI299" i="7"/>
  <c r="AA299" i="7"/>
  <c r="AX299" i="7"/>
  <c r="AP299" i="7"/>
  <c r="AH299" i="7"/>
  <c r="Z299" i="7"/>
  <c r="AT299" i="7"/>
  <c r="AY299" i="7"/>
  <c r="AW299" i="7"/>
  <c r="AO299" i="7"/>
  <c r="AG299" i="7"/>
  <c r="Y299" i="7"/>
  <c r="AV299" i="7"/>
  <c r="AN299" i="7"/>
  <c r="AF299" i="7"/>
  <c r="X299" i="7"/>
  <c r="V299" i="7"/>
  <c r="U299" i="7"/>
  <c r="T299" i="7"/>
  <c r="S299" i="7"/>
  <c r="R299" i="7"/>
  <c r="Q299" i="7"/>
  <c r="P299" i="7"/>
  <c r="W299" i="7"/>
  <c r="O299" i="7"/>
  <c r="N299" i="7"/>
  <c r="K299" i="7"/>
  <c r="L299" i="7"/>
  <c r="I299" i="7"/>
  <c r="H251" i="7"/>
  <c r="H257" i="7"/>
  <c r="G251" i="7"/>
  <c r="AE298" i="7"/>
  <c r="G250" i="7"/>
  <c r="I249" i="7"/>
  <c r="M299" i="7"/>
  <c r="I251" i="7"/>
  <c r="AU298" i="7"/>
  <c r="S298" i="7"/>
  <c r="K298" i="7"/>
  <c r="AT298" i="7"/>
  <c r="AQ298" i="7"/>
  <c r="AM298" i="7"/>
  <c r="AI298" i="7"/>
  <c r="AA298" i="7"/>
  <c r="AY298" i="7"/>
  <c r="W298" i="7"/>
  <c r="E43" i="19"/>
  <c r="AV298" i="7"/>
  <c r="AN298" i="7"/>
  <c r="AF298" i="7"/>
  <c r="X298" i="7"/>
  <c r="P298" i="7"/>
  <c r="O298" i="7"/>
  <c r="N298" i="7"/>
  <c r="AD298" i="7"/>
  <c r="AS298" i="7"/>
  <c r="AK298" i="7"/>
  <c r="AC298" i="7"/>
  <c r="U298" i="7"/>
  <c r="M298" i="7"/>
  <c r="I250" i="7"/>
  <c r="AL298" i="7"/>
  <c r="V298" i="7"/>
  <c r="AR298" i="7"/>
  <c r="AJ298" i="7"/>
  <c r="AB298" i="7"/>
  <c r="T298" i="7"/>
  <c r="T300" i="7"/>
  <c r="L298" i="7"/>
  <c r="H250" i="7"/>
  <c r="H256" i="7"/>
  <c r="AX298" i="7"/>
  <c r="AP298" i="7"/>
  <c r="AH298" i="7"/>
  <c r="Z298" i="7"/>
  <c r="R298" i="7"/>
  <c r="J298" i="7"/>
  <c r="AW298" i="7"/>
  <c r="AO298" i="7"/>
  <c r="AG298" i="7"/>
  <c r="Y298" i="7"/>
  <c r="Q298" i="7"/>
  <c r="E233" i="7"/>
  <c r="AD300" i="7"/>
  <c r="L300" i="7"/>
  <c r="J300" i="7"/>
  <c r="I255" i="7"/>
  <c r="I245" i="7"/>
  <c r="I256" i="7"/>
  <c r="I246" i="7"/>
  <c r="I257" i="7"/>
  <c r="AB300" i="7"/>
  <c r="AJ300" i="7"/>
  <c r="Z300" i="7"/>
  <c r="AS300" i="7"/>
  <c r="AN300" i="7"/>
  <c r="Q300" i="7"/>
  <c r="R300" i="7"/>
  <c r="AH300" i="7"/>
  <c r="AU300" i="7"/>
  <c r="AC300" i="7"/>
  <c r="I300" i="7"/>
  <c r="E45" i="19"/>
  <c r="AM300" i="7"/>
  <c r="AK300" i="7"/>
  <c r="AQ300" i="7"/>
  <c r="X300" i="7"/>
  <c r="AI300" i="7"/>
  <c r="AF300" i="7"/>
  <c r="AV300" i="7"/>
  <c r="V300" i="7"/>
  <c r="AW300" i="7"/>
  <c r="AA300" i="7"/>
  <c r="U300" i="7"/>
  <c r="AO300" i="7"/>
  <c r="AT300" i="7"/>
  <c r="AE300" i="7"/>
  <c r="AY300" i="7"/>
  <c r="AG300" i="7"/>
  <c r="AX300" i="7"/>
  <c r="AL300" i="7"/>
  <c r="AR300" i="7"/>
  <c r="AP300" i="7"/>
  <c r="S300" i="7"/>
  <c r="Y300" i="7"/>
  <c r="P300" i="7"/>
  <c r="W300" i="7"/>
  <c r="N300" i="7"/>
  <c r="K300" i="7"/>
  <c r="O300" i="7"/>
  <c r="D299" i="7"/>
  <c r="I252" i="7"/>
  <c r="M300" i="7"/>
  <c r="D298" i="7"/>
  <c r="I261" i="7"/>
  <c r="I267" i="7"/>
  <c r="D300" i="7"/>
  <c r="I268" i="7"/>
  <c r="I262" i="7"/>
  <c r="J249" i="7"/>
  <c r="J255" i="7"/>
  <c r="I263" i="7"/>
  <c r="I280" i="7"/>
  <c r="I269" i="7"/>
  <c r="J250" i="7"/>
  <c r="I279" i="7"/>
  <c r="I303" i="7"/>
  <c r="I293" i="7"/>
  <c r="I258" i="7"/>
  <c r="I37" i="17"/>
  <c r="J261" i="7"/>
  <c r="K249" i="7"/>
  <c r="K255" i="7"/>
  <c r="J267" i="7"/>
  <c r="J245" i="7"/>
  <c r="J256" i="7"/>
  <c r="I264" i="7"/>
  <c r="I294" i="7"/>
  <c r="I270" i="7"/>
  <c r="I308" i="7"/>
  <c r="J251" i="7"/>
  <c r="J252" i="7"/>
  <c r="I304" i="7"/>
  <c r="I305" i="7"/>
  <c r="I281" i="7"/>
  <c r="I49" i="7"/>
  <c r="J268" i="7"/>
  <c r="J293" i="7"/>
  <c r="K267" i="7"/>
  <c r="K245" i="7"/>
  <c r="K261" i="7"/>
  <c r="L249" i="7"/>
  <c r="I210" i="7"/>
  <c r="I309" i="7"/>
  <c r="I310" i="7"/>
  <c r="I295" i="7"/>
  <c r="J246" i="7"/>
  <c r="J257" i="7"/>
  <c r="J262" i="7"/>
  <c r="I50" i="7"/>
  <c r="L255" i="7"/>
  <c r="J263" i="7"/>
  <c r="J264" i="7"/>
  <c r="J269" i="7"/>
  <c r="J279" i="7"/>
  <c r="K250" i="7"/>
  <c r="J303" i="7"/>
  <c r="J308" i="7"/>
  <c r="J258" i="7"/>
  <c r="J37" i="17"/>
  <c r="L267" i="7"/>
  <c r="J294" i="7"/>
  <c r="J270" i="7"/>
  <c r="J304" i="7"/>
  <c r="J305" i="7"/>
  <c r="K251" i="7"/>
  <c r="K252" i="7"/>
  <c r="J280" i="7"/>
  <c r="L245" i="7"/>
  <c r="L261" i="7"/>
  <c r="M249" i="7"/>
  <c r="K256" i="7"/>
  <c r="I211" i="7"/>
  <c r="I51" i="7"/>
  <c r="K268" i="7"/>
  <c r="K293" i="7"/>
  <c r="J309" i="7"/>
  <c r="J295" i="7"/>
  <c r="K246" i="7"/>
  <c r="K257" i="7"/>
  <c r="K262" i="7"/>
  <c r="I213" i="7"/>
  <c r="J281" i="7"/>
  <c r="J49" i="7"/>
  <c r="K269" i="7"/>
  <c r="K294" i="7"/>
  <c r="K295" i="7"/>
  <c r="M255" i="7"/>
  <c r="J210" i="7"/>
  <c r="J310" i="7"/>
  <c r="I215" i="7"/>
  <c r="K263" i="7"/>
  <c r="L250" i="7"/>
  <c r="K303" i="7"/>
  <c r="K279" i="7"/>
  <c r="K258" i="7"/>
  <c r="K37" i="17"/>
  <c r="M267" i="7"/>
  <c r="K270" i="7"/>
  <c r="L251" i="7"/>
  <c r="L252" i="7"/>
  <c r="K280" i="7"/>
  <c r="K304" i="7"/>
  <c r="K305" i="7"/>
  <c r="K264" i="7"/>
  <c r="J50" i="7"/>
  <c r="M245" i="7"/>
  <c r="M261" i="7"/>
  <c r="N249" i="7"/>
  <c r="L256" i="7"/>
  <c r="K308" i="7"/>
  <c r="L268" i="7"/>
  <c r="L293" i="7"/>
  <c r="K309" i="7"/>
  <c r="K310" i="7"/>
  <c r="L262" i="7"/>
  <c r="L246" i="7"/>
  <c r="L257" i="7"/>
  <c r="J211" i="7"/>
  <c r="J51" i="7"/>
  <c r="K281" i="7"/>
  <c r="K49" i="7"/>
  <c r="K50" i="7"/>
  <c r="K51" i="7"/>
  <c r="L263" i="7"/>
  <c r="L264" i="7"/>
  <c r="N255" i="7"/>
  <c r="J213" i="7"/>
  <c r="M250" i="7"/>
  <c r="L303" i="7"/>
  <c r="L308" i="7"/>
  <c r="L279" i="7"/>
  <c r="K210" i="7"/>
  <c r="L258" i="7"/>
  <c r="L37" i="17"/>
  <c r="L269" i="7"/>
  <c r="L294" i="7"/>
  <c r="L270" i="7"/>
  <c r="M251" i="7"/>
  <c r="M252" i="7"/>
  <c r="L280" i="7"/>
  <c r="L304" i="7"/>
  <c r="L305" i="7"/>
  <c r="M256" i="7"/>
  <c r="N245" i="7"/>
  <c r="N261" i="7"/>
  <c r="O249" i="7"/>
  <c r="N267" i="7"/>
  <c r="J215" i="7"/>
  <c r="K211" i="7"/>
  <c r="K213" i="7"/>
  <c r="M246" i="7"/>
  <c r="M257" i="7"/>
  <c r="M262" i="7"/>
  <c r="M268" i="7"/>
  <c r="L309" i="7"/>
  <c r="L310" i="7"/>
  <c r="L295" i="7"/>
  <c r="L281" i="7"/>
  <c r="L49" i="7"/>
  <c r="K215" i="7"/>
  <c r="M258" i="7"/>
  <c r="M37" i="17"/>
  <c r="M269" i="7"/>
  <c r="M294" i="7"/>
  <c r="L210" i="7"/>
  <c r="L50" i="7"/>
  <c r="M293" i="7"/>
  <c r="N250" i="7"/>
  <c r="M303" i="7"/>
  <c r="M279" i="7"/>
  <c r="O255" i="7"/>
  <c r="M263" i="7"/>
  <c r="O267" i="7"/>
  <c r="M270" i="7"/>
  <c r="M280" i="7"/>
  <c r="M281" i="7"/>
  <c r="M49" i="7"/>
  <c r="N251" i="7"/>
  <c r="N252" i="7"/>
  <c r="M304" i="7"/>
  <c r="M305" i="7"/>
  <c r="M264" i="7"/>
  <c r="L211" i="7"/>
  <c r="L213" i="7"/>
  <c r="N256" i="7"/>
  <c r="M295" i="7"/>
  <c r="M308" i="7"/>
  <c r="O245" i="7"/>
  <c r="O261" i="7"/>
  <c r="P249" i="7"/>
  <c r="L51" i="7"/>
  <c r="N268" i="7"/>
  <c r="N293" i="7"/>
  <c r="M309" i="7"/>
  <c r="M310" i="7"/>
  <c r="M210" i="7"/>
  <c r="L215" i="7"/>
  <c r="N246" i="7"/>
  <c r="N257" i="7"/>
  <c r="N262" i="7"/>
  <c r="N263" i="7"/>
  <c r="O251" i="7"/>
  <c r="P255" i="7"/>
  <c r="O250" i="7"/>
  <c r="N303" i="7"/>
  <c r="N279" i="7"/>
  <c r="N269" i="7"/>
  <c r="M50" i="7"/>
  <c r="N258" i="7"/>
  <c r="N37" i="17"/>
  <c r="N304" i="7"/>
  <c r="N305" i="7"/>
  <c r="N264" i="7"/>
  <c r="N280" i="7"/>
  <c r="N281" i="7"/>
  <c r="N49" i="7"/>
  <c r="O252" i="7"/>
  <c r="O256" i="7"/>
  <c r="M211" i="7"/>
  <c r="M213" i="7"/>
  <c r="M51" i="7"/>
  <c r="N308" i="7"/>
  <c r="N294" i="7"/>
  <c r="N270" i="7"/>
  <c r="P245" i="7"/>
  <c r="P261" i="7"/>
  <c r="Q249" i="7"/>
  <c r="P267" i="7"/>
  <c r="N210" i="7"/>
  <c r="M215" i="7"/>
  <c r="O262" i="7"/>
  <c r="O246" i="7"/>
  <c r="O257" i="7"/>
  <c r="N309" i="7"/>
  <c r="N310" i="7"/>
  <c r="N50" i="7"/>
  <c r="N295" i="7"/>
  <c r="O268" i="7"/>
  <c r="N211" i="7"/>
  <c r="N51" i="7"/>
  <c r="O263" i="7"/>
  <c r="O264" i="7"/>
  <c r="O269" i="7"/>
  <c r="O294" i="7"/>
  <c r="O258" i="7"/>
  <c r="O37" i="17"/>
  <c r="Q255" i="7"/>
  <c r="O279" i="7"/>
  <c r="O303" i="7"/>
  <c r="P250" i="7"/>
  <c r="O293" i="7"/>
  <c r="N213" i="7"/>
  <c r="N215" i="7"/>
  <c r="O270" i="7"/>
  <c r="Q245" i="7"/>
  <c r="Q261" i="7"/>
  <c r="R249" i="7"/>
  <c r="O308" i="7"/>
  <c r="O295" i="7"/>
  <c r="P256" i="7"/>
  <c r="Q267" i="7"/>
  <c r="P251" i="7"/>
  <c r="P252" i="7"/>
  <c r="O304" i="7"/>
  <c r="O305" i="7"/>
  <c r="O280" i="7"/>
  <c r="O281" i="7"/>
  <c r="O49" i="7"/>
  <c r="O210" i="7"/>
  <c r="P262" i="7"/>
  <c r="P246" i="7"/>
  <c r="P257" i="7"/>
  <c r="P268" i="7"/>
  <c r="O309" i="7"/>
  <c r="O310" i="7"/>
  <c r="O50" i="7"/>
  <c r="O211" i="7"/>
  <c r="P263" i="7"/>
  <c r="P304" i="7"/>
  <c r="O213" i="7"/>
  <c r="O215" i="7"/>
  <c r="P293" i="7"/>
  <c r="O51" i="7"/>
  <c r="P258" i="7"/>
  <c r="P37" i="17"/>
  <c r="R255" i="7"/>
  <c r="Q250" i="7"/>
  <c r="P279" i="7"/>
  <c r="P303" i="7"/>
  <c r="P269" i="7"/>
  <c r="P294" i="7"/>
  <c r="Q251" i="7"/>
  <c r="Q252" i="7"/>
  <c r="P264" i="7"/>
  <c r="P280" i="7"/>
  <c r="P281" i="7"/>
  <c r="P49" i="7"/>
  <c r="P309" i="7"/>
  <c r="P305" i="7"/>
  <c r="R245" i="7"/>
  <c r="R261" i="7"/>
  <c r="S249" i="7"/>
  <c r="R267" i="7"/>
  <c r="P270" i="7"/>
  <c r="Q256" i="7"/>
  <c r="P308" i="7"/>
  <c r="P295" i="7"/>
  <c r="Q268" i="7"/>
  <c r="Q293" i="7"/>
  <c r="P310" i="7"/>
  <c r="P50" i="7"/>
  <c r="P211" i="7"/>
  <c r="P210" i="7"/>
  <c r="Q262" i="7"/>
  <c r="Q246" i="7"/>
  <c r="Q257" i="7"/>
  <c r="Q258" i="7"/>
  <c r="Q37" i="17"/>
  <c r="P213" i="7"/>
  <c r="P215" i="7"/>
  <c r="P51" i="7"/>
  <c r="R250" i="7"/>
  <c r="Q279" i="7"/>
  <c r="Q303" i="7"/>
  <c r="Q308" i="7"/>
  <c r="S255" i="7"/>
  <c r="Q263" i="7"/>
  <c r="Q264" i="7"/>
  <c r="Q269" i="7"/>
  <c r="S245" i="7"/>
  <c r="S261" i="7"/>
  <c r="T249" i="7"/>
  <c r="Q294" i="7"/>
  <c r="Q270" i="7"/>
  <c r="R251" i="7"/>
  <c r="Q304" i="7"/>
  <c r="Q305" i="7"/>
  <c r="Q280" i="7"/>
  <c r="Q281" i="7"/>
  <c r="Q49" i="7"/>
  <c r="S267" i="7"/>
  <c r="R256" i="7"/>
  <c r="R268" i="7"/>
  <c r="R293" i="7"/>
  <c r="R252" i="7"/>
  <c r="R262" i="7"/>
  <c r="R246" i="7"/>
  <c r="R257" i="7"/>
  <c r="Q309" i="7"/>
  <c r="Q310" i="7"/>
  <c r="Q50" i="7"/>
  <c r="Q211" i="7"/>
  <c r="Q295" i="7"/>
  <c r="Q210" i="7"/>
  <c r="R263" i="7"/>
  <c r="R304" i="7"/>
  <c r="Q213" i="7"/>
  <c r="Q215" i="7"/>
  <c r="R258" i="7"/>
  <c r="R37" i="17"/>
  <c r="R269" i="7"/>
  <c r="S250" i="7"/>
  <c r="R279" i="7"/>
  <c r="R303" i="7"/>
  <c r="T255" i="7"/>
  <c r="Q51" i="7"/>
  <c r="R264" i="7"/>
  <c r="R280" i="7"/>
  <c r="R281" i="7"/>
  <c r="R49" i="7"/>
  <c r="R210" i="7"/>
  <c r="S251" i="7"/>
  <c r="S252" i="7"/>
  <c r="T267" i="7"/>
  <c r="R305" i="7"/>
  <c r="R294" i="7"/>
  <c r="R270" i="7"/>
  <c r="S256" i="7"/>
  <c r="T245" i="7"/>
  <c r="T261" i="7"/>
  <c r="U249" i="7"/>
  <c r="R308" i="7"/>
  <c r="S262" i="7"/>
  <c r="S246" i="7"/>
  <c r="S257" i="7"/>
  <c r="R309" i="7"/>
  <c r="R310" i="7"/>
  <c r="R50" i="7"/>
  <c r="R295" i="7"/>
  <c r="S268" i="7"/>
  <c r="S258" i="7"/>
  <c r="S37" i="17"/>
  <c r="R211" i="7"/>
  <c r="R51" i="7"/>
  <c r="S293" i="7"/>
  <c r="S263" i="7"/>
  <c r="S269" i="7"/>
  <c r="S294" i="7"/>
  <c r="U255" i="7"/>
  <c r="T250" i="7"/>
  <c r="S303" i="7"/>
  <c r="S279" i="7"/>
  <c r="R213" i="7"/>
  <c r="R215" i="7"/>
  <c r="T251" i="7"/>
  <c r="T252" i="7"/>
  <c r="S280" i="7"/>
  <c r="S281" i="7"/>
  <c r="S49" i="7"/>
  <c r="S304" i="7"/>
  <c r="S309" i="7"/>
  <c r="U245" i="7"/>
  <c r="U261" i="7"/>
  <c r="V249" i="7"/>
  <c r="S264" i="7"/>
  <c r="S270" i="7"/>
  <c r="S295" i="7"/>
  <c r="S308" i="7"/>
  <c r="T256" i="7"/>
  <c r="U267" i="7"/>
  <c r="T268" i="7"/>
  <c r="T293" i="7"/>
  <c r="S305" i="7"/>
  <c r="S210" i="7"/>
  <c r="S310" i="7"/>
  <c r="S50" i="7"/>
  <c r="S211" i="7"/>
  <c r="T262" i="7"/>
  <c r="T246" i="7"/>
  <c r="T257" i="7"/>
  <c r="T263" i="7"/>
  <c r="T264" i="7"/>
  <c r="S213" i="7"/>
  <c r="S215" i="7"/>
  <c r="S51" i="7"/>
  <c r="T269" i="7"/>
  <c r="T294" i="7"/>
  <c r="T295" i="7"/>
  <c r="V255" i="7"/>
  <c r="T258" i="7"/>
  <c r="T37" i="17"/>
  <c r="U250" i="7"/>
  <c r="T303" i="7"/>
  <c r="T279" i="7"/>
  <c r="T304" i="7"/>
  <c r="T305" i="7"/>
  <c r="T280" i="7"/>
  <c r="T281" i="7"/>
  <c r="T49" i="7"/>
  <c r="T210" i="7"/>
  <c r="U251" i="7"/>
  <c r="U252" i="7"/>
  <c r="T270" i="7"/>
  <c r="V245" i="7"/>
  <c r="V261" i="7"/>
  <c r="W249" i="7"/>
  <c r="T308" i="7"/>
  <c r="U256" i="7"/>
  <c r="V267" i="7"/>
  <c r="T309" i="7"/>
  <c r="T310" i="7"/>
  <c r="T50" i="7"/>
  <c r="T211" i="7"/>
  <c r="U262" i="7"/>
  <c r="U246" i="7"/>
  <c r="U257" i="7"/>
  <c r="U268" i="7"/>
  <c r="T213" i="7"/>
  <c r="T215" i="7"/>
  <c r="T51" i="7"/>
  <c r="W255" i="7"/>
  <c r="U263" i="7"/>
  <c r="U269" i="7"/>
  <c r="U294" i="7"/>
  <c r="U258" i="7"/>
  <c r="U37" i="17"/>
  <c r="V250" i="7"/>
  <c r="U303" i="7"/>
  <c r="U279" i="7"/>
  <c r="U293" i="7"/>
  <c r="V256" i="7"/>
  <c r="U280" i="7"/>
  <c r="U281" i="7"/>
  <c r="U49" i="7"/>
  <c r="U304" i="7"/>
  <c r="U305" i="7"/>
  <c r="V251" i="7"/>
  <c r="W245" i="7"/>
  <c r="W261" i="7"/>
  <c r="X249" i="7"/>
  <c r="U270" i="7"/>
  <c r="W267" i="7"/>
  <c r="U295" i="7"/>
  <c r="U308" i="7"/>
  <c r="U264" i="7"/>
  <c r="U210" i="7"/>
  <c r="U309" i="7"/>
  <c r="U310" i="7"/>
  <c r="U50" i="7"/>
  <c r="V262" i="7"/>
  <c r="V246" i="7"/>
  <c r="V257" i="7"/>
  <c r="V252" i="7"/>
  <c r="V268" i="7"/>
  <c r="V269" i="7"/>
  <c r="V294" i="7"/>
  <c r="U211" i="7"/>
  <c r="U213" i="7"/>
  <c r="U51" i="7"/>
  <c r="X255" i="7"/>
  <c r="V293" i="7"/>
  <c r="W250" i="7"/>
  <c r="V303" i="7"/>
  <c r="V279" i="7"/>
  <c r="V263" i="7"/>
  <c r="V258" i="7"/>
  <c r="V37" i="17"/>
  <c r="V270" i="7"/>
  <c r="U215" i="7"/>
  <c r="V295" i="7"/>
  <c r="V308" i="7"/>
  <c r="X245" i="7"/>
  <c r="X261" i="7"/>
  <c r="Y249" i="7"/>
  <c r="X267" i="7"/>
  <c r="W256" i="7"/>
  <c r="W251" i="7"/>
  <c r="V280" i="7"/>
  <c r="V281" i="7"/>
  <c r="V49" i="7"/>
  <c r="V304" i="7"/>
  <c r="V309" i="7"/>
  <c r="V264" i="7"/>
  <c r="V210" i="7"/>
  <c r="V310" i="7"/>
  <c r="V50" i="7"/>
  <c r="V211" i="7"/>
  <c r="AJ97" i="8"/>
  <c r="AJ18" i="15"/>
  <c r="W262" i="7"/>
  <c r="W246" i="7"/>
  <c r="W257" i="7"/>
  <c r="W252" i="7"/>
  <c r="W268" i="7"/>
  <c r="V305" i="7"/>
  <c r="W269" i="7"/>
  <c r="W294" i="7"/>
  <c r="V213" i="7"/>
  <c r="W293" i="7"/>
  <c r="W263" i="7"/>
  <c r="W280" i="7"/>
  <c r="W258" i="7"/>
  <c r="W37" i="17"/>
  <c r="V51" i="7"/>
  <c r="W279" i="7"/>
  <c r="X250" i="7"/>
  <c r="W303" i="7"/>
  <c r="Y255" i="7"/>
  <c r="W270" i="7"/>
  <c r="X251" i="7"/>
  <c r="X252" i="7"/>
  <c r="W304" i="7"/>
  <c r="W309" i="7"/>
  <c r="W264" i="7"/>
  <c r="Y245" i="7"/>
  <c r="Y261" i="7"/>
  <c r="Z249" i="7"/>
  <c r="Y267" i="7"/>
  <c r="V215" i="7"/>
  <c r="X256" i="7"/>
  <c r="W281" i="7"/>
  <c r="W49" i="7"/>
  <c r="W308" i="7"/>
  <c r="W295" i="7"/>
  <c r="W210" i="7"/>
  <c r="X262" i="7"/>
  <c r="X246" i="7"/>
  <c r="X257" i="7"/>
  <c r="X268" i="7"/>
  <c r="W305" i="7"/>
  <c r="W310" i="7"/>
  <c r="W50" i="7"/>
  <c r="W211" i="7"/>
  <c r="X269" i="7"/>
  <c r="X294" i="7"/>
  <c r="W213" i="7"/>
  <c r="X258" i="7"/>
  <c r="X37" i="17"/>
  <c r="X293" i="7"/>
  <c r="Y250" i="7"/>
  <c r="X279" i="7"/>
  <c r="X303" i="7"/>
  <c r="W51" i="7"/>
  <c r="X263" i="7"/>
  <c r="X264" i="7"/>
  <c r="Z255" i="7"/>
  <c r="X270" i="7"/>
  <c r="Z267" i="7"/>
  <c r="W215" i="7"/>
  <c r="Z245" i="7"/>
  <c r="Z261" i="7"/>
  <c r="AA249" i="7"/>
  <c r="Y256" i="7"/>
  <c r="X308" i="7"/>
  <c r="X295" i="7"/>
  <c r="Y251" i="7"/>
  <c r="Y252" i="7"/>
  <c r="X304" i="7"/>
  <c r="X309" i="7"/>
  <c r="X280" i="7"/>
  <c r="X281" i="7"/>
  <c r="X49" i="7"/>
  <c r="Y268" i="7"/>
  <c r="Y293" i="7"/>
  <c r="X210" i="7"/>
  <c r="X310" i="7"/>
  <c r="X50" i="7"/>
  <c r="X211" i="7"/>
  <c r="X305" i="7"/>
  <c r="Y262" i="7"/>
  <c r="Y246" i="7"/>
  <c r="Y257" i="7"/>
  <c r="X213" i="7"/>
  <c r="X51" i="7"/>
  <c r="Y263" i="7"/>
  <c r="Y258" i="7"/>
  <c r="Y37" i="17"/>
  <c r="Z250" i="7"/>
  <c r="Y279" i="7"/>
  <c r="Y303" i="7"/>
  <c r="AA255" i="7"/>
  <c r="Y269" i="7"/>
  <c r="Y294" i="7"/>
  <c r="Y270" i="7"/>
  <c r="Z251" i="7"/>
  <c r="Z252" i="7"/>
  <c r="Y304" i="7"/>
  <c r="Y305" i="7"/>
  <c r="Y280" i="7"/>
  <c r="Y281" i="7"/>
  <c r="Y49" i="7"/>
  <c r="Z256" i="7"/>
  <c r="X215" i="7"/>
  <c r="AA245" i="7"/>
  <c r="AA261" i="7"/>
  <c r="AB249" i="7"/>
  <c r="AA267" i="7"/>
  <c r="Y264" i="7"/>
  <c r="Y308" i="7"/>
  <c r="Z268" i="7"/>
  <c r="Z293" i="7"/>
  <c r="Y210" i="7"/>
  <c r="Y309" i="7"/>
  <c r="Y310" i="7"/>
  <c r="Y50" i="7"/>
  <c r="Y211" i="7"/>
  <c r="Y295" i="7"/>
  <c r="Z262" i="7"/>
  <c r="Z246" i="7"/>
  <c r="Z257" i="7"/>
  <c r="Z263" i="7"/>
  <c r="Z280" i="7"/>
  <c r="Y213" i="7"/>
  <c r="Z258" i="7"/>
  <c r="Z37" i="17"/>
  <c r="Z269" i="7"/>
  <c r="Y51" i="7"/>
  <c r="AA250" i="7"/>
  <c r="Z279" i="7"/>
  <c r="Z303" i="7"/>
  <c r="AB255" i="7"/>
  <c r="Z304" i="7"/>
  <c r="Z305" i="7"/>
  <c r="Z264" i="7"/>
  <c r="AA251" i="7"/>
  <c r="AA252" i="7"/>
  <c r="AB267" i="7"/>
  <c r="Y215" i="7"/>
  <c r="Z294" i="7"/>
  <c r="Z270" i="7"/>
  <c r="AB245" i="7"/>
  <c r="AB261" i="7"/>
  <c r="AC249" i="7"/>
  <c r="Z281" i="7"/>
  <c r="Z49" i="7"/>
  <c r="Z308" i="7"/>
  <c r="AA256" i="7"/>
  <c r="AA268" i="7"/>
  <c r="AA293" i="7"/>
  <c r="AA262" i="7"/>
  <c r="AA246" i="7"/>
  <c r="AA257" i="7"/>
  <c r="Z309" i="7"/>
  <c r="Z310" i="7"/>
  <c r="Z50" i="7"/>
  <c r="Z211" i="7"/>
  <c r="Z295" i="7"/>
  <c r="Z210" i="7"/>
  <c r="Z213" i="7"/>
  <c r="Z215" i="7"/>
  <c r="Z51" i="7"/>
  <c r="AB250" i="7"/>
  <c r="AA303" i="7"/>
  <c r="AA308" i="7"/>
  <c r="AA279" i="7"/>
  <c r="AC255" i="7"/>
  <c r="AA263" i="7"/>
  <c r="AA264" i="7"/>
  <c r="AA269" i="7"/>
  <c r="AA258" i="7"/>
  <c r="AA37" i="17"/>
  <c r="AC245" i="7"/>
  <c r="AC261" i="7"/>
  <c r="AD249" i="7"/>
  <c r="AA294" i="7"/>
  <c r="AA270" i="7"/>
  <c r="AB251" i="7"/>
  <c r="AA280" i="7"/>
  <c r="AA281" i="7"/>
  <c r="AA49" i="7"/>
  <c r="AA304" i="7"/>
  <c r="AA305" i="7"/>
  <c r="AB256" i="7"/>
  <c r="AC267" i="7"/>
  <c r="AA210" i="7"/>
  <c r="AB262" i="7"/>
  <c r="AB246" i="7"/>
  <c r="AB257" i="7"/>
  <c r="AB268" i="7"/>
  <c r="AA309" i="7"/>
  <c r="AA310" i="7"/>
  <c r="AA50" i="7"/>
  <c r="AA211" i="7"/>
  <c r="AA295" i="7"/>
  <c r="AB252" i="7"/>
  <c r="AB263" i="7"/>
  <c r="AB264" i="7"/>
  <c r="AA213" i="7"/>
  <c r="AA215" i="7"/>
  <c r="AB269" i="7"/>
  <c r="AB294" i="7"/>
  <c r="AD255" i="7"/>
  <c r="AB258" i="7"/>
  <c r="AB37" i="17"/>
  <c r="AC250" i="7"/>
  <c r="AB303" i="7"/>
  <c r="AB279" i="7"/>
  <c r="AB293" i="7"/>
  <c r="AA51" i="7"/>
  <c r="AB304" i="7"/>
  <c r="AB305" i="7"/>
  <c r="AB280" i="7"/>
  <c r="AB281" i="7"/>
  <c r="AB49" i="7"/>
  <c r="AB210" i="7"/>
  <c r="AC251" i="7"/>
  <c r="AC252" i="7"/>
  <c r="AD267" i="7"/>
  <c r="AB270" i="7"/>
  <c r="AB295" i="7"/>
  <c r="AB308" i="7"/>
  <c r="AD245" i="7"/>
  <c r="AD261" i="7"/>
  <c r="AE249" i="7"/>
  <c r="AC256" i="7"/>
  <c r="AB309" i="7"/>
  <c r="AB310" i="7"/>
  <c r="AB50" i="7"/>
  <c r="AB211" i="7"/>
  <c r="AC262" i="7"/>
  <c r="AC246" i="7"/>
  <c r="AC257" i="7"/>
  <c r="AC268" i="7"/>
  <c r="AB213" i="7"/>
  <c r="AB215" i="7"/>
  <c r="AB51" i="7"/>
  <c r="AC293" i="7"/>
  <c r="AE255" i="7"/>
  <c r="AC263" i="7"/>
  <c r="AC264" i="7"/>
  <c r="AC269" i="7"/>
  <c r="AC294" i="7"/>
  <c r="AC258" i="7"/>
  <c r="AC37" i="17"/>
  <c r="AD250" i="7"/>
  <c r="AC303" i="7"/>
  <c r="AC279" i="7"/>
  <c r="AE267" i="7"/>
  <c r="AE245" i="7"/>
  <c r="AE261" i="7"/>
  <c r="AF249" i="7"/>
  <c r="AC270" i="7"/>
  <c r="AD251" i="7"/>
  <c r="AC280" i="7"/>
  <c r="AC281" i="7"/>
  <c r="AC49" i="7"/>
  <c r="AC304" i="7"/>
  <c r="AC305" i="7"/>
  <c r="AD256" i="7"/>
  <c r="AC295" i="7"/>
  <c r="AC308" i="7"/>
  <c r="AD268" i="7"/>
  <c r="AD293" i="7"/>
  <c r="AC309" i="7"/>
  <c r="AC310" i="7"/>
  <c r="AC50" i="7"/>
  <c r="AD262" i="7"/>
  <c r="AD246" i="7"/>
  <c r="AD257" i="7"/>
  <c r="AD252" i="7"/>
  <c r="AC210" i="7"/>
  <c r="AD263" i="7"/>
  <c r="AD280" i="7"/>
  <c r="AC211" i="7"/>
  <c r="AC51" i="7"/>
  <c r="AE250" i="7"/>
  <c r="AD303" i="7"/>
  <c r="AD308" i="7"/>
  <c r="AD279" i="7"/>
  <c r="AF255" i="7"/>
  <c r="AD269" i="7"/>
  <c r="AD258" i="7"/>
  <c r="AD37" i="17"/>
  <c r="AE251" i="7"/>
  <c r="AE252" i="7"/>
  <c r="AD264" i="7"/>
  <c r="AD304" i="7"/>
  <c r="AD305" i="7"/>
  <c r="AC213" i="7"/>
  <c r="AC215" i="7"/>
  <c r="AD281" i="7"/>
  <c r="AD49" i="7"/>
  <c r="AD210" i="7"/>
  <c r="AF245" i="7"/>
  <c r="AF261" i="7"/>
  <c r="AG249" i="7"/>
  <c r="AD294" i="7"/>
  <c r="AD270" i="7"/>
  <c r="AF267" i="7"/>
  <c r="AE256" i="7"/>
  <c r="AE262" i="7"/>
  <c r="AE246" i="7"/>
  <c r="AE257" i="7"/>
  <c r="AD309" i="7"/>
  <c r="AD310" i="7"/>
  <c r="AD50" i="7"/>
  <c r="AD295" i="7"/>
  <c r="AE268" i="7"/>
  <c r="AE258" i="7"/>
  <c r="AE37" i="17"/>
  <c r="AG255" i="7"/>
  <c r="AE263" i="7"/>
  <c r="AE280" i="7"/>
  <c r="AE269" i="7"/>
  <c r="AE294" i="7"/>
  <c r="AE279" i="7"/>
  <c r="AF250" i="7"/>
  <c r="AE303" i="7"/>
  <c r="AD211" i="7"/>
  <c r="AD51" i="7"/>
  <c r="AE293" i="7"/>
  <c r="AG267" i="7"/>
  <c r="AD213" i="7"/>
  <c r="AD215" i="7"/>
  <c r="AE308" i="7"/>
  <c r="AE295" i="7"/>
  <c r="AF256" i="7"/>
  <c r="AE270" i="7"/>
  <c r="AF251" i="7"/>
  <c r="AF252" i="7"/>
  <c r="AE304" i="7"/>
  <c r="AE305" i="7"/>
  <c r="AE281" i="7"/>
  <c r="AE49" i="7"/>
  <c r="AG245" i="7"/>
  <c r="AG261" i="7"/>
  <c r="AH249" i="7"/>
  <c r="AE264" i="7"/>
  <c r="AE210" i="7"/>
  <c r="AF262" i="7"/>
  <c r="AF246" i="7"/>
  <c r="AF257" i="7"/>
  <c r="AF268" i="7"/>
  <c r="AE309" i="7"/>
  <c r="AE310" i="7"/>
  <c r="AE50" i="7"/>
  <c r="AF263" i="7"/>
  <c r="AF304" i="7"/>
  <c r="AE211" i="7"/>
  <c r="AE51" i="7"/>
  <c r="AH255" i="7"/>
  <c r="AF269" i="7"/>
  <c r="AF294" i="7"/>
  <c r="AF293" i="7"/>
  <c r="AF258" i="7"/>
  <c r="AF37" i="17"/>
  <c r="AG250" i="7"/>
  <c r="AF279" i="7"/>
  <c r="AF303" i="7"/>
  <c r="AF264" i="7"/>
  <c r="AF280" i="7"/>
  <c r="AF281" i="7"/>
  <c r="AF49" i="7"/>
  <c r="AF210" i="7"/>
  <c r="AG251" i="7"/>
  <c r="AG252" i="7"/>
  <c r="AH267" i="7"/>
  <c r="AE213" i="7"/>
  <c r="AE215" i="7"/>
  <c r="AF305" i="7"/>
  <c r="AF270" i="7"/>
  <c r="AH245" i="7"/>
  <c r="AH261" i="7"/>
  <c r="AI249" i="7"/>
  <c r="AG256" i="7"/>
  <c r="AF308" i="7"/>
  <c r="AF295" i="7"/>
  <c r="AF309" i="7"/>
  <c r="AG262" i="7"/>
  <c r="AG246" i="7"/>
  <c r="AG257" i="7"/>
  <c r="AG268" i="7"/>
  <c r="AF310" i="7"/>
  <c r="AF50" i="7"/>
  <c r="AI255" i="7"/>
  <c r="AG263" i="7"/>
  <c r="AG264" i="7"/>
  <c r="AG269" i="7"/>
  <c r="AG294" i="7"/>
  <c r="AF211" i="7"/>
  <c r="AF51" i="7"/>
  <c r="AG258" i="7"/>
  <c r="AG37" i="17"/>
  <c r="AG293" i="7"/>
  <c r="AH250" i="7"/>
  <c r="AG279" i="7"/>
  <c r="AG303" i="7"/>
  <c r="AI267" i="7"/>
  <c r="D267" i="7"/>
  <c r="AF213" i="7"/>
  <c r="AF215" i="7"/>
  <c r="AH256" i="7"/>
  <c r="AG270" i="7"/>
  <c r="AH251" i="7"/>
  <c r="AG304" i="7"/>
  <c r="AG305" i="7"/>
  <c r="AG280" i="7"/>
  <c r="AG281" i="7"/>
  <c r="AG49" i="7"/>
  <c r="AG308" i="7"/>
  <c r="AG295" i="7"/>
  <c r="AI245" i="7"/>
  <c r="AI261" i="7"/>
  <c r="AJ249" i="7"/>
  <c r="AG210" i="7"/>
  <c r="AH262" i="7"/>
  <c r="AH246" i="7"/>
  <c r="AH257" i="7"/>
  <c r="AH268" i="7"/>
  <c r="AG309" i="7"/>
  <c r="AG310" i="7"/>
  <c r="AG50" i="7"/>
  <c r="AH252" i="7"/>
  <c r="D261" i="7"/>
  <c r="AH269" i="7"/>
  <c r="AH294" i="7"/>
  <c r="AG211" i="7"/>
  <c r="AG213" i="7"/>
  <c r="AG51" i="7"/>
  <c r="AH293" i="7"/>
  <c r="AH258" i="7"/>
  <c r="AH37" i="17"/>
  <c r="AH279" i="7"/>
  <c r="AI250" i="7"/>
  <c r="AH303" i="7"/>
  <c r="AH263" i="7"/>
  <c r="AJ255" i="7"/>
  <c r="AH270" i="7"/>
  <c r="AJ245" i="7"/>
  <c r="AJ261" i="7"/>
  <c r="AK249" i="7"/>
  <c r="AI251" i="7"/>
  <c r="AH304" i="7"/>
  <c r="AH309" i="7"/>
  <c r="AH280" i="7"/>
  <c r="AH281" i="7"/>
  <c r="AH49" i="7"/>
  <c r="AH264" i="7"/>
  <c r="AI256" i="7"/>
  <c r="AG215" i="7"/>
  <c r="AH308" i="7"/>
  <c r="AH295" i="7"/>
  <c r="AJ267" i="7"/>
  <c r="AH210" i="7"/>
  <c r="AH310" i="7"/>
  <c r="AH50" i="7"/>
  <c r="AH211" i="7"/>
  <c r="AH305" i="7"/>
  <c r="AI252" i="7"/>
  <c r="AK97" i="8"/>
  <c r="AI262" i="7"/>
  <c r="D256" i="7"/>
  <c r="M41" i="19"/>
  <c r="AL97" i="8"/>
  <c r="AI246" i="7"/>
  <c r="AI257" i="7"/>
  <c r="AI268" i="7"/>
  <c r="AH213" i="7"/>
  <c r="AI293" i="7"/>
  <c r="D268" i="7"/>
  <c r="AK255" i="7"/>
  <c r="AI263" i="7"/>
  <c r="AI258" i="7"/>
  <c r="AI37" i="17"/>
  <c r="AL18" i="15"/>
  <c r="AL90" i="8"/>
  <c r="AI269" i="7"/>
  <c r="AJ250" i="7"/>
  <c r="AI303" i="7"/>
  <c r="AI279" i="7"/>
  <c r="D262" i="7"/>
  <c r="AH51" i="7"/>
  <c r="AK18" i="15"/>
  <c r="AK90" i="8"/>
  <c r="AK267" i="7"/>
  <c r="AI294" i="7"/>
  <c r="AI295" i="7"/>
  <c r="D295" i="7"/>
  <c r="D269" i="7"/>
  <c r="D270" i="7"/>
  <c r="AJ256" i="7"/>
  <c r="AK245" i="7"/>
  <c r="AK261" i="7"/>
  <c r="AL249" i="7"/>
  <c r="D303" i="7"/>
  <c r="AI270" i="7"/>
  <c r="AJ251" i="7"/>
  <c r="AJ252" i="7"/>
  <c r="AI280" i="7"/>
  <c r="AI281" i="7"/>
  <c r="AI49" i="7"/>
  <c r="AI304" i="7"/>
  <c r="D304" i="7"/>
  <c r="AI264" i="7"/>
  <c r="AH215" i="7"/>
  <c r="D279" i="7"/>
  <c r="AI308" i="7"/>
  <c r="M57" i="19"/>
  <c r="D293" i="7"/>
  <c r="AI210" i="7"/>
  <c r="AJ262" i="7"/>
  <c r="AM97" i="8"/>
  <c r="AJ246" i="7"/>
  <c r="AJ257" i="7"/>
  <c r="AJ268" i="7"/>
  <c r="D308" i="7"/>
  <c r="AI305" i="7"/>
  <c r="D305" i="7"/>
  <c r="AI309" i="7"/>
  <c r="AI310" i="7"/>
  <c r="D294" i="7"/>
  <c r="AJ258" i="7"/>
  <c r="AJ37" i="17"/>
  <c r="AM90" i="8"/>
  <c r="AL255" i="7"/>
  <c r="AJ263" i="7"/>
  <c r="AK250" i="7"/>
  <c r="AJ303" i="7"/>
  <c r="AJ279" i="7"/>
  <c r="AJ293" i="7"/>
  <c r="AI50" i="7"/>
  <c r="D310" i="7"/>
  <c r="AJ269" i="7"/>
  <c r="AJ294" i="7"/>
  <c r="AL267" i="7"/>
  <c r="AJ270" i="7"/>
  <c r="AI211" i="7"/>
  <c r="AI213" i="7"/>
  <c r="AI51" i="7"/>
  <c r="AK251" i="7"/>
  <c r="AJ280" i="7"/>
  <c r="AJ281" i="7"/>
  <c r="AJ49" i="7"/>
  <c r="AJ304" i="7"/>
  <c r="AJ309" i="7"/>
  <c r="AJ295" i="7"/>
  <c r="AJ308" i="7"/>
  <c r="AL245" i="7"/>
  <c r="AL261" i="7"/>
  <c r="AM249" i="7"/>
  <c r="AJ264" i="7"/>
  <c r="AK256" i="7"/>
  <c r="AK268" i="7"/>
  <c r="AK293" i="7"/>
  <c r="AJ210" i="7"/>
  <c r="AJ310" i="7"/>
  <c r="AJ50" i="7"/>
  <c r="AJ211" i="7"/>
  <c r="AJ305" i="7"/>
  <c r="AI215" i="7"/>
  <c r="D215" i="7"/>
  <c r="D60" i="17"/>
  <c r="AK262" i="7"/>
  <c r="AK246" i="7"/>
  <c r="AK257" i="7"/>
  <c r="AK252" i="7"/>
  <c r="AJ213" i="7"/>
  <c r="AM255" i="7"/>
  <c r="AK263" i="7"/>
  <c r="AK264" i="7"/>
  <c r="AK258" i="7"/>
  <c r="AK37" i="17"/>
  <c r="AL250" i="7"/>
  <c r="AK303" i="7"/>
  <c r="AK308" i="7"/>
  <c r="AK279" i="7"/>
  <c r="AK269" i="7"/>
  <c r="AJ51" i="7"/>
  <c r="AK280" i="7"/>
  <c r="AK281" i="7"/>
  <c r="AK49" i="7"/>
  <c r="AL251" i="7"/>
  <c r="AL252" i="7"/>
  <c r="AK304" i="7"/>
  <c r="AK305" i="7"/>
  <c r="AK294" i="7"/>
  <c r="AK270" i="7"/>
  <c r="AM245" i="7"/>
  <c r="AM261" i="7"/>
  <c r="AN249" i="7"/>
  <c r="AM267" i="7"/>
  <c r="AL256" i="7"/>
  <c r="AJ215" i="7"/>
  <c r="AK210" i="7"/>
  <c r="AK309" i="7"/>
  <c r="AK310" i="7"/>
  <c r="AK50" i="7"/>
  <c r="AK211" i="7"/>
  <c r="AK295" i="7"/>
  <c r="AL262" i="7"/>
  <c r="AL246" i="7"/>
  <c r="AL257" i="7"/>
  <c r="AL268" i="7"/>
  <c r="AL263" i="7"/>
  <c r="AL264" i="7"/>
  <c r="AK213" i="7"/>
  <c r="AL269" i="7"/>
  <c r="AL294" i="7"/>
  <c r="AN255" i="7"/>
  <c r="AL293" i="7"/>
  <c r="AL258" i="7"/>
  <c r="AL37" i="17"/>
  <c r="AM250" i="7"/>
  <c r="AL303" i="7"/>
  <c r="AL279" i="7"/>
  <c r="AK51" i="7"/>
  <c r="AL304" i="7"/>
  <c r="AL309" i="7"/>
  <c r="AL280" i="7"/>
  <c r="AL281" i="7"/>
  <c r="AL49" i="7"/>
  <c r="AL210" i="7"/>
  <c r="AM251" i="7"/>
  <c r="AM252" i="7"/>
  <c r="AL270" i="7"/>
  <c r="AK215" i="7"/>
  <c r="AM256" i="7"/>
  <c r="AN245" i="7"/>
  <c r="AN261" i="7"/>
  <c r="AO249" i="7"/>
  <c r="AL295" i="7"/>
  <c r="AL308" i="7"/>
  <c r="AN267" i="7"/>
  <c r="AL305" i="7"/>
  <c r="AM268" i="7"/>
  <c r="AM293" i="7"/>
  <c r="AL310" i="7"/>
  <c r="AL50" i="7"/>
  <c r="AL211" i="7"/>
  <c r="AM262" i="7"/>
  <c r="AM246" i="7"/>
  <c r="AM257" i="7"/>
  <c r="AL213" i="7"/>
  <c r="AL215" i="7"/>
  <c r="AL51" i="7"/>
  <c r="AM263" i="7"/>
  <c r="AM264" i="7"/>
  <c r="AM269" i="7"/>
  <c r="AM258" i="7"/>
  <c r="AM37" i="17"/>
  <c r="AM279" i="7"/>
  <c r="AM303" i="7"/>
  <c r="AN250" i="7"/>
  <c r="AO255" i="7"/>
  <c r="AO267" i="7"/>
  <c r="AN256" i="7"/>
  <c r="AM294" i="7"/>
  <c r="AM270" i="7"/>
  <c r="AM308" i="7"/>
  <c r="AO245" i="7"/>
  <c r="AO261" i="7"/>
  <c r="AP249" i="7"/>
  <c r="AN251" i="7"/>
  <c r="AM304" i="7"/>
  <c r="AM305" i="7"/>
  <c r="AM280" i="7"/>
  <c r="AM281" i="7"/>
  <c r="AM49" i="7"/>
  <c r="AM210" i="7"/>
  <c r="AM309" i="7"/>
  <c r="AM310" i="7"/>
  <c r="AM50" i="7"/>
  <c r="AM211" i="7"/>
  <c r="AM295" i="7"/>
  <c r="AN262" i="7"/>
  <c r="AN246" i="7"/>
  <c r="AN257" i="7"/>
  <c r="AN263" i="7"/>
  <c r="AN252" i="7"/>
  <c r="AN268" i="7"/>
  <c r="AM213" i="7"/>
  <c r="AM215" i="7"/>
  <c r="AN293" i="7"/>
  <c r="AO251" i="7"/>
  <c r="AN304" i="7"/>
  <c r="AN280" i="7"/>
  <c r="AN258" i="7"/>
  <c r="AN37" i="17"/>
  <c r="AP255" i="7"/>
  <c r="AM51" i="7"/>
  <c r="AN269" i="7"/>
  <c r="AN294" i="7"/>
  <c r="AO250" i="7"/>
  <c r="AN279" i="7"/>
  <c r="AN303" i="7"/>
  <c r="AN264" i="7"/>
  <c r="AN309" i="7"/>
  <c r="AN305" i="7"/>
  <c r="AN281" i="7"/>
  <c r="AN49" i="7"/>
  <c r="AN210" i="7"/>
  <c r="AP245" i="7"/>
  <c r="AP261" i="7"/>
  <c r="AQ249" i="7"/>
  <c r="AO252" i="7"/>
  <c r="AO256" i="7"/>
  <c r="AN270" i="7"/>
  <c r="AP267" i="7"/>
  <c r="AN308" i="7"/>
  <c r="AN295" i="7"/>
  <c r="AO268" i="7"/>
  <c r="AO293" i="7"/>
  <c r="AN310" i="7"/>
  <c r="AN50" i="7"/>
  <c r="AN211" i="7"/>
  <c r="AO262" i="7"/>
  <c r="AO246" i="7"/>
  <c r="AO257" i="7"/>
  <c r="AO258" i="7"/>
  <c r="AO37" i="17"/>
  <c r="AN213" i="7"/>
  <c r="AN215" i="7"/>
  <c r="AN51" i="7"/>
  <c r="AQ255" i="7"/>
  <c r="AQ267" i="7"/>
  <c r="AP250" i="7"/>
  <c r="AO279" i="7"/>
  <c r="AO303" i="7"/>
  <c r="AO263" i="7"/>
  <c r="AO269" i="7"/>
  <c r="AP251" i="7"/>
  <c r="AP252" i="7"/>
  <c r="AO304" i="7"/>
  <c r="AO305" i="7"/>
  <c r="AO280" i="7"/>
  <c r="AO281" i="7"/>
  <c r="AO49" i="7"/>
  <c r="AO264" i="7"/>
  <c r="AP256" i="7"/>
  <c r="AQ245" i="7"/>
  <c r="AQ261" i="7"/>
  <c r="AR249" i="7"/>
  <c r="AO308" i="7"/>
  <c r="AO294" i="7"/>
  <c r="AO270" i="7"/>
  <c r="AO210" i="7"/>
  <c r="AO309" i="7"/>
  <c r="AO310" i="7"/>
  <c r="AO50" i="7"/>
  <c r="AO211" i="7"/>
  <c r="AO295" i="7"/>
  <c r="AP262" i="7"/>
  <c r="AP246" i="7"/>
  <c r="AP257" i="7"/>
  <c r="AP263" i="7"/>
  <c r="AP268" i="7"/>
  <c r="AO213" i="7"/>
  <c r="AO215" i="7"/>
  <c r="AP304" i="7"/>
  <c r="AQ251" i="7"/>
  <c r="AP280" i="7"/>
  <c r="AP279" i="7"/>
  <c r="AQ250" i="7"/>
  <c r="AP303" i="7"/>
  <c r="AP264" i="7"/>
  <c r="AP269" i="7"/>
  <c r="AP294" i="7"/>
  <c r="AP293" i="7"/>
  <c r="AP258" i="7"/>
  <c r="AP37" i="17"/>
  <c r="AO51" i="7"/>
  <c r="AR255" i="7"/>
  <c r="AP309" i="7"/>
  <c r="AP305" i="7"/>
  <c r="AP281" i="7"/>
  <c r="AP49" i="7"/>
  <c r="AP210" i="7"/>
  <c r="AR245" i="7"/>
  <c r="AR261" i="7"/>
  <c r="AS249" i="7"/>
  <c r="AR267" i="7"/>
  <c r="AQ252" i="7"/>
  <c r="AQ256" i="7"/>
  <c r="AQ268" i="7"/>
  <c r="AP270" i="7"/>
  <c r="AP308" i="7"/>
  <c r="AP295" i="7"/>
  <c r="AP310" i="7"/>
  <c r="AP50" i="7"/>
  <c r="AP211" i="7"/>
  <c r="AQ293" i="7"/>
  <c r="AQ262" i="7"/>
  <c r="AQ246" i="7"/>
  <c r="AQ257" i="7"/>
  <c r="AP213" i="7"/>
  <c r="AP215" i="7"/>
  <c r="AP51" i="7"/>
  <c r="AS255" i="7"/>
  <c r="AS267" i="7"/>
  <c r="AR250" i="7"/>
  <c r="AQ303" i="7"/>
  <c r="AQ279" i="7"/>
  <c r="AQ263" i="7"/>
  <c r="AQ269" i="7"/>
  <c r="AQ258" i="7"/>
  <c r="AQ37" i="17"/>
  <c r="AR256" i="7"/>
  <c r="AR268" i="7"/>
  <c r="AS245" i="7"/>
  <c r="AS261" i="7"/>
  <c r="AT249" i="7"/>
  <c r="AR251" i="7"/>
  <c r="AR252" i="7"/>
  <c r="AQ280" i="7"/>
  <c r="AQ281" i="7"/>
  <c r="AQ49" i="7"/>
  <c r="AQ304" i="7"/>
  <c r="AQ305" i="7"/>
  <c r="AQ264" i="7"/>
  <c r="AQ308" i="7"/>
  <c r="AQ294" i="7"/>
  <c r="AQ270" i="7"/>
  <c r="AQ210" i="7"/>
  <c r="AR293" i="7"/>
  <c r="AQ309" i="7"/>
  <c r="AQ310" i="7"/>
  <c r="AQ50" i="7"/>
  <c r="AQ295" i="7"/>
  <c r="AR262" i="7"/>
  <c r="AR246" i="7"/>
  <c r="AR257" i="7"/>
  <c r="AR263" i="7"/>
  <c r="AR280" i="7"/>
  <c r="AR269" i="7"/>
  <c r="AR294" i="7"/>
  <c r="AR295" i="7"/>
  <c r="AQ211" i="7"/>
  <c r="AQ51" i="7"/>
  <c r="AT255" i="7"/>
  <c r="AS251" i="7"/>
  <c r="AR304" i="7"/>
  <c r="AR258" i="7"/>
  <c r="AR37" i="17"/>
  <c r="AS250" i="7"/>
  <c r="AR303" i="7"/>
  <c r="AR279" i="7"/>
  <c r="AR264" i="7"/>
  <c r="AQ213" i="7"/>
  <c r="AQ215" i="7"/>
  <c r="AR309" i="7"/>
  <c r="AR270" i="7"/>
  <c r="AR305" i="7"/>
  <c r="AR308" i="7"/>
  <c r="AT245" i="7"/>
  <c r="AT261" i="7"/>
  <c r="AU249" i="7"/>
  <c r="AS252" i="7"/>
  <c r="AS256" i="7"/>
  <c r="AS268" i="7"/>
  <c r="AT267" i="7"/>
  <c r="AR281" i="7"/>
  <c r="AR49" i="7"/>
  <c r="AR210" i="7"/>
  <c r="AR310" i="7"/>
  <c r="AR50" i="7"/>
  <c r="AR211" i="7"/>
  <c r="AS293" i="7"/>
  <c r="AS262" i="7"/>
  <c r="AS246" i="7"/>
  <c r="AS257" i="7"/>
  <c r="AR213" i="7"/>
  <c r="AR215" i="7"/>
  <c r="AR51" i="7"/>
  <c r="AU255" i="7"/>
  <c r="AS263" i="7"/>
  <c r="AS264" i="7"/>
  <c r="AS269" i="7"/>
  <c r="AS258" i="7"/>
  <c r="AS37" i="17"/>
  <c r="AT250" i="7"/>
  <c r="AS303" i="7"/>
  <c r="AS308" i="7"/>
  <c r="AS279" i="7"/>
  <c r="AS294" i="7"/>
  <c r="AS270" i="7"/>
  <c r="AU245" i="7"/>
  <c r="AU261" i="7"/>
  <c r="AV249" i="7"/>
  <c r="AT256" i="7"/>
  <c r="AU267" i="7"/>
  <c r="AS280" i="7"/>
  <c r="AS281" i="7"/>
  <c r="AS49" i="7"/>
  <c r="AT251" i="7"/>
  <c r="AS304" i="7"/>
  <c r="AS305" i="7"/>
  <c r="AS210" i="7"/>
  <c r="AT262" i="7"/>
  <c r="AT246" i="7"/>
  <c r="AT257" i="7"/>
  <c r="AT252" i="7"/>
  <c r="AT268" i="7"/>
  <c r="AS309" i="7"/>
  <c r="AS310" i="7"/>
  <c r="AS50" i="7"/>
  <c r="AS211" i="7"/>
  <c r="AS295" i="7"/>
  <c r="AS213" i="7"/>
  <c r="AT263" i="7"/>
  <c r="AT264" i="7"/>
  <c r="AT258" i="7"/>
  <c r="AT37" i="17"/>
  <c r="AT293" i="7"/>
  <c r="AV255" i="7"/>
  <c r="AV267" i="7"/>
  <c r="AT269" i="7"/>
  <c r="AT294" i="7"/>
  <c r="AU250" i="7"/>
  <c r="AT303" i="7"/>
  <c r="AT279" i="7"/>
  <c r="AS51" i="7"/>
  <c r="AS215" i="7"/>
  <c r="AT270" i="7"/>
  <c r="AT295" i="7"/>
  <c r="AT308" i="7"/>
  <c r="AU256" i="7"/>
  <c r="AV245" i="7"/>
  <c r="AV261" i="7"/>
  <c r="AW249" i="7"/>
  <c r="AU251" i="7"/>
  <c r="AU252" i="7"/>
  <c r="AT280" i="7"/>
  <c r="AT304" i="7"/>
  <c r="AT309" i="7"/>
  <c r="AT281" i="7"/>
  <c r="AT49" i="7"/>
  <c r="AT210" i="7"/>
  <c r="AU262" i="7"/>
  <c r="AU246" i="7"/>
  <c r="AU257" i="7"/>
  <c r="AU268" i="7"/>
  <c r="AT305" i="7"/>
  <c r="AT310" i="7"/>
  <c r="AT50" i="7"/>
  <c r="AT211" i="7"/>
  <c r="AT213" i="7"/>
  <c r="AT215" i="7"/>
  <c r="AU279" i="7"/>
  <c r="AU303" i="7"/>
  <c r="AV250" i="7"/>
  <c r="AU293" i="7"/>
  <c r="AU263" i="7"/>
  <c r="AU258" i="7"/>
  <c r="AU37" i="17"/>
  <c r="AW255" i="7"/>
  <c r="AW267" i="7"/>
  <c r="AU269" i="7"/>
  <c r="AU294" i="7"/>
  <c r="AT51" i="7"/>
  <c r="AU308" i="7"/>
  <c r="AU295" i="7"/>
  <c r="AV251" i="7"/>
  <c r="AV252" i="7"/>
  <c r="AU304" i="7"/>
  <c r="AU305" i="7"/>
  <c r="AU280" i="7"/>
  <c r="AU281" i="7"/>
  <c r="AU49" i="7"/>
  <c r="AW245" i="7"/>
  <c r="AW261" i="7"/>
  <c r="AX249" i="7"/>
  <c r="AU264" i="7"/>
  <c r="AV256" i="7"/>
  <c r="AU270" i="7"/>
  <c r="AU309" i="7"/>
  <c r="AU310" i="7"/>
  <c r="AU50" i="7"/>
  <c r="AU211" i="7"/>
  <c r="AU210" i="7"/>
  <c r="AV262" i="7"/>
  <c r="AV246" i="7"/>
  <c r="AV257" i="7"/>
  <c r="AV268" i="7"/>
  <c r="AU213" i="7"/>
  <c r="AV263" i="7"/>
  <c r="AV258" i="7"/>
  <c r="AV37" i="17"/>
  <c r="AV293" i="7"/>
  <c r="AW250" i="7"/>
  <c r="AV279" i="7"/>
  <c r="AV303" i="7"/>
  <c r="AX255" i="7"/>
  <c r="AV269" i="7"/>
  <c r="AV294" i="7"/>
  <c r="AU51" i="7"/>
  <c r="AU215" i="7"/>
  <c r="AV264" i="7"/>
  <c r="AW251" i="7"/>
  <c r="AX267" i="7"/>
  <c r="AV308" i="7"/>
  <c r="AV295" i="7"/>
  <c r="AW256" i="7"/>
  <c r="AW268" i="7"/>
  <c r="AX245" i="7"/>
  <c r="AX261" i="7"/>
  <c r="AY249" i="7"/>
  <c r="AV270" i="7"/>
  <c r="AV304" i="7"/>
  <c r="AV309" i="7"/>
  <c r="AV280" i="7"/>
  <c r="AV281" i="7"/>
  <c r="AV49" i="7"/>
  <c r="AW293" i="7"/>
  <c r="AV210" i="7"/>
  <c r="AW262" i="7"/>
  <c r="AW246" i="7"/>
  <c r="AW257" i="7"/>
  <c r="AW252" i="7"/>
  <c r="AV310" i="7"/>
  <c r="AV50" i="7"/>
  <c r="AV211" i="7"/>
  <c r="AV305" i="7"/>
  <c r="AV213" i="7"/>
  <c r="AV215" i="7"/>
  <c r="AW258" i="7"/>
  <c r="AW37" i="17"/>
  <c r="AW263" i="7"/>
  <c r="AW264" i="7"/>
  <c r="AV51" i="7"/>
  <c r="AX250" i="7"/>
  <c r="AW279" i="7"/>
  <c r="AW303" i="7"/>
  <c r="AY255" i="7"/>
  <c r="AW269" i="7"/>
  <c r="L31" i="13"/>
  <c r="L19" i="15"/>
  <c r="L27" i="18"/>
  <c r="AY245" i="7"/>
  <c r="AW294" i="7"/>
  <c r="AW270" i="7"/>
  <c r="AX256" i="7"/>
  <c r="AW308" i="7"/>
  <c r="I31" i="13"/>
  <c r="AY261" i="7"/>
  <c r="AZ249" i="7"/>
  <c r="J31" i="13"/>
  <c r="J19" i="15"/>
  <c r="K31" i="13"/>
  <c r="K19" i="15"/>
  <c r="AY267" i="7"/>
  <c r="AX251" i="7"/>
  <c r="AX252" i="7"/>
  <c r="AW304" i="7"/>
  <c r="AW305" i="7"/>
  <c r="AW280" i="7"/>
  <c r="L20" i="55"/>
  <c r="L20" i="18"/>
  <c r="L27" i="55"/>
  <c r="AZ255" i="7"/>
  <c r="AZ267" i="7"/>
  <c r="AW281" i="7"/>
  <c r="AW49" i="7"/>
  <c r="AW210" i="7"/>
  <c r="I19" i="15"/>
  <c r="I32" i="13"/>
  <c r="I33" i="13"/>
  <c r="D31" i="13"/>
  <c r="AX262" i="7"/>
  <c r="AX246" i="7"/>
  <c r="AX257" i="7"/>
  <c r="AX268" i="7"/>
  <c r="J20" i="18"/>
  <c r="J27" i="18"/>
  <c r="J20" i="55"/>
  <c r="J27" i="55"/>
  <c r="AW309" i="7"/>
  <c r="AW310" i="7"/>
  <c r="AW50" i="7"/>
  <c r="AW295" i="7"/>
  <c r="K20" i="18"/>
  <c r="K20" i="55"/>
  <c r="K27" i="18"/>
  <c r="K27" i="55"/>
  <c r="AZ261" i="7"/>
  <c r="AZ245" i="7"/>
  <c r="AX263" i="7"/>
  <c r="AY251" i="7"/>
  <c r="AX269" i="7"/>
  <c r="AX294" i="7"/>
  <c r="AW211" i="7"/>
  <c r="AW51" i="7"/>
  <c r="I38" i="15"/>
  <c r="D19" i="15"/>
  <c r="I20" i="18"/>
  <c r="I27" i="18"/>
  <c r="I20" i="55"/>
  <c r="I27" i="55"/>
  <c r="AY250" i="7"/>
  <c r="AX279" i="7"/>
  <c r="AX303" i="7"/>
  <c r="O40" i="19"/>
  <c r="AX293" i="7"/>
  <c r="I40" i="9"/>
  <c r="I57" i="9"/>
  <c r="J30" i="13"/>
  <c r="AX258" i="7"/>
  <c r="AX270" i="7"/>
  <c r="BA249" i="7"/>
  <c r="AW213" i="7"/>
  <c r="AW215" i="7"/>
  <c r="AX280" i="7"/>
  <c r="AX281" i="7"/>
  <c r="AX49" i="7"/>
  <c r="AX210" i="7"/>
  <c r="AX264" i="7"/>
  <c r="AX304" i="7"/>
  <c r="AX309" i="7"/>
  <c r="D20" i="18"/>
  <c r="AX308" i="7"/>
  <c r="AX295" i="7"/>
  <c r="AY252" i="7"/>
  <c r="AY256" i="7"/>
  <c r="AY268" i="7"/>
  <c r="I22" i="18"/>
  <c r="I22" i="55"/>
  <c r="D27" i="55"/>
  <c r="J32" i="13"/>
  <c r="D20" i="55"/>
  <c r="D27" i="18"/>
  <c r="AY293" i="7"/>
  <c r="BA255" i="7"/>
  <c r="BA267" i="7"/>
  <c r="AX305" i="7"/>
  <c r="AX310" i="7"/>
  <c r="AX50" i="7"/>
  <c r="AX211" i="7"/>
  <c r="J38" i="15"/>
  <c r="J33" i="13"/>
  <c r="AY262" i="7"/>
  <c r="AZ250" i="7"/>
  <c r="AY246" i="7"/>
  <c r="AY257" i="7"/>
  <c r="BA245" i="7"/>
  <c r="BA261" i="7"/>
  <c r="AZ256" i="7"/>
  <c r="AZ262" i="7"/>
  <c r="AZ279" i="7"/>
  <c r="AX213" i="7"/>
  <c r="AX215" i="7"/>
  <c r="AX51" i="7"/>
  <c r="AY303" i="7"/>
  <c r="AY279" i="7"/>
  <c r="J40" i="9"/>
  <c r="J57" i="9"/>
  <c r="K30" i="13"/>
  <c r="AY263" i="7"/>
  <c r="AZ251" i="7"/>
  <c r="I50" i="8"/>
  <c r="AY269" i="7"/>
  <c r="AY258" i="7"/>
  <c r="J22" i="18"/>
  <c r="J22" i="55"/>
  <c r="AZ268" i="7"/>
  <c r="AY294" i="7"/>
  <c r="AY295" i="7"/>
  <c r="AY270" i="7"/>
  <c r="AZ252" i="7"/>
  <c r="BB249" i="7"/>
  <c r="BA250" i="7"/>
  <c r="AZ246" i="7"/>
  <c r="AZ257" i="7"/>
  <c r="AZ263" i="7"/>
  <c r="I17" i="15"/>
  <c r="I43" i="8"/>
  <c r="I51" i="8"/>
  <c r="E61" i="56"/>
  <c r="K32" i="13"/>
  <c r="K33" i="13"/>
  <c r="AY280" i="7"/>
  <c r="AY304" i="7"/>
  <c r="D263" i="7"/>
  <c r="D264" i="7"/>
  <c r="AY264" i="7"/>
  <c r="AY308" i="7"/>
  <c r="AY309" i="7"/>
  <c r="D309" i="7"/>
  <c r="AZ269" i="7"/>
  <c r="AZ270" i="7"/>
  <c r="BA256" i="7"/>
  <c r="BA246" i="7"/>
  <c r="BA251" i="7"/>
  <c r="AZ280" i="7"/>
  <c r="AZ281" i="7"/>
  <c r="AZ264" i="7"/>
  <c r="BB255" i="7"/>
  <c r="BB267" i="7"/>
  <c r="AZ258" i="7"/>
  <c r="AY281" i="7"/>
  <c r="AY49" i="7"/>
  <c r="D49" i="7"/>
  <c r="AY305" i="7"/>
  <c r="K40" i="9"/>
  <c r="K57" i="9"/>
  <c r="L30" i="13"/>
  <c r="K38" i="15"/>
  <c r="I66" i="8"/>
  <c r="BA262" i="7"/>
  <c r="BA279" i="7"/>
  <c r="AY310" i="7"/>
  <c r="AY50" i="7"/>
  <c r="AY51" i="7"/>
  <c r="BA268" i="7"/>
  <c r="BA257" i="7"/>
  <c r="BA263" i="7"/>
  <c r="BA252" i="7"/>
  <c r="BB245" i="7"/>
  <c r="BB261" i="7"/>
  <c r="AY210" i="7"/>
  <c r="K22" i="18"/>
  <c r="K22" i="55"/>
  <c r="L32" i="13"/>
  <c r="L33" i="13"/>
  <c r="I67" i="8"/>
  <c r="I68" i="8"/>
  <c r="AY211" i="7"/>
  <c r="D50" i="7"/>
  <c r="D51" i="7"/>
  <c r="BB250" i="7"/>
  <c r="BB256" i="7"/>
  <c r="BB246" i="7"/>
  <c r="BA264" i="7"/>
  <c r="BA258" i="7"/>
  <c r="BA269" i="7"/>
  <c r="BA270" i="7"/>
  <c r="BB251" i="7"/>
  <c r="BA280" i="7"/>
  <c r="BC249" i="7"/>
  <c r="D210" i="7"/>
  <c r="G42" i="2"/>
  <c r="AY213" i="7"/>
  <c r="D211" i="7"/>
  <c r="G43" i="2"/>
  <c r="J65" i="8"/>
  <c r="L40" i="9"/>
  <c r="L57" i="9"/>
  <c r="M30" i="13"/>
  <c r="L38" i="15"/>
  <c r="I74" i="8"/>
  <c r="BB257" i="7"/>
  <c r="BB263" i="7"/>
  <c r="BC251" i="7"/>
  <c r="BC255" i="7"/>
  <c r="BC267" i="7"/>
  <c r="BA281" i="7"/>
  <c r="BB268" i="7"/>
  <c r="BB252" i="7"/>
  <c r="I35" i="4"/>
  <c r="J35" i="4"/>
  <c r="K35" i="4"/>
  <c r="L35" i="4"/>
  <c r="BB262" i="7"/>
  <c r="BB279" i="7"/>
  <c r="W13" i="48"/>
  <c r="V23" i="48"/>
  <c r="AC28" i="48"/>
  <c r="AE24" i="48"/>
  <c r="D213" i="7"/>
  <c r="E27" i="19"/>
  <c r="F27" i="19"/>
  <c r="G44" i="2"/>
  <c r="G61" i="2"/>
  <c r="AY215" i="7"/>
  <c r="M32" i="13"/>
  <c r="M33" i="13"/>
  <c r="I22" i="15"/>
  <c r="I18" i="14"/>
  <c r="I39" i="47"/>
  <c r="L22" i="18"/>
  <c r="L22" i="55"/>
  <c r="BB280" i="7"/>
  <c r="BB258" i="7"/>
  <c r="BB269" i="7"/>
  <c r="BB270" i="7"/>
  <c r="BC261" i="7"/>
  <c r="BD249" i="7"/>
  <c r="BC245" i="7"/>
  <c r="BB281" i="7"/>
  <c r="W14" i="48"/>
  <c r="H39" i="56"/>
  <c r="K169" i="41"/>
  <c r="K171" i="41"/>
  <c r="K179" i="41"/>
  <c r="BC250" i="7"/>
  <c r="BB264" i="7"/>
  <c r="AC29" i="48"/>
  <c r="AC33" i="48"/>
  <c r="I160" i="41"/>
  <c r="I157" i="41"/>
  <c r="J169" i="41"/>
  <c r="J171" i="41"/>
  <c r="J179" i="41"/>
  <c r="G39" i="56"/>
  <c r="I169" i="41"/>
  <c r="I171" i="41"/>
  <c r="I179" i="41"/>
  <c r="F39" i="56"/>
  <c r="I36" i="4"/>
  <c r="I44" i="4"/>
  <c r="H169" i="41"/>
  <c r="H171" i="41"/>
  <c r="H179" i="41"/>
  <c r="E39" i="56"/>
  <c r="E8" i="56"/>
  <c r="E58" i="56"/>
  <c r="E59" i="56"/>
  <c r="M40" i="9"/>
  <c r="M57" i="9"/>
  <c r="N30" i="13"/>
  <c r="M38" i="15"/>
  <c r="V24" i="48"/>
  <c r="W23" i="48"/>
  <c r="BC252" i="7"/>
  <c r="BD255" i="7"/>
  <c r="BD267" i="7"/>
  <c r="I45" i="4"/>
  <c r="I51" i="4"/>
  <c r="I16" i="15"/>
  <c r="BC256" i="7"/>
  <c r="BC268" i="7"/>
  <c r="D179" i="41"/>
  <c r="W19" i="48"/>
  <c r="W20" i="48"/>
  <c r="W21" i="48"/>
  <c r="W22" i="48"/>
  <c r="N32" i="13"/>
  <c r="N38" i="15"/>
  <c r="M22" i="18"/>
  <c r="M22" i="55"/>
  <c r="I37" i="4"/>
  <c r="BD261" i="7"/>
  <c r="BE249" i="7"/>
  <c r="BD245" i="7"/>
  <c r="BC262" i="7"/>
  <c r="BC279" i="7"/>
  <c r="BC246" i="7"/>
  <c r="BC257" i="7"/>
  <c r="N33" i="13"/>
  <c r="N40" i="9"/>
  <c r="N57" i="9"/>
  <c r="I15" i="18"/>
  <c r="I15" i="55"/>
  <c r="N22" i="18"/>
  <c r="N22" i="55"/>
  <c r="I50" i="10"/>
  <c r="I8" i="9"/>
  <c r="J34" i="4"/>
  <c r="BC263" i="7"/>
  <c r="BC264" i="7"/>
  <c r="BC269" i="7"/>
  <c r="BC270" i="7"/>
  <c r="BE255" i="7"/>
  <c r="BE245" i="7"/>
  <c r="BC258" i="7"/>
  <c r="BD250" i="7"/>
  <c r="O30" i="13"/>
  <c r="O32" i="13"/>
  <c r="O38" i="15"/>
  <c r="I51" i="10"/>
  <c r="I52" i="10"/>
  <c r="I54" i="10"/>
  <c r="BE267" i="7"/>
  <c r="BD256" i="7"/>
  <c r="BD246" i="7"/>
  <c r="BE261" i="7"/>
  <c r="BF249" i="7"/>
  <c r="BD251" i="7"/>
  <c r="BD252" i="7"/>
  <c r="BC280" i="7"/>
  <c r="I53" i="10"/>
  <c r="I55" i="10"/>
  <c r="I58" i="10"/>
  <c r="O33" i="13"/>
  <c r="O22" i="18"/>
  <c r="O22" i="55"/>
  <c r="BD262" i="7"/>
  <c r="BD279" i="7"/>
  <c r="BD268" i="7"/>
  <c r="BF255" i="7"/>
  <c r="BF267" i="7"/>
  <c r="BC281" i="7"/>
  <c r="BD257" i="7"/>
  <c r="BD263" i="7"/>
  <c r="O40" i="9"/>
  <c r="O57" i="9"/>
  <c r="P30" i="13"/>
  <c r="I60" i="10"/>
  <c r="J57" i="10"/>
  <c r="BE250" i="7"/>
  <c r="BE256" i="7"/>
  <c r="BE262" i="7"/>
  <c r="BE279" i="7"/>
  <c r="BF261" i="7"/>
  <c r="BG249" i="7"/>
  <c r="BF245" i="7"/>
  <c r="BE251" i="7"/>
  <c r="BD280" i="7"/>
  <c r="BD264" i="7"/>
  <c r="BD258" i="7"/>
  <c r="BD269" i="7"/>
  <c r="BD270" i="7"/>
  <c r="P32" i="13"/>
  <c r="P38" i="15"/>
  <c r="BE252" i="7"/>
  <c r="BE268" i="7"/>
  <c r="BE246" i="7"/>
  <c r="BE257" i="7"/>
  <c r="BE258" i="7"/>
  <c r="BD281" i="7"/>
  <c r="BF250" i="7"/>
  <c r="BG255" i="7"/>
  <c r="BG267" i="7"/>
  <c r="P33" i="13"/>
  <c r="P40" i="9"/>
  <c r="P57" i="9"/>
  <c r="P22" i="18"/>
  <c r="P22" i="55"/>
  <c r="BE263" i="7"/>
  <c r="BE264" i="7"/>
  <c r="BF256" i="7"/>
  <c r="BF268" i="7"/>
  <c r="BE269" i="7"/>
  <c r="BE270" i="7"/>
  <c r="BG245" i="7"/>
  <c r="BG261" i="7"/>
  <c r="Q30" i="13"/>
  <c r="Q32" i="13"/>
  <c r="Q38" i="15"/>
  <c r="BF262" i="7"/>
  <c r="BF279" i="7"/>
  <c r="BF246" i="7"/>
  <c r="BE280" i="7"/>
  <c r="BE281" i="7"/>
  <c r="BF251" i="7"/>
  <c r="BH249" i="7"/>
  <c r="Q33" i="13"/>
  <c r="R30" i="13"/>
  <c r="Q22" i="18"/>
  <c r="Q22" i="55"/>
  <c r="BF257" i="7"/>
  <c r="BF269" i="7"/>
  <c r="BF270" i="7"/>
  <c r="BG250" i="7"/>
  <c r="BG256" i="7"/>
  <c r="BG246" i="7"/>
  <c r="BF252" i="7"/>
  <c r="BH255" i="7"/>
  <c r="BH267" i="7"/>
  <c r="Q40" i="9"/>
  <c r="Q57" i="9"/>
  <c r="R32" i="13"/>
  <c r="R38" i="15"/>
  <c r="BF263" i="7"/>
  <c r="BF264" i="7"/>
  <c r="BF258" i="7"/>
  <c r="BG262" i="7"/>
  <c r="BG279" i="7"/>
  <c r="BG268" i="7"/>
  <c r="BH245" i="7"/>
  <c r="BH261" i="7"/>
  <c r="R22" i="18"/>
  <c r="R22" i="55"/>
  <c r="R33" i="13"/>
  <c r="BG251" i="7"/>
  <c r="BG252" i="7"/>
  <c r="BF280" i="7"/>
  <c r="BF281" i="7"/>
  <c r="BH250" i="7"/>
  <c r="BH256" i="7"/>
  <c r="BH268" i="7"/>
  <c r="BI249" i="7"/>
  <c r="R40" i="9"/>
  <c r="R57" i="9"/>
  <c r="S30" i="13"/>
  <c r="BG257" i="7"/>
  <c r="BG263" i="7"/>
  <c r="BG280" i="7"/>
  <c r="BG281" i="7"/>
  <c r="BI255" i="7"/>
  <c r="BI267" i="7"/>
  <c r="BH262" i="7"/>
  <c r="BH279" i="7"/>
  <c r="BH246" i="7"/>
  <c r="S32" i="13"/>
  <c r="S38" i="15"/>
  <c r="BG258" i="7"/>
  <c r="BG269" i="7"/>
  <c r="BG270" i="7"/>
  <c r="BG264" i="7"/>
  <c r="BH251" i="7"/>
  <c r="BH252" i="7"/>
  <c r="BI261" i="7"/>
  <c r="BJ249" i="7"/>
  <c r="BI245" i="7"/>
  <c r="BI250" i="7"/>
  <c r="S33" i="13"/>
  <c r="T30" i="13"/>
  <c r="S22" i="18"/>
  <c r="S22" i="55"/>
  <c r="BH257" i="7"/>
  <c r="BH269" i="7"/>
  <c r="BH270" i="7"/>
  <c r="BI256" i="7"/>
  <c r="BI268" i="7"/>
  <c r="BJ255" i="7"/>
  <c r="BJ267" i="7"/>
  <c r="S40" i="9"/>
  <c r="S57" i="9"/>
  <c r="T32" i="13"/>
  <c r="T38" i="15"/>
  <c r="BH263" i="7"/>
  <c r="BH264" i="7"/>
  <c r="BH258" i="7"/>
  <c r="BI246" i="7"/>
  <c r="BI262" i="7"/>
  <c r="BI279" i="7"/>
  <c r="BJ245" i="7"/>
  <c r="BJ261" i="7"/>
  <c r="T33" i="13"/>
  <c r="U30" i="13"/>
  <c r="T22" i="18"/>
  <c r="T22" i="55"/>
  <c r="BI251" i="7"/>
  <c r="BI252" i="7"/>
  <c r="BH280" i="7"/>
  <c r="BH281" i="7"/>
  <c r="BJ250" i="7"/>
  <c r="BK249" i="7"/>
  <c r="BJ256" i="7"/>
  <c r="BJ246" i="7"/>
  <c r="T40" i="9"/>
  <c r="T57" i="9"/>
  <c r="U32" i="13"/>
  <c r="U38" i="15"/>
  <c r="BI257" i="7"/>
  <c r="BI263" i="7"/>
  <c r="BJ251" i="7"/>
  <c r="BJ252" i="7"/>
  <c r="BJ268" i="7"/>
  <c r="BJ262" i="7"/>
  <c r="BJ279" i="7"/>
  <c r="BK255" i="7"/>
  <c r="BK267" i="7"/>
  <c r="U33" i="13"/>
  <c r="U40" i="9"/>
  <c r="U57" i="9"/>
  <c r="U22" i="18"/>
  <c r="U22" i="55"/>
  <c r="BJ257" i="7"/>
  <c r="BJ269" i="7"/>
  <c r="BJ270" i="7"/>
  <c r="BI258" i="7"/>
  <c r="BI280" i="7"/>
  <c r="BI281" i="7"/>
  <c r="BI269" i="7"/>
  <c r="BI270" i="7"/>
  <c r="BI264" i="7"/>
  <c r="BK245" i="7"/>
  <c r="BK261" i="7"/>
  <c r="BK250" i="7"/>
  <c r="V30" i="13"/>
  <c r="V32" i="13"/>
  <c r="V38" i="15"/>
  <c r="BJ258" i="7"/>
  <c r="BJ263" i="7"/>
  <c r="BK251" i="7"/>
  <c r="BK252" i="7"/>
  <c r="BL249" i="7"/>
  <c r="BK256" i="7"/>
  <c r="BK246" i="7"/>
  <c r="V22" i="18"/>
  <c r="V22" i="55"/>
  <c r="V33" i="13"/>
  <c r="BK257" i="7"/>
  <c r="BK263" i="7"/>
  <c r="BL251" i="7"/>
  <c r="BJ280" i="7"/>
  <c r="BJ281" i="7"/>
  <c r="BJ264" i="7"/>
  <c r="BK268" i="7"/>
  <c r="BK262" i="7"/>
  <c r="BK279" i="7"/>
  <c r="BL255" i="7"/>
  <c r="BL267" i="7"/>
  <c r="V40" i="9"/>
  <c r="V57" i="9"/>
  <c r="W30" i="13"/>
  <c r="BK258" i="7"/>
  <c r="BK269" i="7"/>
  <c r="BK280" i="7"/>
  <c r="BK281" i="7"/>
  <c r="BK270" i="7"/>
  <c r="BL245" i="7"/>
  <c r="BL261" i="7"/>
  <c r="BL250" i="7"/>
  <c r="BK264" i="7"/>
  <c r="W32" i="13"/>
  <c r="W38" i="15"/>
  <c r="BL252" i="7"/>
  <c r="BM249" i="7"/>
  <c r="BL256" i="7"/>
  <c r="BL268" i="7"/>
  <c r="W33" i="13"/>
  <c r="W22" i="18"/>
  <c r="W22" i="55"/>
  <c r="BL262" i="7"/>
  <c r="BL279" i="7"/>
  <c r="BL246" i="7"/>
  <c r="BL257" i="7"/>
  <c r="BM255" i="7"/>
  <c r="BM267" i="7"/>
  <c r="W40" i="9"/>
  <c r="W57" i="9"/>
  <c r="X30" i="13"/>
  <c r="BL263" i="7"/>
  <c r="BL269" i="7"/>
  <c r="BL270" i="7"/>
  <c r="BM245" i="7"/>
  <c r="BM261" i="7"/>
  <c r="BL258" i="7"/>
  <c r="BM250" i="7"/>
  <c r="X32" i="13"/>
  <c r="X38" i="15"/>
  <c r="BM251" i="7"/>
  <c r="BL280" i="7"/>
  <c r="BL281" i="7"/>
  <c r="BL264" i="7"/>
  <c r="BN249" i="7"/>
  <c r="BM256" i="7"/>
  <c r="BM246" i="7"/>
  <c r="X33" i="13"/>
  <c r="X22" i="18"/>
  <c r="X22" i="55"/>
  <c r="BM257" i="7"/>
  <c r="BM263" i="7"/>
  <c r="BN251" i="7"/>
  <c r="BM268" i="7"/>
  <c r="BM252" i="7"/>
  <c r="BM262" i="7"/>
  <c r="BM279" i="7"/>
  <c r="BN255" i="7"/>
  <c r="BN267" i="7"/>
  <c r="X40" i="9"/>
  <c r="X57" i="9"/>
  <c r="Y30" i="13"/>
  <c r="BM258" i="7"/>
  <c r="BM269" i="7"/>
  <c r="BM270" i="7"/>
  <c r="BM280" i="7"/>
  <c r="BM281" i="7"/>
  <c r="BN245" i="7"/>
  <c r="BN261" i="7"/>
  <c r="BN250" i="7"/>
  <c r="BM264" i="7"/>
  <c r="Y32" i="13"/>
  <c r="Y38" i="15"/>
  <c r="BN252" i="7"/>
  <c r="BO249" i="7"/>
  <c r="BN256" i="7"/>
  <c r="BN268" i="7"/>
  <c r="Y33" i="13"/>
  <c r="Y40" i="9"/>
  <c r="Y57" i="9"/>
  <c r="Y22" i="18"/>
  <c r="Y22" i="55"/>
  <c r="BO255" i="7"/>
  <c r="BO267" i="7"/>
  <c r="BN262" i="7"/>
  <c r="BN279" i="7"/>
  <c r="BN246" i="7"/>
  <c r="BN257" i="7"/>
  <c r="Z30" i="13"/>
  <c r="Z32" i="13"/>
  <c r="Z38" i="15"/>
  <c r="BO261" i="7"/>
  <c r="BP249" i="7"/>
  <c r="BO245" i="7"/>
  <c r="BN263" i="7"/>
  <c r="BN264" i="7"/>
  <c r="BN269" i="7"/>
  <c r="BN270" i="7"/>
  <c r="BN258" i="7"/>
  <c r="BO250" i="7"/>
  <c r="Z33" i="13"/>
  <c r="Z22" i="18"/>
  <c r="Z22" i="55"/>
  <c r="BO256" i="7"/>
  <c r="BO268" i="7"/>
  <c r="BO251" i="7"/>
  <c r="BO252" i="7"/>
  <c r="BN280" i="7"/>
  <c r="BN281" i="7"/>
  <c r="BP255" i="7"/>
  <c r="BP267" i="7"/>
  <c r="Z40" i="9"/>
  <c r="Z57" i="9"/>
  <c r="AA30" i="13"/>
  <c r="BO246" i="7"/>
  <c r="BO257" i="7"/>
  <c r="BO263" i="7"/>
  <c r="BP251" i="7"/>
  <c r="BO262" i="7"/>
  <c r="BO279" i="7"/>
  <c r="BP245" i="7"/>
  <c r="BP261" i="7"/>
  <c r="AA32" i="13"/>
  <c r="AA38" i="15"/>
  <c r="BP250" i="7"/>
  <c r="BP252" i="7"/>
  <c r="BO258" i="7"/>
  <c r="BO269" i="7"/>
  <c r="BO270" i="7"/>
  <c r="BO280" i="7"/>
  <c r="BO281" i="7"/>
  <c r="BO264" i="7"/>
  <c r="BQ249" i="7"/>
  <c r="AA33" i="13"/>
  <c r="AA40" i="9"/>
  <c r="AA57" i="9"/>
  <c r="AA22" i="18"/>
  <c r="AA22" i="55"/>
  <c r="BP256" i="7"/>
  <c r="BP246" i="7"/>
  <c r="BP257" i="7"/>
  <c r="BP263" i="7"/>
  <c r="BP280" i="7"/>
  <c r="BQ255" i="7"/>
  <c r="BQ267" i="7"/>
  <c r="AB30" i="13"/>
  <c r="AB32" i="13"/>
  <c r="AB38" i="15"/>
  <c r="BP258" i="7"/>
  <c r="BP268" i="7"/>
  <c r="BP262" i="7"/>
  <c r="BP279" i="7"/>
  <c r="BP281" i="7"/>
  <c r="BP269" i="7"/>
  <c r="BP270" i="7"/>
  <c r="BQ251" i="7"/>
  <c r="BQ261" i="7"/>
  <c r="BR249" i="7"/>
  <c r="BQ245" i="7"/>
  <c r="AB33" i="13"/>
  <c r="AB40" i="9"/>
  <c r="AB57" i="9"/>
  <c r="AB22" i="18"/>
  <c r="AB22" i="55"/>
  <c r="BQ250" i="7"/>
  <c r="BQ252" i="7"/>
  <c r="BP264" i="7"/>
  <c r="BR255" i="7"/>
  <c r="BR267" i="7"/>
  <c r="AC30" i="13"/>
  <c r="AC32" i="13"/>
  <c r="AC38" i="15"/>
  <c r="BQ256" i="7"/>
  <c r="BQ268" i="7"/>
  <c r="BR245" i="7"/>
  <c r="BR261" i="7"/>
  <c r="AC33" i="13"/>
  <c r="AC40" i="9"/>
  <c r="AC57" i="9"/>
  <c r="AC22" i="18"/>
  <c r="AC22" i="55"/>
  <c r="BQ262" i="7"/>
  <c r="BQ279" i="7"/>
  <c r="BQ246" i="7"/>
  <c r="BQ257" i="7"/>
  <c r="BQ269" i="7"/>
  <c r="BQ270" i="7"/>
  <c r="BS249" i="7"/>
  <c r="BR250" i="7"/>
  <c r="AD30" i="13"/>
  <c r="AD32" i="13"/>
  <c r="AD38" i="15"/>
  <c r="BQ258" i="7"/>
  <c r="BQ263" i="7"/>
  <c r="BQ264" i="7"/>
  <c r="BS255" i="7"/>
  <c r="BS267" i="7"/>
  <c r="BR256" i="7"/>
  <c r="BR246" i="7"/>
  <c r="AD22" i="18"/>
  <c r="AD22" i="55"/>
  <c r="AD33" i="13"/>
  <c r="BQ280" i="7"/>
  <c r="BQ281" i="7"/>
  <c r="BR251" i="7"/>
  <c r="BR252" i="7"/>
  <c r="BS261" i="7"/>
  <c r="BT249" i="7"/>
  <c r="BS245" i="7"/>
  <c r="BR257" i="7"/>
  <c r="BR268" i="7"/>
  <c r="BR262" i="7"/>
  <c r="BR279" i="7"/>
  <c r="AD40" i="9"/>
  <c r="AD57" i="9"/>
  <c r="AE30" i="13"/>
  <c r="BR263" i="7"/>
  <c r="BR280" i="7"/>
  <c r="BR281" i="7"/>
  <c r="BR258" i="7"/>
  <c r="BR269" i="7"/>
  <c r="BR270" i="7"/>
  <c r="BS250" i="7"/>
  <c r="BT255" i="7"/>
  <c r="BT267" i="7"/>
  <c r="AE32" i="13"/>
  <c r="AE38" i="15"/>
  <c r="BR264" i="7"/>
  <c r="BS251" i="7"/>
  <c r="BS252" i="7"/>
  <c r="BS256" i="7"/>
  <c r="BT245" i="7"/>
  <c r="BT261" i="7"/>
  <c r="AE22" i="18"/>
  <c r="AE22" i="55"/>
  <c r="AE33" i="13"/>
  <c r="BS246" i="7"/>
  <c r="BS257" i="7"/>
  <c r="BS258" i="7"/>
  <c r="BS262" i="7"/>
  <c r="BS268" i="7"/>
  <c r="BU249" i="7"/>
  <c r="AE40" i="9"/>
  <c r="AE57" i="9"/>
  <c r="AF30" i="13"/>
  <c r="BS279" i="7"/>
  <c r="BT250" i="7"/>
  <c r="BS263" i="7"/>
  <c r="BS269" i="7"/>
  <c r="BS270" i="7"/>
  <c r="BU255" i="7"/>
  <c r="BU267" i="7"/>
  <c r="AF32" i="13"/>
  <c r="AF38" i="15"/>
  <c r="BT251" i="7"/>
  <c r="BT252" i="7"/>
  <c r="BS280" i="7"/>
  <c r="BS281" i="7"/>
  <c r="BS264" i="7"/>
  <c r="BT256" i="7"/>
  <c r="BU245" i="7"/>
  <c r="BU261" i="7"/>
  <c r="AF33" i="13"/>
  <c r="AF40" i="9"/>
  <c r="AF57" i="9"/>
  <c r="AF22" i="18"/>
  <c r="AF22" i="55"/>
  <c r="BT246" i="7"/>
  <c r="BT257" i="7"/>
  <c r="BT263" i="7"/>
  <c r="BT262" i="7"/>
  <c r="BT268" i="7"/>
  <c r="BV249" i="7"/>
  <c r="AG30" i="13"/>
  <c r="AG32" i="13"/>
  <c r="BT269" i="7"/>
  <c r="BT270" i="7"/>
  <c r="BT258" i="7"/>
  <c r="BV255" i="7"/>
  <c r="BV267" i="7"/>
  <c r="BT279" i="7"/>
  <c r="BU250" i="7"/>
  <c r="BT264" i="7"/>
  <c r="BU251" i="7"/>
  <c r="BT280" i="7"/>
  <c r="AG38" i="15"/>
  <c r="AG22" i="18"/>
  <c r="AG33" i="13"/>
  <c r="AG40" i="9"/>
  <c r="AG57" i="9"/>
  <c r="BV261" i="7"/>
  <c r="BW249" i="7"/>
  <c r="BV245" i="7"/>
  <c r="BU252" i="7"/>
  <c r="BU256" i="7"/>
  <c r="BU268" i="7"/>
  <c r="BT281" i="7"/>
  <c r="AG22" i="55"/>
  <c r="AH30" i="13"/>
  <c r="AH32" i="13"/>
  <c r="AH38" i="15"/>
  <c r="BU246" i="7"/>
  <c r="BU257" i="7"/>
  <c r="BU258" i="7"/>
  <c r="BU262" i="7"/>
  <c r="BW255" i="7"/>
  <c r="BW245" i="7"/>
  <c r="AH33" i="13"/>
  <c r="AH40" i="9"/>
  <c r="AH57" i="9"/>
  <c r="AH22" i="18"/>
  <c r="AH22" i="55"/>
  <c r="BW267" i="7"/>
  <c r="BU279" i="7"/>
  <c r="BV250" i="7"/>
  <c r="BU263" i="7"/>
  <c r="BU269" i="7"/>
  <c r="BU270" i="7"/>
  <c r="BW261" i="7"/>
  <c r="BX249" i="7"/>
  <c r="AI30" i="13"/>
  <c r="AI32" i="13"/>
  <c r="AI38" i="15"/>
  <c r="BX255" i="7"/>
  <c r="BX267" i="7"/>
  <c r="BV251" i="7"/>
  <c r="BV252" i="7"/>
  <c r="BU280" i="7"/>
  <c r="BU281" i="7"/>
  <c r="BU264" i="7"/>
  <c r="BV256" i="7"/>
  <c r="BV268" i="7"/>
  <c r="AI33" i="13"/>
  <c r="AI40" i="9"/>
  <c r="AI57" i="9"/>
  <c r="AI22" i="18"/>
  <c r="D22" i="18"/>
  <c r="AI22" i="55"/>
  <c r="D22" i="55"/>
  <c r="BX261" i="7"/>
  <c r="BY249" i="7"/>
  <c r="BX245" i="7"/>
  <c r="BV246" i="7"/>
  <c r="BV257" i="7"/>
  <c r="BV263" i="7"/>
  <c r="BV262" i="7"/>
  <c r="AJ30" i="13"/>
  <c r="AJ32" i="13"/>
  <c r="AJ38" i="15"/>
  <c r="BV258" i="7"/>
  <c r="BV279" i="7"/>
  <c r="BW250" i="7"/>
  <c r="BV264" i="7"/>
  <c r="BW251" i="7"/>
  <c r="BV280" i="7"/>
  <c r="BV269" i="7"/>
  <c r="BV270" i="7"/>
  <c r="BY255" i="7"/>
  <c r="BY267" i="7"/>
  <c r="AJ33" i="13"/>
  <c r="AJ40" i="9"/>
  <c r="AJ57" i="9"/>
  <c r="AJ22" i="18"/>
  <c r="AJ22" i="55"/>
  <c r="BW252" i="7"/>
  <c r="BW256" i="7"/>
  <c r="BV281" i="7"/>
  <c r="BY245" i="7"/>
  <c r="BY261" i="7"/>
  <c r="AK30" i="13"/>
  <c r="AK32" i="13"/>
  <c r="AK38" i="15"/>
  <c r="BW262" i="7"/>
  <c r="BW246" i="7"/>
  <c r="BW257" i="7"/>
  <c r="BW258" i="7"/>
  <c r="BW268" i="7"/>
  <c r="BZ249" i="7"/>
  <c r="AK33" i="13"/>
  <c r="AL30" i="13"/>
  <c r="AK22" i="18"/>
  <c r="AK22" i="55"/>
  <c r="BW263" i="7"/>
  <c r="BW264" i="7"/>
  <c r="BW269" i="7"/>
  <c r="BW270" i="7"/>
  <c r="BW279" i="7"/>
  <c r="BX250" i="7"/>
  <c r="BZ255" i="7"/>
  <c r="BZ267" i="7"/>
  <c r="AK40" i="9"/>
  <c r="AK57" i="9"/>
  <c r="AL32" i="13"/>
  <c r="BX256" i="7"/>
  <c r="BX268" i="7"/>
  <c r="BX251" i="7"/>
  <c r="BW280" i="7"/>
  <c r="BW281" i="7"/>
  <c r="BZ245" i="7"/>
  <c r="BZ261" i="7"/>
  <c r="AL38" i="15"/>
  <c r="D32" i="13"/>
  <c r="AL33" i="13"/>
  <c r="BX246" i="7"/>
  <c r="BX257" i="7"/>
  <c r="BX263" i="7"/>
  <c r="BX262" i="7"/>
  <c r="BX252" i="7"/>
  <c r="CA249" i="7"/>
  <c r="AL40" i="9"/>
  <c r="AL57" i="9"/>
  <c r="AM30" i="13"/>
  <c r="O59" i="19"/>
  <c r="D33" i="13"/>
  <c r="E30" i="13"/>
  <c r="E32" i="13"/>
  <c r="AL22" i="18"/>
  <c r="AL22" i="55"/>
  <c r="D38" i="15"/>
  <c r="BX258" i="7"/>
  <c r="CA255" i="7"/>
  <c r="CA245" i="7"/>
  <c r="BX279" i="7"/>
  <c r="BY250" i="7"/>
  <c r="BX264" i="7"/>
  <c r="BX269" i="7"/>
  <c r="BX270" i="7"/>
  <c r="BY251" i="7"/>
  <c r="BX280" i="7"/>
  <c r="AM32" i="13"/>
  <c r="AM33" i="13"/>
  <c r="AN30" i="13"/>
  <c r="CA267" i="7"/>
  <c r="CA261" i="7"/>
  <c r="CB249" i="7"/>
  <c r="BX281" i="7"/>
  <c r="BY252" i="7"/>
  <c r="BY256" i="7"/>
  <c r="AN32" i="13"/>
  <c r="AN33" i="13"/>
  <c r="AO30" i="13"/>
  <c r="BY246" i="7"/>
  <c r="BY257" i="7"/>
  <c r="BY258" i="7"/>
  <c r="BY262" i="7"/>
  <c r="BY268" i="7"/>
  <c r="CB255" i="7"/>
  <c r="CB267" i="7"/>
  <c r="AO32" i="13"/>
  <c r="AO33" i="13"/>
  <c r="AP30" i="13"/>
  <c r="BY279" i="7"/>
  <c r="BZ250" i="7"/>
  <c r="BY263" i="7"/>
  <c r="BY269" i="7"/>
  <c r="BY270" i="7"/>
  <c r="CB245" i="7"/>
  <c r="CB261" i="7"/>
  <c r="D255" i="7"/>
  <c r="AP32" i="13"/>
  <c r="AP33" i="13"/>
  <c r="AQ30" i="13"/>
  <c r="BZ251" i="7"/>
  <c r="BZ252" i="7"/>
  <c r="BY280" i="7"/>
  <c r="BY281" i="7"/>
  <c r="BZ256" i="7"/>
  <c r="BY264" i="7"/>
  <c r="M40" i="19"/>
  <c r="AQ32" i="13"/>
  <c r="AQ33" i="13"/>
  <c r="AR30" i="13"/>
  <c r="BZ246" i="7"/>
  <c r="BZ257" i="7"/>
  <c r="BZ263" i="7"/>
  <c r="BZ262" i="7"/>
  <c r="BZ268" i="7"/>
  <c r="G34" i="2"/>
  <c r="H103" i="2"/>
  <c r="AR32" i="13"/>
  <c r="AR33" i="13"/>
  <c r="AS30" i="13"/>
  <c r="BZ269" i="7"/>
  <c r="BZ270" i="7"/>
  <c r="BZ258" i="7"/>
  <c r="BZ279" i="7"/>
  <c r="CA250" i="7"/>
  <c r="BZ264" i="7"/>
  <c r="CA251" i="7"/>
  <c r="BZ280" i="7"/>
  <c r="J50" i="8"/>
  <c r="K50" i="8"/>
  <c r="L50" i="8"/>
  <c r="M50" i="8"/>
  <c r="AS32" i="13"/>
  <c r="AS33" i="13"/>
  <c r="AT30" i="13"/>
  <c r="CA256" i="7"/>
  <c r="CA268" i="7"/>
  <c r="CA252" i="7"/>
  <c r="BZ281" i="7"/>
  <c r="I61" i="56"/>
  <c r="M17" i="15"/>
  <c r="L17" i="15"/>
  <c r="H61" i="56"/>
  <c r="G61" i="56"/>
  <c r="K17" i="15"/>
  <c r="L43" i="8"/>
  <c r="F61" i="56"/>
  <c r="J43" i="8"/>
  <c r="M43" i="8"/>
  <c r="J17" i="15"/>
  <c r="K43" i="8"/>
  <c r="AT32" i="13"/>
  <c r="AT33" i="13"/>
  <c r="AU30" i="13"/>
  <c r="CA246" i="7"/>
  <c r="CA257" i="7"/>
  <c r="CA258" i="7"/>
  <c r="CA262" i="7"/>
  <c r="AU32" i="13"/>
  <c r="AU33" i="13"/>
  <c r="AV30" i="13"/>
  <c r="CA279" i="7"/>
  <c r="CB250" i="7"/>
  <c r="CA263" i="7"/>
  <c r="CA269" i="7"/>
  <c r="CA270" i="7"/>
  <c r="AV32" i="13"/>
  <c r="AV33" i="13"/>
  <c r="AW30" i="13"/>
  <c r="AW33" i="13"/>
  <c r="CB251" i="7"/>
  <c r="CB252" i="7"/>
  <c r="CA280" i="7"/>
  <c r="CA281" i="7"/>
  <c r="CA264" i="7"/>
  <c r="CB256" i="7"/>
  <c r="CB246" i="7"/>
  <c r="CB257" i="7"/>
  <c r="D257" i="7"/>
  <c r="CB262" i="7"/>
  <c r="CB279" i="7"/>
  <c r="CB268" i="7"/>
  <c r="CB258" i="7"/>
  <c r="CB269" i="7"/>
  <c r="CB270" i="7"/>
  <c r="N50" i="8"/>
  <c r="CB263" i="7"/>
  <c r="D258" i="7"/>
  <c r="M42" i="19"/>
  <c r="CB264" i="7"/>
  <c r="CB280" i="7"/>
  <c r="P43" i="8"/>
  <c r="D50" i="8"/>
  <c r="N43" i="8"/>
  <c r="O43" i="8"/>
  <c r="T43" i="8"/>
  <c r="S43" i="8"/>
  <c r="Q43" i="8"/>
  <c r="N17" i="15"/>
  <c r="D17" i="15"/>
  <c r="J61" i="56"/>
  <c r="R43" i="8"/>
  <c r="O42" i="19"/>
  <c r="Q55" i="19"/>
  <c r="F32" i="8"/>
  <c r="M53" i="19"/>
  <c r="D280" i="7"/>
  <c r="D281" i="7"/>
  <c r="CB281" i="7"/>
  <c r="G35" i="2"/>
  <c r="M45" i="19"/>
  <c r="F17" i="17"/>
  <c r="G36" i="2"/>
  <c r="G46" i="2"/>
  <c r="H105" i="2"/>
  <c r="H108" i="2"/>
  <c r="AN55" i="5"/>
  <c r="AN159" i="5"/>
  <c r="AO55" i="5"/>
  <c r="AO159" i="5"/>
  <c r="AN158" i="5"/>
  <c r="AN161" i="5"/>
  <c r="AO158" i="5"/>
  <c r="AO161" i="5"/>
  <c r="AO56" i="5"/>
  <c r="AN56" i="5"/>
  <c r="AO160" i="5"/>
  <c r="AN160" i="5"/>
  <c r="AN27" i="4"/>
  <c r="AN27" i="11"/>
  <c r="AO24" i="8"/>
  <c r="AO24" i="4"/>
  <c r="AO25" i="4"/>
  <c r="AO24" i="13"/>
  <c r="AO25" i="13"/>
  <c r="AO24" i="11"/>
  <c r="AO24" i="16"/>
  <c r="AO25" i="16"/>
  <c r="AO24" i="41"/>
  <c r="AO25" i="41"/>
  <c r="AO25" i="43"/>
  <c r="AO26" i="43"/>
  <c r="AO24" i="3"/>
  <c r="AO25" i="3"/>
  <c r="AO24" i="10"/>
  <c r="AO25" i="10"/>
  <c r="AN24" i="8"/>
  <c r="AN24" i="4"/>
  <c r="AN25" i="4"/>
  <c r="AN24" i="13"/>
  <c r="AN25" i="13"/>
  <c r="AN24" i="11"/>
  <c r="AN24" i="16"/>
  <c r="AN25" i="16"/>
  <c r="AN25" i="43"/>
  <c r="AN26" i="43"/>
  <c r="AN24" i="41"/>
  <c r="AN25" i="41"/>
  <c r="AN24" i="3"/>
  <c r="AN25" i="3"/>
  <c r="AN24" i="10"/>
  <c r="AN25" i="10"/>
  <c r="AO27" i="4"/>
  <c r="AO27" i="11"/>
  <c r="AN25" i="11"/>
  <c r="AN100" i="11"/>
  <c r="AN164" i="11"/>
  <c r="AN102" i="11"/>
  <c r="AN166" i="11"/>
  <c r="AN104" i="11"/>
  <c r="AN168" i="11"/>
  <c r="AN106" i="11"/>
  <c r="AN170" i="11"/>
  <c r="AN111" i="11"/>
  <c r="AN179" i="11"/>
  <c r="AN113" i="11"/>
  <c r="AN181" i="11"/>
  <c r="AN115" i="11"/>
  <c r="AN183" i="11"/>
  <c r="AN101" i="11"/>
  <c r="AN165" i="11"/>
  <c r="AN103" i="11"/>
  <c r="AN167" i="11"/>
  <c r="AN105" i="11"/>
  <c r="AN169" i="11"/>
  <c r="AN110" i="11"/>
  <c r="AN178" i="11"/>
  <c r="AN112" i="11"/>
  <c r="AN180" i="11"/>
  <c r="AN114" i="11"/>
  <c r="AN182" i="11"/>
  <c r="AN116" i="11"/>
  <c r="AN184" i="11"/>
  <c r="AN250" i="11"/>
  <c r="AN252" i="11"/>
  <c r="AN268" i="11"/>
  <c r="AN254" i="11"/>
  <c r="AN270" i="11"/>
  <c r="AN361" i="11"/>
  <c r="AN251" i="11"/>
  <c r="AN267" i="11"/>
  <c r="AN253" i="11"/>
  <c r="AN269" i="11"/>
  <c r="AN284" i="11"/>
  <c r="AN285" i="11"/>
  <c r="AN351" i="11"/>
  <c r="AO91" i="11"/>
  <c r="AO95" i="11"/>
  <c r="AO155" i="11"/>
  <c r="AO122" i="11"/>
  <c r="AO193" i="11"/>
  <c r="AO400" i="11"/>
  <c r="AO126" i="11"/>
  <c r="AO197" i="11"/>
  <c r="AO410" i="11"/>
  <c r="AO132" i="11"/>
  <c r="AO208" i="11"/>
  <c r="AO136" i="11"/>
  <c r="AO212" i="11"/>
  <c r="AO94" i="11"/>
  <c r="AO154" i="11"/>
  <c r="AO121" i="11"/>
  <c r="AO192" i="11"/>
  <c r="AO125" i="11"/>
  <c r="AO196" i="11"/>
  <c r="AO409" i="11"/>
  <c r="AO131" i="11"/>
  <c r="AO207" i="11"/>
  <c r="AO135" i="11"/>
  <c r="AO211" i="11"/>
  <c r="AO93" i="11"/>
  <c r="AO153" i="11"/>
  <c r="AO97" i="11"/>
  <c r="AO157" i="11"/>
  <c r="AO124" i="11"/>
  <c r="AO195" i="11"/>
  <c r="AO414" i="11"/>
  <c r="AO130" i="11"/>
  <c r="AO206" i="11"/>
  <c r="AO134" i="11"/>
  <c r="AO210" i="11"/>
  <c r="AO92" i="11"/>
  <c r="AO152" i="11"/>
  <c r="AO96" i="11"/>
  <c r="AO156" i="11"/>
  <c r="AO123" i="11"/>
  <c r="AO194" i="11"/>
  <c r="AO398" i="11"/>
  <c r="AO127" i="11"/>
  <c r="AO198" i="11"/>
  <c r="AO411" i="11"/>
  <c r="AO133" i="11"/>
  <c r="AO209" i="11"/>
  <c r="AO137" i="11"/>
  <c r="AO213" i="11"/>
  <c r="AO25" i="11"/>
  <c r="AO100" i="11"/>
  <c r="AO164" i="11"/>
  <c r="AO102" i="11"/>
  <c r="AO166" i="11"/>
  <c r="AO104" i="11"/>
  <c r="AO168" i="11"/>
  <c r="AO106" i="11"/>
  <c r="AO170" i="11"/>
  <c r="AO111" i="11"/>
  <c r="AO179" i="11"/>
  <c r="AO113" i="11"/>
  <c r="AO181" i="11"/>
  <c r="AO115" i="11"/>
  <c r="AO183" i="11"/>
  <c r="AO101" i="11"/>
  <c r="AO165" i="11"/>
  <c r="AO103" i="11"/>
  <c r="AO167" i="11"/>
  <c r="AO105" i="11"/>
  <c r="AO169" i="11"/>
  <c r="AO110" i="11"/>
  <c r="AO178" i="11"/>
  <c r="AO112" i="11"/>
  <c r="AO180" i="11"/>
  <c r="AO114" i="11"/>
  <c r="AO182" i="11"/>
  <c r="AO116" i="11"/>
  <c r="AO184" i="11"/>
  <c r="AO250" i="11"/>
  <c r="AO252" i="11"/>
  <c r="AO268" i="11"/>
  <c r="AO254" i="11"/>
  <c r="AO270" i="11"/>
  <c r="AO361" i="11"/>
  <c r="AO251" i="11"/>
  <c r="AO267" i="11"/>
  <c r="AO253" i="11"/>
  <c r="AO269" i="11"/>
  <c r="AO284" i="11"/>
  <c r="AO285" i="11"/>
  <c r="AO351" i="11"/>
  <c r="AN25" i="8"/>
  <c r="AN104" i="8"/>
  <c r="AN105" i="8"/>
  <c r="AN119" i="8"/>
  <c r="AN113" i="8"/>
  <c r="AN114" i="8"/>
  <c r="AN120" i="8"/>
  <c r="AN91" i="11"/>
  <c r="AN95" i="11"/>
  <c r="AN155" i="11"/>
  <c r="AN122" i="11"/>
  <c r="AN193" i="11"/>
  <c r="AN400" i="11"/>
  <c r="AN126" i="11"/>
  <c r="AN197" i="11"/>
  <c r="AN410" i="11"/>
  <c r="AN132" i="11"/>
  <c r="AN208" i="11"/>
  <c r="AN136" i="11"/>
  <c r="AN212" i="11"/>
  <c r="AN94" i="11"/>
  <c r="AN154" i="11"/>
  <c r="AN121" i="11"/>
  <c r="AN192" i="11"/>
  <c r="AN125" i="11"/>
  <c r="AN196" i="11"/>
  <c r="AN409" i="11"/>
  <c r="AN131" i="11"/>
  <c r="AN207" i="11"/>
  <c r="AN135" i="11"/>
  <c r="AN211" i="11"/>
  <c r="AN93" i="11"/>
  <c r="AN153" i="11"/>
  <c r="AN97" i="11"/>
  <c r="AN157" i="11"/>
  <c r="AN124" i="11"/>
  <c r="AN195" i="11"/>
  <c r="AN414" i="11"/>
  <c r="AN130" i="11"/>
  <c r="AN206" i="11"/>
  <c r="AN134" i="11"/>
  <c r="AN210" i="11"/>
  <c r="AN92" i="11"/>
  <c r="AN152" i="11"/>
  <c r="AN96" i="11"/>
  <c r="AN156" i="11"/>
  <c r="AN123" i="11"/>
  <c r="AN194" i="11"/>
  <c r="AN398" i="11"/>
  <c r="AN127" i="11"/>
  <c r="AN198" i="11"/>
  <c r="AN411" i="11"/>
  <c r="AN133" i="11"/>
  <c r="AN209" i="11"/>
  <c r="AN137" i="11"/>
  <c r="AN213" i="11"/>
  <c r="AO25" i="8"/>
  <c r="AO113" i="8"/>
  <c r="AO114" i="8"/>
  <c r="AO120" i="8"/>
  <c r="AO104" i="8"/>
  <c r="AO105" i="8"/>
  <c r="AO119" i="8"/>
  <c r="AN385" i="11"/>
  <c r="AN386" i="11"/>
  <c r="AN391" i="11"/>
  <c r="AN373" i="11"/>
  <c r="AO185" i="11"/>
  <c r="AO187" i="11"/>
  <c r="AO188" i="11"/>
  <c r="AO266" i="11"/>
  <c r="AO271" i="11"/>
  <c r="AO278" i="11"/>
  <c r="AO255" i="11"/>
  <c r="AO214" i="11"/>
  <c r="AO391" i="11"/>
  <c r="AN171" i="11"/>
  <c r="AN173" i="11"/>
  <c r="AN174" i="11"/>
  <c r="AN375" i="11"/>
  <c r="AO121" i="8"/>
  <c r="AN151" i="11"/>
  <c r="AN142" i="11"/>
  <c r="AN121" i="8"/>
  <c r="AN266" i="11"/>
  <c r="AN271" i="11"/>
  <c r="AN278" i="11"/>
  <c r="AN255" i="11"/>
  <c r="AN199" i="11"/>
  <c r="AN201" i="11"/>
  <c r="AN202" i="11"/>
  <c r="AN408" i="11"/>
  <c r="AN412" i="11"/>
  <c r="AO387" i="11"/>
  <c r="AO373" i="11"/>
  <c r="AN214" i="11"/>
  <c r="AO386" i="11"/>
  <c r="AO385" i="11"/>
  <c r="AN387" i="11"/>
  <c r="AO171" i="11"/>
  <c r="AO173" i="11"/>
  <c r="AO174" i="11"/>
  <c r="AO151" i="11"/>
  <c r="AO142" i="11"/>
  <c r="AN185" i="11"/>
  <c r="AN187" i="11"/>
  <c r="AN188" i="11"/>
  <c r="AO375" i="11"/>
  <c r="AO199" i="11"/>
  <c r="AO201" i="11"/>
  <c r="AO202" i="11"/>
  <c r="AO408" i="11"/>
  <c r="AO412" i="11"/>
  <c r="AO158" i="11"/>
  <c r="AO160" i="11"/>
  <c r="AO161" i="11"/>
  <c r="AO384" i="11"/>
  <c r="AO388" i="11"/>
  <c r="AN216" i="11"/>
  <c r="AN217" i="11"/>
  <c r="AN379" i="11"/>
  <c r="AN382" i="11"/>
  <c r="AN403" i="11"/>
  <c r="AN405" i="11"/>
  <c r="AO216" i="11"/>
  <c r="AO217" i="11"/>
  <c r="AO379" i="11"/>
  <c r="AO382" i="11"/>
  <c r="AO403" i="11"/>
  <c r="AO405" i="11"/>
  <c r="AN158" i="11"/>
  <c r="AN160" i="11"/>
  <c r="AN161" i="11"/>
  <c r="AN384" i="11"/>
  <c r="AN388" i="11"/>
  <c r="AN221" i="11"/>
  <c r="AN224" i="11"/>
  <c r="AN225" i="11"/>
  <c r="AN233" i="11"/>
  <c r="AO221" i="11"/>
  <c r="AO224" i="11"/>
  <c r="AO225" i="11"/>
  <c r="AO233" i="11"/>
  <c r="J158" i="5"/>
  <c r="J161" i="5"/>
  <c r="K30" i="12"/>
  <c r="N133" i="22"/>
  <c r="N129" i="22"/>
  <c r="J27" i="4"/>
  <c r="J27" i="11"/>
  <c r="K27" i="12"/>
  <c r="K106" i="12"/>
  <c r="K112" i="12"/>
  <c r="K113" i="12"/>
  <c r="K80" i="12"/>
  <c r="K81" i="12"/>
  <c r="K108" i="12"/>
  <c r="K118" i="12"/>
  <c r="K119" i="12"/>
  <c r="K70" i="12"/>
  <c r="K76" i="12"/>
  <c r="K77" i="12"/>
  <c r="K115" i="12"/>
  <c r="K116" i="12"/>
  <c r="K72" i="12"/>
  <c r="K86" i="12"/>
  <c r="K87" i="12"/>
  <c r="J92" i="11"/>
  <c r="J91" i="11"/>
  <c r="J95" i="11"/>
  <c r="J122" i="11"/>
  <c r="J126" i="11"/>
  <c r="J132" i="11"/>
  <c r="J136" i="11"/>
  <c r="J94" i="11"/>
  <c r="J121" i="11"/>
  <c r="J125" i="11"/>
  <c r="J131" i="11"/>
  <c r="J135" i="11"/>
  <c r="J93" i="11"/>
  <c r="J97" i="11"/>
  <c r="J124" i="11"/>
  <c r="J130" i="11"/>
  <c r="J134" i="11"/>
  <c r="J96" i="11"/>
  <c r="J123" i="11"/>
  <c r="J127" i="11"/>
  <c r="J133" i="11"/>
  <c r="J137" i="11"/>
  <c r="J36" i="4"/>
  <c r="J46" i="4"/>
  <c r="N137" i="22"/>
  <c r="N141" i="22"/>
  <c r="N140" i="22"/>
  <c r="N147" i="22"/>
  <c r="N469" i="22"/>
  <c r="E8" i="58"/>
  <c r="G111" i="48"/>
  <c r="G228" i="48"/>
  <c r="K56" i="12"/>
  <c r="J151" i="11"/>
  <c r="J142" i="11"/>
  <c r="J156" i="11"/>
  <c r="J206" i="11"/>
  <c r="J196" i="11"/>
  <c r="J192" i="11"/>
  <c r="J195" i="11"/>
  <c r="J208" i="11"/>
  <c r="K92" i="12"/>
  <c r="K91" i="12"/>
  <c r="J209" i="11"/>
  <c r="J197" i="11"/>
  <c r="J210" i="11"/>
  <c r="J152" i="11"/>
  <c r="J154" i="11"/>
  <c r="J212" i="11"/>
  <c r="J157" i="11"/>
  <c r="J198" i="11"/>
  <c r="J211" i="11"/>
  <c r="J193" i="11"/>
  <c r="N145" i="22"/>
  <c r="N143" i="22"/>
  <c r="N465" i="22"/>
  <c r="E4" i="58"/>
  <c r="G107" i="48"/>
  <c r="G110" i="48"/>
  <c r="G226" i="48"/>
  <c r="G229" i="48"/>
  <c r="K52" i="12"/>
  <c r="J37" i="4"/>
  <c r="K34" i="4"/>
  <c r="J44" i="4"/>
  <c r="J213" i="11"/>
  <c r="J153" i="11"/>
  <c r="N468" i="22"/>
  <c r="G112" i="48"/>
  <c r="K55" i="12"/>
  <c r="J194" i="11"/>
  <c r="J207" i="11"/>
  <c r="J155" i="11"/>
  <c r="K125" i="12"/>
  <c r="K124" i="12"/>
  <c r="N148" i="22"/>
  <c r="N211" i="22"/>
  <c r="N188" i="22"/>
  <c r="K142" i="12"/>
  <c r="K163" i="12"/>
  <c r="E27" i="58"/>
  <c r="K57" i="12"/>
  <c r="N271" i="22"/>
  <c r="N266" i="22"/>
  <c r="E39" i="58"/>
  <c r="J158" i="11"/>
  <c r="J160" i="11"/>
  <c r="J161" i="11"/>
  <c r="J384" i="11"/>
  <c r="E42" i="58"/>
  <c r="J391" i="11"/>
  <c r="J29" i="47"/>
  <c r="E104" i="58"/>
  <c r="E102" i="58"/>
  <c r="J398" i="11"/>
  <c r="J61" i="47"/>
  <c r="E40" i="58"/>
  <c r="J375" i="11"/>
  <c r="J214" i="11"/>
  <c r="J216" i="11"/>
  <c r="J217" i="11"/>
  <c r="E41" i="58"/>
  <c r="J373" i="11"/>
  <c r="J13" i="47"/>
  <c r="E106" i="58"/>
  <c r="E115" i="58"/>
  <c r="J387" i="11"/>
  <c r="K141" i="12"/>
  <c r="K162" i="12"/>
  <c r="N476" i="22"/>
  <c r="N471" i="22"/>
  <c r="N470" i="22"/>
  <c r="N484" i="22"/>
  <c r="E45" i="58"/>
  <c r="E103" i="58"/>
  <c r="J45" i="4"/>
  <c r="J51" i="4"/>
  <c r="J8" i="9"/>
  <c r="N162" i="22"/>
  <c r="N224" i="22"/>
  <c r="N270" i="22"/>
  <c r="N265" i="22"/>
  <c r="E3" i="58"/>
  <c r="J7" i="47"/>
  <c r="E44" i="58"/>
  <c r="J386" i="11"/>
  <c r="N473" i="22"/>
  <c r="N488" i="22"/>
  <c r="N480" i="22"/>
  <c r="E43" i="58"/>
  <c r="J385" i="11"/>
  <c r="N479" i="22"/>
  <c r="E101" i="58"/>
  <c r="E110" i="58"/>
  <c r="J400" i="11"/>
  <c r="E105" i="58"/>
  <c r="E100" i="58"/>
  <c r="J199" i="11"/>
  <c r="J201" i="11"/>
  <c r="J202" i="11"/>
  <c r="N165" i="22"/>
  <c r="N203" i="22"/>
  <c r="N272" i="22"/>
  <c r="N267" i="22"/>
  <c r="E23" i="58"/>
  <c r="J54" i="47"/>
  <c r="J221" i="11"/>
  <c r="J224" i="11"/>
  <c r="J225" i="11"/>
  <c r="J9" i="14"/>
  <c r="E11" i="58"/>
  <c r="N275" i="22"/>
  <c r="N276" i="22"/>
  <c r="N508" i="22"/>
  <c r="K65" i="12"/>
  <c r="N513" i="22"/>
  <c r="N489" i="22"/>
  <c r="K98" i="12"/>
  <c r="N172" i="22"/>
  <c r="J34" i="43"/>
  <c r="N474" i="22"/>
  <c r="N226" i="22"/>
  <c r="K237" i="12"/>
  <c r="J60" i="43"/>
  <c r="J64" i="43"/>
  <c r="J70" i="43"/>
  <c r="K213" i="12"/>
  <c r="N481" i="22"/>
  <c r="N505" i="22"/>
  <c r="K62" i="12"/>
  <c r="N274" i="22"/>
  <c r="J50" i="10"/>
  <c r="J16" i="15"/>
  <c r="G91" i="48"/>
  <c r="K126" i="12"/>
  <c r="N509" i="22"/>
  <c r="K66" i="12"/>
  <c r="N175" i="22"/>
  <c r="J92" i="43"/>
  <c r="N517" i="22"/>
  <c r="K102" i="12"/>
  <c r="K127" i="12"/>
  <c r="N179" i="22"/>
  <c r="J37" i="43"/>
  <c r="J43" i="43"/>
  <c r="J233" i="11"/>
  <c r="N277" i="22"/>
  <c r="K103" i="12"/>
  <c r="K123" i="12"/>
  <c r="J96" i="43"/>
  <c r="J112" i="43"/>
  <c r="K203" i="12"/>
  <c r="K222" i="12"/>
  <c r="N511" i="22"/>
  <c r="N537" i="22"/>
  <c r="G117" i="48"/>
  <c r="N518" i="22"/>
  <c r="G118" i="48"/>
  <c r="N541" i="22"/>
  <c r="G233" i="48"/>
  <c r="J42" i="43"/>
  <c r="J44" i="43"/>
  <c r="J68" i="43"/>
  <c r="K200" i="12"/>
  <c r="K218" i="12"/>
  <c r="K143" i="12"/>
  <c r="K135" i="12"/>
  <c r="N181" i="22"/>
  <c r="J15" i="18"/>
  <c r="J15" i="55"/>
  <c r="J54" i="10"/>
  <c r="J51" i="10"/>
  <c r="K94" i="12"/>
  <c r="K144" i="12"/>
  <c r="K136" i="12"/>
  <c r="K195" i="12"/>
  <c r="K67" i="12"/>
  <c r="K90" i="12"/>
  <c r="K132" i="12"/>
  <c r="J106" i="41"/>
  <c r="J141" i="41"/>
  <c r="K95" i="12"/>
  <c r="N542" i="22"/>
  <c r="G231" i="48"/>
  <c r="G234" i="48"/>
  <c r="N522" i="22"/>
  <c r="K137" i="12"/>
  <c r="K192" i="12"/>
  <c r="K196" i="12"/>
  <c r="G122" i="48"/>
  <c r="J9" i="47"/>
  <c r="K164" i="12"/>
  <c r="K145" i="12"/>
  <c r="G123" i="48"/>
  <c r="J57" i="47"/>
  <c r="K165" i="12"/>
  <c r="K223" i="12"/>
  <c r="J52" i="10"/>
  <c r="K140" i="12"/>
  <c r="K161" i="12"/>
  <c r="K128" i="12"/>
  <c r="K166" i="12"/>
  <c r="J53" i="10"/>
  <c r="K169" i="12"/>
  <c r="K170" i="12"/>
  <c r="E12" i="58"/>
  <c r="E28" i="58"/>
  <c r="J17" i="47"/>
  <c r="G84" i="48"/>
  <c r="J7" i="14"/>
  <c r="J46" i="14"/>
  <c r="K177" i="12"/>
  <c r="J55" i="10"/>
  <c r="J58" i="10"/>
  <c r="J60" i="10"/>
  <c r="K57" i="10"/>
  <c r="E10" i="58"/>
  <c r="E24" i="58"/>
  <c r="E26" i="58"/>
  <c r="J105" i="41"/>
  <c r="AL235" i="11"/>
  <c r="AL280" i="11"/>
  <c r="AM277" i="11"/>
  <c r="AM179" i="12"/>
  <c r="AL13" i="9"/>
  <c r="AM263" i="12"/>
  <c r="AM55" i="5"/>
  <c r="AM159" i="5"/>
  <c r="AM158" i="5"/>
  <c r="AM161" i="5"/>
  <c r="AM56" i="5"/>
  <c r="AM160" i="5"/>
  <c r="AM27" i="4"/>
  <c r="AM27" i="11"/>
  <c r="AM24" i="8"/>
  <c r="AM24" i="13"/>
  <c r="AM25" i="13"/>
  <c r="AM24" i="4"/>
  <c r="AM25" i="4"/>
  <c r="AM24" i="11"/>
  <c r="AM24" i="16"/>
  <c r="AM25" i="16"/>
  <c r="AM24" i="41"/>
  <c r="AM25" i="41"/>
  <c r="AM25" i="43"/>
  <c r="AM26" i="43"/>
  <c r="AM24" i="3"/>
  <c r="AM25" i="3"/>
  <c r="AM24" i="10"/>
  <c r="AM25" i="10"/>
  <c r="AL109" i="41"/>
  <c r="AL23" i="9"/>
  <c r="AM232" i="11"/>
  <c r="AM25" i="8"/>
  <c r="AM104" i="8"/>
  <c r="AM105" i="8"/>
  <c r="AM119" i="8"/>
  <c r="AM113" i="8"/>
  <c r="AM114" i="8"/>
  <c r="AM120" i="8"/>
  <c r="AM92" i="11"/>
  <c r="AM152" i="11"/>
  <c r="AM96" i="11"/>
  <c r="AM156" i="11"/>
  <c r="AM91" i="11"/>
  <c r="AM95" i="11"/>
  <c r="AM155" i="11"/>
  <c r="AM94" i="11"/>
  <c r="AM154" i="11"/>
  <c r="AM93" i="11"/>
  <c r="AM153" i="11"/>
  <c r="AM97" i="11"/>
  <c r="AM157" i="11"/>
  <c r="AM124" i="11"/>
  <c r="AM195" i="11"/>
  <c r="AM414" i="11"/>
  <c r="AM130" i="11"/>
  <c r="AM206" i="11"/>
  <c r="AM134" i="11"/>
  <c r="AM210" i="11"/>
  <c r="AM123" i="11"/>
  <c r="AM194" i="11"/>
  <c r="AM398" i="11"/>
  <c r="AM127" i="11"/>
  <c r="AM198" i="11"/>
  <c r="AM411" i="11"/>
  <c r="AM133" i="11"/>
  <c r="AM209" i="11"/>
  <c r="AM137" i="11"/>
  <c r="AM213" i="11"/>
  <c r="AM122" i="11"/>
  <c r="AM193" i="11"/>
  <c r="AM400" i="11"/>
  <c r="AM126" i="11"/>
  <c r="AM197" i="11"/>
  <c r="AM410" i="11"/>
  <c r="AM132" i="11"/>
  <c r="AM208" i="11"/>
  <c r="AM136" i="11"/>
  <c r="AM212" i="11"/>
  <c r="AM121" i="11"/>
  <c r="AM192" i="11"/>
  <c r="AM125" i="11"/>
  <c r="AM196" i="11"/>
  <c r="AM409" i="11"/>
  <c r="AM131" i="11"/>
  <c r="AM207" i="11"/>
  <c r="AM135" i="11"/>
  <c r="AM211" i="11"/>
  <c r="AM100" i="11"/>
  <c r="AM164" i="11"/>
  <c r="AM102" i="11"/>
  <c r="AM166" i="11"/>
  <c r="AM104" i="11"/>
  <c r="AM168" i="11"/>
  <c r="AM101" i="11"/>
  <c r="AM165" i="11"/>
  <c r="AM103" i="11"/>
  <c r="AM167" i="11"/>
  <c r="AM25" i="11"/>
  <c r="AM112" i="11"/>
  <c r="AM180" i="11"/>
  <c r="AM114" i="11"/>
  <c r="AM182" i="11"/>
  <c r="AM116" i="11"/>
  <c r="AM184" i="11"/>
  <c r="AM105" i="11"/>
  <c r="AM169" i="11"/>
  <c r="AM106" i="11"/>
  <c r="AM170" i="11"/>
  <c r="AM110" i="11"/>
  <c r="AM178" i="11"/>
  <c r="AM111" i="11"/>
  <c r="AM179" i="11"/>
  <c r="AM113" i="11"/>
  <c r="AM181" i="11"/>
  <c r="AM115" i="11"/>
  <c r="AM183" i="11"/>
  <c r="AM250" i="11"/>
  <c r="AM252" i="11"/>
  <c r="AM268" i="11"/>
  <c r="AM254" i="11"/>
  <c r="AM270" i="11"/>
  <c r="AM251" i="11"/>
  <c r="AM267" i="11"/>
  <c r="AM253" i="11"/>
  <c r="AM269" i="11"/>
  <c r="AM284" i="11"/>
  <c r="AM285" i="11"/>
  <c r="AM351" i="11"/>
  <c r="AL114" i="41"/>
  <c r="AM266" i="11"/>
  <c r="AM271" i="11"/>
  <c r="AM278" i="11"/>
  <c r="AM255" i="11"/>
  <c r="AM214" i="11"/>
  <c r="AM121" i="8"/>
  <c r="AM373" i="11"/>
  <c r="AM185" i="11"/>
  <c r="AM187" i="11"/>
  <c r="AM188" i="11"/>
  <c r="AM375" i="11"/>
  <c r="AM391" i="11"/>
  <c r="AM387" i="11"/>
  <c r="AM385" i="11"/>
  <c r="AM408" i="11"/>
  <c r="AM412" i="11"/>
  <c r="AM199" i="11"/>
  <c r="AM201" i="11"/>
  <c r="AM202" i="11"/>
  <c r="AM142" i="11"/>
  <c r="AM151" i="11"/>
  <c r="AM171" i="11"/>
  <c r="AM173" i="11"/>
  <c r="AM174" i="11"/>
  <c r="AM386" i="11"/>
  <c r="AM403" i="11"/>
  <c r="AM405" i="11"/>
  <c r="AM379" i="11"/>
  <c r="AM382" i="11"/>
  <c r="AM216" i="11"/>
  <c r="AM217" i="11"/>
  <c r="AM158" i="11"/>
  <c r="AM160" i="11"/>
  <c r="AM161" i="11"/>
  <c r="AM384" i="11"/>
  <c r="AM388" i="11"/>
  <c r="AM221" i="11"/>
  <c r="AM224" i="11"/>
  <c r="AM225" i="11"/>
  <c r="AM233" i="11"/>
  <c r="P54" i="5"/>
  <c r="T207" i="22"/>
  <c r="T183" i="22"/>
  <c r="T191" i="22"/>
  <c r="P23" i="8"/>
  <c r="P23" i="4"/>
  <c r="P23" i="13"/>
  <c r="P23" i="11"/>
  <c r="P23" i="41"/>
  <c r="P23" i="16"/>
  <c r="P24" i="43"/>
  <c r="P23" i="3"/>
  <c r="Q23" i="12"/>
  <c r="P23" i="10"/>
  <c r="T195" i="22"/>
  <c r="P101" i="43"/>
  <c r="T185" i="22"/>
  <c r="P49" i="43"/>
  <c r="O54" i="5"/>
  <c r="O24" i="43"/>
  <c r="S207" i="22"/>
  <c r="O23" i="10"/>
  <c r="P23" i="12"/>
  <c r="S191" i="22"/>
  <c r="S183" i="22"/>
  <c r="O23" i="13"/>
  <c r="O23" i="4"/>
  <c r="O23" i="11"/>
  <c r="O23" i="16"/>
  <c r="O23" i="41"/>
  <c r="O23" i="3"/>
  <c r="O23" i="8"/>
  <c r="S185" i="22"/>
  <c r="O49" i="43"/>
  <c r="S195" i="22"/>
  <c r="O101" i="43"/>
  <c r="L54" i="5"/>
  <c r="M54" i="5"/>
  <c r="N54" i="5"/>
  <c r="N23" i="10"/>
  <c r="R207" i="22"/>
  <c r="M23" i="10"/>
  <c r="Q207" i="22"/>
  <c r="L23" i="10"/>
  <c r="P207" i="22"/>
  <c r="R191" i="22"/>
  <c r="R183" i="22"/>
  <c r="N23" i="8"/>
  <c r="N23" i="13"/>
  <c r="N23" i="4"/>
  <c r="N23" i="11"/>
  <c r="N23" i="16"/>
  <c r="N23" i="41"/>
  <c r="N24" i="43"/>
  <c r="O23" i="12"/>
  <c r="N23" i="3"/>
  <c r="Q191" i="22"/>
  <c r="Q183" i="22"/>
  <c r="M23" i="8"/>
  <c r="M23" i="13"/>
  <c r="M23" i="4"/>
  <c r="M23" i="11"/>
  <c r="M23" i="16"/>
  <c r="M23" i="41"/>
  <c r="M24" i="43"/>
  <c r="N23" i="12"/>
  <c r="M23" i="3"/>
  <c r="L23" i="8"/>
  <c r="L23" i="13"/>
  <c r="L23" i="4"/>
  <c r="L23" i="11"/>
  <c r="L23" i="41"/>
  <c r="L23" i="16"/>
  <c r="L24" i="43"/>
  <c r="M23" i="12"/>
  <c r="L23" i="3"/>
  <c r="Q185" i="22"/>
  <c r="M49" i="43"/>
  <c r="Q195" i="22"/>
  <c r="M101" i="43"/>
  <c r="R185" i="22"/>
  <c r="N49" i="43"/>
  <c r="R195" i="22"/>
  <c r="N101" i="43"/>
  <c r="F66" i="67"/>
  <c r="AM34" i="43"/>
  <c r="AM42" i="43"/>
  <c r="AN34" i="43"/>
  <c r="AO34" i="43"/>
  <c r="AP34" i="43"/>
  <c r="AP42" i="43"/>
  <c r="AQ34" i="43"/>
  <c r="AQ42" i="43"/>
  <c r="AR34" i="43"/>
  <c r="AR42" i="43"/>
  <c r="AS34" i="43"/>
  <c r="AS42" i="43"/>
  <c r="AT34" i="43"/>
  <c r="AT42" i="43"/>
  <c r="AU34" i="43"/>
  <c r="AU42" i="43"/>
  <c r="AV34" i="43"/>
  <c r="AW34" i="43"/>
  <c r="AW42" i="43"/>
  <c r="AM37" i="43"/>
  <c r="AM43" i="43"/>
  <c r="AN37" i="43"/>
  <c r="AN43" i="43"/>
  <c r="AO37" i="43"/>
  <c r="AO43" i="43"/>
  <c r="AP37" i="43"/>
  <c r="AP43" i="43"/>
  <c r="AP44" i="43"/>
  <c r="AP68" i="43"/>
  <c r="AQ37" i="43"/>
  <c r="AQ43" i="43"/>
  <c r="AR37" i="43"/>
  <c r="AR43" i="43"/>
  <c r="AS37" i="43"/>
  <c r="AT37" i="43"/>
  <c r="AU37" i="43"/>
  <c r="AU43" i="43"/>
  <c r="AV37" i="43"/>
  <c r="AV43" i="43"/>
  <c r="AW37" i="43"/>
  <c r="AW43" i="43"/>
  <c r="AN42" i="43"/>
  <c r="AN44" i="43"/>
  <c r="AN68" i="43"/>
  <c r="AO42" i="43"/>
  <c r="AV42" i="43"/>
  <c r="AS43" i="43"/>
  <c r="AT43" i="43"/>
  <c r="AM50" i="43"/>
  <c r="AN50" i="43"/>
  <c r="AN54" i="43"/>
  <c r="AN69" i="43"/>
  <c r="AO50" i="43"/>
  <c r="AO54" i="43"/>
  <c r="AO69" i="43"/>
  <c r="AP50" i="43"/>
  <c r="AP54" i="43"/>
  <c r="AP69" i="43"/>
  <c r="AQ50" i="43"/>
  <c r="AQ54" i="43"/>
  <c r="AQ69" i="43"/>
  <c r="AR50" i="43"/>
  <c r="AR54" i="43"/>
  <c r="AR69" i="43"/>
  <c r="AS50" i="43"/>
  <c r="AS54" i="43"/>
  <c r="AS69" i="43"/>
  <c r="AT50" i="43"/>
  <c r="AU50" i="43"/>
  <c r="AU54" i="43"/>
  <c r="AU69" i="43"/>
  <c r="AV50" i="43"/>
  <c r="AV54" i="43"/>
  <c r="AV69" i="43"/>
  <c r="AW50" i="43"/>
  <c r="AW54" i="43"/>
  <c r="AW69" i="43"/>
  <c r="AM54" i="43"/>
  <c r="AM69" i="43"/>
  <c r="AT54" i="43"/>
  <c r="AT69" i="43"/>
  <c r="AM60" i="43"/>
  <c r="AN60" i="43"/>
  <c r="AO60" i="43"/>
  <c r="AO64" i="43"/>
  <c r="AO70" i="43"/>
  <c r="AP60" i="43"/>
  <c r="AP64" i="43"/>
  <c r="AP70" i="43"/>
  <c r="AQ60" i="43"/>
  <c r="AR60" i="43"/>
  <c r="AR64" i="43"/>
  <c r="AR70" i="43"/>
  <c r="AS60" i="43"/>
  <c r="AS64" i="43"/>
  <c r="AS70" i="43"/>
  <c r="AT60" i="43"/>
  <c r="AT64" i="43"/>
  <c r="AT70" i="43"/>
  <c r="AU60" i="43"/>
  <c r="AV60" i="43"/>
  <c r="AV64" i="43"/>
  <c r="AV70" i="43"/>
  <c r="AW60" i="43"/>
  <c r="AW64" i="43"/>
  <c r="AW70" i="43"/>
  <c r="AM64" i="43"/>
  <c r="AM70" i="43"/>
  <c r="AN64" i="43"/>
  <c r="AN70" i="43"/>
  <c r="AQ64" i="43"/>
  <c r="AQ70" i="43"/>
  <c r="AU64" i="43"/>
  <c r="AU70" i="43"/>
  <c r="AM92" i="43"/>
  <c r="AM96" i="43"/>
  <c r="AM112" i="43"/>
  <c r="AN92" i="43"/>
  <c r="AO92" i="43"/>
  <c r="AO96" i="43"/>
  <c r="AO112" i="43"/>
  <c r="AP92" i="43"/>
  <c r="AP96" i="43"/>
  <c r="AP112" i="43"/>
  <c r="AQ92" i="43"/>
  <c r="AQ96" i="43"/>
  <c r="AQ112" i="43"/>
  <c r="AR92" i="43"/>
  <c r="AR96" i="43"/>
  <c r="AR112" i="43"/>
  <c r="AS92" i="43"/>
  <c r="AS96" i="43"/>
  <c r="AS112" i="43"/>
  <c r="AT92" i="43"/>
  <c r="AT96" i="43"/>
  <c r="AT112" i="43"/>
  <c r="AU92" i="43"/>
  <c r="AU96" i="43"/>
  <c r="AU112" i="43"/>
  <c r="AV92" i="43"/>
  <c r="AV96" i="43"/>
  <c r="AV112" i="43"/>
  <c r="AW92" i="43"/>
  <c r="AW96" i="43"/>
  <c r="AW112" i="43"/>
  <c r="AN96" i="43"/>
  <c r="AN112" i="43"/>
  <c r="AM102" i="43"/>
  <c r="AM106" i="43"/>
  <c r="AM122" i="43"/>
  <c r="AN102" i="43"/>
  <c r="AN106" i="43"/>
  <c r="AO102" i="43"/>
  <c r="AO106" i="43"/>
  <c r="AO122" i="43"/>
  <c r="AP102" i="43"/>
  <c r="AP106" i="43"/>
  <c r="AP122" i="43"/>
  <c r="AQ102" i="43"/>
  <c r="AQ106" i="43"/>
  <c r="AR102" i="43"/>
  <c r="AR106" i="43"/>
  <c r="AS102" i="43"/>
  <c r="AS106" i="43"/>
  <c r="AT102" i="43"/>
  <c r="AT106" i="43"/>
  <c r="AT113" i="43"/>
  <c r="AU102" i="43"/>
  <c r="AU106" i="43"/>
  <c r="AU122" i="43"/>
  <c r="AV102" i="43"/>
  <c r="AV106" i="43"/>
  <c r="AW102" i="43"/>
  <c r="AW106" i="43"/>
  <c r="AW122" i="43"/>
  <c r="AT114" i="43"/>
  <c r="AS122" i="43"/>
  <c r="AS113" i="43"/>
  <c r="AS114" i="43"/>
  <c r="AP113" i="43"/>
  <c r="AO44" i="43"/>
  <c r="AO68" i="43"/>
  <c r="AT44" i="43"/>
  <c r="AT68" i="43"/>
  <c r="AT71" i="43"/>
  <c r="AT121" i="43"/>
  <c r="AS44" i="43"/>
  <c r="AS68" i="43"/>
  <c r="AS71" i="43"/>
  <c r="AS121" i="43"/>
  <c r="AS123" i="43"/>
  <c r="AR122" i="43"/>
  <c r="AR113" i="43"/>
  <c r="AR114" i="43"/>
  <c r="AQ122" i="43"/>
  <c r="AQ113" i="43"/>
  <c r="AQ114" i="43"/>
  <c r="AN71" i="43"/>
  <c r="AN121" i="43"/>
  <c r="AP114" i="43"/>
  <c r="AW44" i="43"/>
  <c r="AW68" i="43"/>
  <c r="AW71" i="43"/>
  <c r="AW121" i="43"/>
  <c r="AW123" i="43"/>
  <c r="AQ44" i="43"/>
  <c r="AQ68" i="43"/>
  <c r="AQ71" i="43"/>
  <c r="AQ121" i="43"/>
  <c r="AQ123" i="43"/>
  <c r="AT122" i="43"/>
  <c r="AW113" i="43"/>
  <c r="AW114" i="43"/>
  <c r="AM113" i="43"/>
  <c r="AM114" i="43"/>
  <c r="AP71" i="43"/>
  <c r="AP121" i="43"/>
  <c r="AP123" i="43"/>
  <c r="AO113" i="43"/>
  <c r="AO114" i="43"/>
  <c r="AU113" i="43"/>
  <c r="AU114" i="43"/>
  <c r="AO71" i="43"/>
  <c r="AO121" i="43"/>
  <c r="AO123" i="43"/>
  <c r="AR44" i="43"/>
  <c r="AR68" i="43"/>
  <c r="AR71" i="43"/>
  <c r="AR121" i="43"/>
  <c r="AR123" i="43"/>
  <c r="AU44" i="43"/>
  <c r="AU68" i="43"/>
  <c r="AU71" i="43"/>
  <c r="AU121" i="43"/>
  <c r="AU123" i="43"/>
  <c r="AM44" i="43"/>
  <c r="AM68" i="43"/>
  <c r="AM71" i="43"/>
  <c r="AM121" i="43"/>
  <c r="AM123" i="43"/>
  <c r="AV113" i="43"/>
  <c r="AV114" i="43"/>
  <c r="AV122" i="43"/>
  <c r="AN113" i="43"/>
  <c r="AN114" i="43"/>
  <c r="AN122" i="43"/>
  <c r="AV44" i="43"/>
  <c r="AV68" i="43"/>
  <c r="AV71" i="43"/>
  <c r="AV121" i="43"/>
  <c r="AN123" i="43"/>
  <c r="AT123" i="43"/>
  <c r="AV123" i="43"/>
  <c r="O179" i="22"/>
  <c r="P179" i="22"/>
  <c r="Q179" i="22"/>
  <c r="R179" i="22"/>
  <c r="S179" i="22"/>
  <c r="T179" i="22"/>
  <c r="U179" i="22"/>
  <c r="V179" i="22"/>
  <c r="W179" i="22"/>
  <c r="X179" i="22"/>
  <c r="Y179" i="22"/>
  <c r="Z179" i="22"/>
  <c r="AA179" i="22"/>
  <c r="AB179" i="22"/>
  <c r="AC179" i="22"/>
  <c r="AD179" i="22"/>
  <c r="AE179" i="22"/>
  <c r="AF179" i="22"/>
  <c r="AG179" i="22"/>
  <c r="AH179" i="22"/>
  <c r="AI179" i="22"/>
  <c r="AJ179" i="22"/>
  <c r="AK179" i="22"/>
  <c r="AL179" i="22"/>
  <c r="AM179" i="22"/>
  <c r="AN179" i="22"/>
  <c r="AO179" i="22"/>
  <c r="AP179" i="22"/>
  <c r="K37" i="43"/>
  <c r="K43" i="43"/>
  <c r="L37" i="43"/>
  <c r="L43" i="43"/>
  <c r="M37" i="43"/>
  <c r="N37" i="43"/>
  <c r="N43" i="43"/>
  <c r="O37" i="43"/>
  <c r="P37" i="43"/>
  <c r="P43" i="43"/>
  <c r="Q37" i="43"/>
  <c r="R37" i="43"/>
  <c r="R43" i="43"/>
  <c r="S37" i="43"/>
  <c r="S43" i="43"/>
  <c r="T37" i="43"/>
  <c r="T43" i="43"/>
  <c r="U37" i="43"/>
  <c r="U43" i="43"/>
  <c r="V37" i="43"/>
  <c r="V43" i="43"/>
  <c r="W37" i="43"/>
  <c r="W43" i="43"/>
  <c r="X37" i="43"/>
  <c r="X43" i="43"/>
  <c r="Y37" i="43"/>
  <c r="Y43" i="43"/>
  <c r="Z37" i="43"/>
  <c r="Z43" i="43"/>
  <c r="AA37" i="43"/>
  <c r="AA43" i="43"/>
  <c r="AB37" i="43"/>
  <c r="AB43" i="43"/>
  <c r="AC37" i="43"/>
  <c r="AC43" i="43"/>
  <c r="AD37" i="43"/>
  <c r="AD43" i="43"/>
  <c r="AE37" i="43"/>
  <c r="AE43" i="43"/>
  <c r="AF37" i="43"/>
  <c r="AF43" i="43"/>
  <c r="AG37" i="43"/>
  <c r="AG43" i="43"/>
  <c r="AH37" i="43"/>
  <c r="AH43" i="43"/>
  <c r="AI37" i="43"/>
  <c r="AI43" i="43"/>
  <c r="AJ37" i="43"/>
  <c r="AJ43" i="43"/>
  <c r="AK37" i="43"/>
  <c r="AK43" i="43"/>
  <c r="AL37" i="43"/>
  <c r="AL43" i="43"/>
  <c r="M43" i="43"/>
  <c r="O43" i="43"/>
  <c r="Q43" i="43"/>
  <c r="S88" i="8"/>
  <c r="S93" i="8"/>
  <c r="T88" i="8"/>
  <c r="T93" i="8"/>
  <c r="S89" i="8"/>
  <c r="T89" i="8"/>
  <c r="H123" i="48"/>
  <c r="I123" i="48"/>
  <c r="J123" i="48"/>
  <c r="K123" i="48"/>
  <c r="L123" i="48"/>
  <c r="M123" i="48"/>
  <c r="N123" i="48"/>
  <c r="O123" i="48"/>
  <c r="P123" i="48"/>
  <c r="Q123" i="48"/>
  <c r="R123" i="48"/>
  <c r="S123" i="48"/>
  <c r="T123" i="48"/>
  <c r="U123" i="48"/>
  <c r="V123" i="48"/>
  <c r="W123" i="48"/>
  <c r="X123" i="48"/>
  <c r="Y123" i="48"/>
  <c r="Z123" i="48"/>
  <c r="AA123" i="48"/>
  <c r="AB123" i="48"/>
  <c r="AC123" i="48"/>
  <c r="AD123" i="48"/>
  <c r="AE123" i="48"/>
  <c r="AF123" i="48"/>
  <c r="AG123" i="48"/>
  <c r="AH123" i="48"/>
  <c r="AI123" i="48"/>
  <c r="O266" i="22"/>
  <c r="P266" i="22"/>
  <c r="Q266" i="22"/>
  <c r="R266" i="22"/>
  <c r="S266" i="22"/>
  <c r="S271" i="22"/>
  <c r="S275" i="22"/>
  <c r="T266" i="22"/>
  <c r="T271" i="22"/>
  <c r="T275" i="22"/>
  <c r="U266" i="22"/>
  <c r="V266" i="22"/>
  <c r="W266" i="22"/>
  <c r="X266" i="22"/>
  <c r="Y266" i="22"/>
  <c r="Z266" i="22"/>
  <c r="Z271" i="22"/>
  <c r="Z275" i="22"/>
  <c r="AA266" i="22"/>
  <c r="AB266" i="22"/>
  <c r="AC266" i="22"/>
  <c r="AD266" i="22"/>
  <c r="AE266" i="22"/>
  <c r="AF266" i="22"/>
  <c r="AG266" i="22"/>
  <c r="AH266" i="22"/>
  <c r="AH271" i="22"/>
  <c r="AH275" i="22"/>
  <c r="AI266" i="22"/>
  <c r="AJ266" i="22"/>
  <c r="AJ271" i="22"/>
  <c r="AJ275" i="22"/>
  <c r="AK266" i="22"/>
  <c r="AL266" i="22"/>
  <c r="AM266" i="22"/>
  <c r="AM271" i="22"/>
  <c r="AM275" i="22"/>
  <c r="AN266" i="22"/>
  <c r="AO266" i="22"/>
  <c r="AP266" i="22"/>
  <c r="AP271" i="22"/>
  <c r="AP275" i="22"/>
  <c r="O271" i="22"/>
  <c r="P271" i="22"/>
  <c r="P275" i="22"/>
  <c r="Q271" i="22"/>
  <c r="Q275" i="22"/>
  <c r="R271" i="22"/>
  <c r="U271" i="22"/>
  <c r="V271" i="22"/>
  <c r="V275" i="22"/>
  <c r="W271" i="22"/>
  <c r="X271" i="22"/>
  <c r="X275" i="22"/>
  <c r="Y271" i="22"/>
  <c r="Y275" i="22"/>
  <c r="AA271" i="22"/>
  <c r="AA275" i="22"/>
  <c r="AB271" i="22"/>
  <c r="AC271" i="22"/>
  <c r="AD271" i="22"/>
  <c r="AD275" i="22"/>
  <c r="AE271" i="22"/>
  <c r="AF271" i="22"/>
  <c r="AF275" i="22"/>
  <c r="AG271" i="22"/>
  <c r="AG275" i="22"/>
  <c r="AI271" i="22"/>
  <c r="AI275" i="22"/>
  <c r="AK271" i="22"/>
  <c r="AL271" i="22"/>
  <c r="AL275" i="22"/>
  <c r="AN271" i="22"/>
  <c r="AO271" i="22"/>
  <c r="AO275" i="22"/>
  <c r="R275" i="22"/>
  <c r="U275" i="22"/>
  <c r="AB275" i="22"/>
  <c r="AC275" i="22"/>
  <c r="AE275" i="22"/>
  <c r="AK275" i="22"/>
  <c r="AN275" i="22"/>
  <c r="L115" i="12"/>
  <c r="L116" i="12"/>
  <c r="L126" i="12"/>
  <c r="L143" i="12"/>
  <c r="M115" i="12"/>
  <c r="M116" i="12"/>
  <c r="M126" i="12"/>
  <c r="M143" i="12"/>
  <c r="N115" i="12"/>
  <c r="N116" i="12"/>
  <c r="N126" i="12"/>
  <c r="N143" i="12"/>
  <c r="M9" i="47"/>
  <c r="O115" i="12"/>
  <c r="O116" i="12"/>
  <c r="O126" i="12"/>
  <c r="O143" i="12"/>
  <c r="N9" i="47"/>
  <c r="P115" i="12"/>
  <c r="Q115" i="12"/>
  <c r="R115" i="12"/>
  <c r="S115" i="12"/>
  <c r="S116" i="12"/>
  <c r="T115" i="12"/>
  <c r="U115" i="12"/>
  <c r="V115" i="12"/>
  <c r="V116" i="12"/>
  <c r="V126" i="12"/>
  <c r="V143" i="12"/>
  <c r="U9" i="47"/>
  <c r="W115" i="12"/>
  <c r="W116" i="12"/>
  <c r="W126" i="12"/>
  <c r="W143" i="12"/>
  <c r="V9" i="47"/>
  <c r="X115" i="12"/>
  <c r="Y115" i="12"/>
  <c r="Z115" i="12"/>
  <c r="AA115" i="12"/>
  <c r="AA116" i="12"/>
  <c r="AB115" i="12"/>
  <c r="AC115" i="12"/>
  <c r="AD115" i="12"/>
  <c r="AD116" i="12"/>
  <c r="AD126" i="12"/>
  <c r="AD143" i="12"/>
  <c r="AC9" i="47"/>
  <c r="AE115" i="12"/>
  <c r="AE116" i="12"/>
  <c r="AE126" i="12"/>
  <c r="AE143" i="12"/>
  <c r="AD9" i="47"/>
  <c r="AF115" i="12"/>
  <c r="AG115" i="12"/>
  <c r="AH115" i="12"/>
  <c r="AI115" i="12"/>
  <c r="AI116" i="12"/>
  <c r="AJ115" i="12"/>
  <c r="AK115" i="12"/>
  <c r="AL115" i="12"/>
  <c r="AM115" i="12"/>
  <c r="AM116" i="12"/>
  <c r="AM126" i="12"/>
  <c r="AM143" i="12"/>
  <c r="AL9" i="47"/>
  <c r="P116" i="12"/>
  <c r="Q116" i="12"/>
  <c r="R116" i="12"/>
  <c r="T116" i="12"/>
  <c r="T126" i="12"/>
  <c r="T143" i="12"/>
  <c r="U116" i="12"/>
  <c r="X116" i="12"/>
  <c r="Y116" i="12"/>
  <c r="Z116" i="12"/>
  <c r="AB116" i="12"/>
  <c r="AC116" i="12"/>
  <c r="AC126" i="12"/>
  <c r="AC143" i="12"/>
  <c r="AB9" i="47"/>
  <c r="AF116" i="12"/>
  <c r="AG116" i="12"/>
  <c r="AH116" i="12"/>
  <c r="AJ116" i="12"/>
  <c r="AK116" i="12"/>
  <c r="AK126" i="12"/>
  <c r="AK143" i="12"/>
  <c r="AJ9" i="47"/>
  <c r="AL116" i="12"/>
  <c r="AL126" i="12"/>
  <c r="AL143" i="12"/>
  <c r="AK9" i="47"/>
  <c r="P126" i="12"/>
  <c r="Q126" i="12"/>
  <c r="R126" i="12"/>
  <c r="R143" i="12"/>
  <c r="S126" i="12"/>
  <c r="S143" i="12"/>
  <c r="U126" i="12"/>
  <c r="X126" i="12"/>
  <c r="Y126" i="12"/>
  <c r="Y143" i="12"/>
  <c r="Z126" i="12"/>
  <c r="AA126" i="12"/>
  <c r="AA143" i="12"/>
  <c r="AB126" i="12"/>
  <c r="AB143" i="12"/>
  <c r="AF126" i="12"/>
  <c r="AG126" i="12"/>
  <c r="AG143" i="12"/>
  <c r="AH126" i="12"/>
  <c r="AI126" i="12"/>
  <c r="AI143" i="12"/>
  <c r="AJ126" i="12"/>
  <c r="AJ143" i="12"/>
  <c r="P143" i="12"/>
  <c r="O9" i="47"/>
  <c r="Q143" i="12"/>
  <c r="P9" i="47"/>
  <c r="U143" i="12"/>
  <c r="T9" i="47"/>
  <c r="X143" i="12"/>
  <c r="W9" i="47"/>
  <c r="Z143" i="12"/>
  <c r="Y9" i="47"/>
  <c r="AF143" i="12"/>
  <c r="AE9" i="47"/>
  <c r="AH143" i="12"/>
  <c r="AG9" i="47"/>
  <c r="Q164" i="12"/>
  <c r="Z164" i="12"/>
  <c r="AH164" i="12"/>
  <c r="W275" i="22"/>
  <c r="O275" i="22"/>
  <c r="X9" i="47"/>
  <c r="Y164" i="12"/>
  <c r="AH9" i="47"/>
  <c r="AI164" i="12"/>
  <c r="K9" i="47"/>
  <c r="L164" i="12"/>
  <c r="F28" i="58"/>
  <c r="S9" i="47"/>
  <c r="T164" i="12"/>
  <c r="N12" i="58"/>
  <c r="Q9" i="47"/>
  <c r="R164" i="12"/>
  <c r="AI9" i="47"/>
  <c r="AJ164" i="12"/>
  <c r="L9" i="47"/>
  <c r="M164" i="12"/>
  <c r="G28" i="58"/>
  <c r="R9" i="47"/>
  <c r="S164" i="12"/>
  <c r="M12" i="58"/>
  <c r="AF9" i="47"/>
  <c r="AG164" i="12"/>
  <c r="AA9" i="47"/>
  <c r="AB164" i="12"/>
  <c r="Z9" i="47"/>
  <c r="AA164" i="12"/>
  <c r="U12" i="58"/>
  <c r="U164" i="12"/>
  <c r="AC164" i="12"/>
  <c r="W28" i="58"/>
  <c r="AF164" i="12"/>
  <c r="X164" i="12"/>
  <c r="P164" i="12"/>
  <c r="J12" i="58"/>
  <c r="AE164" i="12"/>
  <c r="W164" i="12"/>
  <c r="Q12" i="58"/>
  <c r="O164" i="12"/>
  <c r="I12" i="58"/>
  <c r="AL164" i="12"/>
  <c r="AF12" i="58"/>
  <c r="V164" i="12"/>
  <c r="P12" i="58"/>
  <c r="N164" i="12"/>
  <c r="AM164" i="12"/>
  <c r="AD164" i="12"/>
  <c r="X12" i="58"/>
  <c r="AK164" i="12"/>
  <c r="AE28" i="58"/>
  <c r="AC12" i="58"/>
  <c r="AC28" i="58"/>
  <c r="U28" i="58"/>
  <c r="AA12" i="58"/>
  <c r="AA28" i="58"/>
  <c r="S12" i="58"/>
  <c r="S28" i="58"/>
  <c r="K12" i="58"/>
  <c r="K28" i="58"/>
  <c r="H12" i="58"/>
  <c r="H28" i="58"/>
  <c r="AE12" i="58"/>
  <c r="O12" i="58"/>
  <c r="O28" i="58"/>
  <c r="G12" i="58"/>
  <c r="AD12" i="58"/>
  <c r="AD28" i="58"/>
  <c r="V12" i="58"/>
  <c r="V28" i="58"/>
  <c r="F12" i="58"/>
  <c r="AB12" i="58"/>
  <c r="AB28" i="58"/>
  <c r="T12" i="58"/>
  <c r="T28" i="58"/>
  <c r="L12" i="58"/>
  <c r="L28" i="58"/>
  <c r="Z12" i="58"/>
  <c r="Z28" i="58"/>
  <c r="R12" i="58"/>
  <c r="R28" i="58"/>
  <c r="J28" i="58"/>
  <c r="AG12" i="58"/>
  <c r="AG28" i="58"/>
  <c r="Y12" i="58"/>
  <c r="Y28" i="58"/>
  <c r="Q28" i="58"/>
  <c r="D9" i="47"/>
  <c r="K17" i="47"/>
  <c r="H84" i="48"/>
  <c r="N28" i="58"/>
  <c r="W12" i="58"/>
  <c r="M28" i="58"/>
  <c r="X28" i="58"/>
  <c r="I28" i="58"/>
  <c r="P28" i="58"/>
  <c r="AF28" i="58"/>
  <c r="D113" i="58"/>
  <c r="E113" i="58"/>
  <c r="L80" i="12"/>
  <c r="M80" i="12"/>
  <c r="N80" i="12"/>
  <c r="N81" i="12"/>
  <c r="O80" i="12"/>
  <c r="P80" i="12"/>
  <c r="P81" i="12"/>
  <c r="Q80" i="12"/>
  <c r="Q81" i="12"/>
  <c r="R80" i="12"/>
  <c r="R81" i="12"/>
  <c r="S80" i="12"/>
  <c r="T80" i="12"/>
  <c r="U80" i="12"/>
  <c r="V80" i="12"/>
  <c r="V81" i="12"/>
  <c r="W80" i="12"/>
  <c r="X80" i="12"/>
  <c r="X81" i="12"/>
  <c r="Y80" i="12"/>
  <c r="Z80" i="12"/>
  <c r="Z81" i="12"/>
  <c r="AA80" i="12"/>
  <c r="AB80" i="12"/>
  <c r="AC80" i="12"/>
  <c r="AD80" i="12"/>
  <c r="AD81" i="12"/>
  <c r="AE80" i="12"/>
  <c r="AE81" i="12"/>
  <c r="AF80" i="12"/>
  <c r="AF81" i="12"/>
  <c r="AG80" i="12"/>
  <c r="AH80" i="12"/>
  <c r="AH81" i="12"/>
  <c r="AI80" i="12"/>
  <c r="AJ80" i="12"/>
  <c r="AK80" i="12"/>
  <c r="AK81" i="12"/>
  <c r="AL80" i="12"/>
  <c r="AL81" i="12"/>
  <c r="AM80" i="12"/>
  <c r="AM81" i="12"/>
  <c r="L81" i="12"/>
  <c r="M81" i="12"/>
  <c r="O81" i="12"/>
  <c r="S81" i="12"/>
  <c r="T81" i="12"/>
  <c r="U81" i="12"/>
  <c r="W81" i="12"/>
  <c r="Y81" i="12"/>
  <c r="AA81" i="12"/>
  <c r="AB81" i="12"/>
  <c r="AC81" i="12"/>
  <c r="AG81" i="12"/>
  <c r="AI81" i="12"/>
  <c r="AJ81" i="12"/>
  <c r="D319" i="11" a="1"/>
  <c r="D319" i="11"/>
  <c r="I319" i="11"/>
  <c r="D320" i="11"/>
  <c r="I320" i="11"/>
  <c r="D321" i="11"/>
  <c r="I321" i="11"/>
  <c r="I346" i="11"/>
  <c r="I350" i="11"/>
  <c r="I352" i="11"/>
  <c r="J349" i="11"/>
  <c r="J320" i="11"/>
  <c r="J321" i="11"/>
  <c r="D289" i="11" a="1"/>
  <c r="K321" i="11"/>
  <c r="D291" i="11"/>
  <c r="K291" i="11"/>
  <c r="D290" i="11"/>
  <c r="J290" i="11"/>
  <c r="J291" i="11"/>
  <c r="I10" i="14"/>
  <c r="I30" i="9"/>
  <c r="D289" i="11"/>
  <c r="I289" i="11"/>
  <c r="I290" i="11"/>
  <c r="I291" i="11"/>
  <c r="I316" i="11"/>
  <c r="I39" i="13"/>
  <c r="I45" i="13"/>
  <c r="AG269" i="11"/>
  <c r="AG253" i="11"/>
  <c r="M234" i="12"/>
  <c r="M230" i="12"/>
  <c r="M209" i="12"/>
  <c r="P212" i="22"/>
  <c r="P210" i="22"/>
  <c r="AM92" i="12"/>
  <c r="AM64" i="12"/>
  <c r="AM134" i="12"/>
  <c r="AM194" i="12"/>
  <c r="K137" i="56"/>
  <c r="K136" i="56"/>
  <c r="O88" i="47"/>
  <c r="O19" i="14"/>
  <c r="P148" i="22"/>
  <c r="P211" i="22"/>
  <c r="AR141" i="56"/>
  <c r="AR140" i="56"/>
  <c r="Q125" i="56"/>
  <c r="Q84" i="56"/>
  <c r="Q85" i="56"/>
  <c r="T21" i="55"/>
  <c r="T23" i="55"/>
  <c r="T57" i="55"/>
  <c r="T56" i="55"/>
  <c r="Z11" i="54"/>
  <c r="AC66" i="18"/>
  <c r="AA102" i="55"/>
  <c r="AA41" i="55"/>
  <c r="E71" i="56"/>
  <c r="E69" i="56"/>
  <c r="E67" i="56"/>
  <c r="AJ251" i="12"/>
  <c r="AJ241" i="12"/>
  <c r="X135" i="12"/>
  <c r="X65" i="12"/>
  <c r="O85" i="56"/>
  <c r="O84" i="56"/>
  <c r="O125" i="56"/>
  <c r="Z25" i="10"/>
  <c r="Z24" i="10"/>
  <c r="AI113" i="12"/>
  <c r="AI112" i="12"/>
  <c r="AI106" i="12"/>
  <c r="AR90" i="10"/>
  <c r="AR89" i="10"/>
  <c r="AR85" i="10"/>
  <c r="S103" i="55"/>
  <c r="AO59" i="10"/>
  <c r="AO78" i="10"/>
  <c r="AO98" i="10"/>
  <c r="J125" i="56"/>
  <c r="J84" i="56"/>
  <c r="J85" i="56"/>
  <c r="S10" i="55"/>
  <c r="S16" i="55"/>
  <c r="S42" i="55"/>
  <c r="S41" i="55"/>
  <c r="S102" i="55"/>
  <c r="Z9" i="56"/>
  <c r="AD23" i="15"/>
  <c r="Z60" i="56"/>
  <c r="AB29" i="12"/>
  <c r="AA160" i="5"/>
  <c r="AK225" i="12"/>
  <c r="N125" i="56"/>
  <c r="N84" i="56"/>
  <c r="N85" i="56"/>
  <c r="D73" i="10"/>
  <c r="D75" i="10"/>
  <c r="D77" i="10"/>
  <c r="D80" i="10"/>
  <c r="O54" i="19"/>
  <c r="D52" i="8"/>
  <c r="J66" i="55"/>
  <c r="J67" i="55"/>
  <c r="J29" i="55"/>
  <c r="J28" i="55"/>
  <c r="AP141" i="56"/>
  <c r="AP140" i="56"/>
  <c r="AF226" i="22"/>
  <c r="AC237" i="12"/>
  <c r="AC238" i="12"/>
  <c r="P260" i="12"/>
  <c r="W25" i="10"/>
  <c r="W24" i="10"/>
  <c r="AE30" i="12"/>
  <c r="AD161" i="5"/>
  <c r="Y85" i="56"/>
  <c r="Y84" i="56"/>
  <c r="Y125" i="56"/>
  <c r="AA468" i="22"/>
  <c r="AA479" i="22"/>
  <c r="AA508" i="22"/>
  <c r="W19" i="56"/>
  <c r="W15" i="56"/>
  <c r="W11" i="56"/>
  <c r="W13" i="56"/>
  <c r="AC28" i="18"/>
  <c r="AC29" i="18"/>
  <c r="AC67" i="18"/>
  <c r="Z12" i="54"/>
  <c r="AA127" i="56"/>
  <c r="AA126" i="56"/>
  <c r="L127" i="56"/>
  <c r="L126" i="56"/>
  <c r="U125" i="56"/>
  <c r="U84" i="56"/>
  <c r="U85" i="56"/>
  <c r="W7" i="56"/>
  <c r="X102" i="48"/>
  <c r="AA162" i="41"/>
  <c r="AA158" i="41"/>
  <c r="AA156" i="41"/>
  <c r="U195" i="12"/>
  <c r="U136" i="12"/>
  <c r="AA25" i="12"/>
  <c r="AA24" i="12"/>
  <c r="F127" i="56"/>
  <c r="F126" i="56"/>
  <c r="Y57" i="12"/>
  <c r="Y52" i="12"/>
  <c r="U66" i="12"/>
  <c r="U94" i="12"/>
  <c r="O58" i="19"/>
  <c r="D99" i="8"/>
  <c r="K147" i="41"/>
  <c r="K27" i="9"/>
  <c r="AR80" i="10"/>
  <c r="AR83" i="10"/>
  <c r="AR28" i="17"/>
  <c r="R238" i="12"/>
  <c r="R237" i="12"/>
  <c r="U226" i="22"/>
  <c r="L251" i="12"/>
  <c r="L241" i="12"/>
  <c r="AF26" i="43"/>
  <c r="AF25" i="43"/>
  <c r="AA13" i="56"/>
  <c r="J137" i="56"/>
  <c r="J136" i="56"/>
  <c r="AH59" i="56"/>
  <c r="AH58" i="56"/>
  <c r="AK203" i="12"/>
  <c r="AK222" i="12"/>
  <c r="AK242" i="12"/>
  <c r="AK252" i="12"/>
  <c r="P76" i="10"/>
  <c r="P65" i="10"/>
  <c r="AA10" i="55"/>
  <c r="AA16" i="55"/>
  <c r="AA42" i="55"/>
  <c r="AA103" i="55"/>
  <c r="Z59" i="56"/>
  <c r="Z58" i="56"/>
  <c r="R7" i="58"/>
  <c r="X55" i="12"/>
  <c r="AA140" i="22"/>
  <c r="T112" i="48"/>
  <c r="U95" i="12"/>
  <c r="U90" i="12"/>
  <c r="AD102" i="48"/>
  <c r="AL25" i="10"/>
  <c r="AL24" i="10"/>
  <c r="AA7" i="56"/>
  <c r="AA11" i="56"/>
  <c r="AA15" i="56"/>
  <c r="AA19" i="56"/>
  <c r="N11" i="18"/>
  <c r="O261" i="12"/>
  <c r="O263" i="12"/>
  <c r="O262" i="12"/>
  <c r="N8" i="15"/>
  <c r="N11" i="55"/>
  <c r="F139" i="56"/>
  <c r="F100" i="56"/>
  <c r="F102" i="56"/>
  <c r="F103" i="56"/>
  <c r="AL251" i="12"/>
  <c r="AL241" i="12"/>
  <c r="AB28" i="12"/>
  <c r="AA159" i="5"/>
  <c r="U137" i="56"/>
  <c r="U136" i="56"/>
  <c r="AJ102" i="48"/>
  <c r="AE87" i="12"/>
  <c r="AE86" i="12"/>
  <c r="AE72" i="12"/>
  <c r="U28" i="12"/>
  <c r="T159" i="5"/>
  <c r="T66" i="55"/>
  <c r="T67" i="55"/>
  <c r="T29" i="55"/>
  <c r="T28" i="55"/>
  <c r="AC25" i="12"/>
  <c r="AC24" i="12"/>
  <c r="J76" i="10"/>
  <c r="J65" i="10"/>
  <c r="W11" i="54"/>
  <c r="Z66" i="18"/>
  <c r="F179" i="12"/>
  <c r="F177" i="12"/>
  <c r="L94" i="12"/>
  <c r="L66" i="12"/>
  <c r="L136" i="12"/>
  <c r="L195" i="12"/>
  <c r="G125" i="56"/>
  <c r="G84" i="56"/>
  <c r="G85" i="56"/>
  <c r="AH238" i="12"/>
  <c r="AH237" i="12"/>
  <c r="AK226" i="22"/>
  <c r="AL141" i="56"/>
  <c r="AL140" i="56"/>
  <c r="AN141" i="56"/>
  <c r="AN140" i="56"/>
  <c r="U18" i="56"/>
  <c r="U12" i="56"/>
  <c r="U8" i="56"/>
  <c r="U10" i="56"/>
  <c r="V103" i="48"/>
  <c r="AB102" i="55"/>
  <c r="AB41" i="55"/>
  <c r="O12" i="55"/>
  <c r="O234" i="11"/>
  <c r="O9" i="15"/>
  <c r="O12" i="18"/>
  <c r="AD64" i="56"/>
  <c r="Q99" i="10"/>
  <c r="Q64" i="10"/>
  <c r="V69" i="10"/>
  <c r="Q35" i="47"/>
  <c r="Q34" i="47"/>
  <c r="AA234" i="12"/>
  <c r="AA230" i="12"/>
  <c r="AA209" i="12"/>
  <c r="AD212" i="22"/>
  <c r="AD210" i="22"/>
  <c r="AQ137" i="56"/>
  <c r="AQ136" i="56"/>
  <c r="Q63" i="19"/>
  <c r="Q60" i="19"/>
  <c r="Q53" i="19"/>
  <c r="AI21" i="55"/>
  <c r="AI23" i="55"/>
  <c r="AI57" i="55"/>
  <c r="AI56" i="55"/>
  <c r="AD135" i="56"/>
  <c r="AD57" i="56"/>
  <c r="AD62" i="56"/>
  <c r="AD63" i="56"/>
  <c r="AD101" i="56"/>
  <c r="W514" i="22"/>
  <c r="AD316" i="11"/>
  <c r="AD310" i="11"/>
  <c r="O49" i="19"/>
  <c r="D279" i="11"/>
  <c r="V225" i="12"/>
  <c r="X125" i="56"/>
  <c r="X84" i="56"/>
  <c r="X85" i="56"/>
  <c r="O64" i="19"/>
  <c r="D234" i="11"/>
  <c r="O48" i="19"/>
  <c r="O62" i="19"/>
  <c r="G18" i="17"/>
  <c r="AD269" i="11"/>
  <c r="AD253" i="11"/>
  <c r="M207" i="22"/>
  <c r="M210" i="22"/>
  <c r="M212" i="22"/>
  <c r="J209" i="12"/>
  <c r="J230" i="12"/>
  <c r="AE60" i="56"/>
  <c r="AI23" i="15"/>
  <c r="AE9" i="56"/>
  <c r="AB10" i="55"/>
  <c r="AB16" i="55"/>
  <c r="AB42" i="55"/>
  <c r="AB103" i="55"/>
  <c r="AC11" i="18"/>
  <c r="AD262" i="12"/>
  <c r="AC8" i="15"/>
  <c r="AC11" i="55"/>
  <c r="T252" i="12"/>
  <c r="T242" i="12"/>
  <c r="AI94" i="12"/>
  <c r="T234" i="12"/>
  <c r="T230" i="12"/>
  <c r="T209" i="12"/>
  <c r="W212" i="22"/>
  <c r="W210" i="22"/>
  <c r="N84" i="16"/>
  <c r="O83" i="16"/>
  <c r="O86" i="16"/>
  <c r="V508" i="22"/>
  <c r="AE95" i="12"/>
  <c r="AE90" i="12"/>
  <c r="AC28" i="12"/>
  <c r="AB159" i="5"/>
  <c r="K102" i="41"/>
  <c r="K5" i="41"/>
  <c r="F141" i="56"/>
  <c r="F140" i="56"/>
  <c r="AH108" i="12"/>
  <c r="AH118" i="12"/>
  <c r="AH119" i="12"/>
  <c r="Q11" i="54"/>
  <c r="T66" i="18"/>
  <c r="W148" i="22"/>
  <c r="W211" i="22"/>
  <c r="AI66" i="12"/>
  <c r="AI136" i="12"/>
  <c r="AI195" i="12"/>
  <c r="O27" i="19"/>
  <c r="F15" i="56"/>
  <c r="F19" i="56"/>
  <c r="E27" i="56"/>
  <c r="G90" i="2"/>
  <c r="AD139" i="56"/>
  <c r="AD100" i="56"/>
  <c r="AD102" i="56"/>
  <c r="AD103" i="56"/>
  <c r="V468" i="22"/>
  <c r="V479" i="22"/>
  <c r="S65" i="12"/>
  <c r="S135" i="12"/>
  <c r="W485" i="22"/>
  <c r="T99" i="12"/>
  <c r="T124" i="12"/>
  <c r="T141" i="12"/>
  <c r="T162" i="12"/>
  <c r="N25" i="10"/>
  <c r="N24" i="10"/>
  <c r="W127" i="56"/>
  <c r="W126" i="56"/>
  <c r="AG57" i="12"/>
  <c r="AG52" i="12"/>
  <c r="L116" i="41"/>
  <c r="L25" i="9"/>
  <c r="D13" i="55"/>
  <c r="I13" i="55"/>
  <c r="AC310" i="11"/>
  <c r="D310" i="11"/>
  <c r="AB310" i="11"/>
  <c r="AK210" i="22"/>
  <c r="AK212" i="22"/>
  <c r="AH209" i="12"/>
  <c r="AH230" i="12"/>
  <c r="AH234" i="12"/>
  <c r="AD148" i="22"/>
  <c r="AD211" i="22"/>
  <c r="V203" i="12"/>
  <c r="V222" i="12"/>
  <c r="V242" i="12"/>
  <c r="V252" i="12"/>
  <c r="C80" i="55"/>
  <c r="I80" i="55"/>
  <c r="AK148" i="22"/>
  <c r="AK211" i="22"/>
  <c r="T28" i="18"/>
  <c r="T29" i="18"/>
  <c r="T67" i="18"/>
  <c r="Q12" i="54"/>
  <c r="AD261" i="12"/>
  <c r="AD263" i="12"/>
  <c r="AE260" i="12"/>
  <c r="L125" i="56"/>
  <c r="L84" i="56"/>
  <c r="L85" i="56"/>
  <c r="AG15" i="56"/>
  <c r="AG7" i="56"/>
  <c r="AG11" i="56"/>
  <c r="AG13" i="56"/>
  <c r="T203" i="12"/>
  <c r="T222" i="12"/>
  <c r="T225" i="12"/>
  <c r="AH70" i="12"/>
  <c r="AH76" i="12"/>
  <c r="AH77" i="12"/>
  <c r="Z85" i="56"/>
  <c r="Z84" i="56"/>
  <c r="Z125" i="56"/>
  <c r="M120" i="56"/>
  <c r="M117" i="56"/>
  <c r="M118" i="56"/>
  <c r="AI25" i="10"/>
  <c r="AI24" i="10"/>
  <c r="AI53" i="15"/>
  <c r="AC113" i="12"/>
  <c r="AC112" i="12"/>
  <c r="AC106" i="12"/>
  <c r="Z42" i="3"/>
  <c r="Z40" i="3"/>
  <c r="Z37" i="3"/>
  <c r="X30" i="12"/>
  <c r="W161" i="5"/>
  <c r="E103" i="55"/>
  <c r="I103" i="55"/>
  <c r="AM57" i="12"/>
  <c r="AM52" i="12"/>
  <c r="AL30" i="12"/>
  <c r="AK161" i="5"/>
  <c r="Y252" i="12"/>
  <c r="Y242" i="12"/>
  <c r="AI25" i="12"/>
  <c r="AI24" i="12"/>
  <c r="AE53" i="10"/>
  <c r="AB52" i="10"/>
  <c r="AH66" i="55"/>
  <c r="AH67" i="55"/>
  <c r="AH29" i="55"/>
  <c r="AH28" i="55"/>
  <c r="AF53" i="10"/>
  <c r="AC52" i="10"/>
  <c r="X196" i="12"/>
  <c r="X192" i="12"/>
  <c r="Z137" i="56"/>
  <c r="Z136" i="56"/>
  <c r="O56" i="55"/>
  <c r="O57" i="55"/>
  <c r="O23" i="55"/>
  <c r="O21" i="55"/>
  <c r="Z64" i="56"/>
  <c r="M28" i="12"/>
  <c r="L159" i="5"/>
  <c r="AJ79" i="10"/>
  <c r="S95" i="12"/>
  <c r="S90" i="12"/>
  <c r="E141" i="56"/>
  <c r="E140" i="56"/>
  <c r="AD13" i="55"/>
  <c r="AD279" i="11"/>
  <c r="AD10" i="15"/>
  <c r="AD13" i="18"/>
  <c r="R77" i="12"/>
  <c r="R76" i="12"/>
  <c r="R70" i="12"/>
  <c r="Y203" i="12"/>
  <c r="Y222" i="12"/>
  <c r="Y225" i="12"/>
  <c r="Q217" i="11"/>
  <c r="Q216" i="11"/>
  <c r="AH193" i="12"/>
  <c r="AH133" i="12"/>
  <c r="AF210" i="12"/>
  <c r="AF207" i="12"/>
  <c r="AM514" i="22"/>
  <c r="N30" i="12"/>
  <c r="M161" i="5"/>
  <c r="R141" i="56"/>
  <c r="R140" i="56"/>
  <c r="AG195" i="12"/>
  <c r="AG136" i="12"/>
  <c r="S101" i="56"/>
  <c r="S63" i="56"/>
  <c r="S135" i="56"/>
  <c r="AC103" i="56"/>
  <c r="AC100" i="56"/>
  <c r="AC102" i="56"/>
  <c r="AC139" i="56"/>
  <c r="O11" i="54"/>
  <c r="R66" i="18"/>
  <c r="AK53" i="15"/>
  <c r="AK14" i="15"/>
  <c r="AK20" i="15"/>
  <c r="AK45" i="8"/>
  <c r="AF57" i="12"/>
  <c r="AF52" i="12"/>
  <c r="Z135" i="56"/>
  <c r="Z57" i="56"/>
  <c r="Z62" i="56"/>
  <c r="Z63" i="56"/>
  <c r="Z101" i="56"/>
  <c r="P58" i="3"/>
  <c r="U194" i="12"/>
  <c r="U134" i="12"/>
  <c r="O53" i="10"/>
  <c r="L52" i="10"/>
  <c r="AF211" i="22"/>
  <c r="Z234" i="12"/>
  <c r="Z230" i="12"/>
  <c r="Z209" i="12"/>
  <c r="AC212" i="22"/>
  <c r="AC210" i="22"/>
  <c r="AU107" i="10"/>
  <c r="AU108" i="10"/>
  <c r="M125" i="56"/>
  <c r="M84" i="56"/>
  <c r="M85" i="56"/>
  <c r="S55" i="41"/>
  <c r="T54" i="41"/>
  <c r="T57" i="41"/>
  <c r="I139" i="56"/>
  <c r="I100" i="56"/>
  <c r="I102" i="56"/>
  <c r="I103" i="56"/>
  <c r="P213" i="11"/>
  <c r="P137" i="11"/>
  <c r="Z28" i="18"/>
  <c r="Z29" i="18"/>
  <c r="Z67" i="18"/>
  <c r="W12" i="54"/>
  <c r="N59" i="56"/>
  <c r="N58" i="56"/>
  <c r="AD233" i="12"/>
  <c r="AD229" i="12"/>
  <c r="AG66" i="12"/>
  <c r="AG94" i="12"/>
  <c r="P210" i="12"/>
  <c r="P207" i="12"/>
  <c r="V13" i="56"/>
  <c r="S57" i="56"/>
  <c r="S62" i="56"/>
  <c r="S64" i="56"/>
  <c r="V11" i="56"/>
  <c r="V15" i="56"/>
  <c r="V19" i="56"/>
  <c r="W137" i="12"/>
  <c r="M193" i="12"/>
  <c r="M133" i="12"/>
  <c r="AI119" i="12"/>
  <c r="AI118" i="12"/>
  <c r="AI108" i="12"/>
  <c r="X60" i="56"/>
  <c r="AB23" i="15"/>
  <c r="X9" i="56"/>
  <c r="AI60" i="10"/>
  <c r="AJ57" i="10"/>
  <c r="AJ59" i="10"/>
  <c r="AJ78" i="10"/>
  <c r="AJ98" i="10"/>
  <c r="X79" i="10"/>
  <c r="U64" i="12"/>
  <c r="U92" i="12"/>
  <c r="AF87" i="12"/>
  <c r="AF86" i="12"/>
  <c r="AF72" i="12"/>
  <c r="D24" i="47"/>
  <c r="L384" i="11"/>
  <c r="L388" i="11"/>
  <c r="L24" i="47"/>
  <c r="L25" i="47"/>
  <c r="I53" i="15"/>
  <c r="AM238" i="12"/>
  <c r="AM237" i="12"/>
  <c r="AP226" i="22"/>
  <c r="AD280" i="11"/>
  <c r="AE277" i="11"/>
  <c r="V95" i="12"/>
  <c r="V90" i="12"/>
  <c r="AH113" i="12"/>
  <c r="AH112" i="12"/>
  <c r="AH106" i="12"/>
  <c r="AF61" i="41"/>
  <c r="AF59" i="41"/>
  <c r="AF62" i="41"/>
  <c r="H125" i="56"/>
  <c r="H84" i="56"/>
  <c r="H85" i="56"/>
  <c r="AE162" i="41"/>
  <c r="AE158" i="41"/>
  <c r="AE156" i="41"/>
  <c r="M35" i="41"/>
  <c r="M33" i="41"/>
  <c r="M36" i="41"/>
  <c r="O26" i="19"/>
  <c r="H90" i="2"/>
  <c r="E15" i="56"/>
  <c r="E19" i="56"/>
  <c r="E24" i="56"/>
  <c r="G22" i="2"/>
  <c r="N122" i="43"/>
  <c r="N102" i="43"/>
  <c r="N106" i="43"/>
  <c r="N113" i="43"/>
  <c r="W67" i="12"/>
  <c r="AL162" i="41"/>
  <c r="AL158" i="41"/>
  <c r="AL156" i="41"/>
  <c r="W132" i="12"/>
  <c r="W192" i="12"/>
  <c r="W196" i="12"/>
  <c r="M63" i="12"/>
  <c r="M91" i="12"/>
  <c r="C80" i="18"/>
  <c r="I80" i="18"/>
  <c r="S12" i="55"/>
  <c r="S234" i="11"/>
  <c r="S9" i="15"/>
  <c r="S12" i="18"/>
  <c r="AD278" i="11"/>
  <c r="AD10" i="14"/>
  <c r="AK92" i="12"/>
  <c r="D10" i="55"/>
  <c r="AJ77" i="12"/>
  <c r="AJ76" i="12"/>
  <c r="AJ70" i="12"/>
  <c r="AB113" i="12"/>
  <c r="AB112" i="12"/>
  <c r="AB106" i="12"/>
  <c r="U11" i="54"/>
  <c r="X66" i="18"/>
  <c r="AF148" i="22"/>
  <c r="AF210" i="22"/>
  <c r="AF212" i="22"/>
  <c r="AC209" i="12"/>
  <c r="AC230" i="12"/>
  <c r="AC234" i="12"/>
  <c r="AW108" i="10"/>
  <c r="AW103" i="10"/>
  <c r="AW105" i="10"/>
  <c r="AW107" i="10"/>
  <c r="AM252" i="12"/>
  <c r="AM242" i="12"/>
  <c r="AJ162" i="12"/>
  <c r="AJ141" i="12"/>
  <c r="AJ124" i="12"/>
  <c r="AM485" i="22"/>
  <c r="AJ99" i="12"/>
  <c r="R137" i="56"/>
  <c r="R136" i="56"/>
  <c r="M33" i="16"/>
  <c r="M75" i="8"/>
  <c r="M34" i="3"/>
  <c r="W102" i="48"/>
  <c r="V7" i="56"/>
  <c r="V17" i="56"/>
  <c r="L210" i="12"/>
  <c r="L207" i="12"/>
  <c r="W62" i="12"/>
  <c r="W90" i="12"/>
  <c r="W95" i="12"/>
  <c r="X59" i="10"/>
  <c r="X78" i="10"/>
  <c r="X98" i="10"/>
  <c r="P139" i="41"/>
  <c r="P137" i="41"/>
  <c r="P124" i="41"/>
  <c r="L120" i="56"/>
  <c r="L117" i="56"/>
  <c r="L118" i="56"/>
  <c r="Q42" i="56"/>
  <c r="Q41" i="56"/>
  <c r="Q116" i="56"/>
  <c r="AC95" i="12"/>
  <c r="AC90" i="12"/>
  <c r="AK64" i="12"/>
  <c r="AK134" i="12"/>
  <c r="AK194" i="12"/>
  <c r="AG251" i="12"/>
  <c r="AG241" i="12"/>
  <c r="M57" i="12"/>
  <c r="M52" i="12"/>
  <c r="AC12" i="56"/>
  <c r="AC8" i="56"/>
  <c r="AC10" i="56"/>
  <c r="AF103" i="48"/>
  <c r="AG102" i="18"/>
  <c r="AG41" i="18"/>
  <c r="AD6" i="54"/>
  <c r="Y135" i="56"/>
  <c r="Y63" i="56"/>
  <c r="Y101" i="56"/>
  <c r="AF120" i="56"/>
  <c r="AF117" i="56"/>
  <c r="AF118" i="56"/>
  <c r="L19" i="56"/>
  <c r="L15" i="56"/>
  <c r="L14" i="55"/>
  <c r="L90" i="10"/>
  <c r="L11" i="15"/>
  <c r="L14" i="18"/>
  <c r="O112" i="48"/>
  <c r="S55" i="12"/>
  <c r="V140" i="22"/>
  <c r="M7" i="58"/>
  <c r="O28" i="12"/>
  <c r="N159" i="5"/>
  <c r="AC232" i="12"/>
  <c r="AC228" i="12"/>
  <c r="AC231" i="12"/>
  <c r="AJ21" i="55"/>
  <c r="AJ23" i="55"/>
  <c r="AJ57" i="55"/>
  <c r="AJ56" i="55"/>
  <c r="AM233" i="12"/>
  <c r="AM229" i="12"/>
  <c r="U119" i="12"/>
  <c r="U118" i="12"/>
  <c r="U108" i="12"/>
  <c r="AE59" i="56"/>
  <c r="AE58" i="56"/>
  <c r="AC148" i="22"/>
  <c r="AC211" i="22"/>
  <c r="L232" i="12"/>
  <c r="L228" i="12"/>
  <c r="L231" i="12"/>
  <c r="AD7" i="54"/>
  <c r="AF178" i="41"/>
  <c r="AG10" i="18"/>
  <c r="AG16" i="18"/>
  <c r="AG42" i="18"/>
  <c r="AG103" i="18"/>
  <c r="V120" i="56"/>
  <c r="V117" i="56"/>
  <c r="V118" i="56"/>
  <c r="AG102" i="55"/>
  <c r="AG41" i="55"/>
  <c r="U77" i="47"/>
  <c r="U414" i="11"/>
  <c r="W193" i="12"/>
  <c r="W133" i="12"/>
  <c r="AA162" i="12"/>
  <c r="AA141" i="12"/>
  <c r="AA124" i="12"/>
  <c r="AA99" i="12"/>
  <c r="Z60" i="16"/>
  <c r="Z59" i="16"/>
  <c r="Z64" i="16"/>
  <c r="P53" i="15"/>
  <c r="P45" i="8"/>
  <c r="H101" i="56"/>
  <c r="H63" i="56"/>
  <c r="H135" i="56"/>
  <c r="X28" i="18"/>
  <c r="X29" i="18"/>
  <c r="X67" i="18"/>
  <c r="U12" i="54"/>
  <c r="W226" i="22"/>
  <c r="T237" i="12"/>
  <c r="T238" i="12"/>
  <c r="R103" i="48"/>
  <c r="Q18" i="56"/>
  <c r="Q8" i="56"/>
  <c r="Q10" i="56"/>
  <c r="Q12" i="56"/>
  <c r="AH102" i="48"/>
  <c r="AE15" i="56"/>
  <c r="AE7" i="56"/>
  <c r="AE11" i="56"/>
  <c r="AE13" i="56"/>
  <c r="U51" i="10"/>
  <c r="U55" i="10"/>
  <c r="U58" i="10"/>
  <c r="N116" i="56"/>
  <c r="N41" i="56"/>
  <c r="N42" i="56"/>
  <c r="U69" i="10"/>
  <c r="P64" i="10"/>
  <c r="P99" i="10"/>
  <c r="R28" i="18"/>
  <c r="R29" i="18"/>
  <c r="R67" i="18"/>
  <c r="O12" i="54"/>
  <c r="R147" i="41"/>
  <c r="R27" i="9"/>
  <c r="AI127" i="56"/>
  <c r="AI126" i="56"/>
  <c r="X60" i="43"/>
  <c r="X64" i="43"/>
  <c r="X70" i="43"/>
  <c r="AJ28" i="55"/>
  <c r="AJ29" i="55"/>
  <c r="AJ67" i="55"/>
  <c r="AJ66" i="55"/>
  <c r="AD125" i="56"/>
  <c r="AD82" i="56"/>
  <c r="AD84" i="56"/>
  <c r="AD85" i="56"/>
  <c r="I49" i="41"/>
  <c r="J48" i="41"/>
  <c r="J51" i="41"/>
  <c r="Y57" i="56"/>
  <c r="Y62" i="56"/>
  <c r="Y64" i="56"/>
  <c r="AK25" i="10"/>
  <c r="AK24" i="10"/>
  <c r="AF116" i="56"/>
  <c r="AF41" i="56"/>
  <c r="AF42" i="56"/>
  <c r="AG10" i="55"/>
  <c r="AG16" i="55"/>
  <c r="AG42" i="55"/>
  <c r="AG103" i="55"/>
  <c r="P10" i="14"/>
  <c r="L30" i="12"/>
  <c r="K161" i="5"/>
  <c r="W63" i="12"/>
  <c r="W91" i="12"/>
  <c r="M116" i="56"/>
  <c r="M41" i="56"/>
  <c r="M42" i="56"/>
  <c r="H57" i="56"/>
  <c r="H62" i="56"/>
  <c r="H64" i="56"/>
  <c r="X132" i="12"/>
  <c r="X137" i="12"/>
  <c r="AD53" i="10"/>
  <c r="AA52" i="10"/>
  <c r="D84" i="10"/>
  <c r="C57" i="2"/>
  <c r="AM90" i="10"/>
  <c r="AM89" i="10"/>
  <c r="AM85" i="10"/>
  <c r="AC102" i="55"/>
  <c r="AC41" i="55"/>
  <c r="Z29" i="12"/>
  <c r="Y160" i="5"/>
  <c r="V28" i="12"/>
  <c r="U159" i="5"/>
  <c r="M207" i="11"/>
  <c r="M131" i="11"/>
  <c r="AE117" i="41"/>
  <c r="AE26" i="9"/>
  <c r="W233" i="12"/>
  <c r="W229" i="12"/>
  <c r="Y147" i="41"/>
  <c r="Y27" i="9"/>
  <c r="S141" i="56"/>
  <c r="S140" i="56"/>
  <c r="AI29" i="12"/>
  <c r="AH160" i="5"/>
  <c r="AI234" i="12"/>
  <c r="AI230" i="12"/>
  <c r="AI209" i="12"/>
  <c r="AL212" i="22"/>
  <c r="AL210" i="22"/>
  <c r="V60" i="16"/>
  <c r="V59" i="16"/>
  <c r="Q251" i="12"/>
  <c r="Q241" i="12"/>
  <c r="S238" i="12"/>
  <c r="S237" i="12"/>
  <c r="V226" i="22"/>
  <c r="D25" i="10"/>
  <c r="D23" i="10"/>
  <c r="Y35" i="47"/>
  <c r="Y34" i="47"/>
  <c r="R133" i="41"/>
  <c r="R131" i="41"/>
  <c r="J102" i="55"/>
  <c r="J41" i="55"/>
  <c r="K229" i="48"/>
  <c r="K226" i="48"/>
  <c r="H141" i="56"/>
  <c r="H140" i="56"/>
  <c r="Y87" i="12"/>
  <c r="Y86" i="12"/>
  <c r="Y72" i="12"/>
  <c r="M25" i="13"/>
  <c r="M24" i="13"/>
  <c r="AH63" i="12"/>
  <c r="AH91" i="12"/>
  <c r="AM203" i="12"/>
  <c r="AM222" i="12"/>
  <c r="AM225" i="12"/>
  <c r="W141" i="56"/>
  <c r="W140" i="56"/>
  <c r="E51" i="56"/>
  <c r="O11" i="19"/>
  <c r="G11" i="2"/>
  <c r="H75" i="2"/>
  <c r="AE28" i="12"/>
  <c r="AD159" i="5"/>
  <c r="O46" i="17"/>
  <c r="AJ76" i="10"/>
  <c r="AJ65" i="10"/>
  <c r="W53" i="10"/>
  <c r="T52" i="10"/>
  <c r="AT98" i="10"/>
  <c r="AT78" i="10"/>
  <c r="AT59" i="10"/>
  <c r="Q277" i="11"/>
  <c r="AF83" i="56"/>
  <c r="AK102" i="18"/>
  <c r="AK41" i="18"/>
  <c r="AH6" i="54"/>
  <c r="Y55" i="41"/>
  <c r="Z54" i="41"/>
  <c r="Z57" i="41"/>
  <c r="D14" i="55"/>
  <c r="I14" i="55"/>
  <c r="K64" i="16"/>
  <c r="K51" i="16"/>
  <c r="K63" i="16"/>
  <c r="AP137" i="56"/>
  <c r="AP136" i="56"/>
  <c r="AD138" i="41"/>
  <c r="AD125" i="41"/>
  <c r="AO127" i="56"/>
  <c r="AO126" i="56"/>
  <c r="X217" i="11"/>
  <c r="X216" i="11"/>
  <c r="D67" i="16"/>
  <c r="D68" i="16"/>
  <c r="D69" i="16"/>
  <c r="N28" i="19"/>
  <c r="O194" i="12"/>
  <c r="O134" i="12"/>
  <c r="AQ107" i="10"/>
  <c r="AQ108" i="10"/>
  <c r="P25" i="10"/>
  <c r="P24" i="10"/>
  <c r="AH25" i="10"/>
  <c r="AH24" i="10"/>
  <c r="K35" i="47"/>
  <c r="K34" i="47"/>
  <c r="AJ15" i="18"/>
  <c r="AJ16" i="15"/>
  <c r="AJ15" i="55"/>
  <c r="AK127" i="56"/>
  <c r="AK126" i="56"/>
  <c r="AB269" i="11"/>
  <c r="AB253" i="11"/>
  <c r="AD238" i="12"/>
  <c r="AD237" i="12"/>
  <c r="AG226" i="22"/>
  <c r="AD255" i="11"/>
  <c r="AD25" i="16"/>
  <c r="AD24" i="16"/>
  <c r="M102" i="55"/>
  <c r="M41" i="55"/>
  <c r="P19" i="56"/>
  <c r="P15" i="56"/>
  <c r="S139" i="41"/>
  <c r="S137" i="41"/>
  <c r="S124" i="41"/>
  <c r="AA76" i="10"/>
  <c r="AA65" i="10"/>
  <c r="M133" i="41"/>
  <c r="M131" i="41"/>
  <c r="Z84" i="10"/>
  <c r="U42" i="56"/>
  <c r="U41" i="56"/>
  <c r="U116" i="56"/>
  <c r="L350" i="11"/>
  <c r="L346" i="11"/>
  <c r="L322" i="11"/>
  <c r="Y156" i="41"/>
  <c r="Y158" i="41"/>
  <c r="Y162" i="41"/>
  <c r="AH87" i="12"/>
  <c r="AH86" i="12"/>
  <c r="AH27" i="12"/>
  <c r="AH72" i="12"/>
  <c r="AB194" i="12"/>
  <c r="AB134" i="12"/>
  <c r="K76" i="10"/>
  <c r="K65" i="10"/>
  <c r="E93" i="16"/>
  <c r="O238" i="12"/>
  <c r="O237" i="12"/>
  <c r="R226" i="22"/>
  <c r="K175" i="41"/>
  <c r="K168" i="41"/>
  <c r="K166" i="41"/>
  <c r="AR107" i="10"/>
  <c r="AR108" i="10"/>
  <c r="AB53" i="10"/>
  <c r="Y52" i="10"/>
  <c r="AM80" i="10"/>
  <c r="AM83" i="10"/>
  <c r="AM28" i="17"/>
  <c r="O31" i="9"/>
  <c r="O150" i="41"/>
  <c r="O152" i="41"/>
  <c r="F102" i="48"/>
  <c r="Y19" i="56"/>
  <c r="Y15" i="56"/>
  <c r="AN137" i="56"/>
  <c r="AN136" i="56"/>
  <c r="R51" i="14"/>
  <c r="R48" i="14"/>
  <c r="L79" i="10"/>
  <c r="AS108" i="10"/>
  <c r="AS107" i="10"/>
  <c r="P77" i="12"/>
  <c r="P76" i="12"/>
  <c r="P70" i="12"/>
  <c r="V61" i="47"/>
  <c r="V398" i="11"/>
  <c r="O57" i="16"/>
  <c r="O54" i="16"/>
  <c r="N55" i="16"/>
  <c r="AM30" i="12"/>
  <c r="AL161" i="5"/>
  <c r="AF56" i="55"/>
  <c r="AF57" i="55"/>
  <c r="AF23" i="55"/>
  <c r="AF21" i="55"/>
  <c r="AF135" i="56"/>
  <c r="AF63" i="56"/>
  <c r="AF101" i="56"/>
  <c r="AI102" i="48"/>
  <c r="AQ28" i="17"/>
  <c r="I152" i="41"/>
  <c r="I148" i="41"/>
  <c r="I146" i="41"/>
  <c r="S233" i="12"/>
  <c r="S229" i="12"/>
  <c r="AG210" i="22"/>
  <c r="AG212" i="22"/>
  <c r="AD209" i="12"/>
  <c r="AD230" i="12"/>
  <c r="AD234" i="12"/>
  <c r="M29" i="12"/>
  <c r="L160" i="5"/>
  <c r="T9" i="56"/>
  <c r="X23" i="15"/>
  <c r="T60" i="56"/>
  <c r="T28" i="12"/>
  <c r="S159" i="5"/>
  <c r="AO118" i="56"/>
  <c r="AO117" i="56"/>
  <c r="AO120" i="56"/>
  <c r="M58" i="10"/>
  <c r="M55" i="10"/>
  <c r="M51" i="10"/>
  <c r="K48" i="16"/>
  <c r="J49" i="16"/>
  <c r="O103" i="55"/>
  <c r="AF231" i="12"/>
  <c r="AF228" i="12"/>
  <c r="AF232" i="12"/>
  <c r="U66" i="55"/>
  <c r="U67" i="55"/>
  <c r="U29" i="55"/>
  <c r="U28" i="55"/>
  <c r="AI87" i="12"/>
  <c r="AI86" i="12"/>
  <c r="AI72" i="12"/>
  <c r="AI28" i="55"/>
  <c r="AI29" i="55"/>
  <c r="AI67" i="55"/>
  <c r="AI66" i="55"/>
  <c r="G59" i="56"/>
  <c r="G58" i="56"/>
  <c r="AT97" i="10"/>
  <c r="AT100" i="10"/>
  <c r="AT104" i="10"/>
  <c r="AF51" i="10"/>
  <c r="AF55" i="10"/>
  <c r="AF58" i="10"/>
  <c r="L225" i="12"/>
  <c r="R60" i="56"/>
  <c r="V23" i="15"/>
  <c r="R9" i="56"/>
  <c r="AG102" i="48"/>
  <c r="L203" i="12"/>
  <c r="L222" i="12"/>
  <c r="L242" i="12"/>
  <c r="L252" i="12"/>
  <c r="P87" i="12"/>
  <c r="P86" i="12"/>
  <c r="P72" i="12"/>
  <c r="AA196" i="12"/>
  <c r="AA192" i="12"/>
  <c r="W28" i="55"/>
  <c r="W29" i="55"/>
  <c r="W67" i="55"/>
  <c r="W66" i="55"/>
  <c r="P514" i="22"/>
  <c r="AF77" i="12"/>
  <c r="AF76" i="12"/>
  <c r="AF70" i="12"/>
  <c r="AG141" i="56"/>
  <c r="AG140" i="56"/>
  <c r="L141" i="56"/>
  <c r="L140" i="56"/>
  <c r="AL53" i="10"/>
  <c r="AI52" i="10"/>
  <c r="N92" i="12"/>
  <c r="G31" i="2"/>
  <c r="O22" i="19"/>
  <c r="D141" i="56"/>
  <c r="AI187" i="22"/>
  <c r="AI189" i="22"/>
  <c r="AE50" i="43"/>
  <c r="AE54" i="43"/>
  <c r="AE69" i="43"/>
  <c r="X102" i="55"/>
  <c r="X41" i="55"/>
  <c r="AD106" i="12"/>
  <c r="AD112" i="12"/>
  <c r="AD113" i="12"/>
  <c r="N57" i="41"/>
  <c r="N54" i="41"/>
  <c r="M55" i="41"/>
  <c r="AB120" i="56"/>
  <c r="AB117" i="56"/>
  <c r="AB118" i="56"/>
  <c r="R59" i="10"/>
  <c r="R78" i="10"/>
  <c r="R98" i="10"/>
  <c r="AG224" i="12"/>
  <c r="W102" i="55"/>
  <c r="W41" i="55"/>
  <c r="J10" i="55"/>
  <c r="J16" i="55"/>
  <c r="J42" i="55"/>
  <c r="J103" i="55"/>
  <c r="AF88" i="47"/>
  <c r="AF19" i="14"/>
  <c r="N64" i="12"/>
  <c r="N134" i="12"/>
  <c r="N194" i="12"/>
  <c r="AF25" i="47"/>
  <c r="AF24" i="47"/>
  <c r="AF388" i="11"/>
  <c r="AF384" i="11"/>
  <c r="AC25" i="10"/>
  <c r="AC24" i="10"/>
  <c r="V59" i="56"/>
  <c r="V58" i="56"/>
  <c r="Y66" i="55"/>
  <c r="Y67" i="55"/>
  <c r="Y29" i="55"/>
  <c r="Y28" i="55"/>
  <c r="AG12" i="18"/>
  <c r="AG234" i="11"/>
  <c r="AG9" i="15"/>
  <c r="AG12" i="55"/>
  <c r="G127" i="56"/>
  <c r="G126" i="56"/>
  <c r="AK234" i="12"/>
  <c r="AK230" i="12"/>
  <c r="AK209" i="12"/>
  <c r="AN212" i="22"/>
  <c r="AN210" i="22"/>
  <c r="AM45" i="4"/>
  <c r="AP514" i="22"/>
  <c r="P29" i="12"/>
  <c r="O160" i="5"/>
  <c r="AB162" i="41"/>
  <c r="AB158" i="41"/>
  <c r="AB156" i="41"/>
  <c r="AB19" i="56"/>
  <c r="AB15" i="56"/>
  <c r="V25" i="12"/>
  <c r="V24" i="12"/>
  <c r="AU104" i="10"/>
  <c r="AU100" i="10"/>
  <c r="AU97" i="10"/>
  <c r="AJ53" i="15"/>
  <c r="AJ45" i="8"/>
  <c r="AA64" i="56"/>
  <c r="S83" i="56"/>
  <c r="AF13" i="56"/>
  <c r="AJ14" i="15"/>
  <c r="AJ20" i="15"/>
  <c r="AF7" i="56"/>
  <c r="AF11" i="56"/>
  <c r="AF15" i="56"/>
  <c r="AG89" i="41"/>
  <c r="AG86" i="41"/>
  <c r="AG88" i="41"/>
  <c r="L11" i="56"/>
  <c r="L13" i="56"/>
  <c r="L14" i="56"/>
  <c r="L18" i="56"/>
  <c r="AC85" i="56"/>
  <c r="AC82" i="56"/>
  <c r="AC84" i="56"/>
  <c r="AC125" i="56"/>
  <c r="AS102" i="41"/>
  <c r="AS5" i="41"/>
  <c r="Y251" i="12"/>
  <c r="Y241" i="12"/>
  <c r="O10" i="55"/>
  <c r="O16" i="55"/>
  <c r="O42" i="55"/>
  <c r="O41" i="55"/>
  <c r="O102" i="55"/>
  <c r="AN104" i="10"/>
  <c r="AN100" i="10"/>
  <c r="AN97" i="10"/>
  <c r="AF108" i="12"/>
  <c r="AF118" i="12"/>
  <c r="AF119" i="12"/>
  <c r="J127" i="56"/>
  <c r="J126" i="56"/>
  <c r="AE210" i="22"/>
  <c r="AE212" i="22"/>
  <c r="AB209" i="12"/>
  <c r="AB230" i="12"/>
  <c r="AB234" i="12"/>
  <c r="AC120" i="56"/>
  <c r="AC117" i="56"/>
  <c r="AC118" i="56"/>
  <c r="C86" i="18"/>
  <c r="I86" i="18"/>
  <c r="T49" i="41"/>
  <c r="U48" i="41"/>
  <c r="U51" i="41"/>
  <c r="AK238" i="12"/>
  <c r="AK237" i="12"/>
  <c r="AN226" i="22"/>
  <c r="T209" i="11"/>
  <c r="T133" i="11"/>
  <c r="AC101" i="56"/>
  <c r="AC63" i="56"/>
  <c r="AC135" i="56"/>
  <c r="G118" i="56"/>
  <c r="G117" i="56"/>
  <c r="G120" i="56"/>
  <c r="AU62" i="41"/>
  <c r="AU59" i="41"/>
  <c r="AU61" i="41"/>
  <c r="AE14" i="47"/>
  <c r="AE382" i="11"/>
  <c r="AE379" i="11"/>
  <c r="C91" i="55"/>
  <c r="I91" i="55"/>
  <c r="AH133" i="41"/>
  <c r="AH131" i="41"/>
  <c r="AA25" i="16"/>
  <c r="AA24" i="16"/>
  <c r="L117" i="41"/>
  <c r="L26" i="9"/>
  <c r="Q252" i="12"/>
  <c r="Q242" i="12"/>
  <c r="Q156" i="41"/>
  <c r="Q158" i="41"/>
  <c r="Q162" i="41"/>
  <c r="T113" i="43"/>
  <c r="T102" i="43"/>
  <c r="T106" i="43"/>
  <c r="T122" i="43"/>
  <c r="AA135" i="12"/>
  <c r="AA65" i="12"/>
  <c r="O57" i="12"/>
  <c r="O52" i="12"/>
  <c r="AK115" i="41"/>
  <c r="AK108" i="10"/>
  <c r="AK24" i="9"/>
  <c r="AK110" i="41"/>
  <c r="V125" i="56"/>
  <c r="V84" i="56"/>
  <c r="V85" i="56"/>
  <c r="S53" i="10"/>
  <c r="P52" i="10"/>
  <c r="AJ30" i="14"/>
  <c r="AJ27" i="14"/>
  <c r="AJ26" i="14"/>
  <c r="AF127" i="56"/>
  <c r="AF126" i="56"/>
  <c r="V25" i="10"/>
  <c r="V24" i="10"/>
  <c r="W10" i="55"/>
  <c r="W16" i="55"/>
  <c r="W42" i="55"/>
  <c r="W103" i="55"/>
  <c r="AJ25" i="10"/>
  <c r="AJ24" i="10"/>
  <c r="AR232" i="11"/>
  <c r="AQ235" i="11"/>
  <c r="AQ234" i="11"/>
  <c r="AK56" i="55"/>
  <c r="AK57" i="55"/>
  <c r="AK23" i="55"/>
  <c r="AK21" i="55"/>
  <c r="R42" i="56"/>
  <c r="R41" i="56"/>
  <c r="R116" i="56"/>
  <c r="Z72" i="12"/>
  <c r="Z86" i="12"/>
  <c r="Z87" i="12"/>
  <c r="AB11" i="56"/>
  <c r="AB13" i="56"/>
  <c r="AL514" i="22"/>
  <c r="AE542" i="22"/>
  <c r="V102" i="48"/>
  <c r="U17" i="56"/>
  <c r="L15" i="55"/>
  <c r="L16" i="15"/>
  <c r="L15" i="18"/>
  <c r="AE103" i="56"/>
  <c r="AE100" i="56"/>
  <c r="AE102" i="56"/>
  <c r="AE139" i="56"/>
  <c r="J210" i="12"/>
  <c r="J207" i="12"/>
  <c r="X252" i="12"/>
  <c r="X242" i="12"/>
  <c r="AO69" i="10"/>
  <c r="AJ64" i="10"/>
  <c r="AJ99" i="10"/>
  <c r="AT46" i="4"/>
  <c r="AT47" i="4"/>
  <c r="AT52" i="4"/>
  <c r="AE58" i="10"/>
  <c r="AE55" i="10"/>
  <c r="AE51" i="10"/>
  <c r="AA135" i="56"/>
  <c r="AA57" i="56"/>
  <c r="AA62" i="56"/>
  <c r="AA63" i="56"/>
  <c r="AA101" i="56"/>
  <c r="AB122" i="43"/>
  <c r="AB102" i="43"/>
  <c r="AB106" i="43"/>
  <c r="AB113" i="43"/>
  <c r="K33" i="16"/>
  <c r="K33" i="41"/>
  <c r="K75" i="8"/>
  <c r="K34" i="3"/>
  <c r="AF210" i="11"/>
  <c r="AF134" i="11"/>
  <c r="S116" i="56"/>
  <c r="S36" i="56"/>
  <c r="S37" i="56"/>
  <c r="S40" i="56"/>
  <c r="S41" i="56"/>
  <c r="S42" i="56"/>
  <c r="AJ210" i="12"/>
  <c r="AJ207" i="12"/>
  <c r="AQ80" i="10"/>
  <c r="AQ83" i="10"/>
  <c r="AQ85" i="10"/>
  <c r="AQ89" i="10"/>
  <c r="AQ90" i="10"/>
  <c r="AA74" i="10"/>
  <c r="W38" i="56"/>
  <c r="AA82" i="47"/>
  <c r="I54" i="9"/>
  <c r="I9" i="9"/>
  <c r="I10" i="9"/>
  <c r="AJ147" i="41"/>
  <c r="AJ27" i="9"/>
  <c r="AH7" i="54"/>
  <c r="AK103" i="18"/>
  <c r="AK10" i="18"/>
  <c r="AK16" i="18"/>
  <c r="AK42" i="18"/>
  <c r="AJ178" i="41"/>
  <c r="Q64" i="56"/>
  <c r="Y209" i="11"/>
  <c r="Y133" i="11"/>
  <c r="AM77" i="12"/>
  <c r="AM76" i="12"/>
  <c r="AM70" i="12"/>
  <c r="S95" i="58"/>
  <c r="S86" i="58"/>
  <c r="X184" i="11"/>
  <c r="X116" i="11"/>
  <c r="AD132" i="41"/>
  <c r="AD114" i="41"/>
  <c r="AD121" i="41"/>
  <c r="D11" i="55"/>
  <c r="I11" i="55"/>
  <c r="AL148" i="22"/>
  <c r="AL211" i="22"/>
  <c r="O51" i="19"/>
  <c r="D17" i="14"/>
  <c r="J17" i="14"/>
  <c r="R53" i="10"/>
  <c r="O52" i="10"/>
  <c r="L162" i="41"/>
  <c r="L158" i="41"/>
  <c r="L156" i="41"/>
  <c r="N127" i="56"/>
  <c r="N126" i="56"/>
  <c r="AM127" i="56"/>
  <c r="AM126" i="56"/>
  <c r="O64" i="12"/>
  <c r="O92" i="12"/>
  <c r="R11" i="54"/>
  <c r="U66" i="18"/>
  <c r="L103" i="55"/>
  <c r="AB63" i="16"/>
  <c r="AB51" i="16"/>
  <c r="AD99" i="10"/>
  <c r="AD64" i="10"/>
  <c r="AI69" i="10"/>
  <c r="Q115" i="58"/>
  <c r="Q106" i="58"/>
  <c r="Z99" i="10"/>
  <c r="Z64" i="10"/>
  <c r="AE69" i="10"/>
  <c r="AG88" i="47"/>
  <c r="AG19" i="14"/>
  <c r="AE537" i="22"/>
  <c r="X231" i="48"/>
  <c r="X234" i="48"/>
  <c r="Z83" i="56"/>
  <c r="AD113" i="43"/>
  <c r="AD102" i="43"/>
  <c r="AD106" i="43"/>
  <c r="AD122" i="43"/>
  <c r="AD78" i="16"/>
  <c r="AE47" i="14"/>
  <c r="AE11" i="14"/>
  <c r="AE50" i="14"/>
  <c r="E127" i="56"/>
  <c r="E126" i="56"/>
  <c r="AE313" i="11"/>
  <c r="AF313" i="11"/>
  <c r="G139" i="56"/>
  <c r="G82" i="56"/>
  <c r="G100" i="56"/>
  <c r="G102" i="56"/>
  <c r="G103" i="56"/>
  <c r="O60" i="43"/>
  <c r="O64" i="43"/>
  <c r="O70" i="43"/>
  <c r="AD468" i="22"/>
  <c r="AD479" i="22"/>
  <c r="AD508" i="22"/>
  <c r="AJ28" i="12"/>
  <c r="AI159" i="5"/>
  <c r="Y140" i="56"/>
  <c r="Y141" i="56"/>
  <c r="AE12" i="55"/>
  <c r="AE234" i="11"/>
  <c r="AE9" i="15"/>
  <c r="AE12" i="18"/>
  <c r="AD98" i="10"/>
  <c r="AD78" i="10"/>
  <c r="AD59" i="10"/>
  <c r="X47" i="13"/>
  <c r="X44" i="13"/>
  <c r="AL260" i="12"/>
  <c r="AL27" i="17"/>
  <c r="C60" i="2"/>
  <c r="Z193" i="12"/>
  <c r="Z133" i="12"/>
  <c r="X210" i="12"/>
  <c r="X207" i="12"/>
  <c r="Q226" i="22"/>
  <c r="N237" i="12"/>
  <c r="N238" i="12"/>
  <c r="AG84" i="10"/>
  <c r="Z10" i="47"/>
  <c r="Z7" i="47"/>
  <c r="J25" i="41"/>
  <c r="J23" i="41"/>
  <c r="AD485" i="22"/>
  <c r="AD514" i="22"/>
  <c r="AV107" i="10"/>
  <c r="AU103" i="10"/>
  <c r="AU105" i="10"/>
  <c r="AV103" i="10"/>
  <c r="AV105" i="10"/>
  <c r="AV108" i="10"/>
  <c r="P127" i="56"/>
  <c r="P126" i="56"/>
  <c r="U13" i="56"/>
  <c r="S231" i="12"/>
  <c r="S228" i="12"/>
  <c r="S232" i="12"/>
  <c r="AB27" i="17"/>
  <c r="Y234" i="48"/>
  <c r="Y231" i="48"/>
  <c r="AB7" i="56"/>
  <c r="AE102" i="48"/>
  <c r="Q103" i="56"/>
  <c r="Q82" i="56"/>
  <c r="Q100" i="56"/>
  <c r="Q102" i="56"/>
  <c r="Q139" i="56"/>
  <c r="M251" i="12"/>
  <c r="M241" i="12"/>
  <c r="AQ99" i="10"/>
  <c r="AU46" i="4"/>
  <c r="AU47" i="4"/>
  <c r="AU52" i="4"/>
  <c r="AH54" i="9"/>
  <c r="AH9" i="9"/>
  <c r="AH146" i="41"/>
  <c r="Z138" i="41"/>
  <c r="Z125" i="41"/>
  <c r="AL102" i="55"/>
  <c r="AL41" i="55"/>
  <c r="U28" i="18"/>
  <c r="U29" i="18"/>
  <c r="U67" i="18"/>
  <c r="R12" i="54"/>
  <c r="AL103" i="18"/>
  <c r="AI7" i="54"/>
  <c r="AK178" i="41"/>
  <c r="P255" i="11"/>
  <c r="V196" i="12"/>
  <c r="V192" i="12"/>
  <c r="O120" i="56"/>
  <c r="O117" i="56"/>
  <c r="O118" i="56"/>
  <c r="Y98" i="10"/>
  <c r="Y78" i="10"/>
  <c r="Y59" i="10"/>
  <c r="Q79" i="10"/>
  <c r="AD66" i="55"/>
  <c r="AD67" i="55"/>
  <c r="AD29" i="55"/>
  <c r="AD28" i="55"/>
  <c r="AC210" i="12"/>
  <c r="AC207" i="12"/>
  <c r="N152" i="41"/>
  <c r="N150" i="41"/>
  <c r="AF481" i="22"/>
  <c r="G137" i="56"/>
  <c r="G136" i="56"/>
  <c r="AB25" i="12"/>
  <c r="AB24" i="12"/>
  <c r="W87" i="47"/>
  <c r="W157" i="41"/>
  <c r="W18" i="14"/>
  <c r="W160" i="41"/>
  <c r="X73" i="47"/>
  <c r="X412" i="11"/>
  <c r="X408" i="11"/>
  <c r="T213" i="11"/>
  <c r="T137" i="11"/>
  <c r="Q27" i="17"/>
  <c r="W57" i="16"/>
  <c r="W54" i="16"/>
  <c r="V55" i="16"/>
  <c r="Z118" i="56"/>
  <c r="Z117" i="56"/>
  <c r="Z120" i="56"/>
  <c r="L10" i="55"/>
  <c r="L16" i="55"/>
  <c r="L42" i="55"/>
  <c r="L41" i="55"/>
  <c r="L102" i="55"/>
  <c r="E52" i="56"/>
  <c r="AB48" i="16"/>
  <c r="AA49" i="16"/>
  <c r="AD137" i="56"/>
  <c r="AD136" i="56"/>
  <c r="E83" i="56"/>
  <c r="Y60" i="56"/>
  <c r="AC23" i="15"/>
  <c r="Y9" i="56"/>
  <c r="Z116" i="56"/>
  <c r="Z36" i="56"/>
  <c r="Z37" i="56"/>
  <c r="Z40" i="56"/>
  <c r="Z41" i="56"/>
  <c r="Z42" i="56"/>
  <c r="AE77" i="16"/>
  <c r="AE80" i="16"/>
  <c r="AE90" i="16"/>
  <c r="D55" i="10"/>
  <c r="D53" i="10"/>
  <c r="K53" i="10"/>
  <c r="AD38" i="47"/>
  <c r="AD15" i="15"/>
  <c r="AG120" i="56"/>
  <c r="AG117" i="56"/>
  <c r="AG118" i="56"/>
  <c r="D313" i="11"/>
  <c r="AG313" i="11"/>
  <c r="AG316" i="11"/>
  <c r="O61" i="19"/>
  <c r="D42" i="15"/>
  <c r="X384" i="11"/>
  <c r="X388" i="11"/>
  <c r="X24" i="47"/>
  <c r="X25" i="47"/>
  <c r="J277" i="11"/>
  <c r="AK94" i="12"/>
  <c r="AR99" i="10"/>
  <c r="AL88" i="47"/>
  <c r="AL19" i="14"/>
  <c r="AG101" i="56"/>
  <c r="AG63" i="56"/>
  <c r="AG135" i="56"/>
  <c r="L102" i="41"/>
  <c r="L5" i="41"/>
  <c r="N141" i="56"/>
  <c r="N140" i="56"/>
  <c r="M21" i="55"/>
  <c r="M23" i="55"/>
  <c r="M57" i="55"/>
  <c r="M56" i="55"/>
  <c r="E64" i="56"/>
  <c r="E65" i="56"/>
  <c r="E72" i="56"/>
  <c r="N15" i="19"/>
  <c r="G18" i="2"/>
  <c r="H77" i="2"/>
  <c r="M11" i="54"/>
  <c r="P66" i="18"/>
  <c r="Q57" i="12"/>
  <c r="Q52" i="12"/>
  <c r="M156" i="41"/>
  <c r="M158" i="41"/>
  <c r="M162" i="41"/>
  <c r="S87" i="12"/>
  <c r="S86" i="12"/>
  <c r="S72" i="12"/>
  <c r="AP485" i="22"/>
  <c r="AM99" i="12"/>
  <c r="AM124" i="12"/>
  <c r="AM141" i="12"/>
  <c r="AM162" i="12"/>
  <c r="S92" i="12"/>
  <c r="R120" i="56"/>
  <c r="R117" i="56"/>
  <c r="R118" i="56"/>
  <c r="AD40" i="47"/>
  <c r="AN46" i="4"/>
  <c r="AN47" i="4"/>
  <c r="AN52" i="4"/>
  <c r="AG6" i="54"/>
  <c r="AJ41" i="18"/>
  <c r="AJ102" i="18"/>
  <c r="AA73" i="47"/>
  <c r="AA412" i="11"/>
  <c r="AA408" i="11"/>
  <c r="W61" i="41"/>
  <c r="W59" i="41"/>
  <c r="W62" i="41"/>
  <c r="M102" i="48"/>
  <c r="P14" i="15"/>
  <c r="P20" i="15"/>
  <c r="L7" i="56"/>
  <c r="L17" i="56"/>
  <c r="X31" i="47"/>
  <c r="X32" i="47"/>
  <c r="U86" i="48"/>
  <c r="X30" i="47"/>
  <c r="U92" i="48"/>
  <c r="P137" i="56"/>
  <c r="P136" i="56"/>
  <c r="AC11" i="54"/>
  <c r="AF66" i="18"/>
  <c r="E7" i="54"/>
  <c r="F7" i="54"/>
  <c r="T35" i="47"/>
  <c r="T34" i="47"/>
  <c r="AL10" i="55"/>
  <c r="AL16" i="55"/>
  <c r="AL42" i="55"/>
  <c r="AL103" i="55"/>
  <c r="Q175" i="41"/>
  <c r="Q168" i="41"/>
  <c r="Q166" i="41"/>
  <c r="AS277" i="11"/>
  <c r="AR280" i="11"/>
  <c r="AR279" i="11"/>
  <c r="AI6" i="54"/>
  <c r="AL10" i="18"/>
  <c r="AL16" i="18"/>
  <c r="AL42" i="18"/>
  <c r="AL41" i="18"/>
  <c r="AL102" i="18"/>
  <c r="V132" i="12"/>
  <c r="V137" i="12"/>
  <c r="N31" i="9"/>
  <c r="N46" i="17"/>
  <c r="AD80" i="47"/>
  <c r="AA98" i="48"/>
  <c r="AD79" i="47"/>
  <c r="AD78" i="47"/>
  <c r="AD83" i="47"/>
  <c r="AG148" i="22"/>
  <c r="AG211" i="22"/>
  <c r="J103" i="56"/>
  <c r="J82" i="56"/>
  <c r="J100" i="56"/>
  <c r="J102" i="56"/>
  <c r="J139" i="56"/>
  <c r="AD250" i="11"/>
  <c r="AD266" i="11"/>
  <c r="AD271" i="11"/>
  <c r="AD58" i="3"/>
  <c r="Q83" i="56"/>
  <c r="W260" i="12"/>
  <c r="S118" i="56"/>
  <c r="S117" i="56"/>
  <c r="S120" i="56"/>
  <c r="AB225" i="12"/>
  <c r="AI162" i="12"/>
  <c r="AI141" i="12"/>
  <c r="AI124" i="12"/>
  <c r="AL485" i="22"/>
  <c r="AI99" i="12"/>
  <c r="P88" i="41"/>
  <c r="P86" i="41"/>
  <c r="P89" i="41"/>
  <c r="AG15" i="55"/>
  <c r="AG16" i="15"/>
  <c r="AG15" i="18"/>
  <c r="AA56" i="18"/>
  <c r="AA57" i="18"/>
  <c r="AA23" i="18"/>
  <c r="AA21" i="18"/>
  <c r="AC141" i="56"/>
  <c r="AC140" i="56"/>
  <c r="AI251" i="12"/>
  <c r="AI241" i="12"/>
  <c r="I63" i="16"/>
  <c r="D66" i="16"/>
  <c r="AA14" i="18"/>
  <c r="AA90" i="10"/>
  <c r="AA11" i="15"/>
  <c r="AA14" i="55"/>
  <c r="K61" i="41"/>
  <c r="K59" i="41"/>
  <c r="K62" i="41"/>
  <c r="M162" i="12"/>
  <c r="M141" i="12"/>
  <c r="M124" i="12"/>
  <c r="P485" i="22"/>
  <c r="M99" i="12"/>
  <c r="M196" i="12"/>
  <c r="M192" i="12"/>
  <c r="AA115" i="41"/>
  <c r="AA108" i="10"/>
  <c r="AA24" i="9"/>
  <c r="AA110" i="41"/>
  <c r="AA59" i="56"/>
  <c r="AA58" i="56"/>
  <c r="D28" i="55"/>
  <c r="E42" i="56"/>
  <c r="E43" i="56"/>
  <c r="K161" i="11"/>
  <c r="K160" i="11"/>
  <c r="K158" i="11"/>
  <c r="AH89" i="41"/>
  <c r="AH86" i="41"/>
  <c r="AH88" i="41"/>
  <c r="AC57" i="56"/>
  <c r="AC62" i="56"/>
  <c r="AC64" i="56"/>
  <c r="T14" i="55"/>
  <c r="T90" i="10"/>
  <c r="T11" i="15"/>
  <c r="T14" i="18"/>
  <c r="AA132" i="12"/>
  <c r="AA137" i="12"/>
  <c r="C59" i="2"/>
  <c r="AE88" i="47"/>
  <c r="AE19" i="14"/>
  <c r="AH113" i="43"/>
  <c r="AH102" i="43"/>
  <c r="AH106" i="43"/>
  <c r="AH122" i="43"/>
  <c r="X62" i="41"/>
  <c r="X59" i="41"/>
  <c r="X61" i="41"/>
  <c r="S139" i="56"/>
  <c r="S100" i="56"/>
  <c r="S102" i="56"/>
  <c r="S103" i="56"/>
  <c r="AC69" i="43"/>
  <c r="AC54" i="43"/>
  <c r="AC50" i="43"/>
  <c r="K116" i="56"/>
  <c r="K41" i="56"/>
  <c r="K42" i="56"/>
  <c r="AE51" i="16"/>
  <c r="AE48" i="16"/>
  <c r="AD49" i="16"/>
  <c r="AO108" i="10"/>
  <c r="AO107" i="10"/>
  <c r="K133" i="41"/>
  <c r="K131" i="41"/>
  <c r="W208" i="12"/>
  <c r="AG50" i="43"/>
  <c r="AG54" i="43"/>
  <c r="AG69" i="43"/>
  <c r="X63" i="16"/>
  <c r="X51" i="16"/>
  <c r="AT99" i="10"/>
  <c r="AL104" i="8"/>
  <c r="AL105" i="8"/>
  <c r="AL119" i="8"/>
  <c r="AL40" i="47"/>
  <c r="N139" i="56"/>
  <c r="N82" i="56"/>
  <c r="N100" i="56"/>
  <c r="N102" i="56"/>
  <c r="N103" i="56"/>
  <c r="AC53" i="15"/>
  <c r="AN107" i="10"/>
  <c r="AN108" i="10"/>
  <c r="AG25" i="10"/>
  <c r="AG24" i="10"/>
  <c r="AJ231" i="12"/>
  <c r="AJ228" i="12"/>
  <c r="AJ232" i="12"/>
  <c r="AJ108" i="12"/>
  <c r="AJ118" i="12"/>
  <c r="AJ119" i="12"/>
  <c r="AK103" i="12"/>
  <c r="AG57" i="56"/>
  <c r="AG62" i="56"/>
  <c r="AG64" i="56"/>
  <c r="W58" i="10"/>
  <c r="W55" i="10"/>
  <c r="W51" i="10"/>
  <c r="U7" i="58"/>
  <c r="AA55" i="12"/>
  <c r="AD140" i="22"/>
  <c r="W112" i="48"/>
  <c r="AI231" i="12"/>
  <c r="AI228" i="12"/>
  <c r="AI232" i="12"/>
  <c r="AA195" i="12"/>
  <c r="AA136" i="12"/>
  <c r="AG69" i="10"/>
  <c r="AB64" i="10"/>
  <c r="AB99" i="10"/>
  <c r="AM231" i="12"/>
  <c r="AM228" i="12"/>
  <c r="AM232" i="12"/>
  <c r="AB28" i="55"/>
  <c r="AB29" i="55"/>
  <c r="AB67" i="55"/>
  <c r="AB66" i="55"/>
  <c r="N60" i="56"/>
  <c r="R23" i="15"/>
  <c r="N9" i="56"/>
  <c r="AD79" i="10"/>
  <c r="P91" i="12"/>
  <c r="AJ31" i="9"/>
  <c r="AJ150" i="41"/>
  <c r="AJ152" i="41"/>
  <c r="I91" i="16"/>
  <c r="E94" i="16"/>
  <c r="E95" i="16"/>
  <c r="E96" i="16"/>
  <c r="O28" i="19"/>
  <c r="AN148" i="22"/>
  <c r="AN211" i="22"/>
  <c r="AA29" i="12"/>
  <c r="Z160" i="5"/>
  <c r="AE25" i="12"/>
  <c r="AE24" i="12"/>
  <c r="AL137" i="56"/>
  <c r="AL136" i="56"/>
  <c r="AD84" i="10"/>
  <c r="U7" i="56"/>
  <c r="U11" i="56"/>
  <c r="U15" i="56"/>
  <c r="U19" i="56"/>
  <c r="Y25" i="12"/>
  <c r="Y24" i="12"/>
  <c r="AC10" i="55"/>
  <c r="AC16" i="55"/>
  <c r="AC42" i="55"/>
  <c r="AC103" i="55"/>
  <c r="L51" i="14"/>
  <c r="L48" i="14"/>
  <c r="S64" i="12"/>
  <c r="S134" i="12"/>
  <c r="S194" i="12"/>
  <c r="G20" i="2"/>
  <c r="H86" i="2"/>
  <c r="E17" i="56"/>
  <c r="E22" i="56"/>
  <c r="M26" i="19"/>
  <c r="X203" i="12"/>
  <c r="X222" i="12"/>
  <c r="X225" i="12"/>
  <c r="R79" i="10"/>
  <c r="P13" i="18"/>
  <c r="P250" i="11"/>
  <c r="P266" i="11"/>
  <c r="P271" i="11"/>
  <c r="P278" i="11"/>
  <c r="P280" i="11"/>
  <c r="P279" i="11"/>
  <c r="P10" i="15"/>
  <c r="P13" i="55"/>
  <c r="Y11" i="56"/>
  <c r="Y13" i="56"/>
  <c r="AF537" i="22"/>
  <c r="AF542" i="22"/>
  <c r="G42" i="56"/>
  <c r="G41" i="56"/>
  <c r="G116" i="56"/>
  <c r="AF28" i="18"/>
  <c r="AF29" i="18"/>
  <c r="AF67" i="18"/>
  <c r="AC12" i="54"/>
  <c r="AF36" i="56"/>
  <c r="AF37" i="56"/>
  <c r="AF40" i="56"/>
  <c r="AF57" i="56"/>
  <c r="AF62" i="56"/>
  <c r="AF64" i="56"/>
  <c r="AL95" i="12"/>
  <c r="AL90" i="12"/>
  <c r="Z121" i="41"/>
  <c r="Z114" i="41"/>
  <c r="Z132" i="41"/>
  <c r="AD19" i="14"/>
  <c r="AD88" i="47"/>
  <c r="R108" i="12"/>
  <c r="R118" i="12"/>
  <c r="R119" i="12"/>
  <c r="D24" i="10"/>
  <c r="L24" i="10"/>
  <c r="L25" i="10"/>
  <c r="O139" i="56"/>
  <c r="O82" i="56"/>
  <c r="O100" i="56"/>
  <c r="O102" i="56"/>
  <c r="O103" i="56"/>
  <c r="X118" i="56"/>
  <c r="X117" i="56"/>
  <c r="X120" i="56"/>
  <c r="AG7" i="54"/>
  <c r="AI178" i="41"/>
  <c r="AJ10" i="18"/>
  <c r="AJ16" i="18"/>
  <c r="AJ42" i="18"/>
  <c r="AJ103" i="18"/>
  <c r="I141" i="56"/>
  <c r="I140" i="56"/>
  <c r="W116" i="56"/>
  <c r="W41" i="56"/>
  <c r="W42" i="56"/>
  <c r="V62" i="12"/>
  <c r="V67" i="12"/>
  <c r="U11" i="18"/>
  <c r="V261" i="12"/>
  <c r="V263" i="12"/>
  <c r="V262" i="12"/>
  <c r="U8" i="15"/>
  <c r="U11" i="55"/>
  <c r="Y79" i="10"/>
  <c r="Q101" i="56"/>
  <c r="Q36" i="56"/>
  <c r="Q37" i="56"/>
  <c r="Q40" i="56"/>
  <c r="Q57" i="56"/>
  <c r="Q62" i="56"/>
  <c r="Q63" i="56"/>
  <c r="Q135" i="56"/>
  <c r="P116" i="56"/>
  <c r="P41" i="56"/>
  <c r="P42" i="56"/>
  <c r="AM62" i="41"/>
  <c r="AM59" i="41"/>
  <c r="AM61" i="41"/>
  <c r="Q12" i="55"/>
  <c r="Q234" i="11"/>
  <c r="Q9" i="15"/>
  <c r="Q12" i="18"/>
  <c r="AH133" i="22"/>
  <c r="S28" i="12"/>
  <c r="R159" i="5"/>
  <c r="Q59" i="10"/>
  <c r="Q78" i="10"/>
  <c r="Q98" i="10"/>
  <c r="K99" i="10"/>
  <c r="K64" i="10"/>
  <c r="P69" i="10"/>
  <c r="AB203" i="12"/>
  <c r="AB222" i="12"/>
  <c r="AB242" i="12"/>
  <c r="AB252" i="12"/>
  <c r="AA27" i="17"/>
  <c r="AL508" i="22"/>
  <c r="AI137" i="56"/>
  <c r="AI136" i="56"/>
  <c r="Y7" i="56"/>
  <c r="AB102" i="48"/>
  <c r="AE148" i="22"/>
  <c r="AE211" i="22"/>
  <c r="Y13" i="47"/>
  <c r="Y373" i="11"/>
  <c r="AI84" i="10"/>
  <c r="AE112" i="48"/>
  <c r="AI55" i="12"/>
  <c r="AC7" i="58"/>
  <c r="AL140" i="22"/>
  <c r="AL468" i="22"/>
  <c r="AL479" i="22"/>
  <c r="AI65" i="12"/>
  <c r="AI135" i="12"/>
  <c r="AD15" i="56"/>
  <c r="AD7" i="56"/>
  <c r="AD11" i="56"/>
  <c r="AD13" i="56"/>
  <c r="AT107" i="10"/>
  <c r="AQ103" i="10"/>
  <c r="AQ105" i="10"/>
  <c r="AR103" i="10"/>
  <c r="AR105" i="10"/>
  <c r="AS103" i="10"/>
  <c r="AS105" i="10"/>
  <c r="AT103" i="10"/>
  <c r="AT105" i="10"/>
  <c r="AT108" i="10"/>
  <c r="X145" i="12"/>
  <c r="D21" i="18"/>
  <c r="M132" i="12"/>
  <c r="M137" i="12"/>
  <c r="AO226" i="22"/>
  <c r="AL237" i="12"/>
  <c r="AL238" i="12"/>
  <c r="D15" i="55"/>
  <c r="K15" i="55"/>
  <c r="Q193" i="12"/>
  <c r="Q133" i="12"/>
  <c r="AP108" i="10"/>
  <c r="AN103" i="10"/>
  <c r="AN105" i="10"/>
  <c r="AO103" i="10"/>
  <c r="AO105" i="10"/>
  <c r="AP103" i="10"/>
  <c r="AP105" i="10"/>
  <c r="AP107" i="10"/>
  <c r="J25" i="10"/>
  <c r="J23" i="10"/>
  <c r="K118" i="56"/>
  <c r="K117" i="56"/>
  <c r="K120" i="56"/>
  <c r="Z61" i="18"/>
  <c r="AS86" i="18"/>
  <c r="AW61" i="18"/>
  <c r="AV61" i="18"/>
  <c r="AG86" i="18"/>
  <c r="AX86" i="18"/>
  <c r="P61" i="18"/>
  <c r="AC86" i="18"/>
  <c r="W86" i="18"/>
  <c r="AU86" i="18"/>
  <c r="AL86" i="18"/>
  <c r="S86" i="18"/>
  <c r="N86" i="18"/>
  <c r="S61" i="18"/>
  <c r="AT61" i="18"/>
  <c r="AT86" i="18"/>
  <c r="AK61" i="18"/>
  <c r="AW86" i="18"/>
  <c r="AB86" i="18"/>
  <c r="R61" i="18"/>
  <c r="J61" i="18"/>
  <c r="K61" i="18"/>
  <c r="U86" i="18"/>
  <c r="F61" i="18"/>
  <c r="AM86" i="18"/>
  <c r="AF61" i="18"/>
  <c r="AG61" i="18"/>
  <c r="X86" i="18"/>
  <c r="AP86" i="18"/>
  <c r="Y61" i="18"/>
  <c r="O61" i="18"/>
  <c r="D56" i="18"/>
  <c r="AE61" i="18"/>
  <c r="AD86" i="18"/>
  <c r="AL61" i="18"/>
  <c r="AB61" i="18"/>
  <c r="AH86" i="18"/>
  <c r="AU61" i="18"/>
  <c r="N61" i="18"/>
  <c r="AK86" i="18"/>
  <c r="AO86" i="18"/>
  <c r="D61" i="18"/>
  <c r="AH61" i="18"/>
  <c r="T61" i="18"/>
  <c r="Q61" i="18"/>
  <c r="V86" i="18"/>
  <c r="AS61" i="18"/>
  <c r="L61" i="18"/>
  <c r="X61" i="18"/>
  <c r="AA61" i="18"/>
  <c r="AO61" i="18"/>
  <c r="AJ86" i="18"/>
  <c r="Q86" i="18"/>
  <c r="T86" i="18"/>
  <c r="M86" i="18"/>
  <c r="AE86" i="18"/>
  <c r="J86" i="18"/>
  <c r="L86" i="18"/>
  <c r="AI86" i="18"/>
  <c r="AF86" i="18"/>
  <c r="AQ61" i="18"/>
  <c r="AV86" i="18"/>
  <c r="AN61" i="18"/>
  <c r="AD61" i="18"/>
  <c r="Z86" i="18"/>
  <c r="AM61" i="18"/>
  <c r="I61" i="18"/>
  <c r="AR86" i="18"/>
  <c r="AI61" i="18"/>
  <c r="AJ61" i="18"/>
  <c r="V61" i="18"/>
  <c r="E61" i="18"/>
  <c r="Y86" i="18"/>
  <c r="U61" i="18"/>
  <c r="O86" i="18"/>
  <c r="AQ86" i="18"/>
  <c r="AP61" i="18"/>
  <c r="M61" i="18"/>
  <c r="AR61" i="18"/>
  <c r="K86" i="18"/>
  <c r="P86" i="18"/>
  <c r="W61" i="18"/>
  <c r="AN86" i="18"/>
  <c r="AC61" i="18"/>
  <c r="R86" i="18"/>
  <c r="I56" i="18"/>
  <c r="AA86" i="18"/>
  <c r="Z69" i="10"/>
  <c r="U64" i="10"/>
  <c r="U99" i="10"/>
  <c r="H60" i="56"/>
  <c r="L23" i="15"/>
  <c r="H9" i="56"/>
  <c r="I116" i="56"/>
  <c r="I41" i="56"/>
  <c r="I42" i="56"/>
  <c r="L116" i="56"/>
  <c r="L41" i="56"/>
  <c r="L42" i="56"/>
  <c r="M10" i="55"/>
  <c r="M16" i="55"/>
  <c r="M42" i="55"/>
  <c r="M103" i="55"/>
  <c r="T28" i="2"/>
  <c r="T19" i="2"/>
  <c r="T10" i="2"/>
  <c r="E73" i="56"/>
  <c r="O15" i="19"/>
  <c r="G16" i="2"/>
  <c r="H78" i="2"/>
  <c r="AE85" i="56"/>
  <c r="AE82" i="56"/>
  <c r="AE84" i="56"/>
  <c r="AE125" i="56"/>
  <c r="V127" i="11"/>
  <c r="V198" i="11"/>
  <c r="V411" i="11"/>
  <c r="AK66" i="12"/>
  <c r="AK136" i="12"/>
  <c r="AK195" i="12"/>
  <c r="AE116" i="56"/>
  <c r="AE41" i="56"/>
  <c r="AE42" i="56"/>
  <c r="AE31" i="16"/>
  <c r="AE35" i="16"/>
  <c r="M28" i="55"/>
  <c r="M29" i="55"/>
  <c r="M67" i="55"/>
  <c r="M66" i="55"/>
  <c r="I23" i="10"/>
  <c r="I25" i="10"/>
  <c r="X15" i="18"/>
  <c r="X16" i="15"/>
  <c r="X15" i="55"/>
  <c r="AH87" i="47"/>
  <c r="AH160" i="41"/>
  <c r="AH18" i="14"/>
  <c r="AH157" i="41"/>
  <c r="V113" i="43"/>
  <c r="Z202" i="22"/>
  <c r="Z204" i="22"/>
  <c r="V102" i="43"/>
  <c r="V106" i="43"/>
  <c r="V122" i="43"/>
  <c r="U79" i="47"/>
  <c r="U80" i="47"/>
  <c r="U83" i="47"/>
  <c r="U78" i="47"/>
  <c r="R98" i="48"/>
  <c r="X48" i="16"/>
  <c r="W49" i="16"/>
  <c r="P25" i="3"/>
  <c r="P24" i="3"/>
  <c r="Q203" i="12"/>
  <c r="Q222" i="12"/>
  <c r="Q225" i="12"/>
  <c r="AK147" i="41"/>
  <c r="AK27" i="9"/>
  <c r="AJ11" i="55"/>
  <c r="AK261" i="12"/>
  <c r="AK263" i="12"/>
  <c r="AK262" i="12"/>
  <c r="AJ8" i="15"/>
  <c r="AJ11" i="18"/>
  <c r="AF59" i="56"/>
  <c r="AF58" i="56"/>
  <c r="AK157" i="41"/>
  <c r="AK87" i="47"/>
  <c r="AK18" i="14"/>
  <c r="AK160" i="41"/>
  <c r="M36" i="16"/>
  <c r="M54" i="13"/>
  <c r="M55" i="13"/>
  <c r="M56" i="13"/>
  <c r="P28" i="18"/>
  <c r="P29" i="18"/>
  <c r="P67" i="18"/>
  <c r="M12" i="54"/>
  <c r="L53" i="10"/>
  <c r="N53" i="10"/>
  <c r="K52" i="10"/>
  <c r="M53" i="10"/>
  <c r="AN45" i="4"/>
  <c r="Y210" i="11"/>
  <c r="Y134" i="11"/>
  <c r="X10" i="55"/>
  <c r="X16" i="55"/>
  <c r="X42" i="55"/>
  <c r="X103" i="55"/>
  <c r="AL76" i="10"/>
  <c r="AL65" i="10"/>
  <c r="Y27" i="17"/>
  <c r="J116" i="56"/>
  <c r="J41" i="56"/>
  <c r="J42" i="56"/>
  <c r="AC57" i="12"/>
  <c r="AC52" i="12"/>
  <c r="AA66" i="12"/>
  <c r="AA94" i="12"/>
  <c r="Z63" i="12"/>
  <c r="Z91" i="12"/>
  <c r="AK106" i="12"/>
  <c r="AK112" i="12"/>
  <c r="AK113" i="12"/>
  <c r="Q51" i="10"/>
  <c r="Q55" i="10"/>
  <c r="Q58" i="10"/>
  <c r="P63" i="12"/>
  <c r="P133" i="12"/>
  <c r="P193" i="12"/>
  <c r="AC358" i="11"/>
  <c r="AC359" i="11"/>
  <c r="AD361" i="11"/>
  <c r="AD17" i="14"/>
  <c r="AD86" i="47"/>
  <c r="Y103" i="12"/>
  <c r="AC79" i="10"/>
  <c r="K260" i="12"/>
  <c r="Y76" i="47"/>
  <c r="Y75" i="47"/>
  <c r="K59" i="56"/>
  <c r="K58" i="56"/>
  <c r="Y63" i="16"/>
  <c r="Y51" i="16"/>
  <c r="AD162" i="41"/>
  <c r="AD158" i="41"/>
  <c r="AD156" i="41"/>
  <c r="AF234" i="12"/>
  <c r="AF230" i="12"/>
  <c r="AF209" i="12"/>
  <c r="AI212" i="22"/>
  <c r="AI210" i="22"/>
  <c r="U84" i="16"/>
  <c r="V83" i="16"/>
  <c r="V86" i="16"/>
  <c r="AF53" i="15"/>
  <c r="AG28" i="12"/>
  <c r="AF159" i="5"/>
  <c r="U83" i="56"/>
  <c r="O225" i="12"/>
  <c r="K56" i="55"/>
  <c r="K57" i="55"/>
  <c r="K23" i="55"/>
  <c r="K21" i="55"/>
  <c r="AA66" i="55"/>
  <c r="AA67" i="55"/>
  <c r="AA29" i="55"/>
  <c r="AA28" i="55"/>
  <c r="O103" i="12"/>
  <c r="U59" i="56"/>
  <c r="U58" i="56"/>
  <c r="O55" i="19"/>
  <c r="D74" i="3"/>
  <c r="E94" i="41"/>
  <c r="E93" i="41"/>
  <c r="E92" i="41"/>
  <c r="AB62" i="47"/>
  <c r="AB405" i="11"/>
  <c r="AB403" i="11"/>
  <c r="AE53" i="15"/>
  <c r="Y11" i="54"/>
  <c r="AB66" i="18"/>
  <c r="D40" i="47"/>
  <c r="J40" i="47"/>
  <c r="C81" i="55"/>
  <c r="I81" i="55"/>
  <c r="H116" i="47"/>
  <c r="H106" i="47"/>
  <c r="Y145" i="12"/>
  <c r="AL77" i="12"/>
  <c r="AL76" i="12"/>
  <c r="AL70" i="12"/>
  <c r="Q28" i="17"/>
  <c r="AH59" i="10"/>
  <c r="AH78" i="10"/>
  <c r="AH98" i="10"/>
  <c r="AQ59" i="10"/>
  <c r="AQ78" i="10"/>
  <c r="AQ98" i="10"/>
  <c r="X35" i="47"/>
  <c r="X34" i="47"/>
  <c r="L56" i="18"/>
  <c r="L57" i="18"/>
  <c r="L23" i="18"/>
  <c r="L21" i="18"/>
  <c r="X103" i="12"/>
  <c r="Y83" i="56"/>
  <c r="H34" i="58"/>
  <c r="H31" i="58"/>
  <c r="H27" i="58"/>
  <c r="D51" i="10"/>
  <c r="Q260" i="12"/>
  <c r="P102" i="41"/>
  <c r="P5" i="41"/>
  <c r="X139" i="41"/>
  <c r="X137" i="41"/>
  <c r="X124" i="41"/>
  <c r="D24" i="14"/>
  <c r="D22" i="14"/>
  <c r="R76" i="10"/>
  <c r="R65" i="10"/>
  <c r="U260" i="12"/>
  <c r="AG76" i="10"/>
  <c r="AG65" i="10"/>
  <c r="O203" i="12"/>
  <c r="O222" i="12"/>
  <c r="O242" i="12"/>
  <c r="O252" i="12"/>
  <c r="D16" i="55"/>
  <c r="AK98" i="10"/>
  <c r="AK78" i="10"/>
  <c r="AK59" i="10"/>
  <c r="M128" i="12"/>
  <c r="AC88" i="47"/>
  <c r="AC19" i="14"/>
  <c r="O19" i="56"/>
  <c r="O15" i="56"/>
  <c r="Y135" i="12"/>
  <c r="Y65" i="12"/>
  <c r="Q84" i="10"/>
  <c r="I54" i="15"/>
  <c r="AD29" i="12"/>
  <c r="AC160" i="5"/>
  <c r="R194" i="12"/>
  <c r="R134" i="12"/>
  <c r="AG252" i="12"/>
  <c r="AG242" i="12"/>
  <c r="E85" i="56"/>
  <c r="D85" i="56"/>
  <c r="D92" i="56"/>
  <c r="N10" i="19"/>
  <c r="G12" i="2"/>
  <c r="K25" i="10"/>
  <c r="K23" i="10"/>
  <c r="W72" i="12"/>
  <c r="W86" i="12"/>
  <c r="W87" i="12"/>
  <c r="X138" i="41"/>
  <c r="X125" i="41"/>
  <c r="S103" i="48"/>
  <c r="R12" i="56"/>
  <c r="R8" i="56"/>
  <c r="R10" i="56"/>
  <c r="R18" i="56"/>
  <c r="AB64" i="12"/>
  <c r="AB92" i="12"/>
  <c r="AI509" i="22"/>
  <c r="AI541" i="22"/>
  <c r="AB233" i="48"/>
  <c r="AC59" i="10"/>
  <c r="AC78" i="10"/>
  <c r="AC98" i="10"/>
  <c r="AH175" i="41"/>
  <c r="AH168" i="41"/>
  <c r="AH166" i="41"/>
  <c r="L13" i="55"/>
  <c r="L279" i="11"/>
  <c r="L10" i="15"/>
  <c r="L13" i="18"/>
  <c r="V193" i="12"/>
  <c r="V133" i="12"/>
  <c r="AG68" i="47"/>
  <c r="AG96" i="43"/>
  <c r="AG112" i="43"/>
  <c r="AG114" i="43"/>
  <c r="AG60" i="47"/>
  <c r="AG63" i="47"/>
  <c r="AD97" i="48"/>
  <c r="N56" i="15"/>
  <c r="N39" i="15"/>
  <c r="N42" i="15"/>
  <c r="Y42" i="56"/>
  <c r="Y36" i="56"/>
  <c r="Y37" i="56"/>
  <c r="Y40" i="56"/>
  <c r="Y41" i="56"/>
  <c r="Y116" i="56"/>
  <c r="AM69" i="10"/>
  <c r="AH64" i="10"/>
  <c r="AH99" i="10"/>
  <c r="H6" i="58"/>
  <c r="N54" i="12"/>
  <c r="D23" i="18"/>
  <c r="S232" i="11"/>
  <c r="V25" i="16"/>
  <c r="V24" i="16"/>
  <c r="T514" i="22"/>
  <c r="AD27" i="17"/>
  <c r="AR234" i="11"/>
  <c r="AR5" i="4"/>
  <c r="AR235" i="11"/>
  <c r="AS232" i="11"/>
  <c r="P120" i="56"/>
  <c r="P117" i="56"/>
  <c r="P118" i="56"/>
  <c r="T78" i="16"/>
  <c r="Z39" i="47"/>
  <c r="T255" i="11"/>
  <c r="C87" i="18"/>
  <c r="I87" i="18"/>
  <c r="D60" i="13"/>
  <c r="O60" i="19"/>
  <c r="Y35" i="16"/>
  <c r="S13" i="47"/>
  <c r="S373" i="11"/>
  <c r="V255" i="11"/>
  <c r="E102" i="18"/>
  <c r="I102" i="18"/>
  <c r="AC40" i="47"/>
  <c r="AM91" i="12"/>
  <c r="V74" i="10"/>
  <c r="R38" i="56"/>
  <c r="V82" i="47"/>
  <c r="J60" i="47"/>
  <c r="J114" i="43"/>
  <c r="J113" i="43"/>
  <c r="R175" i="41"/>
  <c r="R168" i="41"/>
  <c r="R166" i="41"/>
  <c r="AL25" i="16"/>
  <c r="AL24" i="16"/>
  <c r="AC13" i="56"/>
  <c r="AR52" i="4"/>
  <c r="X28" i="55"/>
  <c r="X29" i="55"/>
  <c r="X67" i="55"/>
  <c r="X66" i="55"/>
  <c r="L97" i="48"/>
  <c r="O96" i="43"/>
  <c r="O112" i="43"/>
  <c r="O114" i="43"/>
  <c r="O60" i="47"/>
  <c r="O63" i="47"/>
  <c r="O68" i="47"/>
  <c r="R106" i="12"/>
  <c r="R112" i="12"/>
  <c r="R113" i="12"/>
  <c r="AH85" i="56"/>
  <c r="AH125" i="56"/>
  <c r="I13" i="56"/>
  <c r="I14" i="56"/>
  <c r="I18" i="56"/>
  <c r="AF137" i="56"/>
  <c r="AF136" i="56"/>
  <c r="AF102" i="48"/>
  <c r="V63" i="12"/>
  <c r="V91" i="12"/>
  <c r="R102" i="18"/>
  <c r="R41" i="18"/>
  <c r="O6" i="54"/>
  <c r="AE73" i="3"/>
  <c r="AD17" i="9"/>
  <c r="AD56" i="17"/>
  <c r="AD76" i="3"/>
  <c r="AD75" i="3"/>
  <c r="R145" i="12"/>
  <c r="Y109" i="58"/>
  <c r="Y100" i="58"/>
  <c r="Y107" i="58"/>
  <c r="J60" i="56"/>
  <c r="N23" i="15"/>
  <c r="J9" i="56"/>
  <c r="X76" i="10"/>
  <c r="X65" i="10"/>
  <c r="R12" i="18"/>
  <c r="R234" i="11"/>
  <c r="R9" i="15"/>
  <c r="R12" i="55"/>
  <c r="AE77" i="12"/>
  <c r="AE76" i="12"/>
  <c r="AE70" i="12"/>
  <c r="U162" i="12"/>
  <c r="U141" i="12"/>
  <c r="U124" i="12"/>
  <c r="U99" i="12"/>
  <c r="D114" i="47"/>
  <c r="O38" i="47"/>
  <c r="U514" i="22"/>
  <c r="F137" i="56"/>
  <c r="F136" i="56"/>
  <c r="K41" i="12"/>
  <c r="M112" i="48"/>
  <c r="K7" i="58"/>
  <c r="Q55" i="12"/>
  <c r="Y48" i="16"/>
  <c r="X49" i="16"/>
  <c r="V233" i="12"/>
  <c r="V229" i="12"/>
  <c r="AM107" i="10"/>
  <c r="AM103" i="10"/>
  <c r="AM105" i="10"/>
  <c r="AM108" i="10"/>
  <c r="AJ224" i="12"/>
  <c r="AD207" i="11"/>
  <c r="AD131" i="11"/>
  <c r="Y82" i="47"/>
  <c r="Y74" i="10"/>
  <c r="U38" i="56"/>
  <c r="W98" i="10"/>
  <c r="W78" i="10"/>
  <c r="W59" i="10"/>
  <c r="Z95" i="12"/>
  <c r="Z90" i="12"/>
  <c r="AJ120" i="56"/>
  <c r="AJ117" i="56"/>
  <c r="AJ118" i="56"/>
  <c r="AM63" i="12"/>
  <c r="AM133" i="12"/>
  <c r="AM193" i="12"/>
  <c r="N384" i="11"/>
  <c r="N388" i="11"/>
  <c r="N24" i="47"/>
  <c r="N25" i="47"/>
  <c r="O127" i="56"/>
  <c r="O126" i="56"/>
  <c r="Q233" i="12"/>
  <c r="Q229" i="12"/>
  <c r="T508" i="22"/>
  <c r="AK79" i="10"/>
  <c r="AK84" i="10"/>
  <c r="S158" i="11"/>
  <c r="S160" i="11"/>
  <c r="S161" i="11"/>
  <c r="N133" i="41"/>
  <c r="N131" i="41"/>
  <c r="AH58" i="10"/>
  <c r="AH55" i="10"/>
  <c r="AH51" i="10"/>
  <c r="AE232" i="11"/>
  <c r="AC7" i="56"/>
  <c r="AC11" i="56"/>
  <c r="AC15" i="56"/>
  <c r="AC19" i="56"/>
  <c r="P137" i="12"/>
  <c r="AO133" i="22"/>
  <c r="AB79" i="47"/>
  <c r="AB80" i="47"/>
  <c r="AB83" i="47"/>
  <c r="AB78" i="47"/>
  <c r="Y98" i="48"/>
  <c r="AA6" i="54"/>
  <c r="AD41" i="18"/>
  <c r="AD102" i="18"/>
  <c r="AB309" i="11"/>
  <c r="AA309" i="11"/>
  <c r="Q63" i="12"/>
  <c r="Q91" i="12"/>
  <c r="Z127" i="56"/>
  <c r="Z126" i="56"/>
  <c r="G7" i="54"/>
  <c r="I178" i="41"/>
  <c r="J103" i="18"/>
  <c r="AI51" i="14"/>
  <c r="AI48" i="14"/>
  <c r="L280" i="11"/>
  <c r="M277" i="11"/>
  <c r="T28" i="17"/>
  <c r="I38" i="56"/>
  <c r="M74" i="10"/>
  <c r="M82" i="47"/>
  <c r="Z160" i="41"/>
  <c r="Z157" i="41"/>
  <c r="Z18" i="14"/>
  <c r="Z87" i="47"/>
  <c r="AK12" i="55"/>
  <c r="AK234" i="11"/>
  <c r="AK9" i="15"/>
  <c r="AK12" i="18"/>
  <c r="AC508" i="22"/>
  <c r="AH260" i="12"/>
  <c r="S85" i="56"/>
  <c r="S82" i="56"/>
  <c r="S84" i="56"/>
  <c r="S125" i="56"/>
  <c r="R103" i="18"/>
  <c r="Q178" i="41"/>
  <c r="R10" i="18"/>
  <c r="R16" i="18"/>
  <c r="R42" i="18"/>
  <c r="O7" i="54"/>
  <c r="AG40" i="47"/>
  <c r="AA53" i="15"/>
  <c r="X57" i="16"/>
  <c r="X54" i="16"/>
  <c r="W55" i="16"/>
  <c r="AE231" i="12"/>
  <c r="AE228" i="12"/>
  <c r="AE232" i="12"/>
  <c r="S7" i="58"/>
  <c r="U112" i="48"/>
  <c r="Y55" i="12"/>
  <c r="AB9" i="56"/>
  <c r="AF23" i="15"/>
  <c r="AB60" i="56"/>
  <c r="M55" i="58"/>
  <c r="M45" i="58"/>
  <c r="R157" i="11"/>
  <c r="R97" i="11"/>
  <c r="AJ94" i="12"/>
  <c r="AH39" i="47"/>
  <c r="AH76" i="47"/>
  <c r="AH75" i="47"/>
  <c r="M147" i="41"/>
  <c r="M27" i="9"/>
  <c r="AM210" i="12"/>
  <c r="AM207" i="12"/>
  <c r="AC67" i="12"/>
  <c r="J242" i="12"/>
  <c r="J229" i="12"/>
  <c r="L58" i="10"/>
  <c r="L55" i="10"/>
  <c r="L51" i="10"/>
  <c r="P225" i="12"/>
  <c r="AP45" i="4"/>
  <c r="AI11" i="18"/>
  <c r="AJ262" i="12"/>
  <c r="AI8" i="15"/>
  <c r="AI11" i="55"/>
  <c r="U106" i="12"/>
  <c r="U112" i="12"/>
  <c r="U113" i="12"/>
  <c r="AM361" i="11"/>
  <c r="AL359" i="11"/>
  <c r="AL358" i="11"/>
  <c r="T232" i="12"/>
  <c r="T228" i="12"/>
  <c r="T231" i="12"/>
  <c r="AA60" i="56"/>
  <c r="AE23" i="15"/>
  <c r="AA9" i="56"/>
  <c r="T140" i="22"/>
  <c r="T468" i="22"/>
  <c r="T479" i="22"/>
  <c r="Q65" i="12"/>
  <c r="Q135" i="12"/>
  <c r="O135" i="12"/>
  <c r="O65" i="12"/>
  <c r="AJ66" i="12"/>
  <c r="AJ136" i="12"/>
  <c r="AJ195" i="12"/>
  <c r="K61" i="47"/>
  <c r="K398" i="11"/>
  <c r="Z55" i="12"/>
  <c r="V112" i="48"/>
  <c r="T7" i="58"/>
  <c r="Q25" i="12"/>
  <c r="Q24" i="12"/>
  <c r="AL86" i="47"/>
  <c r="AL17" i="14"/>
  <c r="AR46" i="4"/>
  <c r="AR47" i="4"/>
  <c r="AR97" i="10"/>
  <c r="AR100" i="10"/>
  <c r="AR104" i="10"/>
  <c r="AA54" i="10"/>
  <c r="R210" i="12"/>
  <c r="R207" i="12"/>
  <c r="W224" i="12"/>
  <c r="P132" i="12"/>
  <c r="P192" i="12"/>
  <c r="P196" i="12"/>
  <c r="J162" i="41"/>
  <c r="J158" i="41"/>
  <c r="J156" i="41"/>
  <c r="AE135" i="56"/>
  <c r="AE63" i="56"/>
  <c r="AE101" i="56"/>
  <c r="X29" i="12"/>
  <c r="W160" i="5"/>
  <c r="AF29" i="12"/>
  <c r="AE160" i="5"/>
  <c r="AH84" i="56"/>
  <c r="D87" i="56"/>
  <c r="D89" i="56"/>
  <c r="D91" i="56"/>
  <c r="D309" i="11"/>
  <c r="AC309" i="11"/>
  <c r="AC316" i="11"/>
  <c r="Z514" i="22"/>
  <c r="AQ5" i="3"/>
  <c r="AQ5" i="13"/>
  <c r="AQ5" i="11"/>
  <c r="AQ5" i="16"/>
  <c r="AQ5" i="10"/>
  <c r="AQ5" i="8"/>
  <c r="AQ5" i="43"/>
  <c r="AQ5" i="55"/>
  <c r="AQ5" i="17"/>
  <c r="AQ5" i="18"/>
  <c r="AP86" i="16"/>
  <c r="AP84" i="16"/>
  <c r="AD25" i="41"/>
  <c r="AD24" i="41"/>
  <c r="J102" i="18"/>
  <c r="J10" i="18"/>
  <c r="J16" i="18"/>
  <c r="J42" i="18"/>
  <c r="J41" i="18"/>
  <c r="G6" i="54"/>
  <c r="AB65" i="10"/>
  <c r="AB76" i="10"/>
  <c r="AK84" i="41"/>
  <c r="AK81" i="41"/>
  <c r="AB15" i="18"/>
  <c r="AB16" i="15"/>
  <c r="AB15" i="55"/>
  <c r="Q57" i="41"/>
  <c r="Q54" i="41"/>
  <c r="P55" i="41"/>
  <c r="AB112" i="48"/>
  <c r="AF55" i="12"/>
  <c r="Z7" i="58"/>
  <c r="M60" i="56"/>
  <c r="Q23" i="15"/>
  <c r="M9" i="56"/>
  <c r="AB137" i="56"/>
  <c r="AB136" i="56"/>
  <c r="AC140" i="22"/>
  <c r="AC468" i="22"/>
  <c r="AC479" i="22"/>
  <c r="Z65" i="12"/>
  <c r="Z135" i="12"/>
  <c r="AF11" i="18"/>
  <c r="AG261" i="12"/>
  <c r="AG263" i="12"/>
  <c r="AG262" i="12"/>
  <c r="AF8" i="15"/>
  <c r="AF11" i="55"/>
  <c r="Y103" i="55"/>
  <c r="F12" i="56"/>
  <c r="F8" i="56"/>
  <c r="F10" i="56"/>
  <c r="G103" i="48"/>
  <c r="N36" i="15"/>
  <c r="N54" i="15"/>
  <c r="W9" i="56"/>
  <c r="AA23" i="15"/>
  <c r="W60" i="56"/>
  <c r="L25" i="3"/>
  <c r="L24" i="3"/>
  <c r="D24" i="3"/>
  <c r="U90" i="16"/>
  <c r="U77" i="16"/>
  <c r="U80" i="16"/>
  <c r="U91" i="16"/>
  <c r="S208" i="12"/>
  <c r="X90" i="47"/>
  <c r="X89" i="47"/>
  <c r="X85" i="47"/>
  <c r="AH57" i="41"/>
  <c r="AH54" i="41"/>
  <c r="U101" i="56"/>
  <c r="U63" i="56"/>
  <c r="U135" i="56"/>
  <c r="M10" i="14"/>
  <c r="O92" i="43"/>
  <c r="P203" i="12"/>
  <c r="P222" i="12"/>
  <c r="P242" i="12"/>
  <c r="P252" i="12"/>
  <c r="AG119" i="12"/>
  <c r="AG118" i="12"/>
  <c r="AG108" i="12"/>
  <c r="AJ261" i="12"/>
  <c r="AJ263" i="12"/>
  <c r="AK260" i="12"/>
  <c r="AB49" i="16"/>
  <c r="AC48" i="16"/>
  <c r="AC51" i="16"/>
  <c r="AC137" i="12"/>
  <c r="D29" i="55"/>
  <c r="AI82" i="47"/>
  <c r="AE38" i="56"/>
  <c r="AI74" i="10"/>
  <c r="K78" i="41"/>
  <c r="K75" i="41"/>
  <c r="J76" i="41"/>
  <c r="AR118" i="56"/>
  <c r="AR117" i="56"/>
  <c r="AR120" i="56"/>
  <c r="W125" i="56"/>
  <c r="W84" i="56"/>
  <c r="W85" i="56"/>
  <c r="S60" i="56"/>
  <c r="W23" i="15"/>
  <c r="S9" i="56"/>
  <c r="AD95" i="12"/>
  <c r="AD90" i="12"/>
  <c r="N56" i="55"/>
  <c r="N57" i="55"/>
  <c r="N23" i="55"/>
  <c r="N21" i="55"/>
  <c r="W225" i="12"/>
  <c r="O38" i="56"/>
  <c r="S74" i="10"/>
  <c r="S82" i="47"/>
  <c r="AI27" i="17"/>
  <c r="U208" i="12"/>
  <c r="T128" i="12"/>
  <c r="W79" i="10"/>
  <c r="O59" i="56"/>
  <c r="O58" i="56"/>
  <c r="R64" i="12"/>
  <c r="R92" i="12"/>
  <c r="AI226" i="22"/>
  <c r="AF237" i="12"/>
  <c r="AF238" i="12"/>
  <c r="U485" i="22"/>
  <c r="R99" i="12"/>
  <c r="R124" i="12"/>
  <c r="R141" i="12"/>
  <c r="R162" i="12"/>
  <c r="U146" i="41"/>
  <c r="U9" i="9"/>
  <c r="U54" i="9"/>
  <c r="AA35" i="41"/>
  <c r="AA33" i="41"/>
  <c r="AA36" i="41"/>
  <c r="R84" i="16"/>
  <c r="S83" i="16"/>
  <c r="S86" i="16"/>
  <c r="O178" i="41"/>
  <c r="M7" i="54"/>
  <c r="P103" i="18"/>
  <c r="Z57" i="12"/>
  <c r="Z52" i="12"/>
  <c r="AF80" i="47"/>
  <c r="AF79" i="47"/>
  <c r="AC98" i="48"/>
  <c r="AF78" i="47"/>
  <c r="AF83" i="47"/>
  <c r="I44" i="9"/>
  <c r="I20" i="9"/>
  <c r="I37" i="9"/>
  <c r="I12" i="17"/>
  <c r="AF40" i="47"/>
  <c r="AJ226" i="22"/>
  <c r="AG237" i="12"/>
  <c r="AG238" i="12"/>
  <c r="N138" i="41"/>
  <c r="N125" i="41"/>
  <c r="N51" i="10"/>
  <c r="N55" i="10"/>
  <c r="N58" i="10"/>
  <c r="AQ5" i="41"/>
  <c r="AQ102" i="41"/>
  <c r="N98" i="48"/>
  <c r="Q80" i="47"/>
  <c r="Q83" i="47"/>
  <c r="Q78" i="47"/>
  <c r="Q79" i="47"/>
  <c r="AG85" i="56"/>
  <c r="AG84" i="56"/>
  <c r="AG125" i="56"/>
  <c r="AL83" i="47"/>
  <c r="AL79" i="47"/>
  <c r="AL80" i="47"/>
  <c r="AL78" i="47"/>
  <c r="AI98" i="48"/>
  <c r="AG15" i="15"/>
  <c r="AG38" i="47"/>
  <c r="X121" i="41"/>
  <c r="X114" i="41"/>
  <c r="X132" i="41"/>
  <c r="AK32" i="41"/>
  <c r="AK54" i="41"/>
  <c r="N137" i="56"/>
  <c r="N136" i="56"/>
  <c r="W69" i="10"/>
  <c r="R64" i="10"/>
  <c r="R99" i="10"/>
  <c r="AF489" i="22"/>
  <c r="D21" i="55"/>
  <c r="K38" i="47"/>
  <c r="K15" i="15"/>
  <c r="J358" i="11"/>
  <c r="J359" i="11"/>
  <c r="K361" i="11"/>
  <c r="K17" i="14"/>
  <c r="AF518" i="22"/>
  <c r="AF513" i="22"/>
  <c r="Y118" i="48"/>
  <c r="W90" i="16"/>
  <c r="W80" i="16"/>
  <c r="W91" i="16"/>
  <c r="AK14" i="18"/>
  <c r="AK90" i="10"/>
  <c r="AK11" i="15"/>
  <c r="AK14" i="55"/>
  <c r="AF103" i="56"/>
  <c r="AF100" i="56"/>
  <c r="AF102" i="56"/>
  <c r="AF139" i="56"/>
  <c r="AH233" i="12"/>
  <c r="AH229" i="12"/>
  <c r="Y10" i="55"/>
  <c r="Y16" i="55"/>
  <c r="Y42" i="55"/>
  <c r="Y41" i="55"/>
  <c r="Y102" i="55"/>
  <c r="AE193" i="12"/>
  <c r="AE133" i="12"/>
  <c r="AJ61" i="41"/>
  <c r="AJ59" i="41"/>
  <c r="AJ62" i="41"/>
  <c r="AI148" i="22"/>
  <c r="AI211" i="22"/>
  <c r="F64" i="56"/>
  <c r="AF233" i="12"/>
  <c r="AF229" i="12"/>
  <c r="R122" i="43"/>
  <c r="V202" i="22"/>
  <c r="V204" i="22"/>
  <c r="R102" i="43"/>
  <c r="R106" i="43"/>
  <c r="R113" i="43"/>
  <c r="AM208" i="12"/>
  <c r="O36" i="41"/>
  <c r="O33" i="41"/>
  <c r="O35" i="41"/>
  <c r="X55" i="41"/>
  <c r="Y54" i="41"/>
  <c r="Y57" i="41"/>
  <c r="L85" i="47"/>
  <c r="AI196" i="12"/>
  <c r="AI192" i="12"/>
  <c r="Q69" i="10"/>
  <c r="L64" i="10"/>
  <c r="L99" i="10"/>
  <c r="AE62" i="41"/>
  <c r="AE59" i="41"/>
  <c r="AE61" i="41"/>
  <c r="U36" i="56"/>
  <c r="U37" i="56"/>
  <c r="U40" i="56"/>
  <c r="U57" i="56"/>
  <c r="U62" i="56"/>
  <c r="U64" i="56"/>
  <c r="S137" i="56"/>
  <c r="S136" i="56"/>
  <c r="AC260" i="12"/>
  <c r="D133" i="11"/>
  <c r="K133" i="11"/>
  <c r="K209" i="11"/>
  <c r="L36" i="4"/>
  <c r="L44" i="4"/>
  <c r="L51" i="4"/>
  <c r="L50" i="10"/>
  <c r="L54" i="10"/>
  <c r="Z251" i="12"/>
  <c r="Z241" i="12"/>
  <c r="S195" i="12"/>
  <c r="S136" i="12"/>
  <c r="O26" i="43"/>
  <c r="O25" i="43"/>
  <c r="AF358" i="11"/>
  <c r="AF359" i="11"/>
  <c r="AG361" i="11"/>
  <c r="AG17" i="14"/>
  <c r="AG86" i="47"/>
  <c r="AC88" i="41"/>
  <c r="AC86" i="41"/>
  <c r="AC89" i="41"/>
  <c r="AC62" i="12"/>
  <c r="AC132" i="12"/>
  <c r="AC192" i="12"/>
  <c r="AC196" i="12"/>
  <c r="X485" i="22"/>
  <c r="X514" i="22"/>
  <c r="AG28" i="55"/>
  <c r="AG29" i="55"/>
  <c r="AG67" i="55"/>
  <c r="AG66" i="55"/>
  <c r="Y121" i="8"/>
  <c r="Y74" i="3"/>
  <c r="Y26" i="15"/>
  <c r="Y29" i="15"/>
  <c r="Y92" i="8"/>
  <c r="Y99" i="8"/>
  <c r="Y118" i="8"/>
  <c r="Y32" i="15"/>
  <c r="L76" i="41"/>
  <c r="M75" i="41"/>
  <c r="M78" i="41"/>
  <c r="N277" i="11"/>
  <c r="AD84" i="16"/>
  <c r="AE83" i="16"/>
  <c r="AE86" i="16"/>
  <c r="S84" i="10"/>
  <c r="AG203" i="12"/>
  <c r="AG222" i="12"/>
  <c r="AG225" i="12"/>
  <c r="W203" i="12"/>
  <c r="W222" i="12"/>
  <c r="W242" i="12"/>
  <c r="W252" i="12"/>
  <c r="AA7" i="54"/>
  <c r="AD103" i="18"/>
  <c r="AD10" i="18"/>
  <c r="AD16" i="18"/>
  <c r="AD42" i="18"/>
  <c r="AC178" i="41"/>
  <c r="AL69" i="10"/>
  <c r="AG64" i="10"/>
  <c r="AG99" i="10"/>
  <c r="X202" i="22"/>
  <c r="X204" i="22"/>
  <c r="U229" i="12"/>
  <c r="U233" i="12"/>
  <c r="Q211" i="11"/>
  <c r="Q135" i="11"/>
  <c r="O128" i="12"/>
  <c r="R25" i="10"/>
  <c r="R24" i="10"/>
  <c r="AB28" i="18"/>
  <c r="AB29" i="18"/>
  <c r="AB67" i="18"/>
  <c r="Y12" i="54"/>
  <c r="I26" i="43"/>
  <c r="V217" i="11"/>
  <c r="V216" i="11"/>
  <c r="AA44" i="4"/>
  <c r="AA51" i="4"/>
  <c r="AA50" i="10"/>
  <c r="AA51" i="10"/>
  <c r="AA55" i="10"/>
  <c r="AA58" i="10"/>
  <c r="P102" i="18"/>
  <c r="P10" i="18"/>
  <c r="P16" i="18"/>
  <c r="P42" i="18"/>
  <c r="P41" i="18"/>
  <c r="M6" i="54"/>
  <c r="AF115" i="41"/>
  <c r="AF108" i="10"/>
  <c r="AF24" i="9"/>
  <c r="AF110" i="41"/>
  <c r="P102" i="48"/>
  <c r="O17" i="56"/>
  <c r="M255" i="11"/>
  <c r="U25" i="12"/>
  <c r="U24" i="12"/>
  <c r="O76" i="10"/>
  <c r="O65" i="10"/>
  <c r="AH79" i="10"/>
  <c r="AQ84" i="10"/>
  <c r="AQ65" i="10"/>
  <c r="AQ76" i="10"/>
  <c r="AQ77" i="10"/>
  <c r="AQ79" i="10"/>
  <c r="N132" i="41"/>
  <c r="N114" i="41"/>
  <c r="N121" i="41"/>
  <c r="Q160" i="41"/>
  <c r="Q87" i="47"/>
  <c r="Q18" i="14"/>
  <c r="Q157" i="41"/>
  <c r="L92" i="12"/>
  <c r="L70" i="12"/>
  <c r="L76" i="12"/>
  <c r="L77" i="12"/>
  <c r="L91" i="12"/>
  <c r="P62" i="18"/>
  <c r="S62" i="18"/>
  <c r="AE87" i="18"/>
  <c r="J87" i="18"/>
  <c r="M87" i="18"/>
  <c r="N62" i="18"/>
  <c r="V87" i="18"/>
  <c r="N87" i="18"/>
  <c r="AQ87" i="18"/>
  <c r="AW62" i="18"/>
  <c r="AB87" i="18"/>
  <c r="K87" i="18"/>
  <c r="AL87" i="18"/>
  <c r="AC87" i="18"/>
  <c r="Z87" i="18"/>
  <c r="AV62" i="18"/>
  <c r="AE62" i="18"/>
  <c r="AT87" i="18"/>
  <c r="AD62" i="18"/>
  <c r="AO62" i="18"/>
  <c r="AD87" i="18"/>
  <c r="AB62" i="18"/>
  <c r="AR62" i="18"/>
  <c r="AN62" i="18"/>
  <c r="Z62" i="18"/>
  <c r="AK62" i="18"/>
  <c r="T87" i="18"/>
  <c r="AF62" i="18"/>
  <c r="O62" i="18"/>
  <c r="AU87" i="18"/>
  <c r="W62" i="18"/>
  <c r="AH62" i="18"/>
  <c r="D57" i="18"/>
  <c r="AU62" i="18"/>
  <c r="AW87" i="18"/>
  <c r="AR87" i="18"/>
  <c r="AS62" i="18"/>
  <c r="L62" i="18"/>
  <c r="AA62" i="18"/>
  <c r="AG87" i="18"/>
  <c r="R87" i="18"/>
  <c r="AV87" i="18"/>
  <c r="AP62" i="18"/>
  <c r="AO87" i="18"/>
  <c r="Y87" i="18"/>
  <c r="AX87" i="18"/>
  <c r="AP87" i="18"/>
  <c r="AJ87" i="18"/>
  <c r="AK87" i="18"/>
  <c r="J62" i="18"/>
  <c r="D62" i="18"/>
  <c r="AI62" i="18"/>
  <c r="E62" i="18"/>
  <c r="R62" i="18"/>
  <c r="O87" i="18"/>
  <c r="AN87" i="18"/>
  <c r="AI87" i="18"/>
  <c r="I62" i="18"/>
  <c r="AF87" i="18"/>
  <c r="F62" i="18"/>
  <c r="AS87" i="18"/>
  <c r="K62" i="18"/>
  <c r="AJ62" i="18"/>
  <c r="M62" i="18"/>
  <c r="X87" i="18"/>
  <c r="U87" i="18"/>
  <c r="V62" i="18"/>
  <c r="Q62" i="18"/>
  <c r="AL62" i="18"/>
  <c r="Q87" i="18"/>
  <c r="T62" i="18"/>
  <c r="AM62" i="18"/>
  <c r="P87" i="18"/>
  <c r="U62" i="18"/>
  <c r="X62" i="18"/>
  <c r="AM87" i="18"/>
  <c r="AH87" i="18"/>
  <c r="S87" i="18"/>
  <c r="AT62" i="18"/>
  <c r="L87" i="18"/>
  <c r="AC62" i="18"/>
  <c r="AQ62" i="18"/>
  <c r="W87" i="18"/>
  <c r="AG62" i="18"/>
  <c r="AA87" i="18"/>
  <c r="I21" i="18"/>
  <c r="I23" i="18"/>
  <c r="I57" i="18"/>
  <c r="Y62" i="18"/>
  <c r="Z79" i="10"/>
  <c r="S76" i="10"/>
  <c r="S65" i="10"/>
  <c r="AU63" i="16"/>
  <c r="AU54" i="8"/>
  <c r="AU59" i="16"/>
  <c r="AU64" i="16"/>
  <c r="AJ122" i="43"/>
  <c r="AJ102" i="43"/>
  <c r="AJ106" i="43"/>
  <c r="AJ113" i="43"/>
  <c r="AE514" i="22"/>
  <c r="AB140" i="22"/>
  <c r="AB468" i="22"/>
  <c r="AB479" i="22"/>
  <c r="AB508" i="22"/>
  <c r="Y103" i="18"/>
  <c r="X178" i="41"/>
  <c r="V7" i="54"/>
  <c r="W77" i="16"/>
  <c r="V78" i="16"/>
  <c r="AD12" i="18"/>
  <c r="AD234" i="11"/>
  <c r="AD9" i="15"/>
  <c r="AD12" i="55"/>
  <c r="O11" i="18"/>
  <c r="P261" i="12"/>
  <c r="P263" i="12"/>
  <c r="P262" i="12"/>
  <c r="O8" i="15"/>
  <c r="O11" i="55"/>
  <c r="Q232" i="12"/>
  <c r="Q228" i="12"/>
  <c r="Q231" i="12"/>
  <c r="I86" i="48"/>
  <c r="I92" i="48"/>
  <c r="L32" i="47"/>
  <c r="L30" i="47"/>
  <c r="L31" i="47"/>
  <c r="O226" i="22"/>
  <c r="L237" i="12"/>
  <c r="L238" i="12"/>
  <c r="T485" i="22"/>
  <c r="Q99" i="12"/>
  <c r="Q124" i="12"/>
  <c r="Q141" i="12"/>
  <c r="Q162" i="12"/>
  <c r="AE63" i="12"/>
  <c r="AE91" i="12"/>
  <c r="N34" i="47"/>
  <c r="N35" i="47"/>
  <c r="J12" i="56"/>
  <c r="J8" i="56"/>
  <c r="J10" i="56"/>
  <c r="K103" i="48"/>
  <c r="F101" i="56"/>
  <c r="F57" i="56"/>
  <c r="F62" i="56"/>
  <c r="F63" i="56"/>
  <c r="F135" i="56"/>
  <c r="AF57" i="16"/>
  <c r="AF54" i="16"/>
  <c r="AE55" i="16"/>
  <c r="AL122" i="43"/>
  <c r="AP202" i="22"/>
  <c r="AP204" i="22"/>
  <c r="AL102" i="43"/>
  <c r="AL106" i="43"/>
  <c r="AL113" i="43"/>
  <c r="Q60" i="56"/>
  <c r="U23" i="15"/>
  <c r="Q9" i="56"/>
  <c r="AD82" i="41"/>
  <c r="AE81" i="41"/>
  <c r="AE84" i="41"/>
  <c r="O34" i="3"/>
  <c r="O75" i="8"/>
  <c r="O33" i="16"/>
  <c r="E101" i="56"/>
  <c r="E74" i="56"/>
  <c r="AA11" i="55"/>
  <c r="AB261" i="12"/>
  <c r="AB263" i="12"/>
  <c r="AB262" i="12"/>
  <c r="AA8" i="15"/>
  <c r="AA11" i="18"/>
  <c r="S11" i="55"/>
  <c r="T261" i="12"/>
  <c r="T263" i="12"/>
  <c r="T262" i="12"/>
  <c r="S8" i="15"/>
  <c r="S11" i="18"/>
  <c r="W122" i="43"/>
  <c r="W102" i="43"/>
  <c r="W106" i="43"/>
  <c r="W113" i="43"/>
  <c r="Z115" i="41"/>
  <c r="Z108" i="10"/>
  <c r="Z24" i="9"/>
  <c r="Z110" i="41"/>
  <c r="M58" i="3"/>
  <c r="AH56" i="17"/>
  <c r="AH17" i="9"/>
  <c r="AH75" i="3"/>
  <c r="AH76" i="3"/>
  <c r="AI73" i="3"/>
  <c r="R208" i="11"/>
  <c r="R132" i="11"/>
  <c r="I89" i="41"/>
  <c r="E91" i="41"/>
  <c r="M13" i="18"/>
  <c r="M250" i="11"/>
  <c r="M266" i="11"/>
  <c r="M271" i="11"/>
  <c r="M278" i="11"/>
  <c r="M280" i="11"/>
  <c r="M279" i="11"/>
  <c r="M10" i="15"/>
  <c r="M13" i="55"/>
  <c r="AI91" i="16"/>
  <c r="AI88" i="16"/>
  <c r="J12" i="55"/>
  <c r="J234" i="11"/>
  <c r="J9" i="15"/>
  <c r="J12" i="18"/>
  <c r="AI132" i="12"/>
  <c r="AI137" i="12"/>
  <c r="O49" i="41"/>
  <c r="P48" i="41"/>
  <c r="P51" i="41"/>
  <c r="N207" i="22"/>
  <c r="N210" i="22"/>
  <c r="N212" i="22"/>
  <c r="K209" i="12"/>
  <c r="K230" i="12"/>
  <c r="K234" i="12"/>
  <c r="W241" i="12"/>
  <c r="W251" i="12"/>
  <c r="P35" i="41"/>
  <c r="P33" i="41"/>
  <c r="P36" i="41"/>
  <c r="AE485" i="22"/>
  <c r="AB99" i="12"/>
  <c r="AB124" i="12"/>
  <c r="AB141" i="12"/>
  <c r="AB162" i="12"/>
  <c r="S66" i="12"/>
  <c r="S94" i="12"/>
  <c r="P33" i="16"/>
  <c r="P75" i="8"/>
  <c r="P34" i="3"/>
  <c r="AA232" i="11"/>
  <c r="V12" i="55"/>
  <c r="V234" i="11"/>
  <c r="V9" i="15"/>
  <c r="V12" i="18"/>
  <c r="M62" i="41"/>
  <c r="M59" i="41"/>
  <c r="M61" i="41"/>
  <c r="Z12" i="55"/>
  <c r="Z234" i="11"/>
  <c r="Z9" i="15"/>
  <c r="Z12" i="18"/>
  <c r="AL232" i="12"/>
  <c r="AL228" i="12"/>
  <c r="AL231" i="12"/>
  <c r="Y87" i="47"/>
  <c r="Y157" i="41"/>
  <c r="Y18" i="14"/>
  <c r="Y160" i="41"/>
  <c r="V128" i="12"/>
  <c r="K14" i="18"/>
  <c r="K90" i="10"/>
  <c r="K11" i="15"/>
  <c r="K14" i="55"/>
  <c r="Z485" i="22"/>
  <c r="W99" i="12"/>
  <c r="W124" i="12"/>
  <c r="W141" i="12"/>
  <c r="W162" i="12"/>
  <c r="J13" i="56"/>
  <c r="J14" i="56"/>
  <c r="J18" i="56"/>
  <c r="V6" i="54"/>
  <c r="Y10" i="18"/>
  <c r="Y16" i="18"/>
  <c r="Y42" i="18"/>
  <c r="Y41" i="18"/>
  <c r="Y102" i="18"/>
  <c r="AI156" i="41"/>
  <c r="AI158" i="41"/>
  <c r="AI162" i="41"/>
  <c r="AC49" i="16"/>
  <c r="AD48" i="16"/>
  <c r="AD51" i="16"/>
  <c r="AI81" i="55"/>
  <c r="R81" i="55"/>
  <c r="Z81" i="55"/>
  <c r="P81" i="55"/>
  <c r="AM81" i="55"/>
  <c r="T81" i="55"/>
  <c r="Q81" i="55"/>
  <c r="AO81" i="55"/>
  <c r="L81" i="55"/>
  <c r="X81" i="55"/>
  <c r="AF81" i="55"/>
  <c r="K81" i="55"/>
  <c r="AP81" i="55"/>
  <c r="AW81" i="55"/>
  <c r="AL81" i="55"/>
  <c r="N81" i="55"/>
  <c r="AV81" i="55"/>
  <c r="AU81" i="55"/>
  <c r="W81" i="55"/>
  <c r="AE81" i="55"/>
  <c r="AN81" i="55"/>
  <c r="AB81" i="55"/>
  <c r="AT81" i="55"/>
  <c r="J81" i="55"/>
  <c r="AQ81" i="55"/>
  <c r="AA81" i="55"/>
  <c r="AK81" i="55"/>
  <c r="Y81" i="55"/>
  <c r="M81" i="55"/>
  <c r="U81" i="55"/>
  <c r="V81" i="55"/>
  <c r="AG81" i="55"/>
  <c r="AH81" i="55"/>
  <c r="AX81" i="55"/>
  <c r="AJ81" i="55"/>
  <c r="AC81" i="55"/>
  <c r="E46" i="55"/>
  <c r="AS81" i="55"/>
  <c r="S81" i="55"/>
  <c r="D42" i="55"/>
  <c r="AR81" i="55"/>
  <c r="D46" i="55"/>
  <c r="O81" i="55"/>
  <c r="AD81" i="55"/>
  <c r="Z59" i="10"/>
  <c r="Z78" i="10"/>
  <c r="Z98" i="10"/>
  <c r="R468" i="22"/>
  <c r="R479" i="22"/>
  <c r="R508" i="22"/>
  <c r="K74" i="10"/>
  <c r="G38" i="56"/>
  <c r="K41" i="9"/>
  <c r="K42" i="9"/>
  <c r="K13" i="17"/>
  <c r="Y39" i="47"/>
  <c r="I24" i="43"/>
  <c r="D24" i="43"/>
  <c r="D26" i="43"/>
  <c r="X31" i="15"/>
  <c r="X33" i="15"/>
  <c r="X55" i="15"/>
  <c r="AL15" i="15"/>
  <c r="AK358" i="11"/>
  <c r="AK359" i="11"/>
  <c r="AL361" i="11"/>
  <c r="AL38" i="47"/>
  <c r="X11" i="18"/>
  <c r="Y262" i="12"/>
  <c r="X8" i="15"/>
  <c r="X11" i="55"/>
  <c r="Y224" i="12"/>
  <c r="AG17" i="9"/>
  <c r="AG56" i="17"/>
  <c r="AH73" i="3"/>
  <c r="AG76" i="3"/>
  <c r="AG75" i="3"/>
  <c r="AB103" i="56"/>
  <c r="AB100" i="56"/>
  <c r="AB102" i="56"/>
  <c r="AB139" i="56"/>
  <c r="AE83" i="56"/>
  <c r="N27" i="47"/>
  <c r="N26" i="47"/>
  <c r="K85" i="48"/>
  <c r="L121" i="8"/>
  <c r="L99" i="8"/>
  <c r="L118" i="8"/>
  <c r="L32" i="15"/>
  <c r="T139" i="56"/>
  <c r="T100" i="56"/>
  <c r="T102" i="56"/>
  <c r="T103" i="56"/>
  <c r="X84" i="10"/>
  <c r="AF268" i="11"/>
  <c r="AF252" i="11"/>
  <c r="X42" i="56"/>
  <c r="X41" i="56"/>
  <c r="X116" i="56"/>
  <c r="AD51" i="14"/>
  <c r="AD48" i="14"/>
  <c r="H18" i="56"/>
  <c r="H14" i="56"/>
  <c r="H13" i="56"/>
  <c r="AH233" i="48"/>
  <c r="AO541" i="22"/>
  <c r="AO509" i="22"/>
  <c r="AE208" i="11"/>
  <c r="AE132" i="11"/>
  <c r="D175" i="41"/>
  <c r="H175" i="41"/>
  <c r="H168" i="41"/>
  <c r="H166" i="41"/>
  <c r="AE234" i="12"/>
  <c r="AE230" i="12"/>
  <c r="AE209" i="12"/>
  <c r="AH212" i="22"/>
  <c r="AH210" i="22"/>
  <c r="D23" i="55"/>
  <c r="V14" i="47"/>
  <c r="V382" i="11"/>
  <c r="V379" i="11"/>
  <c r="L49" i="16"/>
  <c r="T210" i="12"/>
  <c r="T207" i="12"/>
  <c r="R162" i="41"/>
  <c r="R158" i="41"/>
  <c r="R156" i="41"/>
  <c r="Y119" i="12"/>
  <c r="Y118" i="12"/>
  <c r="Y108" i="12"/>
  <c r="AC135" i="12"/>
  <c r="AC65" i="12"/>
  <c r="V76" i="10"/>
  <c r="V65" i="10"/>
  <c r="X78" i="16"/>
  <c r="AG13" i="17"/>
  <c r="AG42" i="9"/>
  <c r="AG41" i="9"/>
  <c r="AL224" i="12"/>
  <c r="AH51" i="47"/>
  <c r="AH5" i="47"/>
  <c r="AR98" i="10"/>
  <c r="AR78" i="10"/>
  <c r="AR59" i="10"/>
  <c r="Q61" i="47"/>
  <c r="Q398" i="11"/>
  <c r="AH10" i="14"/>
  <c r="K91" i="48"/>
  <c r="N20" i="47"/>
  <c r="R94" i="12"/>
  <c r="L162" i="12"/>
  <c r="L141" i="12"/>
  <c r="L124" i="12"/>
  <c r="W277" i="11"/>
  <c r="AG268" i="11"/>
  <c r="AG252" i="11"/>
  <c r="AI508" i="22"/>
  <c r="O473" i="22"/>
  <c r="J101" i="43"/>
  <c r="N195" i="22"/>
  <c r="I127" i="58"/>
  <c r="N123" i="43"/>
  <c r="R13" i="55"/>
  <c r="R279" i="11"/>
  <c r="R10" i="15"/>
  <c r="R13" i="18"/>
  <c r="AH32" i="41"/>
  <c r="AH81" i="41"/>
  <c r="AH84" i="41"/>
  <c r="AK11" i="55"/>
  <c r="AL262" i="12"/>
  <c r="AK8" i="15"/>
  <c r="AK11" i="18"/>
  <c r="AF138" i="41"/>
  <c r="AF125" i="41"/>
  <c r="AL28" i="12"/>
  <c r="AK159" i="5"/>
  <c r="AL233" i="12"/>
  <c r="AL229" i="12"/>
  <c r="AD21" i="55"/>
  <c r="AD23" i="55"/>
  <c r="AD57" i="55"/>
  <c r="AD56" i="55"/>
  <c r="AV45" i="4"/>
  <c r="AJ87" i="12"/>
  <c r="AJ86" i="12"/>
  <c r="AJ72" i="12"/>
  <c r="AT84" i="10"/>
  <c r="AT79" i="10"/>
  <c r="AF34" i="3"/>
  <c r="AF33" i="16"/>
  <c r="AH53" i="15"/>
  <c r="O141" i="56"/>
  <c r="O140" i="56"/>
  <c r="AK270" i="11"/>
  <c r="AK254" i="11"/>
  <c r="P59" i="56"/>
  <c r="P58" i="56"/>
  <c r="J74" i="10"/>
  <c r="F38" i="56"/>
  <c r="AJ211" i="11"/>
  <c r="AJ135" i="11"/>
  <c r="T58" i="3"/>
  <c r="AL102" i="41"/>
  <c r="AL5" i="41"/>
  <c r="R66" i="12"/>
  <c r="R136" i="12"/>
  <c r="R195" i="12"/>
  <c r="Y233" i="12"/>
  <c r="Y229" i="12"/>
  <c r="AG74" i="10"/>
  <c r="AG82" i="47"/>
  <c r="AC38" i="56"/>
  <c r="P82" i="41"/>
  <c r="Q32" i="41"/>
  <c r="Q81" i="41"/>
  <c r="Q84" i="41"/>
  <c r="D40" i="8"/>
  <c r="O54" i="15"/>
  <c r="AH58" i="3"/>
  <c r="AL162" i="12"/>
  <c r="AL141" i="12"/>
  <c r="AL124" i="12"/>
  <c r="AL99" i="12"/>
  <c r="K59" i="16"/>
  <c r="K88" i="16"/>
  <c r="K83" i="56"/>
  <c r="Y261" i="12"/>
  <c r="Y263" i="12"/>
  <c r="Z260" i="12"/>
  <c r="AI13" i="14"/>
  <c r="AI14" i="14"/>
  <c r="AE36" i="56"/>
  <c r="AE37" i="56"/>
  <c r="AE40" i="56"/>
  <c r="AE57" i="56"/>
  <c r="AE62" i="56"/>
  <c r="AE64" i="56"/>
  <c r="L93" i="8"/>
  <c r="D93" i="8"/>
  <c r="AK133" i="22"/>
  <c r="M45" i="8"/>
  <c r="M53" i="15"/>
  <c r="AH91" i="48"/>
  <c r="AK20" i="47"/>
  <c r="AB54" i="15"/>
  <c r="AK69" i="10"/>
  <c r="AF64" i="10"/>
  <c r="AF99" i="10"/>
  <c r="O42" i="15"/>
  <c r="O36" i="15"/>
  <c r="O39" i="15"/>
  <c r="O56" i="15"/>
  <c r="AC517" i="22"/>
  <c r="D105" i="11"/>
  <c r="AI140" i="22"/>
  <c r="AI468" i="22"/>
  <c r="AI479" i="22"/>
  <c r="AF65" i="12"/>
  <c r="AF135" i="12"/>
  <c r="AF102" i="55"/>
  <c r="AF41" i="55"/>
  <c r="E24" i="12"/>
  <c r="M24" i="12"/>
  <c r="M25" i="12"/>
  <c r="Y270" i="11"/>
  <c r="Y254" i="11"/>
  <c r="Q267" i="11"/>
  <c r="Q251" i="11"/>
  <c r="W10" i="14"/>
  <c r="U33" i="16"/>
  <c r="U34" i="3"/>
  <c r="Q127" i="58"/>
  <c r="V123" i="43"/>
  <c r="O517" i="22"/>
  <c r="AF102" i="18"/>
  <c r="AF41" i="18"/>
  <c r="AC6" i="54"/>
  <c r="M24" i="58"/>
  <c r="M3" i="58"/>
  <c r="Q38" i="56"/>
  <c r="U74" i="10"/>
  <c r="U82" i="47"/>
  <c r="AF121" i="41"/>
  <c r="AF114" i="41"/>
  <c r="AF132" i="41"/>
  <c r="J25" i="11"/>
  <c r="J23" i="11"/>
  <c r="AI92" i="12"/>
  <c r="AF251" i="12"/>
  <c r="AF241" i="12"/>
  <c r="J109" i="58"/>
  <c r="J100" i="58"/>
  <c r="J107" i="58"/>
  <c r="K208" i="11"/>
  <c r="K132" i="11"/>
  <c r="D132" i="11"/>
  <c r="Z19" i="58"/>
  <c r="Z11" i="58"/>
  <c r="Z13" i="58"/>
  <c r="AG62" i="47"/>
  <c r="AG405" i="11"/>
  <c r="AG403" i="11"/>
  <c r="T84" i="41"/>
  <c r="T32" i="41"/>
  <c r="T81" i="41"/>
  <c r="S82" i="41"/>
  <c r="AG514" i="22"/>
  <c r="AF36" i="41"/>
  <c r="AF14" i="15"/>
  <c r="AF20" i="15"/>
  <c r="AF45" i="8"/>
  <c r="AF52" i="8"/>
  <c r="AF72" i="8"/>
  <c r="AF75" i="8"/>
  <c r="AF33" i="41"/>
  <c r="AF35" i="41"/>
  <c r="Y139" i="41"/>
  <c r="Y137" i="41"/>
  <c r="Y124" i="41"/>
  <c r="AF117" i="41"/>
  <c r="AF26" i="9"/>
  <c r="D16" i="18"/>
  <c r="AF58" i="3"/>
  <c r="AE74" i="10"/>
  <c r="AE82" i="47"/>
  <c r="AA38" i="56"/>
  <c r="AQ104" i="10"/>
  <c r="AQ100" i="10"/>
  <c r="AQ97" i="10"/>
  <c r="Y238" i="12"/>
  <c r="Y237" i="12"/>
  <c r="AB226" i="22"/>
  <c r="V57" i="12"/>
  <c r="V52" i="12"/>
  <c r="AB210" i="22"/>
  <c r="AB212" i="22"/>
  <c r="Y209" i="12"/>
  <c r="Y230" i="12"/>
  <c r="Y234" i="12"/>
  <c r="P165" i="12"/>
  <c r="V58" i="3"/>
  <c r="Q6" i="54"/>
  <c r="T41" i="18"/>
  <c r="T102" i="18"/>
  <c r="L110" i="41"/>
  <c r="L108" i="10"/>
  <c r="L24" i="9"/>
  <c r="L115" i="41"/>
  <c r="Q152" i="41"/>
  <c r="Q150" i="41"/>
  <c r="Y103" i="56"/>
  <c r="Y82" i="56"/>
  <c r="Y100" i="56"/>
  <c r="Y102" i="56"/>
  <c r="Y139" i="56"/>
  <c r="K46" i="17"/>
  <c r="K31" i="9"/>
  <c r="K150" i="41"/>
  <c r="AA90" i="8"/>
  <c r="M99" i="10"/>
  <c r="M64" i="10"/>
  <c r="R69" i="10"/>
  <c r="AB12" i="55"/>
  <c r="AB234" i="11"/>
  <c r="AB9" i="15"/>
  <c r="AB12" i="18"/>
  <c r="Y122" i="43"/>
  <c r="Y102" i="43"/>
  <c r="Y106" i="43"/>
  <c r="Y113" i="43"/>
  <c r="AH118" i="56"/>
  <c r="AH117" i="56"/>
  <c r="AH120" i="56"/>
  <c r="AP102" i="41"/>
  <c r="AP5" i="41"/>
  <c r="AG161" i="5"/>
  <c r="AH30" i="12"/>
  <c r="AJ82" i="47"/>
  <c r="AF38" i="56"/>
  <c r="AJ74" i="10"/>
  <c r="Q13" i="58"/>
  <c r="Q11" i="58"/>
  <c r="Q19" i="58"/>
  <c r="AB42" i="15"/>
  <c r="AB36" i="15"/>
  <c r="AB39" i="15"/>
  <c r="AB56" i="15"/>
  <c r="AG83" i="47"/>
  <c r="AG79" i="47"/>
  <c r="AD98" i="48"/>
  <c r="AG78" i="47"/>
  <c r="AG80" i="47"/>
  <c r="Y112" i="48"/>
  <c r="W7" i="58"/>
  <c r="AC55" i="12"/>
  <c r="R36" i="41"/>
  <c r="R33" i="41"/>
  <c r="R35" i="41"/>
  <c r="P85" i="48"/>
  <c r="S26" i="47"/>
  <c r="S27" i="47"/>
  <c r="O115" i="41"/>
  <c r="O108" i="10"/>
  <c r="O24" i="9"/>
  <c r="O110" i="41"/>
  <c r="D152" i="11"/>
  <c r="K375" i="11"/>
  <c r="AF10" i="55"/>
  <c r="AF16" i="55"/>
  <c r="AF42" i="55"/>
  <c r="AF103" i="55"/>
  <c r="X89" i="41"/>
  <c r="X86" i="41"/>
  <c r="X88" i="41"/>
  <c r="S165" i="22"/>
  <c r="S175" i="22"/>
  <c r="L122" i="48"/>
  <c r="L117" i="48"/>
  <c r="W58" i="3"/>
  <c r="U49" i="16"/>
  <c r="AR277" i="11"/>
  <c r="AQ5" i="5"/>
  <c r="AQ5" i="4"/>
  <c r="AQ280" i="11"/>
  <c r="AQ279" i="11"/>
  <c r="AM141" i="56"/>
  <c r="AM140" i="56"/>
  <c r="J19" i="58"/>
  <c r="J11" i="58"/>
  <c r="J13" i="58"/>
  <c r="L61" i="41"/>
  <c r="L59" i="41"/>
  <c r="L62" i="41"/>
  <c r="Z25" i="4"/>
  <c r="Z24" i="4"/>
  <c r="AI64" i="12"/>
  <c r="AI134" i="12"/>
  <c r="AI194" i="12"/>
  <c r="U84" i="10"/>
  <c r="L35" i="47"/>
  <c r="L34" i="47"/>
  <c r="Z141" i="56"/>
  <c r="Z140" i="56"/>
  <c r="AG485" i="22"/>
  <c r="AD99" i="12"/>
  <c r="AD124" i="12"/>
  <c r="AD141" i="12"/>
  <c r="AD162" i="12"/>
  <c r="M89" i="41"/>
  <c r="M86" i="41"/>
  <c r="M88" i="41"/>
  <c r="Z133" i="41"/>
  <c r="Z131" i="41"/>
  <c r="AH141" i="56"/>
  <c r="AH140" i="56"/>
  <c r="AG91" i="12"/>
  <c r="AX51" i="8"/>
  <c r="AX43" i="8"/>
  <c r="AX54" i="8"/>
  <c r="AC133" i="22"/>
  <c r="AA34" i="3"/>
  <c r="AA14" i="15"/>
  <c r="AA20" i="15"/>
  <c r="AA45" i="8"/>
  <c r="AA52" i="8"/>
  <c r="AA72" i="8"/>
  <c r="AA75" i="8"/>
  <c r="AA33" i="16"/>
  <c r="J38" i="56"/>
  <c r="N74" i="10"/>
  <c r="N82" i="47"/>
  <c r="J14" i="55"/>
  <c r="J90" i="10"/>
  <c r="J11" i="15"/>
  <c r="J14" i="18"/>
  <c r="AG232" i="12"/>
  <c r="AG228" i="12"/>
  <c r="AG231" i="12"/>
  <c r="AE23" i="14"/>
  <c r="AE104" i="10"/>
  <c r="AE100" i="10"/>
  <c r="AE97" i="10"/>
  <c r="Z38" i="56"/>
  <c r="AD82" i="47"/>
  <c r="AD74" i="10"/>
  <c r="S20" i="47"/>
  <c r="P91" i="48"/>
  <c r="V14" i="55"/>
  <c r="V90" i="10"/>
  <c r="V11" i="15"/>
  <c r="V14" i="18"/>
  <c r="AC51" i="41"/>
  <c r="AC48" i="41"/>
  <c r="AB49" i="41"/>
  <c r="AG38" i="56"/>
  <c r="AK82" i="47"/>
  <c r="AK74" i="10"/>
  <c r="AD123" i="43"/>
  <c r="Y127" i="58"/>
  <c r="V84" i="10"/>
  <c r="W39" i="47"/>
  <c r="AG103" i="56"/>
  <c r="AG82" i="56"/>
  <c r="AG100" i="56"/>
  <c r="AG102" i="56"/>
  <c r="AG139" i="56"/>
  <c r="S115" i="41"/>
  <c r="S108" i="10"/>
  <c r="S24" i="9"/>
  <c r="S110" i="41"/>
  <c r="T64" i="16"/>
  <c r="T51" i="16"/>
  <c r="T63" i="16"/>
  <c r="S39" i="47"/>
  <c r="S73" i="3"/>
  <c r="R75" i="3"/>
  <c r="R17" i="9"/>
  <c r="R76" i="3"/>
  <c r="R56" i="17"/>
  <c r="AE110" i="48"/>
  <c r="AE107" i="48"/>
  <c r="R78" i="16"/>
  <c r="X260" i="12"/>
  <c r="N15" i="55"/>
  <c r="N16" i="15"/>
  <c r="N15" i="18"/>
  <c r="V211" i="22"/>
  <c r="D179" i="11"/>
  <c r="L12" i="18"/>
  <c r="L234" i="11"/>
  <c r="L9" i="15"/>
  <c r="L12" i="55"/>
  <c r="D54" i="41"/>
  <c r="I54" i="41"/>
  <c r="I57" i="41"/>
  <c r="Z79" i="47"/>
  <c r="Z83" i="47"/>
  <c r="W98" i="48"/>
  <c r="Z78" i="47"/>
  <c r="Z80" i="47"/>
  <c r="N91" i="16"/>
  <c r="N80" i="16"/>
  <c r="N90" i="16"/>
  <c r="Q49" i="41"/>
  <c r="R48" i="41"/>
  <c r="R51" i="41"/>
  <c r="AN279" i="11"/>
  <c r="AN280" i="11"/>
  <c r="AO277" i="11"/>
  <c r="R56" i="18"/>
  <c r="R57" i="18"/>
  <c r="R23" i="18"/>
  <c r="R21" i="18"/>
  <c r="R34" i="3"/>
  <c r="R40" i="8"/>
  <c r="R46" i="8"/>
  <c r="R52" i="8"/>
  <c r="R72" i="8"/>
  <c r="R75" i="8"/>
  <c r="R33" i="16"/>
  <c r="R55" i="16"/>
  <c r="S54" i="16"/>
  <c r="S57" i="16"/>
  <c r="AD208" i="12"/>
  <c r="V64" i="16"/>
  <c r="V48" i="16"/>
  <c r="V51" i="16"/>
  <c r="V63" i="16"/>
  <c r="AA113" i="8"/>
  <c r="AA114" i="8"/>
  <c r="AA120" i="8"/>
  <c r="S78" i="41"/>
  <c r="S75" i="41"/>
  <c r="R76" i="41"/>
  <c r="M64" i="56"/>
  <c r="AH103" i="56"/>
  <c r="AH82" i="56"/>
  <c r="AH100" i="56"/>
  <c r="AH102" i="56"/>
  <c r="AH139" i="56"/>
  <c r="Q118" i="56"/>
  <c r="Q117" i="56"/>
  <c r="Q120" i="56"/>
  <c r="AC156" i="41"/>
  <c r="AC158" i="41"/>
  <c r="AC162" i="41"/>
  <c r="L224" i="12"/>
  <c r="M103" i="56"/>
  <c r="M82" i="56"/>
  <c r="M100" i="56"/>
  <c r="M102" i="56"/>
  <c r="M139" i="56"/>
  <c r="R54" i="12"/>
  <c r="L6" i="58"/>
  <c r="J115" i="41"/>
  <c r="J108" i="10"/>
  <c r="J24" i="9"/>
  <c r="J110" i="41"/>
  <c r="U231" i="12"/>
  <c r="U228" i="12"/>
  <c r="U232" i="12"/>
  <c r="Z55" i="9"/>
  <c r="I82" i="41"/>
  <c r="J81" i="41"/>
  <c r="J84" i="41"/>
  <c r="Y15" i="18"/>
  <c r="Y16" i="15"/>
  <c r="Y15" i="55"/>
  <c r="AD25" i="47"/>
  <c r="AD24" i="47"/>
  <c r="AD388" i="11"/>
  <c r="AD384" i="11"/>
  <c r="Q78" i="16"/>
  <c r="K212" i="11"/>
  <c r="K136" i="11"/>
  <c r="D136" i="11"/>
  <c r="L119" i="12"/>
  <c r="L118" i="12"/>
  <c r="L108" i="12"/>
  <c r="AB57" i="41"/>
  <c r="AB54" i="41"/>
  <c r="AA55" i="41"/>
  <c r="N55" i="9"/>
  <c r="AE99" i="10"/>
  <c r="AE64" i="10"/>
  <c r="AJ69" i="10"/>
  <c r="Y137" i="56"/>
  <c r="I18" i="9"/>
  <c r="I55" i="9"/>
  <c r="AB224" i="22"/>
  <c r="Y213" i="12"/>
  <c r="AG63" i="12"/>
  <c r="AG133" i="12"/>
  <c r="AG193" i="12"/>
  <c r="R79" i="47"/>
  <c r="R80" i="47"/>
  <c r="O98" i="48"/>
  <c r="R78" i="47"/>
  <c r="R83" i="47"/>
  <c r="K103" i="56"/>
  <c r="K100" i="56"/>
  <c r="K102" i="56"/>
  <c r="K139" i="56"/>
  <c r="O12" i="56"/>
  <c r="O8" i="56"/>
  <c r="O10" i="56"/>
  <c r="P103" i="48"/>
  <c r="AE178" i="41"/>
  <c r="AC7" i="54"/>
  <c r="AF10" i="18"/>
  <c r="AF16" i="18"/>
  <c r="AF42" i="18"/>
  <c r="AF103" i="18"/>
  <c r="AE52" i="15"/>
  <c r="M83" i="56"/>
  <c r="W28" i="12"/>
  <c r="V159" i="5"/>
  <c r="O19" i="58"/>
  <c r="O11" i="58"/>
  <c r="O13" i="58"/>
  <c r="M141" i="58"/>
  <c r="M140" i="58"/>
  <c r="AF234" i="48"/>
  <c r="AF231" i="48"/>
  <c r="AB14" i="55"/>
  <c r="AB90" i="10"/>
  <c r="AB11" i="15"/>
  <c r="AB14" i="18"/>
  <c r="R58" i="47"/>
  <c r="N18" i="47"/>
  <c r="K84" i="48"/>
  <c r="N22" i="47"/>
  <c r="AB12" i="17"/>
  <c r="AB20" i="9"/>
  <c r="AB37" i="9"/>
  <c r="AB44" i="9"/>
  <c r="W139" i="56"/>
  <c r="W82" i="56"/>
  <c r="W100" i="56"/>
  <c r="W102" i="56"/>
  <c r="W103" i="56"/>
  <c r="AI103" i="48"/>
  <c r="AF8" i="56"/>
  <c r="AF10" i="56"/>
  <c r="AF12" i="56"/>
  <c r="AO232" i="11"/>
  <c r="AN5" i="4"/>
  <c r="AN235" i="11"/>
  <c r="AN234" i="11"/>
  <c r="S90" i="16"/>
  <c r="S77" i="16"/>
  <c r="S80" i="16"/>
  <c r="S91" i="16"/>
  <c r="V11" i="55"/>
  <c r="W261" i="12"/>
  <c r="W263" i="12"/>
  <c r="W262" i="12"/>
  <c r="V8" i="15"/>
  <c r="V11" i="18"/>
  <c r="M210" i="12"/>
  <c r="M207" i="12"/>
  <c r="L35" i="9"/>
  <c r="L30" i="9"/>
  <c r="L33" i="9"/>
  <c r="L58" i="9"/>
  <c r="AC27" i="17"/>
  <c r="AC13" i="55"/>
  <c r="AC279" i="11"/>
  <c r="AC10" i="15"/>
  <c r="AC13" i="18"/>
  <c r="T76" i="41"/>
  <c r="U31" i="41"/>
  <c r="U75" i="41"/>
  <c r="U78" i="41"/>
  <c r="N51" i="14"/>
  <c r="N48" i="14"/>
  <c r="AK54" i="9"/>
  <c r="AK146" i="41"/>
  <c r="AK9" i="9"/>
  <c r="AK10" i="9"/>
  <c r="AP232" i="11"/>
  <c r="AO235" i="11"/>
  <c r="AO234" i="11"/>
  <c r="H139" i="56"/>
  <c r="H82" i="56"/>
  <c r="H100" i="56"/>
  <c r="H102" i="56"/>
  <c r="H103" i="56"/>
  <c r="AL112" i="11"/>
  <c r="AL180" i="11"/>
  <c r="AG82" i="58"/>
  <c r="AG91" i="58"/>
  <c r="D111" i="11"/>
  <c r="N121" i="8"/>
  <c r="N88" i="8"/>
  <c r="N93" i="8"/>
  <c r="N99" i="8"/>
  <c r="N118" i="8"/>
  <c r="N32" i="15"/>
  <c r="R13" i="58"/>
  <c r="R11" i="58"/>
  <c r="R19" i="58"/>
  <c r="AA139" i="56"/>
  <c r="AA100" i="56"/>
  <c r="AA102" i="56"/>
  <c r="AA103" i="56"/>
  <c r="AC35" i="9"/>
  <c r="AC30" i="9"/>
  <c r="AC33" i="9"/>
  <c r="AC58" i="9"/>
  <c r="P139" i="56"/>
  <c r="P100" i="56"/>
  <c r="P102" i="56"/>
  <c r="P103" i="56"/>
  <c r="N77" i="16"/>
  <c r="M78" i="16"/>
  <c r="K57" i="47"/>
  <c r="O488" i="22"/>
  <c r="L102" i="12"/>
  <c r="L127" i="12"/>
  <c r="L144" i="12"/>
  <c r="L165" i="12"/>
  <c r="Y61" i="41"/>
  <c r="Y59" i="41"/>
  <c r="Y62" i="41"/>
  <c r="AP64" i="16"/>
  <c r="AP59" i="16"/>
  <c r="AP63" i="16"/>
  <c r="U128" i="12"/>
  <c r="Z6" i="54"/>
  <c r="AC41" i="18"/>
  <c r="AC102" i="18"/>
  <c r="AA39" i="47"/>
  <c r="Q50" i="14"/>
  <c r="Q11" i="14"/>
  <c r="Q47" i="14"/>
  <c r="W255" i="11"/>
  <c r="AG277" i="11"/>
  <c r="AC122" i="43"/>
  <c r="AG202" i="22"/>
  <c r="AG204" i="22"/>
  <c r="AC102" i="43"/>
  <c r="AC106" i="43"/>
  <c r="AC113" i="43"/>
  <c r="AC110" i="41"/>
  <c r="AC108" i="10"/>
  <c r="AC24" i="9"/>
  <c r="AC115" i="41"/>
  <c r="AI277" i="11"/>
  <c r="L103" i="56"/>
  <c r="L82" i="56"/>
  <c r="L100" i="56"/>
  <c r="L102" i="56"/>
  <c r="L139" i="56"/>
  <c r="X13" i="18"/>
  <c r="X279" i="11"/>
  <c r="X10" i="15"/>
  <c r="X13" i="55"/>
  <c r="V139" i="56"/>
  <c r="V82" i="56"/>
  <c r="V100" i="56"/>
  <c r="V102" i="56"/>
  <c r="V103" i="56"/>
  <c r="AJ213" i="11"/>
  <c r="AJ137" i="11"/>
  <c r="M135" i="56"/>
  <c r="M36" i="56"/>
  <c r="M37" i="56"/>
  <c r="M40" i="56"/>
  <c r="M57" i="56"/>
  <c r="M62" i="56"/>
  <c r="M63" i="56"/>
  <c r="M101" i="56"/>
  <c r="Y232" i="11"/>
  <c r="C87" i="55"/>
  <c r="I87" i="55"/>
  <c r="P212" i="11"/>
  <c r="P136" i="11"/>
  <c r="K11" i="18"/>
  <c r="L262" i="12"/>
  <c r="K8" i="15"/>
  <c r="K11" i="55"/>
  <c r="L128" i="12"/>
  <c r="Z233" i="11"/>
  <c r="Z235" i="11"/>
  <c r="Z23" i="9"/>
  <c r="Z27" i="9"/>
  <c r="Z147" i="41"/>
  <c r="M76" i="41"/>
  <c r="N75" i="41"/>
  <c r="N78" i="41"/>
  <c r="V115" i="11"/>
  <c r="V183" i="11"/>
  <c r="Q85" i="58"/>
  <c r="Q94" i="58"/>
  <c r="AB232" i="12"/>
  <c r="AB228" i="12"/>
  <c r="AB231" i="12"/>
  <c r="AB175" i="22"/>
  <c r="Z176" i="12"/>
  <c r="M49" i="16"/>
  <c r="AT90" i="10"/>
  <c r="AT89" i="10"/>
  <c r="AT85" i="10"/>
  <c r="AA87" i="47"/>
  <c r="AA157" i="41"/>
  <c r="AA18" i="14"/>
  <c r="AA160" i="41"/>
  <c r="N13" i="58"/>
  <c r="N11" i="58"/>
  <c r="N19" i="58"/>
  <c r="AF25" i="10"/>
  <c r="AF24" i="10"/>
  <c r="AD60" i="56"/>
  <c r="AH23" i="15"/>
  <c r="AD9" i="56"/>
  <c r="AD20" i="47"/>
  <c r="AA91" i="48"/>
  <c r="AK61" i="41"/>
  <c r="AK59" i="41"/>
  <c r="AK62" i="41"/>
  <c r="Q15" i="18"/>
  <c r="Q16" i="15"/>
  <c r="Q15" i="55"/>
  <c r="X57" i="12"/>
  <c r="X52" i="12"/>
  <c r="R45" i="13"/>
  <c r="R39" i="13"/>
  <c r="D95" i="11"/>
  <c r="V473" i="22"/>
  <c r="V231" i="12"/>
  <c r="V228" i="12"/>
  <c r="V232" i="12"/>
  <c r="AE51" i="41"/>
  <c r="AE48" i="41"/>
  <c r="AD49" i="41"/>
  <c r="J241" i="12"/>
  <c r="AC175" i="41"/>
  <c r="AC168" i="41"/>
  <c r="AD13" i="14"/>
  <c r="AD14" i="14"/>
  <c r="AC166" i="41"/>
  <c r="Z26" i="43"/>
  <c r="Z25" i="43"/>
  <c r="L88" i="8"/>
  <c r="D88" i="8"/>
  <c r="N127" i="58"/>
  <c r="S123" i="43"/>
  <c r="R8" i="14"/>
  <c r="M125" i="58"/>
  <c r="P63" i="16"/>
  <c r="P51" i="16"/>
  <c r="P64" i="16"/>
  <c r="Q78" i="41"/>
  <c r="Q75" i="41"/>
  <c r="P76" i="41"/>
  <c r="F20" i="58"/>
  <c r="F8" i="58"/>
  <c r="D109" i="58"/>
  <c r="T103" i="48"/>
  <c r="S18" i="56"/>
  <c r="S8" i="56"/>
  <c r="S10" i="56"/>
  <c r="S12" i="56"/>
  <c r="AE27" i="17"/>
  <c r="AL234" i="12"/>
  <c r="AL230" i="12"/>
  <c r="AL209" i="12"/>
  <c r="AO212" i="22"/>
  <c r="AO210" i="22"/>
  <c r="AD31" i="47"/>
  <c r="AA92" i="48"/>
  <c r="AD32" i="47"/>
  <c r="AD30" i="47"/>
  <c r="AA86" i="48"/>
  <c r="N35" i="41"/>
  <c r="N33" i="41"/>
  <c r="N36" i="41"/>
  <c r="P20" i="47"/>
  <c r="M91" i="48"/>
  <c r="W231" i="12"/>
  <c r="W228" i="12"/>
  <c r="W232" i="12"/>
  <c r="AQ277" i="11"/>
  <c r="AP280" i="11"/>
  <c r="AP279" i="11"/>
  <c r="G60" i="56"/>
  <c r="K45" i="8"/>
  <c r="K52" i="8"/>
  <c r="K72" i="8"/>
  <c r="K23" i="15"/>
  <c r="G9" i="56"/>
  <c r="AI89" i="58"/>
  <c r="G80" i="58"/>
  <c r="G89" i="58"/>
  <c r="AH89" i="58"/>
  <c r="S160" i="41"/>
  <c r="S157" i="41"/>
  <c r="S18" i="14"/>
  <c r="S87" i="47"/>
  <c r="P9" i="56"/>
  <c r="T23" i="15"/>
  <c r="P60" i="56"/>
  <c r="AB103" i="48"/>
  <c r="Y8" i="56"/>
  <c r="Y10" i="56"/>
  <c r="Y12" i="56"/>
  <c r="AK95" i="12"/>
  <c r="AK90" i="12"/>
  <c r="U61" i="47"/>
  <c r="U398" i="11"/>
  <c r="V62" i="41"/>
  <c r="V59" i="41"/>
  <c r="V61" i="41"/>
  <c r="O102" i="18"/>
  <c r="O41" i="18"/>
  <c r="L6" i="54"/>
  <c r="J99" i="10"/>
  <c r="J64" i="10"/>
  <c r="O69" i="10"/>
  <c r="R27" i="17"/>
  <c r="AK75" i="41"/>
  <c r="AK31" i="41"/>
  <c r="AK48" i="41"/>
  <c r="AF255" i="11"/>
  <c r="V10" i="14"/>
  <c r="AM537" i="22"/>
  <c r="AM542" i="22"/>
  <c r="AA85" i="48"/>
  <c r="AD26" i="47"/>
  <c r="AD27" i="47"/>
  <c r="Y56" i="17"/>
  <c r="Z73" i="3"/>
  <c r="Y17" i="9"/>
  <c r="Y59" i="3"/>
  <c r="Y70" i="3"/>
  <c r="Y76" i="3"/>
  <c r="Y75" i="3"/>
  <c r="AF13" i="55"/>
  <c r="AF280" i="11"/>
  <c r="AF279" i="11"/>
  <c r="AF10" i="15"/>
  <c r="AF13" i="18"/>
  <c r="T39" i="47"/>
  <c r="AI50" i="58"/>
  <c r="K152" i="11"/>
  <c r="F40" i="58"/>
  <c r="F50" i="58"/>
  <c r="AH50" i="58"/>
  <c r="X280" i="11"/>
  <c r="Y277" i="11"/>
  <c r="AH15" i="18"/>
  <c r="AH16" i="15"/>
  <c r="AH15" i="55"/>
  <c r="AO485" i="22"/>
  <c r="AO514" i="22"/>
  <c r="R50" i="14"/>
  <c r="R11" i="14"/>
  <c r="R47" i="14"/>
  <c r="X49" i="41"/>
  <c r="Y48" i="41"/>
  <c r="Y51" i="41"/>
  <c r="J47" i="14"/>
  <c r="J11" i="14"/>
  <c r="J50" i="14"/>
  <c r="Y78" i="41"/>
  <c r="Y31" i="41"/>
  <c r="Y75" i="41"/>
  <c r="X76" i="41"/>
  <c r="Z11" i="18"/>
  <c r="AA262" i="12"/>
  <c r="Z8" i="15"/>
  <c r="Z11" i="55"/>
  <c r="AS63" i="16"/>
  <c r="AS59" i="16"/>
  <c r="AS64" i="16"/>
  <c r="AA12" i="55"/>
  <c r="AA234" i="11"/>
  <c r="AA9" i="15"/>
  <c r="AA12" i="18"/>
  <c r="P12" i="55"/>
  <c r="P234" i="11"/>
  <c r="P9" i="15"/>
  <c r="P12" i="18"/>
  <c r="M87" i="47"/>
  <c r="M157" i="41"/>
  <c r="M18" i="14"/>
  <c r="M160" i="41"/>
  <c r="AF125" i="56"/>
  <c r="AF82" i="56"/>
  <c r="AF84" i="56"/>
  <c r="AF85" i="56"/>
  <c r="AD59" i="56"/>
  <c r="AD58" i="56"/>
  <c r="L64" i="16"/>
  <c r="L51" i="16"/>
  <c r="L63" i="16"/>
  <c r="W161" i="11"/>
  <c r="W160" i="11"/>
  <c r="W158" i="11"/>
  <c r="Z14" i="18"/>
  <c r="Z90" i="10"/>
  <c r="Z11" i="15"/>
  <c r="Z14" i="55"/>
  <c r="AF140" i="22"/>
  <c r="AF468" i="22"/>
  <c r="AF479" i="22"/>
  <c r="AF508" i="22"/>
  <c r="AK103" i="48"/>
  <c r="AH8" i="56"/>
  <c r="AH10" i="56"/>
  <c r="AH12" i="56"/>
  <c r="AD78" i="41"/>
  <c r="AD75" i="41"/>
  <c r="AC76" i="41"/>
  <c r="V32" i="47"/>
  <c r="V31" i="47"/>
  <c r="S92" i="48"/>
  <c r="V30" i="47"/>
  <c r="S86" i="48"/>
  <c r="R15" i="55"/>
  <c r="R16" i="15"/>
  <c r="R15" i="18"/>
  <c r="AG14" i="18"/>
  <c r="AG90" i="10"/>
  <c r="AG11" i="15"/>
  <c r="AG14" i="55"/>
  <c r="AH13" i="55"/>
  <c r="AH266" i="11"/>
  <c r="AH271" i="11"/>
  <c r="AH278" i="11"/>
  <c r="AH280" i="11"/>
  <c r="AH279" i="11"/>
  <c r="AH10" i="15"/>
  <c r="AH13" i="18"/>
  <c r="AK208" i="12"/>
  <c r="AA122" i="43"/>
  <c r="AA102" i="43"/>
  <c r="AA106" i="43"/>
  <c r="AA113" i="43"/>
  <c r="AL120" i="56"/>
  <c r="AL117" i="56"/>
  <c r="AL118" i="56"/>
  <c r="M32" i="15"/>
  <c r="M88" i="8"/>
  <c r="M93" i="8"/>
  <c r="M99" i="8"/>
  <c r="M118" i="8"/>
  <c r="M121" i="8"/>
  <c r="X12" i="55"/>
  <c r="X234" i="11"/>
  <c r="X9" i="15"/>
  <c r="X12" i="18"/>
  <c r="U103" i="56"/>
  <c r="U82" i="56"/>
  <c r="U100" i="56"/>
  <c r="U102" i="56"/>
  <c r="U139" i="56"/>
  <c r="AE31" i="47"/>
  <c r="AB92" i="48"/>
  <c r="AB86" i="48"/>
  <c r="AE30" i="47"/>
  <c r="AE32" i="47"/>
  <c r="P103" i="55"/>
  <c r="L261" i="12"/>
  <c r="L263" i="12"/>
  <c r="M260" i="12"/>
  <c r="X232" i="12"/>
  <c r="X228" i="12"/>
  <c r="X231" i="12"/>
  <c r="U17" i="9"/>
  <c r="U75" i="3"/>
  <c r="U56" i="17"/>
  <c r="U76" i="3"/>
  <c r="V73" i="3"/>
  <c r="AI122" i="43"/>
  <c r="AI102" i="43"/>
  <c r="AI106" i="43"/>
  <c r="AI113" i="43"/>
  <c r="K64" i="56"/>
  <c r="R280" i="11"/>
  <c r="S277" i="11"/>
  <c r="O255" i="11"/>
  <c r="N99" i="10"/>
  <c r="N64" i="10"/>
  <c r="S69" i="10"/>
  <c r="AC12" i="55"/>
  <c r="AC234" i="11"/>
  <c r="AC9" i="15"/>
  <c r="AC12" i="18"/>
  <c r="AR79" i="10"/>
  <c r="AR65" i="10"/>
  <c r="AR76" i="10"/>
  <c r="AR77" i="10"/>
  <c r="AR84" i="10"/>
  <c r="O91" i="12"/>
  <c r="N35" i="16"/>
  <c r="AU234" i="11"/>
  <c r="AU235" i="11"/>
  <c r="AV232" i="11"/>
  <c r="N44" i="9"/>
  <c r="N18" i="9"/>
  <c r="N20" i="9"/>
  <c r="N37" i="9"/>
  <c r="N12" i="17"/>
  <c r="AO148" i="22"/>
  <c r="AO211" i="22"/>
  <c r="L57" i="41"/>
  <c r="L54" i="41"/>
  <c r="K55" i="41"/>
  <c r="N225" i="12"/>
  <c r="Y25" i="3"/>
  <c r="Y24" i="3"/>
  <c r="AF51" i="41"/>
  <c r="AF48" i="41"/>
  <c r="AE49" i="41"/>
  <c r="O42" i="3"/>
  <c r="O40" i="3"/>
  <c r="O37" i="3"/>
  <c r="D126" i="11"/>
  <c r="Q234" i="48"/>
  <c r="Q231" i="48"/>
  <c r="L135" i="12"/>
  <c r="L65" i="12"/>
  <c r="T233" i="12"/>
  <c r="T229" i="12"/>
  <c r="AL34" i="3"/>
  <c r="AL75" i="8"/>
  <c r="AD37" i="47"/>
  <c r="AD41" i="47"/>
  <c r="AD42" i="47"/>
  <c r="K26" i="9"/>
  <c r="K117" i="41"/>
  <c r="AC70" i="12"/>
  <c r="AC76" i="12"/>
  <c r="AC77" i="12"/>
  <c r="AF250" i="11"/>
  <c r="AF266" i="11"/>
  <c r="AF271" i="11"/>
  <c r="AF278" i="11"/>
  <c r="AF10" i="14"/>
  <c r="AB148" i="22"/>
  <c r="AB211" i="22"/>
  <c r="Q39" i="47"/>
  <c r="W26" i="43"/>
  <c r="W25" i="43"/>
  <c r="M166" i="41"/>
  <c r="M168" i="41"/>
  <c r="M175" i="41"/>
  <c r="D10" i="15"/>
  <c r="Q113" i="43"/>
  <c r="Q102" i="43"/>
  <c r="Q106" i="43"/>
  <c r="Q122" i="43"/>
  <c r="AA75" i="3"/>
  <c r="AA17" i="9"/>
  <c r="AA56" i="17"/>
  <c r="AA76" i="3"/>
  <c r="AB73" i="3"/>
  <c r="D117" i="56"/>
  <c r="E120" i="56"/>
  <c r="E117" i="56"/>
  <c r="E118" i="56"/>
  <c r="AK118" i="56"/>
  <c r="AK117" i="56"/>
  <c r="AK120" i="56"/>
  <c r="AC82" i="41"/>
  <c r="AD81" i="41"/>
  <c r="AD84" i="41"/>
  <c r="W21" i="55"/>
  <c r="W23" i="55"/>
  <c r="W57" i="55"/>
  <c r="W56" i="55"/>
  <c r="AP5" i="17"/>
  <c r="AP5" i="13"/>
  <c r="AP5" i="16"/>
  <c r="AP5" i="55"/>
  <c r="AP5" i="3"/>
  <c r="AP5" i="8"/>
  <c r="AP5" i="18"/>
  <c r="AP5" i="43"/>
  <c r="AP5" i="10"/>
  <c r="AP5" i="11"/>
  <c r="V13" i="18"/>
  <c r="V250" i="11"/>
  <c r="V266" i="11"/>
  <c r="V271" i="11"/>
  <c r="V278" i="11"/>
  <c r="V280" i="11"/>
  <c r="V279" i="11"/>
  <c r="V10" i="15"/>
  <c r="V13" i="55"/>
  <c r="O175" i="22"/>
  <c r="AQ46" i="4"/>
  <c r="AQ47" i="4"/>
  <c r="AQ52" i="4"/>
  <c r="M80" i="47"/>
  <c r="M83" i="47"/>
  <c r="J98" i="48"/>
  <c r="M78" i="47"/>
  <c r="M79" i="47"/>
  <c r="Q7" i="54"/>
  <c r="T103" i="18"/>
  <c r="T10" i="18"/>
  <c r="T16" i="18"/>
  <c r="T42" i="18"/>
  <c r="S178" i="41"/>
  <c r="AC10" i="14"/>
  <c r="AF73" i="3"/>
  <c r="AE75" i="3"/>
  <c r="AE17" i="9"/>
  <c r="AE76" i="3"/>
  <c r="AE56" i="17"/>
  <c r="T87" i="47"/>
  <c r="T160" i="41"/>
  <c r="T18" i="14"/>
  <c r="T157" i="41"/>
  <c r="X51" i="41"/>
  <c r="X48" i="41"/>
  <c r="W49" i="41"/>
  <c r="I78" i="41"/>
  <c r="I75" i="41"/>
  <c r="D75" i="41"/>
  <c r="P48" i="16"/>
  <c r="O49" i="16"/>
  <c r="L56" i="12"/>
  <c r="H111" i="48"/>
  <c r="H228" i="48"/>
  <c r="M60" i="4"/>
  <c r="M62" i="4"/>
  <c r="AA85" i="56"/>
  <c r="AA82" i="56"/>
  <c r="AA84" i="56"/>
  <c r="AA125" i="56"/>
  <c r="W12" i="18"/>
  <c r="W234" i="11"/>
  <c r="W9" i="15"/>
  <c r="W12" i="55"/>
  <c r="AB19" i="2"/>
  <c r="F305" i="1"/>
  <c r="AB10" i="2"/>
  <c r="AB28" i="2"/>
  <c r="D111" i="56"/>
  <c r="O14" i="19"/>
  <c r="G15" i="2"/>
  <c r="L73" i="3"/>
  <c r="K17" i="9"/>
  <c r="K75" i="3"/>
  <c r="K76" i="3"/>
  <c r="K56" i="17"/>
  <c r="O83" i="47"/>
  <c r="L98" i="48"/>
  <c r="O80" i="47"/>
  <c r="O78" i="47"/>
  <c r="O79" i="47"/>
  <c r="P32" i="47"/>
  <c r="M92" i="48"/>
  <c r="M86" i="48"/>
  <c r="P30" i="47"/>
  <c r="P31" i="47"/>
  <c r="K101" i="56"/>
  <c r="K36" i="56"/>
  <c r="K37" i="56"/>
  <c r="K40" i="56"/>
  <c r="K57" i="56"/>
  <c r="K62" i="56"/>
  <c r="K63" i="56"/>
  <c r="K135" i="56"/>
  <c r="J8" i="14"/>
  <c r="E125" i="58"/>
  <c r="AB18" i="9"/>
  <c r="AB55" i="9"/>
  <c r="U14" i="55"/>
  <c r="U90" i="10"/>
  <c r="U11" i="15"/>
  <c r="U14" i="18"/>
  <c r="N31" i="47"/>
  <c r="K92" i="48"/>
  <c r="K86" i="48"/>
  <c r="N42" i="43"/>
  <c r="N44" i="43"/>
  <c r="N68" i="43"/>
  <c r="N71" i="43"/>
  <c r="N121" i="43"/>
  <c r="N12" i="47"/>
  <c r="N15" i="47"/>
  <c r="N17" i="47"/>
  <c r="N30" i="47"/>
  <c r="N32" i="47"/>
  <c r="AW76" i="41"/>
  <c r="AN76" i="41"/>
  <c r="AJ76" i="41"/>
  <c r="AG78" i="41"/>
  <c r="AO76" i="41"/>
  <c r="AR76" i="41"/>
  <c r="AG76" i="41"/>
  <c r="AM76" i="41"/>
  <c r="AT76" i="41"/>
  <c r="AK76" i="41"/>
  <c r="AI76" i="41"/>
  <c r="AP76" i="41"/>
  <c r="AH76" i="41"/>
  <c r="AQ76" i="41"/>
  <c r="AU76" i="41"/>
  <c r="AF76" i="41"/>
  <c r="AV76" i="41"/>
  <c r="AS76" i="41"/>
  <c r="AG75" i="41"/>
  <c r="AL76" i="41"/>
  <c r="AF55" i="41"/>
  <c r="AG57" i="41"/>
  <c r="AH55" i="41"/>
  <c r="AG55" i="41"/>
  <c r="AP55" i="41"/>
  <c r="AW55" i="41"/>
  <c r="AL55" i="41"/>
  <c r="AU55" i="41"/>
  <c r="AQ55" i="41"/>
  <c r="AT55" i="41"/>
  <c r="AN55" i="41"/>
  <c r="AI55" i="41"/>
  <c r="AM55" i="41"/>
  <c r="AK55" i="41"/>
  <c r="AV55" i="41"/>
  <c r="AJ55" i="41"/>
  <c r="AR55" i="41"/>
  <c r="AS55" i="41"/>
  <c r="AG54" i="41"/>
  <c r="AO55" i="41"/>
  <c r="AN49" i="41"/>
  <c r="AK49" i="41"/>
  <c r="AS49" i="41"/>
  <c r="AI49" i="41"/>
  <c r="AF49" i="41"/>
  <c r="AG51" i="41"/>
  <c r="AR49" i="41"/>
  <c r="AJ49" i="41"/>
  <c r="AM49" i="41"/>
  <c r="AL49" i="41"/>
  <c r="AU49" i="41"/>
  <c r="AV49" i="41"/>
  <c r="AP49" i="41"/>
  <c r="AH49" i="41"/>
  <c r="AQ49" i="41"/>
  <c r="AG49" i="41"/>
  <c r="AT49" i="41"/>
  <c r="AW49" i="41"/>
  <c r="AG31" i="41"/>
  <c r="AG48" i="41"/>
  <c r="AO49" i="41"/>
  <c r="M64" i="16"/>
  <c r="M48" i="16"/>
  <c r="M51" i="16"/>
  <c r="M63" i="16"/>
  <c r="X14" i="55"/>
  <c r="X90" i="10"/>
  <c r="X11" i="15"/>
  <c r="X14" i="18"/>
  <c r="AJ79" i="16"/>
  <c r="AJ56" i="9"/>
  <c r="AJ56" i="16"/>
  <c r="AJ56" i="41"/>
  <c r="AJ77" i="41"/>
  <c r="AJ111" i="41"/>
  <c r="AJ83" i="41"/>
  <c r="AJ15" i="9"/>
  <c r="AJ85" i="16"/>
  <c r="S79" i="47"/>
  <c r="P98" i="48"/>
  <c r="S83" i="47"/>
  <c r="S78" i="47"/>
  <c r="S80" i="47"/>
  <c r="AG53" i="12"/>
  <c r="AA5" i="58"/>
  <c r="AC227" i="48"/>
  <c r="AC108" i="48"/>
  <c r="Q74" i="10"/>
  <c r="M38" i="56"/>
  <c r="Q82" i="47"/>
  <c r="L7" i="54"/>
  <c r="N178" i="41"/>
  <c r="O10" i="18"/>
  <c r="O16" i="18"/>
  <c r="O42" i="18"/>
  <c r="O103" i="18"/>
  <c r="AC278" i="11"/>
  <c r="AC280" i="11"/>
  <c r="AD277" i="11"/>
  <c r="AH12" i="18"/>
  <c r="AH234" i="11"/>
  <c r="AH9" i="15"/>
  <c r="AH12" i="55"/>
  <c r="AY51" i="8"/>
  <c r="AY54" i="8"/>
  <c r="AY53" i="8"/>
  <c r="AW53" i="8"/>
  <c r="AX49" i="8"/>
  <c r="AX53" i="8"/>
  <c r="AY49" i="8"/>
  <c r="AY43" i="8"/>
  <c r="Q31" i="9"/>
  <c r="Q46" i="17"/>
  <c r="AC84" i="10"/>
  <c r="AB178" i="41"/>
  <c r="Z7" i="54"/>
  <c r="AC10" i="18"/>
  <c r="AC16" i="18"/>
  <c r="AC42" i="18"/>
  <c r="AC103" i="18"/>
  <c r="AE110" i="41"/>
  <c r="AE108" i="10"/>
  <c r="AE24" i="9"/>
  <c r="AE115" i="41"/>
  <c r="AA84" i="48"/>
  <c r="AD22" i="47"/>
  <c r="AD42" i="43"/>
  <c r="AD44" i="43"/>
  <c r="AD68" i="43"/>
  <c r="AD71" i="43"/>
  <c r="AD121" i="43"/>
  <c r="AD12" i="47"/>
  <c r="AD15" i="47"/>
  <c r="AD17" i="47"/>
  <c r="AD18" i="47"/>
  <c r="AC80" i="47"/>
  <c r="Z98" i="48"/>
  <c r="AC79" i="47"/>
  <c r="AC78" i="47"/>
  <c r="AC83" i="47"/>
  <c r="K125" i="56"/>
  <c r="K82" i="56"/>
  <c r="K84" i="56"/>
  <c r="K85" i="56"/>
  <c r="AH90" i="58"/>
  <c r="L111" i="11"/>
  <c r="L179" i="11"/>
  <c r="G81" i="58"/>
  <c r="G90" i="58"/>
  <c r="AI90" i="58"/>
  <c r="AH49" i="58"/>
  <c r="F49" i="58"/>
  <c r="AI49" i="58"/>
  <c r="X278" i="11"/>
  <c r="X10" i="14"/>
  <c r="AL12" i="18"/>
  <c r="AL232" i="11"/>
  <c r="AL234" i="11"/>
  <c r="AL9" i="15"/>
  <c r="AL12" i="55"/>
  <c r="M115" i="41"/>
  <c r="M108" i="10"/>
  <c r="M24" i="9"/>
  <c r="M110" i="41"/>
  <c r="V121" i="8"/>
  <c r="V74" i="3"/>
  <c r="V26" i="15"/>
  <c r="V29" i="15"/>
  <c r="V92" i="8"/>
  <c r="V99" i="8"/>
  <c r="V118" i="8"/>
  <c r="V32" i="15"/>
  <c r="AH72" i="58"/>
  <c r="G63" i="58"/>
  <c r="G72" i="58"/>
  <c r="AI72" i="58"/>
  <c r="K213" i="11"/>
  <c r="K137" i="11"/>
  <c r="D137" i="11"/>
  <c r="J82" i="41"/>
  <c r="K81" i="41"/>
  <c r="K84" i="41"/>
  <c r="X79" i="47"/>
  <c r="U98" i="48"/>
  <c r="X80" i="47"/>
  <c r="X78" i="47"/>
  <c r="X83" i="47"/>
  <c r="T98" i="48"/>
  <c r="W83" i="47"/>
  <c r="W80" i="47"/>
  <c r="W78" i="47"/>
  <c r="W79" i="47"/>
  <c r="U88" i="41"/>
  <c r="U86" i="41"/>
  <c r="U89" i="41"/>
  <c r="F125" i="56"/>
  <c r="F82" i="56"/>
  <c r="F84" i="56"/>
  <c r="F85" i="56"/>
  <c r="N75" i="3"/>
  <c r="N17" i="9"/>
  <c r="O73" i="3"/>
  <c r="N76" i="3"/>
  <c r="N56" i="17"/>
  <c r="Y90" i="16"/>
  <c r="Y31" i="16"/>
  <c r="Y77" i="16"/>
  <c r="Y80" i="16"/>
  <c r="Y91" i="16"/>
  <c r="N57" i="12"/>
  <c r="N52" i="12"/>
  <c r="AD64" i="16"/>
  <c r="AD59" i="16"/>
  <c r="AD63" i="16"/>
  <c r="O88" i="41"/>
  <c r="O86" i="41"/>
  <c r="O89" i="41"/>
  <c r="Q98" i="48"/>
  <c r="T79" i="47"/>
  <c r="T80" i="47"/>
  <c r="T78" i="47"/>
  <c r="T83" i="47"/>
  <c r="L48" i="16"/>
  <c r="K49" i="16"/>
  <c r="AI115" i="41"/>
  <c r="AI108" i="10"/>
  <c r="AI24" i="9"/>
  <c r="AI110" i="41"/>
  <c r="X265" i="22"/>
  <c r="X274" i="22"/>
  <c r="X277" i="22"/>
  <c r="AH148" i="22"/>
  <c r="AH211" i="22"/>
  <c r="AG63" i="16"/>
  <c r="AG59" i="16"/>
  <c r="AG64" i="16"/>
  <c r="L87" i="47"/>
  <c r="L160" i="41"/>
  <c r="L18" i="14"/>
  <c r="L157" i="41"/>
  <c r="AN202" i="22"/>
  <c r="AN204" i="22"/>
  <c r="AK229" i="12"/>
  <c r="AK233" i="12"/>
  <c r="K51" i="41"/>
  <c r="K31" i="41"/>
  <c r="K48" i="41"/>
  <c r="J49" i="41"/>
  <c r="V84" i="16"/>
  <c r="W83" i="16"/>
  <c r="W86" i="16"/>
  <c r="AH85" i="48"/>
  <c r="AK26" i="47"/>
  <c r="AK27" i="47"/>
  <c r="S51" i="41"/>
  <c r="S31" i="41"/>
  <c r="S48" i="41"/>
  <c r="R49" i="41"/>
  <c r="AV61" i="13"/>
  <c r="AV39" i="13"/>
  <c r="AV41" i="13"/>
  <c r="AV59" i="13"/>
  <c r="AV60" i="13"/>
  <c r="AI83" i="47"/>
  <c r="AI79" i="47"/>
  <c r="AI80" i="47"/>
  <c r="AI78" i="47"/>
  <c r="AF98" i="48"/>
  <c r="Z103" i="56"/>
  <c r="Z82" i="56"/>
  <c r="Z100" i="56"/>
  <c r="Z102" i="56"/>
  <c r="Z139" i="56"/>
  <c r="AO62" i="41"/>
  <c r="AO59" i="41"/>
  <c r="AO61" i="41"/>
  <c r="I7" i="58"/>
  <c r="O55" i="12"/>
  <c r="R140" i="22"/>
  <c r="K112" i="48"/>
  <c r="AE217" i="11"/>
  <c r="AE216" i="11"/>
  <c r="P10" i="55"/>
  <c r="P16" i="55"/>
  <c r="P42" i="55"/>
  <c r="P41" i="55"/>
  <c r="P102" i="55"/>
  <c r="AA261" i="12"/>
  <c r="AA263" i="12"/>
  <c r="AB260" i="12"/>
  <c r="AE79" i="47"/>
  <c r="AE83" i="47"/>
  <c r="AE80" i="47"/>
  <c r="AE78" i="47"/>
  <c r="AB98" i="48"/>
  <c r="AL13" i="18"/>
  <c r="AL277" i="11"/>
  <c r="AL279" i="11"/>
  <c r="AL10" i="15"/>
  <c r="AL13" i="55"/>
  <c r="U49" i="41"/>
  <c r="V48" i="41"/>
  <c r="V51" i="41"/>
  <c r="I48" i="14"/>
  <c r="I51" i="14"/>
  <c r="AA118" i="56"/>
  <c r="AA117" i="56"/>
  <c r="AA120" i="56"/>
  <c r="Z44" i="9"/>
  <c r="Z18" i="9"/>
  <c r="Z20" i="9"/>
  <c r="Z37" i="9"/>
  <c r="Z12" i="17"/>
  <c r="K88" i="41"/>
  <c r="K86" i="41"/>
  <c r="K89" i="41"/>
  <c r="I55" i="41"/>
  <c r="J32" i="41"/>
  <c r="J54" i="41"/>
  <c r="J57" i="41"/>
  <c r="T55" i="16"/>
  <c r="U54" i="16"/>
  <c r="U57" i="16"/>
  <c r="O63" i="12"/>
  <c r="O133" i="12"/>
  <c r="O193" i="12"/>
  <c r="R90" i="16"/>
  <c r="R77" i="16"/>
  <c r="R80" i="16"/>
  <c r="R91" i="16"/>
  <c r="AI53" i="12"/>
  <c r="AE108" i="48"/>
  <c r="AC5" i="58"/>
  <c r="AE227" i="48"/>
  <c r="N64" i="16"/>
  <c r="N31" i="16"/>
  <c r="N48" i="16"/>
  <c r="N51" i="16"/>
  <c r="N63" i="16"/>
  <c r="AT65" i="10"/>
  <c r="AT76" i="10"/>
  <c r="AT77" i="10"/>
  <c r="AT80" i="10"/>
  <c r="AT83" i="10"/>
  <c r="AT28" i="17"/>
  <c r="W70" i="12"/>
  <c r="W76" i="12"/>
  <c r="W77" i="12"/>
  <c r="U35" i="41"/>
  <c r="U45" i="8"/>
  <c r="U52" i="8"/>
  <c r="U72" i="8"/>
  <c r="U75" i="8"/>
  <c r="U33" i="41"/>
  <c r="U36" i="41"/>
  <c r="AF63" i="16"/>
  <c r="AF59" i="16"/>
  <c r="AF64" i="16"/>
  <c r="AJ14" i="18"/>
  <c r="AJ90" i="10"/>
  <c r="AJ11" i="15"/>
  <c r="AJ14" i="55"/>
  <c r="AC86" i="16"/>
  <c r="AC83" i="16"/>
  <c r="AB84" i="16"/>
  <c r="N203" i="12"/>
  <c r="N222" i="12"/>
  <c r="N242" i="12"/>
  <c r="N252" i="12"/>
  <c r="T15" i="18"/>
  <c r="T16" i="15"/>
  <c r="T15" i="55"/>
  <c r="S99" i="10"/>
  <c r="S64" i="10"/>
  <c r="X69" i="10"/>
  <c r="AA232" i="12"/>
  <c r="AA228" i="12"/>
  <c r="AA231" i="12"/>
  <c r="T106" i="12"/>
  <c r="T112" i="12"/>
  <c r="T113" i="12"/>
  <c r="V148" i="22"/>
  <c r="V210" i="22"/>
  <c r="V212" i="22"/>
  <c r="S209" i="12"/>
  <c r="S230" i="12"/>
  <c r="S234" i="12"/>
  <c r="AA60" i="16"/>
  <c r="AA59" i="16"/>
  <c r="AA64" i="16"/>
  <c r="AJ25" i="3"/>
  <c r="AJ24" i="3"/>
  <c r="X537" i="22"/>
  <c r="X542" i="22"/>
  <c r="O468" i="22"/>
  <c r="O479" i="22"/>
  <c r="O508" i="22"/>
  <c r="I84" i="16"/>
  <c r="J83" i="16"/>
  <c r="J86" i="16"/>
  <c r="Y136" i="56"/>
  <c r="D137" i="56"/>
  <c r="O23" i="19"/>
  <c r="G32" i="2"/>
  <c r="H81" i="2"/>
  <c r="AB207" i="11"/>
  <c r="AB131" i="11"/>
  <c r="AU45" i="4"/>
  <c r="M59" i="56"/>
  <c r="M58" i="56"/>
  <c r="O145" i="12"/>
  <c r="I280" i="11"/>
  <c r="I279" i="11"/>
  <c r="I10" i="15"/>
  <c r="I13" i="18"/>
  <c r="D13" i="18"/>
  <c r="X277" i="11"/>
  <c r="V58" i="47"/>
  <c r="AD110" i="58"/>
  <c r="AD101" i="58"/>
  <c r="AL145" i="12"/>
  <c r="Z25" i="41"/>
  <c r="Z24" i="41"/>
  <c r="T23" i="14"/>
  <c r="T104" i="10"/>
  <c r="T100" i="10"/>
  <c r="T97" i="10"/>
  <c r="Q232" i="11"/>
  <c r="S120" i="41"/>
  <c r="Q53" i="15"/>
  <c r="Q45" i="8"/>
  <c r="W83" i="56"/>
  <c r="AD23" i="14"/>
  <c r="AD104" i="10"/>
  <c r="AD100" i="10"/>
  <c r="AD97" i="10"/>
  <c r="AS84" i="41"/>
  <c r="AS82" i="41"/>
  <c r="AD127" i="58"/>
  <c r="AI123" i="43"/>
  <c r="AL28" i="17"/>
  <c r="X25" i="16"/>
  <c r="X24" i="16"/>
  <c r="K115" i="58"/>
  <c r="K106" i="58"/>
  <c r="AK25" i="12"/>
  <c r="AK24" i="12"/>
  <c r="L95" i="12"/>
  <c r="L90" i="12"/>
  <c r="D16" i="15"/>
  <c r="M88" i="16"/>
  <c r="M59" i="16"/>
  <c r="W147" i="41"/>
  <c r="W27" i="9"/>
  <c r="Y28" i="12"/>
  <c r="X159" i="5"/>
  <c r="AP133" i="22"/>
  <c r="V260" i="12"/>
  <c r="AU90" i="10"/>
  <c r="AU89" i="10"/>
  <c r="AU85" i="10"/>
  <c r="O232" i="11"/>
  <c r="S188" i="11"/>
  <c r="S187" i="11"/>
  <c r="S185" i="11"/>
  <c r="Y52" i="15"/>
  <c r="R40" i="47"/>
  <c r="K60" i="47"/>
  <c r="K114" i="43"/>
  <c r="K112" i="43"/>
  <c r="O165" i="22"/>
  <c r="K92" i="43"/>
  <c r="K96" i="43"/>
  <c r="M79" i="10"/>
  <c r="N233" i="12"/>
  <c r="N229" i="12"/>
  <c r="P176" i="12"/>
  <c r="N34" i="3"/>
  <c r="N40" i="8"/>
  <c r="N46" i="8"/>
  <c r="N52" i="8"/>
  <c r="N72" i="8"/>
  <c r="N75" i="8"/>
  <c r="N33" i="16"/>
  <c r="AK123" i="43"/>
  <c r="AF127" i="58"/>
  <c r="M195" i="12"/>
  <c r="M136" i="12"/>
  <c r="Z224" i="12"/>
  <c r="Y175" i="41"/>
  <c r="Y168" i="41"/>
  <c r="Y166" i="41"/>
  <c r="S109" i="41"/>
  <c r="S131" i="41"/>
  <c r="S133" i="41"/>
  <c r="R252" i="12"/>
  <c r="R242" i="12"/>
  <c r="AL39" i="13"/>
  <c r="AG127" i="58"/>
  <c r="AL123" i="43"/>
  <c r="P175" i="41"/>
  <c r="P168" i="41"/>
  <c r="P166" i="41"/>
  <c r="D32" i="41"/>
  <c r="K138" i="58"/>
  <c r="K137" i="58"/>
  <c r="Y232" i="48"/>
  <c r="AF538" i="22"/>
  <c r="AF506" i="22"/>
  <c r="AL147" i="41"/>
  <c r="AL27" i="9"/>
  <c r="H229" i="48"/>
  <c r="H226" i="48"/>
  <c r="K16" i="15"/>
  <c r="K15" i="18"/>
  <c r="D15" i="18"/>
  <c r="K52" i="15"/>
  <c r="H90" i="58"/>
  <c r="H81" i="58"/>
  <c r="M179" i="11"/>
  <c r="M111" i="11"/>
  <c r="AH70" i="47"/>
  <c r="AH66" i="47"/>
  <c r="M238" i="12"/>
  <c r="M237" i="12"/>
  <c r="P226" i="22"/>
  <c r="O77" i="12"/>
  <c r="O76" i="12"/>
  <c r="O70" i="12"/>
  <c r="Y196" i="12"/>
  <c r="Y192" i="12"/>
  <c r="Y42" i="3"/>
  <c r="Y40" i="3"/>
  <c r="Y57" i="8"/>
  <c r="Y58" i="8"/>
  <c r="Y73" i="8"/>
  <c r="Y22" i="15"/>
  <c r="Y24" i="15"/>
  <c r="Y37" i="3"/>
  <c r="AC108" i="12"/>
  <c r="AC118" i="12"/>
  <c r="AC119" i="12"/>
  <c r="R19" i="14"/>
  <c r="R88" i="47"/>
  <c r="J17" i="56"/>
  <c r="K102" i="48"/>
  <c r="R58" i="10"/>
  <c r="R55" i="10"/>
  <c r="R51" i="10"/>
  <c r="S52" i="15"/>
  <c r="AB69" i="10"/>
  <c r="W64" i="10"/>
  <c r="W99" i="10"/>
  <c r="L39" i="47"/>
  <c r="Y58" i="47"/>
  <c r="U35" i="16"/>
  <c r="AH152" i="41"/>
  <c r="AH150" i="41"/>
  <c r="T20" i="47"/>
  <c r="Q91" i="48"/>
  <c r="AF224" i="12"/>
  <c r="S10" i="14"/>
  <c r="D81" i="41"/>
  <c r="I32" i="41"/>
  <c r="I81" i="41"/>
  <c r="I84" i="41"/>
  <c r="AK80" i="47"/>
  <c r="AK79" i="47"/>
  <c r="AK83" i="47"/>
  <c r="AK78" i="47"/>
  <c r="AH98" i="48"/>
  <c r="AE66" i="55"/>
  <c r="AE67" i="55"/>
  <c r="AE29" i="55"/>
  <c r="AE28" i="55"/>
  <c r="AD19" i="58"/>
  <c r="AD11" i="58"/>
  <c r="AD13" i="58"/>
  <c r="P7" i="58"/>
  <c r="V55" i="12"/>
  <c r="R112" i="48"/>
  <c r="Y14" i="47"/>
  <c r="Y382" i="11"/>
  <c r="Y379" i="11"/>
  <c r="G18" i="56"/>
  <c r="G14" i="56"/>
  <c r="G13" i="56"/>
  <c r="M49" i="41"/>
  <c r="N31" i="41"/>
  <c r="N48" i="41"/>
  <c r="N51" i="41"/>
  <c r="T24" i="58"/>
  <c r="T3" i="58"/>
  <c r="R89" i="41"/>
  <c r="R86" i="41"/>
  <c r="R88" i="41"/>
  <c r="T208" i="12"/>
  <c r="X232" i="11"/>
  <c r="Y210" i="12"/>
  <c r="Y207" i="12"/>
  <c r="AA141" i="56"/>
  <c r="AA140" i="56"/>
  <c r="R25" i="12"/>
  <c r="R24" i="12"/>
  <c r="AI11" i="54"/>
  <c r="AL66" i="18"/>
  <c r="AA122" i="48"/>
  <c r="AA117" i="48"/>
  <c r="V37" i="3"/>
  <c r="V40" i="3"/>
  <c r="V42" i="3"/>
  <c r="AE128" i="12"/>
  <c r="AP62" i="41"/>
  <c r="AP54" i="8"/>
  <c r="AP59" i="41"/>
  <c r="AP61" i="41"/>
  <c r="L64" i="56"/>
  <c r="L145" i="12"/>
  <c r="AA67" i="12"/>
  <c r="L105" i="11"/>
  <c r="L169" i="11"/>
  <c r="D169" i="11"/>
  <c r="U64" i="16"/>
  <c r="U51" i="16"/>
  <c r="U63" i="16"/>
  <c r="K208" i="12"/>
  <c r="M176" i="12"/>
  <c r="AE107" i="58"/>
  <c r="AE100" i="58"/>
  <c r="AE109" i="58"/>
  <c r="D113" i="11"/>
  <c r="X35" i="16"/>
  <c r="Y132" i="12"/>
  <c r="Y137" i="12"/>
  <c r="AF123" i="43"/>
  <c r="AA127" i="58"/>
  <c r="AA15" i="18"/>
  <c r="AA36" i="4"/>
  <c r="AA16" i="15"/>
  <c r="AA15" i="55"/>
  <c r="Y91" i="48"/>
  <c r="AB20" i="47"/>
  <c r="Y115" i="41"/>
  <c r="Y108" i="10"/>
  <c r="Y24" i="9"/>
  <c r="Y110" i="41"/>
  <c r="AK518" i="22"/>
  <c r="AK513" i="22"/>
  <c r="AD118" i="48"/>
  <c r="Q51" i="14"/>
  <c r="Q52" i="4"/>
  <c r="Q13" i="14"/>
  <c r="Q14" i="14"/>
  <c r="Q48" i="14"/>
  <c r="AB125" i="56"/>
  <c r="AB82" i="56"/>
  <c r="AB84" i="56"/>
  <c r="AB85" i="56"/>
  <c r="N84" i="41"/>
  <c r="N32" i="41"/>
  <c r="N81" i="41"/>
  <c r="M82" i="41"/>
  <c r="P82" i="47"/>
  <c r="P74" i="10"/>
  <c r="L38" i="56"/>
  <c r="AC165" i="12"/>
  <c r="V162" i="41"/>
  <c r="V158" i="41"/>
  <c r="V156" i="41"/>
  <c r="L118" i="48"/>
  <c r="S513" i="22"/>
  <c r="S518" i="22"/>
  <c r="N6" i="58"/>
  <c r="T54" i="12"/>
  <c r="X157" i="41"/>
  <c r="X87" i="47"/>
  <c r="X18" i="14"/>
  <c r="X160" i="41"/>
  <c r="O268" i="11"/>
  <c r="O252" i="11"/>
  <c r="AM518" i="22"/>
  <c r="AM513" i="22"/>
  <c r="AF118" i="48"/>
  <c r="G21" i="2"/>
  <c r="G88" i="2"/>
  <c r="E7" i="56"/>
  <c r="E11" i="56"/>
  <c r="E13" i="56"/>
  <c r="E14" i="56"/>
  <c r="E18" i="56"/>
  <c r="E23" i="56"/>
  <c r="N26" i="19"/>
  <c r="AN98" i="10"/>
  <c r="AN78" i="10"/>
  <c r="AN59" i="10"/>
  <c r="S63" i="16"/>
  <c r="S51" i="16"/>
  <c r="S64" i="16"/>
  <c r="N91" i="48"/>
  <c r="Q20" i="47"/>
  <c r="AK52" i="14"/>
  <c r="AK49" i="14"/>
  <c r="AE82" i="41"/>
  <c r="AF81" i="41"/>
  <c r="AF84" i="41"/>
  <c r="W84" i="41"/>
  <c r="W81" i="41"/>
  <c r="V82" i="41"/>
  <c r="AC84" i="16"/>
  <c r="AD83" i="16"/>
  <c r="AD86" i="16"/>
  <c r="S113" i="43"/>
  <c r="W202" i="22"/>
  <c r="W204" i="22"/>
  <c r="S102" i="43"/>
  <c r="S106" i="43"/>
  <c r="S122" i="43"/>
  <c r="S147" i="41"/>
  <c r="S27" i="9"/>
  <c r="X45" i="13"/>
  <c r="X39" i="13"/>
  <c r="AE211" i="11"/>
  <c r="AE135" i="11"/>
  <c r="V57" i="16"/>
  <c r="V54" i="16"/>
  <c r="U55" i="16"/>
  <c r="P118" i="48"/>
  <c r="W513" i="22"/>
  <c r="W518" i="22"/>
  <c r="V141" i="56"/>
  <c r="V140" i="56"/>
  <c r="Y231" i="12"/>
  <c r="Y228" i="12"/>
  <c r="Y232" i="12"/>
  <c r="AE58" i="3"/>
  <c r="N85" i="48"/>
  <c r="Q26" i="47"/>
  <c r="Q27" i="47"/>
  <c r="L56" i="15"/>
  <c r="L39" i="15"/>
  <c r="L42" i="15"/>
  <c r="AF6" i="54"/>
  <c r="AI41" i="18"/>
  <c r="AI102" i="18"/>
  <c r="R58" i="9"/>
  <c r="R30" i="9"/>
  <c r="R33" i="9"/>
  <c r="R35" i="9"/>
  <c r="AF277" i="11"/>
  <c r="X47" i="14"/>
  <c r="X11" i="14"/>
  <c r="X50" i="14"/>
  <c r="S76" i="41"/>
  <c r="T75" i="41"/>
  <c r="T78" i="41"/>
  <c r="N116" i="41"/>
  <c r="N25" i="9"/>
  <c r="AB58" i="3"/>
  <c r="AF89" i="41"/>
  <c r="AF86" i="41"/>
  <c r="AF88" i="41"/>
  <c r="R70" i="47"/>
  <c r="R66" i="47"/>
  <c r="L135" i="56"/>
  <c r="L57" i="56"/>
  <c r="L62" i="56"/>
  <c r="L63" i="56"/>
  <c r="L101" i="56"/>
  <c r="X58" i="9"/>
  <c r="X30" i="9"/>
  <c r="X33" i="9"/>
  <c r="X35" i="9"/>
  <c r="AI68" i="47"/>
  <c r="AI96" i="43"/>
  <c r="AI112" i="43"/>
  <c r="AI114" i="43"/>
  <c r="AI60" i="47"/>
  <c r="AI63" i="47"/>
  <c r="AF97" i="48"/>
  <c r="AA62" i="12"/>
  <c r="AA90" i="12"/>
  <c r="AA95" i="12"/>
  <c r="K242" i="12"/>
  <c r="K229" i="12"/>
  <c r="K233" i="12"/>
  <c r="K277" i="11"/>
  <c r="AQ232" i="11"/>
  <c r="AP5" i="5"/>
  <c r="AP5" i="4"/>
  <c r="AP235" i="11"/>
  <c r="AP234" i="11"/>
  <c r="D27" i="14"/>
  <c r="D26" i="14"/>
  <c r="AG234" i="12"/>
  <c r="AG230" i="12"/>
  <c r="AG209" i="12"/>
  <c r="AJ212" i="22"/>
  <c r="AJ210" i="22"/>
  <c r="AD207" i="12"/>
  <c r="AD210" i="12"/>
  <c r="V97" i="48"/>
  <c r="Y96" i="43"/>
  <c r="Y112" i="43"/>
  <c r="Y114" i="43"/>
  <c r="Y60" i="47"/>
  <c r="Y63" i="47"/>
  <c r="Y68" i="47"/>
  <c r="AH84" i="10"/>
  <c r="X90" i="16"/>
  <c r="X80" i="16"/>
  <c r="X91" i="16"/>
  <c r="L89" i="41"/>
  <c r="L86" i="41"/>
  <c r="L88" i="41"/>
  <c r="AD25" i="3"/>
  <c r="AD24" i="3"/>
  <c r="P86" i="16"/>
  <c r="P83" i="16"/>
  <c r="O84" i="16"/>
  <c r="AI68" i="58"/>
  <c r="G59" i="58"/>
  <c r="G68" i="58"/>
  <c r="AH68" i="58"/>
  <c r="L36" i="15"/>
  <c r="L54" i="15"/>
  <c r="AF12" i="55"/>
  <c r="AF234" i="11"/>
  <c r="AF9" i="15"/>
  <c r="AF12" i="18"/>
  <c r="AW62" i="41"/>
  <c r="AW59" i="41"/>
  <c r="AW61" i="41"/>
  <c r="AQ69" i="10"/>
  <c r="AL64" i="10"/>
  <c r="AL99" i="10"/>
  <c r="AP69" i="10"/>
  <c r="AK64" i="10"/>
  <c r="AK99" i="10"/>
  <c r="S270" i="11"/>
  <c r="S254" i="11"/>
  <c r="N80" i="47"/>
  <c r="K98" i="48"/>
  <c r="N83" i="47"/>
  <c r="N78" i="47"/>
  <c r="N79" i="47"/>
  <c r="P53" i="12"/>
  <c r="J5" i="58"/>
  <c r="L227" i="48"/>
  <c r="L108" i="48"/>
  <c r="M66" i="12"/>
  <c r="M94" i="12"/>
  <c r="X137" i="56"/>
  <c r="X136" i="56"/>
  <c r="X83" i="56"/>
  <c r="L36" i="56"/>
  <c r="L37" i="56"/>
  <c r="L40" i="56"/>
  <c r="L83" i="56"/>
  <c r="V103" i="12"/>
  <c r="S17" i="9"/>
  <c r="S56" i="17"/>
  <c r="T73" i="3"/>
  <c r="S76" i="3"/>
  <c r="S75" i="3"/>
  <c r="AH208" i="11"/>
  <c r="AH132" i="11"/>
  <c r="AI12" i="18"/>
  <c r="AI234" i="11"/>
  <c r="AI9" i="15"/>
  <c r="AI12" i="55"/>
  <c r="AD52" i="15"/>
  <c r="AG87" i="12"/>
  <c r="AG86" i="12"/>
  <c r="AG72" i="12"/>
  <c r="AH83" i="47"/>
  <c r="AH79" i="47"/>
  <c r="AH80" i="47"/>
  <c r="AH65" i="47"/>
  <c r="AH78" i="47"/>
  <c r="AE98" i="48"/>
  <c r="X107" i="58"/>
  <c r="X100" i="58"/>
  <c r="X109" i="58"/>
  <c r="AG27" i="47"/>
  <c r="AG26" i="47"/>
  <c r="AD85" i="48"/>
  <c r="N64" i="56"/>
  <c r="T85" i="56"/>
  <c r="T82" i="56"/>
  <c r="T84" i="56"/>
  <c r="T125" i="56"/>
  <c r="O231" i="12"/>
  <c r="O228" i="12"/>
  <c r="O232" i="12"/>
  <c r="AB238" i="12"/>
  <c r="AB237" i="12"/>
  <c r="AE226" i="22"/>
  <c r="AL77" i="47"/>
  <c r="AL414" i="11"/>
  <c r="AA109" i="58"/>
  <c r="AA100" i="58"/>
  <c r="AA107" i="58"/>
  <c r="O146" i="41"/>
  <c r="O9" i="9"/>
  <c r="O54" i="9"/>
  <c r="AH71" i="58"/>
  <c r="G62" i="58"/>
  <c r="G71" i="58"/>
  <c r="AI71" i="58"/>
  <c r="M42" i="15"/>
  <c r="M39" i="15"/>
  <c r="M56" i="15"/>
  <c r="AH137" i="56"/>
  <c r="AH136" i="56"/>
  <c r="H7" i="54"/>
  <c r="K103" i="18"/>
  <c r="J178" i="41"/>
  <c r="AG110" i="41"/>
  <c r="AG108" i="10"/>
  <c r="AG24" i="9"/>
  <c r="AG115" i="41"/>
  <c r="AE13" i="18"/>
  <c r="AE280" i="11"/>
  <c r="AE279" i="11"/>
  <c r="AE10" i="15"/>
  <c r="AE13" i="55"/>
  <c r="G83" i="56"/>
  <c r="AC518" i="22"/>
  <c r="AC513" i="22"/>
  <c r="V118" i="48"/>
  <c r="N52" i="15"/>
  <c r="AN118" i="56"/>
  <c r="AN117" i="56"/>
  <c r="AN120" i="56"/>
  <c r="W88" i="41"/>
  <c r="W86" i="41"/>
  <c r="W89" i="41"/>
  <c r="T84" i="16"/>
  <c r="U83" i="16"/>
  <c r="U86" i="16"/>
  <c r="N212" i="11"/>
  <c r="N136" i="11"/>
  <c r="AM187" i="22"/>
  <c r="AM189" i="22"/>
  <c r="AI50" i="43"/>
  <c r="AI54" i="43"/>
  <c r="AI69" i="43"/>
  <c r="D270" i="11"/>
  <c r="L270" i="11"/>
  <c r="R57" i="47"/>
  <c r="R65" i="47"/>
  <c r="R75" i="47"/>
  <c r="R76" i="47"/>
  <c r="AF107" i="10"/>
  <c r="AF14" i="9"/>
  <c r="N213" i="11"/>
  <c r="N137" i="11"/>
  <c r="T48" i="16"/>
  <c r="S49" i="16"/>
  <c r="S91" i="48"/>
  <c r="V20" i="47"/>
  <c r="L44" i="9"/>
  <c r="L20" i="9"/>
  <c r="L37" i="9"/>
  <c r="L12" i="17"/>
  <c r="U52" i="15"/>
  <c r="J13" i="55"/>
  <c r="J280" i="11"/>
  <c r="J279" i="11"/>
  <c r="J10" i="15"/>
  <c r="J13" i="18"/>
  <c r="U160" i="41"/>
  <c r="U157" i="41"/>
  <c r="U18" i="14"/>
  <c r="U87" i="47"/>
  <c r="T90" i="47"/>
  <c r="T89" i="47"/>
  <c r="T85" i="47"/>
  <c r="AJ123" i="43"/>
  <c r="AE127" i="58"/>
  <c r="P138" i="41"/>
  <c r="P125" i="41"/>
  <c r="Y55" i="16"/>
  <c r="Z54" i="16"/>
  <c r="Z57" i="16"/>
  <c r="I125" i="56"/>
  <c r="I82" i="56"/>
  <c r="I84" i="56"/>
  <c r="I85" i="56"/>
  <c r="T110" i="41"/>
  <c r="T108" i="10"/>
  <c r="T24" i="9"/>
  <c r="T115" i="41"/>
  <c r="D31" i="41"/>
  <c r="T25" i="8"/>
  <c r="T24" i="8"/>
  <c r="L55" i="12"/>
  <c r="H112" i="48"/>
  <c r="O140" i="22"/>
  <c r="F7" i="58"/>
  <c r="O84" i="41"/>
  <c r="O81" i="41"/>
  <c r="N82" i="41"/>
  <c r="O78" i="16"/>
  <c r="W103" i="48"/>
  <c r="V12" i="56"/>
  <c r="V8" i="56"/>
  <c r="V10" i="56"/>
  <c r="V18" i="56"/>
  <c r="Z58" i="9"/>
  <c r="Z30" i="9"/>
  <c r="Z33" i="9"/>
  <c r="Z35" i="9"/>
  <c r="X86" i="48"/>
  <c r="AA31" i="47"/>
  <c r="X92" i="48"/>
  <c r="AA30" i="47"/>
  <c r="AA32" i="47"/>
  <c r="K42" i="15"/>
  <c r="K39" i="15"/>
  <c r="K56" i="15"/>
  <c r="L127" i="58"/>
  <c r="Q123" i="43"/>
  <c r="L56" i="55"/>
  <c r="L57" i="55"/>
  <c r="L23" i="55"/>
  <c r="L60" i="13"/>
  <c r="L35" i="15"/>
  <c r="L21" i="55"/>
  <c r="AJ141" i="56"/>
  <c r="AJ140" i="56"/>
  <c r="J78" i="41"/>
  <c r="J31" i="41"/>
  <c r="J75" i="41"/>
  <c r="I76" i="41"/>
  <c r="AD11" i="18"/>
  <c r="AE262" i="12"/>
  <c r="AD8" i="15"/>
  <c r="AD11" i="55"/>
  <c r="AV279" i="11"/>
  <c r="AV280" i="11"/>
  <c r="AW277" i="11"/>
  <c r="AC84" i="41"/>
  <c r="AC81" i="41"/>
  <c r="AB82" i="41"/>
  <c r="W135" i="56"/>
  <c r="W63" i="56"/>
  <c r="W101" i="56"/>
  <c r="AC489" i="22"/>
  <c r="AD83" i="56"/>
  <c r="R115" i="41"/>
  <c r="R108" i="10"/>
  <c r="R24" i="9"/>
  <c r="R110" i="41"/>
  <c r="AE119" i="12"/>
  <c r="AE118" i="12"/>
  <c r="AE108" i="12"/>
  <c r="Q224" i="12"/>
  <c r="AB135" i="56"/>
  <c r="AB63" i="56"/>
  <c r="AB101" i="56"/>
  <c r="AL53" i="15"/>
  <c r="AL45" i="8"/>
  <c r="AB83" i="56"/>
  <c r="AC66" i="55"/>
  <c r="AC67" i="55"/>
  <c r="AC29" i="55"/>
  <c r="AC28" i="55"/>
  <c r="Y227" i="48"/>
  <c r="AC53" i="12"/>
  <c r="Y108" i="48"/>
  <c r="W5" i="58"/>
  <c r="X25" i="13"/>
  <c r="X24" i="13"/>
  <c r="X135" i="56"/>
  <c r="X63" i="56"/>
  <c r="X101" i="56"/>
  <c r="AH110" i="58"/>
  <c r="F101" i="58"/>
  <c r="F110" i="58"/>
  <c r="AI110" i="58"/>
  <c r="L49" i="41"/>
  <c r="M31" i="41"/>
  <c r="M48" i="41"/>
  <c r="M51" i="41"/>
  <c r="AJ238" i="12"/>
  <c r="AJ237" i="12"/>
  <c r="AM226" i="22"/>
  <c r="AF86" i="48"/>
  <c r="AI31" i="47"/>
  <c r="AF92" i="48"/>
  <c r="AI30" i="47"/>
  <c r="AI32" i="47"/>
  <c r="S48" i="16"/>
  <c r="R49" i="16"/>
  <c r="AM135" i="12"/>
  <c r="AM65" i="12"/>
  <c r="O127" i="58"/>
  <c r="T123" i="43"/>
  <c r="R58" i="3"/>
  <c r="AC213" i="11"/>
  <c r="AC137" i="11"/>
  <c r="L254" i="11"/>
  <c r="D254" i="11"/>
  <c r="D83" i="16"/>
  <c r="I83" i="16"/>
  <c r="I86" i="16"/>
  <c r="Q91" i="16"/>
  <c r="Q80" i="16"/>
  <c r="Q90" i="16"/>
  <c r="P50" i="14"/>
  <c r="P11" i="14"/>
  <c r="P47" i="14"/>
  <c r="K387" i="11"/>
  <c r="D198" i="11"/>
  <c r="D108" i="47"/>
  <c r="O384" i="11"/>
  <c r="O388" i="11"/>
  <c r="O24" i="47"/>
  <c r="O25" i="47"/>
  <c r="AD172" i="22"/>
  <c r="AD181" i="22"/>
  <c r="Z31" i="47"/>
  <c r="W86" i="48"/>
  <c r="Z32" i="47"/>
  <c r="Z30" i="47"/>
  <c r="W92" i="48"/>
  <c r="AI14" i="55"/>
  <c r="AI90" i="10"/>
  <c r="AI11" i="15"/>
  <c r="AI14" i="18"/>
  <c r="O58" i="3"/>
  <c r="H86" i="48"/>
  <c r="K12" i="47"/>
  <c r="K30" i="47"/>
  <c r="H92" i="48"/>
  <c r="X34" i="3"/>
  <c r="X33" i="16"/>
  <c r="AA37" i="47"/>
  <c r="AA41" i="47"/>
  <c r="AA42" i="47"/>
  <c r="T232" i="11"/>
  <c r="S13" i="55"/>
  <c r="S279" i="11"/>
  <c r="S10" i="15"/>
  <c r="S13" i="18"/>
  <c r="U82" i="41"/>
  <c r="V81" i="41"/>
  <c r="V84" i="41"/>
  <c r="AO60" i="13"/>
  <c r="AO39" i="13"/>
  <c r="AO41" i="13"/>
  <c r="AO59" i="13"/>
  <c r="AO61" i="13"/>
  <c r="AD102" i="41"/>
  <c r="AD5" i="41"/>
  <c r="AG53" i="15"/>
  <c r="AC63" i="16"/>
  <c r="AC59" i="16"/>
  <c r="AC64" i="16"/>
  <c r="AD118" i="56"/>
  <c r="AD117" i="56"/>
  <c r="AD120" i="56"/>
  <c r="N110" i="41"/>
  <c r="N108" i="10"/>
  <c r="N24" i="9"/>
  <c r="N115" i="41"/>
  <c r="O109" i="58"/>
  <c r="O100" i="58"/>
  <c r="O107" i="58"/>
  <c r="R14" i="18"/>
  <c r="R90" i="10"/>
  <c r="R11" i="15"/>
  <c r="R14" i="55"/>
  <c r="R11" i="18"/>
  <c r="S262" i="12"/>
  <c r="R8" i="15"/>
  <c r="R11" i="55"/>
  <c r="L85" i="48"/>
  <c r="O26" i="47"/>
  <c r="O27" i="47"/>
  <c r="N39" i="47"/>
  <c r="AM60" i="13"/>
  <c r="AM39" i="13"/>
  <c r="AM41" i="13"/>
  <c r="AM59" i="13"/>
  <c r="AM61" i="13"/>
  <c r="G92" i="48"/>
  <c r="J12" i="47"/>
  <c r="J30" i="47"/>
  <c r="G86" i="48"/>
  <c r="AB176" i="12"/>
  <c r="N86" i="16"/>
  <c r="N83" i="16"/>
  <c r="M84" i="16"/>
  <c r="AA55" i="16"/>
  <c r="AB54" i="16"/>
  <c r="AB57" i="16"/>
  <c r="J30" i="14"/>
  <c r="J27" i="14"/>
  <c r="J26" i="14"/>
  <c r="I9" i="56"/>
  <c r="M40" i="8"/>
  <c r="M46" i="8"/>
  <c r="M52" i="8"/>
  <c r="M72" i="8"/>
  <c r="M23" i="15"/>
  <c r="I60" i="56"/>
  <c r="AD92" i="48"/>
  <c r="AG31" i="47"/>
  <c r="AD86" i="48"/>
  <c r="AG30" i="47"/>
  <c r="AG32" i="47"/>
  <c r="AJ146" i="41"/>
  <c r="AJ10" i="9"/>
  <c r="AJ9" i="9"/>
  <c r="AJ54" i="9"/>
  <c r="X112" i="58"/>
  <c r="X103" i="58"/>
  <c r="Z68" i="58"/>
  <c r="Z59" i="58"/>
  <c r="AE57" i="12"/>
  <c r="AE52" i="12"/>
  <c r="AH83" i="41"/>
  <c r="AH77" i="41"/>
  <c r="AH56" i="16"/>
  <c r="AH56" i="9"/>
  <c r="AH79" i="16"/>
  <c r="AH85" i="16"/>
  <c r="AH56" i="41"/>
  <c r="AH15" i="9"/>
  <c r="AH111" i="41"/>
  <c r="W13" i="18"/>
  <c r="W250" i="11"/>
  <c r="W266" i="11"/>
  <c r="W271" i="11"/>
  <c r="W278" i="11"/>
  <c r="W280" i="11"/>
  <c r="W279" i="11"/>
  <c r="W10" i="15"/>
  <c r="W13" i="55"/>
  <c r="AC31" i="47"/>
  <c r="Z92" i="48"/>
  <c r="AC32" i="47"/>
  <c r="AC30" i="47"/>
  <c r="Z86" i="48"/>
  <c r="V79" i="47"/>
  <c r="V83" i="47"/>
  <c r="S98" i="48"/>
  <c r="V78" i="47"/>
  <c r="V80" i="47"/>
  <c r="T82" i="41"/>
  <c r="U81" i="41"/>
  <c r="U84" i="41"/>
  <c r="F116" i="56"/>
  <c r="F41" i="56"/>
  <c r="F42" i="56"/>
  <c r="V103" i="18"/>
  <c r="S7" i="54"/>
  <c r="U178" i="41"/>
  <c r="V102" i="18"/>
  <c r="V10" i="18"/>
  <c r="V16" i="18"/>
  <c r="V42" i="18"/>
  <c r="V41" i="18"/>
  <c r="S6" i="54"/>
  <c r="Q87" i="55"/>
  <c r="AF87" i="55"/>
  <c r="W87" i="55"/>
  <c r="AQ87" i="55"/>
  <c r="AH87" i="55"/>
  <c r="Y87" i="55"/>
  <c r="Q62" i="55"/>
  <c r="I62" i="55"/>
  <c r="X87" i="55"/>
  <c r="AG87" i="55"/>
  <c r="AC62" i="55"/>
  <c r="U87" i="55"/>
  <c r="K87" i="55"/>
  <c r="AP62" i="55"/>
  <c r="J87" i="55"/>
  <c r="T87" i="55"/>
  <c r="K62" i="55"/>
  <c r="X62" i="55"/>
  <c r="D57" i="55"/>
  <c r="S87" i="55"/>
  <c r="AV87" i="55"/>
  <c r="AO62" i="55"/>
  <c r="AT62" i="55"/>
  <c r="AW87" i="55"/>
  <c r="AK87" i="55"/>
  <c r="F62" i="55"/>
  <c r="W62" i="55"/>
  <c r="AN62" i="55"/>
  <c r="M87" i="55"/>
  <c r="AI62" i="55"/>
  <c r="S62" i="55"/>
  <c r="N62" i="55"/>
  <c r="AJ62" i="55"/>
  <c r="AL87" i="55"/>
  <c r="AU62" i="55"/>
  <c r="O87" i="55"/>
  <c r="T62" i="55"/>
  <c r="AJ87" i="55"/>
  <c r="D62" i="55"/>
  <c r="AB87" i="55"/>
  <c r="AG62" i="55"/>
  <c r="P87" i="55"/>
  <c r="R62" i="55"/>
  <c r="AL62" i="55"/>
  <c r="AU87" i="55"/>
  <c r="AM62" i="55"/>
  <c r="N87" i="55"/>
  <c r="Y62" i="55"/>
  <c r="O62" i="55"/>
  <c r="AE87" i="55"/>
  <c r="V87" i="55"/>
  <c r="AP87" i="55"/>
  <c r="AN87" i="55"/>
  <c r="AB62" i="55"/>
  <c r="AX87" i="55"/>
  <c r="AR62" i="55"/>
  <c r="Z62" i="55"/>
  <c r="J62" i="55"/>
  <c r="AM87" i="55"/>
  <c r="AC87" i="55"/>
  <c r="Z87" i="55"/>
  <c r="AK62" i="55"/>
  <c r="AQ62" i="55"/>
  <c r="E62" i="55"/>
  <c r="AS62" i="55"/>
  <c r="U62" i="55"/>
  <c r="AO87" i="55"/>
  <c r="AE62" i="55"/>
  <c r="AR87" i="55"/>
  <c r="AH62" i="55"/>
  <c r="AV62" i="55"/>
  <c r="AW62" i="55"/>
  <c r="AS87" i="55"/>
  <c r="L87" i="55"/>
  <c r="V62" i="55"/>
  <c r="AT87" i="55"/>
  <c r="AA87" i="55"/>
  <c r="AD62" i="55"/>
  <c r="R87" i="55"/>
  <c r="AA62" i="55"/>
  <c r="L62" i="55"/>
  <c r="M62" i="55"/>
  <c r="AF62" i="55"/>
  <c r="AI87" i="55"/>
  <c r="AD87" i="55"/>
  <c r="P62" i="55"/>
  <c r="T11" i="18"/>
  <c r="U261" i="12"/>
  <c r="U263" i="12"/>
  <c r="U262" i="12"/>
  <c r="T8" i="15"/>
  <c r="T11" i="55"/>
  <c r="S25" i="3"/>
  <c r="S24" i="3"/>
  <c r="T91" i="48"/>
  <c r="W20" i="47"/>
  <c r="D48" i="41"/>
  <c r="I31" i="41"/>
  <c r="I48" i="41"/>
  <c r="I51" i="41"/>
  <c r="D96" i="11"/>
  <c r="W110" i="41"/>
  <c r="W108" i="10"/>
  <c r="W24" i="9"/>
  <c r="W115" i="41"/>
  <c r="AT61" i="13"/>
  <c r="AT39" i="13"/>
  <c r="AT41" i="13"/>
  <c r="AT59" i="13"/>
  <c r="AT60" i="13"/>
  <c r="AM120" i="56"/>
  <c r="AM117" i="56"/>
  <c r="AM118" i="56"/>
  <c r="K35" i="16"/>
  <c r="G110" i="58"/>
  <c r="G101" i="58"/>
  <c r="P35" i="16"/>
  <c r="AB110" i="41"/>
  <c r="AB108" i="10"/>
  <c r="AB24" i="9"/>
  <c r="AB115" i="41"/>
  <c r="U115" i="41"/>
  <c r="U108" i="10"/>
  <c r="U24" i="9"/>
  <c r="U110" i="41"/>
  <c r="D77" i="16"/>
  <c r="AG11" i="55"/>
  <c r="AH262" i="12"/>
  <c r="AG8" i="15"/>
  <c r="AG11" i="18"/>
  <c r="AC47" i="14"/>
  <c r="AC11" i="14"/>
  <c r="AC50" i="14"/>
  <c r="R63" i="16"/>
  <c r="R51" i="16"/>
  <c r="R64" i="16"/>
  <c r="Y53" i="15"/>
  <c r="L13" i="17"/>
  <c r="L42" i="9"/>
  <c r="L41" i="9"/>
  <c r="V78" i="41"/>
  <c r="V31" i="41"/>
  <c r="V75" i="41"/>
  <c r="U76" i="41"/>
  <c r="J36" i="41"/>
  <c r="J33" i="41"/>
  <c r="J35" i="41"/>
  <c r="AD116" i="56"/>
  <c r="AD36" i="56"/>
  <c r="AD37" i="56"/>
  <c r="AD40" i="56"/>
  <c r="AD41" i="56"/>
  <c r="AD42" i="56"/>
  <c r="R157" i="41"/>
  <c r="R87" i="47"/>
  <c r="R18" i="14"/>
  <c r="R160" i="41"/>
  <c r="P11" i="55"/>
  <c r="Q262" i="12"/>
  <c r="P8" i="15"/>
  <c r="P11" i="18"/>
  <c r="AH232" i="12"/>
  <c r="AH228" i="12"/>
  <c r="AH231" i="12"/>
  <c r="AB116" i="56"/>
  <c r="AB41" i="56"/>
  <c r="AB42" i="56"/>
  <c r="AH42" i="56"/>
  <c r="AH41" i="56"/>
  <c r="AH116" i="56"/>
  <c r="H108" i="47"/>
  <c r="O73" i="47"/>
  <c r="O412" i="11"/>
  <c r="O408" i="11"/>
  <c r="Z252" i="12"/>
  <c r="Z242" i="12"/>
  <c r="I19" i="58"/>
  <c r="I11" i="58"/>
  <c r="I13" i="58"/>
  <c r="AA62" i="41"/>
  <c r="AA59" i="41"/>
  <c r="AA61" i="41"/>
  <c r="S255" i="11"/>
  <c r="Z103" i="12"/>
  <c r="V108" i="48"/>
  <c r="T5" i="58"/>
  <c r="V227" i="48"/>
  <c r="Z53" i="12"/>
  <c r="W165" i="12"/>
  <c r="M224" i="12"/>
  <c r="U118" i="56"/>
  <c r="U117" i="56"/>
  <c r="U120" i="56"/>
  <c r="K53" i="15"/>
  <c r="U522" i="22"/>
  <c r="U511" i="22"/>
  <c r="S31" i="16"/>
  <c r="S35" i="16"/>
  <c r="P32" i="15"/>
  <c r="P88" i="8"/>
  <c r="P93" i="8"/>
  <c r="P99" i="8"/>
  <c r="P118" i="8"/>
  <c r="P121" i="8"/>
  <c r="D122" i="11"/>
  <c r="L18" i="47"/>
  <c r="L22" i="47"/>
  <c r="I84" i="48"/>
  <c r="N83" i="56"/>
  <c r="AL85" i="16"/>
  <c r="AL56" i="9"/>
  <c r="AL56" i="41"/>
  <c r="AL83" i="41"/>
  <c r="AL77" i="41"/>
  <c r="AL111" i="41"/>
  <c r="AL56" i="16"/>
  <c r="AL15" i="9"/>
  <c r="AL79" i="16"/>
  <c r="AH86" i="48"/>
  <c r="AK31" i="47"/>
  <c r="AH92" i="48"/>
  <c r="AK30" i="47"/>
  <c r="AK32" i="47"/>
  <c r="AI115" i="58"/>
  <c r="K198" i="11"/>
  <c r="F106" i="58"/>
  <c r="F115" i="58"/>
  <c r="AH115" i="58"/>
  <c r="T88" i="41"/>
  <c r="T86" i="41"/>
  <c r="T89" i="41"/>
  <c r="U31" i="16"/>
  <c r="U48" i="16"/>
  <c r="T49" i="16"/>
  <c r="AI39" i="47"/>
  <c r="E12" i="56"/>
  <c r="E9" i="56"/>
  <c r="E10" i="56"/>
  <c r="F103" i="48"/>
  <c r="L60" i="56"/>
  <c r="P40" i="8"/>
  <c r="P46" i="8"/>
  <c r="P52" i="8"/>
  <c r="P72" i="8"/>
  <c r="P23" i="15"/>
  <c r="L9" i="56"/>
  <c r="AJ63" i="16"/>
  <c r="AJ54" i="8"/>
  <c r="AJ59" i="16"/>
  <c r="AJ64" i="16"/>
  <c r="H91" i="48"/>
  <c r="K391" i="11"/>
  <c r="K29" i="47"/>
  <c r="D29" i="47"/>
  <c r="O13" i="18"/>
  <c r="O279" i="11"/>
  <c r="O10" i="15"/>
  <c r="O13" i="55"/>
  <c r="AI122" i="11"/>
  <c r="AI193" i="11"/>
  <c r="AI400" i="11"/>
  <c r="L10" i="9"/>
  <c r="L8" i="9"/>
  <c r="AH31" i="9"/>
  <c r="AH46" i="17"/>
  <c r="AO99" i="10"/>
  <c r="N62" i="41"/>
  <c r="N59" i="41"/>
  <c r="N61" i="41"/>
  <c r="AC15" i="55"/>
  <c r="AC16" i="15"/>
  <c r="AC15" i="18"/>
  <c r="S48" i="14"/>
  <c r="S51" i="14"/>
  <c r="AC55" i="16"/>
  <c r="AD54" i="16"/>
  <c r="AD57" i="16"/>
  <c r="AC60" i="56"/>
  <c r="AG23" i="15"/>
  <c r="AC9" i="56"/>
  <c r="N12" i="55"/>
  <c r="N234" i="11"/>
  <c r="N9" i="15"/>
  <c r="N12" i="18"/>
  <c r="Y86" i="48"/>
  <c r="AB31" i="47"/>
  <c r="AB32" i="47"/>
  <c r="AB30" i="47"/>
  <c r="Y92" i="48"/>
  <c r="T32" i="47"/>
  <c r="T31" i="47"/>
  <c r="Q92" i="48"/>
  <c r="T30" i="47"/>
  <c r="Q86" i="48"/>
  <c r="P61" i="41"/>
  <c r="P59" i="41"/>
  <c r="P62" i="41"/>
  <c r="AA52" i="14"/>
  <c r="AA49" i="14"/>
  <c r="X84" i="16"/>
  <c r="Y83" i="16"/>
  <c r="Y86" i="16"/>
  <c r="AE54" i="9"/>
  <c r="AE9" i="9"/>
  <c r="AE146" i="41"/>
  <c r="AI224" i="12"/>
  <c r="AC157" i="41"/>
  <c r="AC160" i="41"/>
  <c r="AC18" i="14"/>
  <c r="AC87" i="47"/>
  <c r="D157" i="11"/>
  <c r="R32" i="47"/>
  <c r="O92" i="48"/>
  <c r="R31" i="47"/>
  <c r="R30" i="47"/>
  <c r="O86" i="48"/>
  <c r="AI50" i="14"/>
  <c r="AI11" i="14"/>
  <c r="AI47" i="14"/>
  <c r="L55" i="41"/>
  <c r="M54" i="41"/>
  <c r="M57" i="41"/>
  <c r="AI89" i="41"/>
  <c r="AI86" i="41"/>
  <c r="AI88" i="41"/>
  <c r="T10" i="14"/>
  <c r="T118" i="56"/>
  <c r="T117" i="56"/>
  <c r="T120" i="56"/>
  <c r="AH28" i="12"/>
  <c r="AG159" i="5"/>
  <c r="X32" i="15"/>
  <c r="X74" i="3"/>
  <c r="X26" i="15"/>
  <c r="X29" i="15"/>
  <c r="X92" i="8"/>
  <c r="X99" i="8"/>
  <c r="X118" i="8"/>
  <c r="X121" i="8"/>
  <c r="M15" i="55"/>
  <c r="M16" i="15"/>
  <c r="M15" i="18"/>
  <c r="O10" i="14"/>
  <c r="W47" i="14"/>
  <c r="W11" i="14"/>
  <c r="W50" i="14"/>
  <c r="W14" i="55"/>
  <c r="W90" i="10"/>
  <c r="W11" i="15"/>
  <c r="W14" i="18"/>
  <c r="X7" i="54"/>
  <c r="AA103" i="18"/>
  <c r="Z178" i="41"/>
  <c r="P127" i="11"/>
  <c r="P198" i="11"/>
  <c r="P411" i="11"/>
  <c r="AA102" i="18"/>
  <c r="AA10" i="18"/>
  <c r="AA16" i="18"/>
  <c r="AA42" i="18"/>
  <c r="AA41" i="18"/>
  <c r="X6" i="54"/>
  <c r="AQ61" i="13"/>
  <c r="AQ39" i="13"/>
  <c r="AQ41" i="13"/>
  <c r="AQ59" i="13"/>
  <c r="AQ60" i="13"/>
  <c r="AA269" i="11"/>
  <c r="AA253" i="11"/>
  <c r="Y161" i="5"/>
  <c r="Z30" i="12"/>
  <c r="V10" i="47"/>
  <c r="V7" i="47"/>
  <c r="AO55" i="16"/>
  <c r="AJ55" i="16"/>
  <c r="AK55" i="16"/>
  <c r="AG57" i="16"/>
  <c r="AU55" i="16"/>
  <c r="AP55" i="16"/>
  <c r="AS55" i="16"/>
  <c r="AR55" i="16"/>
  <c r="AV55" i="16"/>
  <c r="AF55" i="16"/>
  <c r="AN55" i="16"/>
  <c r="AH55" i="16"/>
  <c r="AI55" i="16"/>
  <c r="AT55" i="16"/>
  <c r="AM55" i="16"/>
  <c r="AG55" i="16"/>
  <c r="AW55" i="16"/>
  <c r="AL55" i="16"/>
  <c r="AG54" i="16"/>
  <c r="AQ55" i="16"/>
  <c r="AL49" i="16"/>
  <c r="AO49" i="16"/>
  <c r="AQ49" i="16"/>
  <c r="AH49" i="16"/>
  <c r="AV49" i="16"/>
  <c r="AM49" i="16"/>
  <c r="AS49" i="16"/>
  <c r="AN49" i="16"/>
  <c r="AP49" i="16"/>
  <c r="AK49" i="16"/>
  <c r="AF49" i="16"/>
  <c r="AG51" i="16"/>
  <c r="AR49" i="16"/>
  <c r="AG49" i="16"/>
  <c r="AJ49" i="16"/>
  <c r="AI49" i="16"/>
  <c r="AW49" i="16"/>
  <c r="AT49" i="16"/>
  <c r="AG48" i="16"/>
  <c r="AU49" i="16"/>
  <c r="AK83" i="41"/>
  <c r="AK85" i="16"/>
  <c r="AK56" i="16"/>
  <c r="AK111" i="41"/>
  <c r="AK77" i="41"/>
  <c r="AK79" i="16"/>
  <c r="AK56" i="41"/>
  <c r="AK15" i="9"/>
  <c r="AK56" i="9"/>
  <c r="T132" i="8"/>
  <c r="N132" i="8"/>
  <c r="P132" i="8"/>
  <c r="O132" i="8"/>
  <c r="R132" i="8"/>
  <c r="Q132" i="8"/>
  <c r="S132" i="8"/>
  <c r="K132" i="8"/>
  <c r="L132" i="8"/>
  <c r="L74" i="3"/>
  <c r="L26" i="15"/>
  <c r="L29" i="15"/>
  <c r="L92" i="8"/>
  <c r="M132" i="8"/>
  <c r="Y56" i="41"/>
  <c r="Y56" i="9"/>
  <c r="Y111" i="41"/>
  <c r="Y50" i="16"/>
  <c r="Y77" i="41"/>
  <c r="Y56" i="16"/>
  <c r="Y79" i="16"/>
  <c r="Y85" i="16"/>
  <c r="Y15" i="9"/>
  <c r="Y83" i="41"/>
  <c r="Q50" i="16"/>
  <c r="Q85" i="16"/>
  <c r="Q56" i="9"/>
  <c r="Q79" i="16"/>
  <c r="Q56" i="41"/>
  <c r="Q56" i="16"/>
  <c r="Q83" i="41"/>
  <c r="Q77" i="41"/>
  <c r="Q15" i="9"/>
  <c r="Q111" i="41"/>
  <c r="I85" i="16"/>
  <c r="I50" i="16"/>
  <c r="I111" i="41"/>
  <c r="I56" i="41"/>
  <c r="I56" i="9"/>
  <c r="I83" i="41"/>
  <c r="I56" i="16"/>
  <c r="I77" i="41"/>
  <c r="I15" i="9"/>
  <c r="I79" i="16"/>
  <c r="Z56" i="9"/>
  <c r="Z83" i="41"/>
  <c r="Z56" i="41"/>
  <c r="Z111" i="41"/>
  <c r="Z77" i="41"/>
  <c r="Z50" i="16"/>
  <c r="Z85" i="16"/>
  <c r="Z79" i="16"/>
  <c r="Z15" i="9"/>
  <c r="Z56" i="16"/>
  <c r="R50" i="16"/>
  <c r="R77" i="41"/>
  <c r="R83" i="41"/>
  <c r="R85" i="16"/>
  <c r="R56" i="9"/>
  <c r="R56" i="16"/>
  <c r="R79" i="16"/>
  <c r="R111" i="41"/>
  <c r="R15" i="9"/>
  <c r="R56" i="41"/>
  <c r="J85" i="16"/>
  <c r="J83" i="41"/>
  <c r="J50" i="16"/>
  <c r="J56" i="9"/>
  <c r="J79" i="16"/>
  <c r="J56" i="41"/>
  <c r="J111" i="41"/>
  <c r="J77" i="41"/>
  <c r="J15" i="9"/>
  <c r="J56" i="16"/>
  <c r="X79" i="16"/>
  <c r="X111" i="41"/>
  <c r="X77" i="41"/>
  <c r="X56" i="41"/>
  <c r="X83" i="41"/>
  <c r="X85" i="16"/>
  <c r="X56" i="9"/>
  <c r="X50" i="16"/>
  <c r="X15" i="9"/>
  <c r="X56" i="16"/>
  <c r="P79" i="16"/>
  <c r="P77" i="41"/>
  <c r="P56" i="16"/>
  <c r="P83" i="41"/>
  <c r="P85" i="16"/>
  <c r="P50" i="16"/>
  <c r="P56" i="9"/>
  <c r="P111" i="41"/>
  <c r="P15" i="9"/>
  <c r="P56" i="41"/>
  <c r="AE79" i="16"/>
  <c r="AE111" i="41"/>
  <c r="AE83" i="41"/>
  <c r="AE56" i="41"/>
  <c r="AE77" i="41"/>
  <c r="AE56" i="9"/>
  <c r="AE50" i="16"/>
  <c r="AE56" i="16"/>
  <c r="AE15" i="9"/>
  <c r="AE85" i="16"/>
  <c r="W77" i="41"/>
  <c r="W56" i="9"/>
  <c r="W50" i="16"/>
  <c r="W111" i="41"/>
  <c r="W56" i="41"/>
  <c r="W83" i="41"/>
  <c r="W56" i="16"/>
  <c r="W79" i="16"/>
  <c r="W15" i="9"/>
  <c r="W85" i="16"/>
  <c r="O77" i="41"/>
  <c r="O56" i="41"/>
  <c r="O56" i="16"/>
  <c r="O85" i="16"/>
  <c r="O50" i="16"/>
  <c r="O111" i="41"/>
  <c r="O56" i="9"/>
  <c r="O83" i="41"/>
  <c r="O15" i="9"/>
  <c r="O79" i="16"/>
  <c r="AD111" i="41"/>
  <c r="AD50" i="16"/>
  <c r="AD83" i="41"/>
  <c r="AD77" i="41"/>
  <c r="AD56" i="16"/>
  <c r="AD56" i="9"/>
  <c r="AD56" i="41"/>
  <c r="AD85" i="16"/>
  <c r="AD15" i="9"/>
  <c r="AD79" i="16"/>
  <c r="V83" i="41"/>
  <c r="V79" i="16"/>
  <c r="V111" i="41"/>
  <c r="V56" i="16"/>
  <c r="V56" i="41"/>
  <c r="V56" i="9"/>
  <c r="V77" i="41"/>
  <c r="V50" i="16"/>
  <c r="V15" i="9"/>
  <c r="V85" i="16"/>
  <c r="N56" i="9"/>
  <c r="N56" i="41"/>
  <c r="N56" i="16"/>
  <c r="N111" i="41"/>
  <c r="N77" i="41"/>
  <c r="N85" i="16"/>
  <c r="N50" i="16"/>
  <c r="N83" i="41"/>
  <c r="N15" i="9"/>
  <c r="N79" i="16"/>
  <c r="AC111" i="41"/>
  <c r="AC50" i="16"/>
  <c r="AC56" i="41"/>
  <c r="AC77" i="41"/>
  <c r="AC56" i="9"/>
  <c r="AC56" i="16"/>
  <c r="AC79" i="16"/>
  <c r="AC83" i="41"/>
  <c r="AC15" i="9"/>
  <c r="AC85" i="16"/>
  <c r="U77" i="41"/>
  <c r="U50" i="16"/>
  <c r="U83" i="41"/>
  <c r="U56" i="41"/>
  <c r="U85" i="16"/>
  <c r="U56" i="9"/>
  <c r="U79" i="16"/>
  <c r="U56" i="16"/>
  <c r="U15" i="9"/>
  <c r="U111" i="41"/>
  <c r="M50" i="16"/>
  <c r="M79" i="16"/>
  <c r="M56" i="16"/>
  <c r="M85" i="16"/>
  <c r="M83" i="41"/>
  <c r="M56" i="41"/>
  <c r="M56" i="9"/>
  <c r="M111" i="41"/>
  <c r="M15" i="9"/>
  <c r="M77" i="41"/>
  <c r="Z17" i="9"/>
  <c r="AA73" i="3"/>
  <c r="Z56" i="17"/>
  <c r="Z76" i="3"/>
  <c r="Z75" i="3"/>
  <c r="AB56" i="41"/>
  <c r="AB50" i="16"/>
  <c r="AB56" i="16"/>
  <c r="AB79" i="16"/>
  <c r="AB85" i="16"/>
  <c r="AB111" i="41"/>
  <c r="AB56" i="9"/>
  <c r="AB83" i="41"/>
  <c r="AB15" i="9"/>
  <c r="AB77" i="41"/>
  <c r="T79" i="16"/>
  <c r="T111" i="41"/>
  <c r="T50" i="16"/>
  <c r="T56" i="16"/>
  <c r="T85" i="16"/>
  <c r="T56" i="41"/>
  <c r="T77" i="41"/>
  <c r="T56" i="9"/>
  <c r="T15" i="9"/>
  <c r="T83" i="41"/>
  <c r="L50" i="16"/>
  <c r="L83" i="41"/>
  <c r="L111" i="41"/>
  <c r="L56" i="16"/>
  <c r="L56" i="41"/>
  <c r="L56" i="9"/>
  <c r="L85" i="16"/>
  <c r="L79" i="16"/>
  <c r="L15" i="9"/>
  <c r="L77" i="41"/>
  <c r="AA50" i="16"/>
  <c r="AA79" i="16"/>
  <c r="AA56" i="41"/>
  <c r="AA77" i="41"/>
  <c r="AA56" i="9"/>
  <c r="AA56" i="16"/>
  <c r="AA83" i="41"/>
  <c r="AA111" i="41"/>
  <c r="AA15" i="9"/>
  <c r="AA85" i="16"/>
  <c r="S83" i="41"/>
  <c r="S111" i="41"/>
  <c r="S50" i="16"/>
  <c r="S56" i="41"/>
  <c r="S77" i="41"/>
  <c r="S56" i="9"/>
  <c r="S79" i="16"/>
  <c r="S85" i="16"/>
  <c r="S15" i="9"/>
  <c r="S56" i="16"/>
  <c r="K79" i="16"/>
  <c r="K77" i="41"/>
  <c r="K56" i="9"/>
  <c r="K50" i="16"/>
  <c r="K56" i="41"/>
  <c r="K85" i="16"/>
  <c r="K83" i="41"/>
  <c r="K111" i="41"/>
  <c r="K15" i="9"/>
  <c r="K56" i="16"/>
  <c r="AG79" i="16"/>
  <c r="AG56" i="9"/>
  <c r="AG83" i="41"/>
  <c r="AG111" i="41"/>
  <c r="AG85" i="16"/>
  <c r="AG56" i="41"/>
  <c r="AG77" i="41"/>
  <c r="AG15" i="9"/>
  <c r="AG56" i="16"/>
  <c r="U31" i="47"/>
  <c r="R86" i="48"/>
  <c r="U32" i="47"/>
  <c r="U30" i="47"/>
  <c r="R92" i="48"/>
  <c r="AI77" i="41"/>
  <c r="AI56" i="41"/>
  <c r="AI56" i="16"/>
  <c r="AI79" i="16"/>
  <c r="AI83" i="41"/>
  <c r="AI111" i="41"/>
  <c r="AI56" i="9"/>
  <c r="AI15" i="9"/>
  <c r="AI85" i="16"/>
  <c r="W56" i="15"/>
  <c r="W39" i="15"/>
  <c r="W42" i="15"/>
  <c r="R108" i="48"/>
  <c r="V53" i="12"/>
  <c r="P5" i="58"/>
  <c r="R227" i="48"/>
  <c r="V92" i="48"/>
  <c r="Y31" i="47"/>
  <c r="V86" i="48"/>
  <c r="Y30" i="47"/>
  <c r="Y32" i="47"/>
  <c r="AD231" i="12"/>
  <c r="AG187" i="22"/>
  <c r="AG189" i="22"/>
  <c r="AD228" i="12"/>
  <c r="AD232" i="12"/>
  <c r="N108" i="48"/>
  <c r="R53" i="12"/>
  <c r="N227" i="48"/>
  <c r="L5" i="58"/>
  <c r="AB76" i="41"/>
  <c r="AC31" i="41"/>
  <c r="AC75" i="41"/>
  <c r="AC78" i="41"/>
  <c r="F36" i="56"/>
  <c r="F37" i="56"/>
  <c r="F40" i="56"/>
  <c r="F83" i="56"/>
  <c r="Z145" i="12"/>
  <c r="T18" i="56"/>
  <c r="T12" i="56"/>
  <c r="T8" i="56"/>
  <c r="T10" i="56"/>
  <c r="U103" i="48"/>
  <c r="P231" i="12"/>
  <c r="P228" i="12"/>
  <c r="P232" i="12"/>
  <c r="AR61" i="55"/>
  <c r="O61" i="55"/>
  <c r="AM61" i="55"/>
  <c r="Q86" i="55"/>
  <c r="AH86" i="55"/>
  <c r="AF61" i="55"/>
  <c r="L61" i="55"/>
  <c r="O86" i="55"/>
  <c r="AN86" i="55"/>
  <c r="R61" i="55"/>
  <c r="U61" i="55"/>
  <c r="AM86" i="55"/>
  <c r="AL61" i="55"/>
  <c r="X61" i="55"/>
  <c r="U86" i="55"/>
  <c r="AU61" i="55"/>
  <c r="M86" i="55"/>
  <c r="I61" i="55"/>
  <c r="W86" i="55"/>
  <c r="N61" i="55"/>
  <c r="AE86" i="55"/>
  <c r="AH61" i="55"/>
  <c r="AR86" i="55"/>
  <c r="Y86" i="55"/>
  <c r="T86" i="55"/>
  <c r="AC86" i="55"/>
  <c r="X86" i="55"/>
  <c r="AK86" i="55"/>
  <c r="V86" i="55"/>
  <c r="F61" i="55"/>
  <c r="AN61" i="55"/>
  <c r="AX86" i="55"/>
  <c r="AB86" i="55"/>
  <c r="K61" i="55"/>
  <c r="AO86" i="55"/>
  <c r="AA61" i="55"/>
  <c r="AP61" i="55"/>
  <c r="AS86" i="55"/>
  <c r="AC61" i="55"/>
  <c r="M61" i="55"/>
  <c r="AU86" i="55"/>
  <c r="K86" i="55"/>
  <c r="L86" i="55"/>
  <c r="AP86" i="55"/>
  <c r="W61" i="55"/>
  <c r="S61" i="55"/>
  <c r="Y61" i="55"/>
  <c r="AQ61" i="55"/>
  <c r="AI61" i="55"/>
  <c r="AD61" i="55"/>
  <c r="N86" i="55"/>
  <c r="AG61" i="55"/>
  <c r="AO61" i="55"/>
  <c r="D56" i="55"/>
  <c r="AD86" i="55"/>
  <c r="AJ61" i="55"/>
  <c r="D61" i="55"/>
  <c r="AS61" i="55"/>
  <c r="AL86" i="55"/>
  <c r="AW61" i="55"/>
  <c r="S86" i="55"/>
  <c r="AF86" i="55"/>
  <c r="AK61" i="55"/>
  <c r="AB61" i="55"/>
  <c r="J86" i="55"/>
  <c r="AT86" i="55"/>
  <c r="V61" i="55"/>
  <c r="AG86" i="55"/>
  <c r="Z86" i="55"/>
  <c r="AV86" i="55"/>
  <c r="AJ86" i="55"/>
  <c r="J61" i="55"/>
  <c r="E61" i="55"/>
  <c r="Q61" i="55"/>
  <c r="Z61" i="55"/>
  <c r="P86" i="55"/>
  <c r="AA86" i="55"/>
  <c r="P61" i="55"/>
  <c r="R86" i="55"/>
  <c r="AW86" i="55"/>
  <c r="AV61" i="55"/>
  <c r="AT61" i="55"/>
  <c r="AE61" i="55"/>
  <c r="AQ86" i="55"/>
  <c r="AI86" i="55"/>
  <c r="T61" i="55"/>
  <c r="AA89" i="41"/>
  <c r="AA86" i="41"/>
  <c r="AA88" i="41"/>
  <c r="AV277" i="11"/>
  <c r="AU5" i="4"/>
  <c r="AU280" i="11"/>
  <c r="AU279" i="11"/>
  <c r="AL185" i="11"/>
  <c r="AL187" i="11"/>
  <c r="AL188" i="11"/>
  <c r="W118" i="56"/>
  <c r="W117" i="56"/>
  <c r="W120" i="56"/>
  <c r="Z232" i="12"/>
  <c r="Z228" i="12"/>
  <c r="Z231" i="12"/>
  <c r="AC85" i="48"/>
  <c r="AF26" i="47"/>
  <c r="AF27" i="47"/>
  <c r="Q42" i="15"/>
  <c r="Q39" i="15"/>
  <c r="Q56" i="15"/>
  <c r="L122" i="11"/>
  <c r="L193" i="11"/>
  <c r="L400" i="11"/>
  <c r="P90" i="16"/>
  <c r="P31" i="16"/>
  <c r="P77" i="16"/>
  <c r="P80" i="16"/>
  <c r="P91" i="16"/>
  <c r="AL58" i="9"/>
  <c r="AL30" i="9"/>
  <c r="AL33" i="9"/>
  <c r="AL35" i="9"/>
  <c r="AL20" i="47"/>
  <c r="AI91" i="48"/>
  <c r="AF160" i="41"/>
  <c r="AF87" i="47"/>
  <c r="AF18" i="14"/>
  <c r="AF157" i="41"/>
  <c r="AC84" i="48"/>
  <c r="AF18" i="47"/>
  <c r="AF22" i="47"/>
  <c r="U60" i="56"/>
  <c r="Y23" i="15"/>
  <c r="U9" i="56"/>
  <c r="T13" i="58"/>
  <c r="T11" i="58"/>
  <c r="T19" i="58"/>
  <c r="D97" i="11"/>
  <c r="H6" i="54"/>
  <c r="K10" i="18"/>
  <c r="K16" i="18"/>
  <c r="K42" i="18"/>
  <c r="K41" i="18"/>
  <c r="K102" i="18"/>
  <c r="L74" i="10"/>
  <c r="H38" i="56"/>
  <c r="L82" i="47"/>
  <c r="F127" i="58"/>
  <c r="K42" i="43"/>
  <c r="K44" i="43"/>
  <c r="K68" i="43"/>
  <c r="K71" i="43"/>
  <c r="K121" i="43"/>
  <c r="K123" i="43"/>
  <c r="R39" i="47"/>
  <c r="AF31" i="47"/>
  <c r="AC92" i="48"/>
  <c r="AC86" i="48"/>
  <c r="AF17" i="47"/>
  <c r="AF30" i="47"/>
  <c r="AF32" i="47"/>
  <c r="Q261" i="12"/>
  <c r="Q263" i="12"/>
  <c r="R260" i="12"/>
  <c r="X44" i="9"/>
  <c r="X20" i="9"/>
  <c r="X37" i="9"/>
  <c r="X12" i="17"/>
  <c r="AE509" i="22"/>
  <c r="AE541" i="22"/>
  <c r="X233" i="48"/>
  <c r="X36" i="41"/>
  <c r="X45" i="8"/>
  <c r="X52" i="8"/>
  <c r="X72" i="8"/>
  <c r="X75" i="8"/>
  <c r="X33" i="41"/>
  <c r="X35" i="41"/>
  <c r="AM234" i="11"/>
  <c r="AM235" i="11"/>
  <c r="AN232" i="11"/>
  <c r="AE40" i="47"/>
  <c r="Y92" i="43"/>
  <c r="Z203" i="12"/>
  <c r="Z222" i="12"/>
  <c r="Z225" i="12"/>
  <c r="AH56" i="15"/>
  <c r="AH39" i="15"/>
  <c r="AH42" i="15"/>
  <c r="V135" i="12"/>
  <c r="V65" i="12"/>
  <c r="S97" i="10"/>
  <c r="S100" i="10"/>
  <c r="S104" i="10"/>
  <c r="S23" i="14"/>
  <c r="T121" i="8"/>
  <c r="T74" i="3"/>
  <c r="T26" i="15"/>
  <c r="T29" i="15"/>
  <c r="T92" i="8"/>
  <c r="T99" i="8"/>
  <c r="T118" i="8"/>
  <c r="T32" i="15"/>
  <c r="K400" i="11"/>
  <c r="K122" i="11"/>
  <c r="K193" i="11"/>
  <c r="D193" i="11"/>
  <c r="L11" i="18"/>
  <c r="M262" i="12"/>
  <c r="L8" i="15"/>
  <c r="L11" i="55"/>
  <c r="Y38" i="56"/>
  <c r="AC82" i="47"/>
  <c r="AC74" i="10"/>
  <c r="N38" i="56"/>
  <c r="R82" i="47"/>
  <c r="R74" i="10"/>
  <c r="U15" i="18"/>
  <c r="U16" i="15"/>
  <c r="U15" i="55"/>
  <c r="AA518" i="22"/>
  <c r="AA513" i="22"/>
  <c r="T118" i="48"/>
  <c r="AV62" i="41"/>
  <c r="AV59" i="41"/>
  <c r="AV61" i="41"/>
  <c r="AB12" i="56"/>
  <c r="AB8" i="56"/>
  <c r="AB10" i="56"/>
  <c r="AE103" i="48"/>
  <c r="L67" i="12"/>
  <c r="J55" i="16"/>
  <c r="K54" i="16"/>
  <c r="K57" i="16"/>
  <c r="AI506" i="22"/>
  <c r="AI538" i="22"/>
  <c r="AB232" i="48"/>
  <c r="I85" i="48"/>
  <c r="L17" i="47"/>
  <c r="L26" i="47"/>
  <c r="L27" i="47"/>
  <c r="AA57" i="16"/>
  <c r="AA54" i="16"/>
  <c r="Z55" i="16"/>
  <c r="AE86" i="48"/>
  <c r="AH32" i="47"/>
  <c r="AE92" i="48"/>
  <c r="AH30" i="47"/>
  <c r="AH31" i="47"/>
  <c r="W17" i="9"/>
  <c r="X73" i="3"/>
  <c r="W56" i="17"/>
  <c r="W76" i="3"/>
  <c r="W75" i="3"/>
  <c r="M46" i="17"/>
  <c r="M31" i="9"/>
  <c r="M150" i="41"/>
  <c r="I52" i="15"/>
  <c r="N135" i="56"/>
  <c r="R13" i="14"/>
  <c r="R14" i="14"/>
  <c r="N36" i="56"/>
  <c r="N37" i="56"/>
  <c r="N40" i="56"/>
  <c r="N57" i="56"/>
  <c r="N62" i="56"/>
  <c r="N63" i="56"/>
  <c r="N101" i="56"/>
  <c r="AF85" i="16"/>
  <c r="AF111" i="41"/>
  <c r="AF83" i="41"/>
  <c r="AF77" i="41"/>
  <c r="AF79" i="16"/>
  <c r="AF56" i="41"/>
  <c r="AF56" i="9"/>
  <c r="AF15" i="9"/>
  <c r="AF56" i="16"/>
  <c r="AA84" i="41"/>
  <c r="AA81" i="41"/>
  <c r="Z82" i="41"/>
  <c r="AH84" i="48"/>
  <c r="AK18" i="47"/>
  <c r="AK42" i="43"/>
  <c r="AK44" i="43"/>
  <c r="AK68" i="43"/>
  <c r="AK71" i="43"/>
  <c r="AK121" i="43"/>
  <c r="AK12" i="47"/>
  <c r="AK15" i="47"/>
  <c r="AK17" i="47"/>
  <c r="AK22" i="47"/>
  <c r="S14" i="18"/>
  <c r="S90" i="10"/>
  <c r="S11" i="15"/>
  <c r="S14" i="55"/>
  <c r="AF78" i="41"/>
  <c r="AF31" i="41"/>
  <c r="AF75" i="41"/>
  <c r="AE76" i="41"/>
  <c r="AC17" i="9"/>
  <c r="AC75" i="3"/>
  <c r="AC56" i="17"/>
  <c r="AC76" i="3"/>
  <c r="AD73" i="3"/>
  <c r="L18" i="9"/>
  <c r="L55" i="9"/>
  <c r="AI160" i="41"/>
  <c r="AI157" i="41"/>
  <c r="AI18" i="14"/>
  <c r="AI87" i="47"/>
  <c r="AA79" i="47"/>
  <c r="X98" i="48"/>
  <c r="AA83" i="47"/>
  <c r="AA78" i="47"/>
  <c r="AA80" i="47"/>
  <c r="AH115" i="41"/>
  <c r="AH108" i="10"/>
  <c r="AH24" i="9"/>
  <c r="AH110" i="41"/>
  <c r="J118" i="56"/>
  <c r="J117" i="56"/>
  <c r="J120" i="56"/>
  <c r="S156" i="41"/>
  <c r="S158" i="41"/>
  <c r="S162" i="41"/>
  <c r="AE103" i="11"/>
  <c r="AE167" i="11"/>
  <c r="Z61" i="58"/>
  <c r="Z70" i="58"/>
  <c r="AF133" i="41"/>
  <c r="AF131" i="41"/>
  <c r="S278" i="11"/>
  <c r="S280" i="11"/>
  <c r="T277" i="11"/>
  <c r="X25" i="4"/>
  <c r="X24" i="4"/>
  <c r="AL64" i="16"/>
  <c r="AL59" i="16"/>
  <c r="AL63" i="16"/>
  <c r="AN61" i="41"/>
  <c r="AN59" i="41"/>
  <c r="AN62" i="41"/>
  <c r="I21" i="55"/>
  <c r="I23" i="55"/>
  <c r="I57" i="55"/>
  <c r="I56" i="55"/>
  <c r="I86" i="55"/>
  <c r="C86" i="55"/>
  <c r="W51" i="47"/>
  <c r="W5" i="47"/>
  <c r="O42" i="56"/>
  <c r="O41" i="56"/>
  <c r="O116" i="56"/>
  <c r="AL48" i="41"/>
  <c r="AL31" i="41"/>
  <c r="AL75" i="41"/>
  <c r="AI55" i="58"/>
  <c r="K97" i="11"/>
  <c r="K157" i="11"/>
  <c r="F45" i="58"/>
  <c r="F55" i="58"/>
  <c r="AH55" i="58"/>
  <c r="AM279" i="11"/>
  <c r="AM5" i="4"/>
  <c r="AM280" i="11"/>
  <c r="AN277" i="11"/>
  <c r="K110" i="41"/>
  <c r="K108" i="10"/>
  <c r="K24" i="9"/>
  <c r="K115" i="41"/>
  <c r="AE114" i="58"/>
  <c r="AE105" i="58"/>
  <c r="AA51" i="41"/>
  <c r="AA48" i="41"/>
  <c r="Z49" i="41"/>
  <c r="V38" i="56"/>
  <c r="Z82" i="47"/>
  <c r="Z74" i="10"/>
  <c r="N87" i="47"/>
  <c r="N160" i="41"/>
  <c r="N18" i="14"/>
  <c r="N157" i="41"/>
  <c r="AH11" i="55"/>
  <c r="AI262" i="12"/>
  <c r="AH8" i="15"/>
  <c r="AH11" i="18"/>
  <c r="AC39" i="47"/>
  <c r="N109" i="58"/>
  <c r="N100" i="58"/>
  <c r="N107" i="58"/>
  <c r="V160" i="41"/>
  <c r="V157" i="41"/>
  <c r="V18" i="14"/>
  <c r="V87" i="47"/>
  <c r="Y12" i="55"/>
  <c r="Y234" i="11"/>
  <c r="Y9" i="15"/>
  <c r="Y12" i="18"/>
  <c r="T13" i="55"/>
  <c r="T279" i="11"/>
  <c r="T10" i="15"/>
  <c r="T13" i="18"/>
  <c r="AH261" i="12"/>
  <c r="AH263" i="12"/>
  <c r="AI260" i="12"/>
  <c r="T75" i="3"/>
  <c r="T17" i="9"/>
  <c r="T56" i="17"/>
  <c r="T59" i="3"/>
  <c r="T70" i="3"/>
  <c r="T76" i="3"/>
  <c r="U73" i="3"/>
  <c r="AE160" i="41"/>
  <c r="AE157" i="41"/>
  <c r="AE18" i="14"/>
  <c r="AE87" i="47"/>
  <c r="AE21" i="55"/>
  <c r="AE23" i="55"/>
  <c r="AE57" i="55"/>
  <c r="AE56" i="55"/>
  <c r="Y84" i="16"/>
  <c r="Z83" i="16"/>
  <c r="Z86" i="16"/>
  <c r="O57" i="41"/>
  <c r="O32" i="41"/>
  <c r="O54" i="41"/>
  <c r="N55" i="41"/>
  <c r="S62" i="41"/>
  <c r="S59" i="41"/>
  <c r="S61" i="41"/>
  <c r="AI36" i="41"/>
  <c r="AI33" i="41"/>
  <c r="AI35" i="41"/>
  <c r="AS61" i="41"/>
  <c r="AS54" i="8"/>
  <c r="AS59" i="41"/>
  <c r="AS62" i="41"/>
  <c r="T62" i="41"/>
  <c r="T59" i="41"/>
  <c r="T61" i="41"/>
  <c r="AJ12" i="55"/>
  <c r="AJ234" i="11"/>
  <c r="AJ9" i="15"/>
  <c r="AJ12" i="18"/>
  <c r="AA489" i="22"/>
  <c r="S57" i="41"/>
  <c r="S54" i="41"/>
  <c r="R55" i="41"/>
  <c r="U91" i="12"/>
  <c r="O58" i="10"/>
  <c r="O55" i="10"/>
  <c r="O51" i="10"/>
  <c r="U76" i="10"/>
  <c r="U65" i="10"/>
  <c r="AM99" i="10"/>
  <c r="U29" i="17"/>
  <c r="U66" i="10"/>
  <c r="AJ126" i="11"/>
  <c r="AJ197" i="11"/>
  <c r="AJ410" i="11"/>
  <c r="S250" i="11"/>
  <c r="S266" i="11"/>
  <c r="S271" i="11"/>
  <c r="S58" i="3"/>
  <c r="AD92" i="58"/>
  <c r="AD83" i="58"/>
  <c r="AI181" i="11"/>
  <c r="AI113" i="11"/>
  <c r="AF46" i="17"/>
  <c r="AC165" i="22"/>
  <c r="AC175" i="22"/>
  <c r="AK135" i="12"/>
  <c r="AK65" i="12"/>
  <c r="AA31" i="58"/>
  <c r="AA27" i="58"/>
  <c r="M25" i="47"/>
  <c r="M24" i="47"/>
  <c r="M388" i="11"/>
  <c r="M384" i="11"/>
  <c r="AA83" i="56"/>
  <c r="AH232" i="11"/>
  <c r="Q196" i="12"/>
  <c r="Q192" i="12"/>
  <c r="AJ28" i="17"/>
  <c r="P141" i="56"/>
  <c r="P140" i="56"/>
  <c r="G141" i="56"/>
  <c r="G140" i="56"/>
  <c r="S27" i="17"/>
  <c r="AL66" i="55"/>
  <c r="AL67" i="55"/>
  <c r="AL29" i="55"/>
  <c r="AL28" i="55"/>
  <c r="AH210" i="12"/>
  <c r="AK187" i="22"/>
  <c r="AK189" i="22"/>
  <c r="AH207" i="12"/>
  <c r="AG42" i="47"/>
  <c r="AG41" i="47"/>
  <c r="AG37" i="47"/>
  <c r="D346" i="11"/>
  <c r="AF141" i="56"/>
  <c r="AF140" i="56"/>
  <c r="S25" i="12"/>
  <c r="S24" i="12"/>
  <c r="AB217" i="11"/>
  <c r="AB216" i="11"/>
  <c r="L42" i="3"/>
  <c r="L40" i="3"/>
  <c r="L37" i="3"/>
  <c r="AA55" i="9"/>
  <c r="V39" i="47"/>
  <c r="M17" i="56"/>
  <c r="N102" i="48"/>
  <c r="J208" i="12"/>
  <c r="D104" i="11"/>
  <c r="AM119" i="12"/>
  <c r="AM118" i="12"/>
  <c r="AM108" i="12"/>
  <c r="AP468" i="22"/>
  <c r="AP479" i="22"/>
  <c r="AP508" i="22"/>
  <c r="D109" i="56"/>
  <c r="D107" i="56"/>
  <c r="D105" i="56"/>
  <c r="AH101" i="56"/>
  <c r="AK14" i="47"/>
  <c r="AK382" i="11"/>
  <c r="AK379" i="11"/>
  <c r="Y208" i="12"/>
  <c r="AL39" i="47"/>
  <c r="U25" i="47"/>
  <c r="U24" i="47"/>
  <c r="U388" i="11"/>
  <c r="U384" i="11"/>
  <c r="D25" i="3"/>
  <c r="D23" i="3"/>
  <c r="D181" i="11"/>
  <c r="S105" i="41"/>
  <c r="N10" i="58"/>
  <c r="S46" i="14"/>
  <c r="S210" i="11"/>
  <c r="S134" i="11"/>
  <c r="AI261" i="12"/>
  <c r="AI263" i="12"/>
  <c r="AJ260" i="12"/>
  <c r="AE34" i="3"/>
  <c r="AE33" i="16"/>
  <c r="T25" i="16"/>
  <c r="T24" i="16"/>
  <c r="AH217" i="11"/>
  <c r="AH216" i="11"/>
  <c r="W25" i="47"/>
  <c r="W24" i="47"/>
  <c r="W388" i="11"/>
  <c r="W384" i="11"/>
  <c r="AN514" i="22"/>
  <c r="AG194" i="12"/>
  <c r="AG134" i="12"/>
  <c r="AB267" i="11"/>
  <c r="AB251" i="11"/>
  <c r="T62" i="47"/>
  <c r="T405" i="11"/>
  <c r="T403" i="11"/>
  <c r="AD210" i="11"/>
  <c r="AD134" i="11"/>
  <c r="AA47" i="17"/>
  <c r="AA32" i="9"/>
  <c r="AA45" i="13"/>
  <c r="AA39" i="13"/>
  <c r="V270" i="11"/>
  <c r="V254" i="11"/>
  <c r="N103" i="12"/>
  <c r="O88" i="16"/>
  <c r="O59" i="16"/>
  <c r="AF188" i="11"/>
  <c r="AF187" i="11"/>
  <c r="AF185" i="11"/>
  <c r="O208" i="12"/>
  <c r="AA193" i="12"/>
  <c r="AA133" i="12"/>
  <c r="AC74" i="8"/>
  <c r="AC67" i="8"/>
  <c r="AC66" i="8"/>
  <c r="AJ29" i="47"/>
  <c r="AJ391" i="11"/>
  <c r="Z90" i="16"/>
  <c r="Z80" i="16"/>
  <c r="AO181" i="22"/>
  <c r="AO172" i="22"/>
  <c r="Y522" i="22"/>
  <c r="Y511" i="22"/>
  <c r="Z50" i="58"/>
  <c r="Z40" i="58"/>
  <c r="AE152" i="11"/>
  <c r="AE92" i="11"/>
  <c r="AA225" i="12"/>
  <c r="AR102" i="41"/>
  <c r="AR5" i="41"/>
  <c r="J147" i="41"/>
  <c r="J27" i="9"/>
  <c r="U252" i="12"/>
  <c r="U242" i="12"/>
  <c r="M69" i="43"/>
  <c r="M54" i="43"/>
  <c r="M50" i="43"/>
  <c r="U63" i="12"/>
  <c r="U133" i="12"/>
  <c r="U193" i="12"/>
  <c r="R35" i="16"/>
  <c r="AT102" i="41"/>
  <c r="AT5" i="41"/>
  <c r="M36" i="15"/>
  <c r="M54" i="15"/>
  <c r="S223" i="12"/>
  <c r="S243" i="12"/>
  <c r="S247" i="12"/>
  <c r="S248" i="12"/>
  <c r="S261" i="12"/>
  <c r="S263" i="12"/>
  <c r="T260" i="12"/>
  <c r="M106" i="12"/>
  <c r="M112" i="12"/>
  <c r="M113" i="12"/>
  <c r="AG11" i="54"/>
  <c r="AJ66" i="18"/>
  <c r="W152" i="41"/>
  <c r="W150" i="41"/>
  <c r="AF31" i="9"/>
  <c r="AF150" i="41"/>
  <c r="AF152" i="41"/>
  <c r="AC138" i="41"/>
  <c r="AC125" i="41"/>
  <c r="AA58" i="3"/>
  <c r="AD260" i="12"/>
  <c r="M42" i="47"/>
  <c r="M41" i="47"/>
  <c r="M37" i="47"/>
  <c r="AI55" i="9"/>
  <c r="H110" i="48"/>
  <c r="H107" i="48"/>
  <c r="AK210" i="12"/>
  <c r="AK207" i="12"/>
  <c r="AC52" i="15"/>
  <c r="Q52" i="15"/>
  <c r="AE266" i="11"/>
  <c r="AE271" i="11"/>
  <c r="AE278" i="11"/>
  <c r="AE10" i="14"/>
  <c r="AB208" i="11"/>
  <c r="AB132" i="11"/>
  <c r="AE238" i="12"/>
  <c r="AE237" i="12"/>
  <c r="AH226" i="22"/>
  <c r="AE25" i="4"/>
  <c r="AE24" i="4"/>
  <c r="AJ207" i="11"/>
  <c r="AJ131" i="11"/>
  <c r="U20" i="47"/>
  <c r="R91" i="48"/>
  <c r="T139" i="41"/>
  <c r="T137" i="41"/>
  <c r="T124" i="41"/>
  <c r="O49" i="14"/>
  <c r="O52" i="14"/>
  <c r="W25" i="41"/>
  <c r="W24" i="41"/>
  <c r="AB224" i="12"/>
  <c r="T52" i="15"/>
  <c r="Q62" i="47"/>
  <c r="Q405" i="11"/>
  <c r="Q403" i="11"/>
  <c r="AG28" i="17"/>
  <c r="AH77" i="47"/>
  <c r="AH414" i="11"/>
  <c r="AK145" i="12"/>
  <c r="W55" i="9"/>
  <c r="N26" i="58"/>
  <c r="N30" i="58"/>
  <c r="AD208" i="11"/>
  <c r="AD132" i="11"/>
  <c r="J83" i="56"/>
  <c r="AG127" i="56"/>
  <c r="AG126" i="56"/>
  <c r="W36" i="56"/>
  <c r="W37" i="56"/>
  <c r="W40" i="56"/>
  <c r="W57" i="56"/>
  <c r="W62" i="56"/>
  <c r="W64" i="56"/>
  <c r="X25" i="10"/>
  <c r="X24" i="10"/>
  <c r="AC83" i="56"/>
  <c r="Q74" i="8"/>
  <c r="Q67" i="8"/>
  <c r="Q66" i="8"/>
  <c r="X61" i="47"/>
  <c r="X398" i="11"/>
  <c r="Y174" i="11"/>
  <c r="Y173" i="11"/>
  <c r="Y171" i="11"/>
  <c r="T103" i="55"/>
  <c r="AB255" i="11"/>
  <c r="AA25" i="8"/>
  <c r="AA24" i="8"/>
  <c r="J78" i="16"/>
  <c r="U138" i="58"/>
  <c r="U137" i="58"/>
  <c r="R102" i="41"/>
  <c r="R5" i="41"/>
  <c r="S331" i="11"/>
  <c r="T331" i="11"/>
  <c r="AI208" i="12"/>
  <c r="AB127" i="56"/>
  <c r="AB126" i="56"/>
  <c r="AL208" i="11"/>
  <c r="AL132" i="11"/>
  <c r="R202" i="22"/>
  <c r="R204" i="22"/>
  <c r="O229" i="12"/>
  <c r="O233" i="12"/>
  <c r="S268" i="11"/>
  <c r="S252" i="11"/>
  <c r="X195" i="12"/>
  <c r="X136" i="12"/>
  <c r="X255" i="11"/>
  <c r="AB517" i="22"/>
  <c r="O23" i="14"/>
  <c r="O104" i="10"/>
  <c r="O100" i="10"/>
  <c r="O97" i="10"/>
  <c r="AA203" i="12"/>
  <c r="AA222" i="12"/>
  <c r="AA242" i="12"/>
  <c r="AA252" i="12"/>
  <c r="C58" i="2"/>
  <c r="AV34" i="3"/>
  <c r="AV75" i="8"/>
  <c r="AV73" i="8"/>
  <c r="AV58" i="8"/>
  <c r="AV57" i="8"/>
  <c r="M77" i="47"/>
  <c r="M414" i="11"/>
  <c r="AF25" i="3"/>
  <c r="AF24" i="3"/>
  <c r="AG14" i="47"/>
  <c r="AG382" i="11"/>
  <c r="AG379" i="11"/>
  <c r="AB123" i="43"/>
  <c r="W127" i="58"/>
  <c r="M61" i="47"/>
  <c r="M398" i="11"/>
  <c r="AJ277" i="11"/>
  <c r="K127" i="11"/>
  <c r="D127" i="11"/>
  <c r="AI18" i="47"/>
  <c r="AF84" i="48"/>
  <c r="AI22" i="47"/>
  <c r="O44" i="4"/>
  <c r="O51" i="4"/>
  <c r="O50" i="10"/>
  <c r="O54" i="10"/>
  <c r="AE165" i="12"/>
  <c r="N103" i="18"/>
  <c r="M178" i="41"/>
  <c r="K7" i="54"/>
  <c r="AG260" i="12"/>
  <c r="AL28" i="18"/>
  <c r="AL29" i="18"/>
  <c r="AL67" i="18"/>
  <c r="AI12" i="54"/>
  <c r="R211" i="22"/>
  <c r="O51" i="41"/>
  <c r="O48" i="41"/>
  <c r="N49" i="41"/>
  <c r="AG7" i="58"/>
  <c r="AM55" i="12"/>
  <c r="AP140" i="22"/>
  <c r="AI112" i="48"/>
  <c r="U210" i="22"/>
  <c r="U212" i="22"/>
  <c r="R209" i="12"/>
  <c r="R230" i="12"/>
  <c r="R234" i="12"/>
  <c r="AJ28" i="18"/>
  <c r="AJ29" i="18"/>
  <c r="AJ67" i="18"/>
  <c r="AG12" i="54"/>
  <c r="S26" i="43"/>
  <c r="S25" i="43"/>
  <c r="V27" i="17"/>
  <c r="S111" i="58"/>
  <c r="X123" i="11"/>
  <c r="X194" i="11"/>
  <c r="S102" i="58"/>
  <c r="AI33" i="16"/>
  <c r="AI14" i="15"/>
  <c r="AI20" i="15"/>
  <c r="AI45" i="8"/>
  <c r="AI52" i="8"/>
  <c r="AI72" i="8"/>
  <c r="AI75" i="8"/>
  <c r="AI34" i="3"/>
  <c r="D94" i="11"/>
  <c r="Z107" i="10"/>
  <c r="Z14" i="9"/>
  <c r="P213" i="12"/>
  <c r="D197" i="11"/>
  <c r="X19" i="58"/>
  <c r="X11" i="58"/>
  <c r="X13" i="58"/>
  <c r="AF49" i="14"/>
  <c r="AF52" i="14"/>
  <c r="O99" i="10"/>
  <c r="O64" i="10"/>
  <c r="T69" i="10"/>
  <c r="V72" i="12"/>
  <c r="V86" i="12"/>
  <c r="V87" i="12"/>
  <c r="AI232" i="11"/>
  <c r="L55" i="16"/>
  <c r="M54" i="16"/>
  <c r="M57" i="16"/>
  <c r="P57" i="12"/>
  <c r="P52" i="12"/>
  <c r="M13" i="56"/>
  <c r="M14" i="56"/>
  <c r="M18" i="56"/>
  <c r="AK48" i="14"/>
  <c r="AK51" i="14"/>
  <c r="I113" i="43"/>
  <c r="I114" i="43"/>
  <c r="I60" i="47"/>
  <c r="AE64" i="16"/>
  <c r="AE59" i="16"/>
  <c r="AE63" i="16"/>
  <c r="F125" i="58"/>
  <c r="L137" i="12"/>
  <c r="Q25" i="41"/>
  <c r="Q24" i="41"/>
  <c r="AC132" i="41"/>
  <c r="AC114" i="41"/>
  <c r="AC121" i="41"/>
  <c r="AH61" i="41"/>
  <c r="AH59" i="41"/>
  <c r="AH62" i="41"/>
  <c r="AJ232" i="11"/>
  <c r="AK165" i="12"/>
  <c r="AB241" i="12"/>
  <c r="AB251" i="12"/>
  <c r="S166" i="41"/>
  <c r="S168" i="41"/>
  <c r="S175" i="41"/>
  <c r="S517" i="22"/>
  <c r="AD55" i="9"/>
  <c r="J25" i="3"/>
  <c r="J23" i="3"/>
  <c r="AG232" i="11"/>
  <c r="AJ51" i="10"/>
  <c r="AJ54" i="10"/>
  <c r="AD62" i="41"/>
  <c r="AD59" i="41"/>
  <c r="AD61" i="41"/>
  <c r="AC116" i="56"/>
  <c r="AC36" i="56"/>
  <c r="AC37" i="56"/>
  <c r="AC40" i="56"/>
  <c r="AC41" i="56"/>
  <c r="AC42" i="56"/>
  <c r="W35" i="47"/>
  <c r="W34" i="47"/>
  <c r="AE103" i="55"/>
  <c r="O87" i="12"/>
  <c r="O86" i="12"/>
  <c r="O72" i="12"/>
  <c r="T10" i="55"/>
  <c r="T16" i="55"/>
  <c r="T42" i="55"/>
  <c r="T41" i="55"/>
  <c r="T102" i="55"/>
  <c r="AD42" i="3"/>
  <c r="AD40" i="3"/>
  <c r="AD37" i="3"/>
  <c r="AJ270" i="11"/>
  <c r="AJ254" i="11"/>
  <c r="R86" i="47"/>
  <c r="R17" i="14"/>
  <c r="K91" i="16"/>
  <c r="K31" i="16"/>
  <c r="K77" i="16"/>
  <c r="K80" i="16"/>
  <c r="K90" i="16"/>
  <c r="U122" i="48"/>
  <c r="U117" i="48"/>
  <c r="W36" i="15"/>
  <c r="W54" i="15"/>
  <c r="AB10" i="14"/>
  <c r="T51" i="41"/>
  <c r="T31" i="41"/>
  <c r="T48" i="41"/>
  <c r="S49" i="41"/>
  <c r="AL202" i="22"/>
  <c r="AL204" i="22"/>
  <c r="AI229" i="12"/>
  <c r="AI233" i="12"/>
  <c r="AJ27" i="47"/>
  <c r="AJ26" i="47"/>
  <c r="AG85" i="48"/>
  <c r="Z88" i="41"/>
  <c r="Z86" i="41"/>
  <c r="Z89" i="41"/>
  <c r="AB51" i="58"/>
  <c r="AB41" i="58"/>
  <c r="H141" i="58"/>
  <c r="H140" i="58"/>
  <c r="Y140" i="22"/>
  <c r="Y468" i="22"/>
  <c r="Y479" i="22"/>
  <c r="Y508" i="22"/>
  <c r="Y165" i="12"/>
  <c r="P42" i="3"/>
  <c r="P40" i="3"/>
  <c r="P37" i="3"/>
  <c r="BA132" i="41"/>
  <c r="L132" i="41"/>
  <c r="U26" i="9"/>
  <c r="U117" i="41"/>
  <c r="Y481" i="22"/>
  <c r="U39" i="47"/>
  <c r="AB59" i="56"/>
  <c r="AB58" i="56"/>
  <c r="O107" i="10"/>
  <c r="O14" i="9"/>
  <c r="E45" i="56"/>
  <c r="E47" i="56"/>
  <c r="E49" i="56"/>
  <c r="E50" i="56"/>
  <c r="N11" i="19"/>
  <c r="G13" i="2"/>
  <c r="H74" i="2"/>
  <c r="K232" i="11"/>
  <c r="V52" i="15"/>
  <c r="AQ29" i="17"/>
  <c r="AQ66" i="10"/>
  <c r="O60" i="56"/>
  <c r="S23" i="15"/>
  <c r="O9" i="56"/>
  <c r="AG146" i="41"/>
  <c r="AG9" i="9"/>
  <c r="AG54" i="9"/>
  <c r="AI10" i="14"/>
  <c r="AF85" i="48"/>
  <c r="AI17" i="47"/>
  <c r="AI26" i="47"/>
  <c r="AI27" i="47"/>
  <c r="E60" i="56"/>
  <c r="D23" i="15"/>
  <c r="AB212" i="11"/>
  <c r="AB136" i="11"/>
  <c r="AE42" i="47"/>
  <c r="AE41" i="47"/>
  <c r="AE37" i="47"/>
  <c r="N268" i="11"/>
  <c r="N252" i="11"/>
  <c r="K6" i="54"/>
  <c r="N10" i="18"/>
  <c r="N16" i="18"/>
  <c r="N42" i="18"/>
  <c r="N41" i="18"/>
  <c r="N102" i="18"/>
  <c r="AE11" i="55"/>
  <c r="AF261" i="12"/>
  <c r="AF263" i="12"/>
  <c r="AF262" i="12"/>
  <c r="AE8" i="15"/>
  <c r="AE11" i="18"/>
  <c r="P27" i="15"/>
  <c r="P351" i="11"/>
  <c r="P110" i="41"/>
  <c r="P108" i="10"/>
  <c r="P24" i="9"/>
  <c r="P115" i="41"/>
  <c r="AE12" i="56"/>
  <c r="AE8" i="56"/>
  <c r="AE10" i="56"/>
  <c r="AH103" i="48"/>
  <c r="L375" i="11"/>
  <c r="L165" i="11"/>
  <c r="D165" i="11"/>
  <c r="E67" i="41"/>
  <c r="E66" i="41"/>
  <c r="E65" i="41"/>
  <c r="U148" i="22"/>
  <c r="U211" i="22"/>
  <c r="AN63" i="16"/>
  <c r="AN54" i="8"/>
  <c r="AN59" i="16"/>
  <c r="AN64" i="16"/>
  <c r="D167" i="11"/>
  <c r="AC91" i="48"/>
  <c r="AF42" i="43"/>
  <c r="AF44" i="43"/>
  <c r="AF68" i="43"/>
  <c r="AF71" i="43"/>
  <c r="AF121" i="43"/>
  <c r="AF12" i="47"/>
  <c r="AF15" i="47"/>
  <c r="AF20" i="47"/>
  <c r="AO63" i="16"/>
  <c r="AO54" i="8"/>
  <c r="AO59" i="16"/>
  <c r="AO64" i="16"/>
  <c r="N14" i="47"/>
  <c r="N382" i="11"/>
  <c r="N379" i="11"/>
  <c r="T42" i="3"/>
  <c r="T40" i="3"/>
  <c r="T24" i="15"/>
  <c r="T37" i="3"/>
  <c r="S489" i="22"/>
  <c r="AG185" i="11"/>
  <c r="AG187" i="11"/>
  <c r="AG188" i="11"/>
  <c r="M52" i="14"/>
  <c r="M49" i="14"/>
  <c r="M40" i="13"/>
  <c r="AH82" i="47"/>
  <c r="AD38" i="56"/>
  <c r="AH74" i="10"/>
  <c r="AF12" i="54"/>
  <c r="AL22" i="47"/>
  <c r="AL18" i="47"/>
  <c r="AI84" i="48"/>
  <c r="AI114" i="58"/>
  <c r="K126" i="11"/>
  <c r="K197" i="11"/>
  <c r="F105" i="58"/>
  <c r="F114" i="58"/>
  <c r="AH114" i="58"/>
  <c r="J123" i="43"/>
  <c r="J50" i="43"/>
  <c r="J54" i="43"/>
  <c r="J69" i="43"/>
  <c r="J71" i="43"/>
  <c r="J121" i="43"/>
  <c r="E127" i="58"/>
  <c r="O92" i="8"/>
  <c r="O29" i="15"/>
  <c r="O26" i="15"/>
  <c r="O74" i="3"/>
  <c r="R255" i="11"/>
  <c r="U57" i="41"/>
  <c r="U32" i="41"/>
  <c r="U54" i="41"/>
  <c r="T55" i="41"/>
  <c r="AW63" i="16"/>
  <c r="AW54" i="8"/>
  <c r="AW59" i="16"/>
  <c r="AW64" i="16"/>
  <c r="R66" i="55"/>
  <c r="R67" i="55"/>
  <c r="R29" i="55"/>
  <c r="R28" i="55"/>
  <c r="AD57" i="12"/>
  <c r="AD52" i="12"/>
  <c r="N23" i="14"/>
  <c r="N104" i="10"/>
  <c r="N100" i="10"/>
  <c r="N97" i="10"/>
  <c r="W54" i="9"/>
  <c r="W9" i="9"/>
  <c r="W146" i="41"/>
  <c r="AH208" i="12"/>
  <c r="AG55" i="9"/>
  <c r="AB39" i="47"/>
  <c r="Q208" i="12"/>
  <c r="T55" i="9"/>
  <c r="AC123" i="43"/>
  <c r="X127" i="58"/>
  <c r="AC103" i="12"/>
  <c r="Q32" i="58"/>
  <c r="Q23" i="58"/>
  <c r="X94" i="58"/>
  <c r="X85" i="58"/>
  <c r="AC183" i="11"/>
  <c r="AC115" i="11"/>
  <c r="K34" i="43"/>
  <c r="L200" i="12"/>
  <c r="L218" i="12"/>
  <c r="L223" i="12"/>
  <c r="L243" i="12"/>
  <c r="L247" i="12"/>
  <c r="L248" i="12"/>
  <c r="K8" i="14"/>
  <c r="F140" i="58"/>
  <c r="F141" i="58"/>
  <c r="Q68" i="58"/>
  <c r="Q59" i="58"/>
  <c r="L62" i="12"/>
  <c r="L132" i="12"/>
  <c r="L192" i="12"/>
  <c r="L196" i="12"/>
  <c r="S89" i="41"/>
  <c r="S86" i="41"/>
  <c r="S88" i="41"/>
  <c r="T26" i="43"/>
  <c r="T25" i="43"/>
  <c r="N73" i="47"/>
  <c r="N412" i="11"/>
  <c r="N408" i="11"/>
  <c r="AU86" i="16"/>
  <c r="AU84" i="16"/>
  <c r="P15" i="18"/>
  <c r="P16" i="15"/>
  <c r="P15" i="55"/>
  <c r="AF208" i="12"/>
  <c r="R90" i="47"/>
  <c r="R89" i="47"/>
  <c r="R85" i="47"/>
  <c r="T194" i="12"/>
  <c r="T134" i="12"/>
  <c r="K142" i="11"/>
  <c r="D91" i="11"/>
  <c r="AC266" i="11"/>
  <c r="AC271" i="11"/>
  <c r="AC58" i="3"/>
  <c r="AS5" i="55"/>
  <c r="AS5" i="10"/>
  <c r="AS5" i="8"/>
  <c r="AS5" i="18"/>
  <c r="AS5" i="43"/>
  <c r="AS5" i="11"/>
  <c r="AS5" i="17"/>
  <c r="AS5" i="16"/>
  <c r="AS5" i="13"/>
  <c r="AS5" i="3"/>
  <c r="V489" i="22"/>
  <c r="AJ34" i="4"/>
  <c r="AJ36" i="4"/>
  <c r="AJ44" i="4"/>
  <c r="AJ51" i="4"/>
  <c r="AJ50" i="10"/>
  <c r="AJ52" i="10"/>
  <c r="AM53" i="10"/>
  <c r="AK102" i="48"/>
  <c r="O57" i="19"/>
  <c r="D105" i="8"/>
  <c r="R6" i="54"/>
  <c r="U41" i="18"/>
  <c r="U102" i="18"/>
  <c r="AE10" i="55"/>
  <c r="AE16" i="55"/>
  <c r="AE42" i="55"/>
  <c r="AE41" i="55"/>
  <c r="AE102" i="55"/>
  <c r="AN485" i="22"/>
  <c r="AK99" i="12"/>
  <c r="AK124" i="12"/>
  <c r="AK141" i="12"/>
  <c r="AK162" i="12"/>
  <c r="Y212" i="11"/>
  <c r="Y136" i="11"/>
  <c r="V12" i="17"/>
  <c r="V20" i="9"/>
  <c r="V37" i="9"/>
  <c r="V44" i="9"/>
  <c r="C61" i="2"/>
  <c r="M27" i="19"/>
  <c r="R86" i="16"/>
  <c r="R83" i="16"/>
  <c r="Q84" i="16"/>
  <c r="K120" i="41"/>
  <c r="AE35" i="9"/>
  <c r="AE30" i="9"/>
  <c r="AE33" i="9"/>
  <c r="AE58" i="9"/>
  <c r="P121" i="41"/>
  <c r="P114" i="41"/>
  <c r="P132" i="41"/>
  <c r="Q86" i="16"/>
  <c r="Q83" i="16"/>
  <c r="P84" i="16"/>
  <c r="D24" i="16"/>
  <c r="L24" i="16"/>
  <c r="L25" i="16"/>
  <c r="W49" i="14"/>
  <c r="W52" i="14"/>
  <c r="AC95" i="58"/>
  <c r="AC86" i="58"/>
  <c r="AH184" i="11"/>
  <c r="AH116" i="11"/>
  <c r="W42" i="3"/>
  <c r="W40" i="3"/>
  <c r="W37" i="3"/>
  <c r="I79" i="10"/>
  <c r="D79" i="10"/>
  <c r="AJ194" i="12"/>
  <c r="AJ134" i="12"/>
  <c r="R25" i="3"/>
  <c r="R24" i="3"/>
  <c r="AI517" i="22"/>
  <c r="Q25" i="47"/>
  <c r="Q24" i="47"/>
  <c r="Q388" i="11"/>
  <c r="Q384" i="11"/>
  <c r="AD11" i="54"/>
  <c r="AG66" i="18"/>
  <c r="AB13" i="47"/>
  <c r="AB373" i="11"/>
  <c r="G19" i="56"/>
  <c r="G11" i="56"/>
  <c r="G15" i="56"/>
  <c r="K25" i="3"/>
  <c r="K23" i="3"/>
  <c r="R38" i="47"/>
  <c r="Q358" i="11"/>
  <c r="Q359" i="11"/>
  <c r="R361" i="11"/>
  <c r="R15" i="15"/>
  <c r="AI255" i="11"/>
  <c r="AE69" i="58"/>
  <c r="AE60" i="58"/>
  <c r="AJ166" i="11"/>
  <c r="AJ102" i="11"/>
  <c r="L65" i="10"/>
  <c r="L76" i="10"/>
  <c r="R103" i="56"/>
  <c r="R100" i="56"/>
  <c r="R102" i="56"/>
  <c r="R139" i="56"/>
  <c r="I78" i="16"/>
  <c r="AK176" i="12"/>
  <c r="Z20" i="47"/>
  <c r="W91" i="48"/>
  <c r="AG54" i="15"/>
  <c r="AG42" i="15"/>
  <c r="AG36" i="15"/>
  <c r="AG39" i="15"/>
  <c r="AG56" i="15"/>
  <c r="N208" i="12"/>
  <c r="W52" i="15"/>
  <c r="U7" i="54"/>
  <c r="X103" i="18"/>
  <c r="W178" i="41"/>
  <c r="V517" i="22"/>
  <c r="R250" i="11"/>
  <c r="R266" i="11"/>
  <c r="R271" i="11"/>
  <c r="R278" i="11"/>
  <c r="R10" i="14"/>
  <c r="AB58" i="47"/>
  <c r="AG102" i="41"/>
  <c r="AG5" i="41"/>
  <c r="I6" i="58"/>
  <c r="O54" i="12"/>
  <c r="H73" i="58"/>
  <c r="H64" i="58"/>
  <c r="D106" i="11"/>
  <c r="P178" i="41"/>
  <c r="N7" i="54"/>
  <c r="Q103" i="18"/>
  <c r="AF7" i="54"/>
  <c r="AH178" i="41"/>
  <c r="AI10" i="18"/>
  <c r="AI16" i="18"/>
  <c r="AI42" i="18"/>
  <c r="AI103" i="18"/>
  <c r="AI85" i="48"/>
  <c r="AL26" i="47"/>
  <c r="AL27" i="47"/>
  <c r="N135" i="12"/>
  <c r="N65" i="12"/>
  <c r="AI58" i="9"/>
  <c r="AI30" i="9"/>
  <c r="AI33" i="9"/>
  <c r="AI35" i="9"/>
  <c r="AB18" i="47"/>
  <c r="AB22" i="47"/>
  <c r="Y84" i="48"/>
  <c r="AD76" i="41"/>
  <c r="AE31" i="41"/>
  <c r="AE75" i="41"/>
  <c r="AE78" i="41"/>
  <c r="AH70" i="58"/>
  <c r="L167" i="11"/>
  <c r="G61" i="58"/>
  <c r="G70" i="58"/>
  <c r="AI70" i="58"/>
  <c r="X18" i="9"/>
  <c r="X55" i="9"/>
  <c r="AG28" i="18"/>
  <c r="AG29" i="18"/>
  <c r="AG67" i="18"/>
  <c r="AD12" i="54"/>
  <c r="D192" i="11"/>
  <c r="X36" i="56"/>
  <c r="X37" i="56"/>
  <c r="X40" i="56"/>
  <c r="X57" i="56"/>
  <c r="X62" i="56"/>
  <c r="X64" i="56"/>
  <c r="AD232" i="11"/>
  <c r="U22" i="47"/>
  <c r="U18" i="47"/>
  <c r="R84" i="48"/>
  <c r="S102" i="18"/>
  <c r="S41" i="18"/>
  <c r="P6" i="54"/>
  <c r="V107" i="58"/>
  <c r="V100" i="58"/>
  <c r="V109" i="58"/>
  <c r="S84" i="41"/>
  <c r="S32" i="41"/>
  <c r="S81" i="41"/>
  <c r="R82" i="41"/>
  <c r="J44" i="9"/>
  <c r="J20" i="9"/>
  <c r="J37" i="9"/>
  <c r="J12" i="17"/>
  <c r="AB82" i="47"/>
  <c r="AB74" i="10"/>
  <c r="X38" i="56"/>
  <c r="R112" i="58"/>
  <c r="R103" i="58"/>
  <c r="AD57" i="41"/>
  <c r="AD32" i="41"/>
  <c r="AD54" i="41"/>
  <c r="AC55" i="41"/>
  <c r="Z122" i="43"/>
  <c r="Z102" i="43"/>
  <c r="Z106" i="43"/>
  <c r="Z113" i="43"/>
  <c r="S224" i="22"/>
  <c r="S226" i="22"/>
  <c r="P237" i="12"/>
  <c r="P238" i="12"/>
  <c r="AH36" i="41"/>
  <c r="AH33" i="41"/>
  <c r="AH35" i="41"/>
  <c r="M39" i="47"/>
  <c r="AF55" i="58"/>
  <c r="AF45" i="58"/>
  <c r="AK157" i="11"/>
  <c r="AK97" i="11"/>
  <c r="Q70" i="43"/>
  <c r="Q64" i="43"/>
  <c r="Q60" i="43"/>
  <c r="AL25" i="13"/>
  <c r="AL24" i="13"/>
  <c r="X55" i="16"/>
  <c r="Y54" i="16"/>
  <c r="Y57" i="16"/>
  <c r="V267" i="11"/>
  <c r="V251" i="11"/>
  <c r="F120" i="56"/>
  <c r="F117" i="56"/>
  <c r="F118" i="56"/>
  <c r="AG113" i="43"/>
  <c r="AK202" i="22"/>
  <c r="AK204" i="22"/>
  <c r="AG102" i="43"/>
  <c r="AG106" i="43"/>
  <c r="AG122" i="43"/>
  <c r="AK255" i="11"/>
  <c r="K386" i="11"/>
  <c r="D156" i="11"/>
  <c r="S58" i="10"/>
  <c r="S55" i="10"/>
  <c r="S51" i="10"/>
  <c r="V89" i="41"/>
  <c r="V86" i="41"/>
  <c r="V88" i="41"/>
  <c r="AG12" i="17"/>
  <c r="AG18" i="9"/>
  <c r="AG20" i="9"/>
  <c r="AG37" i="9"/>
  <c r="AG44" i="9"/>
  <c r="P122" i="43"/>
  <c r="T202" i="22"/>
  <c r="T204" i="22"/>
  <c r="P102" i="43"/>
  <c r="P106" i="43"/>
  <c r="P113" i="43"/>
  <c r="T12" i="17"/>
  <c r="T18" i="9"/>
  <c r="T20" i="9"/>
  <c r="T37" i="9"/>
  <c r="T44" i="9"/>
  <c r="X115" i="41"/>
  <c r="X108" i="10"/>
  <c r="X24" i="9"/>
  <c r="X110" i="41"/>
  <c r="AJ166" i="41"/>
  <c r="AJ168" i="41"/>
  <c r="AJ175" i="41"/>
  <c r="AE39" i="47"/>
  <c r="AA123" i="43"/>
  <c r="V127" i="58"/>
  <c r="Q329" i="11"/>
  <c r="R329" i="11"/>
  <c r="N18" i="56"/>
  <c r="N14" i="56"/>
  <c r="N13" i="56"/>
  <c r="S86" i="47"/>
  <c r="S17" i="14"/>
  <c r="V101" i="11"/>
  <c r="V165" i="11"/>
  <c r="V375" i="11"/>
  <c r="AD56" i="18"/>
  <c r="AD57" i="18"/>
  <c r="AD23" i="18"/>
  <c r="AD21" i="18"/>
  <c r="AI86" i="16"/>
  <c r="AI83" i="16"/>
  <c r="N111" i="58"/>
  <c r="N102" i="58"/>
  <c r="Y69" i="10"/>
  <c r="T64" i="10"/>
  <c r="T99" i="10"/>
  <c r="AH64" i="56"/>
  <c r="V384" i="11"/>
  <c r="V388" i="11"/>
  <c r="V24" i="47"/>
  <c r="V25" i="47"/>
  <c r="X28" i="17"/>
  <c r="AE122" i="43"/>
  <c r="AI202" i="22"/>
  <c r="AI204" i="22"/>
  <c r="AE102" i="43"/>
  <c r="AE106" i="43"/>
  <c r="AE113" i="43"/>
  <c r="J90" i="16"/>
  <c r="J77" i="16"/>
  <c r="J80" i="16"/>
  <c r="J91" i="16"/>
  <c r="U238" i="12"/>
  <c r="U237" i="12"/>
  <c r="X226" i="22"/>
  <c r="T142" i="11"/>
  <c r="AJ148" i="22"/>
  <c r="AJ211" i="22"/>
  <c r="K42" i="3"/>
  <c r="K40" i="3"/>
  <c r="K37" i="3"/>
  <c r="AC99" i="10"/>
  <c r="AC64" i="10"/>
  <c r="AH69" i="10"/>
  <c r="N45" i="8"/>
  <c r="N53" i="15"/>
  <c r="P56" i="18"/>
  <c r="P57" i="18"/>
  <c r="P23" i="18"/>
  <c r="P21" i="18"/>
  <c r="P49" i="14"/>
  <c r="P52" i="14"/>
  <c r="AS234" i="11"/>
  <c r="AS235" i="11"/>
  <c r="AT232" i="11"/>
  <c r="O74" i="10"/>
  <c r="K38" i="56"/>
  <c r="V518" i="22"/>
  <c r="V513" i="22"/>
  <c r="O118" i="48"/>
  <c r="AI118" i="56"/>
  <c r="AI117" i="56"/>
  <c r="AI120" i="56"/>
  <c r="AH13" i="56"/>
  <c r="AL14" i="15"/>
  <c r="AL20" i="15"/>
  <c r="AH7" i="56"/>
  <c r="AH11" i="56"/>
  <c r="AH15" i="56"/>
  <c r="P489" i="22"/>
  <c r="V542" i="22"/>
  <c r="Y72" i="58"/>
  <c r="Y63" i="58"/>
  <c r="AD169" i="11"/>
  <c r="AD105" i="11"/>
  <c r="V113" i="12"/>
  <c r="V112" i="12"/>
  <c r="V106" i="12"/>
  <c r="AJ53" i="12"/>
  <c r="AD5" i="58"/>
  <c r="AF108" i="48"/>
  <c r="AF227" i="48"/>
  <c r="AD50" i="58"/>
  <c r="AD40" i="58"/>
  <c r="AI152" i="11"/>
  <c r="AI92" i="11"/>
  <c r="I120" i="56"/>
  <c r="I117" i="56"/>
  <c r="I118" i="56"/>
  <c r="X250" i="11"/>
  <c r="X266" i="11"/>
  <c r="X271" i="11"/>
  <c r="X58" i="3"/>
  <c r="AB36" i="56"/>
  <c r="AB37" i="56"/>
  <c r="AB40" i="56"/>
  <c r="AB57" i="56"/>
  <c r="AB62" i="56"/>
  <c r="AB64" i="56"/>
  <c r="L101" i="11"/>
  <c r="D101" i="11"/>
  <c r="Z141" i="41"/>
  <c r="Z199" i="11"/>
  <c r="Z201" i="11"/>
  <c r="Z202" i="11"/>
  <c r="Z221" i="11"/>
  <c r="Z224" i="11"/>
  <c r="Z225" i="11"/>
  <c r="Z9" i="14"/>
  <c r="Z106" i="41"/>
  <c r="AU80" i="10"/>
  <c r="AU83" i="10"/>
  <c r="AU28" i="17"/>
  <c r="AB481" i="22"/>
  <c r="AC267" i="11"/>
  <c r="AC251" i="11"/>
  <c r="Y33" i="16"/>
  <c r="Y34" i="3"/>
  <c r="I102" i="41"/>
  <c r="I5" i="41"/>
  <c r="D329" i="11"/>
  <c r="S329" i="11"/>
  <c r="S346" i="11"/>
  <c r="S350" i="11"/>
  <c r="AI77" i="12"/>
  <c r="AI76" i="12"/>
  <c r="AI27" i="12"/>
  <c r="AI70" i="12"/>
  <c r="AF32" i="15"/>
  <c r="AF74" i="3"/>
  <c r="AF26" i="15"/>
  <c r="AF29" i="15"/>
  <c r="AF92" i="8"/>
  <c r="AF99" i="8"/>
  <c r="AF118" i="8"/>
  <c r="AF121" i="8"/>
  <c r="AT63" i="16"/>
  <c r="AT59" i="16"/>
  <c r="AT64" i="16"/>
  <c r="AH132" i="41"/>
  <c r="AH121" i="41"/>
  <c r="Q58" i="47"/>
  <c r="L52" i="14"/>
  <c r="L49" i="14"/>
  <c r="I110" i="41"/>
  <c r="I108" i="10"/>
  <c r="I24" i="9"/>
  <c r="I115" i="41"/>
  <c r="X12" i="56"/>
  <c r="X8" i="56"/>
  <c r="X10" i="56"/>
  <c r="Y103" i="48"/>
  <c r="Q121" i="8"/>
  <c r="Q88" i="8"/>
  <c r="Q93" i="8"/>
  <c r="Q99" i="8"/>
  <c r="Q118" i="8"/>
  <c r="Q32" i="15"/>
  <c r="T51" i="14"/>
  <c r="T48" i="14"/>
  <c r="AJ80" i="47"/>
  <c r="AJ83" i="47"/>
  <c r="AG98" i="48"/>
  <c r="AJ78" i="47"/>
  <c r="AJ79" i="47"/>
  <c r="M113" i="43"/>
  <c r="Q202" i="22"/>
  <c r="Q204" i="22"/>
  <c r="M102" i="43"/>
  <c r="M106" i="43"/>
  <c r="M122" i="43"/>
  <c r="W78" i="41"/>
  <c r="W75" i="41"/>
  <c r="V76" i="41"/>
  <c r="L277" i="11"/>
  <c r="X102" i="18"/>
  <c r="X10" i="18"/>
  <c r="X16" i="18"/>
  <c r="X42" i="18"/>
  <c r="X41" i="18"/>
  <c r="U6" i="54"/>
  <c r="W123" i="43"/>
  <c r="R127" i="58"/>
  <c r="AL14" i="55"/>
  <c r="AL90" i="10"/>
  <c r="AL11" i="15"/>
  <c r="AL14" i="18"/>
  <c r="S42" i="47"/>
  <c r="S41" i="47"/>
  <c r="S37" i="47"/>
  <c r="AC277" i="11"/>
  <c r="AF14" i="55"/>
  <c r="AF90" i="10"/>
  <c r="AF11" i="15"/>
  <c r="AF14" i="18"/>
  <c r="AF113" i="43"/>
  <c r="AF102" i="43"/>
  <c r="AF106" i="43"/>
  <c r="AF122" i="43"/>
  <c r="AE250" i="11"/>
  <c r="AE255" i="11"/>
  <c r="K58" i="9"/>
  <c r="K30" i="9"/>
  <c r="K33" i="9"/>
  <c r="K35" i="9"/>
  <c r="M106" i="11"/>
  <c r="M170" i="11"/>
  <c r="M387" i="11"/>
  <c r="AD44" i="9"/>
  <c r="AD18" i="9"/>
  <c r="AD20" i="9"/>
  <c r="AD37" i="9"/>
  <c r="AD12" i="17"/>
  <c r="T85" i="48"/>
  <c r="W26" i="47"/>
  <c r="W27" i="47"/>
  <c r="L387" i="11"/>
  <c r="D170" i="11"/>
  <c r="Q102" i="18"/>
  <c r="Q10" i="18"/>
  <c r="Q16" i="18"/>
  <c r="Q42" i="18"/>
  <c r="Q41" i="18"/>
  <c r="N6" i="54"/>
  <c r="Z385" i="11"/>
  <c r="Y260" i="12"/>
  <c r="Q468" i="22"/>
  <c r="Q479" i="22"/>
  <c r="Q508" i="22"/>
  <c r="AB102" i="18"/>
  <c r="AB41" i="18"/>
  <c r="Y6" i="54"/>
  <c r="Y85" i="48"/>
  <c r="AB42" i="43"/>
  <c r="AB44" i="43"/>
  <c r="AB68" i="43"/>
  <c r="AB71" i="43"/>
  <c r="AB121" i="43"/>
  <c r="AB12" i="47"/>
  <c r="AB15" i="47"/>
  <c r="AB17" i="47"/>
  <c r="AB26" i="47"/>
  <c r="AB27" i="47"/>
  <c r="M84" i="41"/>
  <c r="M32" i="41"/>
  <c r="M81" i="41"/>
  <c r="L82" i="41"/>
  <c r="M52" i="15"/>
  <c r="AQ64" i="16"/>
  <c r="AQ59" i="16"/>
  <c r="AQ63" i="16"/>
  <c r="AJ20" i="47"/>
  <c r="AG91" i="48"/>
  <c r="M232" i="12"/>
  <c r="M228" i="12"/>
  <c r="M231" i="12"/>
  <c r="S25" i="8"/>
  <c r="S24" i="8"/>
  <c r="AM137" i="56"/>
  <c r="AM136" i="56"/>
  <c r="AG21" i="55"/>
  <c r="AG23" i="55"/>
  <c r="AG57" i="55"/>
  <c r="AG56" i="55"/>
  <c r="U27" i="47"/>
  <c r="U12" i="47"/>
  <c r="U15" i="47"/>
  <c r="U17" i="47"/>
  <c r="U26" i="47"/>
  <c r="R85" i="48"/>
  <c r="O46" i="13"/>
  <c r="S103" i="18"/>
  <c r="P7" i="54"/>
  <c r="S10" i="18"/>
  <c r="S16" i="18"/>
  <c r="S42" i="18"/>
  <c r="R178" i="41"/>
  <c r="N232" i="11"/>
  <c r="Y84" i="41"/>
  <c r="Y32" i="41"/>
  <c r="Y81" i="41"/>
  <c r="X82" i="41"/>
  <c r="AD107" i="58"/>
  <c r="AD100" i="58"/>
  <c r="AD109" i="58"/>
  <c r="T86" i="47"/>
  <c r="T17" i="14"/>
  <c r="V92" i="12"/>
  <c r="AA13" i="55"/>
  <c r="AA279" i="11"/>
  <c r="AA10" i="15"/>
  <c r="AA13" i="18"/>
  <c r="AG138" i="41"/>
  <c r="AG125" i="41"/>
  <c r="AA49" i="41"/>
  <c r="AB48" i="41"/>
  <c r="AB51" i="41"/>
  <c r="D123" i="11"/>
  <c r="AB5" i="58"/>
  <c r="AH53" i="12"/>
  <c r="AD108" i="48"/>
  <c r="AD227" i="48"/>
  <c r="L87" i="12"/>
  <c r="L86" i="12"/>
  <c r="L72" i="12"/>
  <c r="X208" i="11"/>
  <c r="X132" i="11"/>
  <c r="V207" i="12"/>
  <c r="V210" i="12"/>
  <c r="AE122" i="48"/>
  <c r="AE117" i="48"/>
  <c r="K10" i="14"/>
  <c r="K350" i="11"/>
  <c r="K346" i="11"/>
  <c r="K322" i="11"/>
  <c r="T7" i="54"/>
  <c r="V178" i="41"/>
  <c r="W103" i="18"/>
  <c r="AK231" i="12"/>
  <c r="AK228" i="12"/>
  <c r="AK232" i="12"/>
  <c r="AA58" i="9"/>
  <c r="AA30" i="9"/>
  <c r="AA33" i="9"/>
  <c r="AA35" i="9"/>
  <c r="Q36" i="15"/>
  <c r="Q54" i="15"/>
  <c r="S145" i="12"/>
  <c r="AI54" i="58"/>
  <c r="K96" i="11"/>
  <c r="K156" i="11"/>
  <c r="F44" i="58"/>
  <c r="F54" i="58"/>
  <c r="AH54" i="58"/>
  <c r="AJ110" i="41"/>
  <c r="AJ108" i="10"/>
  <c r="AJ24" i="9"/>
  <c r="AJ115" i="41"/>
  <c r="Y76" i="41"/>
  <c r="Z75" i="41"/>
  <c r="Z78" i="41"/>
  <c r="AE261" i="12"/>
  <c r="AE263" i="12"/>
  <c r="AF260" i="12"/>
  <c r="T250" i="11"/>
  <c r="T266" i="11"/>
  <c r="T271" i="11"/>
  <c r="T278" i="11"/>
  <c r="T280" i="11"/>
  <c r="U277" i="11"/>
  <c r="AB160" i="41"/>
  <c r="AB157" i="41"/>
  <c r="AB18" i="14"/>
  <c r="AB87" i="47"/>
  <c r="AF69" i="10"/>
  <c r="AA64" i="10"/>
  <c r="AA99" i="10"/>
  <c r="N58" i="9"/>
  <c r="N30" i="9"/>
  <c r="N33" i="9"/>
  <c r="N35" i="9"/>
  <c r="H102" i="48"/>
  <c r="K14" i="15"/>
  <c r="K20" i="15"/>
  <c r="G7" i="56"/>
  <c r="G17" i="56"/>
  <c r="P106" i="12"/>
  <c r="P112" i="12"/>
  <c r="P113" i="12"/>
  <c r="AD90" i="16"/>
  <c r="AD80" i="16"/>
  <c r="Z40" i="47"/>
  <c r="P120" i="41"/>
  <c r="T56" i="15"/>
  <c r="T39" i="15"/>
  <c r="T42" i="15"/>
  <c r="AH316" i="11"/>
  <c r="AH314" i="11"/>
  <c r="L90" i="16"/>
  <c r="L80" i="16"/>
  <c r="L91" i="16"/>
  <c r="AI269" i="11"/>
  <c r="AI253" i="11"/>
  <c r="T302" i="11"/>
  <c r="U302" i="11"/>
  <c r="AH83" i="56"/>
  <c r="AA233" i="12"/>
  <c r="AA229" i="12"/>
  <c r="AE103" i="18"/>
  <c r="AB7" i="54"/>
  <c r="AD178" i="41"/>
  <c r="I62" i="41"/>
  <c r="E64" i="41"/>
  <c r="AE55" i="41"/>
  <c r="AF32" i="41"/>
  <c r="AF54" i="41"/>
  <c r="AF57" i="41"/>
  <c r="AI73" i="58"/>
  <c r="L106" i="11"/>
  <c r="L170" i="11"/>
  <c r="G64" i="58"/>
  <c r="G73" i="58"/>
  <c r="AH73" i="58"/>
  <c r="AD91" i="48"/>
  <c r="AG20" i="47"/>
  <c r="O82" i="47"/>
  <c r="H112" i="47"/>
  <c r="P52" i="15"/>
  <c r="Z165" i="12"/>
  <c r="I118" i="48"/>
  <c r="P513" i="22"/>
  <c r="P518" i="22"/>
  <c r="AG18" i="47"/>
  <c r="AD84" i="48"/>
  <c r="AG12" i="47"/>
  <c r="AG15" i="47"/>
  <c r="AG17" i="47"/>
  <c r="AG22" i="47"/>
  <c r="AU99" i="10"/>
  <c r="AC193" i="12"/>
  <c r="AC133" i="12"/>
  <c r="AG90" i="47"/>
  <c r="AG89" i="47"/>
  <c r="AG85" i="47"/>
  <c r="V537" i="22"/>
  <c r="O231" i="48"/>
  <c r="O234" i="48"/>
  <c r="AR64" i="16"/>
  <c r="AR59" i="16"/>
  <c r="AR63" i="16"/>
  <c r="AG83" i="56"/>
  <c r="AI350" i="11"/>
  <c r="AI346" i="11"/>
  <c r="AI345" i="11"/>
  <c r="Z19" i="14"/>
  <c r="Z88" i="47"/>
  <c r="AC127" i="58"/>
  <c r="AH123" i="43"/>
  <c r="K109" i="41"/>
  <c r="K124" i="41"/>
  <c r="K137" i="41"/>
  <c r="K139" i="41"/>
  <c r="T30" i="12"/>
  <c r="S161" i="5"/>
  <c r="AA113" i="12"/>
  <c r="AA112" i="12"/>
  <c r="AA106" i="12"/>
  <c r="AD410" i="11"/>
  <c r="V26" i="43"/>
  <c r="V25" i="43"/>
  <c r="AA224" i="12"/>
  <c r="N102" i="41"/>
  <c r="N5" i="41"/>
  <c r="Z46" i="17"/>
  <c r="Y36" i="41"/>
  <c r="Y14" i="15"/>
  <c r="Y20" i="15"/>
  <c r="Y45" i="8"/>
  <c r="Y52" i="8"/>
  <c r="Y72" i="8"/>
  <c r="Y75" i="8"/>
  <c r="Y33" i="41"/>
  <c r="Y35" i="41"/>
  <c r="AE15" i="55"/>
  <c r="AE16" i="15"/>
  <c r="AE15" i="18"/>
  <c r="L123" i="43"/>
  <c r="G127" i="58"/>
  <c r="AQ45" i="4"/>
  <c r="P74" i="8"/>
  <c r="P67" i="8"/>
  <c r="P66" i="8"/>
  <c r="AE123" i="43"/>
  <c r="Z127" i="58"/>
  <c r="AJ517" i="22"/>
  <c r="Q25" i="10"/>
  <c r="Q24" i="10"/>
  <c r="M232" i="11"/>
  <c r="W60" i="13"/>
  <c r="W35" i="15"/>
  <c r="W21" i="18"/>
  <c r="W23" i="18"/>
  <c r="W57" i="18"/>
  <c r="W56" i="18"/>
  <c r="S84" i="48"/>
  <c r="V22" i="47"/>
  <c r="V18" i="47"/>
  <c r="AF112" i="11"/>
  <c r="AF180" i="11"/>
  <c r="AA82" i="58"/>
  <c r="AA91" i="58"/>
  <c r="Y187" i="22"/>
  <c r="Y189" i="22"/>
  <c r="U50" i="43"/>
  <c r="U54" i="43"/>
  <c r="U69" i="43"/>
  <c r="T58" i="56"/>
  <c r="T59" i="56"/>
  <c r="AB98" i="10"/>
  <c r="AB78" i="10"/>
  <c r="AB59" i="10"/>
  <c r="AH114" i="41"/>
  <c r="AH125" i="41"/>
  <c r="AH138" i="41"/>
  <c r="Z31" i="9"/>
  <c r="Z150" i="41"/>
  <c r="Z152" i="41"/>
  <c r="AL267" i="11"/>
  <c r="AL251" i="11"/>
  <c r="AG123" i="43"/>
  <c r="AG42" i="43"/>
  <c r="AG44" i="43"/>
  <c r="AG68" i="43"/>
  <c r="AG71" i="43"/>
  <c r="AG121" i="43"/>
  <c r="AB127" i="58"/>
  <c r="Z13" i="47"/>
  <c r="Z373" i="11"/>
  <c r="K207" i="11"/>
  <c r="K131" i="11"/>
  <c r="D131" i="11"/>
  <c r="J52" i="15"/>
  <c r="AH90" i="8"/>
  <c r="S42" i="15"/>
  <c r="S39" i="15"/>
  <c r="S56" i="15"/>
  <c r="AD233" i="11"/>
  <c r="AD235" i="11"/>
  <c r="AD23" i="9"/>
  <c r="AD27" i="9"/>
  <c r="AD147" i="41"/>
  <c r="AA78" i="41"/>
  <c r="AA31" i="41"/>
  <c r="AA75" i="41"/>
  <c r="Z76" i="41"/>
  <c r="Q76" i="41"/>
  <c r="R31" i="41"/>
  <c r="R75" i="41"/>
  <c r="R78" i="41"/>
  <c r="Q115" i="41"/>
  <c r="Q108" i="10"/>
  <c r="Q24" i="9"/>
  <c r="Q110" i="41"/>
  <c r="H116" i="56"/>
  <c r="H41" i="56"/>
  <c r="H42" i="56"/>
  <c r="Q77" i="16"/>
  <c r="P78" i="16"/>
  <c r="O14" i="55"/>
  <c r="O90" i="10"/>
  <c r="O11" i="15"/>
  <c r="O14" i="18"/>
  <c r="Y50" i="14"/>
  <c r="Y11" i="14"/>
  <c r="Y47" i="14"/>
  <c r="W35" i="9"/>
  <c r="W30" i="9"/>
  <c r="W33" i="9"/>
  <c r="W58" i="9"/>
  <c r="Y83" i="47"/>
  <c r="Y79" i="47"/>
  <c r="Y80" i="47"/>
  <c r="Y78" i="47"/>
  <c r="V98" i="48"/>
  <c r="K13" i="55"/>
  <c r="K5" i="4"/>
  <c r="K280" i="11"/>
  <c r="K279" i="11"/>
  <c r="K10" i="15"/>
  <c r="K13" i="18"/>
  <c r="AL62" i="41"/>
  <c r="AL59" i="41"/>
  <c r="AL61" i="41"/>
  <c r="D155" i="11"/>
  <c r="K385" i="11"/>
  <c r="AR61" i="13"/>
  <c r="AR39" i="13"/>
  <c r="AR41" i="13"/>
  <c r="AR59" i="13"/>
  <c r="AR60" i="13"/>
  <c r="D114" i="8"/>
  <c r="AB13" i="18"/>
  <c r="AB250" i="11"/>
  <c r="AB266" i="11"/>
  <c r="AB271" i="11"/>
  <c r="AB278" i="11"/>
  <c r="AB280" i="11"/>
  <c r="AB279" i="11"/>
  <c r="AB10" i="15"/>
  <c r="AB13" i="55"/>
  <c r="AD55" i="41"/>
  <c r="AE32" i="41"/>
  <c r="AE54" i="41"/>
  <c r="AE57" i="41"/>
  <c r="AA260" i="12"/>
  <c r="AL103" i="12"/>
  <c r="W58" i="47"/>
  <c r="AA113" i="58"/>
  <c r="AA104" i="58"/>
  <c r="K47" i="14"/>
  <c r="K11" i="14"/>
  <c r="K50" i="14"/>
  <c r="AL208" i="12"/>
  <c r="P14" i="18"/>
  <c r="P90" i="10"/>
  <c r="P11" i="15"/>
  <c r="P14" i="55"/>
  <c r="AC250" i="11"/>
  <c r="AC255" i="11"/>
  <c r="AA57" i="41"/>
  <c r="AA32" i="41"/>
  <c r="AA54" i="41"/>
  <c r="Z55" i="41"/>
  <c r="P157" i="41"/>
  <c r="P160" i="41"/>
  <c r="P18" i="14"/>
  <c r="P87" i="47"/>
  <c r="AC118" i="48"/>
  <c r="AJ513" i="22"/>
  <c r="AJ518" i="22"/>
  <c r="Z95" i="11"/>
  <c r="Z155" i="11"/>
  <c r="U43" i="58"/>
  <c r="U53" i="58"/>
  <c r="AE65" i="10"/>
  <c r="AE76" i="10"/>
  <c r="Q18" i="47"/>
  <c r="Q22" i="47"/>
  <c r="N84" i="48"/>
  <c r="T107" i="58"/>
  <c r="T100" i="58"/>
  <c r="T109" i="58"/>
  <c r="AB103" i="18"/>
  <c r="Y7" i="54"/>
  <c r="AB10" i="18"/>
  <c r="AB16" i="18"/>
  <c r="AB42" i="18"/>
  <c r="AA178" i="41"/>
  <c r="AB17" i="9"/>
  <c r="AB56" i="17"/>
  <c r="AC73" i="3"/>
  <c r="AB76" i="3"/>
  <c r="AB75" i="3"/>
  <c r="O78" i="41"/>
  <c r="O31" i="41"/>
  <c r="O75" i="41"/>
  <c r="N76" i="41"/>
  <c r="O234" i="12"/>
  <c r="O230" i="12"/>
  <c r="O209" i="12"/>
  <c r="R212" i="22"/>
  <c r="R148" i="22"/>
  <c r="R210" i="22"/>
  <c r="G64" i="56"/>
  <c r="T12" i="55"/>
  <c r="T234" i="11"/>
  <c r="T9" i="15"/>
  <c r="T12" i="18"/>
  <c r="D12" i="18"/>
  <c r="I12" i="18"/>
  <c r="AD110" i="41"/>
  <c r="AD108" i="10"/>
  <c r="AD24" i="9"/>
  <c r="AD115" i="41"/>
  <c r="Z232" i="11"/>
  <c r="AA255" i="11"/>
  <c r="AJ38" i="47"/>
  <c r="AJ15" i="15"/>
  <c r="AH176" i="12"/>
  <c r="K141" i="56"/>
  <c r="K140" i="56"/>
  <c r="J150" i="41"/>
  <c r="J31" i="9"/>
  <c r="J46" i="17"/>
  <c r="O250" i="11"/>
  <c r="O266" i="11"/>
  <c r="O271" i="11"/>
  <c r="O278" i="11"/>
  <c r="O280" i="11"/>
  <c r="P277" i="11"/>
  <c r="AE25" i="8"/>
  <c r="AE24" i="8"/>
  <c r="AE101" i="11"/>
  <c r="AE165" i="11"/>
  <c r="AE375" i="11"/>
  <c r="P194" i="12"/>
  <c r="P134" i="12"/>
  <c r="M12" i="55"/>
  <c r="M234" i="11"/>
  <c r="M9" i="15"/>
  <c r="M12" i="18"/>
  <c r="AR62" i="41"/>
  <c r="AR54" i="8"/>
  <c r="AR59" i="41"/>
  <c r="AR61" i="41"/>
  <c r="O195" i="12"/>
  <c r="O136" i="12"/>
  <c r="J18" i="9"/>
  <c r="J55" i="9"/>
  <c r="AG121" i="41"/>
  <c r="AG114" i="41"/>
  <c r="AG132" i="41"/>
  <c r="AA69" i="10"/>
  <c r="V64" i="10"/>
  <c r="V99" i="10"/>
  <c r="Z515" i="22"/>
  <c r="S35" i="9"/>
  <c r="S30" i="9"/>
  <c r="S33" i="9"/>
  <c r="S58" i="9"/>
  <c r="AC49" i="41"/>
  <c r="AD31" i="41"/>
  <c r="AD48" i="41"/>
  <c r="AD51" i="41"/>
  <c r="AG157" i="41"/>
  <c r="AG87" i="47"/>
  <c r="AG18" i="14"/>
  <c r="AG160" i="41"/>
  <c r="M15" i="15"/>
  <c r="M38" i="47"/>
  <c r="L56" i="17"/>
  <c r="L75" i="3"/>
  <c r="M73" i="3"/>
  <c r="L24" i="15"/>
  <c r="L59" i="3"/>
  <c r="L70" i="3"/>
  <c r="L76" i="3"/>
  <c r="L17" i="9"/>
  <c r="N5" i="58"/>
  <c r="T53" i="12"/>
  <c r="P227" i="48"/>
  <c r="P108" i="48"/>
  <c r="AL32" i="47"/>
  <c r="AI92" i="48"/>
  <c r="AI86" i="48"/>
  <c r="AL42" i="43"/>
  <c r="AL44" i="43"/>
  <c r="AL68" i="43"/>
  <c r="AL71" i="43"/>
  <c r="AL121" i="43"/>
  <c r="AL12" i="47"/>
  <c r="AL15" i="47"/>
  <c r="AL17" i="47"/>
  <c r="AL30" i="47"/>
  <c r="AL31" i="47"/>
  <c r="U50" i="14"/>
  <c r="U11" i="14"/>
  <c r="U47" i="14"/>
  <c r="U224" i="22"/>
  <c r="R213" i="12"/>
  <c r="W102" i="18"/>
  <c r="W10" i="18"/>
  <c r="W16" i="18"/>
  <c r="W42" i="18"/>
  <c r="W41" i="18"/>
  <c r="T6" i="54"/>
  <c r="AO137" i="56"/>
  <c r="AO136" i="56"/>
  <c r="AE84" i="10"/>
  <c r="J122" i="48"/>
  <c r="J117" i="48"/>
  <c r="X103" i="56"/>
  <c r="X82" i="56"/>
  <c r="X100" i="56"/>
  <c r="X102" i="56"/>
  <c r="X139" i="56"/>
  <c r="Q210" i="11"/>
  <c r="Q134" i="11"/>
  <c r="AA12" i="17"/>
  <c r="AA18" i="9"/>
  <c r="AA20" i="9"/>
  <c r="AA37" i="9"/>
  <c r="AA44" i="9"/>
  <c r="V49" i="41"/>
  <c r="W31" i="41"/>
  <c r="W48" i="41"/>
  <c r="W51" i="41"/>
  <c r="R7" i="54"/>
  <c r="T178" i="41"/>
  <c r="U10" i="18"/>
  <c r="U16" i="18"/>
  <c r="U42" i="18"/>
  <c r="U103" i="18"/>
  <c r="O58" i="9"/>
  <c r="O30" i="9"/>
  <c r="O33" i="9"/>
  <c r="O35" i="9"/>
  <c r="S18" i="47"/>
  <c r="S22" i="47"/>
  <c r="P84" i="48"/>
  <c r="Q58" i="56"/>
  <c r="Q59" i="56"/>
  <c r="AF54" i="10"/>
  <c r="AA229" i="48"/>
  <c r="AA226" i="48"/>
  <c r="AF477" i="22"/>
  <c r="AC63" i="12"/>
  <c r="AC91" i="12"/>
  <c r="Y47" i="17"/>
  <c r="Y32" i="9"/>
  <c r="K12" i="56"/>
  <c r="K8" i="56"/>
  <c r="K10" i="56"/>
  <c r="L103" i="48"/>
  <c r="AI515" i="22"/>
  <c r="AD77" i="16"/>
  <c r="AC78" i="16"/>
  <c r="P109" i="41"/>
  <c r="P131" i="41"/>
  <c r="P133" i="41"/>
  <c r="X122" i="43"/>
  <c r="AB202" i="22"/>
  <c r="AB204" i="22"/>
  <c r="X102" i="43"/>
  <c r="X106" i="43"/>
  <c r="X113" i="43"/>
  <c r="AI63" i="16"/>
  <c r="AI59" i="16"/>
  <c r="AI64" i="16"/>
  <c r="AI13" i="55"/>
  <c r="AI278" i="11"/>
  <c r="AI280" i="11"/>
  <c r="AI279" i="11"/>
  <c r="AI10" i="15"/>
  <c r="AI13" i="18"/>
  <c r="L77" i="16"/>
  <c r="K78" i="16"/>
  <c r="AI108" i="48"/>
  <c r="AI227" i="48"/>
  <c r="AM53" i="12"/>
  <c r="AG5" i="58"/>
  <c r="T158" i="11"/>
  <c r="T160" i="11"/>
  <c r="T161" i="11"/>
  <c r="X20" i="47"/>
  <c r="U91" i="48"/>
  <c r="I133" i="41"/>
  <c r="I131" i="41"/>
  <c r="D302" i="11"/>
  <c r="V302" i="11"/>
  <c r="V316" i="11"/>
  <c r="U116" i="41"/>
  <c r="U25" i="9"/>
  <c r="X31" i="16"/>
  <c r="X77" i="16"/>
  <c r="W78" i="16"/>
  <c r="AH92" i="58"/>
  <c r="L113" i="11"/>
  <c r="L181" i="11"/>
  <c r="G83" i="58"/>
  <c r="G92" i="58"/>
  <c r="AI92" i="58"/>
  <c r="AD202" i="22"/>
  <c r="AD204" i="22"/>
  <c r="AA208" i="12"/>
  <c r="W6" i="54"/>
  <c r="Z41" i="18"/>
  <c r="Z102" i="18"/>
  <c r="AE14" i="18"/>
  <c r="AE90" i="10"/>
  <c r="AE11" i="15"/>
  <c r="AE14" i="55"/>
  <c r="AJ14" i="47"/>
  <c r="AJ382" i="11"/>
  <c r="AJ379" i="11"/>
  <c r="U118" i="48"/>
  <c r="AB513" i="22"/>
  <c r="AB518" i="22"/>
  <c r="O82" i="41"/>
  <c r="P81" i="41"/>
  <c r="P84" i="41"/>
  <c r="V110" i="41"/>
  <c r="V108" i="10"/>
  <c r="V24" i="9"/>
  <c r="V115" i="41"/>
  <c r="W212" i="11"/>
  <c r="W136" i="11"/>
  <c r="AE506" i="22"/>
  <c r="AE538" i="22"/>
  <c r="X232" i="48"/>
  <c r="N232" i="12"/>
  <c r="N228" i="12"/>
  <c r="N231" i="12"/>
  <c r="AH517" i="22"/>
  <c r="AE89" i="58"/>
  <c r="AE80" i="58"/>
  <c r="U103" i="12"/>
  <c r="AK63" i="16"/>
  <c r="AK59" i="16"/>
  <c r="AK64" i="16"/>
  <c r="AB58" i="9"/>
  <c r="AB30" i="9"/>
  <c r="AB33" i="9"/>
  <c r="AB35" i="9"/>
  <c r="AG116" i="56"/>
  <c r="AK13" i="14"/>
  <c r="AK14" i="14"/>
  <c r="AG36" i="56"/>
  <c r="AG37" i="56"/>
  <c r="AG40" i="56"/>
  <c r="AG41" i="56"/>
  <c r="AG42" i="56"/>
  <c r="M111" i="58"/>
  <c r="M102" i="58"/>
  <c r="G102" i="48"/>
  <c r="AD473" i="22"/>
  <c r="AS45" i="4"/>
  <c r="V30" i="14"/>
  <c r="V27" i="14"/>
  <c r="V26" i="14"/>
  <c r="AD126" i="11"/>
  <c r="AD197" i="11"/>
  <c r="Y105" i="58"/>
  <c r="Y114" i="58"/>
  <c r="L46" i="17"/>
  <c r="L31" i="9"/>
  <c r="L150" i="41"/>
  <c r="AA241" i="12"/>
  <c r="AA251" i="12"/>
  <c r="Z47" i="14"/>
  <c r="Z11" i="14"/>
  <c r="Z50" i="14"/>
  <c r="P145" i="12"/>
  <c r="L103" i="11"/>
  <c r="D103" i="11"/>
  <c r="AH50" i="43"/>
  <c r="AH54" i="43"/>
  <c r="AH69" i="43"/>
  <c r="O104" i="11"/>
  <c r="O168" i="11"/>
  <c r="J62" i="58"/>
  <c r="J71" i="58"/>
  <c r="AA27" i="47"/>
  <c r="AA26" i="47"/>
  <c r="X85" i="48"/>
  <c r="Q138" i="58"/>
  <c r="Q137" i="58"/>
  <c r="AC43" i="8"/>
  <c r="AI29" i="47"/>
  <c r="AI391" i="11"/>
  <c r="P39" i="47"/>
  <c r="P56" i="55"/>
  <c r="P57" i="55"/>
  <c r="P23" i="55"/>
  <c r="P21" i="55"/>
  <c r="AE207" i="11"/>
  <c r="AE131" i="11"/>
  <c r="V27" i="47"/>
  <c r="V42" i="43"/>
  <c r="V44" i="43"/>
  <c r="V68" i="43"/>
  <c r="V71" i="43"/>
  <c r="V121" i="43"/>
  <c r="V12" i="47"/>
  <c r="V15" i="47"/>
  <c r="V17" i="47"/>
  <c r="V26" i="47"/>
  <c r="S85" i="48"/>
  <c r="D135" i="11"/>
  <c r="K135" i="11"/>
  <c r="K211" i="11"/>
  <c r="AA118" i="48"/>
  <c r="AH513" i="22"/>
  <c r="AH518" i="22"/>
  <c r="AC127" i="56"/>
  <c r="AC126" i="56"/>
  <c r="Y113" i="12"/>
  <c r="Y112" i="12"/>
  <c r="Y106" i="12"/>
  <c r="J42" i="3"/>
  <c r="J40" i="3"/>
  <c r="J37" i="3"/>
  <c r="AE229" i="48"/>
  <c r="AE226" i="48"/>
  <c r="X123" i="43"/>
  <c r="S127" i="58"/>
  <c r="AA145" i="12"/>
  <c r="AO473" i="22"/>
  <c r="M60" i="13"/>
  <c r="M35" i="15"/>
  <c r="M21" i="18"/>
  <c r="M23" i="18"/>
  <c r="M57" i="18"/>
  <c r="M56" i="18"/>
  <c r="V64" i="12"/>
  <c r="V134" i="12"/>
  <c r="V194" i="12"/>
  <c r="AH113" i="8"/>
  <c r="AH114" i="8"/>
  <c r="AH120" i="8"/>
  <c r="S36" i="15"/>
  <c r="S54" i="15"/>
  <c r="AI28" i="18"/>
  <c r="AI29" i="18"/>
  <c r="AI67" i="18"/>
  <c r="AI66" i="18"/>
  <c r="AF11" i="54"/>
  <c r="W84" i="16"/>
  <c r="X83" i="16"/>
  <c r="X86" i="16"/>
  <c r="U29" i="47"/>
  <c r="U391" i="11"/>
  <c r="L358" i="11"/>
  <c r="L359" i="11"/>
  <c r="M361" i="11"/>
  <c r="M17" i="14"/>
  <c r="M86" i="47"/>
  <c r="L52" i="4"/>
  <c r="L13" i="14"/>
  <c r="L14" i="14"/>
  <c r="H36" i="56"/>
  <c r="H37" i="56"/>
  <c r="H40" i="56"/>
  <c r="H83" i="56"/>
  <c r="U123" i="43"/>
  <c r="U42" i="43"/>
  <c r="U44" i="43"/>
  <c r="U68" i="43"/>
  <c r="U71" i="43"/>
  <c r="U121" i="43"/>
  <c r="P127" i="58"/>
  <c r="AP120" i="56"/>
  <c r="AP117" i="56"/>
  <c r="AP118" i="56"/>
  <c r="Y70" i="47"/>
  <c r="AC488" i="22"/>
  <c r="Z102" i="12"/>
  <c r="Z127" i="12"/>
  <c r="Z144" i="12"/>
  <c r="Y57" i="47"/>
  <c r="Y65" i="47"/>
  <c r="Y66" i="47"/>
  <c r="Z12" i="56"/>
  <c r="Z8" i="56"/>
  <c r="Z10" i="56"/>
  <c r="AC103" i="48"/>
  <c r="AI53" i="58"/>
  <c r="K95" i="11"/>
  <c r="K155" i="11"/>
  <c r="F43" i="58"/>
  <c r="F53" i="58"/>
  <c r="AH53" i="58"/>
  <c r="AG12" i="56"/>
  <c r="AG8" i="56"/>
  <c r="AG10" i="56"/>
  <c r="AJ103" i="48"/>
  <c r="T64" i="12"/>
  <c r="T92" i="12"/>
  <c r="Q133" i="41"/>
  <c r="Q131" i="41"/>
  <c r="Y11" i="18"/>
  <c r="Z261" i="12"/>
  <c r="Z263" i="12"/>
  <c r="Z262" i="12"/>
  <c r="Y8" i="15"/>
  <c r="Y11" i="55"/>
  <c r="W489" i="22"/>
  <c r="V15" i="18"/>
  <c r="V16" i="15"/>
  <c r="V15" i="55"/>
  <c r="AF125" i="11"/>
  <c r="AF196" i="11"/>
  <c r="AF409" i="11"/>
  <c r="AK122" i="43"/>
  <c r="AO202" i="22"/>
  <c r="AO204" i="22"/>
  <c r="AK102" i="43"/>
  <c r="AK106" i="43"/>
  <c r="AK113" i="43"/>
  <c r="AJ64" i="12"/>
  <c r="AJ92" i="12"/>
  <c r="O103" i="48"/>
  <c r="N8" i="56"/>
  <c r="N10" i="56"/>
  <c r="N12" i="56"/>
  <c r="AJ489" i="22"/>
  <c r="U141" i="56"/>
  <c r="U140" i="56"/>
  <c r="AB6" i="54"/>
  <c r="AE10" i="18"/>
  <c r="AE16" i="18"/>
  <c r="AE42" i="18"/>
  <c r="AE41" i="18"/>
  <c r="AE102" i="18"/>
  <c r="Z15" i="55"/>
  <c r="Z16" i="15"/>
  <c r="Z15" i="18"/>
  <c r="D51" i="4"/>
  <c r="O52" i="19"/>
  <c r="N86" i="48"/>
  <c r="N92" i="48"/>
  <c r="Q32" i="47"/>
  <c r="Q42" i="43"/>
  <c r="Q44" i="43"/>
  <c r="Q68" i="43"/>
  <c r="Q71" i="43"/>
  <c r="Q121" i="43"/>
  <c r="Q12" i="47"/>
  <c r="Q15" i="47"/>
  <c r="Q17" i="47"/>
  <c r="Q30" i="47"/>
  <c r="Q31" i="47"/>
  <c r="N55" i="12"/>
  <c r="J112" i="48"/>
  <c r="Q140" i="22"/>
  <c r="H7" i="58"/>
  <c r="G135" i="56"/>
  <c r="G36" i="56"/>
  <c r="G37" i="56"/>
  <c r="G40" i="56"/>
  <c r="G57" i="56"/>
  <c r="G62" i="56"/>
  <c r="G63" i="56"/>
  <c r="G101" i="56"/>
  <c r="AK10" i="14"/>
  <c r="AJ157" i="41"/>
  <c r="AJ160" i="41"/>
  <c r="AJ18" i="14"/>
  <c r="AJ87" i="47"/>
  <c r="AJ32" i="47"/>
  <c r="AG92" i="48"/>
  <c r="AG86" i="48"/>
  <c r="AJ30" i="47"/>
  <c r="AJ31" i="47"/>
  <c r="P12" i="56"/>
  <c r="T57" i="8"/>
  <c r="T58" i="8"/>
  <c r="T73" i="8"/>
  <c r="T22" i="15"/>
  <c r="P8" i="56"/>
  <c r="P10" i="56"/>
  <c r="Q103" i="48"/>
  <c r="AB32" i="15"/>
  <c r="AB59" i="3"/>
  <c r="AB70" i="3"/>
  <c r="AB74" i="3"/>
  <c r="AB26" i="15"/>
  <c r="AB29" i="15"/>
  <c r="AB92" i="8"/>
  <c r="AB99" i="8"/>
  <c r="AB118" i="8"/>
  <c r="AB121" i="8"/>
  <c r="AJ47" i="14"/>
  <c r="AJ11" i="14"/>
  <c r="AJ50" i="14"/>
  <c r="X99" i="10"/>
  <c r="X64" i="10"/>
  <c r="AC69" i="10"/>
  <c r="AL54" i="9"/>
  <c r="AL10" i="9"/>
  <c r="AL9" i="9"/>
  <c r="AL146" i="41"/>
  <c r="AD124" i="41"/>
  <c r="AD137" i="41"/>
  <c r="AD139" i="41"/>
  <c r="Z226" i="22"/>
  <c r="W237" i="12"/>
  <c r="W238" i="12"/>
  <c r="AI358" i="11"/>
  <c r="AI359" i="11"/>
  <c r="AJ361" i="11"/>
  <c r="AJ17" i="14"/>
  <c r="AJ86" i="47"/>
  <c r="R58" i="56"/>
  <c r="R59" i="56"/>
  <c r="AB19" i="58"/>
  <c r="AB11" i="58"/>
  <c r="AB13" i="58"/>
  <c r="V145" i="12"/>
  <c r="AI250" i="11"/>
  <c r="AI266" i="11"/>
  <c r="AI271" i="11"/>
  <c r="AI58" i="3"/>
  <c r="AA6" i="58"/>
  <c r="AG54" i="12"/>
  <c r="P64" i="12"/>
  <c r="P92" i="12"/>
  <c r="AA116" i="56"/>
  <c r="AA36" i="56"/>
  <c r="AA37" i="56"/>
  <c r="AA40" i="56"/>
  <c r="AA41" i="56"/>
  <c r="AA42" i="56"/>
  <c r="O66" i="12"/>
  <c r="O94" i="12"/>
  <c r="AA280" i="11"/>
  <c r="AB277" i="11"/>
  <c r="AB11" i="18"/>
  <c r="AC261" i="12"/>
  <c r="AC263" i="12"/>
  <c r="AC262" i="12"/>
  <c r="AB8" i="15"/>
  <c r="AB11" i="55"/>
  <c r="Q132" i="12"/>
  <c r="Q137" i="12"/>
  <c r="AD55" i="16"/>
  <c r="AE54" i="16"/>
  <c r="AE57" i="16"/>
  <c r="AI12" i="17"/>
  <c r="AI18" i="9"/>
  <c r="AI20" i="9"/>
  <c r="AI37" i="9"/>
  <c r="AI44" i="9"/>
  <c r="AG39" i="47"/>
  <c r="M108" i="48"/>
  <c r="M227" i="48"/>
  <c r="Q53" i="12"/>
  <c r="K5" i="58"/>
  <c r="M75" i="3"/>
  <c r="M17" i="9"/>
  <c r="M56" i="17"/>
  <c r="M76" i="3"/>
  <c r="N73" i="3"/>
  <c r="W12" i="17"/>
  <c r="W18" i="9"/>
  <c r="W20" i="9"/>
  <c r="W37" i="9"/>
  <c r="W44" i="9"/>
  <c r="AH165" i="12"/>
  <c r="AH250" i="11"/>
  <c r="AH255" i="11"/>
  <c r="AE53" i="12"/>
  <c r="AA108" i="48"/>
  <c r="AA227" i="48"/>
  <c r="Y5" i="58"/>
  <c r="AM64" i="16"/>
  <c r="AM54" i="8"/>
  <c r="AM59" i="16"/>
  <c r="AM63" i="16"/>
  <c r="Q56" i="17"/>
  <c r="Q75" i="3"/>
  <c r="Q17" i="9"/>
  <c r="Q76" i="3"/>
  <c r="R73" i="3"/>
  <c r="AB108" i="48"/>
  <c r="AF53" i="12"/>
  <c r="Z5" i="58"/>
  <c r="AB227" i="48"/>
  <c r="K108" i="48"/>
  <c r="I5" i="58"/>
  <c r="K227" i="48"/>
  <c r="O53" i="12"/>
  <c r="AP61" i="13"/>
  <c r="AP39" i="13"/>
  <c r="AP41" i="13"/>
  <c r="AP59" i="13"/>
  <c r="AP60" i="13"/>
  <c r="Z52" i="15"/>
  <c r="S21" i="55"/>
  <c r="S23" i="55"/>
  <c r="S57" i="55"/>
  <c r="S56" i="55"/>
  <c r="Q57" i="16"/>
  <c r="Q54" i="16"/>
  <c r="P55" i="16"/>
  <c r="S127" i="56"/>
  <c r="S126" i="56"/>
  <c r="K36" i="15"/>
  <c r="K54" i="15"/>
  <c r="AF54" i="9"/>
  <c r="AF9" i="9"/>
  <c r="AF146" i="41"/>
  <c r="S31" i="47"/>
  <c r="S32" i="47"/>
  <c r="P86" i="48"/>
  <c r="S42" i="43"/>
  <c r="S44" i="43"/>
  <c r="S68" i="43"/>
  <c r="S71" i="43"/>
  <c r="S121" i="43"/>
  <c r="S12" i="47"/>
  <c r="S15" i="47"/>
  <c r="S17" i="47"/>
  <c r="S30" i="47"/>
  <c r="P92" i="48"/>
  <c r="J157" i="41"/>
  <c r="D18" i="14"/>
  <c r="J18" i="14"/>
  <c r="J160" i="41"/>
  <c r="AF44" i="4"/>
  <c r="AF51" i="4"/>
  <c r="AF50" i="10"/>
  <c r="AF52" i="10"/>
  <c r="AI53" i="10"/>
  <c r="U51" i="47"/>
  <c r="U5" i="47"/>
  <c r="O26" i="14"/>
  <c r="O27" i="14"/>
  <c r="O30" i="14"/>
  <c r="Z128" i="12"/>
  <c r="O102" i="48"/>
  <c r="N17" i="56"/>
  <c r="AF91" i="12"/>
  <c r="R146" i="41"/>
  <c r="R9" i="9"/>
  <c r="R54" i="9"/>
  <c r="S50" i="14"/>
  <c r="S7" i="14"/>
  <c r="S11" i="14"/>
  <c r="S47" i="14"/>
  <c r="W31" i="9"/>
  <c r="W46" i="17"/>
  <c r="AN468" i="22"/>
  <c r="AN479" i="22"/>
  <c r="AN508" i="22"/>
  <c r="J17" i="9"/>
  <c r="J75" i="3"/>
  <c r="J56" i="17"/>
  <c r="J76" i="3"/>
  <c r="K73" i="3"/>
  <c r="Q62" i="41"/>
  <c r="Q59" i="41"/>
  <c r="Q61" i="41"/>
  <c r="J84" i="16"/>
  <c r="K83" i="16"/>
  <c r="K86" i="16"/>
  <c r="T15" i="15"/>
  <c r="S358" i="11"/>
  <c r="S359" i="11"/>
  <c r="T361" i="11"/>
  <c r="T38" i="47"/>
  <c r="AD31" i="16"/>
  <c r="AD35" i="16"/>
  <c r="AV64" i="16"/>
  <c r="AV54" i="8"/>
  <c r="AV59" i="16"/>
  <c r="AV63" i="16"/>
  <c r="S26" i="14"/>
  <c r="S27" i="14"/>
  <c r="S30" i="14"/>
  <c r="M145" i="12"/>
  <c r="T86" i="16"/>
  <c r="T83" i="16"/>
  <c r="S84" i="16"/>
  <c r="L31" i="16"/>
  <c r="L35" i="16"/>
  <c r="AD15" i="55"/>
  <c r="AD16" i="15"/>
  <c r="AD15" i="18"/>
  <c r="AL160" i="41"/>
  <c r="AL87" i="47"/>
  <c r="AL18" i="14"/>
  <c r="AL157" i="41"/>
  <c r="I23" i="3"/>
  <c r="I25" i="3"/>
  <c r="AD481" i="22"/>
  <c r="J34" i="3"/>
  <c r="J75" i="8"/>
  <c r="J33" i="16"/>
  <c r="W108" i="48"/>
  <c r="U5" i="58"/>
  <c r="AA53" i="12"/>
  <c r="W227" i="48"/>
  <c r="AF15" i="55"/>
  <c r="AF36" i="4"/>
  <c r="AF16" i="15"/>
  <c r="AF15" i="18"/>
  <c r="Z103" i="18"/>
  <c r="W7" i="54"/>
  <c r="Z10" i="18"/>
  <c r="Z16" i="18"/>
  <c r="Z42" i="18"/>
  <c r="Y178" i="41"/>
  <c r="AE141" i="56"/>
  <c r="AE140" i="56"/>
  <c r="J64" i="56"/>
  <c r="AJ18" i="47"/>
  <c r="AG84" i="48"/>
  <c r="AJ42" i="43"/>
  <c r="AJ44" i="43"/>
  <c r="AJ68" i="43"/>
  <c r="AJ71" i="43"/>
  <c r="AJ121" i="43"/>
  <c r="AJ12" i="47"/>
  <c r="AJ15" i="47"/>
  <c r="AJ17" i="47"/>
  <c r="AJ22" i="47"/>
  <c r="R61" i="41"/>
  <c r="R59" i="41"/>
  <c r="R62" i="41"/>
  <c r="U12" i="18"/>
  <c r="U234" i="11"/>
  <c r="U9" i="15"/>
  <c r="U12" i="55"/>
  <c r="W11" i="18"/>
  <c r="X261" i="12"/>
  <c r="X263" i="12"/>
  <c r="X262" i="12"/>
  <c r="W8" i="15"/>
  <c r="W11" i="55"/>
  <c r="R125" i="56"/>
  <c r="R82" i="56"/>
  <c r="R84" i="56"/>
  <c r="R85" i="56"/>
  <c r="AG52" i="15"/>
  <c r="AE35" i="41"/>
  <c r="AE14" i="15"/>
  <c r="AE20" i="15"/>
  <c r="AE45" i="8"/>
  <c r="AE52" i="8"/>
  <c r="AE72" i="8"/>
  <c r="AE75" i="8"/>
  <c r="AE33" i="41"/>
  <c r="AE36" i="41"/>
  <c r="AB489" i="22"/>
  <c r="AL46" i="13"/>
  <c r="AG145" i="12"/>
  <c r="AI477" i="22"/>
  <c r="AF63" i="12"/>
  <c r="AF133" i="12"/>
  <c r="AF193" i="12"/>
  <c r="S15" i="15"/>
  <c r="R358" i="11"/>
  <c r="R359" i="11"/>
  <c r="S361" i="11"/>
  <c r="S38" i="47"/>
  <c r="X66" i="12"/>
  <c r="X94" i="12"/>
  <c r="AG64" i="12"/>
  <c r="AG92" i="12"/>
  <c r="D25" i="43"/>
  <c r="L25" i="43"/>
  <c r="L26" i="43"/>
  <c r="Y102" i="41"/>
  <c r="Y5" i="41"/>
  <c r="AH345" i="11"/>
  <c r="D345" i="11"/>
  <c r="AG345" i="11"/>
  <c r="W133" i="22"/>
  <c r="AW60" i="13"/>
  <c r="AV349" i="11"/>
  <c r="AV352" i="11"/>
  <c r="AW349" i="11"/>
  <c r="AW352" i="11"/>
  <c r="AW39" i="13"/>
  <c r="AW41" i="13"/>
  <c r="AW59" i="13"/>
  <c r="AW61" i="13"/>
  <c r="AG314" i="11"/>
  <c r="D314" i="11"/>
  <c r="AF314" i="11"/>
  <c r="X74" i="10"/>
  <c r="X82" i="47"/>
  <c r="T38" i="56"/>
  <c r="V6" i="58"/>
  <c r="AB54" i="12"/>
  <c r="X517" i="22"/>
  <c r="K118" i="48"/>
  <c r="R513" i="22"/>
  <c r="R518" i="22"/>
  <c r="AC57" i="16"/>
  <c r="AC54" i="16"/>
  <c r="AB55" i="16"/>
  <c r="L59" i="16"/>
  <c r="L88" i="16"/>
  <c r="P10" i="47"/>
  <c r="P7" i="47"/>
  <c r="D331" i="11"/>
  <c r="U331" i="11"/>
  <c r="U346" i="11"/>
  <c r="U350" i="11"/>
  <c r="T42" i="56"/>
  <c r="T41" i="56"/>
  <c r="T116" i="56"/>
  <c r="J101" i="56"/>
  <c r="N27" i="4"/>
  <c r="N46" i="4"/>
  <c r="N47" i="4"/>
  <c r="N52" i="4"/>
  <c r="N13" i="14"/>
  <c r="N14" i="14"/>
  <c r="J36" i="56"/>
  <c r="J37" i="56"/>
  <c r="J40" i="56"/>
  <c r="J57" i="56"/>
  <c r="J62" i="56"/>
  <c r="J63" i="56"/>
  <c r="J135" i="56"/>
  <c r="AQ62" i="41"/>
  <c r="AQ54" i="8"/>
  <c r="AQ59" i="41"/>
  <c r="AQ61" i="41"/>
  <c r="AL121" i="8"/>
  <c r="F86" i="48"/>
  <c r="I30" i="47"/>
  <c r="F92" i="48"/>
  <c r="N28" i="55"/>
  <c r="N29" i="55"/>
  <c r="N67" i="55"/>
  <c r="N66" i="55"/>
  <c r="X91" i="48"/>
  <c r="AA20" i="47"/>
  <c r="O62" i="41"/>
  <c r="O59" i="41"/>
  <c r="O61" i="41"/>
  <c r="X84" i="48"/>
  <c r="AA18" i="47"/>
  <c r="AA42" i="43"/>
  <c r="AA44" i="43"/>
  <c r="AA68" i="43"/>
  <c r="AA71" i="43"/>
  <c r="AA121" i="43"/>
  <c r="AA12" i="47"/>
  <c r="AA15" i="47"/>
  <c r="AA17" i="47"/>
  <c r="AA22" i="47"/>
  <c r="P41" i="8"/>
  <c r="P42" i="8"/>
  <c r="T74" i="10"/>
  <c r="T82" i="47"/>
  <c r="P38" i="56"/>
  <c r="AB86" i="16"/>
  <c r="AB83" i="16"/>
  <c r="AA84" i="16"/>
  <c r="V18" i="9"/>
  <c r="V55" i="9"/>
  <c r="Z77" i="16"/>
  <c r="Y78" i="16"/>
  <c r="T36" i="15"/>
  <c r="T54" i="15"/>
  <c r="V474" i="22"/>
  <c r="V471" i="22"/>
  <c r="Y52" i="14"/>
  <c r="Y49" i="14"/>
  <c r="R489" i="22"/>
  <c r="AB79" i="10"/>
  <c r="AR5" i="17"/>
  <c r="AR5" i="8"/>
  <c r="AR5" i="13"/>
  <c r="AR5" i="10"/>
  <c r="AR5" i="11"/>
  <c r="AR5" i="16"/>
  <c r="AR5" i="55"/>
  <c r="AR5" i="18"/>
  <c r="AR5" i="3"/>
  <c r="AR5" i="5"/>
  <c r="AR5" i="43"/>
  <c r="T83" i="56"/>
  <c r="U203" i="12"/>
  <c r="U222" i="12"/>
  <c r="U225" i="12"/>
  <c r="F59" i="56"/>
  <c r="F58" i="56"/>
  <c r="AI20" i="47"/>
  <c r="AI42" i="43"/>
  <c r="AI44" i="43"/>
  <c r="AI68" i="43"/>
  <c r="AI71" i="43"/>
  <c r="AI121" i="43"/>
  <c r="AI12" i="47"/>
  <c r="AI15" i="47"/>
  <c r="AF91" i="48"/>
  <c r="AM52" i="4"/>
  <c r="AL194" i="12"/>
  <c r="AL134" i="12"/>
  <c r="Q268" i="11"/>
  <c r="Q252" i="11"/>
  <c r="P143" i="5"/>
  <c r="P5" i="11"/>
  <c r="P5" i="15"/>
  <c r="P5" i="43"/>
  <c r="P5" i="16"/>
  <c r="P5" i="10"/>
  <c r="P5" i="17"/>
  <c r="P5" i="4"/>
  <c r="P5" i="9"/>
  <c r="P5" i="2"/>
  <c r="P5" i="18"/>
  <c r="P5" i="14"/>
  <c r="Q5" i="12"/>
  <c r="P5" i="1"/>
  <c r="P5" i="3"/>
  <c r="P5" i="55"/>
  <c r="P5" i="13"/>
  <c r="P5" i="8"/>
  <c r="I138" i="58"/>
  <c r="I137" i="58"/>
  <c r="AH36" i="56"/>
  <c r="AH37" i="56"/>
  <c r="AH40" i="56"/>
  <c r="AH57" i="56"/>
  <c r="AH62" i="56"/>
  <c r="AH63" i="56"/>
  <c r="AH135" i="56"/>
  <c r="AA250" i="11"/>
  <c r="AA266" i="11"/>
  <c r="AA271" i="11"/>
  <c r="AA278" i="11"/>
  <c r="AA10" i="14"/>
  <c r="AL29" i="12"/>
  <c r="AK160" i="5"/>
  <c r="AH489" i="22"/>
  <c r="AG78" i="16"/>
  <c r="AX45" i="4"/>
  <c r="AG27" i="17"/>
  <c r="R203" i="12"/>
  <c r="R222" i="12"/>
  <c r="R225" i="12"/>
  <c r="AH5" i="55"/>
  <c r="AH5" i="3"/>
  <c r="AH5" i="9"/>
  <c r="AH5" i="2"/>
  <c r="AH5" i="15"/>
  <c r="AH5" i="17"/>
  <c r="AH5" i="1"/>
  <c r="AH5" i="11"/>
  <c r="AH5" i="16"/>
  <c r="AH5" i="18"/>
  <c r="AH5" i="43"/>
  <c r="AH5" i="8"/>
  <c r="AI5" i="12"/>
  <c r="AH5" i="13"/>
  <c r="AH5" i="4"/>
  <c r="AH5" i="10"/>
  <c r="AH5" i="14"/>
  <c r="P385" i="11"/>
  <c r="AK489" i="22"/>
  <c r="K127" i="56"/>
  <c r="K126" i="56"/>
  <c r="AA77" i="12"/>
  <c r="AA76" i="12"/>
  <c r="AA70" i="12"/>
  <c r="U268" i="11"/>
  <c r="U252" i="11"/>
  <c r="T267" i="11"/>
  <c r="T251" i="11"/>
  <c r="AJ193" i="12"/>
  <c r="AJ133" i="12"/>
  <c r="AH174" i="11"/>
  <c r="AH173" i="11"/>
  <c r="AH171" i="11"/>
  <c r="AF89" i="58"/>
  <c r="AF80" i="58"/>
  <c r="N76" i="10"/>
  <c r="N65" i="10"/>
  <c r="AJ58" i="47"/>
  <c r="T64" i="56"/>
  <c r="T40" i="13"/>
  <c r="AW67" i="10"/>
  <c r="W232" i="11"/>
  <c r="AA207" i="11"/>
  <c r="AA131" i="11"/>
  <c r="I19" i="56"/>
  <c r="I11" i="56"/>
  <c r="I15" i="56"/>
  <c r="N87" i="12"/>
  <c r="N86" i="12"/>
  <c r="N72" i="12"/>
  <c r="AL270" i="11"/>
  <c r="AL254" i="11"/>
  <c r="V161" i="11"/>
  <c r="V160" i="11"/>
  <c r="V158" i="11"/>
  <c r="AH135" i="12"/>
  <c r="AH65" i="12"/>
  <c r="I229" i="48"/>
  <c r="I226" i="48"/>
  <c r="O211" i="22"/>
  <c r="O148" i="22"/>
  <c r="H114" i="47"/>
  <c r="O86" i="47"/>
  <c r="O17" i="14"/>
  <c r="R515" i="22"/>
  <c r="S61" i="47"/>
  <c r="S123" i="11"/>
  <c r="S194" i="11"/>
  <c r="S398" i="11"/>
  <c r="AI138" i="41"/>
  <c r="AI125" i="41"/>
  <c r="AA98" i="10"/>
  <c r="AA78" i="10"/>
  <c r="AA59" i="10"/>
  <c r="U213" i="11"/>
  <c r="U137" i="11"/>
  <c r="AJ54" i="15"/>
  <c r="U54" i="10"/>
  <c r="D94" i="41"/>
  <c r="D93" i="41"/>
  <c r="D92" i="41"/>
  <c r="AI473" i="22"/>
  <c r="Y193" i="12"/>
  <c r="Y133" i="12"/>
  <c r="AG115" i="58"/>
  <c r="AG106" i="58"/>
  <c r="U111" i="58"/>
  <c r="U102" i="58"/>
  <c r="T58" i="47"/>
  <c r="M233" i="12"/>
  <c r="M229" i="12"/>
  <c r="AB91" i="16"/>
  <c r="AB88" i="16"/>
  <c r="Y29" i="47"/>
  <c r="Y391" i="11"/>
  <c r="S102" i="41"/>
  <c r="S5" i="41"/>
  <c r="R116" i="41"/>
  <c r="R25" i="9"/>
  <c r="AL517" i="22"/>
  <c r="G111" i="58"/>
  <c r="G102" i="58"/>
  <c r="T115" i="58"/>
  <c r="T106" i="58"/>
  <c r="AF103" i="12"/>
  <c r="AE42" i="3"/>
  <c r="AE40" i="3"/>
  <c r="AE37" i="3"/>
  <c r="AH53" i="10"/>
  <c r="AE52" i="10"/>
  <c r="J24" i="58"/>
  <c r="J3" i="58"/>
  <c r="Z84" i="48"/>
  <c r="AC22" i="47"/>
  <c r="AC18" i="47"/>
  <c r="U13" i="17"/>
  <c r="U42" i="9"/>
  <c r="U41" i="9"/>
  <c r="L94" i="58"/>
  <c r="L85" i="58"/>
  <c r="Q183" i="11"/>
  <c r="Q115" i="11"/>
  <c r="AL25" i="4"/>
  <c r="AL24" i="4"/>
  <c r="T270" i="11"/>
  <c r="T254" i="11"/>
  <c r="AJ102" i="41"/>
  <c r="AJ5" i="41"/>
  <c r="P66" i="55"/>
  <c r="P67" i="55"/>
  <c r="P29" i="55"/>
  <c r="P28" i="55"/>
  <c r="AJ212" i="11"/>
  <c r="AJ136" i="11"/>
  <c r="AF142" i="11"/>
  <c r="AD115" i="58"/>
  <c r="AD106" i="58"/>
  <c r="Y30" i="12"/>
  <c r="X161" i="5"/>
  <c r="K91" i="58"/>
  <c r="K82" i="58"/>
  <c r="P180" i="11"/>
  <c r="P112" i="11"/>
  <c r="Q93" i="58"/>
  <c r="Q84" i="58"/>
  <c r="V182" i="11"/>
  <c r="V114" i="11"/>
  <c r="P133" i="22"/>
  <c r="Q41" i="8"/>
  <c r="Q42" i="8"/>
  <c r="AM25" i="12"/>
  <c r="AM24" i="12"/>
  <c r="AH14" i="47"/>
  <c r="AH382" i="11"/>
  <c r="AH379" i="11"/>
  <c r="P5" i="47"/>
  <c r="P51" i="47"/>
  <c r="AB52" i="15"/>
  <c r="AH77" i="16"/>
  <c r="AH80" i="16"/>
  <c r="AH90" i="16"/>
  <c r="V410" i="11"/>
  <c r="K241" i="12"/>
  <c r="AH5" i="41"/>
  <c r="AH102" i="41"/>
  <c r="P95" i="11"/>
  <c r="P155" i="11"/>
  <c r="K43" i="58"/>
  <c r="K53" i="58"/>
  <c r="R31" i="16"/>
  <c r="R48" i="16"/>
  <c r="Q49" i="16"/>
  <c r="AA386" i="11"/>
  <c r="L161" i="5"/>
  <c r="M30" i="12"/>
  <c r="AG128" i="12"/>
  <c r="AL106" i="12"/>
  <c r="AL112" i="12"/>
  <c r="AL113" i="12"/>
  <c r="AI15" i="15"/>
  <c r="AI38" i="47"/>
  <c r="Q38" i="47"/>
  <c r="Q15" i="15"/>
  <c r="AC58" i="56"/>
  <c r="AC59" i="56"/>
  <c r="S208" i="11"/>
  <c r="S132" i="11"/>
  <c r="U162" i="41"/>
  <c r="U158" i="41"/>
  <c r="U156" i="41"/>
  <c r="S110" i="48"/>
  <c r="S107" i="48"/>
  <c r="N49" i="16"/>
  <c r="AE52" i="14"/>
  <c r="AE49" i="14"/>
  <c r="AP29" i="17"/>
  <c r="AP66" i="10"/>
  <c r="AC133" i="41"/>
  <c r="AC131" i="41"/>
  <c r="V25" i="41"/>
  <c r="V24" i="41"/>
  <c r="V181" i="22"/>
  <c r="V172" i="22"/>
  <c r="P88" i="16"/>
  <c r="P59" i="16"/>
  <c r="Q30" i="12"/>
  <c r="P161" i="5"/>
  <c r="AD142" i="11"/>
  <c r="AL72" i="55"/>
  <c r="AH91" i="55"/>
  <c r="AE72" i="55"/>
  <c r="I72" i="55"/>
  <c r="AM72" i="55"/>
  <c r="AF91" i="55"/>
  <c r="AU91" i="55"/>
  <c r="AR91" i="55"/>
  <c r="P91" i="55"/>
  <c r="AV72" i="55"/>
  <c r="D72" i="55"/>
  <c r="AN72" i="55"/>
  <c r="Z72" i="55"/>
  <c r="V91" i="55"/>
  <c r="AP91" i="55"/>
  <c r="Y72" i="55"/>
  <c r="L91" i="55"/>
  <c r="AK91" i="55"/>
  <c r="AJ91" i="55"/>
  <c r="K72" i="55"/>
  <c r="W72" i="55"/>
  <c r="AS72" i="55"/>
  <c r="O91" i="55"/>
  <c r="Y91" i="55"/>
  <c r="R72" i="55"/>
  <c r="AG72" i="55"/>
  <c r="N91" i="55"/>
  <c r="L72" i="55"/>
  <c r="F72" i="55"/>
  <c r="K91" i="55"/>
  <c r="AB72" i="55"/>
  <c r="Q72" i="55"/>
  <c r="V72" i="55"/>
  <c r="Q91" i="55"/>
  <c r="AR72" i="55"/>
  <c r="AN91" i="55"/>
  <c r="AQ91" i="55"/>
  <c r="O72" i="55"/>
  <c r="R91" i="55"/>
  <c r="S91" i="55"/>
  <c r="AQ72" i="55"/>
  <c r="AW91" i="55"/>
  <c r="AU72" i="55"/>
  <c r="U72" i="55"/>
  <c r="AA72" i="55"/>
  <c r="AM91" i="55"/>
  <c r="E72" i="55"/>
  <c r="T72" i="55"/>
  <c r="AK72" i="55"/>
  <c r="AB91" i="55"/>
  <c r="AO72" i="55"/>
  <c r="AE91" i="55"/>
  <c r="AX91" i="55"/>
  <c r="AG91" i="55"/>
  <c r="AW72" i="55"/>
  <c r="M91" i="55"/>
  <c r="AD72" i="55"/>
  <c r="P72" i="55"/>
  <c r="AS91" i="55"/>
  <c r="AI91" i="55"/>
  <c r="M72" i="55"/>
  <c r="AT91" i="55"/>
  <c r="AO91" i="55"/>
  <c r="AL91" i="55"/>
  <c r="X91" i="55"/>
  <c r="W91" i="55"/>
  <c r="N72" i="55"/>
  <c r="X72" i="55"/>
  <c r="AA91" i="55"/>
  <c r="AC91" i="55"/>
  <c r="AH72" i="55"/>
  <c r="J72" i="55"/>
  <c r="U91" i="55"/>
  <c r="AC72" i="55"/>
  <c r="AI72" i="55"/>
  <c r="AF72" i="55"/>
  <c r="AD91" i="55"/>
  <c r="AJ72" i="55"/>
  <c r="S72" i="55"/>
  <c r="AT72" i="55"/>
  <c r="Z91" i="55"/>
  <c r="T91" i="55"/>
  <c r="AV91" i="55"/>
  <c r="AP72" i="55"/>
  <c r="J91" i="55"/>
  <c r="X350" i="11"/>
  <c r="X346" i="11"/>
  <c r="X334" i="11"/>
  <c r="AF92" i="58"/>
  <c r="AF83" i="58"/>
  <c r="AK181" i="11"/>
  <c r="AK113" i="11"/>
  <c r="S522" i="22"/>
  <c r="S511" i="22"/>
  <c r="N217" i="11"/>
  <c r="N216" i="11"/>
  <c r="J35" i="47"/>
  <c r="J34" i="47"/>
  <c r="X54" i="12"/>
  <c r="R6" i="58"/>
  <c r="R62" i="47"/>
  <c r="R405" i="11"/>
  <c r="R403" i="11"/>
  <c r="W121" i="8"/>
  <c r="W24" i="15"/>
  <c r="W59" i="3"/>
  <c r="W70" i="3"/>
  <c r="W74" i="3"/>
  <c r="W26" i="15"/>
  <c r="W29" i="15"/>
  <c r="W92" i="8"/>
  <c r="W99" i="8"/>
  <c r="W118" i="8"/>
  <c r="W32" i="15"/>
  <c r="G112" i="58"/>
  <c r="G103" i="58"/>
  <c r="M25" i="3"/>
  <c r="M24" i="3"/>
  <c r="AJ52" i="14"/>
  <c r="AJ49" i="14"/>
  <c r="AO141" i="56"/>
  <c r="AO140" i="56"/>
  <c r="U36" i="4"/>
  <c r="U44" i="4"/>
  <c r="U51" i="4"/>
  <c r="U50" i="10"/>
  <c r="U52" i="10"/>
  <c r="X53" i="10"/>
  <c r="AH139" i="41"/>
  <c r="AH137" i="41"/>
  <c r="AH124" i="41"/>
  <c r="AV97" i="10"/>
  <c r="AV100" i="10"/>
  <c r="AV104" i="10"/>
  <c r="L176" i="12"/>
  <c r="O8" i="9"/>
  <c r="O10" i="9"/>
  <c r="U29" i="12"/>
  <c r="T160" i="5"/>
  <c r="Q25" i="9"/>
  <c r="Q116" i="41"/>
  <c r="P209" i="11"/>
  <c r="P133" i="11"/>
  <c r="AC51" i="47"/>
  <c r="AC5" i="47"/>
  <c r="AA58" i="47"/>
  <c r="P28" i="17"/>
  <c r="Z113" i="58"/>
  <c r="Z104" i="58"/>
  <c r="Y255" i="11"/>
  <c r="U175" i="22"/>
  <c r="V69" i="58"/>
  <c r="V60" i="58"/>
  <c r="AA166" i="11"/>
  <c r="AA102" i="11"/>
  <c r="K66" i="55"/>
  <c r="K67" i="55"/>
  <c r="K29" i="55"/>
  <c r="K28" i="55"/>
  <c r="AH20" i="47"/>
  <c r="AE91" i="48"/>
  <c r="U138" i="41"/>
  <c r="U125" i="41"/>
  <c r="AK29" i="47"/>
  <c r="AK391" i="11"/>
  <c r="AL25" i="8"/>
  <c r="Y63" i="12"/>
  <c r="Y91" i="12"/>
  <c r="AD25" i="8"/>
  <c r="AD24" i="8"/>
  <c r="N207" i="11"/>
  <c r="N131" i="11"/>
  <c r="V251" i="12"/>
  <c r="V241" i="12"/>
  <c r="AB86" i="47"/>
  <c r="AB17" i="14"/>
  <c r="AV99" i="10"/>
  <c r="K176" i="12"/>
  <c r="X110" i="58"/>
  <c r="X101" i="58"/>
  <c r="M252" i="12"/>
  <c r="M242" i="12"/>
  <c r="P141" i="41"/>
  <c r="P9" i="14"/>
  <c r="P106" i="41"/>
  <c r="R54" i="10"/>
  <c r="V126" i="11"/>
  <c r="V197" i="11"/>
  <c r="Q105" i="58"/>
  <c r="Q114" i="58"/>
  <c r="U217" i="11"/>
  <c r="U216" i="11"/>
  <c r="AG156" i="41"/>
  <c r="AG158" i="41"/>
  <c r="AG162" i="41"/>
  <c r="P48" i="14"/>
  <c r="P51" i="14"/>
  <c r="AG25" i="4"/>
  <c r="AG24" i="4"/>
  <c r="AA96" i="11"/>
  <c r="AA156" i="11"/>
  <c r="V44" i="58"/>
  <c r="V54" i="58"/>
  <c r="Z307" i="11"/>
  <c r="Y307" i="11"/>
  <c r="AH358" i="11"/>
  <c r="AH359" i="11"/>
  <c r="AI361" i="11"/>
  <c r="AI17" i="14"/>
  <c r="AI86" i="47"/>
  <c r="U58" i="3"/>
  <c r="P358" i="11"/>
  <c r="P359" i="11"/>
  <c r="Q361" i="11"/>
  <c r="Q17" i="14"/>
  <c r="Q86" i="47"/>
  <c r="M97" i="10"/>
  <c r="M100" i="10"/>
  <c r="M104" i="10"/>
  <c r="M23" i="14"/>
  <c r="Q211" i="22"/>
  <c r="S88" i="47"/>
  <c r="S19" i="14"/>
  <c r="AW234" i="11"/>
  <c r="AW235" i="11"/>
  <c r="R45" i="8"/>
  <c r="R53" i="15"/>
  <c r="AJ53" i="10"/>
  <c r="AG52" i="10"/>
  <c r="Y69" i="43"/>
  <c r="Y54" i="43"/>
  <c r="Y50" i="43"/>
  <c r="J232" i="11"/>
  <c r="R10" i="47"/>
  <c r="R7" i="47"/>
  <c r="AI210" i="11"/>
  <c r="AI134" i="11"/>
  <c r="AF74" i="10"/>
  <c r="AF82" i="47"/>
  <c r="AB38" i="56"/>
  <c r="L141" i="58"/>
  <c r="L140" i="58"/>
  <c r="N25" i="4"/>
  <c r="N24" i="4"/>
  <c r="W195" i="12"/>
  <c r="W136" i="12"/>
  <c r="AM28" i="12"/>
  <c r="AL159" i="5"/>
  <c r="Y56" i="18"/>
  <c r="Y57" i="18"/>
  <c r="Y23" i="18"/>
  <c r="Y21" i="18"/>
  <c r="O481" i="22"/>
  <c r="AG27" i="15"/>
  <c r="AG351" i="11"/>
  <c r="L47" i="13"/>
  <c r="L44" i="13"/>
  <c r="AK161" i="11"/>
  <c r="AK160" i="11"/>
  <c r="AK158" i="11"/>
  <c r="N358" i="11"/>
  <c r="N359" i="11"/>
  <c r="O361" i="11"/>
  <c r="O15" i="15"/>
  <c r="K60" i="56"/>
  <c r="O40" i="8"/>
  <c r="O46" i="8"/>
  <c r="O52" i="8"/>
  <c r="O72" i="8"/>
  <c r="O23" i="15"/>
  <c r="K9" i="56"/>
  <c r="Y20" i="58"/>
  <c r="Y8" i="58"/>
  <c r="AB6" i="58"/>
  <c r="AH54" i="12"/>
  <c r="O95" i="58"/>
  <c r="O86" i="58"/>
  <c r="T184" i="11"/>
  <c r="T116" i="11"/>
  <c r="AC19" i="58"/>
  <c r="AC11" i="58"/>
  <c r="AC13" i="58"/>
  <c r="R56" i="55"/>
  <c r="R57" i="55"/>
  <c r="R23" i="55"/>
  <c r="R21" i="55"/>
  <c r="Q49" i="14"/>
  <c r="Q52" i="14"/>
  <c r="AB55" i="41"/>
  <c r="AC32" i="41"/>
  <c r="AC54" i="41"/>
  <c r="AC57" i="41"/>
  <c r="W15" i="55"/>
  <c r="W16" i="15"/>
  <c r="W15" i="18"/>
  <c r="L106" i="8"/>
  <c r="M103" i="8"/>
  <c r="M106" i="8"/>
  <c r="N103" i="8"/>
  <c r="N106" i="8"/>
  <c r="O103" i="8"/>
  <c r="O106" i="8"/>
  <c r="P103" i="8"/>
  <c r="P106" i="8"/>
  <c r="Q103" i="8"/>
  <c r="Q106" i="8"/>
  <c r="R103" i="8"/>
  <c r="R106" i="8"/>
  <c r="S103" i="8"/>
  <c r="S106" i="8"/>
  <c r="T103" i="8"/>
  <c r="T106" i="8"/>
  <c r="U103" i="8"/>
  <c r="U106" i="8"/>
  <c r="V103" i="8"/>
  <c r="V106" i="8"/>
  <c r="W103" i="8"/>
  <c r="W106" i="8"/>
  <c r="X103" i="8"/>
  <c r="X106" i="8"/>
  <c r="Y103" i="8"/>
  <c r="Y106" i="8"/>
  <c r="Z103" i="8"/>
  <c r="Z106" i="8"/>
  <c r="AA103" i="8"/>
  <c r="AA106" i="8"/>
  <c r="AB103" i="8"/>
  <c r="AB106" i="8"/>
  <c r="AC103" i="8"/>
  <c r="AC106" i="8"/>
  <c r="AD103" i="8"/>
  <c r="AD106" i="8"/>
  <c r="AE103" i="8"/>
  <c r="AE106" i="8"/>
  <c r="AF103" i="8"/>
  <c r="AF106" i="8"/>
  <c r="AG103" i="8"/>
  <c r="AG106" i="8"/>
  <c r="AH103" i="8"/>
  <c r="AH106" i="8"/>
  <c r="AI103" i="8"/>
  <c r="AI106" i="8"/>
  <c r="AJ103" i="8"/>
  <c r="K101" i="43"/>
  <c r="O195" i="22"/>
  <c r="AI139" i="41"/>
  <c r="AI137" i="41"/>
  <c r="AI124" i="41"/>
  <c r="V35" i="16"/>
  <c r="P25" i="9"/>
  <c r="P116" i="41"/>
  <c r="Z36" i="41"/>
  <c r="Z33" i="41"/>
  <c r="Z35" i="41"/>
  <c r="L147" i="41"/>
  <c r="L27" i="9"/>
  <c r="P224" i="12"/>
  <c r="S55" i="16"/>
  <c r="T54" i="16"/>
  <c r="T57" i="16"/>
  <c r="P86" i="47"/>
  <c r="P17" i="14"/>
  <c r="O25" i="12"/>
  <c r="O24" i="12"/>
  <c r="AI103" i="55"/>
  <c r="AA57" i="12"/>
  <c r="AA52" i="12"/>
  <c r="AE125" i="11"/>
  <c r="AE196" i="11"/>
  <c r="AE409" i="11"/>
  <c r="H59" i="56"/>
  <c r="H58" i="56"/>
  <c r="AB210" i="11"/>
  <c r="AB134" i="11"/>
  <c r="AI15" i="18"/>
  <c r="AI16" i="15"/>
  <c r="AI15" i="55"/>
  <c r="D124" i="11"/>
  <c r="AC276" i="22"/>
  <c r="AC267" i="22"/>
  <c r="AI486" i="22"/>
  <c r="AF100" i="12"/>
  <c r="AF125" i="12"/>
  <c r="AF142" i="12"/>
  <c r="AF163" i="12"/>
  <c r="Z27" i="58"/>
  <c r="Z31" i="58"/>
  <c r="V106" i="41"/>
  <c r="V9" i="14"/>
  <c r="V141" i="41"/>
  <c r="X176" i="12"/>
  <c r="R36" i="4"/>
  <c r="R44" i="4"/>
  <c r="R51" i="4"/>
  <c r="R50" i="10"/>
  <c r="R52" i="10"/>
  <c r="U53" i="10"/>
  <c r="O260" i="12"/>
  <c r="AG171" i="11"/>
  <c r="AG173" i="11"/>
  <c r="AG174" i="11"/>
  <c r="X141" i="56"/>
  <c r="X140" i="56"/>
  <c r="AD542" i="22"/>
  <c r="AF39" i="47"/>
  <c r="V45" i="13"/>
  <c r="V39" i="13"/>
  <c r="AJ25" i="12"/>
  <c r="AJ24" i="12"/>
  <c r="P408" i="11"/>
  <c r="P412" i="11"/>
  <c r="P73" i="47"/>
  <c r="S403" i="11"/>
  <c r="S405" i="11"/>
  <c r="S62" i="47"/>
  <c r="AJ85" i="47"/>
  <c r="AJ89" i="47"/>
  <c r="AJ90" i="47"/>
  <c r="AC122" i="11"/>
  <c r="AC193" i="11"/>
  <c r="AC400" i="11"/>
  <c r="D307" i="11"/>
  <c r="AA307" i="11"/>
  <c r="AA316" i="11"/>
  <c r="AP210" i="22"/>
  <c r="AP212" i="22"/>
  <c r="AM209" i="12"/>
  <c r="AM230" i="12"/>
  <c r="AM234" i="12"/>
  <c r="M25" i="8"/>
  <c r="M24" i="8"/>
  <c r="T269" i="11"/>
  <c r="T253" i="11"/>
  <c r="O116" i="11"/>
  <c r="O184" i="11"/>
  <c r="J86" i="58"/>
  <c r="J95" i="58"/>
  <c r="X411" i="11"/>
  <c r="T91" i="12"/>
  <c r="L58" i="3"/>
  <c r="Q27" i="15"/>
  <c r="Q351" i="11"/>
  <c r="AK384" i="11"/>
  <c r="AK388" i="11"/>
  <c r="AK24" i="47"/>
  <c r="AK25" i="47"/>
  <c r="J53" i="15"/>
  <c r="AK68" i="47"/>
  <c r="AK96" i="43"/>
  <c r="AK112" i="43"/>
  <c r="AK114" i="43"/>
  <c r="AK60" i="47"/>
  <c r="AK63" i="47"/>
  <c r="AH97" i="48"/>
  <c r="S40" i="47"/>
  <c r="T10" i="9"/>
  <c r="T8" i="9"/>
  <c r="U518" i="22"/>
  <c r="U513" i="22"/>
  <c r="N118" i="48"/>
  <c r="J102" i="48"/>
  <c r="M14" i="15"/>
  <c r="M20" i="15"/>
  <c r="I7" i="56"/>
  <c r="I17" i="56"/>
  <c r="T518" i="22"/>
  <c r="T513" i="22"/>
  <c r="M118" i="48"/>
  <c r="L35" i="41"/>
  <c r="L33" i="41"/>
  <c r="L36" i="41"/>
  <c r="AM175" i="22"/>
  <c r="AD35" i="41"/>
  <c r="AD33" i="41"/>
  <c r="AD36" i="41"/>
  <c r="AL195" i="12"/>
  <c r="AL136" i="12"/>
  <c r="P85" i="56"/>
  <c r="P82" i="56"/>
  <c r="P84" i="56"/>
  <c r="P125" i="56"/>
  <c r="O18" i="56"/>
  <c r="O14" i="56"/>
  <c r="O7" i="56"/>
  <c r="O11" i="56"/>
  <c r="O13" i="56"/>
  <c r="AE232" i="48"/>
  <c r="AL538" i="22"/>
  <c r="AL506" i="22"/>
  <c r="Z51" i="14"/>
  <c r="Z48" i="14"/>
  <c r="AP473" i="22"/>
  <c r="X74" i="8"/>
  <c r="X67" i="8"/>
  <c r="X66" i="8"/>
  <c r="M116" i="41"/>
  <c r="M25" i="9"/>
  <c r="Q133" i="22"/>
  <c r="W269" i="11"/>
  <c r="W253" i="11"/>
  <c r="AC66" i="47"/>
  <c r="AC70" i="47"/>
  <c r="H80" i="2"/>
  <c r="G29" i="2"/>
  <c r="O20" i="19"/>
  <c r="D118" i="56"/>
  <c r="S90" i="47"/>
  <c r="S89" i="47"/>
  <c r="S85" i="47"/>
  <c r="AK42" i="15"/>
  <c r="AK39" i="15"/>
  <c r="AK56" i="15"/>
  <c r="D269" i="11"/>
  <c r="L269" i="11"/>
  <c r="L78" i="41"/>
  <c r="L75" i="41"/>
  <c r="K76" i="41"/>
  <c r="AI518" i="22"/>
  <c r="AI513" i="22"/>
  <c r="AB118" i="48"/>
  <c r="AB34" i="3"/>
  <c r="AB33" i="16"/>
  <c r="AA267" i="11"/>
  <c r="AA251" i="11"/>
  <c r="AJ138" i="41"/>
  <c r="AJ125" i="41"/>
  <c r="I57" i="16"/>
  <c r="I54" i="16"/>
  <c r="D54" i="16"/>
  <c r="AH109" i="41"/>
  <c r="AH120" i="41"/>
  <c r="AK175" i="41"/>
  <c r="AK168" i="41"/>
  <c r="AK166" i="41"/>
  <c r="D154" i="11"/>
  <c r="Q55" i="9"/>
  <c r="F60" i="56"/>
  <c r="J45" i="8"/>
  <c r="J52" i="8"/>
  <c r="J72" i="8"/>
  <c r="J23" i="15"/>
  <c r="F9" i="56"/>
  <c r="R176" i="12"/>
  <c r="Y175" i="22"/>
  <c r="AG508" i="22"/>
  <c r="P241" i="12"/>
  <c r="P251" i="12"/>
  <c r="Z33" i="16"/>
  <c r="Z75" i="8"/>
  <c r="Z34" i="3"/>
  <c r="AG121" i="8"/>
  <c r="AG59" i="3"/>
  <c r="AG70" i="3"/>
  <c r="AG74" i="3"/>
  <c r="AG26" i="15"/>
  <c r="AG29" i="15"/>
  <c r="AG92" i="8"/>
  <c r="AG99" i="8"/>
  <c r="AG118" i="8"/>
  <c r="AG32" i="15"/>
  <c r="N229" i="48"/>
  <c r="N226" i="48"/>
  <c r="Z13" i="55"/>
  <c r="Z279" i="11"/>
  <c r="Z10" i="15"/>
  <c r="Z13" i="18"/>
  <c r="AW102" i="41"/>
  <c r="AW5" i="41"/>
  <c r="Z62" i="41"/>
  <c r="Z59" i="41"/>
  <c r="Z61" i="41"/>
  <c r="U102" i="55"/>
  <c r="U41" i="55"/>
  <c r="S114" i="58"/>
  <c r="S105" i="58"/>
  <c r="Y29" i="12"/>
  <c r="X160" i="5"/>
  <c r="AL75" i="3"/>
  <c r="L53" i="15"/>
  <c r="L45" i="8"/>
  <c r="X40" i="47"/>
  <c r="M109" i="58"/>
  <c r="M100" i="58"/>
  <c r="M107" i="58"/>
  <c r="O70" i="47"/>
  <c r="O66" i="47"/>
  <c r="O35" i="47"/>
  <c r="O34" i="47"/>
  <c r="D112" i="47"/>
  <c r="L88" i="47"/>
  <c r="L19" i="14"/>
  <c r="Y93" i="11"/>
  <c r="Y153" i="11"/>
  <c r="T41" i="58"/>
  <c r="T51" i="58"/>
  <c r="R59" i="3"/>
  <c r="R70" i="3"/>
  <c r="R74" i="3"/>
  <c r="R26" i="15"/>
  <c r="R29" i="15"/>
  <c r="R92" i="8"/>
  <c r="AG58" i="9"/>
  <c r="AG30" i="9"/>
  <c r="AG33" i="9"/>
  <c r="AG35" i="9"/>
  <c r="AJ66" i="47"/>
  <c r="AJ70" i="47"/>
  <c r="M120" i="8"/>
  <c r="M114" i="8"/>
  <c r="M113" i="8"/>
  <c r="AA188" i="11"/>
  <c r="AA187" i="11"/>
  <c r="AA185" i="11"/>
  <c r="Y56" i="55"/>
  <c r="Y57" i="55"/>
  <c r="Y23" i="55"/>
  <c r="Y21" i="55"/>
  <c r="AG468" i="22"/>
  <c r="AG479" i="22"/>
  <c r="AD65" i="12"/>
  <c r="AD135" i="12"/>
  <c r="AB208" i="12"/>
  <c r="Y88" i="16"/>
  <c r="T95" i="58"/>
  <c r="T86" i="58"/>
  <c r="Y184" i="11"/>
  <c r="Y116" i="11"/>
  <c r="K52" i="58"/>
  <c r="K42" i="58"/>
  <c r="M8" i="14"/>
  <c r="H125" i="58"/>
  <c r="D104" i="8"/>
  <c r="K195" i="22"/>
  <c r="Y123" i="43"/>
  <c r="T127" i="58"/>
  <c r="M11" i="18"/>
  <c r="N223" i="12"/>
  <c r="N243" i="12"/>
  <c r="N247" i="12"/>
  <c r="N248" i="12"/>
  <c r="N261" i="12"/>
  <c r="N263" i="12"/>
  <c r="N262" i="12"/>
  <c r="M8" i="15"/>
  <c r="M11" i="55"/>
  <c r="AL36" i="16"/>
  <c r="AL54" i="16"/>
  <c r="Y13" i="17"/>
  <c r="Y42" i="9"/>
  <c r="Y41" i="9"/>
  <c r="AD537" i="22"/>
  <c r="W231" i="48"/>
  <c r="W234" i="48"/>
  <c r="AD26" i="9"/>
  <c r="AD117" i="41"/>
  <c r="L104" i="11"/>
  <c r="L168" i="11"/>
  <c r="D168" i="11"/>
  <c r="P13" i="14"/>
  <c r="P14" i="14"/>
  <c r="O166" i="41"/>
  <c r="O168" i="41"/>
  <c r="O175" i="41"/>
  <c r="U255" i="11"/>
  <c r="R103" i="12"/>
  <c r="N213" i="12"/>
  <c r="M203" i="12"/>
  <c r="M222" i="12"/>
  <c r="M225" i="12"/>
  <c r="AE473" i="22"/>
  <c r="AH36" i="15"/>
  <c r="AH54" i="15"/>
  <c r="AF58" i="47"/>
  <c r="X127" i="11"/>
  <c r="X198" i="11"/>
  <c r="S106" i="58"/>
  <c r="S115" i="58"/>
  <c r="AL210" i="12"/>
  <c r="AL207" i="12"/>
  <c r="T63" i="12"/>
  <c r="T133" i="12"/>
  <c r="T193" i="12"/>
  <c r="AK542" i="22"/>
  <c r="V53" i="15"/>
  <c r="Y37" i="47"/>
  <c r="Y41" i="47"/>
  <c r="Y42" i="47"/>
  <c r="AB25" i="41"/>
  <c r="AB24" i="41"/>
  <c r="X227" i="48"/>
  <c r="V5" i="58"/>
  <c r="AB53" i="12"/>
  <c r="X108" i="48"/>
  <c r="AH33" i="16"/>
  <c r="AH14" i="15"/>
  <c r="AH20" i="15"/>
  <c r="AH45" i="8"/>
  <c r="AH52" i="8"/>
  <c r="AH72" i="8"/>
  <c r="AH75" i="8"/>
  <c r="AH34" i="3"/>
  <c r="O47" i="13"/>
  <c r="O44" i="13"/>
  <c r="D74" i="8"/>
  <c r="D134" i="11"/>
  <c r="K134" i="11"/>
  <c r="K210" i="11"/>
  <c r="Z517" i="22"/>
  <c r="T88" i="16"/>
  <c r="T59" i="16"/>
  <c r="W132" i="41"/>
  <c r="W121" i="41"/>
  <c r="Q59" i="16"/>
  <c r="Q88" i="16"/>
  <c r="AS61" i="13"/>
  <c r="AS39" i="13"/>
  <c r="AS41" i="13"/>
  <c r="AS59" i="13"/>
  <c r="AS60" i="13"/>
  <c r="T53" i="15"/>
  <c r="R83" i="56"/>
  <c r="M30" i="14"/>
  <c r="M27" i="14"/>
  <c r="M22" i="14"/>
  <c r="M24" i="14"/>
  <c r="M38" i="13"/>
  <c r="M41" i="13"/>
  <c r="M59" i="13"/>
  <c r="M26" i="14"/>
  <c r="D66" i="10"/>
  <c r="I66" i="10"/>
  <c r="I29" i="17"/>
  <c r="T165" i="12"/>
  <c r="AF86" i="16"/>
  <c r="AF83" i="16"/>
  <c r="AE84" i="16"/>
  <c r="AU61" i="13"/>
  <c r="AO349" i="11"/>
  <c r="AO352" i="11"/>
  <c r="AP349" i="11"/>
  <c r="AP352" i="11"/>
  <c r="AQ349" i="11"/>
  <c r="AQ352" i="11"/>
  <c r="AR349" i="11"/>
  <c r="AR352" i="11"/>
  <c r="AS349" i="11"/>
  <c r="AS352" i="11"/>
  <c r="AT349" i="11"/>
  <c r="AT352" i="11"/>
  <c r="AU349" i="11"/>
  <c r="AU352" i="11"/>
  <c r="AU39" i="13"/>
  <c r="AU41" i="13"/>
  <c r="AU59" i="13"/>
  <c r="AU60" i="13"/>
  <c r="T227" i="48"/>
  <c r="X53" i="12"/>
  <c r="R5" i="58"/>
  <c r="T108" i="48"/>
  <c r="AC65" i="47"/>
  <c r="AC75" i="47"/>
  <c r="AC76" i="47"/>
  <c r="P83" i="56"/>
  <c r="Y60" i="16"/>
  <c r="Y59" i="16"/>
  <c r="Y64" i="16"/>
  <c r="L51" i="41"/>
  <c r="L31" i="41"/>
  <c r="L48" i="41"/>
  <c r="K49" i="41"/>
  <c r="U10" i="55"/>
  <c r="U16" i="55"/>
  <c r="U42" i="55"/>
  <c r="U103" i="55"/>
  <c r="AJ107" i="10"/>
  <c r="AJ14" i="9"/>
  <c r="AC91" i="58"/>
  <c r="AC82" i="58"/>
  <c r="AH180" i="11"/>
  <c r="AH112" i="11"/>
  <c r="AE233" i="48"/>
  <c r="AL541" i="22"/>
  <c r="AL480" i="22"/>
  <c r="AL509" i="22"/>
  <c r="F107" i="58"/>
  <c r="AB35" i="41"/>
  <c r="AB45" i="8"/>
  <c r="AB52" i="8"/>
  <c r="AB72" i="8"/>
  <c r="AB75" i="8"/>
  <c r="AB33" i="41"/>
  <c r="AB36" i="41"/>
  <c r="V49" i="16"/>
  <c r="AP99" i="10"/>
  <c r="N50" i="14"/>
  <c r="N11" i="14"/>
  <c r="N47" i="14"/>
  <c r="AH52" i="58"/>
  <c r="K94" i="11"/>
  <c r="K154" i="11"/>
  <c r="F42" i="58"/>
  <c r="F52" i="58"/>
  <c r="AI52" i="58"/>
  <c r="AS120" i="56"/>
  <c r="AS117" i="56"/>
  <c r="AS118" i="56"/>
  <c r="Q145" i="12"/>
  <c r="V234" i="12"/>
  <c r="V230" i="12"/>
  <c r="V209" i="12"/>
  <c r="Y212" i="22"/>
  <c r="Y210" i="22"/>
  <c r="AL11" i="18"/>
  <c r="AL261" i="12"/>
  <c r="AL263" i="12"/>
  <c r="AM260" i="12"/>
  <c r="AM262" i="12"/>
  <c r="AL8" i="15"/>
  <c r="AL11" i="55"/>
  <c r="R217" i="11"/>
  <c r="R216" i="11"/>
  <c r="AK28" i="17"/>
  <c r="AH65" i="10"/>
  <c r="AH76" i="10"/>
  <c r="L12" i="56"/>
  <c r="L8" i="56"/>
  <c r="L10" i="56"/>
  <c r="M103" i="48"/>
  <c r="AG49" i="58"/>
  <c r="AD145" i="12"/>
  <c r="AI91" i="58"/>
  <c r="G82" i="58"/>
  <c r="G91" i="58"/>
  <c r="AH91" i="58"/>
  <c r="AB110" i="48"/>
  <c r="AB107" i="48"/>
  <c r="O28" i="17"/>
  <c r="T40" i="47"/>
  <c r="I64" i="56"/>
  <c r="AK36" i="15"/>
  <c r="AK54" i="15"/>
  <c r="W109" i="58"/>
  <c r="W100" i="58"/>
  <c r="W107" i="58"/>
  <c r="AL55" i="15"/>
  <c r="X104" i="8"/>
  <c r="X105" i="8"/>
  <c r="X119" i="8"/>
  <c r="X19" i="14"/>
  <c r="X88" i="47"/>
  <c r="AH93" i="58"/>
  <c r="G84" i="58"/>
  <c r="G93" i="58"/>
  <c r="AI93" i="58"/>
  <c r="AC176" i="12"/>
  <c r="O65" i="47"/>
  <c r="O75" i="47"/>
  <c r="O76" i="47"/>
  <c r="AI62" i="41"/>
  <c r="AI59" i="41"/>
  <c r="AI61" i="41"/>
  <c r="S15" i="18"/>
  <c r="S16" i="15"/>
  <c r="S15" i="55"/>
  <c r="AL74" i="10"/>
  <c r="AH38" i="56"/>
  <c r="AL82" i="47"/>
  <c r="P50" i="43"/>
  <c r="P54" i="43"/>
  <c r="P69" i="43"/>
  <c r="AH22" i="47"/>
  <c r="AE84" i="48"/>
  <c r="AH18" i="47"/>
  <c r="J63" i="16"/>
  <c r="J51" i="16"/>
  <c r="J64" i="16"/>
  <c r="N14" i="55"/>
  <c r="N90" i="10"/>
  <c r="N11" i="15"/>
  <c r="N14" i="18"/>
  <c r="AK102" i="12"/>
  <c r="AK127" i="12"/>
  <c r="AK144" i="12"/>
  <c r="AJ57" i="47"/>
  <c r="AJ65" i="47"/>
  <c r="AJ75" i="47"/>
  <c r="AJ76" i="47"/>
  <c r="AT279" i="11"/>
  <c r="AT280" i="11"/>
  <c r="AU277" i="11"/>
  <c r="AE26" i="43"/>
  <c r="AE25" i="43"/>
  <c r="W73" i="3"/>
  <c r="V56" i="17"/>
  <c r="V75" i="3"/>
  <c r="V57" i="8"/>
  <c r="V58" i="8"/>
  <c r="V73" i="8"/>
  <c r="V22" i="15"/>
  <c r="V24" i="15"/>
  <c r="V59" i="3"/>
  <c r="V70" i="3"/>
  <c r="V76" i="3"/>
  <c r="V17" i="9"/>
  <c r="AE202" i="22"/>
  <c r="AE204" i="22"/>
  <c r="AB229" i="12"/>
  <c r="AB233" i="12"/>
  <c r="AG39" i="58"/>
  <c r="AG46" i="58"/>
  <c r="AG47" i="58"/>
  <c r="AA87" i="12"/>
  <c r="AA86" i="12"/>
  <c r="AA72" i="12"/>
  <c r="P46" i="17"/>
  <c r="M25" i="41"/>
  <c r="M24" i="41"/>
  <c r="X47" i="58"/>
  <c r="X46" i="58"/>
  <c r="K49" i="14"/>
  <c r="K52" i="14"/>
  <c r="S70" i="43"/>
  <c r="S64" i="43"/>
  <c r="S60" i="43"/>
  <c r="AI79" i="10"/>
  <c r="P185" i="22"/>
  <c r="L49" i="43"/>
  <c r="M261" i="12"/>
  <c r="M263" i="12"/>
  <c r="N260" i="12"/>
  <c r="U125" i="58"/>
  <c r="Q229" i="48"/>
  <c r="Q226" i="48"/>
  <c r="AL32" i="16"/>
  <c r="AL83" i="16"/>
  <c r="AL86" i="16"/>
  <c r="T29" i="12"/>
  <c r="S160" i="5"/>
  <c r="AL25" i="41"/>
  <c r="AL24" i="41"/>
  <c r="X37" i="47"/>
  <c r="X41" i="47"/>
  <c r="X42" i="47"/>
  <c r="AH29" i="12"/>
  <c r="AG160" i="5"/>
  <c r="AJ105" i="41"/>
  <c r="AJ46" i="14"/>
  <c r="AE10" i="58"/>
  <c r="N25" i="12"/>
  <c r="N24" i="12"/>
  <c r="T27" i="17"/>
  <c r="AC57" i="47"/>
  <c r="AC58" i="47"/>
  <c r="R208" i="12"/>
  <c r="AF400" i="11"/>
  <c r="AK232" i="11"/>
  <c r="AM489" i="22"/>
  <c r="AK537" i="22"/>
  <c r="AD231" i="48"/>
  <c r="AD234" i="48"/>
  <c r="O58" i="47"/>
  <c r="S108" i="48"/>
  <c r="Q5" i="58"/>
  <c r="W53" i="12"/>
  <c r="S227" i="48"/>
  <c r="Q44" i="9"/>
  <c r="Q18" i="9"/>
  <c r="Q20" i="9"/>
  <c r="Q37" i="9"/>
  <c r="Q12" i="17"/>
  <c r="X84" i="41"/>
  <c r="X81" i="41"/>
  <c r="W82" i="41"/>
  <c r="S55" i="9"/>
  <c r="T35" i="9"/>
  <c r="T30" i="9"/>
  <c r="T33" i="9"/>
  <c r="T58" i="9"/>
  <c r="U108" i="48"/>
  <c r="U227" i="48"/>
  <c r="Y53" i="12"/>
  <c r="S5" i="58"/>
  <c r="J39" i="47"/>
  <c r="D39" i="47"/>
  <c r="D127" i="58"/>
  <c r="I123" i="43"/>
  <c r="AA132" i="41"/>
  <c r="AA121" i="41"/>
  <c r="O52" i="15"/>
  <c r="AE44" i="9"/>
  <c r="AE20" i="9"/>
  <c r="AE37" i="9"/>
  <c r="AE12" i="17"/>
  <c r="AP277" i="11"/>
  <c r="AO5" i="4"/>
  <c r="AO280" i="11"/>
  <c r="AO279" i="11"/>
  <c r="AO84" i="10"/>
  <c r="AO79" i="10"/>
  <c r="W233" i="11"/>
  <c r="W235" i="11"/>
  <c r="W23" i="9"/>
  <c r="W114" i="41"/>
  <c r="W125" i="41"/>
  <c r="W138" i="41"/>
  <c r="V127" i="56"/>
  <c r="V126" i="56"/>
  <c r="Q88" i="41"/>
  <c r="Q86" i="41"/>
  <c r="Q89" i="41"/>
  <c r="M123" i="43"/>
  <c r="H127" i="58"/>
  <c r="Y99" i="10"/>
  <c r="Y64" i="10"/>
  <c r="AD69" i="10"/>
  <c r="V224" i="12"/>
  <c r="AR84" i="41"/>
  <c r="AR82" i="41"/>
  <c r="P481" i="22"/>
  <c r="AD251" i="12"/>
  <c r="AD241" i="12"/>
  <c r="T57" i="12"/>
  <c r="T52" i="12"/>
  <c r="W13" i="58"/>
  <c r="W11" i="58"/>
  <c r="W19" i="58"/>
  <c r="D35" i="47"/>
  <c r="D34" i="47"/>
  <c r="AJ23" i="14"/>
  <c r="AJ104" i="10"/>
  <c r="AJ100" i="10"/>
  <c r="AJ97" i="10"/>
  <c r="O68" i="58"/>
  <c r="O59" i="58"/>
  <c r="P135" i="56"/>
  <c r="P63" i="56"/>
  <c r="P101" i="56"/>
  <c r="V165" i="12"/>
  <c r="S109" i="58"/>
  <c r="S100" i="58"/>
  <c r="S107" i="58"/>
  <c r="L40" i="47"/>
  <c r="Z121" i="8"/>
  <c r="Z57" i="8"/>
  <c r="Z58" i="8"/>
  <c r="Z73" i="8"/>
  <c r="Z22" i="15"/>
  <c r="Z24" i="15"/>
  <c r="Z59" i="3"/>
  <c r="Z70" i="3"/>
  <c r="Z74" i="3"/>
  <c r="Z26" i="15"/>
  <c r="Z29" i="15"/>
  <c r="Z92" i="8"/>
  <c r="Z99" i="8"/>
  <c r="Z118" i="8"/>
  <c r="Z32" i="15"/>
  <c r="W32" i="58"/>
  <c r="W23" i="58"/>
  <c r="H118" i="48"/>
  <c r="O513" i="22"/>
  <c r="O518" i="22"/>
  <c r="Y70" i="43"/>
  <c r="Y64" i="43"/>
  <c r="Y60" i="43"/>
  <c r="I58" i="9"/>
  <c r="I33" i="9"/>
  <c r="I35" i="9"/>
  <c r="S66" i="55"/>
  <c r="S67" i="55"/>
  <c r="S29" i="55"/>
  <c r="S28" i="55"/>
  <c r="G52" i="58"/>
  <c r="G42" i="58"/>
  <c r="X78" i="41"/>
  <c r="X31" i="41"/>
  <c r="X75" i="41"/>
  <c r="W76" i="41"/>
  <c r="AH109" i="58"/>
  <c r="F100" i="58"/>
  <c r="F109" i="58"/>
  <c r="AI109" i="58"/>
  <c r="W35" i="16"/>
  <c r="AC62" i="41"/>
  <c r="AC59" i="41"/>
  <c r="AC61" i="41"/>
  <c r="AP90" i="10"/>
  <c r="AP89" i="10"/>
  <c r="AP85" i="10"/>
  <c r="AB25" i="3"/>
  <c r="AB24" i="3"/>
  <c r="K12" i="18"/>
  <c r="K234" i="11"/>
  <c r="K9" i="15"/>
  <c r="K12" i="55"/>
  <c r="AA114" i="41"/>
  <c r="AA125" i="41"/>
  <c r="AA138" i="41"/>
  <c r="AH25" i="3"/>
  <c r="AH24" i="3"/>
  <c r="AD12" i="56"/>
  <c r="AD8" i="56"/>
  <c r="AD10" i="56"/>
  <c r="AG103" i="48"/>
  <c r="Y7" i="58"/>
  <c r="AA112" i="48"/>
  <c r="AE55" i="12"/>
  <c r="AL48" i="14"/>
  <c r="AL13" i="14"/>
  <c r="AL14" i="14"/>
  <c r="AL51" i="14"/>
  <c r="AG208" i="12"/>
  <c r="C81" i="18"/>
  <c r="I81" i="18"/>
  <c r="D11" i="15"/>
  <c r="M54" i="58"/>
  <c r="M44" i="58"/>
  <c r="X7" i="58"/>
  <c r="Z112" i="48"/>
  <c r="AG140" i="22"/>
  <c r="AD55" i="12"/>
  <c r="AA176" i="12"/>
  <c r="AL50" i="14"/>
  <c r="AL11" i="14"/>
  <c r="AL47" i="14"/>
  <c r="AK51" i="47"/>
  <c r="AK5" i="47"/>
  <c r="AJ88" i="10"/>
  <c r="Y58" i="9"/>
  <c r="Y30" i="9"/>
  <c r="Y33" i="9"/>
  <c r="Y35" i="9"/>
  <c r="AQ120" i="56"/>
  <c r="AQ117" i="56"/>
  <c r="AQ118" i="56"/>
  <c r="AE58" i="47"/>
  <c r="AH28" i="17"/>
  <c r="T19" i="14"/>
  <c r="T88" i="47"/>
  <c r="J88" i="41"/>
  <c r="J86" i="41"/>
  <c r="J89" i="41"/>
  <c r="Z188" i="11"/>
  <c r="Z187" i="11"/>
  <c r="Z185" i="11"/>
  <c r="AA517" i="22"/>
  <c r="AG95" i="58"/>
  <c r="AG86" i="58"/>
  <c r="AL184" i="11"/>
  <c r="AL116" i="11"/>
  <c r="I46" i="17"/>
  <c r="I31" i="9"/>
  <c r="I150" i="41"/>
  <c r="AC14" i="18"/>
  <c r="AC90" i="10"/>
  <c r="AC11" i="15"/>
  <c r="AC14" i="55"/>
  <c r="J42" i="15"/>
  <c r="J39" i="15"/>
  <c r="J56" i="15"/>
  <c r="AL59" i="3"/>
  <c r="AL70" i="3"/>
  <c r="AL74" i="3"/>
  <c r="AL26" i="15"/>
  <c r="AL29" i="15"/>
  <c r="AL92" i="8"/>
  <c r="AL99" i="8"/>
  <c r="AL118" i="8"/>
  <c r="AL32" i="15"/>
  <c r="AL33" i="15"/>
  <c r="AL44" i="13"/>
  <c r="AL47" i="13"/>
  <c r="AT234" i="11"/>
  <c r="AT5" i="4"/>
  <c r="AT235" i="11"/>
  <c r="AU232" i="11"/>
  <c r="AB133" i="41"/>
  <c r="AB131" i="41"/>
  <c r="Y152" i="41"/>
  <c r="Y150" i="41"/>
  <c r="AF44" i="9"/>
  <c r="AF20" i="9"/>
  <c r="AF37" i="9"/>
  <c r="AF12" i="17"/>
  <c r="Y14" i="18"/>
  <c r="Y90" i="10"/>
  <c r="Y11" i="15"/>
  <c r="Y14" i="55"/>
  <c r="AK70" i="12"/>
  <c r="AK76" i="12"/>
  <c r="AK77" i="12"/>
  <c r="X27" i="17"/>
  <c r="U489" i="22"/>
  <c r="Z22" i="47"/>
  <c r="Z18" i="47"/>
  <c r="W84" i="48"/>
  <c r="AE85" i="48"/>
  <c r="AH42" i="43"/>
  <c r="AH44" i="43"/>
  <c r="AH68" i="43"/>
  <c r="AH71" i="43"/>
  <c r="AH121" i="43"/>
  <c r="AH12" i="47"/>
  <c r="AH15" i="47"/>
  <c r="AH17" i="47"/>
  <c r="AH26" i="47"/>
  <c r="AH27" i="47"/>
  <c r="O91" i="16"/>
  <c r="O80" i="16"/>
  <c r="O90" i="16"/>
  <c r="O25" i="10"/>
  <c r="O24" i="10"/>
  <c r="AD90" i="47"/>
  <c r="AD89" i="47"/>
  <c r="AD85" i="47"/>
  <c r="J11" i="18"/>
  <c r="K262" i="12"/>
  <c r="J8" i="15"/>
  <c r="J11" i="55"/>
  <c r="AK47" i="14"/>
  <c r="AK11" i="14"/>
  <c r="AK50" i="14"/>
  <c r="P80" i="47"/>
  <c r="P79" i="47"/>
  <c r="P83" i="47"/>
  <c r="P78" i="47"/>
  <c r="M98" i="48"/>
  <c r="P54" i="9"/>
  <c r="P9" i="9"/>
  <c r="P146" i="41"/>
  <c r="AF43" i="8"/>
  <c r="M55" i="16"/>
  <c r="N54" i="16"/>
  <c r="N57" i="16"/>
  <c r="M89" i="8"/>
  <c r="M90" i="8"/>
  <c r="U78" i="16"/>
  <c r="T517" i="22"/>
  <c r="U13" i="18"/>
  <c r="U279" i="11"/>
  <c r="U10" i="15"/>
  <c r="U13" i="55"/>
  <c r="P18" i="47"/>
  <c r="M84" i="48"/>
  <c r="P22" i="47"/>
  <c r="AS28" i="17"/>
  <c r="AM104" i="10"/>
  <c r="AM100" i="10"/>
  <c r="AM46" i="4"/>
  <c r="AM47" i="4"/>
  <c r="AM97" i="10"/>
  <c r="AC90" i="58"/>
  <c r="AC81" i="58"/>
  <c r="AH179" i="11"/>
  <c r="AH111" i="11"/>
  <c r="X39" i="47"/>
  <c r="AF28" i="12"/>
  <c r="AE159" i="5"/>
  <c r="L56" i="13"/>
  <c r="L55" i="13"/>
  <c r="L54" i="13"/>
  <c r="L36" i="16"/>
  <c r="V488" i="22"/>
  <c r="S102" i="12"/>
  <c r="S127" i="12"/>
  <c r="S144" i="12"/>
  <c r="S165" i="12"/>
  <c r="AA200" i="12"/>
  <c r="AA218" i="12"/>
  <c r="AA223" i="12"/>
  <c r="AA243" i="12"/>
  <c r="AA247" i="12"/>
  <c r="AA248" i="12"/>
  <c r="Z8" i="14"/>
  <c r="U140" i="58"/>
  <c r="U141" i="58"/>
  <c r="O84" i="10"/>
  <c r="AC46" i="13"/>
  <c r="Q29" i="12"/>
  <c r="P160" i="5"/>
  <c r="AJ7" i="14"/>
  <c r="AE26" i="58"/>
  <c r="AE30" i="58"/>
  <c r="Q28" i="55"/>
  <c r="Q29" i="55"/>
  <c r="Q67" i="55"/>
  <c r="Q66" i="55"/>
  <c r="Q224" i="22"/>
  <c r="M60" i="43"/>
  <c r="M64" i="43"/>
  <c r="M70" i="43"/>
  <c r="AC28" i="17"/>
  <c r="AL64" i="12"/>
  <c r="AL92" i="12"/>
  <c r="U202" i="22"/>
  <c r="U204" i="22"/>
  <c r="R229" i="12"/>
  <c r="R233" i="12"/>
  <c r="AF122" i="11"/>
  <c r="AF193" i="11"/>
  <c r="AA101" i="58"/>
  <c r="AA110" i="58"/>
  <c r="S106" i="12"/>
  <c r="S112" i="12"/>
  <c r="S113" i="12"/>
  <c r="AK35" i="16"/>
  <c r="AK48" i="16"/>
  <c r="N234" i="12"/>
  <c r="N230" i="12"/>
  <c r="N209" i="12"/>
  <c r="Q212" i="22"/>
  <c r="Q148" i="22"/>
  <c r="Q210" i="22"/>
  <c r="G5" i="58"/>
  <c r="I108" i="48"/>
  <c r="I227" i="48"/>
  <c r="M53" i="12"/>
  <c r="AA146" i="41"/>
  <c r="AA9" i="9"/>
  <c r="AA54" i="9"/>
  <c r="R231" i="12"/>
  <c r="R228" i="12"/>
  <c r="R232" i="12"/>
  <c r="O17" i="9"/>
  <c r="O75" i="3"/>
  <c r="O56" i="17"/>
  <c r="O22" i="15"/>
  <c r="O24" i="15"/>
  <c r="O59" i="3"/>
  <c r="O70" i="3"/>
  <c r="O76" i="3"/>
  <c r="P73" i="3"/>
  <c r="R19" i="56"/>
  <c r="R15" i="56"/>
  <c r="AL127" i="56"/>
  <c r="AL126" i="56"/>
  <c r="AJ121" i="41"/>
  <c r="AJ233" i="11"/>
  <c r="AJ235" i="11"/>
  <c r="AJ23" i="9"/>
  <c r="AJ114" i="41"/>
  <c r="AJ132" i="41"/>
  <c r="R299" i="11"/>
  <c r="Q299" i="11"/>
  <c r="AB89" i="41"/>
  <c r="AB86" i="41"/>
  <c r="AB88" i="41"/>
  <c r="M14" i="18"/>
  <c r="M77" i="10"/>
  <c r="M84" i="10"/>
  <c r="M85" i="10"/>
  <c r="M89" i="10"/>
  <c r="M90" i="10"/>
  <c r="M11" i="15"/>
  <c r="M14" i="55"/>
  <c r="Y82" i="41"/>
  <c r="Z32" i="41"/>
  <c r="Z81" i="41"/>
  <c r="Z84" i="41"/>
  <c r="G6" i="58"/>
  <c r="M54" i="12"/>
  <c r="D125" i="11"/>
  <c r="N88" i="41"/>
  <c r="N86" i="41"/>
  <c r="N89" i="41"/>
  <c r="H127" i="56"/>
  <c r="H126" i="56"/>
  <c r="P12" i="17"/>
  <c r="P20" i="9"/>
  <c r="P37" i="9"/>
  <c r="P44" i="9"/>
  <c r="V147" i="41"/>
  <c r="V27" i="9"/>
  <c r="V64" i="56"/>
  <c r="V116" i="56"/>
  <c r="V41" i="56"/>
  <c r="V42" i="56"/>
  <c r="AC20" i="47"/>
  <c r="Z91" i="48"/>
  <c r="X42" i="15"/>
  <c r="X39" i="15"/>
  <c r="X56" i="15"/>
  <c r="AG517" i="22"/>
  <c r="AD224" i="12"/>
  <c r="Q8" i="14"/>
  <c r="L125" i="58"/>
  <c r="AB141" i="56"/>
  <c r="AB140" i="56"/>
  <c r="AL213" i="11"/>
  <c r="AL137" i="11"/>
  <c r="D30" i="14"/>
  <c r="AE29" i="17"/>
  <c r="AE66" i="10"/>
  <c r="AJ39" i="13"/>
  <c r="I83" i="56"/>
  <c r="AH30" i="14"/>
  <c r="AH27" i="14"/>
  <c r="AH26" i="14"/>
  <c r="AC54" i="9"/>
  <c r="AC9" i="9"/>
  <c r="AC146" i="41"/>
  <c r="M66" i="47"/>
  <c r="M70" i="47"/>
  <c r="AD35" i="9"/>
  <c r="AD30" i="9"/>
  <c r="AD33" i="9"/>
  <c r="AD58" i="9"/>
  <c r="AI76" i="10"/>
  <c r="AI65" i="10"/>
  <c r="D121" i="47"/>
  <c r="D119" i="47"/>
  <c r="D104" i="47"/>
  <c r="D101" i="47"/>
  <c r="M32" i="47"/>
  <c r="M31" i="47"/>
  <c r="J86" i="48"/>
  <c r="M30" i="47"/>
  <c r="J92" i="48"/>
  <c r="W32" i="47"/>
  <c r="W31" i="47"/>
  <c r="T86" i="48"/>
  <c r="W30" i="47"/>
  <c r="T92" i="48"/>
  <c r="W64" i="16"/>
  <c r="W31" i="16"/>
  <c r="W48" i="16"/>
  <c r="W51" i="16"/>
  <c r="W63" i="16"/>
  <c r="J62" i="41"/>
  <c r="J59" i="41"/>
  <c r="J61" i="41"/>
  <c r="O76" i="41"/>
  <c r="P31" i="41"/>
  <c r="P75" i="41"/>
  <c r="P78" i="41"/>
  <c r="V232" i="11"/>
  <c r="D299" i="11"/>
  <c r="S299" i="11"/>
  <c r="S316" i="11"/>
  <c r="R165" i="12"/>
  <c r="O77" i="16"/>
  <c r="N78" i="16"/>
  <c r="T489" i="22"/>
  <c r="D46" i="8"/>
  <c r="AH14" i="18"/>
  <c r="AH90" i="10"/>
  <c r="AH11" i="15"/>
  <c r="AH14" i="55"/>
  <c r="J103" i="48"/>
  <c r="I8" i="56"/>
  <c r="I10" i="56"/>
  <c r="I12" i="56"/>
  <c r="J48" i="16"/>
  <c r="I49" i="16"/>
  <c r="Y53" i="10"/>
  <c r="V52" i="10"/>
  <c r="P56" i="17"/>
  <c r="P17" i="9"/>
  <c r="P75" i="3"/>
  <c r="P76" i="3"/>
  <c r="Q73" i="3"/>
  <c r="P49" i="16"/>
  <c r="AF47" i="14"/>
  <c r="AF11" i="14"/>
  <c r="AF50" i="14"/>
  <c r="AJ202" i="22"/>
  <c r="AJ204" i="22"/>
  <c r="AG229" i="12"/>
  <c r="AG233" i="12"/>
  <c r="AC42" i="15"/>
  <c r="AC39" i="15"/>
  <c r="AC56" i="15"/>
  <c r="V21" i="55"/>
  <c r="V23" i="55"/>
  <c r="V57" i="55"/>
  <c r="V56" i="55"/>
  <c r="I11" i="15"/>
  <c r="I14" i="18"/>
  <c r="D14" i="18"/>
  <c r="R96" i="11"/>
  <c r="R156" i="11"/>
  <c r="R386" i="11"/>
  <c r="AH128" i="12"/>
  <c r="X58" i="47"/>
  <c r="H12" i="54"/>
  <c r="AF50" i="43"/>
  <c r="AF54" i="43"/>
  <c r="AF69" i="43"/>
  <c r="P88" i="47"/>
  <c r="P19" i="14"/>
  <c r="L52" i="15"/>
  <c r="AK515" i="22"/>
  <c r="Q518" i="22"/>
  <c r="Q513" i="22"/>
  <c r="J118" i="48"/>
  <c r="S54" i="12"/>
  <c r="M6" i="58"/>
  <c r="AG165" i="12"/>
  <c r="AN61" i="13"/>
  <c r="AL349" i="11"/>
  <c r="AL352" i="11"/>
  <c r="AM349" i="11"/>
  <c r="AM352" i="11"/>
  <c r="AN349" i="11"/>
  <c r="AN352" i="11"/>
  <c r="AN39" i="13"/>
  <c r="AN41" i="13"/>
  <c r="AN59" i="13"/>
  <c r="AN60" i="13"/>
  <c r="X56" i="17"/>
  <c r="X17" i="9"/>
  <c r="X75" i="3"/>
  <c r="X59" i="3"/>
  <c r="X70" i="3"/>
  <c r="X76" i="3"/>
  <c r="Y73" i="3"/>
  <c r="R5" i="16"/>
  <c r="R5" i="1"/>
  <c r="R5" i="11"/>
  <c r="R5" i="9"/>
  <c r="R5" i="10"/>
  <c r="R5" i="2"/>
  <c r="R5" i="3"/>
  <c r="R5" i="13"/>
  <c r="S5" i="12"/>
  <c r="R5" i="15"/>
  <c r="R5" i="55"/>
  <c r="R5" i="8"/>
  <c r="R5" i="18"/>
  <c r="R5" i="43"/>
  <c r="R5" i="4"/>
  <c r="R143" i="5"/>
  <c r="R5" i="14"/>
  <c r="R5" i="17"/>
  <c r="AD270" i="11"/>
  <c r="AD254" i="11"/>
  <c r="V137" i="56"/>
  <c r="V136" i="56"/>
  <c r="N120" i="56"/>
  <c r="N117" i="56"/>
  <c r="N118" i="56"/>
  <c r="O18" i="47"/>
  <c r="L84" i="48"/>
  <c r="O22" i="47"/>
  <c r="U27" i="17"/>
  <c r="AK55" i="12"/>
  <c r="AE7" i="58"/>
  <c r="AN140" i="22"/>
  <c r="AG112" i="48"/>
  <c r="Z27" i="47"/>
  <c r="Z12" i="47"/>
  <c r="Z15" i="47"/>
  <c r="Z17" i="47"/>
  <c r="Z26" i="47"/>
  <c r="W85" i="48"/>
  <c r="N113" i="12"/>
  <c r="N112" i="12"/>
  <c r="N106" i="12"/>
  <c r="AF473" i="22"/>
  <c r="V70" i="47"/>
  <c r="V66" i="47"/>
  <c r="S488" i="22"/>
  <c r="P102" i="12"/>
  <c r="P127" i="12"/>
  <c r="P144" i="12"/>
  <c r="O57" i="47"/>
  <c r="H104" i="47"/>
  <c r="H119" i="47"/>
  <c r="H121" i="47"/>
  <c r="W57" i="8"/>
  <c r="W58" i="8"/>
  <c r="W73" i="8"/>
  <c r="W22" i="15"/>
  <c r="S58" i="56"/>
  <c r="S59" i="56"/>
  <c r="H103" i="48"/>
  <c r="G8" i="56"/>
  <c r="G10" i="56"/>
  <c r="G12" i="56"/>
  <c r="H118" i="56"/>
  <c r="H117" i="56"/>
  <c r="H120" i="56"/>
  <c r="AI165" i="12"/>
  <c r="AH207" i="11"/>
  <c r="AH131" i="11"/>
  <c r="V91" i="16"/>
  <c r="V31" i="16"/>
  <c r="V77" i="16"/>
  <c r="V80" i="16"/>
  <c r="V90" i="16"/>
  <c r="Y489" i="22"/>
  <c r="O542" i="22"/>
  <c r="M85" i="48"/>
  <c r="P12" i="47"/>
  <c r="P15" i="47"/>
  <c r="P17" i="47"/>
  <c r="P26" i="47"/>
  <c r="P27" i="47"/>
  <c r="D284" i="11"/>
  <c r="J232" i="48"/>
  <c r="Q538" i="22"/>
  <c r="Q506" i="22"/>
  <c r="AK473" i="22"/>
  <c r="AJ25" i="4"/>
  <c r="AJ24" i="4"/>
  <c r="W224" i="22"/>
  <c r="T213" i="12"/>
  <c r="AA63" i="12"/>
  <c r="AA91" i="12"/>
  <c r="AG60" i="10"/>
  <c r="AH57" i="10"/>
  <c r="AH60" i="10"/>
  <c r="AI57" i="10"/>
  <c r="AI59" i="10"/>
  <c r="AI78" i="10"/>
  <c r="AI98" i="10"/>
  <c r="N106" i="41"/>
  <c r="N9" i="14"/>
  <c r="N141" i="41"/>
  <c r="AJ473" i="22"/>
  <c r="AS137" i="56"/>
  <c r="AS136" i="56"/>
  <c r="I111" i="58"/>
  <c r="I102" i="58"/>
  <c r="V470" i="22"/>
  <c r="U210" i="12"/>
  <c r="U207" i="12"/>
  <c r="AH27" i="15"/>
  <c r="AH351" i="11"/>
  <c r="AH408" i="11"/>
  <c r="AH412" i="11"/>
  <c r="AH73" i="47"/>
  <c r="V28" i="17"/>
  <c r="AC226" i="22"/>
  <c r="Z237" i="12"/>
  <c r="Z238" i="12"/>
  <c r="AJ63" i="12"/>
  <c r="AJ91" i="12"/>
  <c r="T156" i="41"/>
  <c r="T158" i="41"/>
  <c r="T162" i="41"/>
  <c r="AP148" i="22"/>
  <c r="AP211" i="22"/>
  <c r="Q45" i="13"/>
  <c r="Q39" i="13"/>
  <c r="AI13" i="47"/>
  <c r="AI373" i="11"/>
  <c r="AF51" i="47"/>
  <c r="AF5" i="47"/>
  <c r="AK142" i="11"/>
  <c r="U187" i="22"/>
  <c r="U189" i="22"/>
  <c r="Q50" i="43"/>
  <c r="Q54" i="43"/>
  <c r="Q69" i="43"/>
  <c r="AK31" i="16"/>
  <c r="AK77" i="16"/>
  <c r="AJ78" i="16"/>
  <c r="AA12" i="56"/>
  <c r="AA8" i="56"/>
  <c r="AA10" i="56"/>
  <c r="AD103" i="48"/>
  <c r="AT277" i="11"/>
  <c r="AS5" i="5"/>
  <c r="AS5" i="4"/>
  <c r="AS280" i="11"/>
  <c r="AS279" i="11"/>
  <c r="AA228" i="48"/>
  <c r="AE56" i="12"/>
  <c r="AA111" i="48"/>
  <c r="X52" i="15"/>
  <c r="T135" i="56"/>
  <c r="T36" i="56"/>
  <c r="T37" i="56"/>
  <c r="T40" i="56"/>
  <c r="T57" i="56"/>
  <c r="T62" i="56"/>
  <c r="T63" i="56"/>
  <c r="T101" i="56"/>
  <c r="O15" i="55"/>
  <c r="O36" i="4"/>
  <c r="O16" i="15"/>
  <c r="O15" i="18"/>
  <c r="P58" i="9"/>
  <c r="P30" i="9"/>
  <c r="P33" i="9"/>
  <c r="P35" i="9"/>
  <c r="X156" i="41"/>
  <c r="X158" i="41"/>
  <c r="X162" i="41"/>
  <c r="P542" i="22"/>
  <c r="R11" i="56"/>
  <c r="R13" i="56"/>
  <c r="O40" i="47"/>
  <c r="Q133" i="8"/>
  <c r="S133" i="8"/>
  <c r="L34" i="3"/>
  <c r="O133" i="8"/>
  <c r="M133" i="8"/>
  <c r="P133" i="8"/>
  <c r="T133" i="8"/>
  <c r="L33" i="16"/>
  <c r="L133" i="8"/>
  <c r="N133" i="8"/>
  <c r="R133" i="8"/>
  <c r="L40" i="8"/>
  <c r="L46" i="8"/>
  <c r="L52" i="8"/>
  <c r="L72" i="8"/>
  <c r="L75" i="8"/>
  <c r="K133" i="8"/>
  <c r="AB232" i="11"/>
  <c r="AE18" i="9"/>
  <c r="AE55" i="9"/>
  <c r="I86" i="41"/>
  <c r="I88" i="41"/>
  <c r="D91" i="41"/>
  <c r="W54" i="12"/>
  <c r="Q6" i="58"/>
  <c r="S44" i="9"/>
  <c r="S13" i="9"/>
  <c r="S18" i="9"/>
  <c r="S20" i="9"/>
  <c r="S37" i="9"/>
  <c r="S12" i="17"/>
  <c r="N88" i="16"/>
  <c r="N59" i="16"/>
  <c r="Q35" i="16"/>
  <c r="AG227" i="48"/>
  <c r="AK53" i="12"/>
  <c r="AE5" i="58"/>
  <c r="AG108" i="48"/>
  <c r="V122" i="48"/>
  <c r="V117" i="48"/>
  <c r="Z106" i="12"/>
  <c r="Z112" i="12"/>
  <c r="Z113" i="12"/>
  <c r="AP187" i="22"/>
  <c r="AP189" i="22"/>
  <c r="AL50" i="43"/>
  <c r="AL54" i="43"/>
  <c r="AL69" i="43"/>
  <c r="V135" i="56"/>
  <c r="V57" i="56"/>
  <c r="V62" i="56"/>
  <c r="V63" i="56"/>
  <c r="V101" i="56"/>
  <c r="AC30" i="12"/>
  <c r="AB161" i="5"/>
  <c r="R209" i="11"/>
  <c r="R133" i="11"/>
  <c r="AE145" i="12"/>
  <c r="T101" i="11"/>
  <c r="T165" i="11"/>
  <c r="T375" i="11"/>
  <c r="Z110" i="48"/>
  <c r="Z107" i="48"/>
  <c r="P123" i="43"/>
  <c r="P42" i="43"/>
  <c r="P44" i="43"/>
  <c r="P68" i="43"/>
  <c r="P71" i="43"/>
  <c r="P121" i="43"/>
  <c r="K127" i="58"/>
  <c r="J71" i="55"/>
  <c r="AK71" i="55"/>
  <c r="Z71" i="55"/>
  <c r="AI71" i="55"/>
  <c r="AO90" i="55"/>
  <c r="AJ90" i="55"/>
  <c r="AO71" i="55"/>
  <c r="AL71" i="55"/>
  <c r="AR71" i="55"/>
  <c r="T71" i="55"/>
  <c r="AH71" i="55"/>
  <c r="N71" i="55"/>
  <c r="J90" i="55"/>
  <c r="F71" i="55"/>
  <c r="AG90" i="55"/>
  <c r="L71" i="55"/>
  <c r="E71" i="55"/>
  <c r="AU71" i="55"/>
  <c r="Y90" i="55"/>
  <c r="U71" i="55"/>
  <c r="AG71" i="55"/>
  <c r="V90" i="55"/>
  <c r="AX90" i="55"/>
  <c r="AI90" i="55"/>
  <c r="AD90" i="55"/>
  <c r="AH90" i="55"/>
  <c r="AL90" i="55"/>
  <c r="AE90" i="55"/>
  <c r="U90" i="55"/>
  <c r="AB90" i="55"/>
  <c r="P71" i="55"/>
  <c r="P90" i="55"/>
  <c r="R90" i="55"/>
  <c r="N90" i="55"/>
  <c r="X90" i="55"/>
  <c r="Q90" i="55"/>
  <c r="L90" i="55"/>
  <c r="O90" i="55"/>
  <c r="AD71" i="55"/>
  <c r="AR90" i="55"/>
  <c r="AF90" i="55"/>
  <c r="S90" i="55"/>
  <c r="S71" i="55"/>
  <c r="X71" i="55"/>
  <c r="AQ71" i="55"/>
  <c r="AM71" i="55"/>
  <c r="AN71" i="55"/>
  <c r="K90" i="55"/>
  <c r="AT71" i="55"/>
  <c r="AW90" i="55"/>
  <c r="Q71" i="55"/>
  <c r="W90" i="55"/>
  <c r="AN90" i="55"/>
  <c r="AS90" i="55"/>
  <c r="AE71" i="55"/>
  <c r="AU90" i="55"/>
  <c r="AC90" i="55"/>
  <c r="V71" i="55"/>
  <c r="M90" i="55"/>
  <c r="AK90" i="55"/>
  <c r="AP71" i="55"/>
  <c r="AP90" i="55"/>
  <c r="D71" i="55"/>
  <c r="AQ90" i="55"/>
  <c r="W71" i="55"/>
  <c r="AB71" i="55"/>
  <c r="M71" i="55"/>
  <c r="O71" i="55"/>
  <c r="AV90" i="55"/>
  <c r="AA90" i="55"/>
  <c r="AT90" i="55"/>
  <c r="K71" i="55"/>
  <c r="AJ71" i="55"/>
  <c r="AW71" i="55"/>
  <c r="Y71" i="55"/>
  <c r="AS71" i="55"/>
  <c r="Z90" i="55"/>
  <c r="AF71" i="55"/>
  <c r="T90" i="55"/>
  <c r="AV71" i="55"/>
  <c r="R71" i="55"/>
  <c r="AA71" i="55"/>
  <c r="I71" i="55"/>
  <c r="AM90" i="55"/>
  <c r="AC71" i="55"/>
  <c r="AC52" i="14"/>
  <c r="AC49" i="14"/>
  <c r="U13" i="58"/>
  <c r="U11" i="58"/>
  <c r="U19" i="58"/>
  <c r="AK468" i="22"/>
  <c r="AK479" i="22"/>
  <c r="AK508" i="22"/>
  <c r="O537" i="22"/>
  <c r="H231" i="48"/>
  <c r="H234" i="48"/>
  <c r="D53" i="8"/>
  <c r="I59" i="16"/>
  <c r="I88" i="16"/>
  <c r="AC40" i="13"/>
  <c r="R20" i="47"/>
  <c r="O91" i="48"/>
  <c r="AI10" i="55"/>
  <c r="AI16" i="55"/>
  <c r="AI42" i="55"/>
  <c r="AI41" i="55"/>
  <c r="AI102" i="55"/>
  <c r="AJ58" i="9"/>
  <c r="AJ30" i="9"/>
  <c r="AJ33" i="9"/>
  <c r="AJ35" i="9"/>
  <c r="I101" i="56"/>
  <c r="I36" i="56"/>
  <c r="I37" i="56"/>
  <c r="I40" i="56"/>
  <c r="I57" i="56"/>
  <c r="I62" i="56"/>
  <c r="I63" i="56"/>
  <c r="I135" i="56"/>
  <c r="X21" i="55"/>
  <c r="X23" i="55"/>
  <c r="X57" i="55"/>
  <c r="X56" i="55"/>
  <c r="AE13" i="58"/>
  <c r="AE11" i="58"/>
  <c r="AE19" i="58"/>
  <c r="AC224" i="22"/>
  <c r="Z213" i="12"/>
  <c r="M65" i="47"/>
  <c r="M75" i="47"/>
  <c r="M76" i="47"/>
  <c r="AW5" i="17"/>
  <c r="AW5" i="55"/>
  <c r="AW5" i="18"/>
  <c r="AW5" i="10"/>
  <c r="AW5" i="3"/>
  <c r="AW5" i="11"/>
  <c r="AW5" i="16"/>
  <c r="AW5" i="13"/>
  <c r="AW5" i="8"/>
  <c r="AW5" i="43"/>
  <c r="Y31" i="9"/>
  <c r="Y46" i="17"/>
  <c r="M35" i="9"/>
  <c r="M30" i="9"/>
  <c r="M33" i="9"/>
  <c r="M58" i="9"/>
  <c r="M18" i="47"/>
  <c r="M22" i="47"/>
  <c r="J84" i="48"/>
  <c r="W22" i="47"/>
  <c r="T84" i="48"/>
  <c r="W42" i="43"/>
  <c r="W44" i="43"/>
  <c r="W68" i="43"/>
  <c r="W71" i="43"/>
  <c r="W121" i="43"/>
  <c r="W12" i="47"/>
  <c r="W15" i="47"/>
  <c r="W17" i="47"/>
  <c r="W18" i="47"/>
  <c r="K40" i="47"/>
  <c r="D119" i="8"/>
  <c r="K19" i="14"/>
  <c r="AI121" i="41"/>
  <c r="AI114" i="41"/>
  <c r="AI132" i="41"/>
  <c r="J88" i="16"/>
  <c r="J59" i="16"/>
  <c r="U21" i="55"/>
  <c r="U23" i="55"/>
  <c r="U57" i="55"/>
  <c r="U56" i="55"/>
  <c r="K25" i="41"/>
  <c r="K23" i="41"/>
  <c r="U121" i="41"/>
  <c r="U114" i="41"/>
  <c r="U132" i="41"/>
  <c r="P537" i="22"/>
  <c r="I231" i="48"/>
  <c r="I234" i="48"/>
  <c r="AJ42" i="15"/>
  <c r="AJ36" i="15"/>
  <c r="AJ39" i="15"/>
  <c r="AJ56" i="15"/>
  <c r="AH384" i="11"/>
  <c r="AH388" i="11"/>
  <c r="AH24" i="47"/>
  <c r="AH25" i="47"/>
  <c r="AA28" i="17"/>
  <c r="O35" i="16"/>
  <c r="R17" i="56"/>
  <c r="R7" i="56"/>
  <c r="S102" i="48"/>
  <c r="AV46" i="4"/>
  <c r="AV47" i="4"/>
  <c r="AV52" i="4"/>
  <c r="AA106" i="41"/>
  <c r="AA141" i="41"/>
  <c r="J31" i="16"/>
  <c r="J35" i="16"/>
  <c r="Z227" i="48"/>
  <c r="AD53" i="12"/>
  <c r="Z108" i="48"/>
  <c r="X5" i="58"/>
  <c r="Y49" i="41"/>
  <c r="Z31" i="41"/>
  <c r="Z48" i="41"/>
  <c r="Z51" i="41"/>
  <c r="L25" i="13"/>
  <c r="L24" i="13"/>
  <c r="D24" i="13"/>
  <c r="AA210" i="22"/>
  <c r="AA212" i="22"/>
  <c r="X209" i="12"/>
  <c r="X230" i="12"/>
  <c r="X234" i="12"/>
  <c r="O64" i="16"/>
  <c r="O31" i="16"/>
  <c r="O48" i="16"/>
  <c r="O51" i="16"/>
  <c r="O63" i="16"/>
  <c r="Q63" i="16"/>
  <c r="Q31" i="16"/>
  <c r="Q48" i="16"/>
  <c r="Q51" i="16"/>
  <c r="Q64" i="16"/>
  <c r="J85" i="48"/>
  <c r="M17" i="47"/>
  <c r="M26" i="47"/>
  <c r="M27" i="47"/>
  <c r="AL127" i="11"/>
  <c r="AL198" i="11"/>
  <c r="AL411" i="11"/>
  <c r="AC36" i="15"/>
  <c r="AC54" i="15"/>
  <c r="AG13" i="58"/>
  <c r="AG11" i="58"/>
  <c r="AG19" i="58"/>
  <c r="AA473" i="22"/>
  <c r="W209" i="11"/>
  <c r="W133" i="11"/>
  <c r="AB38" i="47"/>
  <c r="AA358" i="11"/>
  <c r="AA359" i="11"/>
  <c r="AB361" i="11"/>
  <c r="AB15" i="15"/>
  <c r="K25" i="8"/>
  <c r="K23" i="8"/>
  <c r="Y127" i="11"/>
  <c r="Y198" i="11"/>
  <c r="Y411" i="11"/>
  <c r="AE38" i="47"/>
  <c r="AE15" i="15"/>
  <c r="Z53" i="15"/>
  <c r="Q116" i="11"/>
  <c r="Q184" i="11"/>
  <c r="L86" i="58"/>
  <c r="L95" i="58"/>
  <c r="D112" i="11"/>
  <c r="AI10" i="47"/>
  <c r="AI7" i="47"/>
  <c r="AN86" i="16"/>
  <c r="AN84" i="16"/>
  <c r="AO265" i="22"/>
  <c r="AO274" i="22"/>
  <c r="AO277" i="22"/>
  <c r="AA50" i="43"/>
  <c r="AA54" i="43"/>
  <c r="AA69" i="43"/>
  <c r="AE36" i="4"/>
  <c r="AE44" i="4"/>
  <c r="AE51" i="4"/>
  <c r="AE50" i="10"/>
  <c r="AE54" i="10"/>
  <c r="AC27" i="47"/>
  <c r="AC42" i="43"/>
  <c r="AC44" i="43"/>
  <c r="AC68" i="43"/>
  <c r="AC71" i="43"/>
  <c r="AC121" i="43"/>
  <c r="AC12" i="47"/>
  <c r="AC15" i="47"/>
  <c r="AC17" i="47"/>
  <c r="AC26" i="47"/>
  <c r="Z85" i="48"/>
  <c r="Q489" i="22"/>
  <c r="AP518" i="22"/>
  <c r="AP513" i="22"/>
  <c r="AI118" i="48"/>
  <c r="AP509" i="22"/>
  <c r="AP541" i="22"/>
  <c r="AI233" i="48"/>
  <c r="AI489" i="22"/>
  <c r="AT5" i="10"/>
  <c r="AT5" i="17"/>
  <c r="AT5" i="8"/>
  <c r="AT5" i="3"/>
  <c r="AT5" i="18"/>
  <c r="AT5" i="16"/>
  <c r="AT5" i="13"/>
  <c r="AT5" i="11"/>
  <c r="AT5" i="43"/>
  <c r="AT5" i="5"/>
  <c r="AT5" i="55"/>
  <c r="R5" i="47"/>
  <c r="R51" i="47"/>
  <c r="AF18" i="9"/>
  <c r="AF55" i="9"/>
  <c r="N51" i="4"/>
  <c r="N36" i="4"/>
  <c r="N44" i="4"/>
  <c r="AO45" i="4"/>
  <c r="L92" i="48"/>
  <c r="O32" i="47"/>
  <c r="O31" i="47"/>
  <c r="O17" i="47"/>
  <c r="O30" i="47"/>
  <c r="L86" i="48"/>
  <c r="T25" i="10"/>
  <c r="T24" i="10"/>
  <c r="AJ84" i="10"/>
  <c r="J91" i="48"/>
  <c r="M42" i="43"/>
  <c r="M44" i="43"/>
  <c r="M68" i="43"/>
  <c r="M71" i="43"/>
  <c r="M121" i="43"/>
  <c r="M12" i="47"/>
  <c r="M15" i="47"/>
  <c r="M20" i="47"/>
  <c r="V29" i="12"/>
  <c r="U160" i="5"/>
  <c r="AA9" i="14"/>
  <c r="V137" i="58"/>
  <c r="V138" i="58"/>
  <c r="AL24" i="8"/>
  <c r="AL113" i="8"/>
  <c r="AL114" i="8"/>
  <c r="AL120" i="8"/>
  <c r="Z488" i="22"/>
  <c r="W102" i="12"/>
  <c r="W127" i="12"/>
  <c r="W144" i="12"/>
  <c r="V57" i="47"/>
  <c r="V65" i="47"/>
  <c r="V75" i="47"/>
  <c r="V76" i="47"/>
  <c r="J52" i="58"/>
  <c r="J42" i="58"/>
  <c r="K228" i="12"/>
  <c r="K231" i="12"/>
  <c r="K243" i="12"/>
  <c r="K247" i="12"/>
  <c r="K248" i="12"/>
  <c r="K261" i="12"/>
  <c r="K263" i="12"/>
  <c r="L260" i="12"/>
  <c r="O113" i="43"/>
  <c r="O102" i="43"/>
  <c r="O106" i="43"/>
  <c r="O122" i="43"/>
  <c r="AB84" i="41"/>
  <c r="AB32" i="41"/>
  <c r="AB81" i="41"/>
  <c r="AA82" i="41"/>
  <c r="U58" i="9"/>
  <c r="U30" i="9"/>
  <c r="U33" i="9"/>
  <c r="U35" i="9"/>
  <c r="AJ27" i="12"/>
  <c r="AJ106" i="12"/>
  <c r="AJ112" i="12"/>
  <c r="AJ113" i="12"/>
  <c r="R480" i="22"/>
  <c r="R509" i="22"/>
  <c r="R541" i="22"/>
  <c r="K233" i="48"/>
  <c r="P58" i="47"/>
  <c r="AF66" i="8"/>
  <c r="AF67" i="8"/>
  <c r="AF74" i="8"/>
  <c r="I28" i="55"/>
  <c r="I29" i="55"/>
  <c r="I67" i="55"/>
  <c r="I66" i="55"/>
  <c r="I90" i="55"/>
  <c r="C90" i="55"/>
  <c r="J133" i="41"/>
  <c r="J131" i="41"/>
  <c r="T137" i="56"/>
  <c r="T136" i="56"/>
  <c r="AP57" i="8"/>
  <c r="AP58" i="8"/>
  <c r="AP73" i="8"/>
  <c r="AP75" i="8"/>
  <c r="AP34" i="3"/>
  <c r="S176" i="12"/>
  <c r="S67" i="12"/>
  <c r="AI99" i="10"/>
  <c r="AI64" i="10"/>
  <c r="AN69" i="10"/>
  <c r="S25" i="16"/>
  <c r="S24" i="16"/>
  <c r="J25" i="9"/>
  <c r="J116" i="41"/>
  <c r="R118" i="48"/>
  <c r="Y513" i="22"/>
  <c r="Y518" i="22"/>
  <c r="AP522" i="22"/>
  <c r="AP511" i="22"/>
  <c r="S11" i="54"/>
  <c r="V66" i="18"/>
  <c r="Z196" i="12"/>
  <c r="Z192" i="12"/>
  <c r="Z102" i="41"/>
  <c r="Z5" i="41"/>
  <c r="AL217" i="11"/>
  <c r="AL216" i="11"/>
  <c r="E102" i="55"/>
  <c r="I102" i="55"/>
  <c r="AI26" i="43"/>
  <c r="AI25" i="43"/>
  <c r="AD39" i="47"/>
  <c r="Z58" i="10"/>
  <c r="Z55" i="10"/>
  <c r="Z51" i="10"/>
  <c r="U25" i="13"/>
  <c r="U24" i="13"/>
  <c r="O50" i="19"/>
  <c r="I90" i="10"/>
  <c r="D90" i="10"/>
  <c r="AI225" i="12"/>
  <c r="J79" i="10"/>
  <c r="AP84" i="10"/>
  <c r="AP79" i="10"/>
  <c r="AC25" i="16"/>
  <c r="AC24" i="16"/>
  <c r="AL481" i="22"/>
  <c r="AB209" i="11"/>
  <c r="AB133" i="11"/>
  <c r="AW34" i="3"/>
  <c r="AW75" i="8"/>
  <c r="AW73" i="8"/>
  <c r="AW58" i="8"/>
  <c r="AW57" i="8"/>
  <c r="S53" i="15"/>
  <c r="W142" i="11"/>
  <c r="V481" i="22"/>
  <c r="AC252" i="12"/>
  <c r="AC242" i="12"/>
  <c r="O208" i="11"/>
  <c r="O132" i="11"/>
  <c r="AI88" i="10"/>
  <c r="AI91" i="10"/>
  <c r="AI25" i="9"/>
  <c r="AI116" i="41"/>
  <c r="AK28" i="12"/>
  <c r="AJ159" i="5"/>
  <c r="AL35" i="47"/>
  <c r="AL52" i="4"/>
  <c r="AL34" i="47"/>
  <c r="AF176" i="12"/>
  <c r="D184" i="11"/>
  <c r="K50" i="58"/>
  <c r="K40" i="58"/>
  <c r="P152" i="11"/>
  <c r="P92" i="11"/>
  <c r="I49" i="14"/>
  <c r="I52" i="14"/>
  <c r="AS99" i="10"/>
  <c r="AD32" i="15"/>
  <c r="AD22" i="15"/>
  <c r="AD24" i="15"/>
  <c r="AD59" i="3"/>
  <c r="AD70" i="3"/>
  <c r="AD74" i="3"/>
  <c r="AD26" i="15"/>
  <c r="AD29" i="15"/>
  <c r="AD92" i="8"/>
  <c r="AD99" i="8"/>
  <c r="AD118" i="8"/>
  <c r="AD121" i="8"/>
  <c r="Z473" i="22"/>
  <c r="AI28" i="12"/>
  <c r="AH159" i="5"/>
  <c r="AR137" i="56"/>
  <c r="AR136" i="56"/>
  <c r="AP175" i="22"/>
  <c r="AC117" i="41"/>
  <c r="AC26" i="9"/>
  <c r="AH124" i="11"/>
  <c r="AH195" i="11"/>
  <c r="AC103" i="58"/>
  <c r="AC112" i="58"/>
  <c r="F243" i="12"/>
  <c r="Z267" i="11"/>
  <c r="Z251" i="11"/>
  <c r="U280" i="11"/>
  <c r="V277" i="11"/>
  <c r="AC139" i="41"/>
  <c r="AC137" i="41"/>
  <c r="AC124" i="41"/>
  <c r="X473" i="22"/>
  <c r="O123" i="43"/>
  <c r="J127" i="58"/>
  <c r="AI203" i="12"/>
  <c r="AI222" i="12"/>
  <c r="AI242" i="12"/>
  <c r="AI252" i="12"/>
  <c r="P51" i="58"/>
  <c r="P41" i="58"/>
  <c r="U48" i="14"/>
  <c r="U51" i="14"/>
  <c r="AE213" i="12"/>
  <c r="AC473" i="22"/>
  <c r="D194" i="11"/>
  <c r="AA27" i="15"/>
  <c r="AA351" i="11"/>
  <c r="R27" i="12"/>
  <c r="R72" i="12"/>
  <c r="R86" i="12"/>
  <c r="R87" i="12"/>
  <c r="AG73" i="47"/>
  <c r="AG412" i="11"/>
  <c r="AG408" i="11"/>
  <c r="AA35" i="47"/>
  <c r="AA34" i="47"/>
  <c r="Z65" i="10"/>
  <c r="Z76" i="10"/>
  <c r="T12" i="54"/>
  <c r="L233" i="12"/>
  <c r="L229" i="12"/>
  <c r="T174" i="11"/>
  <c r="T173" i="11"/>
  <c r="T171" i="11"/>
  <c r="U114" i="58"/>
  <c r="U105" i="58"/>
  <c r="AA40" i="47"/>
  <c r="P56" i="13"/>
  <c r="P55" i="13"/>
  <c r="P54" i="13"/>
  <c r="P36" i="16"/>
  <c r="I51" i="58"/>
  <c r="I41" i="58"/>
  <c r="R224" i="12"/>
  <c r="AK152" i="41"/>
  <c r="AK150" i="41"/>
  <c r="AK54" i="8"/>
  <c r="AK31" i="9"/>
  <c r="X56" i="13"/>
  <c r="X55" i="13"/>
  <c r="X54" i="13"/>
  <c r="X32" i="16"/>
  <c r="X36" i="16"/>
  <c r="S213" i="11"/>
  <c r="S137" i="11"/>
  <c r="AE39" i="13"/>
  <c r="AE45" i="13"/>
  <c r="V120" i="8"/>
  <c r="V114" i="8"/>
  <c r="V113" i="8"/>
  <c r="J36" i="15"/>
  <c r="J54" i="15"/>
  <c r="O83" i="56"/>
  <c r="G17" i="2"/>
  <c r="N14" i="19"/>
  <c r="D110" i="56"/>
  <c r="AD25" i="10"/>
  <c r="AD24" i="10"/>
  <c r="AC94" i="12"/>
  <c r="AD61" i="47"/>
  <c r="AD398" i="11"/>
  <c r="M87" i="12"/>
  <c r="M86" i="12"/>
  <c r="M72" i="12"/>
  <c r="Y25" i="8"/>
  <c r="Y24" i="8"/>
  <c r="D196" i="11"/>
  <c r="AC111" i="11"/>
  <c r="AC179" i="11"/>
  <c r="X81" i="58"/>
  <c r="X90" i="58"/>
  <c r="AS80" i="10"/>
  <c r="AS83" i="10"/>
  <c r="AS85" i="10"/>
  <c r="AS89" i="10"/>
  <c r="AS90" i="10"/>
  <c r="S57" i="12"/>
  <c r="S52" i="12"/>
  <c r="Y207" i="11"/>
  <c r="Y131" i="11"/>
  <c r="Z67" i="12"/>
  <c r="AK210" i="11"/>
  <c r="AK134" i="11"/>
  <c r="M85" i="47"/>
  <c r="M89" i="47"/>
  <c r="M90" i="47"/>
  <c r="AU84" i="41"/>
  <c r="AU82" i="41"/>
  <c r="D106" i="8"/>
  <c r="X120" i="41"/>
  <c r="AN127" i="56"/>
  <c r="AN126" i="56"/>
  <c r="AB350" i="11"/>
  <c r="AB346" i="11"/>
  <c r="AB338" i="11"/>
  <c r="AJ13" i="47"/>
  <c r="AJ373" i="11"/>
  <c r="AK411" i="11"/>
  <c r="AA47" i="13"/>
  <c r="AA44" i="13"/>
  <c r="W176" i="12"/>
  <c r="D56" i="5"/>
  <c r="I56" i="5"/>
  <c r="Z21" i="18"/>
  <c r="Z23" i="18"/>
  <c r="Z57" i="18"/>
  <c r="Z56" i="18"/>
  <c r="V238" i="12"/>
  <c r="V237" i="12"/>
  <c r="Y226" i="22"/>
  <c r="Q70" i="47"/>
  <c r="Q66" i="47"/>
  <c r="E103" i="18"/>
  <c r="I103" i="18"/>
  <c r="T147" i="41"/>
  <c r="T27" i="9"/>
  <c r="AH102" i="55"/>
  <c r="AH41" i="55"/>
  <c r="L11" i="54"/>
  <c r="O66" i="18"/>
  <c r="R54" i="58"/>
  <c r="R44" i="58"/>
  <c r="S211" i="22"/>
  <c r="L158" i="11"/>
  <c r="L160" i="11"/>
  <c r="L161" i="11"/>
  <c r="W28" i="18"/>
  <c r="W29" i="18"/>
  <c r="W67" i="18"/>
  <c r="W66" i="18"/>
  <c r="T11" i="54"/>
  <c r="AA211" i="11"/>
  <c r="AA135" i="11"/>
  <c r="AA19" i="14"/>
  <c r="AA88" i="47"/>
  <c r="AB30" i="12"/>
  <c r="AA161" i="5"/>
  <c r="O137" i="56"/>
  <c r="O136" i="56"/>
  <c r="AI233" i="11"/>
  <c r="AI235" i="11"/>
  <c r="AI23" i="9"/>
  <c r="AI27" i="9"/>
  <c r="AI147" i="41"/>
  <c r="N26" i="43"/>
  <c r="N25" i="43"/>
  <c r="O489" i="22"/>
  <c r="U113" i="58"/>
  <c r="U104" i="58"/>
  <c r="AD146" i="41"/>
  <c r="AD9" i="9"/>
  <c r="AD54" i="9"/>
  <c r="L182" i="11"/>
  <c r="D182" i="11"/>
  <c r="AG178" i="41"/>
  <c r="AH103" i="18"/>
  <c r="AE7" i="54"/>
  <c r="V55" i="41"/>
  <c r="W32" i="41"/>
  <c r="W54" i="41"/>
  <c r="W57" i="41"/>
  <c r="AA79" i="10"/>
  <c r="O25" i="8"/>
  <c r="O24" i="8"/>
  <c r="AC187" i="22"/>
  <c r="AC189" i="22"/>
  <c r="Z207" i="12"/>
  <c r="Z210" i="12"/>
  <c r="U87" i="12"/>
  <c r="U86" i="12"/>
  <c r="U72" i="12"/>
  <c r="AC66" i="12"/>
  <c r="AC136" i="12"/>
  <c r="AC195" i="12"/>
  <c r="AI113" i="58"/>
  <c r="K125" i="11"/>
  <c r="K196" i="11"/>
  <c r="F104" i="58"/>
  <c r="F113" i="58"/>
  <c r="AH113" i="58"/>
  <c r="AL121" i="41"/>
  <c r="S515" i="22"/>
  <c r="D94" i="56"/>
  <c r="X13" i="9"/>
  <c r="X109" i="41"/>
  <c r="X131" i="41"/>
  <c r="X133" i="41"/>
  <c r="T410" i="11"/>
  <c r="AL54" i="8"/>
  <c r="AL31" i="9"/>
  <c r="AL150" i="41"/>
  <c r="AL152" i="41"/>
  <c r="L73" i="58"/>
  <c r="L64" i="58"/>
  <c r="AC109" i="41"/>
  <c r="AC120" i="41"/>
  <c r="AK127" i="11"/>
  <c r="AK198" i="11"/>
  <c r="AF106" i="58"/>
  <c r="AF115" i="58"/>
  <c r="AK58" i="9"/>
  <c r="AK30" i="9"/>
  <c r="AK33" i="9"/>
  <c r="AK35" i="9"/>
  <c r="AG60" i="13"/>
  <c r="AG35" i="15"/>
  <c r="AG21" i="18"/>
  <c r="AG23" i="18"/>
  <c r="AG57" i="18"/>
  <c r="AG56" i="18"/>
  <c r="AD47" i="14"/>
  <c r="AD11" i="14"/>
  <c r="AD50" i="14"/>
  <c r="U13" i="14"/>
  <c r="U14" i="14"/>
  <c r="T166" i="41"/>
  <c r="T168" i="41"/>
  <c r="T175" i="41"/>
  <c r="AH224" i="22"/>
  <c r="AD60" i="43"/>
  <c r="AD64" i="43"/>
  <c r="AD70" i="43"/>
  <c r="R102" i="12"/>
  <c r="R127" i="12"/>
  <c r="R144" i="12"/>
  <c r="Q57" i="47"/>
  <c r="Q65" i="47"/>
  <c r="Q75" i="47"/>
  <c r="Q76" i="47"/>
  <c r="AL542" i="22"/>
  <c r="AK13" i="18"/>
  <c r="AK250" i="11"/>
  <c r="AK266" i="11"/>
  <c r="AK271" i="11"/>
  <c r="AK278" i="11"/>
  <c r="AK280" i="11"/>
  <c r="AK279" i="11"/>
  <c r="AK10" i="15"/>
  <c r="AK13" i="55"/>
  <c r="AB47" i="14"/>
  <c r="AB11" i="14"/>
  <c r="AB50" i="14"/>
  <c r="Z32" i="16"/>
  <c r="Z36" i="16"/>
  <c r="Z54" i="13"/>
  <c r="Z55" i="13"/>
  <c r="Z56" i="13"/>
  <c r="W96" i="11"/>
  <c r="W156" i="11"/>
  <c r="W386" i="11"/>
  <c r="AI188" i="11"/>
  <c r="AI187" i="11"/>
  <c r="AI185" i="11"/>
  <c r="Q277" i="22"/>
  <c r="Q274" i="22"/>
  <c r="Q265" i="22"/>
  <c r="X36" i="15"/>
  <c r="X54" i="15"/>
  <c r="T211" i="22"/>
  <c r="AB130" i="11"/>
  <c r="AB206" i="11"/>
  <c r="AB214" i="11"/>
  <c r="AB379" i="11"/>
  <c r="AB382" i="11"/>
  <c r="AB14" i="47"/>
  <c r="AI127" i="11"/>
  <c r="AI198" i="11"/>
  <c r="AI411" i="11"/>
  <c r="J29" i="17"/>
  <c r="J66" i="10"/>
  <c r="AO175" i="22"/>
  <c r="N14" i="15"/>
  <c r="N20" i="15"/>
  <c r="J7" i="56"/>
  <c r="J11" i="56"/>
  <c r="J15" i="56"/>
  <c r="J19" i="56"/>
  <c r="AA133" i="41"/>
  <c r="AA131" i="41"/>
  <c r="W139" i="41"/>
  <c r="W137" i="41"/>
  <c r="W124" i="41"/>
  <c r="V90" i="8"/>
  <c r="AF94" i="12"/>
  <c r="AA74" i="8"/>
  <c r="AA67" i="8"/>
  <c r="AA66" i="8"/>
  <c r="AE6" i="54"/>
  <c r="AH10" i="18"/>
  <c r="AH16" i="18"/>
  <c r="AH42" i="18"/>
  <c r="AH41" i="18"/>
  <c r="AH102" i="18"/>
  <c r="AT61" i="41"/>
  <c r="AT54" i="8"/>
  <c r="AT59" i="41"/>
  <c r="AT62" i="41"/>
  <c r="P233" i="48"/>
  <c r="W541" i="22"/>
  <c r="W509" i="22"/>
  <c r="Q35" i="41"/>
  <c r="Q33" i="41"/>
  <c r="Q36" i="41"/>
  <c r="E103" i="56"/>
  <c r="D103" i="56"/>
  <c r="D112" i="56"/>
  <c r="X481" i="22"/>
  <c r="R14" i="15"/>
  <c r="R20" i="15"/>
  <c r="N7" i="56"/>
  <c r="N11" i="56"/>
  <c r="N15" i="56"/>
  <c r="N19" i="56"/>
  <c r="AH10" i="55"/>
  <c r="AH16" i="55"/>
  <c r="AH42" i="55"/>
  <c r="AH103" i="55"/>
  <c r="AF51" i="14"/>
  <c r="AF48" i="14"/>
  <c r="AL115" i="41"/>
  <c r="AL125" i="41"/>
  <c r="AL138" i="41"/>
  <c r="V212" i="11"/>
  <c r="V136" i="11"/>
  <c r="R52" i="15"/>
  <c r="AG107" i="58"/>
  <c r="AG100" i="58"/>
  <c r="AG109" i="58"/>
  <c r="AG48" i="14"/>
  <c r="AG51" i="14"/>
  <c r="AD89" i="41"/>
  <c r="AD86" i="41"/>
  <c r="AD88" i="41"/>
  <c r="AW45" i="4"/>
  <c r="T126" i="11"/>
  <c r="T197" i="11"/>
  <c r="O105" i="58"/>
  <c r="O114" i="58"/>
  <c r="AE103" i="12"/>
  <c r="S211" i="11"/>
  <c r="S135" i="11"/>
  <c r="AF73" i="47"/>
  <c r="AF412" i="11"/>
  <c r="AF408" i="11"/>
  <c r="O224" i="12"/>
  <c r="Y54" i="12"/>
  <c r="S6" i="58"/>
  <c r="K18" i="56"/>
  <c r="K14" i="56"/>
  <c r="K13" i="56"/>
  <c r="V35" i="9"/>
  <c r="V30" i="9"/>
  <c r="V33" i="9"/>
  <c r="V58" i="9"/>
  <c r="G113" i="58"/>
  <c r="G104" i="58"/>
  <c r="S121" i="8"/>
  <c r="S59" i="3"/>
  <c r="S70" i="3"/>
  <c r="S74" i="3"/>
  <c r="S26" i="15"/>
  <c r="S29" i="15"/>
  <c r="S92" i="8"/>
  <c r="S99" i="8"/>
  <c r="S118" i="8"/>
  <c r="S32" i="15"/>
  <c r="AK29" i="17"/>
  <c r="AK66" i="10"/>
  <c r="O7" i="47"/>
  <c r="O10" i="47"/>
  <c r="L20" i="47"/>
  <c r="L42" i="43"/>
  <c r="L44" i="43"/>
  <c r="L68" i="43"/>
  <c r="L71" i="43"/>
  <c r="L121" i="43"/>
  <c r="L12" i="47"/>
  <c r="L15" i="47"/>
  <c r="I91" i="48"/>
  <c r="AD14" i="18"/>
  <c r="AD90" i="10"/>
  <c r="AD11" i="15"/>
  <c r="AD14" i="55"/>
  <c r="V57" i="41"/>
  <c r="V32" i="41"/>
  <c r="V54" i="41"/>
  <c r="U55" i="41"/>
  <c r="AL537" i="22"/>
  <c r="AE231" i="48"/>
  <c r="AE234" i="48"/>
  <c r="U232" i="11"/>
  <c r="H109" i="58"/>
  <c r="H100" i="58"/>
  <c r="H107" i="58"/>
  <c r="M40" i="47"/>
  <c r="V208" i="12"/>
  <c r="AG489" i="22"/>
  <c r="K67" i="58"/>
  <c r="K196" i="22"/>
  <c r="AI102" i="41"/>
  <c r="AI5" i="41"/>
  <c r="X88" i="16"/>
  <c r="K106" i="8"/>
  <c r="L103" i="8"/>
  <c r="D103" i="8"/>
  <c r="AB133" i="22"/>
  <c r="O165" i="12"/>
  <c r="Z126" i="11"/>
  <c r="Z197" i="11"/>
  <c r="Z410" i="11"/>
  <c r="W65" i="10"/>
  <c r="W76" i="10"/>
  <c r="I102" i="48"/>
  <c r="H17" i="56"/>
  <c r="AE104" i="11"/>
  <c r="AE168" i="11"/>
  <c r="Z62" i="58"/>
  <c r="Z71" i="58"/>
  <c r="AD52" i="14"/>
  <c r="AD49" i="14"/>
  <c r="Y88" i="41"/>
  <c r="Y86" i="41"/>
  <c r="Y89" i="41"/>
  <c r="W334" i="11"/>
  <c r="D334" i="11"/>
  <c r="V334" i="11"/>
  <c r="U250" i="11"/>
  <c r="U266" i="11"/>
  <c r="U271" i="11"/>
  <c r="U278" i="11"/>
  <c r="U10" i="14"/>
  <c r="AD358" i="11"/>
  <c r="AD359" i="11"/>
  <c r="AE361" i="11"/>
  <c r="AE17" i="14"/>
  <c r="AE86" i="47"/>
  <c r="AH49" i="14"/>
  <c r="AH52" i="14"/>
  <c r="P40" i="47"/>
  <c r="V112" i="58"/>
  <c r="V103" i="58"/>
  <c r="AL61" i="47"/>
  <c r="AL398" i="11"/>
  <c r="S103" i="12"/>
  <c r="P38" i="47"/>
  <c r="O358" i="11"/>
  <c r="O359" i="11"/>
  <c r="P361" i="11"/>
  <c r="P15" i="15"/>
  <c r="AB10" i="47"/>
  <c r="AB7" i="47"/>
  <c r="AP489" i="22"/>
  <c r="X126" i="11"/>
  <c r="X197" i="11"/>
  <c r="X410" i="11"/>
  <c r="AI480" i="22"/>
  <c r="AF66" i="12"/>
  <c r="AF136" i="12"/>
  <c r="AF195" i="12"/>
  <c r="M13" i="58"/>
  <c r="M11" i="58"/>
  <c r="M19" i="58"/>
  <c r="O12" i="17"/>
  <c r="O20" i="9"/>
  <c r="O37" i="9"/>
  <c r="O44" i="9"/>
  <c r="L50" i="14"/>
  <c r="L11" i="14"/>
  <c r="L47" i="14"/>
  <c r="T176" i="12"/>
  <c r="AA62" i="47"/>
  <c r="AA405" i="11"/>
  <c r="AA403" i="11"/>
  <c r="R44" i="9"/>
  <c r="R20" i="9"/>
  <c r="R37" i="9"/>
  <c r="R12" i="17"/>
  <c r="T54" i="9"/>
  <c r="T9" i="9"/>
  <c r="T146" i="41"/>
  <c r="AI32" i="15"/>
  <c r="AI74" i="3"/>
  <c r="AI26" i="15"/>
  <c r="AI29" i="15"/>
  <c r="AI92" i="8"/>
  <c r="AI99" i="8"/>
  <c r="AI118" i="8"/>
  <c r="AI121" i="8"/>
  <c r="AG518" i="22"/>
  <c r="AG513" i="22"/>
  <c r="Z118" i="48"/>
  <c r="AI91" i="12"/>
  <c r="AN84" i="10"/>
  <c r="AN79" i="10"/>
  <c r="AF165" i="12"/>
  <c r="M270" i="11"/>
  <c r="M254" i="11"/>
  <c r="Q82" i="41"/>
  <c r="R81" i="41"/>
  <c r="R84" i="41"/>
  <c r="Z28" i="55"/>
  <c r="Z29" i="55"/>
  <c r="Z67" i="55"/>
  <c r="Z66" i="55"/>
  <c r="D93" i="56"/>
  <c r="O10" i="19"/>
  <c r="G10" i="2"/>
  <c r="AL43" i="8"/>
  <c r="W188" i="11"/>
  <c r="W187" i="11"/>
  <c r="W185" i="11"/>
  <c r="AC25" i="3"/>
  <c r="AC24" i="3"/>
  <c r="M141" i="56"/>
  <c r="M140" i="56"/>
  <c r="AH67" i="58"/>
  <c r="G67" i="58"/>
  <c r="AI67" i="58"/>
  <c r="S10" i="9"/>
  <c r="S8" i="9"/>
  <c r="P67" i="58"/>
  <c r="AF196" i="12"/>
  <c r="AF192" i="12"/>
  <c r="AF25" i="8"/>
  <c r="AF24" i="8"/>
  <c r="Q34" i="3"/>
  <c r="Q40" i="8"/>
  <c r="Q46" i="8"/>
  <c r="Q52" i="8"/>
  <c r="Q72" i="8"/>
  <c r="Q75" i="8"/>
  <c r="Q33" i="16"/>
  <c r="AM34" i="3"/>
  <c r="AM75" i="8"/>
  <c r="AM73" i="8"/>
  <c r="AM58" i="8"/>
  <c r="AM57" i="8"/>
  <c r="I25" i="4"/>
  <c r="AE107" i="10"/>
  <c r="AE14" i="9"/>
  <c r="AC125" i="58"/>
  <c r="J58" i="9"/>
  <c r="J30" i="9"/>
  <c r="J33" i="9"/>
  <c r="J35" i="9"/>
  <c r="M19" i="14"/>
  <c r="M88" i="47"/>
  <c r="U113" i="43"/>
  <c r="Y202" i="22"/>
  <c r="Y204" i="22"/>
  <c r="U102" i="43"/>
  <c r="U106" i="43"/>
  <c r="U122" i="43"/>
  <c r="AB171" i="11"/>
  <c r="AB173" i="11"/>
  <c r="AB174" i="11"/>
  <c r="K58" i="58"/>
  <c r="K65" i="58"/>
  <c r="K66" i="58"/>
  <c r="W13" i="47"/>
  <c r="W373" i="11"/>
  <c r="R143" i="22"/>
  <c r="I4" i="58"/>
  <c r="Q106" i="11"/>
  <c r="Q170" i="11"/>
  <c r="Q387" i="11"/>
  <c r="AF267" i="11"/>
  <c r="AF251" i="11"/>
  <c r="AC481" i="22"/>
  <c r="O71" i="58"/>
  <c r="O62" i="58"/>
  <c r="T168" i="11"/>
  <c r="T104" i="11"/>
  <c r="W120" i="41"/>
  <c r="AE47" i="13"/>
  <c r="AE44" i="13"/>
  <c r="L316" i="11"/>
  <c r="L292" i="11"/>
  <c r="C91" i="18"/>
  <c r="I91" i="18"/>
  <c r="Z125" i="11"/>
  <c r="Z196" i="11"/>
  <c r="Z409" i="11"/>
  <c r="P175" i="22"/>
  <c r="AE213" i="11"/>
  <c r="AE137" i="11"/>
  <c r="V105" i="11"/>
  <c r="V169" i="11"/>
  <c r="Q63" i="58"/>
  <c r="Q72" i="58"/>
  <c r="Q175" i="22"/>
  <c r="H5" i="58"/>
  <c r="J227" i="48"/>
  <c r="J108" i="48"/>
  <c r="N53" i="12"/>
  <c r="U85" i="48"/>
  <c r="X26" i="47"/>
  <c r="X27" i="47"/>
  <c r="R93" i="58"/>
  <c r="R84" i="58"/>
  <c r="W182" i="11"/>
  <c r="W114" i="11"/>
  <c r="AF5" i="58"/>
  <c r="AH227" i="48"/>
  <c r="AL53" i="12"/>
  <c r="AH108" i="48"/>
  <c r="AF13" i="14"/>
  <c r="AF14" i="14"/>
  <c r="AE166" i="41"/>
  <c r="AE168" i="41"/>
  <c r="AE175" i="41"/>
  <c r="AW99" i="10"/>
  <c r="P13" i="9"/>
  <c r="P18" i="9"/>
  <c r="P55" i="9"/>
  <c r="AL138" i="22"/>
  <c r="AL466" i="22"/>
  <c r="AL477" i="22"/>
  <c r="AI63" i="12"/>
  <c r="AI133" i="12"/>
  <c r="AI193" i="12"/>
  <c r="AO474" i="22"/>
  <c r="AO471" i="22"/>
  <c r="AL90" i="47"/>
  <c r="AL89" i="47"/>
  <c r="AL85" i="47"/>
  <c r="AI105" i="11"/>
  <c r="AI169" i="11"/>
  <c r="AD63" i="58"/>
  <c r="AD72" i="58"/>
  <c r="AG13" i="14"/>
  <c r="AG14" i="14"/>
  <c r="AF166" i="41"/>
  <c r="AF168" i="41"/>
  <c r="AF175" i="41"/>
  <c r="N270" i="11"/>
  <c r="N254" i="11"/>
  <c r="AE133" i="22"/>
  <c r="U50" i="58"/>
  <c r="U40" i="58"/>
  <c r="Z152" i="11"/>
  <c r="Z92" i="11"/>
  <c r="R54" i="15"/>
  <c r="P39" i="13"/>
  <c r="P45" i="13"/>
  <c r="U12" i="17"/>
  <c r="U20" i="9"/>
  <c r="U37" i="9"/>
  <c r="U44" i="9"/>
  <c r="AM251" i="12"/>
  <c r="AM241" i="12"/>
  <c r="I47" i="14"/>
  <c r="I11" i="14"/>
  <c r="I50" i="14"/>
  <c r="AE187" i="22"/>
  <c r="AE189" i="22"/>
  <c r="AB207" i="12"/>
  <c r="AB210" i="12"/>
  <c r="O39" i="47"/>
  <c r="AB42" i="3"/>
  <c r="AB40" i="3"/>
  <c r="AB24" i="15"/>
  <c r="AB37" i="3"/>
  <c r="Y54" i="15"/>
  <c r="F34" i="58"/>
  <c r="F31" i="58"/>
  <c r="F27" i="58"/>
  <c r="AP98" i="10"/>
  <c r="AP78" i="10"/>
  <c r="AP59" i="10"/>
  <c r="AW232" i="11"/>
  <c r="AV5" i="4"/>
  <c r="AV235" i="11"/>
  <c r="AV234" i="11"/>
  <c r="P57" i="41"/>
  <c r="P32" i="41"/>
  <c r="P54" i="41"/>
  <c r="O55" i="41"/>
  <c r="I23" i="4"/>
  <c r="D23" i="4"/>
  <c r="D25" i="4"/>
  <c r="I121" i="41"/>
  <c r="I132" i="41"/>
  <c r="AH34" i="43"/>
  <c r="AI200" i="12"/>
  <c r="AI218" i="12"/>
  <c r="AI223" i="12"/>
  <c r="AI243" i="12"/>
  <c r="AI247" i="12"/>
  <c r="AI248" i="12"/>
  <c r="AH8" i="14"/>
  <c r="AC140" i="58"/>
  <c r="AC141" i="58"/>
  <c r="AS57" i="8"/>
  <c r="AS58" i="8"/>
  <c r="AS73" i="8"/>
  <c r="AS75" i="8"/>
  <c r="AS34" i="3"/>
  <c r="Z52" i="14"/>
  <c r="Z49" i="14"/>
  <c r="AE21" i="18"/>
  <c r="AE23" i="18"/>
  <c r="AE57" i="18"/>
  <c r="AE56" i="18"/>
  <c r="AN488" i="22"/>
  <c r="AN517" i="22"/>
  <c r="U176" i="12"/>
  <c r="O47" i="14"/>
  <c r="O11" i="14"/>
  <c r="O50" i="14"/>
  <c r="D195" i="11"/>
  <c r="P234" i="12"/>
  <c r="P230" i="12"/>
  <c r="P209" i="12"/>
  <c r="S212" i="22"/>
  <c r="S148" i="22"/>
  <c r="S210" i="22"/>
  <c r="U97" i="10"/>
  <c r="U100" i="10"/>
  <c r="U104" i="10"/>
  <c r="U23" i="14"/>
  <c r="Z62" i="12"/>
  <c r="Z132" i="12"/>
  <c r="Z137" i="12"/>
  <c r="O28" i="18"/>
  <c r="O29" i="18"/>
  <c r="O67" i="18"/>
  <c r="L12" i="54"/>
  <c r="AC32" i="9"/>
  <c r="AC47" i="17"/>
  <c r="W145" i="12"/>
  <c r="V91" i="48"/>
  <c r="Y20" i="47"/>
  <c r="K28" i="18"/>
  <c r="K29" i="18"/>
  <c r="K67" i="18"/>
  <c r="K66" i="18"/>
  <c r="H11" i="54"/>
  <c r="Z51" i="58"/>
  <c r="Z41" i="58"/>
  <c r="R276" i="22"/>
  <c r="R267" i="22"/>
  <c r="P31" i="9"/>
  <c r="P150" i="41"/>
  <c r="P152" i="41"/>
  <c r="AD27" i="15"/>
  <c r="AD351" i="11"/>
  <c r="W13" i="9"/>
  <c r="W109" i="41"/>
  <c r="W131" i="41"/>
  <c r="W133" i="41"/>
  <c r="I58" i="56"/>
  <c r="I59" i="56"/>
  <c r="Q37" i="3"/>
  <c r="Q40" i="3"/>
  <c r="Q42" i="3"/>
  <c r="R56" i="15"/>
  <c r="R60" i="13"/>
  <c r="R35" i="15"/>
  <c r="R36" i="15"/>
  <c r="R39" i="15"/>
  <c r="R42" i="15"/>
  <c r="P84" i="10"/>
  <c r="O241" i="12"/>
  <c r="O251" i="12"/>
  <c r="AI95" i="58"/>
  <c r="L184" i="11"/>
  <c r="G86" i="58"/>
  <c r="G95" i="58"/>
  <c r="AH95" i="58"/>
  <c r="P58" i="58"/>
  <c r="P65" i="58"/>
  <c r="P66" i="58"/>
  <c r="AJ349" i="11"/>
  <c r="AJ352" i="11"/>
  <c r="AK349" i="11"/>
  <c r="AK352" i="11"/>
  <c r="AK39" i="13"/>
  <c r="R121" i="8"/>
  <c r="R88" i="8"/>
  <c r="R93" i="8"/>
  <c r="R99" i="8"/>
  <c r="R118" i="8"/>
  <c r="R32" i="15"/>
  <c r="X39" i="58"/>
  <c r="X49" i="58"/>
  <c r="O18" i="9"/>
  <c r="O55" i="9"/>
  <c r="S97" i="11"/>
  <c r="S157" i="11"/>
  <c r="N45" i="58"/>
  <c r="N55" i="58"/>
  <c r="V54" i="9"/>
  <c r="V9" i="9"/>
  <c r="V146" i="41"/>
  <c r="X103" i="48"/>
  <c r="W8" i="56"/>
  <c r="W10" i="56"/>
  <c r="W12" i="56"/>
  <c r="L379" i="11"/>
  <c r="L382" i="11"/>
  <c r="L14" i="47"/>
  <c r="D14" i="47"/>
  <c r="X207" i="11"/>
  <c r="X131" i="11"/>
  <c r="AI49" i="14"/>
  <c r="AI52" i="14"/>
  <c r="P49" i="41"/>
  <c r="Q31" i="41"/>
  <c r="Q48" i="41"/>
  <c r="Q51" i="41"/>
  <c r="AG488" i="22"/>
  <c r="AD102" i="12"/>
  <c r="AD127" i="12"/>
  <c r="AD144" i="12"/>
  <c r="AD165" i="12"/>
  <c r="X22" i="47"/>
  <c r="U84" i="48"/>
  <c r="X42" i="43"/>
  <c r="X44" i="43"/>
  <c r="X68" i="43"/>
  <c r="X71" i="43"/>
  <c r="X121" i="43"/>
  <c r="X12" i="47"/>
  <c r="X15" i="47"/>
  <c r="X17" i="47"/>
  <c r="X18" i="47"/>
  <c r="R18" i="9"/>
  <c r="R55" i="9"/>
  <c r="AC32" i="15"/>
  <c r="AC59" i="3"/>
  <c r="AC70" i="3"/>
  <c r="AC74" i="3"/>
  <c r="AC26" i="15"/>
  <c r="AC29" i="15"/>
  <c r="AC92" i="8"/>
  <c r="AC99" i="8"/>
  <c r="AC118" i="8"/>
  <c r="AC121" i="8"/>
  <c r="S25" i="10"/>
  <c r="S24" i="10"/>
  <c r="M127" i="58"/>
  <c r="R123" i="43"/>
  <c r="V28" i="18"/>
  <c r="V29" i="18"/>
  <c r="V67" i="18"/>
  <c r="S12" i="54"/>
  <c r="K26" i="43"/>
  <c r="K24" i="43"/>
  <c r="T229" i="48"/>
  <c r="T226" i="48"/>
  <c r="AO470" i="22"/>
  <c r="Q481" i="22"/>
  <c r="H137" i="56"/>
  <c r="H136" i="56"/>
  <c r="AA51" i="47"/>
  <c r="AA5" i="47"/>
  <c r="O269" i="11"/>
  <c r="O253" i="11"/>
  <c r="P473" i="22"/>
  <c r="AL66" i="8"/>
  <c r="AL67" i="8"/>
  <c r="AL74" i="8"/>
  <c r="W80" i="55"/>
  <c r="AI80" i="55"/>
  <c r="AB80" i="55"/>
  <c r="AT80" i="55"/>
  <c r="AE80" i="55"/>
  <c r="R80" i="55"/>
  <c r="AG80" i="55"/>
  <c r="O80" i="55"/>
  <c r="K80" i="55"/>
  <c r="AV80" i="55"/>
  <c r="AN80" i="55"/>
  <c r="D41" i="55"/>
  <c r="E45" i="55"/>
  <c r="AC80" i="55"/>
  <c r="AA80" i="55"/>
  <c r="AK80" i="55"/>
  <c r="AH80" i="55"/>
  <c r="AX80" i="55"/>
  <c r="AP80" i="55"/>
  <c r="Z80" i="55"/>
  <c r="S80" i="55"/>
  <c r="X80" i="55"/>
  <c r="AF80" i="55"/>
  <c r="P80" i="55"/>
  <c r="Q80" i="55"/>
  <c r="AW80" i="55"/>
  <c r="AS80" i="55"/>
  <c r="J80" i="55"/>
  <c r="AO80" i="55"/>
  <c r="AR80" i="55"/>
  <c r="AD80" i="55"/>
  <c r="AQ80" i="55"/>
  <c r="AM80" i="55"/>
  <c r="L80" i="55"/>
  <c r="U80" i="55"/>
  <c r="Y80" i="55"/>
  <c r="D45" i="55"/>
  <c r="V80" i="55"/>
  <c r="T80" i="55"/>
  <c r="AL80" i="55"/>
  <c r="M80" i="55"/>
  <c r="AJ80" i="55"/>
  <c r="N80" i="55"/>
  <c r="I10" i="55"/>
  <c r="I16" i="55"/>
  <c r="I42" i="55"/>
  <c r="I41" i="55"/>
  <c r="AU80" i="55"/>
  <c r="W175" i="22"/>
  <c r="O213" i="11"/>
  <c r="O137" i="11"/>
  <c r="AD160" i="41"/>
  <c r="AD157" i="41"/>
  <c r="AD57" i="8"/>
  <c r="AD58" i="8"/>
  <c r="AD73" i="8"/>
  <c r="AD18" i="14"/>
  <c r="AD87" i="47"/>
  <c r="K206" i="11"/>
  <c r="K214" i="11"/>
  <c r="K216" i="11"/>
  <c r="K217" i="11"/>
  <c r="L253" i="11"/>
  <c r="D253" i="11"/>
  <c r="Y176" i="12"/>
  <c r="AI42" i="15"/>
  <c r="AI39" i="15"/>
  <c r="AI56" i="15"/>
  <c r="Q108" i="48"/>
  <c r="U53" i="12"/>
  <c r="Q227" i="48"/>
  <c r="O5" i="58"/>
  <c r="O87" i="47"/>
  <c r="O160" i="41"/>
  <c r="O57" i="8"/>
  <c r="O58" i="8"/>
  <c r="O73" i="8"/>
  <c r="O18" i="14"/>
  <c r="O157" i="41"/>
  <c r="U107" i="58"/>
  <c r="U100" i="58"/>
  <c r="U109" i="58"/>
  <c r="Y56" i="15"/>
  <c r="Y60" i="13"/>
  <c r="Y35" i="15"/>
  <c r="Y36" i="15"/>
  <c r="Y39" i="15"/>
  <c r="Y42" i="15"/>
  <c r="AI111" i="58"/>
  <c r="K123" i="11"/>
  <c r="K194" i="11"/>
  <c r="F102" i="58"/>
  <c r="F111" i="58"/>
  <c r="AH111" i="58"/>
  <c r="I114" i="41"/>
  <c r="I125" i="41"/>
  <c r="I138" i="41"/>
  <c r="Z123" i="43"/>
  <c r="AD162" i="22"/>
  <c r="Z34" i="43"/>
  <c r="Z42" i="43"/>
  <c r="Z44" i="43"/>
  <c r="Z68" i="43"/>
  <c r="Z71" i="43"/>
  <c r="Z121" i="43"/>
  <c r="U127" i="58"/>
  <c r="V50" i="14"/>
  <c r="V11" i="14"/>
  <c r="V47" i="14"/>
  <c r="S210" i="12"/>
  <c r="S207" i="12"/>
  <c r="AE85" i="47"/>
  <c r="AE89" i="47"/>
  <c r="AE90" i="47"/>
  <c r="AI112" i="58"/>
  <c r="K124" i="11"/>
  <c r="K195" i="11"/>
  <c r="F103" i="58"/>
  <c r="F112" i="58"/>
  <c r="AH112" i="58"/>
  <c r="AL473" i="22"/>
  <c r="AG49" i="14"/>
  <c r="AG52" i="14"/>
  <c r="M103" i="12"/>
  <c r="X212" i="11"/>
  <c r="X136" i="11"/>
  <c r="T148" i="22"/>
  <c r="T210" i="22"/>
  <c r="T212" i="22"/>
  <c r="Q209" i="12"/>
  <c r="Q230" i="12"/>
  <c r="Q234" i="12"/>
  <c r="AC203" i="12"/>
  <c r="AC222" i="12"/>
  <c r="AC225" i="12"/>
  <c r="Y120" i="56"/>
  <c r="Y117" i="56"/>
  <c r="Y118" i="56"/>
  <c r="AA76" i="41"/>
  <c r="AB31" i="41"/>
  <c r="AB75" i="41"/>
  <c r="AB78" i="41"/>
  <c r="AB91" i="12"/>
  <c r="AA28" i="12"/>
  <c r="Z159" i="5"/>
  <c r="D25" i="8"/>
  <c r="D23" i="8"/>
  <c r="AA91" i="16"/>
  <c r="AA88" i="16"/>
  <c r="AH57" i="16"/>
  <c r="AH54" i="16"/>
  <c r="AD175" i="22"/>
  <c r="AF76" i="47"/>
  <c r="AF75" i="47"/>
  <c r="X77" i="12"/>
  <c r="X76" i="12"/>
  <c r="X70" i="12"/>
  <c r="AA43" i="8"/>
  <c r="Y116" i="41"/>
  <c r="Y25" i="9"/>
  <c r="T69" i="43"/>
  <c r="T54" i="43"/>
  <c r="X187" i="22"/>
  <c r="X189" i="22"/>
  <c r="T50" i="43"/>
  <c r="AH162" i="41"/>
  <c r="AH158" i="41"/>
  <c r="AH156" i="41"/>
  <c r="L25" i="12"/>
  <c r="L23" i="12"/>
  <c r="M92" i="12"/>
  <c r="T33" i="16"/>
  <c r="T34" i="3"/>
  <c r="V51" i="47"/>
  <c r="V5" i="47"/>
  <c r="Z103" i="55"/>
  <c r="R95" i="12"/>
  <c r="R90" i="12"/>
  <c r="M29" i="17"/>
  <c r="M66" i="10"/>
  <c r="T120" i="8"/>
  <c r="T114" i="8"/>
  <c r="T113" i="8"/>
  <c r="AE133" i="41"/>
  <c r="AE131" i="41"/>
  <c r="AC233" i="48"/>
  <c r="AJ541" i="22"/>
  <c r="AJ480" i="22"/>
  <c r="AJ509" i="22"/>
  <c r="S30" i="12"/>
  <c r="R161" i="5"/>
  <c r="AA25" i="4"/>
  <c r="AA24" i="4"/>
  <c r="Z73" i="47"/>
  <c r="Z412" i="11"/>
  <c r="Z121" i="11"/>
  <c r="Z192" i="11"/>
  <c r="Z408" i="11"/>
  <c r="AB165" i="12"/>
  <c r="X87" i="12"/>
  <c r="X86" i="12"/>
  <c r="X72" i="12"/>
  <c r="AE54" i="15"/>
  <c r="Q30" i="58"/>
  <c r="Q26" i="58"/>
  <c r="V515" i="22"/>
  <c r="J91" i="58"/>
  <c r="J82" i="58"/>
  <c r="O180" i="11"/>
  <c r="O112" i="11"/>
  <c r="AG113" i="58"/>
  <c r="AG104" i="58"/>
  <c r="AL268" i="11"/>
  <c r="AL252" i="11"/>
  <c r="O210" i="12"/>
  <c r="O207" i="12"/>
  <c r="AI316" i="11"/>
  <c r="AI315" i="11"/>
  <c r="AE269" i="11"/>
  <c r="AE253" i="11"/>
  <c r="T196" i="12"/>
  <c r="T192" i="12"/>
  <c r="R517" i="22"/>
  <c r="W54" i="10"/>
  <c r="X51" i="47"/>
  <c r="X5" i="47"/>
  <c r="Z269" i="11"/>
  <c r="Z253" i="11"/>
  <c r="AK39" i="47"/>
  <c r="AE11" i="54"/>
  <c r="AH66" i="18"/>
  <c r="AH12" i="54"/>
  <c r="I137" i="56"/>
  <c r="I136" i="56"/>
  <c r="H122" i="48"/>
  <c r="H117" i="48"/>
  <c r="O56" i="18"/>
  <c r="O57" i="18"/>
  <c r="O23" i="18"/>
  <c r="O73" i="10"/>
  <c r="O75" i="10"/>
  <c r="O77" i="10"/>
  <c r="O80" i="10"/>
  <c r="O83" i="10"/>
  <c r="O85" i="10"/>
  <c r="O89" i="10"/>
  <c r="O22" i="14"/>
  <c r="O24" i="14"/>
  <c r="O38" i="13"/>
  <c r="O41" i="13"/>
  <c r="O59" i="13"/>
  <c r="O60" i="13"/>
  <c r="O35" i="15"/>
  <c r="O21" i="18"/>
  <c r="M212" i="11"/>
  <c r="M136" i="11"/>
  <c r="AC26" i="43"/>
  <c r="AC25" i="43"/>
  <c r="K130" i="11"/>
  <c r="D130" i="11"/>
  <c r="W28" i="17"/>
  <c r="M45" i="13"/>
  <c r="M39" i="13"/>
  <c r="D67" i="10"/>
  <c r="D64" i="10"/>
  <c r="Q210" i="12"/>
  <c r="T187" i="22"/>
  <c r="T189" i="22"/>
  <c r="Q207" i="12"/>
  <c r="AH508" i="22"/>
  <c r="AC147" i="41"/>
  <c r="AC233" i="11"/>
  <c r="AC235" i="11"/>
  <c r="AC23" i="9"/>
  <c r="AC27" i="9"/>
  <c r="AG234" i="48"/>
  <c r="AG231" i="48"/>
  <c r="T133" i="22"/>
  <c r="D25" i="11"/>
  <c r="D23" i="11"/>
  <c r="S196" i="12"/>
  <c r="S192" i="12"/>
  <c r="G86" i="2"/>
  <c r="AD45" i="13"/>
  <c r="AD39" i="13"/>
  <c r="AB105" i="41"/>
  <c r="W10" i="58"/>
  <c r="AB46" i="14"/>
  <c r="X46" i="17"/>
  <c r="I56" i="17"/>
  <c r="I17" i="9"/>
  <c r="J73" i="3"/>
  <c r="V350" i="11"/>
  <c r="V346" i="11"/>
  <c r="V332" i="11"/>
  <c r="D11" i="18"/>
  <c r="I11" i="18"/>
  <c r="AE138" i="22"/>
  <c r="AE466" i="22"/>
  <c r="AE477" i="22"/>
  <c r="AB63" i="12"/>
  <c r="AB133" i="12"/>
  <c r="AB193" i="12"/>
  <c r="AD409" i="11"/>
  <c r="N38" i="47"/>
  <c r="N15" i="15"/>
  <c r="AL73" i="47"/>
  <c r="AL412" i="11"/>
  <c r="AL408" i="11"/>
  <c r="AK193" i="12"/>
  <c r="AK133" i="12"/>
  <c r="AK212" i="11"/>
  <c r="AK136" i="11"/>
  <c r="Y47" i="58"/>
  <c r="Y46" i="58"/>
  <c r="AD161" i="11"/>
  <c r="AD160" i="11"/>
  <c r="AD158" i="11"/>
  <c r="P27" i="17"/>
  <c r="AC208" i="11"/>
  <c r="AC132" i="11"/>
  <c r="U375" i="11"/>
  <c r="AL58" i="47"/>
  <c r="M64" i="12"/>
  <c r="M134" i="12"/>
  <c r="M194" i="12"/>
  <c r="D116" i="56"/>
  <c r="AG115" i="11"/>
  <c r="AG183" i="11"/>
  <c r="AB85" i="58"/>
  <c r="AB94" i="58"/>
  <c r="Z10" i="55"/>
  <c r="Z16" i="55"/>
  <c r="Z42" i="55"/>
  <c r="Z41" i="55"/>
  <c r="Z102" i="55"/>
  <c r="AA226" i="22"/>
  <c r="X237" i="12"/>
  <c r="X238" i="12"/>
  <c r="X112" i="48"/>
  <c r="V7" i="58"/>
  <c r="AB55" i="12"/>
  <c r="Q32" i="9"/>
  <c r="Q47" i="17"/>
  <c r="W350" i="11"/>
  <c r="W346" i="11"/>
  <c r="W333" i="11"/>
  <c r="M138" i="41"/>
  <c r="M125" i="41"/>
  <c r="AD133" i="22"/>
  <c r="L178" i="41"/>
  <c r="J7" i="54"/>
  <c r="M103" i="18"/>
  <c r="L52" i="58"/>
  <c r="L42" i="58"/>
  <c r="AL125" i="11"/>
  <c r="AL196" i="11"/>
  <c r="AL409" i="11"/>
  <c r="N77" i="12"/>
  <c r="N76" i="12"/>
  <c r="N70" i="12"/>
  <c r="AJ176" i="12"/>
  <c r="AT45" i="4"/>
  <c r="AM95" i="12"/>
  <c r="AM90" i="12"/>
  <c r="M138" i="58"/>
  <c r="M137" i="58"/>
  <c r="W36" i="4"/>
  <c r="W44" i="4"/>
  <c r="W51" i="4"/>
  <c r="W50" i="10"/>
  <c r="W52" i="10"/>
  <c r="Z53" i="10"/>
  <c r="Q106" i="41"/>
  <c r="Q141" i="41"/>
  <c r="AI58" i="10"/>
  <c r="AI55" i="10"/>
  <c r="AI51" i="10"/>
  <c r="AK75" i="8"/>
  <c r="AK34" i="3"/>
  <c r="AK60" i="43"/>
  <c r="AK64" i="43"/>
  <c r="AK70" i="43"/>
  <c r="AA84" i="10"/>
  <c r="AK28" i="18"/>
  <c r="AK29" i="18"/>
  <c r="AK67" i="18"/>
  <c r="AK66" i="18"/>
  <c r="AH11" i="54"/>
  <c r="P99" i="12"/>
  <c r="P124" i="12"/>
  <c r="P141" i="12"/>
  <c r="P162" i="12"/>
  <c r="D41" i="15"/>
  <c r="J46" i="13"/>
  <c r="AU66" i="8"/>
  <c r="AU67" i="8"/>
  <c r="AU74" i="8"/>
  <c r="AG103" i="12"/>
  <c r="AC229" i="48"/>
  <c r="AC226" i="48"/>
  <c r="U135" i="12"/>
  <c r="U65" i="12"/>
  <c r="AJ411" i="11"/>
  <c r="R473" i="22"/>
  <c r="AH56" i="55"/>
  <c r="AH57" i="55"/>
  <c r="AH23" i="55"/>
  <c r="AH21" i="55"/>
  <c r="AH140" i="22"/>
  <c r="AH468" i="22"/>
  <c r="AH479" i="22"/>
  <c r="AE65" i="12"/>
  <c r="AE135" i="12"/>
  <c r="T46" i="17"/>
  <c r="M110" i="48"/>
  <c r="M107" i="48"/>
  <c r="E261" i="12"/>
  <c r="E263" i="12"/>
  <c r="Z171" i="11"/>
  <c r="Z173" i="11"/>
  <c r="Z174" i="11"/>
  <c r="AC403" i="11"/>
  <c r="AC405" i="11"/>
  <c r="AC62" i="47"/>
  <c r="M102" i="41"/>
  <c r="M5" i="41"/>
  <c r="AH94" i="12"/>
  <c r="W210" i="11"/>
  <c r="W134" i="11"/>
  <c r="AM94" i="12"/>
  <c r="AK124" i="41"/>
  <c r="AK137" i="41"/>
  <c r="AK139" i="41"/>
  <c r="L37" i="47"/>
  <c r="L41" i="47"/>
  <c r="L42" i="47"/>
  <c r="F17" i="56"/>
  <c r="E25" i="56"/>
  <c r="E29" i="56"/>
  <c r="E30" i="56"/>
  <c r="AA121" i="11"/>
  <c r="AA192" i="11"/>
  <c r="AA199" i="11"/>
  <c r="AA201" i="11"/>
  <c r="AA202" i="11"/>
  <c r="AA221" i="11"/>
  <c r="AA224" i="11"/>
  <c r="AA225" i="11"/>
  <c r="AA233" i="11"/>
  <c r="AA235" i="11"/>
  <c r="AA23" i="9"/>
  <c r="AA27" i="9"/>
  <c r="AA147" i="41"/>
  <c r="X52" i="58"/>
  <c r="X42" i="58"/>
  <c r="N103" i="55"/>
  <c r="AB7" i="14"/>
  <c r="W26" i="58"/>
  <c r="W30" i="58"/>
  <c r="AI84" i="41"/>
  <c r="AI81" i="41"/>
  <c r="X31" i="9"/>
  <c r="X150" i="41"/>
  <c r="X152" i="41"/>
  <c r="I76" i="3"/>
  <c r="I75" i="3"/>
  <c r="D75" i="3"/>
  <c r="N210" i="11"/>
  <c r="N134" i="11"/>
  <c r="AD125" i="11"/>
  <c r="AD196" i="11"/>
  <c r="Y104" i="58"/>
  <c r="Y113" i="58"/>
  <c r="AK61" i="47"/>
  <c r="AK398" i="11"/>
  <c r="M358" i="11"/>
  <c r="M359" i="11"/>
  <c r="N361" i="11"/>
  <c r="N17" i="14"/>
  <c r="N86" i="47"/>
  <c r="V486" i="22"/>
  <c r="S100" i="12"/>
  <c r="S125" i="12"/>
  <c r="S142" i="12"/>
  <c r="S163" i="12"/>
  <c r="M27" i="58"/>
  <c r="M31" i="58"/>
  <c r="Q187" i="22"/>
  <c r="Q189" i="22"/>
  <c r="N207" i="12"/>
  <c r="N210" i="12"/>
  <c r="W29" i="12"/>
  <c r="V160" i="5"/>
  <c r="D8" i="14"/>
  <c r="I8" i="14"/>
  <c r="D125" i="58"/>
  <c r="N54" i="9"/>
  <c r="N9" i="9"/>
  <c r="N146" i="41"/>
  <c r="Z175" i="22"/>
  <c r="R542" i="22"/>
  <c r="U101" i="11"/>
  <c r="U165" i="11"/>
  <c r="P59" i="58"/>
  <c r="P68" i="58"/>
  <c r="AG58" i="47"/>
  <c r="AE118" i="56"/>
  <c r="E41" i="56"/>
  <c r="E116" i="56"/>
  <c r="AE117" i="56"/>
  <c r="AE120" i="56"/>
  <c r="Q84" i="48"/>
  <c r="T18" i="47"/>
  <c r="T22" i="47"/>
  <c r="AN473" i="22"/>
  <c r="AG52" i="58"/>
  <c r="AG42" i="58"/>
  <c r="Y148" i="22"/>
  <c r="Y211" i="22"/>
  <c r="AM517" i="22"/>
  <c r="X43" i="8"/>
  <c r="U481" i="22"/>
  <c r="N67" i="12"/>
  <c r="Z13" i="14"/>
  <c r="Z14" i="14"/>
  <c r="V36" i="56"/>
  <c r="V37" i="56"/>
  <c r="V40" i="56"/>
  <c r="V83" i="56"/>
  <c r="R106" i="41"/>
  <c r="R9" i="14"/>
  <c r="R141" i="41"/>
  <c r="AE137" i="56"/>
  <c r="AE136" i="56"/>
  <c r="AH26" i="43"/>
  <c r="AH25" i="43"/>
  <c r="R40" i="13"/>
  <c r="Z270" i="11"/>
  <c r="Z254" i="11"/>
  <c r="Z338" i="11"/>
  <c r="D338" i="11"/>
  <c r="AA338" i="11"/>
  <c r="S25" i="13"/>
  <c r="S24" i="13"/>
  <c r="Z161" i="5"/>
  <c r="AA30" i="12"/>
  <c r="J6" i="54"/>
  <c r="M10" i="18"/>
  <c r="M16" i="18"/>
  <c r="M42" i="18"/>
  <c r="M41" i="18"/>
  <c r="M102" i="18"/>
  <c r="AH8" i="9"/>
  <c r="AH10" i="9"/>
  <c r="AD47" i="58"/>
  <c r="AD46" i="58"/>
  <c r="AE161" i="11"/>
  <c r="AE160" i="11"/>
  <c r="AE158" i="11"/>
  <c r="T65" i="10"/>
  <c r="T76" i="10"/>
  <c r="V42" i="47"/>
  <c r="V41" i="47"/>
  <c r="V37" i="47"/>
  <c r="AI408" i="11"/>
  <c r="AI412" i="11"/>
  <c r="AI73" i="47"/>
  <c r="AG133" i="41"/>
  <c r="AG131" i="41"/>
  <c r="AF175" i="22"/>
  <c r="Q9" i="14"/>
  <c r="L137" i="58"/>
  <c r="L138" i="58"/>
  <c r="AS52" i="4"/>
  <c r="AG57" i="8"/>
  <c r="AG58" i="8"/>
  <c r="AG73" i="8"/>
  <c r="AG22" i="15"/>
  <c r="AG24" i="15"/>
  <c r="AG37" i="3"/>
  <c r="AG40" i="3"/>
  <c r="AG42" i="3"/>
  <c r="AB111" i="58"/>
  <c r="AB102" i="58"/>
  <c r="AC270" i="11"/>
  <c r="AC254" i="11"/>
  <c r="AA514" i="22"/>
  <c r="AM84" i="10"/>
  <c r="AM79" i="10"/>
  <c r="Q105" i="41"/>
  <c r="L10" i="58"/>
  <c r="Q46" i="14"/>
  <c r="O142" i="11"/>
  <c r="X468" i="22"/>
  <c r="X479" i="22"/>
  <c r="X508" i="22"/>
  <c r="D10" i="18"/>
  <c r="AJ127" i="11"/>
  <c r="AJ198" i="11"/>
  <c r="AE106" i="58"/>
  <c r="AE115" i="58"/>
  <c r="AF71" i="58"/>
  <c r="AF62" i="58"/>
  <c r="AK168" i="11"/>
  <c r="AK104" i="11"/>
  <c r="M57" i="47"/>
  <c r="M58" i="47"/>
  <c r="U58" i="47"/>
  <c r="L232" i="11"/>
  <c r="L55" i="15"/>
  <c r="AF209" i="11"/>
  <c r="AF133" i="11"/>
  <c r="T31" i="9"/>
  <c r="T150" i="41"/>
  <c r="T152" i="41"/>
  <c r="L113" i="8"/>
  <c r="L114" i="8"/>
  <c r="L120" i="8"/>
  <c r="K103" i="55"/>
  <c r="AH66" i="12"/>
  <c r="AH136" i="12"/>
  <c r="AH195" i="12"/>
  <c r="Q72" i="12"/>
  <c r="Q86" i="12"/>
  <c r="Q87" i="12"/>
  <c r="AF110" i="48"/>
  <c r="AF107" i="48"/>
  <c r="AM106" i="12"/>
  <c r="AM112" i="12"/>
  <c r="AM113" i="12"/>
  <c r="AP480" i="22"/>
  <c r="AM66" i="12"/>
  <c r="AM136" i="12"/>
  <c r="AM195" i="12"/>
  <c r="Y84" i="10"/>
  <c r="AJ40" i="47"/>
  <c r="AC90" i="8"/>
  <c r="N10" i="55"/>
  <c r="N16" i="55"/>
  <c r="N42" i="55"/>
  <c r="N41" i="55"/>
  <c r="N102" i="55"/>
  <c r="AM145" i="12"/>
  <c r="AF32" i="16"/>
  <c r="AF36" i="16"/>
  <c r="AF54" i="13"/>
  <c r="AF55" i="13"/>
  <c r="AF56" i="13"/>
  <c r="Q228" i="48"/>
  <c r="Q111" i="48"/>
  <c r="U56" i="12"/>
  <c r="W10" i="47"/>
  <c r="W7" i="47"/>
  <c r="W26" i="9"/>
  <c r="W117" i="41"/>
  <c r="W92" i="12"/>
  <c r="X60" i="16"/>
  <c r="X59" i="16"/>
  <c r="X64" i="16"/>
  <c r="K107" i="48"/>
  <c r="K110" i="48"/>
  <c r="Y58" i="3"/>
  <c r="K79" i="10"/>
  <c r="AF42" i="47"/>
  <c r="AF41" i="47"/>
  <c r="AF37" i="47"/>
  <c r="U18" i="9"/>
  <c r="U55" i="9"/>
  <c r="T116" i="41"/>
  <c r="T25" i="9"/>
  <c r="T89" i="58"/>
  <c r="T80" i="58"/>
  <c r="P156" i="41"/>
  <c r="P158" i="41"/>
  <c r="P162" i="41"/>
  <c r="I139" i="41"/>
  <c r="I137" i="41"/>
  <c r="I124" i="41"/>
  <c r="R537" i="22"/>
  <c r="K231" i="48"/>
  <c r="K234" i="48"/>
  <c r="AV84" i="41"/>
  <c r="AV82" i="41"/>
  <c r="D73" i="8"/>
  <c r="K39" i="47"/>
  <c r="Q85" i="48"/>
  <c r="T42" i="43"/>
  <c r="T44" i="43"/>
  <c r="T68" i="43"/>
  <c r="T71" i="43"/>
  <c r="T121" i="43"/>
  <c r="T12" i="47"/>
  <c r="T15" i="47"/>
  <c r="T17" i="47"/>
  <c r="T26" i="47"/>
  <c r="T27" i="47"/>
  <c r="AW84" i="10"/>
  <c r="AW59" i="10"/>
  <c r="L94" i="11"/>
  <c r="L154" i="11"/>
  <c r="L391" i="11"/>
  <c r="L29" i="47"/>
  <c r="AM43" i="8"/>
  <c r="S121" i="41"/>
  <c r="S132" i="41"/>
  <c r="N90" i="12"/>
  <c r="N95" i="12"/>
  <c r="AJ103" i="12"/>
  <c r="AL469" i="22"/>
  <c r="AL488" i="22"/>
  <c r="AI102" i="12"/>
  <c r="AI127" i="12"/>
  <c r="AI144" i="12"/>
  <c r="AH57" i="47"/>
  <c r="AH58" i="47"/>
  <c r="N58" i="47"/>
  <c r="W517" i="22"/>
  <c r="AE270" i="11"/>
  <c r="AE254" i="11"/>
  <c r="AG410" i="11"/>
  <c r="O103" i="11"/>
  <c r="O167" i="11"/>
  <c r="J61" i="58"/>
  <c r="J70" i="58"/>
  <c r="AD65" i="10"/>
  <c r="AD76" i="10"/>
  <c r="AD120" i="8"/>
  <c r="AD114" i="8"/>
  <c r="AD113" i="8"/>
  <c r="S52" i="14"/>
  <c r="S49" i="14"/>
  <c r="AI128" i="12"/>
  <c r="AI36" i="4"/>
  <c r="AI44" i="4"/>
  <c r="AI51" i="4"/>
  <c r="AI50" i="10"/>
  <c r="AI54" i="10"/>
  <c r="Z208" i="11"/>
  <c r="Z132" i="11"/>
  <c r="O55" i="15"/>
  <c r="AF25" i="41"/>
  <c r="AF24" i="41"/>
  <c r="V34" i="3"/>
  <c r="V33" i="16"/>
  <c r="M208" i="12"/>
  <c r="AJ515" i="22"/>
  <c r="AB49" i="14"/>
  <c r="AB52" i="14"/>
  <c r="I110" i="58"/>
  <c r="I101" i="58"/>
  <c r="Q7" i="14"/>
  <c r="L26" i="58"/>
  <c r="L30" i="58"/>
  <c r="Y408" i="11"/>
  <c r="Y412" i="11"/>
  <c r="Y73" i="47"/>
  <c r="R187" i="22"/>
  <c r="R189" i="22"/>
  <c r="N50" i="43"/>
  <c r="N54" i="43"/>
  <c r="N69" i="43"/>
  <c r="S171" i="11"/>
  <c r="S173" i="11"/>
  <c r="S174" i="11"/>
  <c r="Z308" i="11"/>
  <c r="AA308" i="11"/>
  <c r="N12" i="54"/>
  <c r="N137" i="12"/>
  <c r="K10" i="55"/>
  <c r="K16" i="55"/>
  <c r="K42" i="55"/>
  <c r="K41" i="55"/>
  <c r="K102" i="55"/>
  <c r="F30" i="58"/>
  <c r="F26" i="58"/>
  <c r="J51" i="47"/>
  <c r="J5" i="47"/>
  <c r="AF92" i="12"/>
  <c r="AN481" i="22"/>
  <c r="L113" i="43"/>
  <c r="Z90" i="8"/>
  <c r="AJ209" i="11"/>
  <c r="AJ133" i="11"/>
  <c r="AJ104" i="8"/>
  <c r="AJ105" i="8"/>
  <c r="AJ119" i="8"/>
  <c r="AJ19" i="14"/>
  <c r="AJ88" i="47"/>
  <c r="AA385" i="11"/>
  <c r="U333" i="11"/>
  <c r="D333" i="11"/>
  <c r="V333" i="11"/>
  <c r="Z207" i="11"/>
  <c r="Z131" i="11"/>
  <c r="L14" i="15"/>
  <c r="L20" i="15"/>
  <c r="H7" i="56"/>
  <c r="H11" i="56"/>
  <c r="H15" i="56"/>
  <c r="H19" i="56"/>
  <c r="Z97" i="10"/>
  <c r="Z100" i="10"/>
  <c r="Z104" i="10"/>
  <c r="Z23" i="14"/>
  <c r="O8" i="58"/>
  <c r="O20" i="58"/>
  <c r="Y92" i="12"/>
  <c r="W64" i="12"/>
  <c r="W134" i="12"/>
  <c r="W194" i="12"/>
  <c r="AJ174" i="11"/>
  <c r="AJ173" i="11"/>
  <c r="AJ171" i="11"/>
  <c r="T27" i="4"/>
  <c r="T46" i="4"/>
  <c r="T47" i="4"/>
  <c r="T52" i="4"/>
  <c r="T13" i="14"/>
  <c r="T14" i="14"/>
  <c r="P36" i="56"/>
  <c r="P37" i="56"/>
  <c r="P40" i="56"/>
  <c r="P57" i="56"/>
  <c r="P62" i="56"/>
  <c r="P64" i="56"/>
  <c r="AA212" i="11"/>
  <c r="AA136" i="11"/>
  <c r="K25" i="13"/>
  <c r="K23" i="13"/>
  <c r="Q66" i="58"/>
  <c r="Q65" i="58"/>
  <c r="Q89" i="8"/>
  <c r="Q90" i="8"/>
  <c r="J229" i="48"/>
  <c r="J226" i="48"/>
  <c r="AE54" i="58"/>
  <c r="AE44" i="58"/>
  <c r="X174" i="11"/>
  <c r="X173" i="11"/>
  <c r="X171" i="11"/>
  <c r="L70" i="58"/>
  <c r="L61" i="58"/>
  <c r="Q167" i="11"/>
  <c r="Q103" i="11"/>
  <c r="G58" i="58"/>
  <c r="G65" i="58"/>
  <c r="G66" i="58"/>
  <c r="M27" i="15"/>
  <c r="M351" i="11"/>
  <c r="AG25" i="47"/>
  <c r="AG24" i="47"/>
  <c r="AG388" i="11"/>
  <c r="AG384" i="11"/>
  <c r="AN99" i="10"/>
  <c r="K157" i="41"/>
  <c r="K18" i="14"/>
  <c r="K160" i="41"/>
  <c r="Q103" i="12"/>
  <c r="S233" i="11"/>
  <c r="S235" i="11"/>
  <c r="S23" i="9"/>
  <c r="S114" i="41"/>
  <c r="S125" i="41"/>
  <c r="S138" i="41"/>
  <c r="Q14" i="15"/>
  <c r="Q20" i="15"/>
  <c r="M7" i="56"/>
  <c r="M11" i="56"/>
  <c r="M15" i="56"/>
  <c r="M19" i="56"/>
  <c r="M25" i="4"/>
  <c r="M24" i="4"/>
  <c r="AN28" i="17"/>
  <c r="AJ39" i="47"/>
  <c r="AN84" i="41"/>
  <c r="AN82" i="41"/>
  <c r="O39" i="13"/>
  <c r="O45" i="13"/>
  <c r="AD28" i="12"/>
  <c r="AC159" i="5"/>
  <c r="AA24" i="58"/>
  <c r="AA3" i="58"/>
  <c r="AE120" i="8"/>
  <c r="AE114" i="8"/>
  <c r="AE113" i="8"/>
  <c r="R188" i="11"/>
  <c r="R187" i="11"/>
  <c r="R185" i="11"/>
  <c r="AJ210" i="11"/>
  <c r="AJ134" i="11"/>
  <c r="P208" i="12"/>
  <c r="AG126" i="11"/>
  <c r="AG197" i="11"/>
  <c r="AB105" i="58"/>
  <c r="AB114" i="58"/>
  <c r="W403" i="11"/>
  <c r="W405" i="11"/>
  <c r="W62" i="47"/>
  <c r="M411" i="11"/>
  <c r="H54" i="58"/>
  <c r="H44" i="58"/>
  <c r="AQ57" i="8"/>
  <c r="AQ58" i="8"/>
  <c r="AQ73" i="8"/>
  <c r="AQ75" i="8"/>
  <c r="AQ34" i="3"/>
  <c r="AD62" i="47"/>
  <c r="AD405" i="11"/>
  <c r="AD403" i="11"/>
  <c r="AC33" i="16"/>
  <c r="AC34" i="3"/>
  <c r="J12" i="54"/>
  <c r="N199" i="11"/>
  <c r="N201" i="11"/>
  <c r="N202" i="11"/>
  <c r="N221" i="11"/>
  <c r="N224" i="11"/>
  <c r="N225" i="11"/>
  <c r="N233" i="11"/>
  <c r="N235" i="11"/>
  <c r="N23" i="9"/>
  <c r="N27" i="9"/>
  <c r="N147" i="41"/>
  <c r="X515" i="22"/>
  <c r="F166" i="12"/>
  <c r="O64" i="56"/>
  <c r="AS46" i="4"/>
  <c r="AS47" i="4"/>
  <c r="AS97" i="10"/>
  <c r="AS100" i="10"/>
  <c r="AS104" i="10"/>
  <c r="S224" i="12"/>
  <c r="V35" i="41"/>
  <c r="V14" i="15"/>
  <c r="V20" i="15"/>
  <c r="V45" i="8"/>
  <c r="V52" i="8"/>
  <c r="V72" i="8"/>
  <c r="V75" i="8"/>
  <c r="V33" i="41"/>
  <c r="V36" i="41"/>
  <c r="I12" i="54"/>
  <c r="AV28" i="17"/>
  <c r="AL226" i="22"/>
  <c r="AI237" i="12"/>
  <c r="AI238" i="12"/>
  <c r="AM65" i="10"/>
  <c r="AM76" i="10"/>
  <c r="AM77" i="10"/>
  <c r="AM59" i="10"/>
  <c r="AM78" i="10"/>
  <c r="AM98" i="10"/>
  <c r="Z233" i="48"/>
  <c r="AG541" i="22"/>
  <c r="AG509" i="22"/>
  <c r="N10" i="47"/>
  <c r="N7" i="47"/>
  <c r="O7" i="58"/>
  <c r="Q112" i="48"/>
  <c r="X140" i="22"/>
  <c r="U55" i="12"/>
  <c r="R52" i="58"/>
  <c r="R42" i="58"/>
  <c r="X25" i="41"/>
  <c r="X24" i="41"/>
  <c r="Y217" i="11"/>
  <c r="Y216" i="11"/>
  <c r="X175" i="22"/>
  <c r="Y58" i="56"/>
  <c r="Y59" i="56"/>
  <c r="AD212" i="11"/>
  <c r="AD136" i="11"/>
  <c r="AP65" i="10"/>
  <c r="AP76" i="10"/>
  <c r="AP77" i="10"/>
  <c r="AP80" i="10"/>
  <c r="AP83" i="10"/>
  <c r="AP28" i="17"/>
  <c r="U229" i="48"/>
  <c r="U226" i="48"/>
  <c r="AG53" i="10"/>
  <c r="AD52" i="10"/>
  <c r="D308" i="11"/>
  <c r="AB308" i="11"/>
  <c r="AB316" i="11"/>
  <c r="Q28" i="18"/>
  <c r="Q29" i="18"/>
  <c r="Q67" i="18"/>
  <c r="Q66" i="18"/>
  <c r="N11" i="54"/>
  <c r="N62" i="12"/>
  <c r="N132" i="12"/>
  <c r="N192" i="12"/>
  <c r="N196" i="12"/>
  <c r="Y213" i="11"/>
  <c r="Y137" i="11"/>
  <c r="L403" i="11"/>
  <c r="L405" i="11"/>
  <c r="L62" i="47"/>
  <c r="L112" i="11"/>
  <c r="L180" i="11"/>
  <c r="D180" i="11"/>
  <c r="AF64" i="12"/>
  <c r="AF134" i="12"/>
  <c r="AF194" i="12"/>
  <c r="Z403" i="11"/>
  <c r="Z405" i="11"/>
  <c r="Z62" i="47"/>
  <c r="M34" i="47"/>
  <c r="M35" i="47"/>
  <c r="Q517" i="22"/>
  <c r="P202" i="22"/>
  <c r="P204" i="22"/>
  <c r="L102" i="43"/>
  <c r="L106" i="43"/>
  <c r="L122" i="43"/>
  <c r="G129" i="58"/>
  <c r="E137" i="56"/>
  <c r="E136" i="56"/>
  <c r="S108" i="12"/>
  <c r="S118" i="12"/>
  <c r="S119" i="12"/>
  <c r="AC113" i="8"/>
  <c r="AC114" i="8"/>
  <c r="AC120" i="8"/>
  <c r="AA95" i="11"/>
  <c r="AA155" i="11"/>
  <c r="V43" i="58"/>
  <c r="V53" i="58"/>
  <c r="Z280" i="11"/>
  <c r="AA277" i="11"/>
  <c r="Y5" i="17"/>
  <c r="Y5" i="10"/>
  <c r="Y5" i="18"/>
  <c r="Y5" i="3"/>
  <c r="Z5" i="12"/>
  <c r="Y5" i="14"/>
  <c r="Y5" i="43"/>
  <c r="Y5" i="2"/>
  <c r="Y5" i="4"/>
  <c r="Y5" i="13"/>
  <c r="Y5" i="16"/>
  <c r="Y5" i="9"/>
  <c r="Y5" i="8"/>
  <c r="Y5" i="55"/>
  <c r="Y5" i="1"/>
  <c r="Y5" i="11"/>
  <c r="Y5" i="15"/>
  <c r="AK26" i="43"/>
  <c r="AK25" i="43"/>
  <c r="AL210" i="11"/>
  <c r="AL134" i="11"/>
  <c r="Y64" i="12"/>
  <c r="Y134" i="12"/>
  <c r="Y194" i="12"/>
  <c r="J21" i="18"/>
  <c r="J23" i="18"/>
  <c r="J57" i="18"/>
  <c r="J56" i="18"/>
  <c r="AB57" i="12"/>
  <c r="AB52" i="12"/>
  <c r="X336" i="11"/>
  <c r="Y336" i="11"/>
  <c r="N56" i="13"/>
  <c r="N55" i="13"/>
  <c r="N54" i="13"/>
  <c r="O178" i="12"/>
  <c r="N7" i="15"/>
  <c r="N12" i="15"/>
  <c r="N32" i="16"/>
  <c r="N36" i="16"/>
  <c r="Q58" i="58"/>
  <c r="Q67" i="58"/>
  <c r="R175" i="22"/>
  <c r="AJ96" i="11"/>
  <c r="AJ156" i="11"/>
  <c r="AJ386" i="11"/>
  <c r="L125" i="11"/>
  <c r="L196" i="11"/>
  <c r="L409" i="11"/>
  <c r="AI36" i="15"/>
  <c r="AI54" i="15"/>
  <c r="AF132" i="12"/>
  <c r="AF137" i="12"/>
  <c r="P54" i="12"/>
  <c r="J6" i="58"/>
  <c r="I13" i="9"/>
  <c r="I109" i="41"/>
  <c r="I120" i="41"/>
  <c r="R57" i="12"/>
  <c r="R52" i="12"/>
  <c r="Z94" i="12"/>
  <c r="M119" i="12"/>
  <c r="M118" i="12"/>
  <c r="M108" i="12"/>
  <c r="K107" i="58"/>
  <c r="K100" i="58"/>
  <c r="K109" i="58"/>
  <c r="AM66" i="8"/>
  <c r="AM67" i="8"/>
  <c r="AM74" i="8"/>
  <c r="AH47" i="14"/>
  <c r="AH11" i="14"/>
  <c r="AH50" i="14"/>
  <c r="AA47" i="14"/>
  <c r="AA11" i="14"/>
  <c r="AA50" i="14"/>
  <c r="O102" i="41"/>
  <c r="O5" i="41"/>
  <c r="X208" i="12"/>
  <c r="AJ75" i="8"/>
  <c r="AJ34" i="3"/>
  <c r="M25" i="16"/>
  <c r="M24" i="16"/>
  <c r="R107" i="58"/>
  <c r="R100" i="58"/>
  <c r="R109" i="58"/>
  <c r="AK63" i="12"/>
  <c r="AK91" i="12"/>
  <c r="Z30" i="14"/>
  <c r="Z27" i="14"/>
  <c r="Z26" i="14"/>
  <c r="S202" i="22"/>
  <c r="S204" i="22"/>
  <c r="P229" i="12"/>
  <c r="P233" i="12"/>
  <c r="AL133" i="22"/>
  <c r="E262" i="12"/>
  <c r="M127" i="11"/>
  <c r="M198" i="11"/>
  <c r="H106" i="58"/>
  <c r="H115" i="58"/>
  <c r="M96" i="11"/>
  <c r="M156" i="11"/>
  <c r="M386" i="11"/>
  <c r="AM84" i="41"/>
  <c r="AM82" i="41"/>
  <c r="AC36" i="41"/>
  <c r="AC14" i="15"/>
  <c r="AC20" i="15"/>
  <c r="AC45" i="8"/>
  <c r="AC52" i="8"/>
  <c r="AC72" i="8"/>
  <c r="AC75" i="8"/>
  <c r="AC33" i="41"/>
  <c r="AC35" i="41"/>
  <c r="M28" i="18"/>
  <c r="M29" i="18"/>
  <c r="M67" i="18"/>
  <c r="M66" i="18"/>
  <c r="J11" i="54"/>
  <c r="T94" i="12"/>
  <c r="AF88" i="16"/>
  <c r="AF91" i="16"/>
  <c r="AF162" i="41"/>
  <c r="AF158" i="41"/>
  <c r="AF156" i="41"/>
  <c r="AO90" i="10"/>
  <c r="AO89" i="10"/>
  <c r="AO85" i="10"/>
  <c r="AD90" i="8"/>
  <c r="AF403" i="11"/>
  <c r="AF405" i="11"/>
  <c r="AF62" i="47"/>
  <c r="V25" i="3"/>
  <c r="V24" i="3"/>
  <c r="O135" i="56"/>
  <c r="S13" i="14"/>
  <c r="S14" i="14"/>
  <c r="O36" i="56"/>
  <c r="O37" i="56"/>
  <c r="O40" i="56"/>
  <c r="O57" i="56"/>
  <c r="O62" i="56"/>
  <c r="O63" i="56"/>
  <c r="O101" i="56"/>
  <c r="S200" i="12"/>
  <c r="S218" i="12"/>
  <c r="S241" i="12"/>
  <c r="S251" i="12"/>
  <c r="Y409" i="11"/>
  <c r="L28" i="18"/>
  <c r="L29" i="18"/>
  <c r="L67" i="18"/>
  <c r="L66" i="18"/>
  <c r="I11" i="54"/>
  <c r="AA485" i="22"/>
  <c r="X99" i="12"/>
  <c r="X124" i="12"/>
  <c r="X141" i="12"/>
  <c r="X162" i="12"/>
  <c r="AF207" i="11"/>
  <c r="AF131" i="11"/>
  <c r="W213" i="12"/>
  <c r="AD103" i="55"/>
  <c r="V123" i="11"/>
  <c r="V194" i="11"/>
  <c r="Q102" i="58"/>
  <c r="Q111" i="58"/>
  <c r="V94" i="58"/>
  <c r="V85" i="58"/>
  <c r="AA183" i="11"/>
  <c r="AA115" i="11"/>
  <c r="AC128" i="12"/>
  <c r="T90" i="8"/>
  <c r="AM515" i="22"/>
  <c r="AD39" i="58"/>
  <c r="AD49" i="58"/>
  <c r="Q102" i="41"/>
  <c r="Q5" i="41"/>
  <c r="Y267" i="11"/>
  <c r="Y251" i="11"/>
  <c r="N94" i="12"/>
  <c r="AF225" i="12"/>
  <c r="L104" i="8"/>
  <c r="L105" i="8"/>
  <c r="L119" i="8"/>
  <c r="L31" i="15"/>
  <c r="L33" i="15"/>
  <c r="L28" i="55"/>
  <c r="L29" i="55"/>
  <c r="L67" i="55"/>
  <c r="L66" i="55"/>
  <c r="AO480" i="22"/>
  <c r="AL66" i="12"/>
  <c r="AL94" i="12"/>
  <c r="AW28" i="17"/>
  <c r="AI58" i="47"/>
  <c r="V210" i="11"/>
  <c r="V134" i="11"/>
  <c r="J41" i="47"/>
  <c r="AB54" i="10"/>
  <c r="AK60" i="13"/>
  <c r="AK35" i="15"/>
  <c r="AK21" i="18"/>
  <c r="AK23" i="18"/>
  <c r="AK57" i="18"/>
  <c r="AK56" i="18"/>
  <c r="Z113" i="8"/>
  <c r="Z114" i="8"/>
  <c r="Z120" i="8"/>
  <c r="AD91" i="12"/>
  <c r="X92" i="12"/>
  <c r="Q208" i="11"/>
  <c r="Q132" i="11"/>
  <c r="M211" i="11"/>
  <c r="M135" i="11"/>
  <c r="W45" i="4"/>
  <c r="O45" i="4"/>
  <c r="P45" i="4"/>
  <c r="T45" i="4"/>
  <c r="X45" i="4"/>
  <c r="U45" i="4"/>
  <c r="AB45" i="4"/>
  <c r="AF45" i="4"/>
  <c r="AL45" i="4"/>
  <c r="AK45" i="4"/>
  <c r="N45" i="4"/>
  <c r="Q45" i="4"/>
  <c r="AD45" i="4"/>
  <c r="AG45" i="4"/>
  <c r="AE45" i="4"/>
  <c r="M45" i="4"/>
  <c r="Z45" i="4"/>
  <c r="L45" i="4"/>
  <c r="Y45" i="4"/>
  <c r="AI45" i="4"/>
  <c r="AC45" i="4"/>
  <c r="R45" i="4"/>
  <c r="AH45" i="4"/>
  <c r="AJ45" i="4"/>
  <c r="S45" i="4"/>
  <c r="V45" i="4"/>
  <c r="AA45" i="4"/>
  <c r="Y5" i="47"/>
  <c r="Y51" i="47"/>
  <c r="AH143" i="22"/>
  <c r="Y4" i="58"/>
  <c r="Z93" i="11"/>
  <c r="Z153" i="11"/>
  <c r="U41" i="58"/>
  <c r="U51" i="58"/>
  <c r="AI25" i="16"/>
  <c r="AI24" i="16"/>
  <c r="AH268" i="11"/>
  <c r="AH252" i="11"/>
  <c r="AE212" i="11"/>
  <c r="AE136" i="11"/>
  <c r="AD103" i="12"/>
  <c r="Q113" i="8"/>
  <c r="Q114" i="8"/>
  <c r="Q120" i="8"/>
  <c r="Z25" i="47"/>
  <c r="Z24" i="47"/>
  <c r="Z388" i="11"/>
  <c r="Z384" i="11"/>
  <c r="AK13" i="17"/>
  <c r="AK42" i="9"/>
  <c r="AK41" i="9"/>
  <c r="AA133" i="22"/>
  <c r="AB145" i="12"/>
  <c r="AH27" i="17"/>
  <c r="Z66" i="12"/>
  <c r="Z136" i="12"/>
  <c r="Z195" i="12"/>
  <c r="AD33" i="16"/>
  <c r="AD45" i="8"/>
  <c r="AD52" i="8"/>
  <c r="AD72" i="8"/>
  <c r="AD75" i="8"/>
  <c r="AD34" i="3"/>
  <c r="AH20" i="14"/>
  <c r="AH73" i="10"/>
  <c r="AH75" i="10"/>
  <c r="AH77" i="10"/>
  <c r="AH80" i="10"/>
  <c r="AH83" i="10"/>
  <c r="AH85" i="10"/>
  <c r="AH89" i="10"/>
  <c r="AH22" i="14"/>
  <c r="AH24" i="14"/>
  <c r="AH38" i="13"/>
  <c r="AH41" i="13"/>
  <c r="AH59" i="13"/>
  <c r="AH60" i="13"/>
  <c r="AH35" i="15"/>
  <c r="AH21" i="18"/>
  <c r="AH23" i="18"/>
  <c r="AH57" i="18"/>
  <c r="AH56" i="18"/>
  <c r="S29" i="47"/>
  <c r="S391" i="11"/>
  <c r="AG122" i="48"/>
  <c r="AG117" i="48"/>
  <c r="AA202" i="22"/>
  <c r="AA204" i="22"/>
  <c r="X229" i="12"/>
  <c r="X233" i="12"/>
  <c r="W66" i="12"/>
  <c r="W94" i="12"/>
  <c r="AN65" i="10"/>
  <c r="AN76" i="10"/>
  <c r="AN77" i="10"/>
  <c r="AN80" i="10"/>
  <c r="AN83" i="10"/>
  <c r="AN85" i="10"/>
  <c r="AN89" i="10"/>
  <c r="AN90" i="10"/>
  <c r="J38" i="13"/>
  <c r="J41" i="13"/>
  <c r="J59" i="13"/>
  <c r="J60" i="13"/>
  <c r="J35" i="15"/>
  <c r="J21" i="55"/>
  <c r="J23" i="55"/>
  <c r="J57" i="55"/>
  <c r="J56" i="55"/>
  <c r="N122" i="11"/>
  <c r="N193" i="11"/>
  <c r="N400" i="11"/>
  <c r="AH63" i="16"/>
  <c r="AH59" i="16"/>
  <c r="AH64" i="16"/>
  <c r="AE90" i="8"/>
  <c r="P17" i="56"/>
  <c r="Q102" i="48"/>
  <c r="Z58" i="3"/>
  <c r="AH161" i="5"/>
  <c r="AI30" i="12"/>
  <c r="AD91" i="11"/>
  <c r="AD151" i="11"/>
  <c r="Y39" i="58"/>
  <c r="Y49" i="58"/>
  <c r="R50" i="58"/>
  <c r="R40" i="58"/>
  <c r="W152" i="11"/>
  <c r="W92" i="11"/>
  <c r="S481" i="22"/>
  <c r="Q212" i="11"/>
  <c r="Q136" i="11"/>
  <c r="V12" i="54"/>
  <c r="W480" i="22"/>
  <c r="T66" i="12"/>
  <c r="T136" i="12"/>
  <c r="T195" i="12"/>
  <c r="AI67" i="12"/>
  <c r="S93" i="11"/>
  <c r="S153" i="11"/>
  <c r="N41" i="58"/>
  <c r="N51" i="58"/>
  <c r="J121" i="41"/>
  <c r="J132" i="41"/>
  <c r="R84" i="10"/>
  <c r="Y128" i="12"/>
  <c r="AB25" i="10"/>
  <c r="AB24" i="10"/>
  <c r="V26" i="9"/>
  <c r="V117" i="41"/>
  <c r="R64" i="56"/>
  <c r="O104" i="8"/>
  <c r="O105" i="8"/>
  <c r="O119" i="8"/>
  <c r="O31" i="15"/>
  <c r="O33" i="15"/>
  <c r="O28" i="55"/>
  <c r="O29" i="55"/>
  <c r="O67" i="55"/>
  <c r="O66" i="55"/>
  <c r="Y125" i="11"/>
  <c r="Y196" i="11"/>
  <c r="T104" i="58"/>
  <c r="T113" i="58"/>
  <c r="AH122" i="48"/>
  <c r="AH117" i="48"/>
  <c r="AV80" i="10"/>
  <c r="AV83" i="10"/>
  <c r="AV85" i="10"/>
  <c r="AV89" i="10"/>
  <c r="AV90" i="10"/>
  <c r="AA112" i="58"/>
  <c r="AA103" i="58"/>
  <c r="S485" i="22"/>
  <c r="S514" i="22"/>
  <c r="AD10" i="55"/>
  <c r="AD16" i="55"/>
  <c r="AD42" i="55"/>
  <c r="AD41" i="55"/>
  <c r="AD102" i="55"/>
  <c r="AJ61" i="13"/>
  <c r="AJ26" i="9"/>
  <c r="AJ117" i="41"/>
  <c r="Y106" i="41"/>
  <c r="Y141" i="41"/>
  <c r="AA213" i="11"/>
  <c r="AA137" i="11"/>
  <c r="AC57" i="8"/>
  <c r="AC58" i="8"/>
  <c r="AC73" i="8"/>
  <c r="AC22" i="15"/>
  <c r="AC24" i="15"/>
  <c r="AC37" i="3"/>
  <c r="AC40" i="3"/>
  <c r="AC42" i="3"/>
  <c r="W29" i="17"/>
  <c r="W66" i="10"/>
  <c r="AE252" i="12"/>
  <c r="AE242" i="12"/>
  <c r="Q58" i="3"/>
  <c r="J47" i="58"/>
  <c r="J46" i="58"/>
  <c r="AA21" i="55"/>
  <c r="AA23" i="55"/>
  <c r="AA57" i="55"/>
  <c r="AA56" i="55"/>
  <c r="W473" i="22"/>
  <c r="N66" i="12"/>
  <c r="N136" i="12"/>
  <c r="N195" i="12"/>
  <c r="L29" i="17"/>
  <c r="L66" i="10"/>
  <c r="AF203" i="12"/>
  <c r="AF222" i="12"/>
  <c r="AF242" i="12"/>
  <c r="AF252" i="12"/>
  <c r="AH212" i="11"/>
  <c r="AH136" i="11"/>
  <c r="AC410" i="11"/>
  <c r="AK97" i="10"/>
  <c r="AK100" i="10"/>
  <c r="AK104" i="10"/>
  <c r="AK23" i="14"/>
  <c r="Z58" i="47"/>
  <c r="AM5" i="12"/>
  <c r="AL5" i="8"/>
  <c r="AL5" i="9"/>
  <c r="AL5" i="15"/>
  <c r="AL5" i="17"/>
  <c r="AL5" i="13"/>
  <c r="AL5" i="4"/>
  <c r="AL5" i="14"/>
  <c r="AL5" i="1"/>
  <c r="AL5" i="10"/>
  <c r="AL5" i="3"/>
  <c r="AL5" i="11"/>
  <c r="AL5" i="16"/>
  <c r="AL5" i="18"/>
  <c r="AL5" i="55"/>
  <c r="AL5" i="43"/>
  <c r="O133" i="41"/>
  <c r="O131" i="41"/>
  <c r="J37" i="47"/>
  <c r="D37" i="47"/>
  <c r="D41" i="47"/>
  <c r="AF133" i="22"/>
  <c r="W94" i="11"/>
  <c r="W154" i="11"/>
  <c r="W391" i="11"/>
  <c r="W29" i="47"/>
  <c r="AH142" i="11"/>
  <c r="AJ73" i="10"/>
  <c r="AJ75" i="10"/>
  <c r="AJ77" i="10"/>
  <c r="AJ80" i="10"/>
  <c r="AJ83" i="10"/>
  <c r="AJ85" i="10"/>
  <c r="AJ89" i="10"/>
  <c r="AJ22" i="14"/>
  <c r="AJ24" i="14"/>
  <c r="AJ38" i="13"/>
  <c r="AJ41" i="13"/>
  <c r="AJ59" i="13"/>
  <c r="AJ60" i="13"/>
  <c r="AJ35" i="15"/>
  <c r="AJ21" i="18"/>
  <c r="AJ23" i="18"/>
  <c r="AJ57" i="18"/>
  <c r="AJ56" i="18"/>
  <c r="AF90" i="16"/>
  <c r="AF80" i="16"/>
  <c r="AD63" i="12"/>
  <c r="AD133" i="12"/>
  <c r="AD193" i="12"/>
  <c r="X64" i="12"/>
  <c r="X134" i="12"/>
  <c r="X194" i="12"/>
  <c r="K45" i="4"/>
  <c r="D45" i="4"/>
  <c r="AE92" i="12"/>
  <c r="AK65" i="10"/>
  <c r="AK76" i="10"/>
  <c r="AJ103" i="55"/>
  <c r="Q41" i="9"/>
  <c r="Q42" i="9"/>
  <c r="Q13" i="17"/>
  <c r="AA107" i="48"/>
  <c r="AA110" i="48"/>
  <c r="T332" i="11"/>
  <c r="D332" i="11"/>
  <c r="U332" i="11"/>
  <c r="AH37" i="47"/>
  <c r="AH41" i="47"/>
  <c r="AH42" i="47"/>
  <c r="F47" i="17"/>
  <c r="J52" i="14"/>
  <c r="J20" i="14"/>
  <c r="J73" i="10"/>
  <c r="J75" i="10"/>
  <c r="J77" i="10"/>
  <c r="J84" i="10"/>
  <c r="J85" i="10"/>
  <c r="J89" i="10"/>
  <c r="J22" i="14"/>
  <c r="J24" i="14"/>
  <c r="J49" i="14"/>
  <c r="AG29" i="47"/>
  <c r="AG391" i="11"/>
  <c r="R241" i="12"/>
  <c r="R251" i="12"/>
  <c r="D336" i="11"/>
  <c r="Z336" i="11"/>
  <c r="Z346" i="11"/>
  <c r="Z350" i="11"/>
  <c r="I23" i="8"/>
  <c r="I25" i="8"/>
  <c r="K82" i="41"/>
  <c r="L32" i="41"/>
  <c r="L81" i="41"/>
  <c r="L84" i="41"/>
  <c r="O25" i="41"/>
  <c r="O24" i="41"/>
  <c r="AF70" i="47"/>
  <c r="AJ469" i="22"/>
  <c r="AJ488" i="22"/>
  <c r="AG102" i="12"/>
  <c r="AG127" i="12"/>
  <c r="AG144" i="12"/>
  <c r="AF57" i="47"/>
  <c r="AF65" i="47"/>
  <c r="AF66" i="47"/>
  <c r="AJ48" i="41"/>
  <c r="AJ31" i="41"/>
  <c r="AJ75" i="41"/>
  <c r="Y10" i="14"/>
  <c r="T102" i="11"/>
  <c r="T166" i="11"/>
  <c r="O60" i="58"/>
  <c r="O69" i="58"/>
  <c r="W107" i="10"/>
  <c r="W14" i="9"/>
  <c r="AA148" i="22"/>
  <c r="AA211" i="22"/>
  <c r="X52" i="14"/>
  <c r="X49" i="14"/>
  <c r="M158" i="11"/>
  <c r="M160" i="11"/>
  <c r="M161" i="11"/>
  <c r="Q55" i="16"/>
  <c r="R54" i="16"/>
  <c r="R57" i="16"/>
  <c r="T36" i="41"/>
  <c r="T45" i="8"/>
  <c r="T52" i="8"/>
  <c r="T72" i="8"/>
  <c r="T75" i="8"/>
  <c r="T33" i="41"/>
  <c r="T35" i="41"/>
  <c r="D24" i="41"/>
  <c r="L24" i="41"/>
  <c r="L25" i="41"/>
  <c r="Z29" i="47"/>
  <c r="Z391" i="11"/>
  <c r="AB7" i="58"/>
  <c r="AD112" i="48"/>
  <c r="AK140" i="22"/>
  <c r="AH55" i="12"/>
  <c r="AE508" i="22"/>
  <c r="AF52" i="15"/>
  <c r="N123" i="11"/>
  <c r="N194" i="11"/>
  <c r="N398" i="11"/>
  <c r="N61" i="47"/>
  <c r="V211" i="11"/>
  <c r="V135" i="11"/>
  <c r="S113" i="11"/>
  <c r="S181" i="11"/>
  <c r="N83" i="58"/>
  <c r="N92" i="58"/>
  <c r="V133" i="22"/>
  <c r="U488" i="22"/>
  <c r="U517" i="22"/>
  <c r="AE56" i="15"/>
  <c r="AE60" i="13"/>
  <c r="AE35" i="15"/>
  <c r="AE36" i="15"/>
  <c r="AE39" i="15"/>
  <c r="AE42" i="15"/>
  <c r="Q10" i="58"/>
  <c r="V105" i="41"/>
  <c r="V7" i="14"/>
  <c r="V46" i="14"/>
  <c r="S25" i="4"/>
  <c r="S24" i="4"/>
  <c r="T50" i="14"/>
  <c r="T11" i="14"/>
  <c r="T47" i="14"/>
  <c r="Q54" i="9"/>
  <c r="Q9" i="9"/>
  <c r="Q146" i="41"/>
  <c r="AH315" i="11"/>
  <c r="D315" i="11"/>
  <c r="AG315" i="11"/>
  <c r="Y28" i="18"/>
  <c r="Y29" i="18"/>
  <c r="Y67" i="18"/>
  <c r="Y66" i="18"/>
  <c r="V11" i="54"/>
  <c r="T132" i="12"/>
  <c r="T137" i="12"/>
  <c r="AI62" i="12"/>
  <c r="AI90" i="12"/>
  <c r="AI95" i="12"/>
  <c r="AF27" i="17"/>
  <c r="AO65" i="10"/>
  <c r="AO76" i="10"/>
  <c r="AO77" i="10"/>
  <c r="AO80" i="10"/>
  <c r="AO83" i="10"/>
  <c r="AO28" i="17"/>
  <c r="W515" i="22"/>
  <c r="J5" i="4"/>
  <c r="J235" i="11"/>
  <c r="J23" i="9"/>
  <c r="J114" i="41"/>
  <c r="J125" i="41"/>
  <c r="J138" i="41"/>
  <c r="AH115" i="11"/>
  <c r="AH183" i="11"/>
  <c r="AC85" i="58"/>
  <c r="AC94" i="58"/>
  <c r="AJ187" i="22"/>
  <c r="AJ189" i="22"/>
  <c r="AG207" i="12"/>
  <c r="AG210" i="12"/>
  <c r="AO224" i="22"/>
  <c r="AL213" i="12"/>
  <c r="R101" i="56"/>
  <c r="R36" i="56"/>
  <c r="R37" i="56"/>
  <c r="R40" i="56"/>
  <c r="R57" i="56"/>
  <c r="R62" i="56"/>
  <c r="R63" i="56"/>
  <c r="R135" i="56"/>
  <c r="AF77" i="16"/>
  <c r="AE78" i="16"/>
  <c r="AE140" i="22"/>
  <c r="AE468" i="22"/>
  <c r="AE479" i="22"/>
  <c r="AB65" i="12"/>
  <c r="AB135" i="12"/>
  <c r="AH28" i="18"/>
  <c r="AH29" i="18"/>
  <c r="AH67" i="18"/>
  <c r="AE12" i="54"/>
  <c r="P208" i="11"/>
  <c r="P132" i="11"/>
  <c r="Z224" i="22"/>
  <c r="V60" i="43"/>
  <c r="V64" i="43"/>
  <c r="V70" i="43"/>
  <c r="Y9" i="14"/>
  <c r="T137" i="58"/>
  <c r="T138" i="58"/>
  <c r="AG473" i="22"/>
  <c r="M132" i="41"/>
  <c r="M233" i="11"/>
  <c r="M235" i="11"/>
  <c r="M23" i="9"/>
  <c r="M114" i="41"/>
  <c r="M121" i="41"/>
  <c r="X270" i="11"/>
  <c r="X254" i="11"/>
  <c r="AE203" i="12"/>
  <c r="AE222" i="12"/>
  <c r="AE225" i="12"/>
  <c r="M10" i="47"/>
  <c r="M7" i="47"/>
  <c r="AG25" i="13"/>
  <c r="AG24" i="13"/>
  <c r="I99" i="10"/>
  <c r="L142" i="11"/>
  <c r="M185" i="22"/>
  <c r="I49" i="43"/>
  <c r="AC126" i="11"/>
  <c r="AC197" i="11"/>
  <c r="X105" i="58"/>
  <c r="X114" i="58"/>
  <c r="AV67" i="10"/>
  <c r="AW63" i="10"/>
  <c r="AW65" i="10"/>
  <c r="AW76" i="10"/>
  <c r="AW77" i="10"/>
  <c r="AW80" i="10"/>
  <c r="AW83" i="10"/>
  <c r="AW85" i="10"/>
  <c r="AW89" i="10"/>
  <c r="AW90" i="10"/>
  <c r="V176" i="12"/>
  <c r="AL5" i="47"/>
  <c r="AL51" i="47"/>
  <c r="AN537" i="22"/>
  <c r="AN542" i="22"/>
  <c r="AB36" i="4"/>
  <c r="AB44" i="4"/>
  <c r="AB51" i="4"/>
  <c r="AB50" i="10"/>
  <c r="AB51" i="10"/>
  <c r="AB55" i="10"/>
  <c r="AB58" i="10"/>
  <c r="I23" i="11"/>
  <c r="I25" i="11"/>
  <c r="T84" i="10"/>
  <c r="S62" i="12"/>
  <c r="S132" i="12"/>
  <c r="S137" i="12"/>
  <c r="R128" i="12"/>
  <c r="L76" i="47"/>
  <c r="L75" i="47"/>
  <c r="AE64" i="12"/>
  <c r="AE134" i="12"/>
  <c r="AE194" i="12"/>
  <c r="AJ10" i="55"/>
  <c r="AJ16" i="55"/>
  <c r="AJ42" i="55"/>
  <c r="AJ41" i="55"/>
  <c r="AJ102" i="55"/>
  <c r="AL21" i="55"/>
  <c r="AL23" i="55"/>
  <c r="AL57" i="55"/>
  <c r="AL56" i="55"/>
  <c r="J228" i="12"/>
  <c r="J231" i="12"/>
  <c r="J243" i="12"/>
  <c r="J247" i="12"/>
  <c r="J248" i="12"/>
  <c r="J261" i="12"/>
  <c r="J263" i="12"/>
  <c r="J262" i="12"/>
  <c r="I8" i="15"/>
  <c r="D8" i="15"/>
  <c r="AH114" i="11"/>
  <c r="AH182" i="11"/>
  <c r="AC84" i="58"/>
  <c r="AC93" i="58"/>
  <c r="J39" i="58"/>
  <c r="J49" i="58"/>
  <c r="AE28" i="17"/>
  <c r="O119" i="12"/>
  <c r="O118" i="12"/>
  <c r="O108" i="12"/>
  <c r="AI40" i="13"/>
  <c r="I5" i="17"/>
  <c r="I5" i="43"/>
  <c r="I5" i="8"/>
  <c r="I5" i="11"/>
  <c r="I5" i="18"/>
  <c r="I5" i="3"/>
  <c r="I5" i="1"/>
  <c r="I5" i="55"/>
  <c r="I5" i="13"/>
  <c r="I5" i="16"/>
  <c r="I5" i="10"/>
  <c r="I5" i="14"/>
  <c r="I5" i="9"/>
  <c r="I5" i="15"/>
  <c r="I5" i="2"/>
  <c r="R67" i="12"/>
  <c r="N42" i="3"/>
  <c r="N40" i="3"/>
  <c r="N37" i="3"/>
  <c r="P58" i="10"/>
  <c r="P55" i="10"/>
  <c r="P51" i="10"/>
  <c r="AH86" i="47"/>
  <c r="AH17" i="14"/>
  <c r="O474" i="22"/>
  <c r="O471" i="22"/>
  <c r="W110" i="58"/>
  <c r="W101" i="58"/>
  <c r="AN29" i="17"/>
  <c r="AN66" i="10"/>
  <c r="T277" i="22"/>
  <c r="T274" i="22"/>
  <c r="T265" i="22"/>
  <c r="AD517" i="22"/>
  <c r="AC76" i="10"/>
  <c r="AC65" i="10"/>
  <c r="AJ255" i="11"/>
  <c r="Q473" i="22"/>
  <c r="AE174" i="11"/>
  <c r="AE173" i="11"/>
  <c r="AE171" i="11"/>
  <c r="S28" i="17"/>
  <c r="AF40" i="13"/>
  <c r="AA143" i="22"/>
  <c r="R4" i="58"/>
  <c r="U147" i="41"/>
  <c r="U233" i="11"/>
  <c r="U235" i="11"/>
  <c r="U23" i="9"/>
  <c r="U27" i="9"/>
  <c r="AE25" i="3"/>
  <c r="AE24" i="3"/>
  <c r="AL13" i="47"/>
  <c r="AL373" i="11"/>
  <c r="K69" i="58"/>
  <c r="K60" i="58"/>
  <c r="P166" i="11"/>
  <c r="P102" i="11"/>
  <c r="AF47" i="13"/>
  <c r="AF44" i="13"/>
  <c r="M77" i="12"/>
  <c r="M76" i="12"/>
  <c r="M27" i="12"/>
  <c r="M70" i="12"/>
  <c r="E41" i="41"/>
  <c r="E40" i="41"/>
  <c r="E39" i="41"/>
  <c r="Q232" i="48"/>
  <c r="X538" i="22"/>
  <c r="X138" i="22"/>
  <c r="X466" i="22"/>
  <c r="X477" i="22"/>
  <c r="X506" i="22"/>
  <c r="W105" i="41"/>
  <c r="W46" i="14"/>
  <c r="R10" i="58"/>
  <c r="Z4" i="58"/>
  <c r="AI143" i="22"/>
  <c r="W13" i="17"/>
  <c r="W42" i="9"/>
  <c r="W41" i="9"/>
  <c r="Q10" i="14"/>
  <c r="L138" i="41"/>
  <c r="L125" i="41"/>
  <c r="Q51" i="47"/>
  <c r="Q5" i="47"/>
  <c r="X122" i="48"/>
  <c r="X117" i="48"/>
  <c r="AA238" i="12"/>
  <c r="AA237" i="12"/>
  <c r="AD226" i="22"/>
  <c r="L233" i="48"/>
  <c r="S541" i="22"/>
  <c r="S509" i="22"/>
  <c r="AD67" i="12"/>
  <c r="Z119" i="12"/>
  <c r="Z118" i="12"/>
  <c r="Z108" i="12"/>
  <c r="U14" i="47"/>
  <c r="U382" i="11"/>
  <c r="U379" i="11"/>
  <c r="AH196" i="12"/>
  <c r="AH192" i="12"/>
  <c r="AN277" i="22"/>
  <c r="AN274" i="22"/>
  <c r="AN265" i="22"/>
  <c r="O29" i="12"/>
  <c r="N160" i="5"/>
  <c r="AB29" i="17"/>
  <c r="AB66" i="10"/>
  <c r="L13" i="47"/>
  <c r="L373" i="11"/>
  <c r="AF35" i="47"/>
  <c r="AF52" i="4"/>
  <c r="AF34" i="47"/>
  <c r="AE62" i="47"/>
  <c r="AE405" i="11"/>
  <c r="AE130" i="11"/>
  <c r="AE206" i="11"/>
  <c r="AE214" i="11"/>
  <c r="AE403" i="11"/>
  <c r="N24" i="58"/>
  <c r="N3" i="58"/>
  <c r="Y208" i="11"/>
  <c r="Y132" i="11"/>
  <c r="I5" i="47"/>
  <c r="I51" i="47"/>
  <c r="R18" i="47"/>
  <c r="R22" i="47"/>
  <c r="O84" i="48"/>
  <c r="S90" i="58"/>
  <c r="S81" i="58"/>
  <c r="X179" i="11"/>
  <c r="X111" i="11"/>
  <c r="AH211" i="11"/>
  <c r="AH135" i="11"/>
  <c r="AS84" i="10"/>
  <c r="AS79" i="10"/>
  <c r="Z209" i="11"/>
  <c r="Z133" i="11"/>
  <c r="AJ90" i="8"/>
  <c r="Q515" i="22"/>
  <c r="N176" i="12"/>
  <c r="R29" i="47"/>
  <c r="R391" i="11"/>
  <c r="J25" i="8"/>
  <c r="J23" i="8"/>
  <c r="AB25" i="47"/>
  <c r="AB24" i="47"/>
  <c r="AB388" i="11"/>
  <c r="AB384" i="11"/>
  <c r="M135" i="12"/>
  <c r="M65" i="12"/>
  <c r="Q70" i="58"/>
  <c r="Q61" i="58"/>
  <c r="V167" i="11"/>
  <c r="V103" i="11"/>
  <c r="AE29" i="47"/>
  <c r="AE391" i="11"/>
  <c r="AD209" i="11"/>
  <c r="AD133" i="11"/>
  <c r="T107" i="48"/>
  <c r="T110" i="48"/>
  <c r="U77" i="12"/>
  <c r="U76" i="12"/>
  <c r="U27" i="12"/>
  <c r="U70" i="12"/>
  <c r="AG94" i="11"/>
  <c r="AG154" i="11"/>
  <c r="AB42" i="58"/>
  <c r="AB52" i="58"/>
  <c r="AJ165" i="12"/>
  <c r="AF28" i="17"/>
  <c r="W7" i="14"/>
  <c r="R26" i="58"/>
  <c r="R30" i="58"/>
  <c r="I233" i="48"/>
  <c r="P541" i="22"/>
  <c r="P480" i="22"/>
  <c r="P509" i="22"/>
  <c r="AB226" i="48"/>
  <c r="AB229" i="48"/>
  <c r="AD127" i="56"/>
  <c r="AD126" i="56"/>
  <c r="AH23" i="14"/>
  <c r="AH104" i="10"/>
  <c r="AH100" i="10"/>
  <c r="AH97" i="10"/>
  <c r="AL10" i="47"/>
  <c r="AL7" i="47"/>
  <c r="AH32" i="15"/>
  <c r="AH59" i="3"/>
  <c r="AH70" i="3"/>
  <c r="AH74" i="3"/>
  <c r="AH26" i="15"/>
  <c r="AH29" i="15"/>
  <c r="AH92" i="8"/>
  <c r="AH99" i="8"/>
  <c r="AH118" i="8"/>
  <c r="AH121" i="8"/>
  <c r="AN515" i="22"/>
  <c r="O470" i="22"/>
  <c r="T29" i="47"/>
  <c r="T391" i="11"/>
  <c r="AL233" i="11"/>
  <c r="AB46" i="13"/>
  <c r="AE517" i="22"/>
  <c r="AE20" i="47"/>
  <c r="AB91" i="48"/>
  <c r="P25" i="13"/>
  <c r="P24" i="13"/>
  <c r="AI122" i="48"/>
  <c r="AI117" i="48"/>
  <c r="R110" i="48"/>
  <c r="R107" i="48"/>
  <c r="H32" i="58"/>
  <c r="H23" i="58"/>
  <c r="P72" i="58"/>
  <c r="P63" i="58"/>
  <c r="U169" i="11"/>
  <c r="U105" i="11"/>
  <c r="AA42" i="3"/>
  <c r="AA40" i="3"/>
  <c r="AA37" i="3"/>
  <c r="AH61" i="47"/>
  <c r="AH398" i="11"/>
  <c r="AF27" i="12"/>
  <c r="AF106" i="12"/>
  <c r="AF112" i="12"/>
  <c r="AF113" i="12"/>
  <c r="L107" i="10"/>
  <c r="L14" i="9"/>
  <c r="AD69" i="43"/>
  <c r="AD54" i="43"/>
  <c r="AD50" i="43"/>
  <c r="AB522" i="22"/>
  <c r="AB511" i="22"/>
  <c r="AD25" i="12"/>
  <c r="AD24" i="12"/>
  <c r="V88" i="47"/>
  <c r="V19" i="14"/>
  <c r="S94" i="11"/>
  <c r="S154" i="11"/>
  <c r="N42" i="58"/>
  <c r="N52" i="58"/>
  <c r="AL42" i="3"/>
  <c r="AL40" i="3"/>
  <c r="AL57" i="8"/>
  <c r="AL58" i="8"/>
  <c r="AL73" i="8"/>
  <c r="AL22" i="15"/>
  <c r="AL24" i="15"/>
  <c r="AL37" i="3"/>
  <c r="O85" i="48"/>
  <c r="V162" i="22"/>
  <c r="R34" i="43"/>
  <c r="R42" i="43"/>
  <c r="R44" i="43"/>
  <c r="R68" i="43"/>
  <c r="R71" i="43"/>
  <c r="R121" i="43"/>
  <c r="R12" i="47"/>
  <c r="R15" i="47"/>
  <c r="R17" i="47"/>
  <c r="R26" i="47"/>
  <c r="R27" i="47"/>
  <c r="P36" i="4"/>
  <c r="P44" i="4"/>
  <c r="P51" i="4"/>
  <c r="P50" i="10"/>
  <c r="P54" i="10"/>
  <c r="AG6" i="58"/>
  <c r="AM54" i="12"/>
  <c r="R29" i="12"/>
  <c r="Q160" i="5"/>
  <c r="T211" i="11"/>
  <c r="T135" i="11"/>
  <c r="AJ74" i="8"/>
  <c r="AJ67" i="8"/>
  <c r="AJ66" i="8"/>
  <c r="AJ5" i="55"/>
  <c r="AJ5" i="43"/>
  <c r="AJ5" i="3"/>
  <c r="AJ5" i="13"/>
  <c r="AJ5" i="16"/>
  <c r="AJ5" i="1"/>
  <c r="AK5" i="12"/>
  <c r="AJ5" i="4"/>
  <c r="AJ5" i="14"/>
  <c r="AJ5" i="8"/>
  <c r="AJ5" i="15"/>
  <c r="AJ5" i="18"/>
  <c r="AJ5" i="10"/>
  <c r="AJ5" i="9"/>
  <c r="AJ5" i="11"/>
  <c r="AJ5" i="17"/>
  <c r="V66" i="58"/>
  <c r="V65" i="58"/>
  <c r="AM277" i="22"/>
  <c r="AM274" i="22"/>
  <c r="AM265" i="22"/>
  <c r="W88" i="47"/>
  <c r="W19" i="14"/>
  <c r="S24" i="58"/>
  <c r="S3" i="58"/>
  <c r="AC210" i="11"/>
  <c r="AC134" i="11"/>
  <c r="U61" i="41"/>
  <c r="U59" i="41"/>
  <c r="U62" i="41"/>
  <c r="P31" i="58"/>
  <c r="P27" i="58"/>
  <c r="AG29" i="12"/>
  <c r="AF160" i="5"/>
  <c r="V142" i="11"/>
  <c r="W30" i="12"/>
  <c r="V161" i="5"/>
  <c r="AK25" i="13"/>
  <c r="AK24" i="13"/>
  <c r="K47" i="17"/>
  <c r="K32" i="9"/>
  <c r="AB90" i="16"/>
  <c r="AB80" i="16"/>
  <c r="Z486" i="22"/>
  <c r="W100" i="12"/>
  <c r="W125" i="12"/>
  <c r="W142" i="12"/>
  <c r="W163" i="12"/>
  <c r="Q27" i="58"/>
  <c r="Q31" i="58"/>
  <c r="K13" i="58"/>
  <c r="K11" i="58"/>
  <c r="K19" i="58"/>
  <c r="Q181" i="22"/>
  <c r="Q172" i="22"/>
  <c r="Z28" i="12"/>
  <c r="Y159" i="5"/>
  <c r="AF114" i="58"/>
  <c r="AF105" i="58"/>
  <c r="AC25" i="8"/>
  <c r="AC24" i="8"/>
  <c r="AL489" i="22"/>
  <c r="AC13" i="47"/>
  <c r="AC373" i="11"/>
  <c r="AD229" i="48"/>
  <c r="AD226" i="48"/>
  <c r="P70" i="43"/>
  <c r="P64" i="43"/>
  <c r="P60" i="43"/>
  <c r="AC25" i="4"/>
  <c r="AC24" i="4"/>
  <c r="M127" i="56"/>
  <c r="M126" i="56"/>
  <c r="N142" i="11"/>
  <c r="AF47" i="58"/>
  <c r="AF46" i="58"/>
  <c r="X251" i="12"/>
  <c r="X241" i="12"/>
  <c r="S138" i="22"/>
  <c r="S466" i="22"/>
  <c r="S477" i="22"/>
  <c r="S506" i="22"/>
  <c r="S538" i="22"/>
  <c r="L232" i="48"/>
  <c r="H91" i="58"/>
  <c r="H82" i="58"/>
  <c r="M180" i="11"/>
  <c r="M112" i="11"/>
  <c r="AE185" i="12"/>
  <c r="AE186" i="12"/>
  <c r="AF188" i="12"/>
  <c r="AE16" i="14"/>
  <c r="AE20" i="14"/>
  <c r="AE73" i="10"/>
  <c r="AE75" i="10"/>
  <c r="AE77" i="10"/>
  <c r="AE80" i="10"/>
  <c r="AE83" i="10"/>
  <c r="AE85" i="10"/>
  <c r="AE89" i="10"/>
  <c r="AE22" i="14"/>
  <c r="AE24" i="14"/>
  <c r="AE38" i="13"/>
  <c r="AE41" i="13"/>
  <c r="AE59" i="13"/>
  <c r="AE26" i="14"/>
  <c r="AE27" i="14"/>
  <c r="AE30" i="14"/>
  <c r="AG24" i="58"/>
  <c r="AG3" i="58"/>
  <c r="U94" i="11"/>
  <c r="U154" i="11"/>
  <c r="P42" i="58"/>
  <c r="P52" i="58"/>
  <c r="L208" i="12"/>
  <c r="Y56" i="13"/>
  <c r="Y55" i="13"/>
  <c r="Y54" i="13"/>
  <c r="Z178" i="12"/>
  <c r="Y7" i="15"/>
  <c r="Y12" i="15"/>
  <c r="Y32" i="16"/>
  <c r="Y36" i="16"/>
  <c r="D33" i="16"/>
  <c r="I33" i="16"/>
  <c r="V47" i="58"/>
  <c r="V46" i="58"/>
  <c r="AA115" i="58"/>
  <c r="AA106" i="58"/>
  <c r="AS29" i="17"/>
  <c r="AS66" i="10"/>
  <c r="AA66" i="47"/>
  <c r="AA70" i="47"/>
  <c r="Q207" i="11"/>
  <c r="Q131" i="11"/>
  <c r="W91" i="58"/>
  <c r="W82" i="58"/>
  <c r="AB180" i="11"/>
  <c r="AB112" i="11"/>
  <c r="AF53" i="58"/>
  <c r="AF43" i="58"/>
  <c r="I89" i="58"/>
  <c r="I80" i="58"/>
  <c r="AT74" i="8"/>
  <c r="AT67" i="8"/>
  <c r="AT66" i="8"/>
  <c r="AF14" i="47"/>
  <c r="AF382" i="11"/>
  <c r="AF379" i="11"/>
  <c r="U28" i="17"/>
  <c r="Q94" i="12"/>
  <c r="R68" i="58"/>
  <c r="R59" i="58"/>
  <c r="D255" i="11"/>
  <c r="D250" i="11"/>
  <c r="P6" i="58"/>
  <c r="V54" i="12"/>
  <c r="AJ5" i="47"/>
  <c r="AJ51" i="47"/>
  <c r="AM486" i="22"/>
  <c r="AJ100" i="12"/>
  <c r="AJ125" i="12"/>
  <c r="AJ142" i="12"/>
  <c r="AJ163" i="12"/>
  <c r="AD27" i="58"/>
  <c r="AD31" i="58"/>
  <c r="I101" i="43"/>
  <c r="M195" i="22"/>
  <c r="L209" i="11"/>
  <c r="L133" i="11"/>
  <c r="U211" i="11"/>
  <c r="U135" i="11"/>
  <c r="AO84" i="41"/>
  <c r="AO82" i="41"/>
  <c r="D52" i="4"/>
  <c r="V58" i="10"/>
  <c r="V55" i="10"/>
  <c r="V51" i="10"/>
  <c r="AG61" i="41"/>
  <c r="AG59" i="41"/>
  <c r="AG62" i="41"/>
  <c r="AH107" i="10"/>
  <c r="AH14" i="9"/>
  <c r="T350" i="11"/>
  <c r="T346" i="11"/>
  <c r="T330" i="11"/>
  <c r="L13" i="58"/>
  <c r="L11" i="58"/>
  <c r="L19" i="58"/>
  <c r="V56" i="18"/>
  <c r="V57" i="18"/>
  <c r="V23" i="18"/>
  <c r="V21" i="18"/>
  <c r="AH162" i="12"/>
  <c r="AH141" i="12"/>
  <c r="AH124" i="12"/>
  <c r="AH99" i="12"/>
  <c r="AF127" i="11"/>
  <c r="AF198" i="11"/>
  <c r="AF411" i="11"/>
  <c r="AJ55" i="15"/>
  <c r="Y188" i="11"/>
  <c r="Y187" i="11"/>
  <c r="Y110" i="11"/>
  <c r="Y178" i="11"/>
  <c r="Y185" i="11"/>
  <c r="AC14" i="47"/>
  <c r="AC382" i="11"/>
  <c r="AC379" i="11"/>
  <c r="Z55" i="15"/>
  <c r="AE118" i="48"/>
  <c r="AL513" i="22"/>
  <c r="AL518" i="22"/>
  <c r="AK126" i="11"/>
  <c r="AK197" i="11"/>
  <c r="AK410" i="11"/>
  <c r="L10" i="47"/>
  <c r="L7" i="47"/>
  <c r="AF13" i="58"/>
  <c r="AF11" i="58"/>
  <c r="AF19" i="58"/>
  <c r="AE94" i="12"/>
  <c r="AH269" i="11"/>
  <c r="AH253" i="11"/>
  <c r="AL54" i="41"/>
  <c r="AK217" i="11"/>
  <c r="AK216" i="11"/>
  <c r="X285" i="11"/>
  <c r="X351" i="11"/>
  <c r="X27" i="15"/>
  <c r="K11" i="54"/>
  <c r="N66" i="18"/>
  <c r="G51" i="58"/>
  <c r="L93" i="11"/>
  <c r="L153" i="11"/>
  <c r="G41" i="58"/>
  <c r="R481" i="22"/>
  <c r="AR34" i="3"/>
  <c r="AR75" i="8"/>
  <c r="AR73" i="8"/>
  <c r="AR58" i="8"/>
  <c r="AR57" i="8"/>
  <c r="AA54" i="12"/>
  <c r="U6" i="58"/>
  <c r="AB77" i="16"/>
  <c r="AA78" i="16"/>
  <c r="L90" i="58"/>
  <c r="L81" i="58"/>
  <c r="Q179" i="11"/>
  <c r="Q111" i="11"/>
  <c r="AF46" i="14"/>
  <c r="AA10" i="58"/>
  <c r="AF105" i="41"/>
  <c r="R269" i="11"/>
  <c r="R253" i="11"/>
  <c r="AE488" i="22"/>
  <c r="AB102" i="12"/>
  <c r="AB127" i="12"/>
  <c r="AB144" i="12"/>
  <c r="AA57" i="47"/>
  <c r="AA65" i="47"/>
  <c r="AA75" i="47"/>
  <c r="AA76" i="47"/>
  <c r="M90" i="16"/>
  <c r="M80" i="16"/>
  <c r="M91" i="16"/>
  <c r="U27" i="4"/>
  <c r="U46" i="4"/>
  <c r="U47" i="4"/>
  <c r="U52" i="4"/>
  <c r="U34" i="47"/>
  <c r="U35" i="47"/>
  <c r="T77" i="47"/>
  <c r="T414" i="11"/>
  <c r="P79" i="10"/>
  <c r="AL211" i="11"/>
  <c r="AL135" i="11"/>
  <c r="AK95" i="11"/>
  <c r="AK155" i="11"/>
  <c r="AK385" i="11"/>
  <c r="Y515" i="22"/>
  <c r="AJ196" i="12"/>
  <c r="AJ192" i="12"/>
  <c r="AH251" i="12"/>
  <c r="AH241" i="12"/>
  <c r="P66" i="47"/>
  <c r="P70" i="47"/>
  <c r="T473" i="22"/>
  <c r="Q66" i="12"/>
  <c r="Q136" i="12"/>
  <c r="Q195" i="12"/>
  <c r="I23" i="9"/>
  <c r="I27" i="9"/>
  <c r="I147" i="41"/>
  <c r="L255" i="11"/>
  <c r="AJ43" i="8"/>
  <c r="X224" i="12"/>
  <c r="P195" i="12"/>
  <c r="P136" i="12"/>
  <c r="AF109" i="58"/>
  <c r="AF100" i="58"/>
  <c r="AF107" i="58"/>
  <c r="AB112" i="58"/>
  <c r="AB103" i="58"/>
  <c r="R52" i="14"/>
  <c r="R49" i="14"/>
  <c r="G7" i="58"/>
  <c r="M55" i="12"/>
  <c r="I112" i="48"/>
  <c r="N28" i="18"/>
  <c r="N29" i="18"/>
  <c r="N67" i="18"/>
  <c r="K12" i="54"/>
  <c r="Q29" i="17"/>
  <c r="Q66" i="10"/>
  <c r="AA103" i="12"/>
  <c r="W71" i="58"/>
  <c r="W62" i="58"/>
  <c r="AB168" i="11"/>
  <c r="AB104" i="11"/>
  <c r="AC53" i="58"/>
  <c r="AC43" i="58"/>
  <c r="D7" i="15"/>
  <c r="D12" i="15"/>
  <c r="AB64" i="16"/>
  <c r="AB59" i="16"/>
  <c r="AG411" i="11"/>
  <c r="AB31" i="16"/>
  <c r="AB35" i="16"/>
  <c r="Q54" i="12"/>
  <c r="K6" i="58"/>
  <c r="AJ32" i="15"/>
  <c r="AJ33" i="15"/>
  <c r="AJ44" i="13"/>
  <c r="AJ47" i="13"/>
  <c r="AL478" i="22"/>
  <c r="AL507" i="22"/>
  <c r="AL539" i="22"/>
  <c r="AL56" i="15"/>
  <c r="AL39" i="15"/>
  <c r="AL42" i="15"/>
  <c r="N107" i="10"/>
  <c r="N14" i="9"/>
  <c r="Z104" i="8"/>
  <c r="Z105" i="8"/>
  <c r="Z119" i="8"/>
  <c r="Z31" i="15"/>
  <c r="Z33" i="15"/>
  <c r="Z44" i="13"/>
  <c r="Z47" i="13"/>
  <c r="S72" i="58"/>
  <c r="S63" i="58"/>
  <c r="X169" i="11"/>
  <c r="X105" i="11"/>
  <c r="AJ62" i="47"/>
  <c r="AJ405" i="11"/>
  <c r="AJ403" i="11"/>
  <c r="AH12" i="17"/>
  <c r="AH20" i="9"/>
  <c r="AH37" i="9"/>
  <c r="AH44" i="9"/>
  <c r="AE66" i="12"/>
  <c r="AE136" i="12"/>
  <c r="AE195" i="12"/>
  <c r="W84" i="10"/>
  <c r="X165" i="12"/>
  <c r="AN505" i="22"/>
  <c r="AN511" i="22"/>
  <c r="AN522" i="22"/>
  <c r="Y25" i="41"/>
  <c r="Y24" i="41"/>
  <c r="AH66" i="8"/>
  <c r="AH67" i="8"/>
  <c r="AH74" i="8"/>
  <c r="AE10" i="47"/>
  <c r="AE7" i="47"/>
  <c r="N27" i="15"/>
  <c r="N351" i="11"/>
  <c r="AD53" i="58"/>
  <c r="AD43" i="58"/>
  <c r="Y70" i="58"/>
  <c r="Y61" i="58"/>
  <c r="AD167" i="11"/>
  <c r="AD103" i="11"/>
  <c r="P55" i="12"/>
  <c r="L112" i="48"/>
  <c r="J7" i="58"/>
  <c r="W172" i="22"/>
  <c r="W181" i="22"/>
  <c r="D25" i="13"/>
  <c r="D23" i="13"/>
  <c r="AA104" i="11"/>
  <c r="AA168" i="11"/>
  <c r="V62" i="58"/>
  <c r="V71" i="58"/>
  <c r="AG127" i="11"/>
  <c r="AG198" i="11"/>
  <c r="AB106" i="58"/>
  <c r="AB115" i="58"/>
  <c r="Z13" i="17"/>
  <c r="Z42" i="9"/>
  <c r="Z41" i="9"/>
  <c r="AF7" i="14"/>
  <c r="AA26" i="58"/>
  <c r="AA30" i="58"/>
  <c r="X4" i="58"/>
  <c r="AG143" i="22"/>
  <c r="U59" i="10"/>
  <c r="U78" i="10"/>
  <c r="U98" i="10"/>
  <c r="AJ13" i="17"/>
  <c r="AJ42" i="9"/>
  <c r="AJ41" i="9"/>
  <c r="AF120" i="41"/>
  <c r="AB70" i="12"/>
  <c r="AB76" i="12"/>
  <c r="AB77" i="12"/>
  <c r="Y229" i="48"/>
  <c r="Y226" i="48"/>
  <c r="Y211" i="11"/>
  <c r="Y135" i="11"/>
  <c r="O209" i="11"/>
  <c r="O133" i="11"/>
  <c r="Z114" i="11"/>
  <c r="Z182" i="11"/>
  <c r="U84" i="58"/>
  <c r="U93" i="58"/>
  <c r="U57" i="12"/>
  <c r="U52" i="12"/>
  <c r="AB473" i="22"/>
  <c r="Y143" i="22"/>
  <c r="P4" i="58"/>
  <c r="U55" i="58"/>
  <c r="U45" i="58"/>
  <c r="Z157" i="11"/>
  <c r="Z97" i="11"/>
  <c r="AF10" i="47"/>
  <c r="AF7" i="47"/>
  <c r="P57" i="47"/>
  <c r="P65" i="47"/>
  <c r="P75" i="47"/>
  <c r="P76" i="47"/>
  <c r="AA86" i="16"/>
  <c r="AA83" i="16"/>
  <c r="Z84" i="16"/>
  <c r="AC90" i="16"/>
  <c r="AC80" i="16"/>
  <c r="AH69" i="58"/>
  <c r="G60" i="58"/>
  <c r="G69" i="58"/>
  <c r="AI69" i="58"/>
  <c r="AA116" i="41"/>
  <c r="AA25" i="9"/>
  <c r="Y55" i="9"/>
  <c r="W119" i="12"/>
  <c r="W118" i="12"/>
  <c r="W108" i="12"/>
  <c r="Q14" i="47"/>
  <c r="Q382" i="11"/>
  <c r="Q130" i="11"/>
  <c r="Q206" i="11"/>
  <c r="Q214" i="11"/>
  <c r="Q379" i="11"/>
  <c r="AO489" i="22"/>
  <c r="W25" i="3"/>
  <c r="W24" i="3"/>
  <c r="AI211" i="11"/>
  <c r="AI135" i="11"/>
  <c r="AJ276" i="22"/>
  <c r="AJ267" i="22"/>
  <c r="N139" i="41"/>
  <c r="N137" i="41"/>
  <c r="N124" i="41"/>
  <c r="O72" i="58"/>
  <c r="O63" i="58"/>
  <c r="T169" i="11"/>
  <c r="T105" i="11"/>
  <c r="AJ10" i="14"/>
  <c r="U233" i="48"/>
  <c r="AB541" i="22"/>
  <c r="AB509" i="22"/>
  <c r="Z91" i="58"/>
  <c r="Z82" i="58"/>
  <c r="AE180" i="11"/>
  <c r="AE112" i="11"/>
  <c r="V36" i="4"/>
  <c r="V44" i="4"/>
  <c r="V51" i="4"/>
  <c r="V50" i="10"/>
  <c r="V54" i="10"/>
  <c r="AE112" i="58"/>
  <c r="AE103" i="58"/>
  <c r="AC58" i="10"/>
  <c r="AC55" i="10"/>
  <c r="AC51" i="10"/>
  <c r="AD489" i="22"/>
  <c r="D58" i="8"/>
  <c r="O53" i="19"/>
  <c r="M107" i="10"/>
  <c r="M14" i="9"/>
  <c r="AE121" i="8"/>
  <c r="AE57" i="8"/>
  <c r="AE58" i="8"/>
  <c r="AE73" i="8"/>
  <c r="AE22" i="15"/>
  <c r="AE24" i="15"/>
  <c r="AE59" i="3"/>
  <c r="AE70" i="3"/>
  <c r="AE74" i="3"/>
  <c r="AE26" i="15"/>
  <c r="AE29" i="15"/>
  <c r="AE92" i="8"/>
  <c r="AE99" i="8"/>
  <c r="AE118" i="8"/>
  <c r="AE32" i="15"/>
  <c r="Z203" i="22"/>
  <c r="Z272" i="22"/>
  <c r="V54" i="47"/>
  <c r="V39" i="58"/>
  <c r="V49" i="58"/>
  <c r="W70" i="43"/>
  <c r="W64" i="43"/>
  <c r="W60" i="43"/>
  <c r="AB40" i="13"/>
  <c r="L69" i="58"/>
  <c r="L60" i="58"/>
  <c r="Q166" i="11"/>
  <c r="Q102" i="11"/>
  <c r="AX53" i="4"/>
  <c r="AX50" i="4"/>
  <c r="AW53" i="4"/>
  <c r="AW50" i="4"/>
  <c r="AV53" i="4"/>
  <c r="AV50" i="4"/>
  <c r="AU53" i="4"/>
  <c r="AU50" i="4"/>
  <c r="AT53" i="4"/>
  <c r="AT50" i="4"/>
  <c r="AS53" i="4"/>
  <c r="AS50" i="4"/>
  <c r="AR53" i="4"/>
  <c r="AR50" i="4"/>
  <c r="AQ53" i="4"/>
  <c r="AQ50" i="4"/>
  <c r="AP53" i="4"/>
  <c r="AP50" i="4"/>
  <c r="AO53" i="4"/>
  <c r="AO50" i="4"/>
  <c r="AN53" i="4"/>
  <c r="AN50" i="4"/>
  <c r="AM53" i="4"/>
  <c r="AJ50" i="4"/>
  <c r="AJ53" i="4"/>
  <c r="AK50" i="4"/>
  <c r="AK53" i="4"/>
  <c r="AL50" i="4"/>
  <c r="AL53" i="4"/>
  <c r="AM50" i="4"/>
  <c r="M77" i="16"/>
  <c r="L78" i="16"/>
  <c r="I55" i="16"/>
  <c r="J54" i="16"/>
  <c r="J57" i="16"/>
  <c r="AH187" i="22"/>
  <c r="AH189" i="22"/>
  <c r="AE207" i="12"/>
  <c r="AE210" i="12"/>
  <c r="V49" i="14"/>
  <c r="V52" i="14"/>
  <c r="AH58" i="9"/>
  <c r="AH30" i="9"/>
  <c r="AH33" i="9"/>
  <c r="AH35" i="9"/>
  <c r="Q13" i="55"/>
  <c r="Q279" i="11"/>
  <c r="Q10" i="15"/>
  <c r="Q13" i="18"/>
  <c r="Q255" i="11"/>
  <c r="AI54" i="9"/>
  <c r="AC50" i="4"/>
  <c r="AC53" i="4"/>
  <c r="AD50" i="4"/>
  <c r="AD53" i="4"/>
  <c r="AE50" i="4"/>
  <c r="AE53" i="4"/>
  <c r="AF50" i="4"/>
  <c r="AF53" i="4"/>
  <c r="AG50" i="4"/>
  <c r="AG53" i="4"/>
  <c r="AH50" i="4"/>
  <c r="AH53" i="4"/>
  <c r="AI50" i="4"/>
  <c r="AI53" i="4"/>
  <c r="AI9" i="9"/>
  <c r="AI146" i="41"/>
  <c r="Z54" i="9"/>
  <c r="Z9" i="9"/>
  <c r="Z146" i="41"/>
  <c r="AH37" i="4"/>
  <c r="AI34" i="4"/>
  <c r="AI37" i="4"/>
  <c r="AI8" i="9"/>
  <c r="AI10" i="9"/>
  <c r="U5" i="10"/>
  <c r="V5" i="12"/>
  <c r="U5" i="55"/>
  <c r="U5" i="4"/>
  <c r="U5" i="14"/>
  <c r="U5" i="1"/>
  <c r="U5" i="17"/>
  <c r="U5" i="13"/>
  <c r="U5" i="16"/>
  <c r="U5" i="11"/>
  <c r="U5" i="2"/>
  <c r="U5" i="43"/>
  <c r="U5" i="9"/>
  <c r="U5" i="8"/>
  <c r="U5" i="18"/>
  <c r="U5" i="3"/>
  <c r="U5" i="15"/>
  <c r="D32" i="15"/>
  <c r="G32" i="58"/>
  <c r="G23" i="58"/>
  <c r="W40" i="47"/>
  <c r="AE22" i="47"/>
  <c r="AB84" i="48"/>
  <c r="AE18" i="47"/>
  <c r="AH123" i="11"/>
  <c r="AH194" i="11"/>
  <c r="AC102" i="58"/>
  <c r="AC111" i="58"/>
  <c r="M56" i="12"/>
  <c r="I228" i="48"/>
  <c r="I111" i="48"/>
  <c r="G107" i="58"/>
  <c r="G100" i="58"/>
  <c r="G109" i="58"/>
  <c r="AH265" i="22"/>
  <c r="AH274" i="22"/>
  <c r="AH277" i="22"/>
  <c r="S69" i="58"/>
  <c r="S60" i="58"/>
  <c r="X166" i="11"/>
  <c r="X102" i="11"/>
  <c r="Y51" i="58"/>
  <c r="Y41" i="58"/>
  <c r="V139" i="41"/>
  <c r="V137" i="41"/>
  <c r="V124" i="41"/>
  <c r="AE25" i="9"/>
  <c r="AE116" i="41"/>
  <c r="J97" i="10"/>
  <c r="J100" i="10"/>
  <c r="J104" i="10"/>
  <c r="J23" i="14"/>
  <c r="Z226" i="48"/>
  <c r="Z229" i="48"/>
  <c r="AB71" i="58"/>
  <c r="AB62" i="58"/>
  <c r="AG168" i="11"/>
  <c r="AG104" i="11"/>
  <c r="P59" i="10"/>
  <c r="P78" i="10"/>
  <c r="P98" i="10"/>
  <c r="U79" i="10"/>
  <c r="J117" i="41"/>
  <c r="J26" i="9"/>
  <c r="R226" i="48"/>
  <c r="R229" i="48"/>
  <c r="D31" i="16"/>
  <c r="R196" i="12"/>
  <c r="R192" i="12"/>
  <c r="R25" i="47"/>
  <c r="R24" i="47"/>
  <c r="R388" i="11"/>
  <c r="R384" i="11"/>
  <c r="BA133" i="41"/>
  <c r="L133" i="41"/>
  <c r="G28" i="2"/>
  <c r="O19" i="19"/>
  <c r="D127" i="56"/>
  <c r="AG116" i="41"/>
  <c r="AG25" i="9"/>
  <c r="Y44" i="9"/>
  <c r="Y18" i="9"/>
  <c r="Y20" i="9"/>
  <c r="Y37" i="9"/>
  <c r="Y12" i="17"/>
  <c r="AG88" i="10"/>
  <c r="AG91" i="10"/>
  <c r="AH88" i="10"/>
  <c r="AH91" i="10"/>
  <c r="AH25" i="9"/>
  <c r="AH116" i="41"/>
  <c r="AO518" i="22"/>
  <c r="AO513" i="22"/>
  <c r="AH118" i="48"/>
  <c r="Z213" i="11"/>
  <c r="Z137" i="11"/>
  <c r="X69" i="58"/>
  <c r="X60" i="58"/>
  <c r="AC166" i="11"/>
  <c r="AC102" i="11"/>
  <c r="M350" i="11"/>
  <c r="M346" i="11"/>
  <c r="M323" i="11"/>
  <c r="V46" i="13"/>
  <c r="AH25" i="16"/>
  <c r="AH24" i="16"/>
  <c r="U121" i="8"/>
  <c r="U59" i="3"/>
  <c r="U70" i="3"/>
  <c r="U74" i="3"/>
  <c r="U26" i="15"/>
  <c r="U29" i="15"/>
  <c r="U92" i="8"/>
  <c r="U99" i="8"/>
  <c r="U118" i="8"/>
  <c r="U32" i="15"/>
  <c r="AC232" i="48"/>
  <c r="AJ538" i="22"/>
  <c r="AJ477" i="22"/>
  <c r="AJ506" i="22"/>
  <c r="AB28" i="17"/>
  <c r="AK481" i="22"/>
  <c r="U269" i="11"/>
  <c r="U253" i="11"/>
  <c r="AK117" i="41"/>
  <c r="AK26" i="9"/>
  <c r="AK61" i="13"/>
  <c r="Y90" i="58"/>
  <c r="Y81" i="58"/>
  <c r="AD179" i="11"/>
  <c r="AD111" i="11"/>
  <c r="AD518" i="22"/>
  <c r="AD513" i="22"/>
  <c r="W118" i="48"/>
  <c r="R32" i="58"/>
  <c r="R23" i="58"/>
  <c r="AD195" i="12"/>
  <c r="AD136" i="12"/>
  <c r="AG255" i="11"/>
  <c r="Z267" i="22"/>
  <c r="Z276" i="22"/>
  <c r="U473" i="22"/>
  <c r="L111" i="48"/>
  <c r="L228" i="48"/>
  <c r="P56" i="12"/>
  <c r="W61" i="47"/>
  <c r="W398" i="11"/>
  <c r="AJ12" i="17"/>
  <c r="AJ20" i="9"/>
  <c r="AJ37" i="9"/>
  <c r="AJ44" i="9"/>
  <c r="AC6" i="58"/>
  <c r="AI54" i="12"/>
  <c r="Q13" i="47"/>
  <c r="Q373" i="11"/>
  <c r="M31" i="16"/>
  <c r="M35" i="16"/>
  <c r="N54" i="10"/>
  <c r="AB94" i="12"/>
  <c r="D48" i="16"/>
  <c r="R97" i="48"/>
  <c r="Y165" i="22"/>
  <c r="U92" i="43"/>
  <c r="U96" i="43"/>
  <c r="U112" i="43"/>
  <c r="U114" i="43"/>
  <c r="U60" i="47"/>
  <c r="U63" i="47"/>
  <c r="U68" i="47"/>
  <c r="AE209" i="11"/>
  <c r="AE133" i="11"/>
  <c r="AI110" i="48"/>
  <c r="AI107" i="48"/>
  <c r="AM67" i="12"/>
  <c r="AJ25" i="13"/>
  <c r="AJ24" i="13"/>
  <c r="AI90" i="47"/>
  <c r="AI89" i="47"/>
  <c r="AI85" i="47"/>
  <c r="O40" i="13"/>
  <c r="U5" i="41"/>
  <c r="U102" i="41"/>
  <c r="AB85" i="48"/>
  <c r="AE42" i="43"/>
  <c r="AE44" i="43"/>
  <c r="AE68" i="43"/>
  <c r="AE71" i="43"/>
  <c r="AE121" i="43"/>
  <c r="AE12" i="47"/>
  <c r="AE15" i="47"/>
  <c r="AE17" i="47"/>
  <c r="AE26" i="47"/>
  <c r="AE27" i="47"/>
  <c r="G20" i="58"/>
  <c r="G8" i="58"/>
  <c r="E109" i="58"/>
  <c r="AF350" i="11"/>
  <c r="AF346" i="11"/>
  <c r="AF342" i="11"/>
  <c r="AA515" i="22"/>
  <c r="AD13" i="47"/>
  <c r="AD93" i="11"/>
  <c r="AD153" i="11"/>
  <c r="AD373" i="11"/>
  <c r="X267" i="11"/>
  <c r="X251" i="11"/>
  <c r="S58" i="47"/>
  <c r="S36" i="41"/>
  <c r="S33" i="41"/>
  <c r="S35" i="41"/>
  <c r="J8" i="58"/>
  <c r="J20" i="58"/>
  <c r="O95" i="12"/>
  <c r="O90" i="12"/>
  <c r="AC110" i="58"/>
  <c r="AC101" i="58"/>
  <c r="AA38" i="47"/>
  <c r="AA15" i="15"/>
  <c r="AJ267" i="11"/>
  <c r="AJ251" i="11"/>
  <c r="AF13" i="9"/>
  <c r="AF109" i="41"/>
  <c r="AF124" i="41"/>
  <c r="AF137" i="41"/>
  <c r="AF139" i="41"/>
  <c r="Y6" i="58"/>
  <c r="AE54" i="12"/>
  <c r="K60" i="13"/>
  <c r="K35" i="15"/>
  <c r="K21" i="18"/>
  <c r="K23" i="18"/>
  <c r="K57" i="18"/>
  <c r="K56" i="18"/>
  <c r="AJ175" i="22"/>
  <c r="P19" i="58"/>
  <c r="Y486" i="22"/>
  <c r="V100" i="12"/>
  <c r="V125" i="12"/>
  <c r="V142" i="12"/>
  <c r="V163" i="12"/>
  <c r="P11" i="58"/>
  <c r="P13" i="58"/>
  <c r="V116" i="11"/>
  <c r="V184" i="11"/>
  <c r="Q86" i="58"/>
  <c r="Q95" i="58"/>
  <c r="U20" i="58"/>
  <c r="U8" i="58"/>
  <c r="AH473" i="22"/>
  <c r="W486" i="22"/>
  <c r="T100" i="12"/>
  <c r="T125" i="12"/>
  <c r="T142" i="12"/>
  <c r="T163" i="12"/>
  <c r="N27" i="58"/>
  <c r="N31" i="58"/>
  <c r="L131" i="41"/>
  <c r="BA131" i="41"/>
  <c r="L86" i="16"/>
  <c r="L83" i="16"/>
  <c r="K84" i="16"/>
  <c r="AC35" i="16"/>
  <c r="Q25" i="3"/>
  <c r="Q24" i="3"/>
  <c r="AH38" i="47"/>
  <c r="AG358" i="11"/>
  <c r="AG359" i="11"/>
  <c r="AH361" i="11"/>
  <c r="AH15" i="15"/>
  <c r="W74" i="10"/>
  <c r="W82" i="47"/>
  <c r="S38" i="56"/>
  <c r="AL32" i="41"/>
  <c r="AL81" i="41"/>
  <c r="AL84" i="41"/>
  <c r="AS65" i="10"/>
  <c r="AS76" i="10"/>
  <c r="AS77" i="10"/>
  <c r="AS59" i="10"/>
  <c r="AS78" i="10"/>
  <c r="AS98" i="10"/>
  <c r="S473" i="22"/>
  <c r="AJ96" i="8"/>
  <c r="AJ113" i="8"/>
  <c r="AJ114" i="8"/>
  <c r="AJ120" i="8"/>
  <c r="O177" i="12"/>
  <c r="O179" i="12"/>
  <c r="N13" i="9"/>
  <c r="N109" i="41"/>
  <c r="N120" i="41"/>
  <c r="N185" i="22"/>
  <c r="J49" i="43"/>
  <c r="AC36" i="4"/>
  <c r="AC44" i="4"/>
  <c r="AC51" i="4"/>
  <c r="AC50" i="10"/>
  <c r="AC54" i="10"/>
  <c r="U270" i="11"/>
  <c r="U254" i="11"/>
  <c r="X213" i="11"/>
  <c r="X137" i="11"/>
  <c r="AC26" i="14"/>
  <c r="AC27" i="14"/>
  <c r="AC30" i="14"/>
  <c r="M47" i="14"/>
  <c r="M11" i="14"/>
  <c r="M50" i="14"/>
  <c r="U42" i="15"/>
  <c r="U39" i="15"/>
  <c r="U56" i="15"/>
  <c r="AA32" i="15"/>
  <c r="AA24" i="15"/>
  <c r="AA59" i="3"/>
  <c r="AA70" i="3"/>
  <c r="AA74" i="3"/>
  <c r="AA26" i="15"/>
  <c r="AA29" i="15"/>
  <c r="AA92" i="8"/>
  <c r="AA99" i="8"/>
  <c r="AA118" i="8"/>
  <c r="AA121" i="8"/>
  <c r="AL175" i="22"/>
  <c r="AA224" i="22"/>
  <c r="X213" i="12"/>
  <c r="M115" i="11"/>
  <c r="M183" i="11"/>
  <c r="H85" i="58"/>
  <c r="H94" i="58"/>
  <c r="AB111" i="11"/>
  <c r="AB179" i="11"/>
  <c r="W81" i="58"/>
  <c r="W90" i="58"/>
  <c r="AJ61" i="47"/>
  <c r="AJ398" i="11"/>
  <c r="AJ522" i="22"/>
  <c r="AJ511" i="22"/>
  <c r="S267" i="11"/>
  <c r="S251" i="11"/>
  <c r="W228" i="48"/>
  <c r="W111" i="48"/>
  <c r="AA56" i="12"/>
  <c r="S111" i="11"/>
  <c r="S179" i="11"/>
  <c r="N81" i="58"/>
  <c r="N90" i="58"/>
  <c r="V12" i="15"/>
  <c r="V32" i="16"/>
  <c r="V36" i="16"/>
  <c r="V54" i="13"/>
  <c r="V55" i="13"/>
  <c r="V56" i="13"/>
  <c r="Z255" i="11"/>
  <c r="N50" i="10"/>
  <c r="N52" i="10"/>
  <c r="Q53" i="10"/>
  <c r="AE469" i="22"/>
  <c r="AE480" i="22"/>
  <c r="AB66" i="12"/>
  <c r="AB136" i="12"/>
  <c r="AB195" i="12"/>
  <c r="AE176" i="12"/>
  <c r="AO57" i="8"/>
  <c r="AO58" i="8"/>
  <c r="AO73" i="8"/>
  <c r="AO75" i="8"/>
  <c r="AO34" i="3"/>
  <c r="Z20" i="58"/>
  <c r="Z8" i="58"/>
  <c r="AO517" i="22"/>
  <c r="AD252" i="12"/>
  <c r="AD242" i="12"/>
  <c r="L233" i="11"/>
  <c r="L235" i="11"/>
  <c r="L23" i="9"/>
  <c r="L114" i="41"/>
  <c r="L121" i="41"/>
  <c r="P116" i="11"/>
  <c r="P184" i="11"/>
  <c r="K86" i="58"/>
  <c r="K95" i="58"/>
  <c r="Q143" i="5"/>
  <c r="Q5" i="1"/>
  <c r="Q5" i="55"/>
  <c r="Q5" i="2"/>
  <c r="Q5" i="10"/>
  <c r="Q5" i="8"/>
  <c r="Q5" i="18"/>
  <c r="Q5" i="17"/>
  <c r="R5" i="12"/>
  <c r="Q5" i="3"/>
  <c r="Q5" i="16"/>
  <c r="Q5" i="14"/>
  <c r="Q5" i="13"/>
  <c r="Q5" i="11"/>
  <c r="Q5" i="4"/>
  <c r="Q5" i="15"/>
  <c r="Q5" i="43"/>
  <c r="Q5" i="9"/>
  <c r="AL132" i="41"/>
  <c r="AL106" i="41"/>
  <c r="AA26" i="43"/>
  <c r="AA25" i="43"/>
  <c r="V208" i="11"/>
  <c r="V132" i="11"/>
  <c r="AH132" i="12"/>
  <c r="AH137" i="12"/>
  <c r="AC61" i="47"/>
  <c r="AC398" i="11"/>
  <c r="V51" i="58"/>
  <c r="V41" i="58"/>
  <c r="U36" i="15"/>
  <c r="U54" i="15"/>
  <c r="AD25" i="9"/>
  <c r="AD116" i="41"/>
  <c r="Q27" i="4"/>
  <c r="Q46" i="4"/>
  <c r="Q47" i="4"/>
  <c r="Q97" i="10"/>
  <c r="Q100" i="10"/>
  <c r="Q104" i="10"/>
  <c r="Q23" i="14"/>
  <c r="Q112" i="58"/>
  <c r="Q103" i="58"/>
  <c r="Z109" i="58"/>
  <c r="Z100" i="58"/>
  <c r="Z107" i="58"/>
  <c r="Z358" i="11"/>
  <c r="Z359" i="11"/>
  <c r="AA361" i="11"/>
  <c r="AA17" i="14"/>
  <c r="AA86" i="47"/>
  <c r="P211" i="11"/>
  <c r="P135" i="11"/>
  <c r="Q250" i="11"/>
  <c r="Q266" i="11"/>
  <c r="Q271" i="11"/>
  <c r="Q278" i="11"/>
  <c r="Q280" i="11"/>
  <c r="R277" i="11"/>
  <c r="S386" i="11"/>
  <c r="D120" i="8"/>
  <c r="AG13" i="47"/>
  <c r="AG93" i="11"/>
  <c r="AG153" i="11"/>
  <c r="AG373" i="11"/>
  <c r="AC122" i="48"/>
  <c r="AC117" i="48"/>
  <c r="N188" i="11"/>
  <c r="N187" i="11"/>
  <c r="N110" i="11"/>
  <c r="N178" i="11"/>
  <c r="N185" i="11"/>
  <c r="X71" i="58"/>
  <c r="X62" i="58"/>
  <c r="AC168" i="11"/>
  <c r="AC104" i="11"/>
  <c r="V232" i="48"/>
  <c r="AC538" i="22"/>
  <c r="AC477" i="22"/>
  <c r="AC506" i="22"/>
  <c r="D47" i="4"/>
  <c r="AP84" i="41"/>
  <c r="AP82" i="41"/>
  <c r="O67" i="58"/>
  <c r="AP127" i="56"/>
  <c r="AP126" i="56"/>
  <c r="N74" i="8"/>
  <c r="N67" i="8"/>
  <c r="N66" i="8"/>
  <c r="AV84" i="10"/>
  <c r="AV79" i="10"/>
  <c r="AG267" i="11"/>
  <c r="AG251" i="11"/>
  <c r="O276" i="22"/>
  <c r="O267" i="22"/>
  <c r="AA232" i="48"/>
  <c r="AH538" i="22"/>
  <c r="AH477" i="22"/>
  <c r="AH506" i="22"/>
  <c r="N27" i="17"/>
  <c r="Y32" i="58"/>
  <c r="Y23" i="58"/>
  <c r="I36" i="41"/>
  <c r="E38" i="41"/>
  <c r="AG70" i="43"/>
  <c r="AG64" i="43"/>
  <c r="AG60" i="43"/>
  <c r="W128" i="12"/>
  <c r="AF45" i="13"/>
  <c r="AF39" i="13"/>
  <c r="V30" i="58"/>
  <c r="V26" i="58"/>
  <c r="W101" i="11"/>
  <c r="W165" i="11"/>
  <c r="W375" i="11"/>
  <c r="L77" i="47"/>
  <c r="L124" i="11"/>
  <c r="L195" i="11"/>
  <c r="L414" i="11"/>
  <c r="P95" i="12"/>
  <c r="P90" i="12"/>
  <c r="AF25" i="4"/>
  <c r="AF24" i="4"/>
  <c r="Q117" i="41"/>
  <c r="Q26" i="9"/>
  <c r="Y22" i="47"/>
  <c r="V84" i="48"/>
  <c r="Y18" i="47"/>
  <c r="AA48" i="14"/>
  <c r="AA51" i="14"/>
  <c r="M47" i="17"/>
  <c r="M32" i="9"/>
  <c r="AF67" i="12"/>
  <c r="O32" i="58"/>
  <c r="O23" i="58"/>
  <c r="AK69" i="43"/>
  <c r="AK54" i="43"/>
  <c r="AO187" i="22"/>
  <c r="AO189" i="22"/>
  <c r="AK50" i="43"/>
  <c r="T276" i="22"/>
  <c r="T267" i="22"/>
  <c r="P207" i="11"/>
  <c r="P131" i="11"/>
  <c r="U133" i="22"/>
  <c r="AD71" i="58"/>
  <c r="AD62" i="58"/>
  <c r="AI168" i="11"/>
  <c r="AI104" i="11"/>
  <c r="R13" i="47"/>
  <c r="R373" i="11"/>
  <c r="S46" i="13"/>
  <c r="AD119" i="12"/>
  <c r="AD118" i="12"/>
  <c r="AD108" i="12"/>
  <c r="K89" i="58"/>
  <c r="K80" i="58"/>
  <c r="Q50" i="58"/>
  <c r="Q40" i="58"/>
  <c r="V152" i="11"/>
  <c r="V92" i="11"/>
  <c r="N70" i="43"/>
  <c r="N64" i="43"/>
  <c r="N60" i="43"/>
  <c r="AC25" i="41"/>
  <c r="AC24" i="41"/>
  <c r="Z53" i="58"/>
  <c r="Z43" i="58"/>
  <c r="S92" i="58"/>
  <c r="S83" i="58"/>
  <c r="X181" i="11"/>
  <c r="X113" i="11"/>
  <c r="P210" i="11"/>
  <c r="P134" i="11"/>
  <c r="K48" i="14"/>
  <c r="K51" i="14"/>
  <c r="V89" i="58"/>
  <c r="AA110" i="11"/>
  <c r="AA178" i="11"/>
  <c r="V80" i="58"/>
  <c r="AB152" i="41"/>
  <c r="AB150" i="41"/>
  <c r="AE10" i="9"/>
  <c r="AE8" i="9"/>
  <c r="AA474" i="22"/>
  <c r="AA471" i="22"/>
  <c r="V116" i="41"/>
  <c r="V25" i="9"/>
  <c r="P138" i="58"/>
  <c r="P137" i="58"/>
  <c r="N10" i="9"/>
  <c r="N8" i="9"/>
  <c r="AI78" i="16"/>
  <c r="AJ77" i="16"/>
  <c r="D27" i="15"/>
  <c r="L27" i="15"/>
  <c r="AM177" i="12"/>
  <c r="J141" i="56"/>
  <c r="J140" i="56"/>
  <c r="N27" i="12"/>
  <c r="N108" i="12"/>
  <c r="N118" i="12"/>
  <c r="N119" i="12"/>
  <c r="S96" i="11"/>
  <c r="S156" i="11"/>
  <c r="N44" i="58"/>
  <c r="N54" i="58"/>
  <c r="J19" i="14"/>
  <c r="D19" i="14"/>
  <c r="AI176" i="12"/>
  <c r="D32" i="16"/>
  <c r="O476" i="22"/>
  <c r="O505" i="22"/>
  <c r="O511" i="22"/>
  <c r="O522" i="22"/>
  <c r="H101" i="47"/>
  <c r="O54" i="47"/>
  <c r="X228" i="48"/>
  <c r="AB56" i="12"/>
  <c r="X111" i="48"/>
  <c r="AP515" i="22"/>
  <c r="Y122" i="48"/>
  <c r="Y117" i="48"/>
  <c r="Q91" i="58"/>
  <c r="Q82" i="58"/>
  <c r="V180" i="11"/>
  <c r="V112" i="11"/>
  <c r="AH34" i="47"/>
  <c r="AH35" i="47"/>
  <c r="T100" i="11"/>
  <c r="T164" i="11"/>
  <c r="O58" i="58"/>
  <c r="O65" i="58"/>
  <c r="O66" i="58"/>
  <c r="H113" i="58"/>
  <c r="H104" i="58"/>
  <c r="AI95" i="11"/>
  <c r="AI155" i="11"/>
  <c r="AI385" i="11"/>
  <c r="AJ542" i="22"/>
  <c r="I23" i="13"/>
  <c r="I25" i="13"/>
  <c r="AC69" i="58"/>
  <c r="AC60" i="58"/>
  <c r="AH166" i="11"/>
  <c r="AH102" i="11"/>
  <c r="AJ156" i="41"/>
  <c r="AJ158" i="41"/>
  <c r="AJ162" i="41"/>
  <c r="AI384" i="11"/>
  <c r="AI388" i="11"/>
  <c r="AI24" i="47"/>
  <c r="AI25" i="47"/>
  <c r="AG542" i="22"/>
  <c r="K90" i="58"/>
  <c r="K81" i="58"/>
  <c r="P179" i="11"/>
  <c r="P111" i="11"/>
  <c r="AC145" i="12"/>
  <c r="AG30" i="12"/>
  <c r="AF161" i="5"/>
  <c r="AB95" i="58"/>
  <c r="AB86" i="58"/>
  <c r="AG184" i="11"/>
  <c r="AG116" i="11"/>
  <c r="AJ57" i="12"/>
  <c r="AJ52" i="12"/>
  <c r="Z63" i="16"/>
  <c r="Z51" i="16"/>
  <c r="U133" i="41"/>
  <c r="U131" i="41"/>
  <c r="AC171" i="11"/>
  <c r="AC173" i="11"/>
  <c r="AC174" i="11"/>
  <c r="AC25" i="47"/>
  <c r="AC24" i="47"/>
  <c r="AC388" i="11"/>
  <c r="AC384" i="11"/>
  <c r="T25" i="41"/>
  <c r="T24" i="41"/>
  <c r="AF62" i="12"/>
  <c r="AF90" i="12"/>
  <c r="AF95" i="12"/>
  <c r="Y120" i="8"/>
  <c r="Y114" i="8"/>
  <c r="Y113" i="8"/>
  <c r="Z133" i="22"/>
  <c r="N91" i="12"/>
  <c r="Q161" i="5"/>
  <c r="R30" i="12"/>
  <c r="AJ69" i="43"/>
  <c r="AJ54" i="43"/>
  <c r="AN187" i="22"/>
  <c r="AN189" i="22"/>
  <c r="AJ50" i="43"/>
  <c r="D39" i="16"/>
  <c r="D40" i="16"/>
  <c r="D41" i="16"/>
  <c r="M28" i="19"/>
  <c r="AB66" i="8"/>
  <c r="AB67" i="8"/>
  <c r="AB74" i="8"/>
  <c r="AL59" i="10"/>
  <c r="AL78" i="10"/>
  <c r="AL98" i="10"/>
  <c r="AF515" i="22"/>
  <c r="Z124" i="41"/>
  <c r="Z137" i="41"/>
  <c r="Z139" i="41"/>
  <c r="Z208" i="12"/>
  <c r="U25" i="8"/>
  <c r="U24" i="8"/>
  <c r="Z103" i="11"/>
  <c r="Z167" i="11"/>
  <c r="U61" i="58"/>
  <c r="U70" i="58"/>
  <c r="P54" i="15"/>
  <c r="V34" i="47"/>
  <c r="V35" i="47"/>
  <c r="L174" i="11"/>
  <c r="L173" i="11"/>
  <c r="L171" i="11"/>
  <c r="M73" i="47"/>
  <c r="M412" i="11"/>
  <c r="M408" i="11"/>
  <c r="AC68" i="58"/>
  <c r="AC59" i="58"/>
  <c r="AC207" i="11"/>
  <c r="AC131" i="11"/>
  <c r="AH92" i="12"/>
  <c r="Y120" i="41"/>
  <c r="AE77" i="47"/>
  <c r="AE414" i="11"/>
  <c r="V514" i="22"/>
  <c r="AK209" i="11"/>
  <c r="AK133" i="11"/>
  <c r="AK86" i="16"/>
  <c r="AK83" i="16"/>
  <c r="AA128" i="12"/>
  <c r="O5" i="11"/>
  <c r="O5" i="3"/>
  <c r="O5" i="14"/>
  <c r="O5" i="1"/>
  <c r="O5" i="43"/>
  <c r="P5" i="12"/>
  <c r="O5" i="55"/>
  <c r="O5" i="4"/>
  <c r="O5" i="16"/>
  <c r="O5" i="15"/>
  <c r="O5" i="13"/>
  <c r="O5" i="17"/>
  <c r="O143" i="5"/>
  <c r="O5" i="18"/>
  <c r="O5" i="9"/>
  <c r="O5" i="8"/>
  <c r="O5" i="2"/>
  <c r="O5" i="10"/>
  <c r="X127" i="56"/>
  <c r="X126" i="56"/>
  <c r="AD91" i="58"/>
  <c r="AD82" i="58"/>
  <c r="AI180" i="11"/>
  <c r="AI112" i="11"/>
  <c r="T212" i="11"/>
  <c r="T136" i="11"/>
  <c r="AI349" i="11"/>
  <c r="AI352" i="11"/>
  <c r="AI39" i="13"/>
  <c r="AI45" i="13"/>
  <c r="AF65" i="10"/>
  <c r="AF76" i="10"/>
  <c r="Z74" i="8"/>
  <c r="Z67" i="8"/>
  <c r="Z66" i="8"/>
  <c r="AF61" i="47"/>
  <c r="AF398" i="11"/>
  <c r="AE387" i="11"/>
  <c r="AS127" i="56"/>
  <c r="AS126" i="56"/>
  <c r="AG481" i="22"/>
  <c r="AC56" i="18"/>
  <c r="AC57" i="18"/>
  <c r="AC23" i="18"/>
  <c r="AC21" i="18"/>
  <c r="W268" i="11"/>
  <c r="W252" i="11"/>
  <c r="AL25" i="47"/>
  <c r="AL24" i="47"/>
  <c r="AL388" i="11"/>
  <c r="AL384" i="11"/>
  <c r="Z250" i="11"/>
  <c r="Z266" i="11"/>
  <c r="Z271" i="11"/>
  <c r="Z278" i="11"/>
  <c r="Z10" i="14"/>
  <c r="L120" i="41"/>
  <c r="S54" i="10"/>
  <c r="V8" i="58"/>
  <c r="V20" i="58"/>
  <c r="AL26" i="43"/>
  <c r="AL25" i="43"/>
  <c r="Y66" i="58"/>
  <c r="Y65" i="58"/>
  <c r="U90" i="47"/>
  <c r="U89" i="47"/>
  <c r="U85" i="47"/>
  <c r="AU67" i="10"/>
  <c r="AV63" i="10"/>
  <c r="AV65" i="10"/>
  <c r="AV76" i="10"/>
  <c r="AV77" i="10"/>
  <c r="AV59" i="10"/>
  <c r="AV78" i="10"/>
  <c r="AV98" i="10"/>
  <c r="AJ505" i="22"/>
  <c r="AJ537" i="22"/>
  <c r="AC231" i="48"/>
  <c r="AC234" i="48"/>
  <c r="N156" i="41"/>
  <c r="N158" i="41"/>
  <c r="N162" i="41"/>
  <c r="AD515" i="22"/>
  <c r="AI481" i="22"/>
  <c r="M137" i="56"/>
  <c r="M136" i="56"/>
  <c r="AG537" i="22"/>
  <c r="Z231" i="48"/>
  <c r="Z234" i="48"/>
  <c r="AK224" i="22"/>
  <c r="AH213" i="12"/>
  <c r="AL49" i="14"/>
  <c r="AL52" i="14"/>
  <c r="K32" i="15"/>
  <c r="K58" i="8"/>
  <c r="K73" i="8"/>
  <c r="K22" i="15"/>
  <c r="K24" i="15"/>
  <c r="K59" i="3"/>
  <c r="K70" i="3"/>
  <c r="K74" i="3"/>
  <c r="K26" i="15"/>
  <c r="K29" i="15"/>
  <c r="K92" i="8"/>
  <c r="K99" i="8"/>
  <c r="K118" i="8"/>
  <c r="K121" i="8"/>
  <c r="S260" i="12"/>
  <c r="AW43" i="8"/>
  <c r="O91" i="58"/>
  <c r="O82" i="58"/>
  <c r="T180" i="11"/>
  <c r="T112" i="11"/>
  <c r="AE32" i="9"/>
  <c r="AE47" i="17"/>
  <c r="Y40" i="13"/>
  <c r="AB54" i="47"/>
  <c r="AF203" i="22"/>
  <c r="AF272" i="22"/>
  <c r="AG98" i="10"/>
  <c r="AG78" i="10"/>
  <c r="AG59" i="10"/>
  <c r="X66" i="47"/>
  <c r="X70" i="47"/>
  <c r="Y26" i="43"/>
  <c r="Y25" i="43"/>
  <c r="AD58" i="47"/>
  <c r="J51" i="14"/>
  <c r="J48" i="14"/>
  <c r="AA52" i="4"/>
  <c r="AA13" i="14"/>
  <c r="AA14" i="14"/>
  <c r="Z166" i="41"/>
  <c r="Z168" i="41"/>
  <c r="Z175" i="41"/>
  <c r="S4" i="58"/>
  <c r="AB143" i="22"/>
  <c r="W385" i="11"/>
  <c r="Y93" i="58"/>
  <c r="Y84" i="58"/>
  <c r="AD182" i="11"/>
  <c r="AD114" i="11"/>
  <c r="I95" i="58"/>
  <c r="I86" i="58"/>
  <c r="N184" i="11"/>
  <c r="N116" i="11"/>
  <c r="Q477" i="22"/>
  <c r="N63" i="12"/>
  <c r="N133" i="12"/>
  <c r="N193" i="12"/>
  <c r="Q46" i="13"/>
  <c r="AE72" i="58"/>
  <c r="AE63" i="58"/>
  <c r="AJ169" i="11"/>
  <c r="AJ105" i="11"/>
  <c r="F138" i="58"/>
  <c r="F137" i="58"/>
  <c r="AB514" i="22"/>
  <c r="AL165" i="12"/>
  <c r="AJ132" i="12"/>
  <c r="AJ137" i="12"/>
  <c r="AA379" i="11"/>
  <c r="AA382" i="11"/>
  <c r="AA14" i="47"/>
  <c r="AI60" i="13"/>
  <c r="AI35" i="15"/>
  <c r="AI21" i="18"/>
  <c r="AI23" i="18"/>
  <c r="AI57" i="18"/>
  <c r="AI56" i="18"/>
  <c r="R105" i="11"/>
  <c r="R169" i="11"/>
  <c r="M63" i="58"/>
  <c r="M72" i="58"/>
  <c r="AC202" i="22"/>
  <c r="AC204" i="22"/>
  <c r="Z229" i="12"/>
  <c r="Z233" i="12"/>
  <c r="AK408" i="11"/>
  <c r="AK412" i="11"/>
  <c r="AK73" i="47"/>
  <c r="Y19" i="58"/>
  <c r="Y11" i="58"/>
  <c r="Y13" i="58"/>
  <c r="AJ67" i="12"/>
  <c r="P56" i="15"/>
  <c r="P60" i="13"/>
  <c r="P35" i="15"/>
  <c r="P36" i="15"/>
  <c r="P39" i="15"/>
  <c r="P42" i="15"/>
  <c r="R224" i="22"/>
  <c r="O213" i="12"/>
  <c r="U139" i="41"/>
  <c r="U137" i="41"/>
  <c r="U124" i="41"/>
  <c r="P191" i="22"/>
  <c r="P195" i="22"/>
  <c r="L101" i="43"/>
  <c r="S469" i="22"/>
  <c r="S480" i="22"/>
  <c r="P66" i="12"/>
  <c r="P94" i="12"/>
  <c r="AH64" i="12"/>
  <c r="AH134" i="12"/>
  <c r="AH194" i="12"/>
  <c r="K52" i="4"/>
  <c r="K13" i="14"/>
  <c r="K14" i="14"/>
  <c r="J166" i="41"/>
  <c r="J168" i="41"/>
  <c r="J175" i="41"/>
  <c r="Z177" i="12"/>
  <c r="Z179" i="12"/>
  <c r="Y13" i="9"/>
  <c r="Y109" i="41"/>
  <c r="Y131" i="41"/>
  <c r="Y133" i="41"/>
  <c r="I23" i="14"/>
  <c r="D23" i="14"/>
  <c r="AF514" i="22"/>
  <c r="Q488" i="22"/>
  <c r="N102" i="12"/>
  <c r="N127" i="12"/>
  <c r="N144" i="12"/>
  <c r="N165" i="12"/>
  <c r="AI25" i="41"/>
  <c r="AI24" i="41"/>
  <c r="AK58" i="47"/>
  <c r="AF54" i="12"/>
  <c r="Z6" i="58"/>
  <c r="P94" i="58"/>
  <c r="P85" i="58"/>
  <c r="U183" i="11"/>
  <c r="U115" i="11"/>
  <c r="AB116" i="41"/>
  <c r="AB25" i="9"/>
  <c r="O5" i="47"/>
  <c r="O51" i="47"/>
  <c r="AO86" i="16"/>
  <c r="AO84" i="16"/>
  <c r="T188" i="11"/>
  <c r="T187" i="11"/>
  <c r="T185" i="11"/>
  <c r="AG25" i="12"/>
  <c r="AG24" i="12"/>
  <c r="AE106" i="11"/>
  <c r="AE170" i="11"/>
  <c r="Z64" i="58"/>
  <c r="Z73" i="58"/>
  <c r="T67" i="12"/>
  <c r="AA384" i="11"/>
  <c r="AA388" i="11"/>
  <c r="AA24" i="47"/>
  <c r="AA25" i="47"/>
  <c r="S36" i="4"/>
  <c r="S44" i="4"/>
  <c r="S51" i="4"/>
  <c r="S50" i="10"/>
  <c r="S52" i="10"/>
  <c r="V53" i="10"/>
  <c r="AH101" i="11"/>
  <c r="AH165" i="11"/>
  <c r="AH375" i="11"/>
  <c r="N25" i="3"/>
  <c r="N24" i="3"/>
  <c r="AD47" i="13"/>
  <c r="AD44" i="13"/>
  <c r="AL115" i="11"/>
  <c r="AL183" i="11"/>
  <c r="AG85" i="58"/>
  <c r="AG94" i="58"/>
  <c r="S508" i="22"/>
  <c r="AF54" i="47"/>
  <c r="AJ272" i="22"/>
  <c r="AJ203" i="22"/>
  <c r="S330" i="11"/>
  <c r="D330" i="11"/>
  <c r="R330" i="11"/>
  <c r="Q24" i="15"/>
  <c r="Q59" i="3"/>
  <c r="Q70" i="3"/>
  <c r="Q74" i="3"/>
  <c r="Q26" i="15"/>
  <c r="Q29" i="15"/>
  <c r="Q92" i="8"/>
  <c r="AA137" i="56"/>
  <c r="AA136" i="56"/>
  <c r="AA26" i="9"/>
  <c r="AA117" i="41"/>
  <c r="Y52" i="58"/>
  <c r="Y42" i="58"/>
  <c r="O217" i="11"/>
  <c r="O216" i="11"/>
  <c r="AJ36" i="16"/>
  <c r="AJ54" i="16"/>
  <c r="AC39" i="13"/>
  <c r="AC45" i="13"/>
  <c r="M55" i="9"/>
  <c r="L166" i="11"/>
  <c r="D166" i="11"/>
  <c r="AJ478" i="22"/>
  <c r="AJ507" i="22"/>
  <c r="AJ539" i="22"/>
  <c r="Q11" i="18"/>
  <c r="Q34" i="43"/>
  <c r="R200" i="12"/>
  <c r="R218" i="12"/>
  <c r="R223" i="12"/>
  <c r="R243" i="12"/>
  <c r="R247" i="12"/>
  <c r="R248" i="12"/>
  <c r="R261" i="12"/>
  <c r="R263" i="12"/>
  <c r="R262" i="12"/>
  <c r="Q8" i="15"/>
  <c r="Q11" i="55"/>
  <c r="R92" i="58"/>
  <c r="R83" i="58"/>
  <c r="W181" i="11"/>
  <c r="W113" i="11"/>
  <c r="T115" i="11"/>
  <c r="T183" i="11"/>
  <c r="O85" i="58"/>
  <c r="O94" i="58"/>
  <c r="X13" i="47"/>
  <c r="X373" i="11"/>
  <c r="AF267" i="22"/>
  <c r="AF276" i="22"/>
  <c r="AF35" i="16"/>
  <c r="AB488" i="22"/>
  <c r="Y102" i="12"/>
  <c r="Y127" i="12"/>
  <c r="Y144" i="12"/>
  <c r="X57" i="47"/>
  <c r="X65" i="47"/>
  <c r="X75" i="47"/>
  <c r="X76" i="47"/>
  <c r="K25" i="16"/>
  <c r="K23" i="16"/>
  <c r="O122" i="48"/>
  <c r="O117" i="48"/>
  <c r="AJ34" i="47"/>
  <c r="AJ35" i="47"/>
  <c r="AC208" i="12"/>
  <c r="Y61" i="47"/>
  <c r="Y398" i="11"/>
  <c r="S10" i="47"/>
  <c r="S7" i="47"/>
  <c r="J25" i="4"/>
  <c r="J23" i="4"/>
  <c r="U107" i="48"/>
  <c r="U110" i="48"/>
  <c r="W95" i="11"/>
  <c r="W155" i="11"/>
  <c r="R43" i="58"/>
  <c r="R53" i="58"/>
  <c r="AI42" i="47"/>
  <c r="AI41" i="47"/>
  <c r="AI37" i="47"/>
  <c r="U515" i="22"/>
  <c r="M91" i="58"/>
  <c r="M82" i="58"/>
  <c r="R180" i="11"/>
  <c r="R112" i="11"/>
  <c r="Z481" i="22"/>
  <c r="N130" i="11"/>
  <c r="N206" i="11"/>
  <c r="N214" i="11"/>
  <c r="N403" i="11"/>
  <c r="N405" i="11"/>
  <c r="N62" i="47"/>
  <c r="AL68" i="47"/>
  <c r="AP165" i="22"/>
  <c r="AL92" i="43"/>
  <c r="AL96" i="43"/>
  <c r="AL112" i="43"/>
  <c r="AL114" i="43"/>
  <c r="AL60" i="47"/>
  <c r="AL63" i="47"/>
  <c r="AI97" i="48"/>
  <c r="X25" i="9"/>
  <c r="X116" i="41"/>
  <c r="AI542" i="22"/>
  <c r="AE27" i="15"/>
  <c r="AE351" i="11"/>
  <c r="AI114" i="11"/>
  <c r="AI182" i="11"/>
  <c r="AD84" i="58"/>
  <c r="AD93" i="58"/>
  <c r="T79" i="10"/>
  <c r="P268" i="11"/>
  <c r="P252" i="11"/>
  <c r="D180" i="41"/>
  <c r="D178" i="41"/>
  <c r="H178" i="41"/>
  <c r="N56" i="18"/>
  <c r="N57" i="18"/>
  <c r="N23" i="18"/>
  <c r="N60" i="13"/>
  <c r="N35" i="15"/>
  <c r="N21" i="18"/>
  <c r="S13" i="58"/>
  <c r="S11" i="58"/>
  <c r="S19" i="58"/>
  <c r="AB84" i="10"/>
  <c r="W33" i="16"/>
  <c r="W34" i="3"/>
  <c r="AJ62" i="12"/>
  <c r="AJ90" i="12"/>
  <c r="AJ95" i="12"/>
  <c r="V102" i="55"/>
  <c r="V41" i="55"/>
  <c r="L164" i="11"/>
  <c r="D164" i="11"/>
  <c r="AO5" i="55"/>
  <c r="AO5" i="43"/>
  <c r="AO5" i="18"/>
  <c r="AO5" i="3"/>
  <c r="AO5" i="11"/>
  <c r="AO5" i="16"/>
  <c r="AO5" i="13"/>
  <c r="AO5" i="17"/>
  <c r="AO5" i="10"/>
  <c r="AO5" i="8"/>
  <c r="X113" i="12"/>
  <c r="X112" i="12"/>
  <c r="X106" i="12"/>
  <c r="AK517" i="22"/>
  <c r="AI208" i="11"/>
  <c r="AI132" i="11"/>
  <c r="S29" i="12"/>
  <c r="R160" i="5"/>
  <c r="U120" i="8"/>
  <c r="U114" i="8"/>
  <c r="U113" i="8"/>
  <c r="Y400" i="11"/>
  <c r="AD474" i="22"/>
  <c r="AD471" i="22"/>
  <c r="J54" i="58"/>
  <c r="J44" i="58"/>
  <c r="Y94" i="58"/>
  <c r="Y85" i="58"/>
  <c r="AD183" i="11"/>
  <c r="AD115" i="11"/>
  <c r="AK156" i="41"/>
  <c r="AK158" i="41"/>
  <c r="AK162" i="41"/>
  <c r="AM213" i="12"/>
  <c r="Q158" i="11"/>
  <c r="Q160" i="11"/>
  <c r="Q161" i="11"/>
  <c r="AD194" i="12"/>
  <c r="AD134" i="12"/>
  <c r="AB13" i="17"/>
  <c r="AB42" i="9"/>
  <c r="AB41" i="9"/>
  <c r="AH267" i="11"/>
  <c r="AH251" i="11"/>
  <c r="Z43" i="8"/>
  <c r="AI151" i="11"/>
  <c r="AI158" i="11"/>
  <c r="AI160" i="11"/>
  <c r="AI161" i="11"/>
  <c r="D183" i="11"/>
  <c r="Y386" i="11"/>
  <c r="Q28" i="12"/>
  <c r="P159" i="5"/>
  <c r="T62" i="12"/>
  <c r="T90" i="12"/>
  <c r="T95" i="12"/>
  <c r="R110" i="11"/>
  <c r="R178" i="11"/>
  <c r="M80" i="58"/>
  <c r="M89" i="58"/>
  <c r="Z123" i="11"/>
  <c r="Z194" i="11"/>
  <c r="Z398" i="11"/>
  <c r="Z61" i="47"/>
  <c r="L13" i="9"/>
  <c r="L109" i="41"/>
  <c r="L124" i="41"/>
  <c r="L137" i="41"/>
  <c r="L139" i="41"/>
  <c r="AK141" i="56"/>
  <c r="AK140" i="56"/>
  <c r="X112" i="11"/>
  <c r="X180" i="11"/>
  <c r="S82" i="58"/>
  <c r="S91" i="58"/>
  <c r="J111" i="58"/>
  <c r="J102" i="58"/>
  <c r="X46" i="13"/>
  <c r="AK277" i="11"/>
  <c r="AC46" i="17"/>
  <c r="AG207" i="11"/>
  <c r="AG131" i="11"/>
  <c r="S140" i="22"/>
  <c r="S468" i="22"/>
  <c r="S479" i="22"/>
  <c r="P65" i="12"/>
  <c r="P135" i="12"/>
  <c r="AA23" i="58"/>
  <c r="AA32" i="58"/>
  <c r="Y77" i="47"/>
  <c r="Y414" i="11"/>
  <c r="K5" i="18"/>
  <c r="K5" i="11"/>
  <c r="K5" i="10"/>
  <c r="K5" i="43"/>
  <c r="K5" i="55"/>
  <c r="K5" i="1"/>
  <c r="L5" i="12"/>
  <c r="K5" i="15"/>
  <c r="K5" i="13"/>
  <c r="K5" i="8"/>
  <c r="K5" i="3"/>
  <c r="K5" i="16"/>
  <c r="K5" i="9"/>
  <c r="K5" i="17"/>
  <c r="K5" i="14"/>
  <c r="K5" i="2"/>
  <c r="Q25" i="16"/>
  <c r="Q24" i="16"/>
  <c r="AE268" i="11"/>
  <c r="AE252" i="11"/>
  <c r="AJ32" i="16"/>
  <c r="AJ83" i="16"/>
  <c r="AJ86" i="16"/>
  <c r="M44" i="9"/>
  <c r="M18" i="9"/>
  <c r="M20" i="9"/>
  <c r="M37" i="9"/>
  <c r="M12" i="17"/>
  <c r="R62" i="12"/>
  <c r="R132" i="12"/>
  <c r="R137" i="12"/>
  <c r="AC92" i="12"/>
  <c r="AV53" i="8"/>
  <c r="AW49" i="8"/>
  <c r="AW66" i="8"/>
  <c r="AW67" i="8"/>
  <c r="AW74" i="8"/>
  <c r="Q40" i="13"/>
  <c r="O210" i="11"/>
  <c r="O134" i="11"/>
  <c r="AF51" i="16"/>
  <c r="AJ484" i="22"/>
  <c r="AG98" i="12"/>
  <c r="AG123" i="12"/>
  <c r="AG140" i="12"/>
  <c r="AG161" i="12"/>
  <c r="AG166" i="12"/>
  <c r="AG169" i="12"/>
  <c r="AG170" i="12"/>
  <c r="AG177" i="12"/>
  <c r="AG179" i="12"/>
  <c r="AG178" i="12"/>
  <c r="AF7" i="15"/>
  <c r="AF12" i="15"/>
  <c r="AF31" i="16"/>
  <c r="AF48" i="16"/>
  <c r="AE49" i="16"/>
  <c r="AF60" i="10"/>
  <c r="AG57" i="10"/>
  <c r="AG79" i="10"/>
  <c r="AH51" i="58"/>
  <c r="F41" i="58"/>
  <c r="F51" i="58"/>
  <c r="AI51" i="58"/>
  <c r="AA26" i="14"/>
  <c r="AA27" i="14"/>
  <c r="AA30" i="14"/>
  <c r="AH127" i="56"/>
  <c r="AH126" i="56"/>
  <c r="T232" i="48"/>
  <c r="AA538" i="22"/>
  <c r="AA506" i="22"/>
  <c r="P140" i="22"/>
  <c r="P468" i="22"/>
  <c r="P479" i="22"/>
  <c r="P508" i="22"/>
  <c r="AF202" i="22"/>
  <c r="AF204" i="22"/>
  <c r="AC229" i="12"/>
  <c r="AC233" i="12"/>
  <c r="J47" i="4"/>
  <c r="J52" i="4"/>
  <c r="J13" i="14"/>
  <c r="J14" i="14"/>
  <c r="I166" i="41"/>
  <c r="I168" i="41"/>
  <c r="I175" i="41"/>
  <c r="AF27" i="15"/>
  <c r="AF351" i="11"/>
  <c r="D38" i="47"/>
  <c r="J38" i="47"/>
  <c r="L185" i="12"/>
  <c r="L186" i="12"/>
  <c r="M188" i="12"/>
  <c r="L16" i="14"/>
  <c r="L20" i="14"/>
  <c r="L73" i="10"/>
  <c r="L75" i="10"/>
  <c r="L77" i="10"/>
  <c r="L84" i="10"/>
  <c r="L85" i="10"/>
  <c r="L89" i="10"/>
  <c r="L22" i="14"/>
  <c r="L24" i="14"/>
  <c r="L38" i="13"/>
  <c r="L41" i="13"/>
  <c r="L59" i="13"/>
  <c r="L26" i="14"/>
  <c r="L27" i="14"/>
  <c r="L30" i="14"/>
  <c r="AF23" i="14"/>
  <c r="AF104" i="10"/>
  <c r="AF100" i="10"/>
  <c r="AF27" i="4"/>
  <c r="AF46" i="4"/>
  <c r="AF47" i="4"/>
  <c r="AF97" i="10"/>
  <c r="O90" i="8"/>
  <c r="O89" i="8"/>
  <c r="R478" i="22"/>
  <c r="R507" i="22"/>
  <c r="R539" i="22"/>
  <c r="AA175" i="22"/>
  <c r="Z522" i="22"/>
  <c r="Z511" i="22"/>
  <c r="X72" i="58"/>
  <c r="X63" i="58"/>
  <c r="AC169" i="11"/>
  <c r="AC105" i="11"/>
  <c r="Q55" i="41"/>
  <c r="R32" i="41"/>
  <c r="R54" i="41"/>
  <c r="R57" i="41"/>
  <c r="AE25" i="41"/>
  <c r="AE24" i="41"/>
  <c r="P128" i="12"/>
  <c r="W35" i="41"/>
  <c r="W45" i="8"/>
  <c r="W52" i="8"/>
  <c r="W72" i="8"/>
  <c r="W75" i="8"/>
  <c r="W33" i="41"/>
  <c r="W36" i="41"/>
  <c r="R120" i="41"/>
  <c r="AG110" i="11"/>
  <c r="AG178" i="11"/>
  <c r="AB80" i="58"/>
  <c r="AB89" i="58"/>
  <c r="U13" i="9"/>
  <c r="U109" i="41"/>
  <c r="U120" i="41"/>
  <c r="AI5" i="8"/>
  <c r="AI5" i="14"/>
  <c r="AJ5" i="12"/>
  <c r="AI5" i="2"/>
  <c r="AI5" i="11"/>
  <c r="AI5" i="13"/>
  <c r="AI5" i="4"/>
  <c r="AI5" i="15"/>
  <c r="AI5" i="18"/>
  <c r="AI5" i="9"/>
  <c r="AI5" i="1"/>
  <c r="AI5" i="17"/>
  <c r="AI5" i="10"/>
  <c r="AI5" i="3"/>
  <c r="AI5" i="55"/>
  <c r="AI5" i="43"/>
  <c r="AI5" i="16"/>
  <c r="AA194" i="12"/>
  <c r="AA134" i="12"/>
  <c r="AN57" i="8"/>
  <c r="AN58" i="8"/>
  <c r="AN73" i="8"/>
  <c r="AN75" i="8"/>
  <c r="AN34" i="3"/>
  <c r="Z77" i="47"/>
  <c r="Z414" i="11"/>
  <c r="AF84" i="10"/>
  <c r="AO5" i="5"/>
  <c r="AO5" i="41"/>
  <c r="AO102" i="41"/>
  <c r="U277" i="22"/>
  <c r="U274" i="22"/>
  <c r="U265" i="22"/>
  <c r="V485" i="22"/>
  <c r="S99" i="12"/>
  <c r="S124" i="12"/>
  <c r="S141" i="12"/>
  <c r="S162" i="12"/>
  <c r="AI174" i="11"/>
  <c r="AI173" i="11"/>
  <c r="AI171" i="11"/>
  <c r="Z50" i="43"/>
  <c r="Z54" i="43"/>
  <c r="Z69" i="43"/>
  <c r="Y122" i="11"/>
  <c r="Y193" i="11"/>
  <c r="T101" i="58"/>
  <c r="T110" i="58"/>
  <c r="AJ384" i="11"/>
  <c r="AJ388" i="11"/>
  <c r="AJ24" i="47"/>
  <c r="AJ25" i="47"/>
  <c r="AI102" i="11"/>
  <c r="AI166" i="11"/>
  <c r="AD60" i="58"/>
  <c r="AD69" i="58"/>
  <c r="AC49" i="58"/>
  <c r="D61" i="17"/>
  <c r="D42" i="3"/>
  <c r="I42" i="3"/>
  <c r="I40" i="3"/>
  <c r="I37" i="3"/>
  <c r="AH213" i="11"/>
  <c r="AH137" i="11"/>
  <c r="O143" i="22"/>
  <c r="F4" i="58"/>
  <c r="AJ114" i="11"/>
  <c r="AJ182" i="11"/>
  <c r="AE84" i="58"/>
  <c r="AE93" i="58"/>
  <c r="AC12" i="17"/>
  <c r="AC20" i="9"/>
  <c r="AC37" i="9"/>
  <c r="AC44" i="9"/>
  <c r="AL54" i="12"/>
  <c r="AF6" i="58"/>
  <c r="D115" i="11"/>
  <c r="Y96" i="11"/>
  <c r="Y156" i="11"/>
  <c r="T44" i="58"/>
  <c r="T54" i="58"/>
  <c r="K30" i="14"/>
  <c r="AK91" i="11"/>
  <c r="AK151" i="11"/>
  <c r="AF39" i="58"/>
  <c r="AF49" i="58"/>
  <c r="AJ208" i="12"/>
  <c r="AD232" i="48"/>
  <c r="AK538" i="22"/>
  <c r="AK477" i="22"/>
  <c r="AK506" i="22"/>
  <c r="S116" i="41"/>
  <c r="S25" i="9"/>
  <c r="U93" i="11"/>
  <c r="U153" i="11"/>
  <c r="U373" i="11"/>
  <c r="U13" i="47"/>
  <c r="V58" i="58"/>
  <c r="V67" i="58"/>
  <c r="AL403" i="11"/>
  <c r="AL405" i="11"/>
  <c r="AL62" i="47"/>
  <c r="AE105" i="11"/>
  <c r="AE169" i="11"/>
  <c r="Z63" i="58"/>
  <c r="Z72" i="58"/>
  <c r="AJ13" i="18"/>
  <c r="AJ250" i="11"/>
  <c r="AJ266" i="11"/>
  <c r="AJ271" i="11"/>
  <c r="AJ278" i="11"/>
  <c r="AJ280" i="11"/>
  <c r="AJ279" i="11"/>
  <c r="AJ10" i="15"/>
  <c r="AJ13" i="55"/>
  <c r="AC31" i="9"/>
  <c r="AC150" i="41"/>
  <c r="AC152" i="41"/>
  <c r="AC20" i="14"/>
  <c r="AC73" i="10"/>
  <c r="AC75" i="10"/>
  <c r="AC77" i="10"/>
  <c r="AC80" i="10"/>
  <c r="AC83" i="10"/>
  <c r="AC85" i="10"/>
  <c r="AC89" i="10"/>
  <c r="AC22" i="14"/>
  <c r="AC24" i="14"/>
  <c r="AC38" i="13"/>
  <c r="AC41" i="13"/>
  <c r="AC59" i="13"/>
  <c r="AC60" i="13"/>
  <c r="AC35" i="15"/>
  <c r="AC21" i="55"/>
  <c r="AC23" i="55"/>
  <c r="AC57" i="55"/>
  <c r="AC56" i="55"/>
  <c r="Z94" i="58"/>
  <c r="Z85" i="58"/>
  <c r="AE183" i="11"/>
  <c r="AE115" i="11"/>
  <c r="AK27" i="17"/>
  <c r="U161" i="11"/>
  <c r="U160" i="11"/>
  <c r="U158" i="11"/>
  <c r="AE142" i="11"/>
  <c r="AH88" i="47"/>
  <c r="AH19" i="14"/>
  <c r="U100" i="11"/>
  <c r="U164" i="11"/>
  <c r="U171" i="11"/>
  <c r="U173" i="11"/>
  <c r="U174" i="11"/>
  <c r="M125" i="11"/>
  <c r="M196" i="11"/>
  <c r="M409" i="11"/>
  <c r="K5" i="47"/>
  <c r="K51" i="47"/>
  <c r="S33" i="16"/>
  <c r="S14" i="15"/>
  <c r="S20" i="15"/>
  <c r="S45" i="8"/>
  <c r="S52" i="8"/>
  <c r="S72" i="8"/>
  <c r="S75" i="8"/>
  <c r="S34" i="3"/>
  <c r="P37" i="47"/>
  <c r="P41" i="47"/>
  <c r="P42" i="47"/>
  <c r="AA25" i="13"/>
  <c r="AA24" i="13"/>
  <c r="X62" i="47"/>
  <c r="X405" i="11"/>
  <c r="X403" i="11"/>
  <c r="N47" i="17"/>
  <c r="N32" i="9"/>
  <c r="K111" i="58"/>
  <c r="K102" i="58"/>
  <c r="AC64" i="12"/>
  <c r="AC134" i="12"/>
  <c r="AC194" i="12"/>
  <c r="V8" i="9"/>
  <c r="V10" i="9"/>
  <c r="P316" i="11"/>
  <c r="P296" i="11"/>
  <c r="AA19" i="58"/>
  <c r="AJ139" i="22"/>
  <c r="AJ467" i="22"/>
  <c r="AJ486" i="22"/>
  <c r="AG100" i="12"/>
  <c r="AG125" i="12"/>
  <c r="AG142" i="12"/>
  <c r="AG163" i="12"/>
  <c r="AA11" i="58"/>
  <c r="AA13" i="58"/>
  <c r="V73" i="47"/>
  <c r="V412" i="11"/>
  <c r="V408" i="11"/>
  <c r="AC80" i="18"/>
  <c r="P80" i="18"/>
  <c r="AX80" i="18"/>
  <c r="O80" i="18"/>
  <c r="AR80" i="18"/>
  <c r="AL80" i="18"/>
  <c r="Z80" i="18"/>
  <c r="V80" i="18"/>
  <c r="AI80" i="18"/>
  <c r="L80" i="18"/>
  <c r="AG80" i="18"/>
  <c r="AQ80" i="18"/>
  <c r="W80" i="18"/>
  <c r="AM80" i="18"/>
  <c r="AH80" i="18"/>
  <c r="Y80" i="18"/>
  <c r="J80" i="18"/>
  <c r="Q80" i="18"/>
  <c r="AS80" i="18"/>
  <c r="AO80" i="18"/>
  <c r="AJ80" i="18"/>
  <c r="X80" i="18"/>
  <c r="AP80" i="18"/>
  <c r="AK80" i="18"/>
  <c r="AA80" i="18"/>
  <c r="AE80" i="18"/>
  <c r="D41" i="18"/>
  <c r="AU80" i="18"/>
  <c r="AF80" i="18"/>
  <c r="AD80" i="18"/>
  <c r="E45" i="18"/>
  <c r="U80" i="18"/>
  <c r="AW80" i="18"/>
  <c r="T80" i="18"/>
  <c r="S80" i="18"/>
  <c r="AN80" i="18"/>
  <c r="AV80" i="18"/>
  <c r="M80" i="18"/>
  <c r="R80" i="18"/>
  <c r="D45" i="18"/>
  <c r="K80" i="18"/>
  <c r="AB80" i="18"/>
  <c r="AT80" i="18"/>
  <c r="N80" i="18"/>
  <c r="AB30" i="14"/>
  <c r="AB27" i="14"/>
  <c r="AB26" i="14"/>
  <c r="S212" i="11"/>
  <c r="S136" i="11"/>
  <c r="I55" i="15"/>
  <c r="T67" i="58"/>
  <c r="AD342" i="11"/>
  <c r="AF285" i="11"/>
  <c r="D342" i="11"/>
  <c r="AE342" i="11"/>
  <c r="AK52" i="15"/>
  <c r="V177" i="12"/>
  <c r="V179" i="12"/>
  <c r="V178" i="12"/>
  <c r="U7" i="15"/>
  <c r="U12" i="15"/>
  <c r="U32" i="16"/>
  <c r="U36" i="16"/>
  <c r="U54" i="13"/>
  <c r="U55" i="13"/>
  <c r="U56" i="13"/>
  <c r="AK67" i="12"/>
  <c r="AB485" i="22"/>
  <c r="Y99" i="12"/>
  <c r="Y124" i="12"/>
  <c r="Y141" i="12"/>
  <c r="Y162" i="12"/>
  <c r="W25" i="12"/>
  <c r="W24" i="12"/>
  <c r="T59" i="10"/>
  <c r="T78" i="10"/>
  <c r="T98" i="10"/>
  <c r="AA542" i="22"/>
  <c r="AI51" i="16"/>
  <c r="AI48" i="16"/>
  <c r="J81" i="18"/>
  <c r="AV81" i="18"/>
  <c r="AG81" i="18"/>
  <c r="M81" i="18"/>
  <c r="AD81" i="18"/>
  <c r="X81" i="18"/>
  <c r="AE81" i="18"/>
  <c r="AW81" i="18"/>
  <c r="AX81" i="18"/>
  <c r="Q81" i="18"/>
  <c r="Z81" i="18"/>
  <c r="AU81" i="18"/>
  <c r="V81" i="18"/>
  <c r="AF81" i="18"/>
  <c r="E46" i="18"/>
  <c r="AM81" i="18"/>
  <c r="AN81" i="18"/>
  <c r="AJ81" i="18"/>
  <c r="AP81" i="18"/>
  <c r="N81" i="18"/>
  <c r="AH81" i="18"/>
  <c r="R81" i="18"/>
  <c r="AO81" i="18"/>
  <c r="L81" i="18"/>
  <c r="AR81" i="18"/>
  <c r="AI81" i="18"/>
  <c r="O81" i="18"/>
  <c r="S81" i="18"/>
  <c r="D42" i="18"/>
  <c r="AB81" i="18"/>
  <c r="D46" i="18"/>
  <c r="AL81" i="18"/>
  <c r="AS81" i="18"/>
  <c r="AQ81" i="18"/>
  <c r="AC81" i="18"/>
  <c r="U81" i="18"/>
  <c r="W81" i="18"/>
  <c r="AK81" i="18"/>
  <c r="AA81" i="18"/>
  <c r="AT81" i="18"/>
  <c r="K81" i="18"/>
  <c r="Y81" i="18"/>
  <c r="P81" i="18"/>
  <c r="T81" i="18"/>
  <c r="AI5" i="47"/>
  <c r="AI51" i="47"/>
  <c r="E39" i="16"/>
  <c r="E40" i="16"/>
  <c r="E41" i="16"/>
  <c r="V50" i="58"/>
  <c r="V40" i="58"/>
  <c r="AA152" i="11"/>
  <c r="AA92" i="11"/>
  <c r="M55" i="15"/>
  <c r="Q67" i="12"/>
  <c r="U90" i="8"/>
  <c r="U74" i="8"/>
  <c r="U67" i="8"/>
  <c r="U66" i="8"/>
  <c r="AG35" i="41"/>
  <c r="AG33" i="41"/>
  <c r="AG36" i="41"/>
  <c r="AB175" i="41"/>
  <c r="AB168" i="41"/>
  <c r="AB166" i="41"/>
  <c r="AC39" i="58"/>
  <c r="AC46" i="58"/>
  <c r="AC47" i="58"/>
  <c r="AS86" i="16"/>
  <c r="AS84" i="16"/>
  <c r="AP224" i="22"/>
  <c r="AL60" i="43"/>
  <c r="AL64" i="43"/>
  <c r="AL70" i="43"/>
  <c r="D28" i="18"/>
  <c r="AH117" i="41"/>
  <c r="AH26" i="9"/>
  <c r="AJ181" i="22"/>
  <c r="AJ172" i="22"/>
  <c r="L52" i="12"/>
  <c r="L57" i="12"/>
  <c r="P232" i="48"/>
  <c r="W538" i="22"/>
  <c r="W138" i="22"/>
  <c r="W466" i="22"/>
  <c r="W477" i="22"/>
  <c r="W506" i="22"/>
  <c r="W92" i="58"/>
  <c r="W83" i="58"/>
  <c r="AB181" i="11"/>
  <c r="AB113" i="11"/>
  <c r="O5" i="12"/>
  <c r="N5" i="17"/>
  <c r="N5" i="3"/>
  <c r="N5" i="15"/>
  <c r="N5" i="14"/>
  <c r="N5" i="8"/>
  <c r="N5" i="9"/>
  <c r="N5" i="18"/>
  <c r="N5" i="11"/>
  <c r="N5" i="4"/>
  <c r="N5" i="16"/>
  <c r="N5" i="55"/>
  <c r="N5" i="43"/>
  <c r="N5" i="2"/>
  <c r="N5" i="13"/>
  <c r="N5" i="10"/>
  <c r="N5" i="1"/>
  <c r="N143" i="5"/>
  <c r="T207" i="11"/>
  <c r="T131" i="11"/>
  <c r="AC91" i="16"/>
  <c r="AC88" i="16"/>
  <c r="M12" i="56"/>
  <c r="Q57" i="8"/>
  <c r="Q58" i="8"/>
  <c r="Q73" i="8"/>
  <c r="Q22" i="15"/>
  <c r="M8" i="56"/>
  <c r="M10" i="56"/>
  <c r="N103" i="48"/>
  <c r="AH57" i="8"/>
  <c r="AH58" i="8"/>
  <c r="AH73" i="8"/>
  <c r="AH22" i="15"/>
  <c r="AH24" i="15"/>
  <c r="AH37" i="3"/>
  <c r="AH40" i="3"/>
  <c r="AH42" i="3"/>
  <c r="Y269" i="11"/>
  <c r="Y253" i="11"/>
  <c r="Y102" i="48"/>
  <c r="AD28" i="17"/>
  <c r="AI94" i="58"/>
  <c r="L115" i="11"/>
  <c r="L183" i="11"/>
  <c r="G85" i="58"/>
  <c r="G94" i="58"/>
  <c r="AH94" i="58"/>
  <c r="K73" i="10"/>
  <c r="K75" i="10"/>
  <c r="K77" i="10"/>
  <c r="K84" i="10"/>
  <c r="K85" i="10"/>
  <c r="K89" i="10"/>
  <c r="K22" i="14"/>
  <c r="K24" i="14"/>
  <c r="K38" i="13"/>
  <c r="K41" i="13"/>
  <c r="K59" i="13"/>
  <c r="K26" i="14"/>
  <c r="K27" i="14"/>
  <c r="O17" i="19"/>
  <c r="G25" i="2"/>
  <c r="Z489" i="22"/>
  <c r="AD203" i="12"/>
  <c r="AD222" i="12"/>
  <c r="AD225" i="12"/>
  <c r="AM202" i="22"/>
  <c r="AM204" i="22"/>
  <c r="AJ229" i="12"/>
  <c r="AJ233" i="12"/>
  <c r="AM137" i="12"/>
  <c r="Z48" i="16"/>
  <c r="Y49" i="16"/>
  <c r="I25" i="41"/>
  <c r="I127" i="56"/>
  <c r="I126" i="56"/>
  <c r="AF386" i="11"/>
  <c r="W52" i="58"/>
  <c r="W42" i="58"/>
  <c r="U97" i="48"/>
  <c r="AB165" i="22"/>
  <c r="X92" i="43"/>
  <c r="X96" i="43"/>
  <c r="X112" i="43"/>
  <c r="X114" i="43"/>
  <c r="X60" i="47"/>
  <c r="X63" i="47"/>
  <c r="X68" i="47"/>
  <c r="X233" i="11"/>
  <c r="X235" i="11"/>
  <c r="X23" i="9"/>
  <c r="X27" i="9"/>
  <c r="X147" i="41"/>
  <c r="S118" i="48"/>
  <c r="Z513" i="22"/>
  <c r="Z518" i="22"/>
  <c r="AM188" i="22"/>
  <c r="AM270" i="22"/>
  <c r="N42" i="8"/>
  <c r="N41" i="8"/>
  <c r="P161" i="11"/>
  <c r="P160" i="11"/>
  <c r="P158" i="11"/>
  <c r="AH40" i="47"/>
  <c r="AK211" i="11"/>
  <c r="AK135" i="11"/>
  <c r="AF58" i="9"/>
  <c r="AF30" i="9"/>
  <c r="AF33" i="9"/>
  <c r="AF35" i="9"/>
  <c r="L25" i="4"/>
  <c r="L24" i="4"/>
  <c r="D24" i="4"/>
  <c r="P517" i="22"/>
  <c r="U111" i="11"/>
  <c r="U179" i="11"/>
  <c r="P81" i="58"/>
  <c r="P90" i="58"/>
  <c r="AH122" i="11"/>
  <c r="AH193" i="11"/>
  <c r="AH400" i="11"/>
  <c r="V269" i="11"/>
  <c r="V253" i="11"/>
  <c r="AB158" i="11"/>
  <c r="AB160" i="11"/>
  <c r="AB161" i="11"/>
  <c r="AE6" i="58"/>
  <c r="AK54" i="12"/>
  <c r="AK207" i="11"/>
  <c r="AK131" i="11"/>
  <c r="I10" i="18"/>
  <c r="I16" i="18"/>
  <c r="I42" i="18"/>
  <c r="I41" i="18"/>
  <c r="F6" i="54"/>
  <c r="E6" i="54"/>
  <c r="AR29" i="17"/>
  <c r="AR66" i="10"/>
  <c r="P92" i="8"/>
  <c r="P29" i="15"/>
  <c r="P26" i="15"/>
  <c r="P24" i="15"/>
  <c r="P59" i="3"/>
  <c r="P70" i="3"/>
  <c r="P74" i="3"/>
  <c r="I44" i="13"/>
  <c r="I47" i="13"/>
  <c r="R132" i="41"/>
  <c r="R121" i="41"/>
  <c r="AH67" i="12"/>
  <c r="U32" i="9"/>
  <c r="U47" i="17"/>
  <c r="AK36" i="16"/>
  <c r="AK12" i="15"/>
  <c r="AK32" i="16"/>
  <c r="AK54" i="16"/>
  <c r="AE175" i="22"/>
  <c r="O113" i="8"/>
  <c r="O114" i="8"/>
  <c r="O120" i="8"/>
  <c r="AH232" i="48"/>
  <c r="AO538" i="22"/>
  <c r="AO506" i="22"/>
  <c r="S142" i="11"/>
  <c r="I107" i="58"/>
  <c r="N121" i="11"/>
  <c r="N192" i="11"/>
  <c r="I100" i="58"/>
  <c r="I109" i="58"/>
  <c r="I35" i="16"/>
  <c r="D38" i="16"/>
  <c r="AB115" i="11"/>
  <c r="AB183" i="11"/>
  <c r="W85" i="58"/>
  <c r="W94" i="58"/>
  <c r="W6" i="58"/>
  <c r="AC54" i="12"/>
  <c r="W135" i="12"/>
  <c r="W65" i="12"/>
  <c r="AL91" i="12"/>
  <c r="R57" i="8"/>
  <c r="R58" i="8"/>
  <c r="R73" i="8"/>
  <c r="R22" i="15"/>
  <c r="R24" i="15"/>
  <c r="R37" i="3"/>
  <c r="R40" i="3"/>
  <c r="R42" i="3"/>
  <c r="AA537" i="22"/>
  <c r="T231" i="48"/>
  <c r="T234" i="48"/>
  <c r="R408" i="11"/>
  <c r="R412" i="11"/>
  <c r="R73" i="47"/>
  <c r="Y133" i="22"/>
  <c r="AO515" i="22"/>
  <c r="AI228" i="48"/>
  <c r="AI111" i="48"/>
  <c r="AM56" i="12"/>
  <c r="R13" i="9"/>
  <c r="R109" i="41"/>
  <c r="R124" i="41"/>
  <c r="R137" i="41"/>
  <c r="R139" i="41"/>
  <c r="N296" i="11"/>
  <c r="D296" i="11"/>
  <c r="O296" i="11"/>
  <c r="Y123" i="11"/>
  <c r="Y194" i="11"/>
  <c r="T102" i="58"/>
  <c r="T111" i="58"/>
  <c r="AB122" i="11"/>
  <c r="AB193" i="11"/>
  <c r="AB400" i="11"/>
  <c r="W24" i="58"/>
  <c r="W3" i="58"/>
  <c r="AV5" i="18"/>
  <c r="AV5" i="8"/>
  <c r="AV5" i="16"/>
  <c r="AV5" i="10"/>
  <c r="AV5" i="55"/>
  <c r="AV5" i="43"/>
  <c r="AV5" i="13"/>
  <c r="AV5" i="17"/>
  <c r="AV5" i="11"/>
  <c r="AV5" i="3"/>
  <c r="U37" i="47"/>
  <c r="U41" i="47"/>
  <c r="U42" i="47"/>
  <c r="M104" i="8"/>
  <c r="M105" i="8"/>
  <c r="M119" i="8"/>
  <c r="M31" i="15"/>
  <c r="M33" i="15"/>
  <c r="M44" i="13"/>
  <c r="M47" i="13"/>
  <c r="AF37" i="3"/>
  <c r="AF40" i="3"/>
  <c r="AF42" i="3"/>
  <c r="Q62" i="12"/>
  <c r="Q90" i="12"/>
  <c r="Q95" i="12"/>
  <c r="N25" i="16"/>
  <c r="N24" i="16"/>
  <c r="AL57" i="12"/>
  <c r="AL52" i="12"/>
  <c r="K25" i="9"/>
  <c r="K116" i="41"/>
  <c r="R121" i="11"/>
  <c r="R192" i="11"/>
  <c r="R199" i="11"/>
  <c r="R201" i="11"/>
  <c r="R202" i="11"/>
  <c r="R221" i="11"/>
  <c r="R224" i="11"/>
  <c r="R225" i="11"/>
  <c r="R233" i="11"/>
  <c r="R235" i="11"/>
  <c r="R23" i="9"/>
  <c r="R114" i="41"/>
  <c r="R125" i="41"/>
  <c r="R138" i="41"/>
  <c r="AA25" i="41"/>
  <c r="AA24" i="41"/>
  <c r="AH62" i="12"/>
  <c r="AH90" i="12"/>
  <c r="AH95" i="12"/>
  <c r="AB73" i="47"/>
  <c r="AB412" i="11"/>
  <c r="AB408" i="11"/>
  <c r="AL117" i="41"/>
  <c r="AL26" i="9"/>
  <c r="AL61" i="13"/>
  <c r="AD77" i="47"/>
  <c r="AD414" i="11"/>
  <c r="J125" i="58"/>
  <c r="D110" i="11"/>
  <c r="W113" i="12"/>
  <c r="W112" i="12"/>
  <c r="W27" i="12"/>
  <c r="W106" i="12"/>
  <c r="V68" i="47"/>
  <c r="Z147" i="22"/>
  <c r="Z165" i="22"/>
  <c r="V92" i="43"/>
  <c r="V96" i="43"/>
  <c r="V112" i="43"/>
  <c r="V114" i="43"/>
  <c r="V60" i="47"/>
  <c r="V63" i="47"/>
  <c r="S97" i="48"/>
  <c r="N5" i="47"/>
  <c r="N51" i="47"/>
  <c r="L58" i="47"/>
  <c r="AC13" i="9"/>
  <c r="AC18" i="9"/>
  <c r="AC55" i="9"/>
  <c r="AH13" i="9"/>
  <c r="AH18" i="9"/>
  <c r="AH55" i="9"/>
  <c r="AB53" i="15"/>
  <c r="AE408" i="11"/>
  <c r="AE412" i="11"/>
  <c r="AE73" i="47"/>
  <c r="AB228" i="48"/>
  <c r="AB111" i="48"/>
  <c r="AF56" i="12"/>
  <c r="AM481" i="22"/>
  <c r="AM62" i="12"/>
  <c r="AM132" i="12"/>
  <c r="AM192" i="12"/>
  <c r="AM196" i="12"/>
  <c r="W46" i="13"/>
  <c r="AG213" i="11"/>
  <c r="AG137" i="11"/>
  <c r="AH25" i="41"/>
  <c r="AH24" i="41"/>
  <c r="AA178" i="12"/>
  <c r="Z7" i="15"/>
  <c r="Z12" i="15"/>
  <c r="Z31" i="16"/>
  <c r="Z35" i="16"/>
  <c r="AF269" i="11"/>
  <c r="AF253" i="11"/>
  <c r="I23" i="41"/>
  <c r="D23" i="41"/>
  <c r="D25" i="41"/>
  <c r="AF96" i="11"/>
  <c r="AF156" i="11"/>
  <c r="AA44" i="58"/>
  <c r="AA54" i="58"/>
  <c r="T127" i="56"/>
  <c r="T126" i="56"/>
  <c r="M183" i="22"/>
  <c r="M187" i="22"/>
  <c r="M189" i="22"/>
  <c r="I50" i="43"/>
  <c r="I54" i="43"/>
  <c r="I69" i="43"/>
  <c r="I71" i="43"/>
  <c r="I121" i="43"/>
  <c r="I12" i="47"/>
  <c r="D12" i="47"/>
  <c r="D30" i="47"/>
  <c r="L100" i="11"/>
  <c r="D100" i="11"/>
  <c r="Y146" i="41"/>
  <c r="Y9" i="9"/>
  <c r="Y54" i="9"/>
  <c r="AD3" i="58"/>
  <c r="AD24" i="58"/>
  <c r="M116" i="11"/>
  <c r="M184" i="11"/>
  <c r="H86" i="58"/>
  <c r="H95" i="58"/>
  <c r="AB213" i="11"/>
  <c r="AB137" i="11"/>
  <c r="AJ16" i="14"/>
  <c r="AJ20" i="14"/>
  <c r="AJ27" i="17"/>
  <c r="Y58" i="58"/>
  <c r="Y67" i="58"/>
  <c r="AI537" i="22"/>
  <c r="AB231" i="48"/>
  <c r="AB234" i="48"/>
  <c r="AP481" i="22"/>
  <c r="AA481" i="22"/>
  <c r="V10" i="58"/>
  <c r="AA105" i="41"/>
  <c r="AA7" i="14"/>
  <c r="AA46" i="14"/>
  <c r="N104" i="11"/>
  <c r="N168" i="11"/>
  <c r="I62" i="58"/>
  <c r="I71" i="58"/>
  <c r="S53" i="12"/>
  <c r="M5" i="58"/>
  <c r="O227" i="48"/>
  <c r="O108" i="48"/>
  <c r="W25" i="13"/>
  <c r="W24" i="13"/>
  <c r="AM276" i="22"/>
  <c r="AM267" i="22"/>
  <c r="Y100" i="11"/>
  <c r="Y164" i="11"/>
  <c r="T58" i="58"/>
  <c r="T65" i="58"/>
  <c r="T66" i="58"/>
  <c r="R28" i="12"/>
  <c r="Q159" i="5"/>
  <c r="AQ141" i="56"/>
  <c r="AQ140" i="56"/>
  <c r="AA41" i="9"/>
  <c r="AA42" i="9"/>
  <c r="AA13" i="17"/>
  <c r="P62" i="12"/>
  <c r="P67" i="12"/>
  <c r="AJ185" i="12"/>
  <c r="AJ186" i="12"/>
  <c r="AK188" i="12"/>
  <c r="AJ37" i="47"/>
  <c r="AJ41" i="47"/>
  <c r="AJ42" i="47"/>
  <c r="Y27" i="47"/>
  <c r="Y42" i="43"/>
  <c r="Y44" i="43"/>
  <c r="Y68" i="43"/>
  <c r="Y71" i="43"/>
  <c r="Y121" i="43"/>
  <c r="Y12" i="47"/>
  <c r="Y15" i="47"/>
  <c r="Y17" i="47"/>
  <c r="Y26" i="47"/>
  <c r="V85" i="48"/>
  <c r="AM473" i="22"/>
  <c r="AG33" i="16"/>
  <c r="AG14" i="15"/>
  <c r="AG20" i="15"/>
  <c r="AG45" i="8"/>
  <c r="AG52" i="8"/>
  <c r="AG72" i="8"/>
  <c r="AG75" i="8"/>
  <c r="AG34" i="3"/>
  <c r="L207" i="11"/>
  <c r="L131" i="11"/>
  <c r="O96" i="11"/>
  <c r="O156" i="11"/>
  <c r="O386" i="11"/>
  <c r="Z37" i="47"/>
  <c r="Z41" i="47"/>
  <c r="Z42" i="47"/>
  <c r="AK138" i="22"/>
  <c r="AK466" i="22"/>
  <c r="AK485" i="22"/>
  <c r="AK514" i="22"/>
  <c r="K92" i="11"/>
  <c r="D92" i="11"/>
  <c r="D142" i="11"/>
  <c r="U469" i="22"/>
  <c r="U480" i="22"/>
  <c r="U509" i="22"/>
  <c r="U541" i="22"/>
  <c r="N233" i="48"/>
  <c r="I52" i="58"/>
  <c r="I42" i="58"/>
  <c r="AG47" i="14"/>
  <c r="AG11" i="14"/>
  <c r="AG50" i="14"/>
  <c r="AB43" i="8"/>
  <c r="AO138" i="22"/>
  <c r="AO466" i="22"/>
  <c r="AO477" i="22"/>
  <c r="AL63" i="12"/>
  <c r="AL133" i="12"/>
  <c r="AL193" i="12"/>
  <c r="AL79" i="10"/>
  <c r="AL84" i="10"/>
  <c r="AA177" i="12"/>
  <c r="AA179" i="12"/>
  <c r="Z13" i="9"/>
  <c r="Z109" i="41"/>
  <c r="Z120" i="41"/>
  <c r="Q70" i="12"/>
  <c r="Q76" i="12"/>
  <c r="Q77" i="12"/>
  <c r="AW84" i="41"/>
  <c r="AW82" i="41"/>
  <c r="U161" i="5"/>
  <c r="V30" i="12"/>
  <c r="AG8" i="58"/>
  <c r="AG20" i="58"/>
  <c r="AH43" i="8"/>
  <c r="AJ133" i="22"/>
  <c r="AE95" i="11"/>
  <c r="AE155" i="11"/>
  <c r="AE385" i="11"/>
  <c r="AK486" i="22"/>
  <c r="AH100" i="12"/>
  <c r="AH125" i="12"/>
  <c r="AH142" i="12"/>
  <c r="AH163" i="12"/>
  <c r="AB27" i="58"/>
  <c r="AB31" i="58"/>
  <c r="R139" i="22"/>
  <c r="R467" i="22"/>
  <c r="R486" i="22"/>
  <c r="O100" i="12"/>
  <c r="O125" i="12"/>
  <c r="O142" i="12"/>
  <c r="O163" i="12"/>
  <c r="I27" i="58"/>
  <c r="I31" i="58"/>
  <c r="I34" i="58"/>
  <c r="AV5" i="5"/>
  <c r="AV5" i="41"/>
  <c r="AV102" i="41"/>
  <c r="AF480" i="22"/>
  <c r="AF509" i="22"/>
  <c r="AF541" i="22"/>
  <c r="Y233" i="48"/>
  <c r="AB31" i="9"/>
  <c r="AB46" i="17"/>
  <c r="Z265" i="22"/>
  <c r="Z274" i="22"/>
  <c r="Z277" i="22"/>
  <c r="AF138" i="22"/>
  <c r="AF466" i="22"/>
  <c r="AF485" i="22"/>
  <c r="AC99" i="12"/>
  <c r="AC124" i="12"/>
  <c r="AC141" i="12"/>
  <c r="AC162" i="12"/>
  <c r="AA470" i="22"/>
  <c r="AC48" i="14"/>
  <c r="AC13" i="14"/>
  <c r="AC14" i="14"/>
  <c r="AC51" i="14"/>
  <c r="U141" i="41"/>
  <c r="U199" i="11"/>
  <c r="U201" i="11"/>
  <c r="U202" i="11"/>
  <c r="U221" i="11"/>
  <c r="U224" i="11"/>
  <c r="U225" i="11"/>
  <c r="U9" i="14"/>
  <c r="U106" i="41"/>
  <c r="L212" i="11"/>
  <c r="L136" i="11"/>
  <c r="P229" i="48"/>
  <c r="P226" i="48"/>
  <c r="P200" i="12"/>
  <c r="P218" i="12"/>
  <c r="P223" i="12"/>
  <c r="P243" i="12"/>
  <c r="P247" i="12"/>
  <c r="P248" i="12"/>
  <c r="O8" i="14"/>
  <c r="J140" i="58"/>
  <c r="J141" i="58"/>
  <c r="AJ48" i="16"/>
  <c r="AJ31" i="16"/>
  <c r="AJ35" i="16"/>
  <c r="X142" i="11"/>
  <c r="O32" i="15"/>
  <c r="O88" i="8"/>
  <c r="O93" i="8"/>
  <c r="O99" i="8"/>
  <c r="O118" i="8"/>
  <c r="O121" i="8"/>
  <c r="AJ481" i="22"/>
  <c r="K106" i="41"/>
  <c r="K141" i="41"/>
  <c r="K9" i="14"/>
  <c r="D9" i="14"/>
  <c r="AD265" i="22"/>
  <c r="AD274" i="22"/>
  <c r="AD277" i="22"/>
  <c r="Z468" i="22"/>
  <c r="Z479" i="22"/>
  <c r="Z508" i="22"/>
  <c r="AG161" i="11"/>
  <c r="AG160" i="11"/>
  <c r="AG158" i="11"/>
  <c r="R47" i="58"/>
  <c r="R46" i="58"/>
  <c r="AL25" i="12"/>
  <c r="AL24" i="12"/>
  <c r="AC251" i="12"/>
  <c r="AC241" i="12"/>
  <c r="R117" i="41"/>
  <c r="R26" i="9"/>
  <c r="Y58" i="10"/>
  <c r="Y55" i="10"/>
  <c r="Y51" i="10"/>
  <c r="AP517" i="22"/>
  <c r="W178" i="12"/>
  <c r="V7" i="15"/>
  <c r="V10" i="55"/>
  <c r="V16" i="55"/>
  <c r="V42" i="55"/>
  <c r="V103" i="55"/>
  <c r="D42" i="8"/>
  <c r="L42" i="8"/>
  <c r="Q113" i="12"/>
  <c r="Q112" i="12"/>
  <c r="Q106" i="12"/>
  <c r="AA165" i="12"/>
  <c r="K113" i="43"/>
  <c r="G54" i="58"/>
  <c r="G44" i="58"/>
  <c r="AF79" i="10"/>
  <c r="U175" i="41"/>
  <c r="U168" i="41"/>
  <c r="U166" i="41"/>
  <c r="AG26" i="43"/>
  <c r="AG25" i="43"/>
  <c r="AM128" i="12"/>
  <c r="AG58" i="3"/>
  <c r="X77" i="47"/>
  <c r="X414" i="11"/>
  <c r="AF25" i="16"/>
  <c r="AF24" i="16"/>
  <c r="AJ142" i="11"/>
  <c r="X89" i="58"/>
  <c r="X80" i="58"/>
  <c r="L116" i="11"/>
  <c r="D116" i="11"/>
  <c r="W277" i="22"/>
  <c r="W274" i="22"/>
  <c r="W265" i="22"/>
  <c r="O61" i="47"/>
  <c r="O123" i="11"/>
  <c r="O194" i="11"/>
  <c r="O398" i="11"/>
  <c r="AK102" i="55"/>
  <c r="AK41" i="55"/>
  <c r="Q30" i="14"/>
  <c r="Q27" i="14"/>
  <c r="Q26" i="14"/>
  <c r="X209" i="11"/>
  <c r="X133" i="11"/>
  <c r="P10" i="9"/>
  <c r="P8" i="9"/>
  <c r="U145" i="12"/>
  <c r="S29" i="17"/>
  <c r="S66" i="10"/>
  <c r="D59" i="13"/>
  <c r="AM186" i="12"/>
  <c r="AL41" i="15"/>
  <c r="AL43" i="15"/>
  <c r="AM185" i="12"/>
  <c r="AD46" i="17"/>
  <c r="AI46" i="13"/>
  <c r="T14" i="9"/>
  <c r="T107" i="10"/>
  <c r="AJ42" i="3"/>
  <c r="AJ40" i="3"/>
  <c r="AJ37" i="3"/>
  <c r="AB35" i="47"/>
  <c r="AB34" i="47"/>
  <c r="Y25" i="4"/>
  <c r="Y24" i="4"/>
  <c r="AI133" i="22"/>
  <c r="S277" i="22"/>
  <c r="S274" i="22"/>
  <c r="S265" i="22"/>
  <c r="AG40" i="13"/>
  <c r="V43" i="8"/>
  <c r="Q142" i="11"/>
  <c r="P350" i="11"/>
  <c r="P346" i="11"/>
  <c r="P326" i="11"/>
  <c r="R90" i="58"/>
  <c r="R81" i="58"/>
  <c r="W179" i="11"/>
  <c r="W111" i="11"/>
  <c r="Y542" i="22"/>
  <c r="AD213" i="12"/>
  <c r="AT29" i="17"/>
  <c r="AT66" i="10"/>
  <c r="Q40" i="47"/>
  <c r="Z211" i="22"/>
  <c r="AC409" i="11"/>
  <c r="AH481" i="22"/>
  <c r="H68" i="58"/>
  <c r="H59" i="58"/>
  <c r="P327" i="11"/>
  <c r="O327" i="11"/>
  <c r="I32" i="58"/>
  <c r="I23" i="58"/>
  <c r="AI42" i="3"/>
  <c r="AI40" i="3"/>
  <c r="AI37" i="3"/>
  <c r="M29" i="47"/>
  <c r="M391" i="11"/>
  <c r="AF55" i="15"/>
  <c r="AA119" i="12"/>
  <c r="AA118" i="12"/>
  <c r="AA27" i="12"/>
  <c r="AA108" i="12"/>
  <c r="Q238" i="12"/>
  <c r="Q237" i="12"/>
  <c r="T226" i="22"/>
  <c r="O48" i="14"/>
  <c r="O51" i="14"/>
  <c r="AB474" i="22"/>
  <c r="AB471" i="22"/>
  <c r="N58" i="3"/>
  <c r="AE20" i="58"/>
  <c r="AE8" i="58"/>
  <c r="AE106" i="41"/>
  <c r="AE141" i="41"/>
  <c r="E111" i="58"/>
  <c r="G10" i="58"/>
  <c r="AF277" i="22"/>
  <c r="AF274" i="22"/>
  <c r="AF265" i="22"/>
  <c r="Y67" i="12"/>
  <c r="AL276" i="22"/>
  <c r="AL267" i="22"/>
  <c r="R51" i="58"/>
  <c r="W93" i="11"/>
  <c r="W153" i="11"/>
  <c r="R41" i="58"/>
  <c r="AL176" i="12"/>
  <c r="L31" i="58"/>
  <c r="U486" i="22"/>
  <c r="R100" i="12"/>
  <c r="R125" i="12"/>
  <c r="R142" i="12"/>
  <c r="R163" i="12"/>
  <c r="L27" i="58"/>
  <c r="O42" i="47"/>
  <c r="O41" i="47"/>
  <c r="O37" i="47"/>
  <c r="X13" i="56"/>
  <c r="AM29" i="17"/>
  <c r="AM66" i="10"/>
  <c r="AC31" i="16"/>
  <c r="AC77" i="16"/>
  <c r="AB78" i="16"/>
  <c r="AW86" i="16"/>
  <c r="AW84" i="16"/>
  <c r="AJ104" i="11"/>
  <c r="AJ168" i="11"/>
  <c r="AE62" i="58"/>
  <c r="AE71" i="58"/>
  <c r="I54" i="58"/>
  <c r="I44" i="58"/>
  <c r="Q73" i="47"/>
  <c r="Q412" i="11"/>
  <c r="Q408" i="11"/>
  <c r="X268" i="11"/>
  <c r="X252" i="11"/>
  <c r="O191" i="22"/>
  <c r="O202" i="22"/>
  <c r="O204" i="22"/>
  <c r="K102" i="43"/>
  <c r="K106" i="43"/>
  <c r="K122" i="43"/>
  <c r="F129" i="58"/>
  <c r="O70" i="58"/>
  <c r="O61" i="58"/>
  <c r="T167" i="11"/>
  <c r="T103" i="11"/>
  <c r="AG166" i="41"/>
  <c r="AG168" i="41"/>
  <c r="AG175" i="41"/>
  <c r="I116" i="41"/>
  <c r="I25" i="9"/>
  <c r="AD66" i="47"/>
  <c r="AD70" i="47"/>
  <c r="AE127" i="56"/>
  <c r="AE126" i="56"/>
  <c r="AI70" i="47"/>
  <c r="AI66" i="47"/>
  <c r="AL124" i="41"/>
  <c r="AL137" i="41"/>
  <c r="AL139" i="41"/>
  <c r="AD25" i="13"/>
  <c r="AD24" i="13"/>
  <c r="AO43" i="8"/>
  <c r="AK38" i="47"/>
  <c r="AK15" i="15"/>
  <c r="AD51" i="10"/>
  <c r="AD55" i="10"/>
  <c r="AD58" i="10"/>
  <c r="N138" i="58"/>
  <c r="N137" i="58"/>
  <c r="Y46" i="13"/>
  <c r="S207" i="11"/>
  <c r="S131" i="11"/>
  <c r="W210" i="12"/>
  <c r="W207" i="12"/>
  <c r="AH225" i="12"/>
  <c r="S27" i="12"/>
  <c r="S70" i="12"/>
  <c r="S76" i="12"/>
  <c r="S77" i="12"/>
  <c r="AD217" i="11"/>
  <c r="AD216" i="11"/>
  <c r="W112" i="11"/>
  <c r="W180" i="11"/>
  <c r="R82" i="58"/>
  <c r="R91" i="58"/>
  <c r="AC514" i="22"/>
  <c r="T301" i="11"/>
  <c r="S301" i="11"/>
  <c r="D67" i="41"/>
  <c r="D66" i="41"/>
  <c r="D65" i="41"/>
  <c r="X115" i="11"/>
  <c r="X183" i="11"/>
  <c r="S85" i="58"/>
  <c r="S94" i="58"/>
  <c r="N94" i="11"/>
  <c r="N154" i="11"/>
  <c r="N391" i="11"/>
  <c r="N29" i="47"/>
  <c r="S542" i="22"/>
  <c r="U142" i="11"/>
  <c r="X25" i="8"/>
  <c r="X24" i="8"/>
  <c r="AD31" i="9"/>
  <c r="AD150" i="41"/>
  <c r="AD152" i="41"/>
  <c r="Q141" i="56"/>
  <c r="Q140" i="56"/>
  <c r="V104" i="11"/>
  <c r="V168" i="11"/>
  <c r="Q62" i="58"/>
  <c r="Q71" i="58"/>
  <c r="R71" i="58"/>
  <c r="R62" i="58"/>
  <c r="W168" i="11"/>
  <c r="W104" i="11"/>
  <c r="K54" i="9"/>
  <c r="AX46" i="4"/>
  <c r="AX47" i="4"/>
  <c r="AX52" i="4"/>
  <c r="P117" i="41"/>
  <c r="P26" i="9"/>
  <c r="AH25" i="13"/>
  <c r="AH24" i="13"/>
  <c r="AE161" i="5"/>
  <c r="AF30" i="12"/>
  <c r="AG515" i="22"/>
  <c r="P90" i="47"/>
  <c r="P89" i="47"/>
  <c r="P85" i="47"/>
  <c r="AG54" i="10"/>
  <c r="Y94" i="12"/>
  <c r="AH111" i="48"/>
  <c r="AL56" i="12"/>
  <c r="AH228" i="48"/>
  <c r="Y537" i="22"/>
  <c r="R231" i="48"/>
  <c r="R234" i="48"/>
  <c r="U113" i="11"/>
  <c r="U181" i="11"/>
  <c r="P83" i="58"/>
  <c r="P92" i="58"/>
  <c r="Q19" i="14"/>
  <c r="Q88" i="47"/>
  <c r="AC125" i="11"/>
  <c r="AC196" i="11"/>
  <c r="X104" i="58"/>
  <c r="X113" i="58"/>
  <c r="W5" i="12"/>
  <c r="V5" i="43"/>
  <c r="V5" i="8"/>
  <c r="V5" i="4"/>
  <c r="V5" i="1"/>
  <c r="V5" i="55"/>
  <c r="V5" i="17"/>
  <c r="V5" i="13"/>
  <c r="V5" i="11"/>
  <c r="V5" i="10"/>
  <c r="V5" i="18"/>
  <c r="V5" i="9"/>
  <c r="V5" i="15"/>
  <c r="V5" i="14"/>
  <c r="V5" i="3"/>
  <c r="V5" i="16"/>
  <c r="V5" i="2"/>
  <c r="L91" i="48"/>
  <c r="O20" i="47"/>
  <c r="D51" i="8"/>
  <c r="J51" i="8"/>
  <c r="T145" i="12"/>
  <c r="O187" i="22"/>
  <c r="O189" i="22"/>
  <c r="K50" i="43"/>
  <c r="K54" i="43"/>
  <c r="K69" i="43"/>
  <c r="AK20" i="14"/>
  <c r="AK73" i="10"/>
  <c r="AK75" i="10"/>
  <c r="AK77" i="10"/>
  <c r="AK80" i="10"/>
  <c r="AK83" i="10"/>
  <c r="AK85" i="10"/>
  <c r="AK89" i="10"/>
  <c r="AK22" i="14"/>
  <c r="AK24" i="14"/>
  <c r="AK38" i="13"/>
  <c r="AK41" i="13"/>
  <c r="AK59" i="13"/>
  <c r="AK26" i="14"/>
  <c r="AK27" i="14"/>
  <c r="AK30" i="14"/>
  <c r="R113" i="11"/>
  <c r="R181" i="11"/>
  <c r="M83" i="58"/>
  <c r="M92" i="58"/>
  <c r="AE9" i="14"/>
  <c r="Z137" i="58"/>
  <c r="Z138" i="58"/>
  <c r="O267" i="11"/>
  <c r="O251" i="11"/>
  <c r="Y62" i="12"/>
  <c r="Y90" i="12"/>
  <c r="Y95" i="12"/>
  <c r="K73" i="58"/>
  <c r="K64" i="58"/>
  <c r="K51" i="58"/>
  <c r="K41" i="58"/>
  <c r="AG10" i="14"/>
  <c r="N113" i="58"/>
  <c r="N104" i="58"/>
  <c r="R55" i="15"/>
  <c r="AJ29" i="17"/>
  <c r="AJ66" i="10"/>
  <c r="AR127" i="56"/>
  <c r="AR126" i="56"/>
  <c r="J121" i="8"/>
  <c r="J26" i="15"/>
  <c r="J29" i="15"/>
  <c r="J92" i="8"/>
  <c r="J99" i="8"/>
  <c r="J118" i="8"/>
  <c r="J32" i="15"/>
  <c r="O176" i="12"/>
  <c r="L210" i="11"/>
  <c r="L134" i="11"/>
  <c r="AG90" i="16"/>
  <c r="AG80" i="16"/>
  <c r="AG46" i="17"/>
  <c r="R130" i="11"/>
  <c r="R206" i="11"/>
  <c r="R214" i="11"/>
  <c r="R379" i="11"/>
  <c r="R382" i="11"/>
  <c r="R14" i="47"/>
  <c r="AB14" i="15"/>
  <c r="AB20" i="15"/>
  <c r="X7" i="56"/>
  <c r="X11" i="56"/>
  <c r="X15" i="56"/>
  <c r="X19" i="56"/>
  <c r="S117" i="41"/>
  <c r="S26" i="9"/>
  <c r="V77" i="12"/>
  <c r="V76" i="12"/>
  <c r="V70" i="12"/>
  <c r="U71" i="58"/>
  <c r="U62" i="58"/>
  <c r="Z168" i="11"/>
  <c r="Z104" i="11"/>
  <c r="G30" i="58"/>
  <c r="G26" i="58"/>
  <c r="M25" i="10"/>
  <c r="M24" i="10"/>
  <c r="AJ268" i="11"/>
  <c r="AJ252" i="11"/>
  <c r="AN469" i="22"/>
  <c r="AN480" i="22"/>
  <c r="AN509" i="22"/>
  <c r="AN541" i="22"/>
  <c r="AG233" i="48"/>
  <c r="AE60" i="10"/>
  <c r="AF57" i="10"/>
  <c r="AF59" i="10"/>
  <c r="AF78" i="10"/>
  <c r="AF98" i="10"/>
  <c r="AE481" i="22"/>
  <c r="AB386" i="11"/>
  <c r="AH488" i="22"/>
  <c r="AE102" i="12"/>
  <c r="AE127" i="12"/>
  <c r="AE144" i="12"/>
  <c r="AD57" i="47"/>
  <c r="AD65" i="47"/>
  <c r="AD75" i="47"/>
  <c r="AD76" i="47"/>
  <c r="AM488" i="22"/>
  <c r="AJ102" i="12"/>
  <c r="AJ127" i="12"/>
  <c r="AJ144" i="12"/>
  <c r="AI57" i="47"/>
  <c r="AI65" i="47"/>
  <c r="AI75" i="47"/>
  <c r="AI76" i="47"/>
  <c r="AL128" i="12"/>
  <c r="AC387" i="11"/>
  <c r="T55" i="58"/>
  <c r="T45" i="58"/>
  <c r="Y157" i="11"/>
  <c r="Y97" i="11"/>
  <c r="O42" i="8"/>
  <c r="O41" i="8"/>
  <c r="O56" i="12"/>
  <c r="K228" i="48"/>
  <c r="K111" i="48"/>
  <c r="O25" i="3"/>
  <c r="O24" i="3"/>
  <c r="AC137" i="56"/>
  <c r="AC136" i="56"/>
  <c r="T122" i="48"/>
  <c r="T117" i="48"/>
  <c r="L351" i="11"/>
  <c r="D351" i="11"/>
  <c r="AJ358" i="11"/>
  <c r="AJ359" i="11"/>
  <c r="AK361" i="11"/>
  <c r="AK17" i="14"/>
  <c r="AK86" i="47"/>
  <c r="R41" i="9"/>
  <c r="R42" i="9"/>
  <c r="R13" i="17"/>
  <c r="N128" i="12"/>
  <c r="W213" i="11"/>
  <c r="W137" i="11"/>
  <c r="AI120" i="41"/>
  <c r="S187" i="22"/>
  <c r="S189" i="22"/>
  <c r="O50" i="43"/>
  <c r="O54" i="43"/>
  <c r="O69" i="43"/>
  <c r="D29" i="18"/>
  <c r="W270" i="22"/>
  <c r="W188" i="22"/>
  <c r="AG92" i="43"/>
  <c r="AH203" i="12"/>
  <c r="AH222" i="12"/>
  <c r="AH242" i="12"/>
  <c r="AH252" i="12"/>
  <c r="X28" i="12"/>
  <c r="W159" i="5"/>
  <c r="AH51" i="41"/>
  <c r="AH48" i="41"/>
  <c r="D301" i="11"/>
  <c r="U301" i="11"/>
  <c r="U316" i="11"/>
  <c r="L96" i="11"/>
  <c r="L156" i="11"/>
  <c r="L386" i="11"/>
  <c r="S476" i="22"/>
  <c r="S505" i="22"/>
  <c r="S537" i="22"/>
  <c r="L231" i="48"/>
  <c r="L234" i="48"/>
  <c r="L69" i="43"/>
  <c r="L54" i="43"/>
  <c r="P183" i="22"/>
  <c r="P187" i="22"/>
  <c r="P189" i="22"/>
  <c r="L50" i="43"/>
  <c r="V29" i="47"/>
  <c r="V391" i="11"/>
  <c r="AJ137" i="56"/>
  <c r="AJ136" i="56"/>
  <c r="AT86" i="16"/>
  <c r="AT84" i="16"/>
  <c r="T272" i="22"/>
  <c r="P54" i="47"/>
  <c r="T203" i="22"/>
  <c r="T10" i="47"/>
  <c r="T7" i="47"/>
  <c r="Y27" i="15"/>
  <c r="Y351" i="11"/>
  <c r="U152" i="41"/>
  <c r="U150" i="41"/>
  <c r="T270" i="22"/>
  <c r="T188" i="22"/>
  <c r="AE35" i="47"/>
  <c r="AE34" i="47"/>
  <c r="S188" i="22"/>
  <c r="S270" i="22"/>
  <c r="AL515" i="22"/>
  <c r="AJ18" i="9"/>
  <c r="AJ55" i="9"/>
  <c r="V66" i="8"/>
  <c r="V67" i="8"/>
  <c r="V74" i="8"/>
  <c r="AB469" i="22"/>
  <c r="AB480" i="22"/>
  <c r="Y66" i="12"/>
  <c r="Y136" i="12"/>
  <c r="Y195" i="12"/>
  <c r="AF8" i="58"/>
  <c r="AF20" i="58"/>
  <c r="T121" i="41"/>
  <c r="T132" i="41"/>
  <c r="AK72" i="12"/>
  <c r="AK86" i="12"/>
  <c r="AK87" i="12"/>
  <c r="R67" i="58"/>
  <c r="AG224" i="22"/>
  <c r="AC60" i="43"/>
  <c r="AC64" i="43"/>
  <c r="AC70" i="43"/>
  <c r="O105" i="11"/>
  <c r="O169" i="11"/>
  <c r="J63" i="58"/>
  <c r="J72" i="58"/>
  <c r="G24" i="58"/>
  <c r="G3" i="58"/>
  <c r="R228" i="48"/>
  <c r="V56" i="12"/>
  <c r="R111" i="48"/>
  <c r="AH469" i="22"/>
  <c r="AH480" i="22"/>
  <c r="AH509" i="22"/>
  <c r="AH541" i="22"/>
  <c r="AA233" i="48"/>
  <c r="AG213" i="12"/>
  <c r="AI115" i="11"/>
  <c r="AI183" i="11"/>
  <c r="AD85" i="58"/>
  <c r="AD94" i="58"/>
  <c r="V5" i="41"/>
  <c r="V102" i="41"/>
  <c r="O34" i="43"/>
  <c r="O42" i="43"/>
  <c r="O44" i="43"/>
  <c r="O68" i="43"/>
  <c r="O71" i="43"/>
  <c r="O121" i="43"/>
  <c r="O12" i="47"/>
  <c r="O15" i="47"/>
  <c r="D106" i="47"/>
  <c r="D116" i="47"/>
  <c r="AL265" i="22"/>
  <c r="AL274" i="22"/>
  <c r="AL277" i="22"/>
  <c r="Q285" i="11"/>
  <c r="D327" i="11"/>
  <c r="Q327" i="11"/>
  <c r="Q346" i="11"/>
  <c r="Q350" i="11"/>
  <c r="AF208" i="11"/>
  <c r="AF132" i="11"/>
  <c r="V209" i="11"/>
  <c r="V133" i="11"/>
  <c r="AF106" i="41"/>
  <c r="AF141" i="41"/>
  <c r="O27" i="12"/>
  <c r="O106" i="12"/>
  <c r="O112" i="12"/>
  <c r="O113" i="12"/>
  <c r="AG176" i="12"/>
  <c r="AM203" i="22"/>
  <c r="AI54" i="47"/>
  <c r="AM272" i="22"/>
  <c r="O27" i="4"/>
  <c r="O46" i="4"/>
  <c r="O47" i="4"/>
  <c r="O52" i="4"/>
  <c r="O13" i="14"/>
  <c r="O14" i="14"/>
  <c r="N166" i="41"/>
  <c r="N168" i="41"/>
  <c r="N175" i="41"/>
  <c r="AC106" i="11"/>
  <c r="AC170" i="11"/>
  <c r="X64" i="58"/>
  <c r="X73" i="58"/>
  <c r="Z94" i="11"/>
  <c r="Z154" i="11"/>
  <c r="U42" i="58"/>
  <c r="U52" i="58"/>
  <c r="V102" i="11"/>
  <c r="V166" i="11"/>
  <c r="Q60" i="58"/>
  <c r="Q69" i="58"/>
  <c r="Q213" i="11"/>
  <c r="Q137" i="11"/>
  <c r="L411" i="11"/>
  <c r="S107" i="10"/>
  <c r="S14" i="9"/>
  <c r="Q25" i="13"/>
  <c r="Q24" i="13"/>
  <c r="AF188" i="22"/>
  <c r="AF270" i="22"/>
  <c r="R104" i="8"/>
  <c r="R105" i="8"/>
  <c r="R119" i="8"/>
  <c r="R31" i="15"/>
  <c r="R33" i="15"/>
  <c r="R44" i="13"/>
  <c r="R47" i="13"/>
  <c r="L114" i="11"/>
  <c r="D114" i="11"/>
  <c r="M90" i="58"/>
  <c r="M81" i="58"/>
  <c r="R179" i="11"/>
  <c r="R111" i="11"/>
  <c r="AG31" i="9"/>
  <c r="AG150" i="41"/>
  <c r="AG152" i="41"/>
  <c r="E25" i="12"/>
  <c r="E23" i="12"/>
  <c r="Z25" i="12"/>
  <c r="Z24" i="12"/>
  <c r="L293" i="11"/>
  <c r="K293" i="11"/>
  <c r="O270" i="11"/>
  <c r="O254" i="11"/>
  <c r="L175" i="41"/>
  <c r="L168" i="41"/>
  <c r="L166" i="41"/>
  <c r="V175" i="22"/>
  <c r="R161" i="11"/>
  <c r="R160" i="11"/>
  <c r="R158" i="11"/>
  <c r="S120" i="8"/>
  <c r="S114" i="8"/>
  <c r="S113" i="8"/>
  <c r="AE208" i="12"/>
  <c r="AB96" i="11"/>
  <c r="AB156" i="11"/>
  <c r="W44" i="58"/>
  <c r="W54" i="58"/>
  <c r="D31" i="15"/>
  <c r="D33" i="15"/>
  <c r="X51" i="10"/>
  <c r="X55" i="10"/>
  <c r="X58" i="10"/>
  <c r="AD470" i="22"/>
  <c r="D41" i="41"/>
  <c r="D40" i="41"/>
  <c r="D39" i="41"/>
  <c r="I8" i="58"/>
  <c r="I20" i="58"/>
  <c r="AO66" i="8"/>
  <c r="AO67" i="8"/>
  <c r="AO74" i="8"/>
  <c r="AG110" i="48"/>
  <c r="AG107" i="48"/>
  <c r="AD64" i="12"/>
  <c r="AD92" i="12"/>
  <c r="F178" i="12"/>
  <c r="O44" i="19"/>
  <c r="Q44" i="19"/>
  <c r="AJ57" i="8"/>
  <c r="AJ58" i="8"/>
  <c r="AJ73" i="8"/>
  <c r="AJ22" i="15"/>
  <c r="AJ24" i="15"/>
  <c r="AJ59" i="3"/>
  <c r="AJ70" i="3"/>
  <c r="AJ74" i="3"/>
  <c r="AJ26" i="15"/>
  <c r="AJ29" i="15"/>
  <c r="AJ92" i="8"/>
  <c r="AJ99" i="8"/>
  <c r="AJ118" i="8"/>
  <c r="AJ121" i="8"/>
  <c r="W23" i="14"/>
  <c r="W104" i="10"/>
  <c r="W100" i="10"/>
  <c r="W97" i="10"/>
  <c r="R350" i="11"/>
  <c r="R346" i="11"/>
  <c r="R328" i="11"/>
  <c r="AI13" i="9"/>
  <c r="AI109" i="41"/>
  <c r="AI131" i="41"/>
  <c r="AI133" i="41"/>
  <c r="AF68" i="47"/>
  <c r="AJ147" i="22"/>
  <c r="AJ165" i="22"/>
  <c r="AF92" i="43"/>
  <c r="AF96" i="43"/>
  <c r="AF112" i="43"/>
  <c r="AF114" i="43"/>
  <c r="AF60" i="47"/>
  <c r="AF63" i="47"/>
  <c r="AC97" i="48"/>
  <c r="AM211" i="22"/>
  <c r="AI90" i="16"/>
  <c r="AI80" i="16"/>
  <c r="V40" i="47"/>
  <c r="AK165" i="22"/>
  <c r="AK175" i="22"/>
  <c r="AL187" i="22"/>
  <c r="AL189" i="22"/>
  <c r="AI207" i="12"/>
  <c r="AI210" i="12"/>
  <c r="Q21" i="18"/>
  <c r="Q23" i="18"/>
  <c r="Q57" i="18"/>
  <c r="Q56" i="18"/>
  <c r="W175" i="41"/>
  <c r="W168" i="41"/>
  <c r="W166" i="41"/>
  <c r="AE94" i="58"/>
  <c r="AE85" i="58"/>
  <c r="AJ183" i="11"/>
  <c r="AJ115" i="11"/>
  <c r="N46" i="13"/>
  <c r="I59" i="41"/>
  <c r="I61" i="41"/>
  <c r="D64" i="41"/>
  <c r="M209" i="11"/>
  <c r="M133" i="11"/>
  <c r="AH103" i="12"/>
  <c r="D89" i="10"/>
  <c r="D91" i="10"/>
  <c r="S213" i="12"/>
  <c r="I6" i="54"/>
  <c r="L41" i="18"/>
  <c r="L102" i="18"/>
  <c r="AC94" i="11"/>
  <c r="AC154" i="11"/>
  <c r="AC391" i="11"/>
  <c r="AC29" i="47"/>
  <c r="Q176" i="12"/>
  <c r="K23" i="58"/>
  <c r="K32" i="58"/>
  <c r="V114" i="58"/>
  <c r="V105" i="58"/>
  <c r="X522" i="22"/>
  <c r="X511" i="22"/>
  <c r="K3" i="58"/>
  <c r="K24" i="58"/>
  <c r="P119" i="12"/>
  <c r="P118" i="12"/>
  <c r="P27" i="12"/>
  <c r="P108" i="12"/>
  <c r="AD411" i="11"/>
  <c r="M233" i="48"/>
  <c r="T541" i="22"/>
  <c r="T480" i="22"/>
  <c r="T509" i="22"/>
  <c r="AF517" i="22"/>
  <c r="AG36" i="4"/>
  <c r="AG44" i="4"/>
  <c r="AG51" i="4"/>
  <c r="AG50" i="10"/>
  <c r="AG51" i="10"/>
  <c r="AG55" i="10"/>
  <c r="AG58" i="10"/>
  <c r="U15" i="15"/>
  <c r="U38" i="47"/>
  <c r="T233" i="11"/>
  <c r="T235" i="11"/>
  <c r="T23" i="9"/>
  <c r="T114" i="41"/>
  <c r="T125" i="41"/>
  <c r="T138" i="41"/>
  <c r="U165" i="12"/>
  <c r="R58" i="58"/>
  <c r="R65" i="58"/>
  <c r="R66" i="58"/>
  <c r="AH224" i="12"/>
  <c r="AK5" i="10"/>
  <c r="AK5" i="43"/>
  <c r="AK5" i="9"/>
  <c r="AK5" i="11"/>
  <c r="AK5" i="18"/>
  <c r="AL5" i="12"/>
  <c r="AK5" i="15"/>
  <c r="AK5" i="13"/>
  <c r="AK5" i="1"/>
  <c r="AK5" i="17"/>
  <c r="AK5" i="4"/>
  <c r="AK5" i="55"/>
  <c r="AK5" i="16"/>
  <c r="AK5" i="3"/>
  <c r="AK5" i="14"/>
  <c r="AK5" i="8"/>
  <c r="P8" i="58"/>
  <c r="P20" i="58"/>
  <c r="AJ409" i="11"/>
  <c r="AH145" i="12"/>
  <c r="S410" i="11"/>
  <c r="AH103" i="11"/>
  <c r="AH167" i="11"/>
  <c r="AC61" i="58"/>
  <c r="AC70" i="58"/>
  <c r="AF104" i="8"/>
  <c r="AF105" i="8"/>
  <c r="AF119" i="8"/>
  <c r="AF31" i="15"/>
  <c r="AF33" i="15"/>
  <c r="AF28" i="55"/>
  <c r="AF29" i="55"/>
  <c r="AF67" i="55"/>
  <c r="AF66" i="55"/>
  <c r="AI52" i="15"/>
  <c r="AF9" i="14"/>
  <c r="AA137" i="58"/>
  <c r="AA138" i="58"/>
  <c r="AD23" i="58"/>
  <c r="AD32" i="58"/>
  <c r="AH95" i="11"/>
  <c r="AH155" i="11"/>
  <c r="AH385" i="11"/>
  <c r="AE79" i="10"/>
  <c r="L127" i="11"/>
  <c r="L198" i="11"/>
  <c r="G106" i="58"/>
  <c r="G115" i="58"/>
  <c r="Y387" i="11"/>
  <c r="AB53" i="58"/>
  <c r="AB43" i="58"/>
  <c r="Y10" i="47"/>
  <c r="Y7" i="47"/>
  <c r="M152" i="41"/>
  <c r="M148" i="41"/>
  <c r="M146" i="41"/>
  <c r="AE24" i="58"/>
  <c r="AE3" i="58"/>
  <c r="S27" i="4"/>
  <c r="S46" i="4"/>
  <c r="S47" i="4"/>
  <c r="S52" i="4"/>
  <c r="S34" i="47"/>
  <c r="S35" i="47"/>
  <c r="T175" i="22"/>
  <c r="N40" i="47"/>
  <c r="L56" i="5"/>
  <c r="D55" i="5"/>
  <c r="AG72" i="18"/>
  <c r="AR72" i="18"/>
  <c r="Q91" i="18"/>
  <c r="P91" i="18"/>
  <c r="AP72" i="18"/>
  <c r="Z91" i="18"/>
  <c r="K91" i="18"/>
  <c r="L91" i="18"/>
  <c r="S72" i="18"/>
  <c r="AH72" i="18"/>
  <c r="X72" i="18"/>
  <c r="AK72" i="18"/>
  <c r="AV91" i="18"/>
  <c r="R91" i="18"/>
  <c r="AS72" i="18"/>
  <c r="Y91" i="18"/>
  <c r="U72" i="18"/>
  <c r="AW72" i="18"/>
  <c r="AM91" i="18"/>
  <c r="D72" i="18"/>
  <c r="AT91" i="18"/>
  <c r="AI91" i="18"/>
  <c r="I72" i="18"/>
  <c r="AM72" i="18"/>
  <c r="AU72" i="18"/>
  <c r="AB91" i="18"/>
  <c r="AL91" i="18"/>
  <c r="X91" i="18"/>
  <c r="M91" i="18"/>
  <c r="AD91" i="18"/>
  <c r="AP91" i="18"/>
  <c r="AL72" i="18"/>
  <c r="AQ72" i="18"/>
  <c r="V91" i="18"/>
  <c r="S91" i="18"/>
  <c r="AW91" i="18"/>
  <c r="L72" i="18"/>
  <c r="AN72" i="18"/>
  <c r="F72" i="18"/>
  <c r="AF91" i="18"/>
  <c r="Q72" i="18"/>
  <c r="W91" i="18"/>
  <c r="AT72" i="18"/>
  <c r="V72" i="18"/>
  <c r="W72" i="18"/>
  <c r="J91" i="18"/>
  <c r="O72" i="18"/>
  <c r="AJ91" i="18"/>
  <c r="P72" i="18"/>
  <c r="AK91" i="18"/>
  <c r="AJ72" i="18"/>
  <c r="AS91" i="18"/>
  <c r="AN91" i="18"/>
  <c r="AR91" i="18"/>
  <c r="AC91" i="18"/>
  <c r="AV72" i="18"/>
  <c r="AI72" i="18"/>
  <c r="T72" i="18"/>
  <c r="AG91" i="18"/>
  <c r="AX91" i="18"/>
  <c r="E72" i="18"/>
  <c r="T91" i="18"/>
  <c r="Z72" i="18"/>
  <c r="AA72" i="18"/>
  <c r="Y72" i="18"/>
  <c r="AA91" i="18"/>
  <c r="J72" i="18"/>
  <c r="AQ91" i="18"/>
  <c r="AH91" i="18"/>
  <c r="AO91" i="18"/>
  <c r="R72" i="18"/>
  <c r="AO72" i="18"/>
  <c r="AE72" i="18"/>
  <c r="N72" i="18"/>
  <c r="F12" i="54"/>
  <c r="K72" i="18"/>
  <c r="AB72" i="18"/>
  <c r="U91" i="18"/>
  <c r="M72" i="18"/>
  <c r="AD72" i="18"/>
  <c r="AF72" i="18"/>
  <c r="AU91" i="18"/>
  <c r="N91" i="18"/>
  <c r="AC72" i="18"/>
  <c r="AE91" i="18"/>
  <c r="O91" i="18"/>
  <c r="AG35" i="16"/>
  <c r="X32" i="9"/>
  <c r="X47" i="17"/>
  <c r="AJ252" i="12"/>
  <c r="AJ242" i="12"/>
  <c r="J23" i="12"/>
  <c r="J25" i="12"/>
  <c r="T469" i="22"/>
  <c r="T488" i="22"/>
  <c r="Q102" i="12"/>
  <c r="Q127" i="12"/>
  <c r="Q144" i="12"/>
  <c r="Q165" i="12"/>
  <c r="Z277" i="11"/>
  <c r="AC55" i="15"/>
  <c r="D293" i="11"/>
  <c r="M293" i="11"/>
  <c r="M316" i="11"/>
  <c r="M213" i="12"/>
  <c r="AA64" i="12"/>
  <c r="AA92" i="12"/>
  <c r="M268" i="11"/>
  <c r="M252" i="11"/>
  <c r="AH202" i="22"/>
  <c r="AH204" i="22"/>
  <c r="AE229" i="12"/>
  <c r="AE233" i="12"/>
  <c r="T54" i="10"/>
  <c r="AK137" i="12"/>
  <c r="O66" i="8"/>
  <c r="O67" i="8"/>
  <c r="O74" i="8"/>
  <c r="AH188" i="11"/>
  <c r="AH187" i="11"/>
  <c r="AH185" i="11"/>
  <c r="AK139" i="22"/>
  <c r="AK467" i="22"/>
  <c r="AK478" i="22"/>
  <c r="AK507" i="22"/>
  <c r="AK539" i="22"/>
  <c r="W55" i="12"/>
  <c r="Q7" i="58"/>
  <c r="Z140" i="22"/>
  <c r="S112" i="48"/>
  <c r="AB141" i="41"/>
  <c r="AB106" i="41"/>
  <c r="S70" i="58"/>
  <c r="S61" i="58"/>
  <c r="X167" i="11"/>
  <c r="X103" i="11"/>
  <c r="P122" i="48"/>
  <c r="P117" i="48"/>
  <c r="T56" i="12"/>
  <c r="P111" i="48"/>
  <c r="P228" i="48"/>
  <c r="O25" i="16"/>
  <c r="O24" i="16"/>
  <c r="AH52" i="15"/>
  <c r="AC138" i="22"/>
  <c r="AC466" i="22"/>
  <c r="AC485" i="22"/>
  <c r="Z99" i="12"/>
  <c r="Z124" i="12"/>
  <c r="Z141" i="12"/>
  <c r="Z162" i="12"/>
  <c r="Q174" i="11"/>
  <c r="Q173" i="11"/>
  <c r="Q171" i="11"/>
  <c r="S225" i="12"/>
  <c r="AB142" i="11"/>
  <c r="AA103" i="11"/>
  <c r="AA167" i="11"/>
  <c r="V61" i="58"/>
  <c r="V70" i="58"/>
  <c r="AB137" i="12"/>
  <c r="L68" i="47"/>
  <c r="P165" i="22"/>
  <c r="L92" i="43"/>
  <c r="L96" i="43"/>
  <c r="L112" i="43"/>
  <c r="L114" i="43"/>
  <c r="L60" i="47"/>
  <c r="L63" i="47"/>
  <c r="I97" i="48"/>
  <c r="L89" i="58"/>
  <c r="L80" i="58"/>
  <c r="AR43" i="8"/>
  <c r="AA126" i="11"/>
  <c r="AA197" i="11"/>
  <c r="AA410" i="11"/>
  <c r="X193" i="12"/>
  <c r="X133" i="12"/>
  <c r="T120" i="41"/>
  <c r="AD127" i="11"/>
  <c r="AD198" i="11"/>
  <c r="Y106" i="58"/>
  <c r="Y115" i="58"/>
  <c r="J47" i="17"/>
  <c r="J32" i="9"/>
  <c r="Z46" i="13"/>
  <c r="P25" i="41"/>
  <c r="P24" i="41"/>
  <c r="T110" i="11"/>
  <c r="T178" i="11"/>
  <c r="O80" i="58"/>
  <c r="O89" i="58"/>
  <c r="T358" i="11"/>
  <c r="T359" i="11"/>
  <c r="U361" i="11"/>
  <c r="U17" i="14"/>
  <c r="U86" i="47"/>
  <c r="AK25" i="3"/>
  <c r="AK24" i="3"/>
  <c r="AK5" i="41"/>
  <c r="AK102" i="41"/>
  <c r="Z148" i="22"/>
  <c r="Z210" i="22"/>
  <c r="Z212" i="22"/>
  <c r="W209" i="12"/>
  <c r="W230" i="12"/>
  <c r="W234" i="12"/>
  <c r="AJ125" i="11"/>
  <c r="AJ196" i="11"/>
  <c r="AE104" i="58"/>
  <c r="AE113" i="58"/>
  <c r="AJ224" i="22"/>
  <c r="AF60" i="43"/>
  <c r="AF64" i="43"/>
  <c r="AF70" i="43"/>
  <c r="S126" i="11"/>
  <c r="S197" i="11"/>
  <c r="N105" i="58"/>
  <c r="N114" i="58"/>
  <c r="AL142" i="11"/>
  <c r="AT84" i="41"/>
  <c r="AT82" i="41"/>
  <c r="AB97" i="10"/>
  <c r="AB100" i="10"/>
  <c r="AB104" i="10"/>
  <c r="AB23" i="14"/>
  <c r="AI78" i="41"/>
  <c r="AI75" i="41"/>
  <c r="Z268" i="11"/>
  <c r="Z252" i="11"/>
  <c r="U31" i="9"/>
  <c r="U46" i="17"/>
  <c r="D93" i="11"/>
  <c r="N208" i="11"/>
  <c r="N132" i="11"/>
  <c r="Z92" i="12"/>
  <c r="Y106" i="11"/>
  <c r="Y170" i="11"/>
  <c r="T64" i="58"/>
  <c r="T73" i="58"/>
  <c r="AA277" i="22"/>
  <c r="AA274" i="22"/>
  <c r="AA265" i="22"/>
  <c r="AD68" i="47"/>
  <c r="AD92" i="43"/>
  <c r="AD96" i="43"/>
  <c r="AD112" i="43"/>
  <c r="AD114" i="43"/>
  <c r="AD60" i="47"/>
  <c r="AD63" i="47"/>
  <c r="AA97" i="48"/>
  <c r="N19" i="14"/>
  <c r="N88" i="47"/>
  <c r="AB26" i="43"/>
  <c r="AB25" i="43"/>
  <c r="U49" i="14"/>
  <c r="U52" i="14"/>
  <c r="L25" i="8"/>
  <c r="L24" i="8"/>
  <c r="D24" i="8"/>
  <c r="U408" i="11"/>
  <c r="U412" i="11"/>
  <c r="U73" i="47"/>
  <c r="R93" i="11"/>
  <c r="R153" i="11"/>
  <c r="M41" i="58"/>
  <c r="M51" i="58"/>
  <c r="R103" i="55"/>
  <c r="V28" i="55"/>
  <c r="V29" i="55"/>
  <c r="V67" i="55"/>
  <c r="V66" i="55"/>
  <c r="D54" i="5"/>
  <c r="U49" i="58"/>
  <c r="Y13" i="18"/>
  <c r="Y250" i="11"/>
  <c r="Y266" i="11"/>
  <c r="Y271" i="11"/>
  <c r="Y278" i="11"/>
  <c r="Y280" i="11"/>
  <c r="Y279" i="11"/>
  <c r="Y10" i="15"/>
  <c r="Y13" i="55"/>
  <c r="AC104" i="8"/>
  <c r="AC105" i="8"/>
  <c r="AC119" i="8"/>
  <c r="AC31" i="15"/>
  <c r="AC33" i="15"/>
  <c r="AC44" i="13"/>
  <c r="AC47" i="13"/>
  <c r="L102" i="11"/>
  <c r="D102" i="11"/>
  <c r="M48" i="14"/>
  <c r="M27" i="4"/>
  <c r="M46" i="4"/>
  <c r="M47" i="4"/>
  <c r="M52" i="4"/>
  <c r="M13" i="14"/>
  <c r="M14" i="14"/>
  <c r="M51" i="14"/>
  <c r="AR45" i="4"/>
  <c r="AB85" i="47"/>
  <c r="AB89" i="47"/>
  <c r="AB90" i="47"/>
  <c r="S90" i="8"/>
  <c r="L110" i="48"/>
  <c r="L107" i="48"/>
  <c r="AK132" i="41"/>
  <c r="AK121" i="41"/>
  <c r="J32" i="58"/>
  <c r="J23" i="58"/>
  <c r="AB21" i="18"/>
  <c r="AB23" i="18"/>
  <c r="AB57" i="18"/>
  <c r="AB56" i="18"/>
  <c r="AN476" i="22"/>
  <c r="AK62" i="12"/>
  <c r="AK132" i="12"/>
  <c r="AK192" i="12"/>
  <c r="AK196" i="12"/>
  <c r="K25" i="4"/>
  <c r="K23" i="4"/>
  <c r="L54" i="9"/>
  <c r="AB57" i="8"/>
  <c r="AB58" i="8"/>
  <c r="AB73" i="8"/>
  <c r="AB22" i="15"/>
  <c r="X58" i="56"/>
  <c r="X59" i="56"/>
  <c r="Q85" i="47"/>
  <c r="Q89" i="47"/>
  <c r="Q90" i="47"/>
  <c r="AC350" i="11"/>
  <c r="AC346" i="11"/>
  <c r="AC339" i="11"/>
  <c r="W25" i="16"/>
  <c r="W24" i="16"/>
  <c r="AB9" i="14"/>
  <c r="W137" i="58"/>
  <c r="W138" i="58"/>
  <c r="Q328" i="11"/>
  <c r="D328" i="11"/>
  <c r="P328" i="11"/>
  <c r="D26" i="15"/>
  <c r="D29" i="15"/>
  <c r="N8" i="58"/>
  <c r="N20" i="58"/>
  <c r="Y126" i="56"/>
  <c r="Y127" i="56"/>
  <c r="H12" i="56"/>
  <c r="L57" i="8"/>
  <c r="L58" i="8"/>
  <c r="L73" i="8"/>
  <c r="L22" i="15"/>
  <c r="H8" i="56"/>
  <c r="H10" i="56"/>
  <c r="I103" i="48"/>
  <c r="X51" i="14"/>
  <c r="X52" i="4"/>
  <c r="X13" i="14"/>
  <c r="X14" i="14"/>
  <c r="X48" i="14"/>
  <c r="S203" i="12"/>
  <c r="S222" i="12"/>
  <c r="S242" i="12"/>
  <c r="S252" i="12"/>
  <c r="AD10" i="47"/>
  <c r="AD7" i="47"/>
  <c r="W25" i="4"/>
  <c r="W24" i="4"/>
  <c r="AM27" i="12"/>
  <c r="AM72" i="12"/>
  <c r="AM86" i="12"/>
  <c r="AM87" i="12"/>
  <c r="V224" i="22"/>
  <c r="R60" i="43"/>
  <c r="R64" i="43"/>
  <c r="R70" i="43"/>
  <c r="T400" i="11"/>
  <c r="N41" i="9"/>
  <c r="N42" i="9"/>
  <c r="N13" i="17"/>
  <c r="O41" i="9"/>
  <c r="O42" i="9"/>
  <c r="O13" i="17"/>
  <c r="AA138" i="22"/>
  <c r="AA466" i="22"/>
  <c r="AA477" i="22"/>
  <c r="X63" i="12"/>
  <c r="X91" i="12"/>
  <c r="T13" i="9"/>
  <c r="T109" i="41"/>
  <c r="T131" i="41"/>
  <c r="T133" i="41"/>
  <c r="I13" i="17"/>
  <c r="I42" i="9"/>
  <c r="I41" i="9"/>
  <c r="M141" i="41"/>
  <c r="M106" i="41"/>
  <c r="AL171" i="11"/>
  <c r="AL173" i="11"/>
  <c r="AL174" i="11"/>
  <c r="X124" i="11"/>
  <c r="X195" i="11"/>
  <c r="S103" i="58"/>
  <c r="S112" i="58"/>
  <c r="AB128" i="12"/>
  <c r="AH25" i="12"/>
  <c r="AH24" i="12"/>
  <c r="R211" i="11"/>
  <c r="R135" i="11"/>
  <c r="AJ133" i="41"/>
  <c r="AJ131" i="41"/>
  <c r="AN486" i="22"/>
  <c r="AK100" i="12"/>
  <c r="AK125" i="12"/>
  <c r="AK142" i="12"/>
  <c r="AK163" i="12"/>
  <c r="AE27" i="58"/>
  <c r="AE31" i="58"/>
  <c r="AJ213" i="12"/>
  <c r="AK120" i="41"/>
  <c r="M54" i="10"/>
  <c r="AA208" i="11"/>
  <c r="AA132" i="11"/>
  <c r="S79" i="10"/>
  <c r="AC41" i="58"/>
  <c r="AC51" i="58"/>
  <c r="AJ128" i="12"/>
  <c r="AK233" i="11"/>
  <c r="AK235" i="11"/>
  <c r="AK23" i="9"/>
  <c r="AK114" i="41"/>
  <c r="AK125" i="41"/>
  <c r="AK138" i="41"/>
  <c r="U130" i="11"/>
  <c r="U206" i="11"/>
  <c r="U214" i="11"/>
  <c r="U403" i="11"/>
  <c r="U405" i="11"/>
  <c r="U62" i="47"/>
  <c r="Q209" i="11"/>
  <c r="Q133" i="11"/>
  <c r="V60" i="10"/>
  <c r="W57" i="10"/>
  <c r="W60" i="10"/>
  <c r="X57" i="10"/>
  <c r="X60" i="10"/>
  <c r="Y57" i="10"/>
  <c r="Y60" i="10"/>
  <c r="Z57" i="10"/>
  <c r="Z60" i="10"/>
  <c r="AA57" i="10"/>
  <c r="AA60" i="10"/>
  <c r="AB57" i="10"/>
  <c r="AB60" i="10"/>
  <c r="AC57" i="10"/>
  <c r="AC60" i="10"/>
  <c r="AD57" i="10"/>
  <c r="AD60" i="10"/>
  <c r="AE57" i="10"/>
  <c r="AE59" i="10"/>
  <c r="AE78" i="10"/>
  <c r="AE98" i="10"/>
  <c r="AP52" i="4"/>
  <c r="AB102" i="11"/>
  <c r="AB166" i="11"/>
  <c r="W60" i="58"/>
  <c r="W69" i="58"/>
  <c r="Z64" i="12"/>
  <c r="Z134" i="12"/>
  <c r="Z194" i="12"/>
  <c r="AG137" i="12"/>
  <c r="M9" i="9"/>
  <c r="M54" i="9"/>
  <c r="K122" i="48"/>
  <c r="K117" i="48"/>
  <c r="AO481" i="22"/>
  <c r="W111" i="58"/>
  <c r="W102" i="58"/>
  <c r="Z228" i="48"/>
  <c r="AD56" i="12"/>
  <c r="Z111" i="48"/>
  <c r="Z25" i="3"/>
  <c r="Z24" i="3"/>
  <c r="T13" i="17"/>
  <c r="T42" i="9"/>
  <c r="T41" i="9"/>
  <c r="D285" i="11"/>
  <c r="AI213" i="11"/>
  <c r="AI137" i="11"/>
  <c r="M93" i="58"/>
  <c r="M84" i="58"/>
  <c r="R182" i="11"/>
  <c r="R114" i="11"/>
  <c r="AI77" i="16"/>
  <c r="AH78" i="16"/>
  <c r="R10" i="55"/>
  <c r="R16" i="55"/>
  <c r="R42" i="55"/>
  <c r="R41" i="55"/>
  <c r="R102" i="55"/>
  <c r="AD56" i="15"/>
  <c r="AD39" i="15"/>
  <c r="AD42" i="15"/>
  <c r="Y36" i="4"/>
  <c r="Y44" i="4"/>
  <c r="Y51" i="4"/>
  <c r="Y50" i="10"/>
  <c r="Y54" i="10"/>
  <c r="U39" i="58"/>
  <c r="U46" i="58"/>
  <c r="U47" i="58"/>
  <c r="I117" i="41"/>
  <c r="I26" i="9"/>
  <c r="P386" i="11"/>
  <c r="R25" i="41"/>
  <c r="R24" i="41"/>
  <c r="P224" i="22"/>
  <c r="L60" i="43"/>
  <c r="L64" i="43"/>
  <c r="L70" i="43"/>
  <c r="M385" i="11"/>
  <c r="Q109" i="58"/>
  <c r="Q100" i="58"/>
  <c r="Q107" i="58"/>
  <c r="AG92" i="11"/>
  <c r="AG152" i="11"/>
  <c r="AB40" i="58"/>
  <c r="AB50" i="58"/>
  <c r="Y25" i="16"/>
  <c r="Y24" i="16"/>
  <c r="Z29" i="17"/>
  <c r="Z66" i="10"/>
  <c r="V51" i="14"/>
  <c r="V52" i="4"/>
  <c r="V13" i="14"/>
  <c r="V14" i="14"/>
  <c r="V48" i="14"/>
  <c r="T36" i="4"/>
  <c r="T44" i="4"/>
  <c r="T51" i="4"/>
  <c r="T50" i="10"/>
  <c r="T51" i="10"/>
  <c r="T55" i="10"/>
  <c r="T58" i="10"/>
  <c r="AC142" i="11"/>
  <c r="AB119" i="12"/>
  <c r="AB118" i="12"/>
  <c r="AB108" i="12"/>
  <c r="N71" i="58"/>
  <c r="N62" i="58"/>
  <c r="S168" i="11"/>
  <c r="S104" i="11"/>
  <c r="D33" i="41"/>
  <c r="V110" i="48"/>
  <c r="V107" i="48"/>
  <c r="Y90" i="8"/>
  <c r="V9" i="56"/>
  <c r="Z14" i="15"/>
  <c r="Z20" i="15"/>
  <c r="Z45" i="8"/>
  <c r="Z52" i="8"/>
  <c r="Z72" i="8"/>
  <c r="Z23" i="15"/>
  <c r="V60" i="56"/>
  <c r="T103" i="12"/>
  <c r="AI57" i="16"/>
  <c r="AI54" i="16"/>
  <c r="D114" i="58"/>
  <c r="F13" i="58"/>
  <c r="AI28" i="17"/>
  <c r="W481" i="22"/>
  <c r="AM147" i="22"/>
  <c r="AM165" i="22"/>
  <c r="AI92" i="43"/>
  <c r="AJ203" i="12"/>
  <c r="AJ222" i="12"/>
  <c r="AJ225" i="12"/>
  <c r="Z212" i="11"/>
  <c r="Z136" i="11"/>
  <c r="AM165" i="12"/>
  <c r="L5" i="10"/>
  <c r="L5" i="8"/>
  <c r="L5" i="43"/>
  <c r="L5" i="15"/>
  <c r="L143" i="5"/>
  <c r="L5" i="18"/>
  <c r="L5" i="2"/>
  <c r="M5" i="12"/>
  <c r="L5" i="14"/>
  <c r="L5" i="13"/>
  <c r="L5" i="55"/>
  <c r="L5" i="1"/>
  <c r="L5" i="3"/>
  <c r="L5" i="9"/>
  <c r="L5" i="11"/>
  <c r="L5" i="4"/>
  <c r="L5" i="16"/>
  <c r="L5" i="17"/>
  <c r="AB515" i="22"/>
  <c r="AB39" i="13"/>
  <c r="AB45" i="13"/>
  <c r="AF25" i="13"/>
  <c r="AF24" i="13"/>
  <c r="AC87" i="12"/>
  <c r="AC86" i="12"/>
  <c r="AC27" i="12"/>
  <c r="AC72" i="12"/>
  <c r="AK224" i="12"/>
  <c r="T122" i="11"/>
  <c r="T193" i="11"/>
  <c r="O101" i="58"/>
  <c r="O110" i="58"/>
  <c r="P174" i="11"/>
  <c r="P173" i="11"/>
  <c r="P100" i="11"/>
  <c r="P164" i="11"/>
  <c r="P171" i="11"/>
  <c r="AH93" i="11"/>
  <c r="AH153" i="11"/>
  <c r="AH373" i="11"/>
  <c r="AH13" i="47"/>
  <c r="AR66" i="8"/>
  <c r="AR67" i="8"/>
  <c r="AR74" i="8"/>
  <c r="AD311" i="11"/>
  <c r="AC311" i="11"/>
  <c r="R210" i="11"/>
  <c r="R134" i="11"/>
  <c r="AG469" i="22"/>
  <c r="AG480" i="22"/>
  <c r="AD66" i="12"/>
  <c r="AD94" i="12"/>
  <c r="AD137" i="12"/>
  <c r="AC269" i="11"/>
  <c r="AC253" i="11"/>
  <c r="M121" i="11"/>
  <c r="M192" i="11"/>
  <c r="M199" i="11"/>
  <c r="M201" i="11"/>
  <c r="M202" i="11"/>
  <c r="M221" i="11"/>
  <c r="M224" i="11"/>
  <c r="M225" i="11"/>
  <c r="M9" i="14"/>
  <c r="H137" i="58"/>
  <c r="H138" i="58"/>
  <c r="L10" i="14"/>
  <c r="O326" i="11"/>
  <c r="P284" i="11"/>
  <c r="P285" i="11"/>
  <c r="D326" i="11"/>
  <c r="N326" i="11"/>
  <c r="AC41" i="9"/>
  <c r="AC42" i="9"/>
  <c r="AC13" i="17"/>
  <c r="AQ127" i="56"/>
  <c r="AQ126" i="56"/>
  <c r="W5" i="4"/>
  <c r="W5" i="18"/>
  <c r="W5" i="3"/>
  <c r="W5" i="9"/>
  <c r="W5" i="15"/>
  <c r="W5" i="55"/>
  <c r="W5" i="11"/>
  <c r="W5" i="17"/>
  <c r="W5" i="1"/>
  <c r="W5" i="43"/>
  <c r="X5" i="12"/>
  <c r="W5" i="2"/>
  <c r="W5" i="14"/>
  <c r="W5" i="10"/>
  <c r="W5" i="16"/>
  <c r="W5" i="13"/>
  <c r="W5" i="8"/>
  <c r="AK109" i="41"/>
  <c r="AK131" i="41"/>
  <c r="AK133" i="41"/>
  <c r="AF13" i="47"/>
  <c r="AF373" i="11"/>
  <c r="AE267" i="11"/>
  <c r="AE251" i="11"/>
  <c r="AK77" i="47"/>
  <c r="AK414" i="11"/>
  <c r="M36" i="4"/>
  <c r="M44" i="4"/>
  <c r="M51" i="4"/>
  <c r="M50" i="10"/>
  <c r="M52" i="10"/>
  <c r="P53" i="10"/>
  <c r="AC114" i="11"/>
  <c r="AC182" i="11"/>
  <c r="X84" i="58"/>
  <c r="X93" i="58"/>
  <c r="AE70" i="47"/>
  <c r="AE66" i="47"/>
  <c r="AG67" i="12"/>
  <c r="W8" i="9"/>
  <c r="W10" i="9"/>
  <c r="T224" i="22"/>
  <c r="Q213" i="12"/>
  <c r="I33" i="41"/>
  <c r="I35" i="41"/>
  <c r="D38" i="41"/>
  <c r="U207" i="11"/>
  <c r="U131" i="11"/>
  <c r="W97" i="11"/>
  <c r="W157" i="11"/>
  <c r="R45" i="58"/>
  <c r="R55" i="58"/>
  <c r="M124" i="11"/>
  <c r="M195" i="11"/>
  <c r="H103" i="58"/>
  <c r="H112" i="58"/>
  <c r="Y139" i="22"/>
  <c r="Y467" i="22"/>
  <c r="Y478" i="22"/>
  <c r="Y507" i="22"/>
  <c r="Y539" i="22"/>
  <c r="AG132" i="12"/>
  <c r="AG192" i="12"/>
  <c r="AG196" i="12"/>
  <c r="AE25" i="10"/>
  <c r="AE24" i="10"/>
  <c r="O161" i="11"/>
  <c r="O160" i="11"/>
  <c r="O91" i="11"/>
  <c r="O151" i="11"/>
  <c r="O158" i="11"/>
  <c r="AG58" i="56"/>
  <c r="AG59" i="56"/>
  <c r="X8" i="58"/>
  <c r="X20" i="58"/>
  <c r="W53" i="15"/>
  <c r="P234" i="48"/>
  <c r="P231" i="48"/>
  <c r="W91" i="11"/>
  <c r="W151" i="11"/>
  <c r="R39" i="58"/>
  <c r="R49" i="58"/>
  <c r="AI31" i="16"/>
  <c r="AI35" i="16"/>
  <c r="AC224" i="12"/>
  <c r="AD60" i="13"/>
  <c r="AD35" i="15"/>
  <c r="AD36" i="15"/>
  <c r="AD54" i="15"/>
  <c r="K25" i="12"/>
  <c r="K23" i="12"/>
  <c r="AB62" i="41"/>
  <c r="AB59" i="41"/>
  <c r="AB61" i="41"/>
  <c r="L57" i="16"/>
  <c r="L12" i="15"/>
  <c r="L32" i="16"/>
  <c r="L54" i="16"/>
  <c r="K55" i="16"/>
  <c r="P96" i="11"/>
  <c r="P156" i="11"/>
  <c r="K44" i="58"/>
  <c r="K54" i="58"/>
  <c r="R28" i="17"/>
  <c r="Z217" i="11"/>
  <c r="Z216" i="11"/>
  <c r="M95" i="11"/>
  <c r="M155" i="11"/>
  <c r="H43" i="58"/>
  <c r="H53" i="58"/>
  <c r="O45" i="8"/>
  <c r="O53" i="15"/>
  <c r="P94" i="11"/>
  <c r="P154" i="11"/>
  <c r="P391" i="11"/>
  <c r="P29" i="47"/>
  <c r="I7" i="54"/>
  <c r="K178" i="41"/>
  <c r="M177" i="12"/>
  <c r="M179" i="12"/>
  <c r="M178" i="12"/>
  <c r="L7" i="15"/>
  <c r="L10" i="18"/>
  <c r="L16" i="18"/>
  <c r="L42" i="18"/>
  <c r="L103" i="18"/>
  <c r="AC469" i="22"/>
  <c r="AC480" i="22"/>
  <c r="AC509" i="22"/>
  <c r="AC541" i="22"/>
  <c r="V233" i="48"/>
  <c r="K17" i="56"/>
  <c r="L102" i="48"/>
  <c r="Q137" i="56"/>
  <c r="Q136" i="56"/>
  <c r="AB132" i="12"/>
  <c r="AB192" i="12"/>
  <c r="AB196" i="12"/>
  <c r="AH48" i="14"/>
  <c r="AH27" i="4"/>
  <c r="AH46" i="4"/>
  <c r="AH47" i="4"/>
  <c r="AH52" i="4"/>
  <c r="AH13" i="14"/>
  <c r="AH14" i="14"/>
  <c r="AH51" i="14"/>
  <c r="Z26" i="9"/>
  <c r="Z117" i="41"/>
  <c r="N96" i="11"/>
  <c r="N156" i="11"/>
  <c r="N386" i="11"/>
  <c r="AL108" i="10"/>
  <c r="AL24" i="9"/>
  <c r="AL110" i="41"/>
  <c r="AL120" i="41"/>
  <c r="D311" i="11"/>
  <c r="AE311" i="11"/>
  <c r="AE316" i="11"/>
  <c r="L9" i="9"/>
  <c r="L146" i="41"/>
  <c r="L148" i="41"/>
  <c r="L152" i="41"/>
  <c r="W229" i="48"/>
  <c r="W226" i="48"/>
  <c r="AF56" i="5"/>
  <c r="AJ134" i="22"/>
  <c r="AH112" i="48"/>
  <c r="AF7" i="58"/>
  <c r="AL55" i="12"/>
  <c r="AL36" i="15"/>
  <c r="AL54" i="15"/>
  <c r="AD36" i="4"/>
  <c r="AD44" i="4"/>
  <c r="AD51" i="4"/>
  <c r="AD50" i="10"/>
  <c r="AD54" i="10"/>
  <c r="M185" i="12"/>
  <c r="M186" i="12"/>
  <c r="N188" i="12"/>
  <c r="M16" i="14"/>
  <c r="M20" i="14"/>
  <c r="M73" i="10"/>
  <c r="M75" i="10"/>
  <c r="M65" i="10"/>
  <c r="M76" i="10"/>
  <c r="D112" i="58"/>
  <c r="L27" i="12"/>
  <c r="L106" i="12"/>
  <c r="L112" i="12"/>
  <c r="L113" i="12"/>
  <c r="L125" i="12"/>
  <c r="L142" i="12"/>
  <c r="L163" i="12"/>
  <c r="F11" i="58"/>
  <c r="F19" i="58"/>
  <c r="W32" i="9"/>
  <c r="W47" i="17"/>
  <c r="AG31" i="16"/>
  <c r="AG77" i="16"/>
  <c r="AF78" i="16"/>
  <c r="AM148" i="22"/>
  <c r="AM210" i="22"/>
  <c r="AM212" i="22"/>
  <c r="AJ209" i="12"/>
  <c r="AJ230" i="12"/>
  <c r="AJ234" i="12"/>
  <c r="AI103" i="12"/>
  <c r="AL178" i="12"/>
  <c r="AK7" i="15"/>
  <c r="AK10" i="55"/>
  <c r="AK16" i="55"/>
  <c r="AK42" i="55"/>
  <c r="AK103" i="55"/>
  <c r="L5" i="47"/>
  <c r="L51" i="47"/>
  <c r="AH58" i="13"/>
  <c r="AH61" i="13"/>
  <c r="AI58" i="13"/>
  <c r="AI61" i="13"/>
  <c r="AI26" i="9"/>
  <c r="AI117" i="41"/>
  <c r="Z27" i="12"/>
  <c r="Z70" i="12"/>
  <c r="Z76" i="12"/>
  <c r="Z77" i="12"/>
  <c r="S105" i="11"/>
  <c r="S169" i="11"/>
  <c r="N63" i="58"/>
  <c r="N72" i="58"/>
  <c r="L323" i="11"/>
  <c r="M284" i="11"/>
  <c r="M285" i="11"/>
  <c r="D323" i="11"/>
  <c r="K323" i="11"/>
  <c r="X29" i="47"/>
  <c r="X391" i="11"/>
  <c r="L123" i="11"/>
  <c r="L194" i="11"/>
  <c r="L398" i="11"/>
  <c r="L61" i="47"/>
  <c r="AK241" i="12"/>
  <c r="AK251" i="12"/>
  <c r="AD138" i="22"/>
  <c r="AD466" i="22"/>
  <c r="AD477" i="22"/>
  <c r="AD506" i="22"/>
  <c r="AD538" i="22"/>
  <c r="W232" i="48"/>
  <c r="D49" i="8"/>
  <c r="X25" i="3"/>
  <c r="X24" i="3"/>
  <c r="S284" i="11"/>
  <c r="S285" i="11"/>
  <c r="S351" i="11"/>
  <c r="S27" i="15"/>
  <c r="AK37" i="3"/>
  <c r="AK40" i="3"/>
  <c r="AK42" i="3"/>
  <c r="K9" i="9"/>
  <c r="K146" i="41"/>
  <c r="K148" i="41"/>
  <c r="K152" i="41"/>
  <c r="AD62" i="12"/>
  <c r="AD132" i="12"/>
  <c r="AD192" i="12"/>
  <c r="AD196" i="12"/>
  <c r="AJ54" i="12"/>
  <c r="AD6" i="58"/>
  <c r="AI91" i="11"/>
  <c r="AI142" i="11"/>
  <c r="S141" i="41"/>
  <c r="S199" i="11"/>
  <c r="S201" i="11"/>
  <c r="S202" i="11"/>
  <c r="S221" i="11"/>
  <c r="S224" i="11"/>
  <c r="S225" i="11"/>
  <c r="S9" i="14"/>
  <c r="S106" i="41"/>
  <c r="L271" i="11"/>
  <c r="L278" i="11"/>
  <c r="D278" i="11"/>
  <c r="D280" i="11"/>
  <c r="M269" i="11"/>
  <c r="M253" i="11"/>
  <c r="K178" i="12"/>
  <c r="J7" i="15"/>
  <c r="J12" i="15"/>
  <c r="J32" i="16"/>
  <c r="J36" i="16"/>
  <c r="J54" i="13"/>
  <c r="J55" i="13"/>
  <c r="J56" i="13"/>
  <c r="AJ127" i="56"/>
  <c r="AJ126" i="56"/>
  <c r="AH270" i="11"/>
  <c r="AH254" i="11"/>
  <c r="W5" i="41"/>
  <c r="W102" i="41"/>
  <c r="AM224" i="22"/>
  <c r="AI60" i="43"/>
  <c r="AI64" i="43"/>
  <c r="AI70" i="43"/>
  <c r="M37" i="3"/>
  <c r="M40" i="3"/>
  <c r="M42" i="3"/>
  <c r="AF113" i="11"/>
  <c r="AF181" i="11"/>
  <c r="AA83" i="58"/>
  <c r="AA92" i="58"/>
  <c r="M101" i="11"/>
  <c r="M165" i="11"/>
  <c r="M375" i="11"/>
  <c r="M142" i="11"/>
  <c r="AN175" i="22"/>
  <c r="R203" i="22"/>
  <c r="N54" i="47"/>
  <c r="R272" i="22"/>
  <c r="AG175" i="22"/>
  <c r="S59" i="10"/>
  <c r="S78" i="10"/>
  <c r="S98" i="10"/>
  <c r="AI469" i="22"/>
  <c r="AI488" i="22"/>
  <c r="AF102" i="12"/>
  <c r="AF127" i="12"/>
  <c r="AF144" i="12"/>
  <c r="AE57" i="47"/>
  <c r="AE65" i="47"/>
  <c r="AE75" i="47"/>
  <c r="AE76" i="47"/>
  <c r="AJ476" i="22"/>
  <c r="AG62" i="12"/>
  <c r="AG90" i="12"/>
  <c r="AG95" i="12"/>
  <c r="O114" i="11"/>
  <c r="O182" i="11"/>
  <c r="J84" i="58"/>
  <c r="J93" i="58"/>
  <c r="AB470" i="22"/>
  <c r="AG111" i="48"/>
  <c r="AG228" i="48"/>
  <c r="AK56" i="12"/>
  <c r="AP46" i="4"/>
  <c r="AP47" i="4"/>
  <c r="AP97" i="10"/>
  <c r="AP100" i="10"/>
  <c r="AP104" i="10"/>
  <c r="AB339" i="11"/>
  <c r="D339" i="11"/>
  <c r="AA339" i="11"/>
  <c r="L105" i="41"/>
  <c r="P484" i="22"/>
  <c r="M98" i="12"/>
  <c r="M123" i="12"/>
  <c r="M140" i="12"/>
  <c r="M161" i="12"/>
  <c r="M166" i="12"/>
  <c r="M169" i="12"/>
  <c r="M170" i="12"/>
  <c r="L7" i="14"/>
  <c r="L46" i="14"/>
  <c r="W379" i="11"/>
  <c r="W382" i="11"/>
  <c r="W14" i="47"/>
  <c r="T94" i="11"/>
  <c r="T154" i="11"/>
  <c r="O42" i="58"/>
  <c r="O52" i="58"/>
  <c r="X118" i="48"/>
  <c r="AE513" i="22"/>
  <c r="AE518" i="22"/>
  <c r="AB107" i="58"/>
  <c r="AB100" i="58"/>
  <c r="AB109" i="58"/>
  <c r="W53" i="58"/>
  <c r="W43" i="58"/>
  <c r="W70" i="47"/>
  <c r="W66" i="47"/>
  <c r="R122" i="48"/>
  <c r="Y476" i="22"/>
  <c r="Y505" i="22"/>
  <c r="R117" i="48"/>
  <c r="AC23" i="14"/>
  <c r="AC104" i="10"/>
  <c r="AC100" i="10"/>
  <c r="AC97" i="10"/>
  <c r="M208" i="11"/>
  <c r="M132" i="11"/>
  <c r="P120" i="8"/>
  <c r="P114" i="8"/>
  <c r="P113" i="8"/>
  <c r="V79" i="10"/>
  <c r="V32" i="58"/>
  <c r="V23" i="58"/>
  <c r="O51" i="58"/>
  <c r="O41" i="58"/>
  <c r="I115" i="58"/>
  <c r="I106" i="58"/>
  <c r="K70" i="43"/>
  <c r="K64" i="43"/>
  <c r="K60" i="43"/>
  <c r="T141" i="58"/>
  <c r="T140" i="58"/>
  <c r="AC42" i="47"/>
  <c r="AC41" i="47"/>
  <c r="AC37" i="47"/>
  <c r="AL25" i="3"/>
  <c r="AL24" i="3"/>
  <c r="U232" i="48"/>
  <c r="AB538" i="22"/>
  <c r="AB138" i="22"/>
  <c r="AB466" i="22"/>
  <c r="AB477" i="22"/>
  <c r="AB506" i="22"/>
  <c r="AC92" i="58"/>
  <c r="AC83" i="58"/>
  <c r="AH181" i="11"/>
  <c r="AH113" i="11"/>
  <c r="P91" i="58"/>
  <c r="P82" i="58"/>
  <c r="U180" i="11"/>
  <c r="U112" i="11"/>
  <c r="W116" i="41"/>
  <c r="W25" i="9"/>
  <c r="E129" i="58"/>
  <c r="N191" i="22"/>
  <c r="N202" i="22"/>
  <c r="N204" i="22"/>
  <c r="J102" i="43"/>
  <c r="J106" i="43"/>
  <c r="J122" i="43"/>
  <c r="D9" i="15"/>
  <c r="AK137" i="56"/>
  <c r="AK136" i="56"/>
  <c r="AC114" i="58"/>
  <c r="AC105" i="58"/>
  <c r="T102" i="48"/>
  <c r="S17" i="56"/>
  <c r="AA52" i="15"/>
  <c r="AG147" i="41"/>
  <c r="AG233" i="11"/>
  <c r="AG235" i="11"/>
  <c r="AG23" i="9"/>
  <c r="AG27" i="9"/>
  <c r="S143" i="22"/>
  <c r="J4" i="58"/>
  <c r="AL252" i="12"/>
  <c r="AL242" i="12"/>
  <c r="AD522" i="22"/>
  <c r="AD511" i="22"/>
  <c r="S47" i="58"/>
  <c r="S46" i="58"/>
  <c r="T32" i="58"/>
  <c r="T23" i="58"/>
  <c r="AL52" i="15"/>
  <c r="L51" i="58"/>
  <c r="Q93" i="11"/>
  <c r="Q153" i="11"/>
  <c r="L41" i="58"/>
  <c r="AD128" i="12"/>
  <c r="AL209" i="11"/>
  <c r="AL133" i="11"/>
  <c r="X50" i="58"/>
  <c r="X40" i="58"/>
  <c r="AC152" i="11"/>
  <c r="AC92" i="11"/>
  <c r="AK30" i="12"/>
  <c r="AJ161" i="5"/>
  <c r="D121" i="11"/>
  <c r="AC73" i="58"/>
  <c r="AC64" i="58"/>
  <c r="Y28" i="17"/>
  <c r="V62" i="47"/>
  <c r="V405" i="11"/>
  <c r="V130" i="11"/>
  <c r="V206" i="11"/>
  <c r="V214" i="11"/>
  <c r="V403" i="11"/>
  <c r="AH474" i="22"/>
  <c r="AH471" i="22"/>
  <c r="T46" i="13"/>
  <c r="C90" i="18"/>
  <c r="I90" i="18"/>
  <c r="I110" i="48"/>
  <c r="I107" i="48"/>
  <c r="AJ188" i="11"/>
  <c r="AJ187" i="11"/>
  <c r="AJ110" i="11"/>
  <c r="AJ178" i="11"/>
  <c r="AJ185" i="11"/>
  <c r="AD30" i="58"/>
  <c r="AD26" i="58"/>
  <c r="T73" i="47"/>
  <c r="T412" i="11"/>
  <c r="T408" i="11"/>
  <c r="X175" i="41"/>
  <c r="X168" i="41"/>
  <c r="X166" i="41"/>
  <c r="AH56" i="13"/>
  <c r="AH55" i="13"/>
  <c r="AH54" i="13"/>
  <c r="AH36" i="16"/>
  <c r="X10" i="9"/>
  <c r="X8" i="9"/>
  <c r="AL14" i="47"/>
  <c r="AL382" i="11"/>
  <c r="AL130" i="11"/>
  <c r="AL206" i="11"/>
  <c r="AL214" i="11"/>
  <c r="AL379" i="11"/>
  <c r="T50" i="58"/>
  <c r="T40" i="58"/>
  <c r="Y152" i="11"/>
  <c r="Y92" i="11"/>
  <c r="P270" i="11"/>
  <c r="P254" i="11"/>
  <c r="Z40" i="13"/>
  <c r="J40" i="13"/>
  <c r="T70" i="43"/>
  <c r="T64" i="43"/>
  <c r="T60" i="43"/>
  <c r="R270" i="11"/>
  <c r="R254" i="11"/>
  <c r="AB10" i="9"/>
  <c r="AB8" i="9"/>
  <c r="AA488" i="22"/>
  <c r="X102" i="12"/>
  <c r="X127" i="12"/>
  <c r="X144" i="12"/>
  <c r="W57" i="47"/>
  <c r="W65" i="47"/>
  <c r="W75" i="47"/>
  <c r="W76" i="47"/>
  <c r="S66" i="58"/>
  <c r="S65" i="58"/>
  <c r="U53" i="15"/>
  <c r="L250" i="11"/>
  <c r="L266" i="11"/>
  <c r="D266" i="11"/>
  <c r="D271" i="11"/>
  <c r="AC232" i="11"/>
  <c r="N350" i="11"/>
  <c r="N346" i="11"/>
  <c r="N324" i="11"/>
  <c r="Z142" i="11"/>
  <c r="O207" i="11"/>
  <c r="O131" i="11"/>
  <c r="AK62" i="47"/>
  <c r="AK405" i="11"/>
  <c r="AK130" i="11"/>
  <c r="AK206" i="11"/>
  <c r="AK214" i="11"/>
  <c r="AK403" i="11"/>
  <c r="T68" i="58"/>
  <c r="T59" i="58"/>
  <c r="V31" i="58"/>
  <c r="V27" i="58"/>
  <c r="AH46" i="14"/>
  <c r="AH105" i="41"/>
  <c r="AC10" i="58"/>
  <c r="X188" i="11"/>
  <c r="X187" i="11"/>
  <c r="X185" i="11"/>
  <c r="J120" i="41"/>
  <c r="AB92" i="58"/>
  <c r="AB83" i="58"/>
  <c r="AG181" i="11"/>
  <c r="AG113" i="11"/>
  <c r="AK172" i="22"/>
  <c r="AK181" i="22"/>
  <c r="S57" i="8"/>
  <c r="S58" i="8"/>
  <c r="S73" i="8"/>
  <c r="S22" i="15"/>
  <c r="S24" i="15"/>
  <c r="S37" i="3"/>
  <c r="S40" i="3"/>
  <c r="S42" i="3"/>
  <c r="I5" i="4"/>
  <c r="I235" i="11"/>
  <c r="I234" i="11"/>
  <c r="I9" i="15"/>
  <c r="I12" i="55"/>
  <c r="D12" i="55"/>
  <c r="P106" i="11"/>
  <c r="P170" i="11"/>
  <c r="P387" i="11"/>
  <c r="AG56" i="12"/>
  <c r="AC111" i="48"/>
  <c r="AC228" i="48"/>
  <c r="AI276" i="22"/>
  <c r="AI267" i="22"/>
  <c r="AI213" i="12"/>
  <c r="L226" i="48"/>
  <c r="L229" i="48"/>
  <c r="X158" i="11"/>
  <c r="X160" i="11"/>
  <c r="X161" i="11"/>
  <c r="AH57" i="12"/>
  <c r="AH52" i="12"/>
  <c r="AB138" i="41"/>
  <c r="AB125" i="41"/>
  <c r="AF13" i="17"/>
  <c r="AF42" i="9"/>
  <c r="AF41" i="9"/>
  <c r="P28" i="12"/>
  <c r="O159" i="5"/>
  <c r="M71" i="58"/>
  <c r="M62" i="58"/>
  <c r="R168" i="11"/>
  <c r="R104" i="11"/>
  <c r="P123" i="11"/>
  <c r="P194" i="11"/>
  <c r="P398" i="11"/>
  <c r="P61" i="47"/>
  <c r="L185" i="11"/>
  <c r="L187" i="11"/>
  <c r="L188" i="11"/>
  <c r="AG92" i="58"/>
  <c r="AG83" i="58"/>
  <c r="AL181" i="11"/>
  <c r="AL113" i="11"/>
  <c r="AN133" i="22"/>
  <c r="AL93" i="11"/>
  <c r="AL153" i="11"/>
  <c r="AG41" i="58"/>
  <c r="AG51" i="58"/>
  <c r="O183" i="22"/>
  <c r="O185" i="22"/>
  <c r="K49" i="43"/>
  <c r="AI212" i="11"/>
  <c r="AI136" i="11"/>
  <c r="AB110" i="58"/>
  <c r="AB101" i="58"/>
  <c r="W103" i="12"/>
  <c r="AK10" i="47"/>
  <c r="AK7" i="47"/>
  <c r="D98" i="10"/>
  <c r="N98" i="10"/>
  <c r="AE68" i="58"/>
  <c r="AE59" i="58"/>
  <c r="AC515" i="22"/>
  <c r="AS141" i="56"/>
  <c r="AS140" i="56"/>
  <c r="AJ52" i="15"/>
  <c r="N127" i="11"/>
  <c r="N198" i="11"/>
  <c r="N411" i="11"/>
  <c r="N255" i="11"/>
  <c r="O47" i="58"/>
  <c r="O46" i="58"/>
  <c r="Z54" i="58"/>
  <c r="Z44" i="58"/>
  <c r="K384" i="11"/>
  <c r="T55" i="15"/>
  <c r="V40" i="13"/>
  <c r="AD73" i="47"/>
  <c r="AD412" i="11"/>
  <c r="AD408" i="11"/>
  <c r="AC116" i="41"/>
  <c r="AC25" i="9"/>
  <c r="AB25" i="13"/>
  <c r="AB24" i="13"/>
  <c r="AD187" i="22"/>
  <c r="AD189" i="22"/>
  <c r="AA207" i="12"/>
  <c r="AA210" i="12"/>
  <c r="O277" i="11"/>
  <c r="AP74" i="8"/>
  <c r="AP67" i="8"/>
  <c r="AP66" i="8"/>
  <c r="AM103" i="12"/>
  <c r="I50" i="58"/>
  <c r="I40" i="58"/>
  <c r="N152" i="11"/>
  <c r="N92" i="11"/>
  <c r="V95" i="58"/>
  <c r="V86" i="58"/>
  <c r="AA184" i="11"/>
  <c r="AA116" i="11"/>
  <c r="P89" i="8"/>
  <c r="P90" i="8"/>
  <c r="AU98" i="10"/>
  <c r="AU78" i="10"/>
  <c r="AU59" i="10"/>
  <c r="U25" i="3"/>
  <c r="U24" i="3"/>
  <c r="AH7" i="14"/>
  <c r="AC26" i="58"/>
  <c r="AC30" i="58"/>
  <c r="AA209" i="11"/>
  <c r="AA133" i="11"/>
  <c r="O224" i="22"/>
  <c r="L213" i="12"/>
  <c r="AH86" i="16"/>
  <c r="AH32" i="16"/>
  <c r="AH83" i="16"/>
  <c r="AG118" i="48"/>
  <c r="AN513" i="22"/>
  <c r="AN518" i="22"/>
  <c r="Z39" i="13"/>
  <c r="Z45" i="13"/>
  <c r="H233" i="48"/>
  <c r="O541" i="22"/>
  <c r="O469" i="22"/>
  <c r="O480" i="22"/>
  <c r="O509" i="22"/>
  <c r="AC130" i="11"/>
  <c r="AC206" i="11"/>
  <c r="AC214" i="11"/>
  <c r="AC216" i="11"/>
  <c r="AC217" i="11"/>
  <c r="AE181" i="22"/>
  <c r="AE172" i="22"/>
  <c r="Z285" i="11"/>
  <c r="Z351" i="11"/>
  <c r="Z27" i="15"/>
  <c r="AJ141" i="22"/>
  <c r="AA8" i="58"/>
  <c r="AA20" i="58"/>
  <c r="AE276" i="22"/>
  <c r="AE267" i="22"/>
  <c r="AD73" i="58"/>
  <c r="AD64" i="58"/>
  <c r="AH515" i="22"/>
  <c r="W73" i="58"/>
  <c r="W64" i="58"/>
  <c r="O93" i="58"/>
  <c r="O84" i="58"/>
  <c r="T182" i="11"/>
  <c r="T114" i="11"/>
  <c r="O13" i="47"/>
  <c r="O373" i="11"/>
  <c r="AE55" i="15"/>
  <c r="R127" i="56"/>
  <c r="R126" i="56"/>
  <c r="X386" i="11"/>
  <c r="T94" i="58"/>
  <c r="T85" i="58"/>
  <c r="Y183" i="11"/>
  <c r="Y115" i="11"/>
  <c r="Y101" i="11"/>
  <c r="Y165" i="11"/>
  <c r="Y375" i="11"/>
  <c r="AG46" i="13"/>
  <c r="O403" i="11"/>
  <c r="O405" i="11"/>
  <c r="O62" i="47"/>
  <c r="AL66" i="10"/>
  <c r="AL29" i="17"/>
  <c r="AK25" i="4"/>
  <c r="AK24" i="4"/>
  <c r="M13" i="47"/>
  <c r="M373" i="11"/>
  <c r="V207" i="11"/>
  <c r="V131" i="11"/>
  <c r="L112" i="58"/>
  <c r="L103" i="58"/>
  <c r="AF25" i="12"/>
  <c r="AF24" i="12"/>
  <c r="AA55" i="58"/>
  <c r="AA45" i="58"/>
  <c r="AF157" i="11"/>
  <c r="AF97" i="11"/>
  <c r="AF130" i="11"/>
  <c r="AF206" i="11"/>
  <c r="AF214" i="11"/>
  <c r="AF216" i="11"/>
  <c r="AF217" i="11"/>
  <c r="H92" i="58"/>
  <c r="H83" i="58"/>
  <c r="M181" i="11"/>
  <c r="M113" i="11"/>
  <c r="W55" i="41"/>
  <c r="Y177" i="12"/>
  <c r="Y179" i="12"/>
  <c r="Y178" i="12"/>
  <c r="X7" i="15"/>
  <c r="X12" i="15"/>
  <c r="X32" i="41"/>
  <c r="X54" i="41"/>
  <c r="X57" i="41"/>
  <c r="AC408" i="11"/>
  <c r="AC412" i="11"/>
  <c r="AC73" i="47"/>
  <c r="AC109" i="58"/>
  <c r="AC100" i="58"/>
  <c r="AC107" i="58"/>
  <c r="K113" i="58"/>
  <c r="K104" i="58"/>
  <c r="AH126" i="11"/>
  <c r="AH197" i="11"/>
  <c r="AH410" i="11"/>
  <c r="AL92" i="11"/>
  <c r="AL152" i="11"/>
  <c r="AG40" i="58"/>
  <c r="AG50" i="58"/>
  <c r="AA213" i="12"/>
  <c r="I358" i="11"/>
  <c r="I359" i="11"/>
  <c r="J361" i="11"/>
  <c r="J15" i="15"/>
  <c r="D15" i="15"/>
  <c r="V19" i="58"/>
  <c r="AB100" i="12"/>
  <c r="AB125" i="12"/>
  <c r="AB142" i="12"/>
  <c r="AB163" i="12"/>
  <c r="V11" i="58"/>
  <c r="V13" i="58"/>
  <c r="AE91" i="58"/>
  <c r="AE82" i="58"/>
  <c r="AJ180" i="11"/>
  <c r="AJ112" i="11"/>
  <c r="N162" i="12"/>
  <c r="N141" i="12"/>
  <c r="N124" i="12"/>
  <c r="N99" i="12"/>
  <c r="P522" i="22"/>
  <c r="P511" i="22"/>
  <c r="X96" i="11"/>
  <c r="X156" i="11"/>
  <c r="S44" i="58"/>
  <c r="S54" i="58"/>
  <c r="AB141" i="58"/>
  <c r="AB140" i="58"/>
  <c r="AB25" i="4"/>
  <c r="AB24" i="4"/>
  <c r="AL108" i="12"/>
  <c r="AL118" i="12"/>
  <c r="AL119" i="12"/>
  <c r="Z56" i="12"/>
  <c r="V111" i="48"/>
  <c r="V228" i="48"/>
  <c r="AA52" i="58"/>
  <c r="AA42" i="58"/>
  <c r="D151" i="11"/>
  <c r="D221" i="11"/>
  <c r="AJ145" i="12"/>
  <c r="I10" i="58"/>
  <c r="N105" i="41"/>
  <c r="N46" i="14"/>
  <c r="T104" i="8"/>
  <c r="T105" i="8"/>
  <c r="T119" i="8"/>
  <c r="T31" i="15"/>
  <c r="T33" i="15"/>
  <c r="T44" i="13"/>
  <c r="T47" i="13"/>
  <c r="X224" i="22"/>
  <c r="U213" i="12"/>
  <c r="P269" i="11"/>
  <c r="P253" i="11"/>
  <c r="R88" i="16"/>
  <c r="R59" i="16"/>
  <c r="AL133" i="41"/>
  <c r="AL131" i="41"/>
  <c r="AL105" i="41"/>
  <c r="AF110" i="11"/>
  <c r="AF178" i="11"/>
  <c r="AA80" i="58"/>
  <c r="AA89" i="58"/>
  <c r="AM143" i="22"/>
  <c r="AD4" i="58"/>
  <c r="M324" i="11"/>
  <c r="N285" i="11"/>
  <c r="D324" i="11"/>
  <c r="L324" i="11"/>
  <c r="P141" i="58"/>
  <c r="P140" i="58"/>
  <c r="N10" i="14"/>
  <c r="V13" i="17"/>
  <c r="V42" i="9"/>
  <c r="V41" i="9"/>
  <c r="J113" i="58"/>
  <c r="J104" i="58"/>
  <c r="V162" i="12"/>
  <c r="V141" i="12"/>
  <c r="V124" i="12"/>
  <c r="V99" i="12"/>
  <c r="M165" i="12"/>
  <c r="AK75" i="3"/>
  <c r="AA142" i="11"/>
  <c r="AB77" i="47"/>
  <c r="AB414" i="11"/>
  <c r="X470" i="22"/>
  <c r="U69" i="58"/>
  <c r="U60" i="58"/>
  <c r="Z166" i="11"/>
  <c r="Z102" i="11"/>
  <c r="AL269" i="11"/>
  <c r="AL253" i="11"/>
  <c r="U54" i="12"/>
  <c r="O6" i="58"/>
  <c r="R94" i="11"/>
  <c r="R154" i="11"/>
  <c r="M42" i="58"/>
  <c r="M52" i="58"/>
  <c r="W156" i="41"/>
  <c r="W158" i="41"/>
  <c r="W162" i="41"/>
  <c r="X107" i="10"/>
  <c r="X14" i="9"/>
  <c r="T13" i="47"/>
  <c r="T93" i="11"/>
  <c r="T153" i="11"/>
  <c r="T373" i="11"/>
  <c r="AG185" i="12"/>
  <c r="AG186" i="12"/>
  <c r="AH188" i="12"/>
  <c r="AG16" i="14"/>
  <c r="AG20" i="14"/>
  <c r="AG73" i="10"/>
  <c r="AG75" i="10"/>
  <c r="AG77" i="10"/>
  <c r="AG80" i="10"/>
  <c r="AG83" i="10"/>
  <c r="AG85" i="10"/>
  <c r="AG89" i="10"/>
  <c r="AG22" i="14"/>
  <c r="AG24" i="14"/>
  <c r="AG38" i="13"/>
  <c r="AG41" i="13"/>
  <c r="AG59" i="13"/>
  <c r="AG26" i="14"/>
  <c r="AG27" i="14"/>
  <c r="AG30" i="14"/>
  <c r="AL224" i="22"/>
  <c r="AH60" i="43"/>
  <c r="AH64" i="43"/>
  <c r="AH70" i="43"/>
  <c r="S110" i="11"/>
  <c r="S178" i="11"/>
  <c r="N80" i="58"/>
  <c r="N89" i="58"/>
  <c r="P77" i="47"/>
  <c r="P414" i="11"/>
  <c r="AK522" i="22"/>
  <c r="AK511" i="22"/>
  <c r="AD211" i="11"/>
  <c r="AD135" i="11"/>
  <c r="AL212" i="11"/>
  <c r="AL136" i="11"/>
  <c r="P470" i="22"/>
  <c r="I47" i="17"/>
  <c r="I32" i="9"/>
  <c r="X505" i="22"/>
  <c r="Q117" i="48"/>
  <c r="Q122" i="48"/>
  <c r="L211" i="11"/>
  <c r="L135" i="11"/>
  <c r="Q56" i="12"/>
  <c r="M228" i="48"/>
  <c r="M111" i="48"/>
  <c r="AG55" i="15"/>
  <c r="AB27" i="9"/>
  <c r="AB147" i="41"/>
  <c r="X229" i="48"/>
  <c r="X226" i="48"/>
  <c r="W56" i="13"/>
  <c r="W55" i="13"/>
  <c r="W54" i="13"/>
  <c r="X140" i="12"/>
  <c r="X161" i="12"/>
  <c r="X166" i="12"/>
  <c r="X169" i="12"/>
  <c r="X170" i="12"/>
  <c r="X177" i="12"/>
  <c r="X179" i="12"/>
  <c r="X178" i="12"/>
  <c r="W7" i="15"/>
  <c r="W12" i="15"/>
  <c r="W32" i="16"/>
  <c r="W36" i="16"/>
  <c r="T51" i="47"/>
  <c r="T5" i="47"/>
  <c r="Q25" i="8"/>
  <c r="Q24" i="8"/>
  <c r="AB95" i="11"/>
  <c r="AB155" i="11"/>
  <c r="AB385" i="11"/>
  <c r="P138" i="22"/>
  <c r="P466" i="22"/>
  <c r="P477" i="22"/>
  <c r="P506" i="22"/>
  <c r="P538" i="22"/>
  <c r="I232" i="48"/>
  <c r="AA54" i="15"/>
  <c r="AO165" i="22"/>
  <c r="AK92" i="43"/>
  <c r="AL203" i="12"/>
  <c r="AL222" i="12"/>
  <c r="AL225" i="12"/>
  <c r="AB106" i="11"/>
  <c r="AB170" i="11"/>
  <c r="AB387" i="11"/>
  <c r="T224" i="12"/>
  <c r="AI207" i="11"/>
  <c r="AI131" i="11"/>
  <c r="AJ68" i="47"/>
  <c r="AN165" i="22"/>
  <c r="AJ92" i="43"/>
  <c r="AJ96" i="43"/>
  <c r="AJ112" i="43"/>
  <c r="AJ114" i="43"/>
  <c r="AJ60" i="47"/>
  <c r="AJ63" i="47"/>
  <c r="AG97" i="48"/>
  <c r="AK162" i="22"/>
  <c r="AG34" i="43"/>
  <c r="AH200" i="12"/>
  <c r="AH218" i="12"/>
  <c r="AH223" i="12"/>
  <c r="AH243" i="12"/>
  <c r="AH247" i="12"/>
  <c r="AH248" i="12"/>
  <c r="AG8" i="14"/>
  <c r="AB125" i="58"/>
  <c r="P40" i="13"/>
  <c r="L97" i="11"/>
  <c r="L157" i="11"/>
  <c r="G45" i="58"/>
  <c r="G55" i="58"/>
  <c r="T8" i="58"/>
  <c r="T20" i="58"/>
  <c r="AC188" i="11"/>
  <c r="AC187" i="11"/>
  <c r="AC110" i="11"/>
  <c r="AC178" i="11"/>
  <c r="AC185" i="11"/>
  <c r="R484" i="22"/>
  <c r="O98" i="12"/>
  <c r="O123" i="12"/>
  <c r="O140" i="12"/>
  <c r="O161" i="12"/>
  <c r="O166" i="12"/>
  <c r="O169" i="12"/>
  <c r="O170" i="12"/>
  <c r="N7" i="14"/>
  <c r="I26" i="58"/>
  <c r="I30" i="58"/>
  <c r="Q42" i="47"/>
  <c r="Q41" i="47"/>
  <c r="Q37" i="47"/>
  <c r="AF181" i="22"/>
  <c r="AF172" i="22"/>
  <c r="AF128" i="12"/>
  <c r="I73" i="58"/>
  <c r="I64" i="58"/>
  <c r="AD188" i="11"/>
  <c r="AD187" i="11"/>
  <c r="AD185" i="11"/>
  <c r="D90" i="8"/>
  <c r="J90" i="8"/>
  <c r="AF226" i="48"/>
  <c r="AF229" i="48"/>
  <c r="AC29" i="17"/>
  <c r="AC66" i="10"/>
  <c r="AP43" i="8"/>
  <c r="AG30" i="58"/>
  <c r="AG26" i="58"/>
  <c r="Y90" i="47"/>
  <c r="Y89" i="47"/>
  <c r="Y85" i="47"/>
  <c r="AG53" i="58"/>
  <c r="AG43" i="58"/>
  <c r="AU84" i="10"/>
  <c r="I67" i="10"/>
  <c r="J63" i="10"/>
  <c r="J67" i="10"/>
  <c r="K63" i="10"/>
  <c r="K67" i="10"/>
  <c r="L63" i="10"/>
  <c r="L67" i="10"/>
  <c r="M63" i="10"/>
  <c r="M67" i="10"/>
  <c r="N63" i="10"/>
  <c r="N67" i="10"/>
  <c r="O63" i="10"/>
  <c r="O67" i="10"/>
  <c r="P63" i="10"/>
  <c r="P67" i="10"/>
  <c r="Q63" i="10"/>
  <c r="Q67" i="10"/>
  <c r="R63" i="10"/>
  <c r="R67" i="10"/>
  <c r="S63" i="10"/>
  <c r="S67" i="10"/>
  <c r="T63" i="10"/>
  <c r="T67" i="10"/>
  <c r="U63" i="10"/>
  <c r="U67" i="10"/>
  <c r="V63" i="10"/>
  <c r="V67" i="10"/>
  <c r="W63" i="10"/>
  <c r="W67" i="10"/>
  <c r="X63" i="10"/>
  <c r="X67" i="10"/>
  <c r="Y63" i="10"/>
  <c r="Y67" i="10"/>
  <c r="Z63" i="10"/>
  <c r="Z67" i="10"/>
  <c r="AA63" i="10"/>
  <c r="AA67" i="10"/>
  <c r="AB63" i="10"/>
  <c r="AB67" i="10"/>
  <c r="AC63" i="10"/>
  <c r="AC67" i="10"/>
  <c r="AD63" i="10"/>
  <c r="AD67" i="10"/>
  <c r="AE63" i="10"/>
  <c r="AE67" i="10"/>
  <c r="AF63" i="10"/>
  <c r="AF67" i="10"/>
  <c r="AG63" i="10"/>
  <c r="AG67" i="10"/>
  <c r="AH63" i="10"/>
  <c r="AH67" i="10"/>
  <c r="AI63" i="10"/>
  <c r="AI67" i="10"/>
  <c r="AJ63" i="10"/>
  <c r="AJ67" i="10"/>
  <c r="AK63" i="10"/>
  <c r="AK67" i="10"/>
  <c r="AL63" i="10"/>
  <c r="AL67" i="10"/>
  <c r="AM63" i="10"/>
  <c r="AM67" i="10"/>
  <c r="AN63" i="10"/>
  <c r="AN67" i="10"/>
  <c r="AO63" i="10"/>
  <c r="AO67" i="10"/>
  <c r="AP63" i="10"/>
  <c r="AP67" i="10"/>
  <c r="AQ63" i="10"/>
  <c r="AQ67" i="10"/>
  <c r="AR63" i="10"/>
  <c r="AR67" i="10"/>
  <c r="AS63" i="10"/>
  <c r="AS67" i="10"/>
  <c r="AT63" i="10"/>
  <c r="AT67" i="10"/>
  <c r="AU63" i="10"/>
  <c r="AU65" i="10"/>
  <c r="AU76" i="10"/>
  <c r="AU77" i="10"/>
  <c r="AU79" i="10"/>
  <c r="AK267" i="11"/>
  <c r="AK251" i="11"/>
  <c r="K48" i="9"/>
  <c r="K44" i="9"/>
  <c r="AI56" i="17"/>
  <c r="AI75" i="3"/>
  <c r="AI17" i="9"/>
  <c r="P515" i="22"/>
  <c r="AA69" i="58"/>
  <c r="AA60" i="58"/>
  <c r="AF166" i="11"/>
  <c r="AF102" i="11"/>
  <c r="AI181" i="22"/>
  <c r="AI172" i="22"/>
  <c r="M26" i="43"/>
  <c r="M25" i="43"/>
  <c r="Y97" i="48"/>
  <c r="AF147" i="22"/>
  <c r="AF165" i="22"/>
  <c r="AB92" i="43"/>
  <c r="AB96" i="43"/>
  <c r="AB112" i="43"/>
  <c r="AB114" i="43"/>
  <c r="AB60" i="47"/>
  <c r="AB63" i="47"/>
  <c r="AB68" i="47"/>
  <c r="AF10" i="9"/>
  <c r="AF8" i="9"/>
  <c r="S122" i="48"/>
  <c r="S117" i="48"/>
  <c r="D96" i="16"/>
  <c r="D95" i="16"/>
  <c r="D94" i="16"/>
  <c r="AL23" i="14"/>
  <c r="AL104" i="10"/>
  <c r="AL100" i="10"/>
  <c r="AL27" i="4"/>
  <c r="AL46" i="4"/>
  <c r="AL47" i="4"/>
  <c r="AL97" i="10"/>
  <c r="AF344" i="11"/>
  <c r="AG344" i="11"/>
  <c r="R16" i="14"/>
  <c r="R20" i="14"/>
  <c r="R73" i="10"/>
  <c r="R75" i="10"/>
  <c r="R77" i="10"/>
  <c r="R80" i="10"/>
  <c r="R83" i="10"/>
  <c r="R85" i="10"/>
  <c r="R89" i="10"/>
  <c r="R22" i="14"/>
  <c r="R24" i="14"/>
  <c r="R38" i="13"/>
  <c r="R41" i="13"/>
  <c r="R59" i="13"/>
  <c r="R26" i="14"/>
  <c r="R27" i="14"/>
  <c r="R30" i="14"/>
  <c r="W474" i="22"/>
  <c r="W471" i="22"/>
  <c r="S125" i="11"/>
  <c r="S196" i="11"/>
  <c r="S409" i="11"/>
  <c r="V54" i="15"/>
  <c r="AG122" i="11"/>
  <c r="AG193" i="11"/>
  <c r="AG400" i="11"/>
  <c r="O56" i="13"/>
  <c r="O55" i="13"/>
  <c r="O54" i="13"/>
  <c r="P178" i="12"/>
  <c r="O7" i="15"/>
  <c r="O12" i="15"/>
  <c r="O32" i="16"/>
  <c r="O36" i="16"/>
  <c r="R46" i="17"/>
  <c r="I156" i="41"/>
  <c r="I158" i="41"/>
  <c r="I162" i="41"/>
  <c r="AD5" i="43"/>
  <c r="AD5" i="4"/>
  <c r="AD5" i="1"/>
  <c r="AD5" i="13"/>
  <c r="AD5" i="15"/>
  <c r="AD5" i="18"/>
  <c r="AD5" i="11"/>
  <c r="AD5" i="55"/>
  <c r="AD5" i="2"/>
  <c r="AD5" i="8"/>
  <c r="AD5" i="17"/>
  <c r="AD5" i="16"/>
  <c r="AD5" i="14"/>
  <c r="AD5" i="10"/>
  <c r="AD5" i="9"/>
  <c r="AD5" i="3"/>
  <c r="AE5" i="12"/>
  <c r="Q22" i="14"/>
  <c r="Q24" i="14"/>
  <c r="Q38" i="13"/>
  <c r="Q41" i="13"/>
  <c r="Q59" i="13"/>
  <c r="Q60" i="13"/>
  <c r="Q35" i="15"/>
  <c r="Q21" i="55"/>
  <c r="Q23" i="55"/>
  <c r="Q57" i="55"/>
  <c r="Q56" i="55"/>
  <c r="AH105" i="11"/>
  <c r="AH169" i="11"/>
  <c r="AC63" i="58"/>
  <c r="AC72" i="58"/>
  <c r="Z54" i="15"/>
  <c r="X25" i="12"/>
  <c r="X24" i="12"/>
  <c r="R94" i="58"/>
  <c r="R85" i="58"/>
  <c r="W183" i="11"/>
  <c r="W115" i="11"/>
  <c r="P471" i="22"/>
  <c r="P474" i="22"/>
  <c r="O115" i="58"/>
  <c r="O106" i="58"/>
  <c r="AD123" i="11"/>
  <c r="AD194" i="11"/>
  <c r="Y102" i="58"/>
  <c r="Y111" i="58"/>
  <c r="T108" i="12"/>
  <c r="T118" i="12"/>
  <c r="T119" i="12"/>
  <c r="AE25" i="16"/>
  <c r="AE24" i="16"/>
  <c r="Y268" i="11"/>
  <c r="Y252" i="11"/>
  <c r="K8" i="58"/>
  <c r="K20" i="58"/>
  <c r="AG104" i="8"/>
  <c r="AG105" i="8"/>
  <c r="AG119" i="8"/>
  <c r="AG31" i="15"/>
  <c r="AG33" i="15"/>
  <c r="AG44" i="13"/>
  <c r="AG47" i="13"/>
  <c r="U474" i="22"/>
  <c r="U471" i="22"/>
  <c r="V29" i="17"/>
  <c r="V66" i="10"/>
  <c r="AI57" i="8"/>
  <c r="AI58" i="8"/>
  <c r="AI73" i="8"/>
  <c r="AI22" i="15"/>
  <c r="AI24" i="15"/>
  <c r="AI59" i="3"/>
  <c r="AI70" i="3"/>
  <c r="AI76" i="3"/>
  <c r="AJ73" i="3"/>
  <c r="AJ75" i="3"/>
  <c r="D252" i="11"/>
  <c r="AI284" i="11"/>
  <c r="AI285" i="11"/>
  <c r="AI351" i="11"/>
  <c r="AI27" i="15"/>
  <c r="AD224" i="22"/>
  <c r="Z60" i="43"/>
  <c r="Z64" i="43"/>
  <c r="Z70" i="43"/>
  <c r="AA42" i="15"/>
  <c r="AA20" i="14"/>
  <c r="AA73" i="10"/>
  <c r="AA75" i="10"/>
  <c r="AA77" i="10"/>
  <c r="AA80" i="10"/>
  <c r="AA83" i="10"/>
  <c r="AA85" i="10"/>
  <c r="AA89" i="10"/>
  <c r="AA22" i="14"/>
  <c r="AA24" i="14"/>
  <c r="AA38" i="13"/>
  <c r="AA41" i="13"/>
  <c r="AA59" i="13"/>
  <c r="AA60" i="13"/>
  <c r="AA35" i="15"/>
  <c r="AA36" i="15"/>
  <c r="AA39" i="15"/>
  <c r="AA56" i="15"/>
  <c r="AJ46" i="13"/>
  <c r="AJ470" i="22"/>
  <c r="T241" i="12"/>
  <c r="T251" i="12"/>
  <c r="AA114" i="11"/>
  <c r="AA182" i="11"/>
  <c r="V84" i="58"/>
  <c r="V93" i="58"/>
  <c r="W47" i="58"/>
  <c r="W46" i="58"/>
  <c r="S89" i="58"/>
  <c r="X110" i="11"/>
  <c r="X178" i="11"/>
  <c r="S80" i="58"/>
  <c r="T60" i="13"/>
  <c r="T35" i="15"/>
  <c r="T21" i="18"/>
  <c r="T23" i="18"/>
  <c r="T57" i="18"/>
  <c r="T56" i="18"/>
  <c r="AA25" i="3"/>
  <c r="AA24" i="3"/>
  <c r="I25" i="16"/>
  <c r="AL46" i="14"/>
  <c r="AP484" i="22"/>
  <c r="AM98" i="12"/>
  <c r="AM123" i="12"/>
  <c r="AM140" i="12"/>
  <c r="AM161" i="12"/>
  <c r="AM166" i="12"/>
  <c r="AM169" i="12"/>
  <c r="AM170" i="12"/>
  <c r="AL7" i="14"/>
  <c r="AG10" i="58"/>
  <c r="AF228" i="48"/>
  <c r="AJ56" i="12"/>
  <c r="AF111" i="48"/>
  <c r="X115" i="58"/>
  <c r="X106" i="58"/>
  <c r="AH25" i="4"/>
  <c r="AH24" i="4"/>
  <c r="AL95" i="11"/>
  <c r="AL155" i="11"/>
  <c r="AL385" i="11"/>
  <c r="D100" i="8"/>
  <c r="T127" i="11"/>
  <c r="T198" i="11"/>
  <c r="T411" i="11"/>
  <c r="O50" i="58"/>
  <c r="O40" i="58"/>
  <c r="T152" i="11"/>
  <c r="T92" i="11"/>
  <c r="R142" i="11"/>
  <c r="U196" i="12"/>
  <c r="U192" i="12"/>
  <c r="AG350" i="11"/>
  <c r="AG346" i="11"/>
  <c r="AG343" i="11"/>
  <c r="AI110" i="11"/>
  <c r="AI178" i="11"/>
  <c r="AD80" i="58"/>
  <c r="AD89" i="58"/>
  <c r="V138" i="41"/>
  <c r="V125" i="41"/>
  <c r="M115" i="58"/>
  <c r="M106" i="58"/>
  <c r="N269" i="11"/>
  <c r="N253" i="11"/>
  <c r="O400" i="11"/>
  <c r="Q58" i="9"/>
  <c r="Q30" i="9"/>
  <c r="Q33" i="9"/>
  <c r="Q35" i="9"/>
  <c r="T14" i="15"/>
  <c r="T20" i="15"/>
  <c r="P7" i="56"/>
  <c r="P11" i="56"/>
  <c r="P13" i="56"/>
  <c r="P14" i="56"/>
  <c r="P18" i="56"/>
  <c r="P125" i="11"/>
  <c r="P196" i="11"/>
  <c r="P409" i="11"/>
  <c r="V42" i="15"/>
  <c r="V20" i="14"/>
  <c r="V73" i="10"/>
  <c r="V75" i="10"/>
  <c r="V77" i="10"/>
  <c r="V80" i="10"/>
  <c r="V83" i="10"/>
  <c r="V85" i="10"/>
  <c r="V89" i="10"/>
  <c r="V22" i="14"/>
  <c r="V24" i="14"/>
  <c r="V38" i="13"/>
  <c r="V41" i="13"/>
  <c r="V59" i="13"/>
  <c r="V60" i="13"/>
  <c r="V35" i="15"/>
  <c r="V36" i="15"/>
  <c r="V39" i="15"/>
  <c r="V56" i="15"/>
  <c r="R31" i="9"/>
  <c r="R150" i="41"/>
  <c r="R152" i="41"/>
  <c r="AM522" i="22"/>
  <c r="AM511" i="22"/>
  <c r="AD5" i="47"/>
  <c r="AD51" i="47"/>
  <c r="V188" i="11"/>
  <c r="V187" i="11"/>
  <c r="V185" i="11"/>
  <c r="Z42" i="15"/>
  <c r="Z36" i="15"/>
  <c r="Z39" i="15"/>
  <c r="Z56" i="15"/>
  <c r="AB91" i="11"/>
  <c r="AB151" i="11"/>
  <c r="W39" i="58"/>
  <c r="W49" i="58"/>
  <c r="P110" i="11"/>
  <c r="P178" i="11"/>
  <c r="P185" i="11"/>
  <c r="P187" i="11"/>
  <c r="P188" i="11"/>
  <c r="X56" i="5"/>
  <c r="AB134" i="22"/>
  <c r="M69" i="58"/>
  <c r="M60" i="58"/>
  <c r="R166" i="11"/>
  <c r="R102" i="11"/>
  <c r="P185" i="12"/>
  <c r="P186" i="12"/>
  <c r="Q188" i="12"/>
  <c r="P16" i="14"/>
  <c r="P20" i="14"/>
  <c r="P73" i="10"/>
  <c r="P75" i="10"/>
  <c r="P77" i="10"/>
  <c r="P80" i="10"/>
  <c r="P83" i="10"/>
  <c r="P85" i="10"/>
  <c r="P89" i="10"/>
  <c r="P22" i="14"/>
  <c r="P24" i="14"/>
  <c r="P38" i="13"/>
  <c r="P41" i="13"/>
  <c r="P59" i="13"/>
  <c r="P26" i="14"/>
  <c r="P27" i="14"/>
  <c r="P30" i="14"/>
  <c r="T522" i="22"/>
  <c r="T511" i="22"/>
  <c r="O27" i="17"/>
  <c r="R232" i="11"/>
  <c r="Z8" i="9"/>
  <c r="Z10" i="9"/>
  <c r="V4" i="58"/>
  <c r="AE143" i="22"/>
  <c r="D46" i="4"/>
  <c r="X32" i="58"/>
  <c r="X23" i="58"/>
  <c r="Q188" i="11"/>
  <c r="Q187" i="11"/>
  <c r="Q110" i="11"/>
  <c r="Q178" i="11"/>
  <c r="Q185" i="11"/>
  <c r="X146" i="41"/>
  <c r="X9" i="9"/>
  <c r="X54" i="9"/>
  <c r="AI106" i="11"/>
  <c r="AI170" i="11"/>
  <c r="AI387" i="11"/>
  <c r="W40" i="13"/>
  <c r="AE111" i="11"/>
  <c r="AE179" i="11"/>
  <c r="Z81" i="58"/>
  <c r="Z90" i="58"/>
  <c r="J73" i="58"/>
  <c r="J64" i="58"/>
  <c r="AL105" i="11"/>
  <c r="AL169" i="11"/>
  <c r="AG63" i="58"/>
  <c r="AG72" i="58"/>
  <c r="AJ465" i="22"/>
  <c r="AJ471" i="22"/>
  <c r="AJ474" i="22"/>
  <c r="AC52" i="58"/>
  <c r="AC42" i="58"/>
  <c r="Q138" i="22"/>
  <c r="Q466" i="22"/>
  <c r="Q485" i="22"/>
  <c r="Q514" i="22"/>
  <c r="AB11" i="54"/>
  <c r="AE66" i="18"/>
  <c r="K141" i="58"/>
  <c r="K140" i="58"/>
  <c r="G50" i="58"/>
  <c r="G40" i="58"/>
  <c r="L152" i="11"/>
  <c r="L92" i="11"/>
  <c r="U73" i="58"/>
  <c r="U64" i="58"/>
  <c r="L66" i="47"/>
  <c r="L70" i="47"/>
  <c r="N24" i="15"/>
  <c r="N59" i="3"/>
  <c r="N70" i="3"/>
  <c r="N74" i="3"/>
  <c r="N26" i="15"/>
  <c r="N29" i="15"/>
  <c r="N92" i="8"/>
  <c r="AD74" i="8"/>
  <c r="AD67" i="8"/>
  <c r="AD66" i="8"/>
  <c r="S113" i="58"/>
  <c r="S104" i="58"/>
  <c r="W470" i="22"/>
  <c r="AA56" i="5"/>
  <c r="AE134" i="22"/>
  <c r="AE113" i="12"/>
  <c r="AE112" i="12"/>
  <c r="AE27" i="12"/>
  <c r="AE106" i="12"/>
  <c r="AD8" i="58"/>
  <c r="AD20" i="58"/>
  <c r="U25" i="10"/>
  <c r="U24" i="10"/>
  <c r="AC127" i="11"/>
  <c r="AC198" i="11"/>
  <c r="AC411" i="11"/>
  <c r="P52" i="4"/>
  <c r="P34" i="47"/>
  <c r="P35" i="47"/>
  <c r="AA73" i="58"/>
  <c r="AA64" i="58"/>
  <c r="Z106" i="11"/>
  <c r="Z170" i="11"/>
  <c r="Z387" i="11"/>
  <c r="V98" i="10"/>
  <c r="V78" i="10"/>
  <c r="O60" i="10"/>
  <c r="P57" i="10"/>
  <c r="P60" i="10"/>
  <c r="Q57" i="10"/>
  <c r="Q60" i="10"/>
  <c r="R57" i="10"/>
  <c r="R60" i="10"/>
  <c r="S57" i="10"/>
  <c r="S60" i="10"/>
  <c r="T57" i="10"/>
  <c r="T60" i="10"/>
  <c r="U57" i="10"/>
  <c r="U60" i="10"/>
  <c r="V57" i="10"/>
  <c r="V59" i="10"/>
  <c r="Q270" i="11"/>
  <c r="Q254" i="11"/>
  <c r="E114" i="58"/>
  <c r="G13" i="58"/>
  <c r="Y485" i="22"/>
  <c r="Y514" i="22"/>
  <c r="Z181" i="22"/>
  <c r="Z172" i="22"/>
  <c r="U132" i="12"/>
  <c r="U137" i="12"/>
  <c r="V132" i="41"/>
  <c r="V121" i="11"/>
  <c r="V192" i="11"/>
  <c r="V199" i="11"/>
  <c r="V201" i="11"/>
  <c r="V202" i="11"/>
  <c r="V221" i="11"/>
  <c r="V224" i="11"/>
  <c r="V225" i="11"/>
  <c r="V233" i="11"/>
  <c r="V235" i="11"/>
  <c r="V23" i="9"/>
  <c r="V114" i="41"/>
  <c r="V121" i="41"/>
  <c r="N232" i="48"/>
  <c r="U538" i="22"/>
  <c r="U506" i="22"/>
  <c r="R127" i="11"/>
  <c r="R198" i="11"/>
  <c r="R411" i="11"/>
  <c r="O122" i="11"/>
  <c r="O193" i="11"/>
  <c r="J101" i="58"/>
  <c r="J110" i="58"/>
  <c r="I77" i="16"/>
  <c r="I80" i="16"/>
  <c r="I90" i="16"/>
  <c r="D93" i="16"/>
  <c r="AH284" i="11"/>
  <c r="AH285" i="11"/>
  <c r="D344" i="11"/>
  <c r="AH344" i="11"/>
  <c r="AH346" i="11"/>
  <c r="AH350" i="11"/>
  <c r="P107" i="58"/>
  <c r="U121" i="11"/>
  <c r="U192" i="11"/>
  <c r="P100" i="58"/>
  <c r="P109" i="58"/>
  <c r="AI145" i="12"/>
  <c r="Y107" i="10"/>
  <c r="Y14" i="9"/>
  <c r="Z122" i="48"/>
  <c r="Z117" i="48"/>
  <c r="N106" i="11"/>
  <c r="N170" i="11"/>
  <c r="N387" i="11"/>
  <c r="X100" i="11"/>
  <c r="X164" i="11"/>
  <c r="S58" i="58"/>
  <c r="S67" i="58"/>
  <c r="Q19" i="56"/>
  <c r="Q15" i="56"/>
  <c r="AI77" i="47"/>
  <c r="AI414" i="11"/>
  <c r="U251" i="12"/>
  <c r="U241" i="12"/>
  <c r="X29" i="17"/>
  <c r="X66" i="10"/>
  <c r="AL37" i="47"/>
  <c r="AL41" i="47"/>
  <c r="AL42" i="47"/>
  <c r="AC68" i="47"/>
  <c r="AG165" i="22"/>
  <c r="AC92" i="43"/>
  <c r="AC96" i="43"/>
  <c r="AC112" i="43"/>
  <c r="AC114" i="43"/>
  <c r="AC60" i="47"/>
  <c r="AC63" i="47"/>
  <c r="Z97" i="48"/>
  <c r="AK78" i="16"/>
  <c r="AL77" i="16"/>
  <c r="X25" i="43"/>
  <c r="X26" i="43"/>
  <c r="AI107" i="10"/>
  <c r="AI14" i="9"/>
  <c r="AK46" i="13"/>
  <c r="R68" i="47"/>
  <c r="V165" i="22"/>
  <c r="R92" i="43"/>
  <c r="R96" i="43"/>
  <c r="R112" i="43"/>
  <c r="R114" i="43"/>
  <c r="R60" i="47"/>
  <c r="R63" i="47"/>
  <c r="O97" i="48"/>
  <c r="AD100" i="11"/>
  <c r="AD164" i="11"/>
  <c r="AD171" i="11"/>
  <c r="AD173" i="11"/>
  <c r="AD174" i="11"/>
  <c r="X107" i="48"/>
  <c r="X110" i="48"/>
  <c r="U209" i="11"/>
  <c r="U133" i="11"/>
  <c r="U88" i="47"/>
  <c r="U19" i="14"/>
  <c r="AB10" i="58"/>
  <c r="AG105" i="41"/>
  <c r="AG46" i="14"/>
  <c r="U107" i="10"/>
  <c r="U14" i="9"/>
  <c r="AA5" i="4"/>
  <c r="AA5" i="13"/>
  <c r="AA5" i="16"/>
  <c r="AA5" i="8"/>
  <c r="AB5" i="12"/>
  <c r="AA5" i="10"/>
  <c r="AA5" i="43"/>
  <c r="AA5" i="1"/>
  <c r="AA5" i="14"/>
  <c r="AA5" i="11"/>
  <c r="AA5" i="55"/>
  <c r="AA5" i="17"/>
  <c r="AA5" i="9"/>
  <c r="AA5" i="2"/>
  <c r="AA5" i="3"/>
  <c r="AA5" i="15"/>
  <c r="AA5" i="18"/>
  <c r="AE350" i="11"/>
  <c r="AE346" i="11"/>
  <c r="AE341" i="11"/>
  <c r="Z28" i="17"/>
  <c r="AB542" i="22"/>
  <c r="Z25" i="13"/>
  <c r="Z24" i="13"/>
  <c r="AL67" i="12"/>
  <c r="Q104" i="11"/>
  <c r="Q168" i="11"/>
  <c r="L62" i="58"/>
  <c r="L71" i="58"/>
  <c r="M213" i="11"/>
  <c r="M137" i="11"/>
  <c r="U72" i="58"/>
  <c r="U63" i="58"/>
  <c r="Z169" i="11"/>
  <c r="Z105" i="11"/>
  <c r="AC24" i="58"/>
  <c r="AC3" i="58"/>
  <c r="K55" i="58"/>
  <c r="K45" i="58"/>
  <c r="P157" i="11"/>
  <c r="P97" i="11"/>
  <c r="R409" i="11"/>
  <c r="AD120" i="41"/>
  <c r="AC211" i="11"/>
  <c r="AC135" i="11"/>
  <c r="AK70" i="47"/>
  <c r="AK66" i="47"/>
  <c r="Y48" i="14"/>
  <c r="Y52" i="4"/>
  <c r="Y13" i="14"/>
  <c r="Y14" i="14"/>
  <c r="Y51" i="14"/>
  <c r="L15" i="15"/>
  <c r="L38" i="47"/>
  <c r="P103" i="11"/>
  <c r="P167" i="11"/>
  <c r="K61" i="58"/>
  <c r="K70" i="58"/>
  <c r="W110" i="11"/>
  <c r="W178" i="11"/>
  <c r="R80" i="58"/>
  <c r="R89" i="58"/>
  <c r="AE67" i="58"/>
  <c r="AG66" i="47"/>
  <c r="AG70" i="47"/>
  <c r="AL410" i="11"/>
  <c r="U91" i="58"/>
  <c r="U82" i="58"/>
  <c r="Z180" i="11"/>
  <c r="Z112" i="11"/>
  <c r="O106" i="11"/>
  <c r="O170" i="11"/>
  <c r="O387" i="11"/>
  <c r="I23" i="16"/>
  <c r="D23" i="16"/>
  <c r="D25" i="16"/>
  <c r="Q11" i="56"/>
  <c r="Q13" i="56"/>
  <c r="AA24" i="10"/>
  <c r="AA25" i="10"/>
  <c r="M26" i="9"/>
  <c r="M117" i="41"/>
  <c r="AB132" i="41"/>
  <c r="AB121" i="11"/>
  <c r="AB192" i="11"/>
  <c r="AB199" i="11"/>
  <c r="AB201" i="11"/>
  <c r="AB202" i="11"/>
  <c r="AB221" i="11"/>
  <c r="AB224" i="11"/>
  <c r="AB225" i="11"/>
  <c r="AB233" i="11"/>
  <c r="AB235" i="11"/>
  <c r="AB23" i="9"/>
  <c r="AB114" i="41"/>
  <c r="AB121" i="41"/>
  <c r="N68" i="47"/>
  <c r="R147" i="22"/>
  <c r="R165" i="22"/>
  <c r="N92" i="43"/>
  <c r="N96" i="43"/>
  <c r="N112" i="43"/>
  <c r="N114" i="43"/>
  <c r="N60" i="47"/>
  <c r="N63" i="47"/>
  <c r="K97" i="48"/>
  <c r="AG229" i="48"/>
  <c r="AG226" i="48"/>
  <c r="AF232" i="11"/>
  <c r="P57" i="16"/>
  <c r="Q177" i="12"/>
  <c r="Q179" i="12"/>
  <c r="Q178" i="12"/>
  <c r="P7" i="15"/>
  <c r="P12" i="15"/>
  <c r="P32" i="16"/>
  <c r="P54" i="16"/>
  <c r="O55" i="16"/>
  <c r="AF106" i="11"/>
  <c r="AF170" i="11"/>
  <c r="AF387" i="11"/>
  <c r="AA54" i="47"/>
  <c r="AE272" i="22"/>
  <c r="AE203" i="22"/>
  <c r="E112" i="58"/>
  <c r="G11" i="58"/>
  <c r="G19" i="58"/>
  <c r="S128" i="12"/>
  <c r="X476" i="22"/>
  <c r="U62" i="12"/>
  <c r="U67" i="12"/>
  <c r="AE343" i="11"/>
  <c r="AG284" i="11"/>
  <c r="AG285" i="11"/>
  <c r="D343" i="11"/>
  <c r="AF343" i="11"/>
  <c r="Y29" i="17"/>
  <c r="Y66" i="10"/>
  <c r="X471" i="22"/>
  <c r="X474" i="22"/>
  <c r="K5" i="12"/>
  <c r="K179" i="12"/>
  <c r="J13" i="9"/>
  <c r="J109" i="41"/>
  <c r="J124" i="41"/>
  <c r="J137" i="41"/>
  <c r="J139" i="41"/>
  <c r="V97" i="11"/>
  <c r="V157" i="11"/>
  <c r="Q45" i="58"/>
  <c r="Q55" i="58"/>
  <c r="Y34" i="43"/>
  <c r="Z200" i="12"/>
  <c r="Z218" i="12"/>
  <c r="Z223" i="12"/>
  <c r="Z243" i="12"/>
  <c r="Z247" i="12"/>
  <c r="Z248" i="12"/>
  <c r="Y8" i="14"/>
  <c r="T125" i="58"/>
  <c r="P25" i="12"/>
  <c r="P24" i="12"/>
  <c r="L109" i="58"/>
  <c r="L100" i="58"/>
  <c r="L107" i="58"/>
  <c r="AH165" i="22"/>
  <c r="AH175" i="22"/>
  <c r="L252" i="11"/>
  <c r="L268" i="11"/>
  <c r="D268" i="11"/>
  <c r="AF42" i="15"/>
  <c r="AF39" i="15"/>
  <c r="AF56" i="15"/>
  <c r="AA185" i="12"/>
  <c r="AA186" i="12"/>
  <c r="AB188" i="12"/>
  <c r="AA16" i="14"/>
  <c r="AA85" i="47"/>
  <c r="AA89" i="47"/>
  <c r="AA90" i="47"/>
  <c r="S13" i="56"/>
  <c r="D14" i="15"/>
  <c r="D20" i="15"/>
  <c r="AL104" i="11"/>
  <c r="AL168" i="11"/>
  <c r="AG62" i="58"/>
  <c r="AG71" i="58"/>
  <c r="AG55" i="12"/>
  <c r="AC112" i="48"/>
  <c r="AA7" i="58"/>
  <c r="AK112" i="11"/>
  <c r="AK180" i="11"/>
  <c r="AF82" i="58"/>
  <c r="AF91" i="58"/>
  <c r="N59" i="10"/>
  <c r="N78" i="10"/>
  <c r="D78" i="10"/>
  <c r="U224" i="12"/>
  <c r="X91" i="11"/>
  <c r="X151" i="11"/>
  <c r="S39" i="58"/>
  <c r="S49" i="58"/>
  <c r="AE505" i="22"/>
  <c r="AE511" i="22"/>
  <c r="AE522" i="22"/>
  <c r="U34" i="43"/>
  <c r="V200" i="12"/>
  <c r="V218" i="12"/>
  <c r="V223" i="12"/>
  <c r="V243" i="12"/>
  <c r="V247" i="12"/>
  <c r="V248" i="12"/>
  <c r="U8" i="14"/>
  <c r="P125" i="58"/>
  <c r="AE104" i="8"/>
  <c r="AE105" i="8"/>
  <c r="AE119" i="8"/>
  <c r="AE31" i="15"/>
  <c r="AE33" i="15"/>
  <c r="AE28" i="18"/>
  <c r="AE29" i="18"/>
  <c r="AE67" i="18"/>
  <c r="AB12" i="54"/>
  <c r="AC203" i="22"/>
  <c r="AC272" i="22"/>
  <c r="AC141" i="22"/>
  <c r="AC147" i="22"/>
  <c r="Y54" i="47"/>
  <c r="AL35" i="16"/>
  <c r="AM176" i="12"/>
  <c r="AM178" i="12"/>
  <c r="AL7" i="15"/>
  <c r="AL12" i="15"/>
  <c r="AL31" i="16"/>
  <c r="AL48" i="16"/>
  <c r="P25" i="16"/>
  <c r="P24" i="16"/>
  <c r="AD46" i="13"/>
  <c r="AB187" i="22"/>
  <c r="AB189" i="22"/>
  <c r="X50" i="43"/>
  <c r="X54" i="43"/>
  <c r="X69" i="43"/>
  <c r="O125" i="11"/>
  <c r="O196" i="11"/>
  <c r="O409" i="11"/>
  <c r="T481" i="22"/>
  <c r="O20" i="14"/>
  <c r="O156" i="41"/>
  <c r="O158" i="41"/>
  <c r="O162" i="41"/>
  <c r="O39" i="58"/>
  <c r="O49" i="58"/>
  <c r="L110" i="11"/>
  <c r="L178" i="11"/>
  <c r="D178" i="11"/>
  <c r="AE114" i="11"/>
  <c r="AE182" i="11"/>
  <c r="Z84" i="58"/>
  <c r="Z93" i="58"/>
  <c r="AC123" i="11"/>
  <c r="AC194" i="11"/>
  <c r="X102" i="58"/>
  <c r="X111" i="58"/>
  <c r="AL126" i="11"/>
  <c r="AL197" i="11"/>
  <c r="AG105" i="58"/>
  <c r="AG114" i="58"/>
  <c r="U40" i="47"/>
  <c r="AG7" i="14"/>
  <c r="AB26" i="58"/>
  <c r="AB30" i="58"/>
  <c r="L84" i="16"/>
  <c r="N178" i="12"/>
  <c r="M7" i="15"/>
  <c r="M12" i="15"/>
  <c r="M32" i="16"/>
  <c r="M83" i="16"/>
  <c r="M86" i="16"/>
  <c r="AA5" i="41"/>
  <c r="AA102" i="41"/>
  <c r="AJ25" i="8"/>
  <c r="AJ24" i="8"/>
  <c r="AB476" i="22"/>
  <c r="AB505" i="22"/>
  <c r="AB537" i="22"/>
  <c r="U231" i="48"/>
  <c r="U234" i="48"/>
  <c r="AI175" i="22"/>
  <c r="K57" i="41"/>
  <c r="K32" i="41"/>
  <c r="K54" i="41"/>
  <c r="J55" i="41"/>
  <c r="AF36" i="15"/>
  <c r="AF54" i="15"/>
  <c r="AG211" i="11"/>
  <c r="AG135" i="11"/>
  <c r="AH470" i="22"/>
  <c r="M234" i="48"/>
  <c r="M231" i="48"/>
  <c r="W14" i="15"/>
  <c r="W20" i="15"/>
  <c r="S7" i="56"/>
  <c r="S11" i="56"/>
  <c r="S15" i="56"/>
  <c r="S19" i="56"/>
  <c r="V139" i="22"/>
  <c r="V467" i="22"/>
  <c r="V478" i="22"/>
  <c r="V507" i="22"/>
  <c r="V539" i="22"/>
  <c r="Q14" i="55"/>
  <c r="Q77" i="10"/>
  <c r="Q80" i="10"/>
  <c r="Q83" i="10"/>
  <c r="Q85" i="10"/>
  <c r="Q89" i="10"/>
  <c r="Q90" i="10"/>
  <c r="Q11" i="15"/>
  <c r="Q14" i="18"/>
  <c r="O90" i="18"/>
  <c r="U90" i="18"/>
  <c r="AV90" i="18"/>
  <c r="T90" i="18"/>
  <c r="AU71" i="18"/>
  <c r="AQ71" i="18"/>
  <c r="AD71" i="18"/>
  <c r="AI90" i="18"/>
  <c r="AB71" i="18"/>
  <c r="AM90" i="18"/>
  <c r="Q90" i="18"/>
  <c r="AF71" i="18"/>
  <c r="AX90" i="18"/>
  <c r="K90" i="18"/>
  <c r="AV71" i="18"/>
  <c r="X90" i="18"/>
  <c r="O71" i="18"/>
  <c r="AB90" i="18"/>
  <c r="AH71" i="18"/>
  <c r="R71" i="18"/>
  <c r="S90" i="18"/>
  <c r="AS71" i="18"/>
  <c r="AR90" i="18"/>
  <c r="AW90" i="18"/>
  <c r="T71" i="18"/>
  <c r="Z71" i="18"/>
  <c r="I71" i="18"/>
  <c r="U71" i="18"/>
  <c r="AP90" i="18"/>
  <c r="V71" i="18"/>
  <c r="AJ71" i="18"/>
  <c r="AG90" i="18"/>
  <c r="P90" i="18"/>
  <c r="AA90" i="18"/>
  <c r="AR71" i="18"/>
  <c r="X71" i="18"/>
  <c r="Q71" i="18"/>
  <c r="AJ90" i="18"/>
  <c r="M90" i="18"/>
  <c r="L71" i="18"/>
  <c r="W90" i="18"/>
  <c r="N90" i="18"/>
  <c r="V90" i="18"/>
  <c r="R90" i="18"/>
  <c r="M71" i="18"/>
  <c r="AS90" i="18"/>
  <c r="F11" i="54"/>
  <c r="AG71" i="18"/>
  <c r="AQ90" i="18"/>
  <c r="AT71" i="18"/>
  <c r="AT90" i="18"/>
  <c r="AM71" i="18"/>
  <c r="AU90" i="18"/>
  <c r="AP71" i="18"/>
  <c r="N71" i="18"/>
  <c r="AN90" i="18"/>
  <c r="Z90" i="18"/>
  <c r="AO71" i="18"/>
  <c r="E71" i="18"/>
  <c r="J90" i="18"/>
  <c r="Y90" i="18"/>
  <c r="AL90" i="18"/>
  <c r="AH90" i="18"/>
  <c r="AO90" i="18"/>
  <c r="AK71" i="18"/>
  <c r="AE90" i="18"/>
  <c r="AL71" i="18"/>
  <c r="J71" i="18"/>
  <c r="AC90" i="18"/>
  <c r="S71" i="18"/>
  <c r="K71" i="18"/>
  <c r="AE71" i="18"/>
  <c r="W71" i="18"/>
  <c r="AI71" i="18"/>
  <c r="AA71" i="18"/>
  <c r="AW71" i="18"/>
  <c r="AK90" i="18"/>
  <c r="AC71" i="18"/>
  <c r="AF90" i="18"/>
  <c r="L90" i="18"/>
  <c r="Y71" i="18"/>
  <c r="F71" i="18"/>
  <c r="P71" i="18"/>
  <c r="AD90" i="18"/>
  <c r="AN71" i="18"/>
  <c r="I32" i="15"/>
  <c r="I33" i="15"/>
  <c r="I28" i="18"/>
  <c r="I29" i="18"/>
  <c r="I67" i="18"/>
  <c r="I66" i="18"/>
  <c r="D71" i="18"/>
  <c r="P143" i="22"/>
  <c r="G4" i="58"/>
  <c r="R125" i="11"/>
  <c r="R196" i="11"/>
  <c r="M104" i="58"/>
  <c r="M113" i="58"/>
  <c r="O212" i="11"/>
  <c r="O136" i="11"/>
  <c r="AD13" i="9"/>
  <c r="AD109" i="41"/>
  <c r="AD131" i="41"/>
  <c r="AD133" i="41"/>
  <c r="AI105" i="41"/>
  <c r="AI46" i="14"/>
  <c r="AI7" i="14"/>
  <c r="AD10" i="58"/>
  <c r="AO469" i="22"/>
  <c r="AO488" i="22"/>
  <c r="AL102" i="12"/>
  <c r="AL127" i="12"/>
  <c r="AL144" i="12"/>
  <c r="AK57" i="47"/>
  <c r="AK65" i="47"/>
  <c r="AK75" i="47"/>
  <c r="AK76" i="47"/>
  <c r="N13" i="18"/>
  <c r="N250" i="11"/>
  <c r="N266" i="11"/>
  <c r="N271" i="11"/>
  <c r="N278" i="11"/>
  <c r="N280" i="11"/>
  <c r="N279" i="11"/>
  <c r="N10" i="15"/>
  <c r="N13" i="55"/>
  <c r="K358" i="11"/>
  <c r="K359" i="11"/>
  <c r="L361" i="11"/>
  <c r="L17" i="14"/>
  <c r="L86" i="47"/>
  <c r="AG265" i="22"/>
  <c r="AG274" i="22"/>
  <c r="AG277" i="22"/>
  <c r="T52" i="14"/>
  <c r="T49" i="14"/>
  <c r="AJ100" i="11"/>
  <c r="AJ164" i="11"/>
  <c r="AE58" i="58"/>
  <c r="AE65" i="58"/>
  <c r="AE66" i="58"/>
  <c r="AK488" i="22"/>
  <c r="AH102" i="12"/>
  <c r="AH127" i="12"/>
  <c r="AH144" i="12"/>
  <c r="AG57" i="47"/>
  <c r="AG65" i="47"/>
  <c r="AG75" i="47"/>
  <c r="AG76" i="47"/>
  <c r="D233" i="11"/>
  <c r="D235" i="11"/>
  <c r="AD43" i="8"/>
  <c r="V100" i="11"/>
  <c r="V164" i="11"/>
  <c r="V171" i="11"/>
  <c r="V173" i="11"/>
  <c r="V174" i="11"/>
  <c r="AH106" i="11"/>
  <c r="AH170" i="11"/>
  <c r="AH387" i="11"/>
  <c r="W89" i="58"/>
  <c r="W80" i="58"/>
  <c r="AC522" i="22"/>
  <c r="AC511" i="22"/>
  <c r="S20" i="58"/>
  <c r="S8" i="58"/>
  <c r="Z51" i="47"/>
  <c r="Z5" i="47"/>
  <c r="AE110" i="58"/>
  <c r="AE101" i="58"/>
  <c r="Q119" i="12"/>
  <c r="Q118" i="12"/>
  <c r="Q27" i="12"/>
  <c r="Q108" i="12"/>
  <c r="N89" i="8"/>
  <c r="N90" i="8"/>
  <c r="AJ70" i="43"/>
  <c r="AJ64" i="43"/>
  <c r="AJ60" i="43"/>
  <c r="AD268" i="11"/>
  <c r="AD252" i="11"/>
  <c r="H52" i="58"/>
  <c r="M94" i="11"/>
  <c r="M154" i="11"/>
  <c r="H42" i="58"/>
  <c r="AI88" i="47"/>
  <c r="AI19" i="14"/>
  <c r="P34" i="43"/>
  <c r="Q200" i="12"/>
  <c r="Q218" i="12"/>
  <c r="Q223" i="12"/>
  <c r="Q243" i="12"/>
  <c r="Q247" i="12"/>
  <c r="Q248" i="12"/>
  <c r="P8" i="14"/>
  <c r="K125" i="58"/>
  <c r="R74" i="8"/>
  <c r="R67" i="8"/>
  <c r="R66" i="8"/>
  <c r="AB88" i="47"/>
  <c r="AB19" i="14"/>
  <c r="U25" i="16"/>
  <c r="U24" i="16"/>
  <c r="AJ84" i="41"/>
  <c r="AJ81" i="41"/>
  <c r="I49" i="58"/>
  <c r="I55" i="58"/>
  <c r="I45" i="58"/>
  <c r="N157" i="11"/>
  <c r="N97" i="11"/>
  <c r="Z25" i="8"/>
  <c r="Z24" i="8"/>
  <c r="AE152" i="41"/>
  <c r="AE150" i="41"/>
  <c r="O53" i="58"/>
  <c r="O43" i="58"/>
  <c r="U110" i="58"/>
  <c r="U101" i="58"/>
  <c r="I76" i="10"/>
  <c r="D65" i="10"/>
  <c r="Y71" i="58"/>
  <c r="Y62" i="58"/>
  <c r="AD168" i="11"/>
  <c r="AD104" i="11"/>
  <c r="AE312" i="11"/>
  <c r="AD312" i="11"/>
  <c r="AM224" i="12"/>
  <c r="X316" i="11"/>
  <c r="X304" i="11"/>
  <c r="X10" i="47"/>
  <c r="X7" i="47"/>
  <c r="O188" i="11"/>
  <c r="O187" i="11"/>
  <c r="O185" i="11"/>
  <c r="X56" i="18"/>
  <c r="X57" i="18"/>
  <c r="X23" i="18"/>
  <c r="X60" i="13"/>
  <c r="X35" i="15"/>
  <c r="X21" i="18"/>
  <c r="W59" i="56"/>
  <c r="AA57" i="8"/>
  <c r="AA58" i="8"/>
  <c r="AA73" i="8"/>
  <c r="AA22" i="15"/>
  <c r="W58" i="56"/>
  <c r="O174" i="11"/>
  <c r="O173" i="11"/>
  <c r="O171" i="11"/>
  <c r="AG23" i="14"/>
  <c r="AG104" i="10"/>
  <c r="AG100" i="10"/>
  <c r="AG97" i="10"/>
  <c r="AJ508" i="22"/>
  <c r="T35" i="16"/>
  <c r="AR86" i="16"/>
  <c r="AR84" i="16"/>
  <c r="V47" i="17"/>
  <c r="V32" i="9"/>
  <c r="Q269" i="11"/>
  <c r="Q253" i="11"/>
  <c r="T70" i="58"/>
  <c r="T61" i="58"/>
  <c r="Y167" i="11"/>
  <c r="Y103" i="11"/>
  <c r="J25" i="16"/>
  <c r="J23" i="16"/>
  <c r="U45" i="13"/>
  <c r="U39" i="13"/>
  <c r="M92" i="8"/>
  <c r="M29" i="15"/>
  <c r="M26" i="15"/>
  <c r="M57" i="8"/>
  <c r="M58" i="8"/>
  <c r="M73" i="8"/>
  <c r="M22" i="15"/>
  <c r="M24" i="15"/>
  <c r="M59" i="3"/>
  <c r="M70" i="3"/>
  <c r="M74" i="3"/>
  <c r="U470" i="22"/>
  <c r="L32" i="58"/>
  <c r="L23" i="58"/>
  <c r="Y138" i="58"/>
  <c r="Y137" i="58"/>
  <c r="S470" i="22"/>
  <c r="AL137" i="12"/>
  <c r="Y53" i="58"/>
  <c r="Y43" i="58"/>
  <c r="Z25" i="9"/>
  <c r="Z116" i="41"/>
  <c r="Z90" i="47"/>
  <c r="Z89" i="47"/>
  <c r="Z85" i="47"/>
  <c r="AD213" i="11"/>
  <c r="AD137" i="11"/>
  <c r="AA61" i="47"/>
  <c r="AA398" i="11"/>
  <c r="AI268" i="11"/>
  <c r="AI252" i="11"/>
  <c r="AA125" i="58"/>
  <c r="K55" i="15"/>
  <c r="AA486" i="22"/>
  <c r="X100" i="12"/>
  <c r="X125" i="12"/>
  <c r="X142" i="12"/>
  <c r="X163" i="12"/>
  <c r="R27" i="58"/>
  <c r="R31" i="58"/>
  <c r="P57" i="8"/>
  <c r="P58" i="8"/>
  <c r="P73" i="8"/>
  <c r="P22" i="15"/>
  <c r="L58" i="56"/>
  <c r="L59" i="56"/>
  <c r="AA174" i="11"/>
  <c r="AA173" i="11"/>
  <c r="AA100" i="11"/>
  <c r="AA164" i="11"/>
  <c r="AA171" i="11"/>
  <c r="AN66" i="8"/>
  <c r="AN67" i="8"/>
  <c r="AN74" i="8"/>
  <c r="AA411" i="11"/>
  <c r="AB276" i="22"/>
  <c r="AB267" i="22"/>
  <c r="I39" i="58"/>
  <c r="I46" i="58"/>
  <c r="I47" i="58"/>
  <c r="AN138" i="22"/>
  <c r="AN466" i="22"/>
  <c r="AN477" i="22"/>
  <c r="AN506" i="22"/>
  <c r="AN538" i="22"/>
  <c r="AG232" i="48"/>
  <c r="M105" i="41"/>
  <c r="H10" i="58"/>
  <c r="M46" i="14"/>
  <c r="I65" i="10"/>
  <c r="K66" i="10"/>
  <c r="K29" i="17"/>
  <c r="AB26" i="9"/>
  <c r="AB117" i="41"/>
  <c r="AD476" i="22"/>
  <c r="AD505" i="22"/>
  <c r="W117" i="48"/>
  <c r="W122" i="48"/>
  <c r="AF284" i="11"/>
  <c r="D312" i="11"/>
  <c r="AF312" i="11"/>
  <c r="AF316" i="11"/>
  <c r="R105" i="41"/>
  <c r="M10" i="58"/>
  <c r="R46" i="14"/>
  <c r="AD95" i="58"/>
  <c r="AD86" i="58"/>
  <c r="AI184" i="11"/>
  <c r="AI116" i="11"/>
  <c r="R207" i="11"/>
  <c r="R131" i="11"/>
  <c r="W88" i="16"/>
  <c r="AA505" i="22"/>
  <c r="AA511" i="22"/>
  <c r="AA522" i="22"/>
  <c r="Q188" i="22"/>
  <c r="Q270" i="22"/>
  <c r="N111" i="48"/>
  <c r="R56" i="12"/>
  <c r="N228" i="48"/>
  <c r="AJ140" i="22"/>
  <c r="AJ468" i="22"/>
  <c r="AJ479" i="22"/>
  <c r="AG65" i="12"/>
  <c r="AG135" i="12"/>
  <c r="AG5" i="14"/>
  <c r="AG5" i="55"/>
  <c r="AG5" i="2"/>
  <c r="AG5" i="4"/>
  <c r="AG5" i="9"/>
  <c r="AG5" i="13"/>
  <c r="AG5" i="8"/>
  <c r="AG5" i="1"/>
  <c r="AG5" i="15"/>
  <c r="AG5" i="43"/>
  <c r="AG5" i="11"/>
  <c r="AG5" i="16"/>
  <c r="AG5" i="10"/>
  <c r="AH5" i="12"/>
  <c r="AG5" i="17"/>
  <c r="AG5" i="18"/>
  <c r="AG5" i="3"/>
  <c r="AJ106" i="41"/>
  <c r="AJ141" i="41"/>
  <c r="Q54" i="10"/>
  <c r="S25" i="47"/>
  <c r="S24" i="47"/>
  <c r="S388" i="11"/>
  <c r="S384" i="11"/>
  <c r="AI277" i="22"/>
  <c r="AI274" i="22"/>
  <c r="AI265" i="22"/>
  <c r="N28" i="17"/>
  <c r="AG124" i="11"/>
  <c r="AG195" i="11"/>
  <c r="AG414" i="11"/>
  <c r="AG77" i="47"/>
  <c r="I56" i="13"/>
  <c r="I55" i="13"/>
  <c r="I54" i="13"/>
  <c r="S471" i="22"/>
  <c r="S474" i="22"/>
  <c r="AL62" i="12"/>
  <c r="AL132" i="12"/>
  <c r="AL192" i="12"/>
  <c r="AL196" i="12"/>
  <c r="AJ284" i="11"/>
  <c r="AJ285" i="11"/>
  <c r="AJ351" i="11"/>
  <c r="AJ27" i="15"/>
  <c r="P478" i="22"/>
  <c r="P507" i="22"/>
  <c r="P539" i="22"/>
  <c r="N113" i="8"/>
  <c r="N114" i="8"/>
  <c r="N120" i="8"/>
  <c r="T6" i="58"/>
  <c r="Z54" i="12"/>
  <c r="AD53" i="15"/>
  <c r="L213" i="11"/>
  <c r="L137" i="11"/>
  <c r="AB122" i="48"/>
  <c r="AB117" i="48"/>
  <c r="S232" i="48"/>
  <c r="Z538" i="22"/>
  <c r="Z138" i="22"/>
  <c r="Z466" i="22"/>
  <c r="Z477" i="22"/>
  <c r="Z506" i="22"/>
  <c r="AJ162" i="22"/>
  <c r="AF34" i="43"/>
  <c r="AG200" i="12"/>
  <c r="AG218" i="12"/>
  <c r="AG223" i="12"/>
  <c r="AG243" i="12"/>
  <c r="AG247" i="12"/>
  <c r="AG248" i="12"/>
  <c r="AF8" i="14"/>
  <c r="AA140" i="58"/>
  <c r="AA141" i="58"/>
  <c r="K104" i="8"/>
  <c r="K105" i="8"/>
  <c r="K119" i="8"/>
  <c r="K31" i="15"/>
  <c r="K33" i="15"/>
  <c r="K44" i="13"/>
  <c r="K47" i="13"/>
  <c r="R41" i="8"/>
  <c r="R42" i="8"/>
  <c r="O297" i="11"/>
  <c r="P297" i="11"/>
  <c r="AF187" i="22"/>
  <c r="AF189" i="22"/>
  <c r="AB50" i="43"/>
  <c r="AB54" i="43"/>
  <c r="AB69" i="43"/>
  <c r="AA127" i="11"/>
  <c r="AA198" i="11"/>
  <c r="V106" i="58"/>
  <c r="V115" i="58"/>
  <c r="O385" i="11"/>
  <c r="Z46" i="14"/>
  <c r="U10" i="58"/>
  <c r="Z105" i="41"/>
  <c r="AE70" i="43"/>
  <c r="AE64" i="43"/>
  <c r="AE60" i="43"/>
  <c r="AA40" i="13"/>
  <c r="AG139" i="41"/>
  <c r="AG137" i="41"/>
  <c r="AG124" i="41"/>
  <c r="M7" i="14"/>
  <c r="H26" i="58"/>
  <c r="H30" i="58"/>
  <c r="P277" i="22"/>
  <c r="P274" i="22"/>
  <c r="P265" i="22"/>
  <c r="L103" i="12"/>
  <c r="T233" i="48"/>
  <c r="AA541" i="22"/>
  <c r="AA469" i="22"/>
  <c r="AA480" i="22"/>
  <c r="AA509" i="22"/>
  <c r="X125" i="11"/>
  <c r="X196" i="11"/>
  <c r="X409" i="11"/>
  <c r="N145" i="12"/>
  <c r="AF385" i="11"/>
  <c r="W55" i="15"/>
  <c r="R7" i="14"/>
  <c r="M26" i="58"/>
  <c r="M30" i="58"/>
  <c r="W59" i="16"/>
  <c r="W60" i="16"/>
  <c r="AD95" i="11"/>
  <c r="AD155" i="11"/>
  <c r="AD385" i="11"/>
  <c r="H3" i="58"/>
  <c r="H24" i="58"/>
  <c r="L8" i="58"/>
  <c r="L20" i="58"/>
  <c r="P25" i="47"/>
  <c r="P24" i="47"/>
  <c r="P388" i="11"/>
  <c r="P384" i="11"/>
  <c r="AG5" i="47"/>
  <c r="AG51" i="47"/>
  <c r="O26" i="9"/>
  <c r="O117" i="41"/>
  <c r="AJ199" i="11"/>
  <c r="AJ201" i="11"/>
  <c r="AJ202" i="11"/>
  <c r="AJ221" i="11"/>
  <c r="AJ224" i="11"/>
  <c r="AJ225" i="11"/>
  <c r="AJ9" i="14"/>
  <c r="AE137" i="58"/>
  <c r="AE138" i="58"/>
  <c r="N57" i="8"/>
  <c r="N58" i="8"/>
  <c r="N73" i="8"/>
  <c r="N22" i="15"/>
  <c r="J58" i="56"/>
  <c r="J59" i="56"/>
  <c r="Q36" i="4"/>
  <c r="Q44" i="4"/>
  <c r="Q51" i="4"/>
  <c r="Q50" i="10"/>
  <c r="Q52" i="10"/>
  <c r="T53" i="10"/>
  <c r="D83" i="10"/>
  <c r="D85" i="10"/>
  <c r="Z24" i="58"/>
  <c r="Z3" i="58"/>
  <c r="Y138" i="22"/>
  <c r="Y466" i="22"/>
  <c r="Y477" i="22"/>
  <c r="Y506" i="22"/>
  <c r="Y538" i="22"/>
  <c r="R232" i="48"/>
  <c r="AB93" i="58"/>
  <c r="AB84" i="58"/>
  <c r="AG182" i="11"/>
  <c r="AG114" i="11"/>
  <c r="AH277" i="11"/>
  <c r="U66" i="58"/>
  <c r="U65" i="58"/>
  <c r="AP276" i="22"/>
  <c r="AP267" i="22"/>
  <c r="AB103" i="12"/>
  <c r="AK114" i="11"/>
  <c r="AK182" i="11"/>
  <c r="AF84" i="58"/>
  <c r="AF93" i="58"/>
  <c r="M410" i="11"/>
  <c r="U10" i="47"/>
  <c r="U7" i="47"/>
  <c r="O111" i="58"/>
  <c r="O102" i="58"/>
  <c r="O147" i="41"/>
  <c r="O27" i="9"/>
  <c r="Q284" i="11"/>
  <c r="D297" i="11"/>
  <c r="Q297" i="11"/>
  <c r="Q316" i="11"/>
  <c r="T515" i="22"/>
  <c r="O95" i="11"/>
  <c r="O155" i="11"/>
  <c r="J43" i="58"/>
  <c r="J53" i="58"/>
  <c r="AD465" i="22"/>
  <c r="AD484" i="22"/>
  <c r="AA98" i="12"/>
  <c r="AA123" i="12"/>
  <c r="AA140" i="12"/>
  <c r="AA161" i="12"/>
  <c r="AA166" i="12"/>
  <c r="AA169" i="12"/>
  <c r="AA170" i="12"/>
  <c r="Z7" i="14"/>
  <c r="U26" i="58"/>
  <c r="U30" i="58"/>
  <c r="AC386" i="11"/>
  <c r="AA152" i="41"/>
  <c r="AA150" i="41"/>
  <c r="AD25" i="4"/>
  <c r="AD24" i="4"/>
  <c r="K90" i="8"/>
  <c r="Q68" i="47"/>
  <c r="U165" i="22"/>
  <c r="Q92" i="43"/>
  <c r="Q96" i="43"/>
  <c r="Q112" i="43"/>
  <c r="Q114" i="43"/>
  <c r="Q60" i="47"/>
  <c r="Q63" i="47"/>
  <c r="N97" i="48"/>
  <c r="AF95" i="11"/>
  <c r="AF155" i="11"/>
  <c r="AA43" i="58"/>
  <c r="AA53" i="58"/>
  <c r="W104" i="8"/>
  <c r="W105" i="8"/>
  <c r="W119" i="8"/>
  <c r="W31" i="15"/>
  <c r="W33" i="15"/>
  <c r="W44" i="13"/>
  <c r="W47" i="13"/>
  <c r="AN470" i="22"/>
  <c r="K16" i="14"/>
  <c r="K20" i="14"/>
  <c r="K156" i="41"/>
  <c r="K158" i="41"/>
  <c r="K162" i="41"/>
  <c r="AL470" i="22"/>
  <c r="R410" i="11"/>
  <c r="L55" i="58"/>
  <c r="L45" i="58"/>
  <c r="Q157" i="11"/>
  <c r="Q97" i="11"/>
  <c r="AA29" i="17"/>
  <c r="AA66" i="10"/>
  <c r="AB203" i="22"/>
  <c r="X54" i="47"/>
  <c r="AB272" i="22"/>
  <c r="R77" i="47"/>
  <c r="R414" i="11"/>
  <c r="AI188" i="22"/>
  <c r="AI270" i="22"/>
  <c r="AI386" i="11"/>
  <c r="U32" i="58"/>
  <c r="U23" i="58"/>
  <c r="AK105" i="11"/>
  <c r="AK169" i="11"/>
  <c r="AF63" i="58"/>
  <c r="AF72" i="58"/>
  <c r="AG13" i="55"/>
  <c r="AG250" i="11"/>
  <c r="AG266" i="11"/>
  <c r="AG271" i="11"/>
  <c r="AG278" i="11"/>
  <c r="AG280" i="11"/>
  <c r="AG279" i="11"/>
  <c r="AG10" i="15"/>
  <c r="AG13" i="18"/>
  <c r="J107" i="10"/>
  <c r="J14" i="9"/>
  <c r="AA55" i="15"/>
  <c r="Z542" i="22"/>
  <c r="M126" i="11"/>
  <c r="M197" i="11"/>
  <c r="H105" i="58"/>
  <c r="H114" i="58"/>
  <c r="Q134" i="22"/>
  <c r="M56" i="5"/>
  <c r="T19" i="56"/>
  <c r="T15" i="56"/>
  <c r="Z91" i="11"/>
  <c r="Z151" i="11"/>
  <c r="Z158" i="11"/>
  <c r="Z160" i="11"/>
  <c r="Z161" i="11"/>
  <c r="L67" i="58"/>
  <c r="D76" i="10"/>
  <c r="D74" i="10"/>
  <c r="I74" i="10"/>
  <c r="S10" i="58"/>
  <c r="X105" i="41"/>
  <c r="X46" i="14"/>
  <c r="U208" i="11"/>
  <c r="U132" i="11"/>
  <c r="K20" i="9"/>
  <c r="K37" i="9"/>
  <c r="K12" i="17"/>
  <c r="AK409" i="11"/>
  <c r="AI224" i="22"/>
  <c r="AF213" i="12"/>
  <c r="AC96" i="11"/>
  <c r="AC156" i="11"/>
  <c r="X44" i="58"/>
  <c r="X54" i="58"/>
  <c r="AG13" i="9"/>
  <c r="AG109" i="41"/>
  <c r="AG120" i="41"/>
  <c r="V25" i="13"/>
  <c r="V24" i="13"/>
  <c r="P270" i="22"/>
  <c r="P188" i="22"/>
  <c r="O110" i="11"/>
  <c r="O178" i="11"/>
  <c r="J80" i="58"/>
  <c r="J89" i="58"/>
  <c r="T90" i="58"/>
  <c r="T81" i="58"/>
  <c r="Y179" i="11"/>
  <c r="Y111" i="11"/>
  <c r="AH411" i="11"/>
  <c r="U68" i="58"/>
  <c r="U59" i="58"/>
  <c r="AK124" i="11"/>
  <c r="AK195" i="11"/>
  <c r="AF103" i="58"/>
  <c r="AF112" i="58"/>
  <c r="AC213" i="12"/>
  <c r="AG95" i="11"/>
  <c r="AG155" i="11"/>
  <c r="AG385" i="11"/>
  <c r="AN471" i="22"/>
  <c r="AN474" i="22"/>
  <c r="AO508" i="22"/>
  <c r="AL471" i="22"/>
  <c r="AL474" i="22"/>
  <c r="R126" i="11"/>
  <c r="R197" i="11"/>
  <c r="M105" i="58"/>
  <c r="M114" i="58"/>
  <c r="AF232" i="48"/>
  <c r="AM538" i="22"/>
  <c r="AM138" i="22"/>
  <c r="AM466" i="22"/>
  <c r="AM477" i="22"/>
  <c r="AM506" i="22"/>
  <c r="AJ208" i="11"/>
  <c r="AJ132" i="11"/>
  <c r="Q94" i="11"/>
  <c r="Q154" i="11"/>
  <c r="Q391" i="11"/>
  <c r="Q29" i="47"/>
  <c r="M159" i="5"/>
  <c r="N28" i="12"/>
  <c r="AB147" i="22"/>
  <c r="S23" i="58"/>
  <c r="S32" i="58"/>
  <c r="AC102" i="48"/>
  <c r="V409" i="11"/>
  <c r="U124" i="11"/>
  <c r="U195" i="11"/>
  <c r="P103" i="58"/>
  <c r="P112" i="58"/>
  <c r="AI152" i="41"/>
  <c r="AI150" i="41"/>
  <c r="AI96" i="11"/>
  <c r="AI156" i="11"/>
  <c r="AD44" i="58"/>
  <c r="AD54" i="58"/>
  <c r="AA111" i="11"/>
  <c r="AA179" i="11"/>
  <c r="V81" i="58"/>
  <c r="V90" i="58"/>
  <c r="K91" i="11"/>
  <c r="K151" i="11"/>
  <c r="F39" i="58"/>
  <c r="F46" i="58"/>
  <c r="F47" i="58"/>
  <c r="R212" i="11"/>
  <c r="R136" i="11"/>
  <c r="AI52" i="4"/>
  <c r="AI34" i="47"/>
  <c r="AI35" i="47"/>
  <c r="AK12" i="17"/>
  <c r="AK20" i="9"/>
  <c r="AK37" i="9"/>
  <c r="AK44" i="9"/>
  <c r="V469" i="22"/>
  <c r="V480" i="22"/>
  <c r="V509" i="22"/>
  <c r="V541" i="22"/>
  <c r="O233" i="48"/>
  <c r="R316" i="11"/>
  <c r="R298" i="11"/>
  <c r="AF486" i="22"/>
  <c r="AC100" i="12"/>
  <c r="AC125" i="12"/>
  <c r="AC142" i="12"/>
  <c r="AC163" i="12"/>
  <c r="W27" i="58"/>
  <c r="W31" i="58"/>
  <c r="AJ25" i="41"/>
  <c r="AJ24" i="41"/>
  <c r="Z476" i="22"/>
  <c r="Z505" i="22"/>
  <c r="Z537" i="22"/>
  <c r="S231" i="48"/>
  <c r="S234" i="48"/>
  <c r="Q10" i="9"/>
  <c r="Q8" i="9"/>
  <c r="M160" i="5"/>
  <c r="N29" i="12"/>
  <c r="T11" i="56"/>
  <c r="T13" i="56"/>
  <c r="H89" i="58"/>
  <c r="H80" i="58"/>
  <c r="AB54" i="9"/>
  <c r="T50" i="4"/>
  <c r="T53" i="4"/>
  <c r="U50" i="4"/>
  <c r="U53" i="4"/>
  <c r="V50" i="4"/>
  <c r="V53" i="4"/>
  <c r="W50" i="4"/>
  <c r="W53" i="4"/>
  <c r="X50" i="4"/>
  <c r="X53" i="4"/>
  <c r="Y50" i="4"/>
  <c r="Y53" i="4"/>
  <c r="Z50" i="4"/>
  <c r="Z53" i="4"/>
  <c r="AA50" i="4"/>
  <c r="AA53" i="4"/>
  <c r="AB50" i="4"/>
  <c r="AB53" i="4"/>
  <c r="AB9" i="9"/>
  <c r="AB146" i="41"/>
  <c r="P232" i="11"/>
  <c r="AG4" i="58"/>
  <c r="AP143" i="22"/>
  <c r="Q100" i="11"/>
  <c r="Q164" i="11"/>
  <c r="L58" i="58"/>
  <c r="L65" i="58"/>
  <c r="L66" i="58"/>
  <c r="AB465" i="22"/>
  <c r="AB484" i="22"/>
  <c r="Y98" i="12"/>
  <c r="Y123" i="12"/>
  <c r="Y140" i="12"/>
  <c r="Y161" i="12"/>
  <c r="Y166" i="12"/>
  <c r="Y169" i="12"/>
  <c r="Y170" i="12"/>
  <c r="X7" i="14"/>
  <c r="S26" i="58"/>
  <c r="S30" i="58"/>
  <c r="AL97" i="11"/>
  <c r="AL157" i="11"/>
  <c r="AG45" i="58"/>
  <c r="AG55" i="58"/>
  <c r="AH55" i="15"/>
  <c r="AK125" i="11"/>
  <c r="AK196" i="11"/>
  <c r="AF104" i="58"/>
  <c r="AF113" i="58"/>
  <c r="X67" i="12"/>
  <c r="AF139" i="22"/>
  <c r="AF467" i="22"/>
  <c r="AF478" i="22"/>
  <c r="AF507" i="22"/>
  <c r="AF539" i="22"/>
  <c r="AA71" i="58"/>
  <c r="AA62" i="58"/>
  <c r="AF168" i="11"/>
  <c r="AF104" i="11"/>
  <c r="V141" i="58"/>
  <c r="V140" i="58"/>
  <c r="AH127" i="11"/>
  <c r="AH198" i="11"/>
  <c r="AC106" i="58"/>
  <c r="AC115" i="58"/>
  <c r="N122" i="48"/>
  <c r="N117" i="48"/>
  <c r="T5" i="17"/>
  <c r="T5" i="8"/>
  <c r="T5" i="2"/>
  <c r="T5" i="16"/>
  <c r="T5" i="11"/>
  <c r="T5" i="9"/>
  <c r="T5" i="15"/>
  <c r="T5" i="1"/>
  <c r="T5" i="3"/>
  <c r="U5" i="12"/>
  <c r="T5" i="14"/>
  <c r="T5" i="55"/>
  <c r="T5" i="18"/>
  <c r="T5" i="10"/>
  <c r="T5" i="13"/>
  <c r="T5" i="43"/>
  <c r="T5" i="4"/>
  <c r="P12" i="54"/>
  <c r="AO140" i="22"/>
  <c r="AO468" i="22"/>
  <c r="AO479" i="22"/>
  <c r="AL65" i="12"/>
  <c r="AL135" i="12"/>
  <c r="Z15" i="15"/>
  <c r="Z38" i="47"/>
  <c r="Y112" i="11"/>
  <c r="Y180" i="11"/>
  <c r="T82" i="58"/>
  <c r="T91" i="58"/>
  <c r="M74" i="8"/>
  <c r="M67" i="8"/>
  <c r="M66" i="8"/>
  <c r="AB105" i="11"/>
  <c r="AB169" i="11"/>
  <c r="W63" i="58"/>
  <c r="W72" i="58"/>
  <c r="N37" i="47"/>
  <c r="N41" i="47"/>
  <c r="N42" i="47"/>
  <c r="Z100" i="11"/>
  <c r="Z164" i="11"/>
  <c r="U58" i="58"/>
  <c r="U67" i="58"/>
  <c r="W143" i="22"/>
  <c r="N4" i="58"/>
  <c r="R375" i="11"/>
  <c r="W30" i="14"/>
  <c r="W27" i="14"/>
  <c r="W73" i="10"/>
  <c r="W75" i="10"/>
  <c r="W77" i="10"/>
  <c r="W80" i="10"/>
  <c r="W83" i="10"/>
  <c r="W85" i="10"/>
  <c r="W89" i="10"/>
  <c r="W22" i="14"/>
  <c r="W24" i="14"/>
  <c r="W38" i="13"/>
  <c r="W41" i="13"/>
  <c r="W59" i="13"/>
  <c r="W26" i="14"/>
  <c r="AU5" i="55"/>
  <c r="AU5" i="18"/>
  <c r="AU5" i="3"/>
  <c r="AU5" i="17"/>
  <c r="AU5" i="8"/>
  <c r="AU5" i="10"/>
  <c r="AU5" i="13"/>
  <c r="AU5" i="43"/>
  <c r="AU5" i="11"/>
  <c r="AU5" i="16"/>
  <c r="V125" i="11"/>
  <c r="V196" i="11"/>
  <c r="Q104" i="58"/>
  <c r="Q113" i="58"/>
  <c r="D118" i="8"/>
  <c r="AP542" i="22"/>
  <c r="AB270" i="11"/>
  <c r="AB254" i="11"/>
  <c r="AD88" i="16"/>
  <c r="AD91" i="16"/>
  <c r="L53" i="58"/>
  <c r="L43" i="58"/>
  <c r="AH188" i="22"/>
  <c r="AH270" i="22"/>
  <c r="AE141" i="58"/>
  <c r="AE140" i="58"/>
  <c r="AF158" i="11"/>
  <c r="AF160" i="11"/>
  <c r="AF161" i="11"/>
  <c r="Q26" i="43"/>
  <c r="Q25" i="43"/>
  <c r="P14" i="47"/>
  <c r="P382" i="11"/>
  <c r="P379" i="11"/>
  <c r="U26" i="14"/>
  <c r="U27" i="14"/>
  <c r="U30" i="14"/>
  <c r="M104" i="11"/>
  <c r="M168" i="11"/>
  <c r="H62" i="58"/>
  <c r="H71" i="58"/>
  <c r="AB107" i="10"/>
  <c r="AB14" i="9"/>
  <c r="T537" i="22"/>
  <c r="T542" i="22"/>
  <c r="S387" i="11"/>
  <c r="AN224" i="22"/>
  <c r="AK213" i="12"/>
  <c r="AD47" i="17"/>
  <c r="AD32" i="9"/>
  <c r="AJ101" i="11"/>
  <c r="AJ165" i="11"/>
  <c r="AJ375" i="11"/>
  <c r="AA10" i="47"/>
  <c r="AA7" i="47"/>
  <c r="AI226" i="48"/>
  <c r="AI229" i="48"/>
  <c r="N409" i="11"/>
  <c r="AD111" i="48"/>
  <c r="AD228" i="48"/>
  <c r="AH56" i="12"/>
  <c r="AE486" i="22"/>
  <c r="AE515" i="22"/>
  <c r="AH104" i="8"/>
  <c r="AH105" i="8"/>
  <c r="AH119" i="8"/>
  <c r="AH31" i="15"/>
  <c r="AH33" i="15"/>
  <c r="AH44" i="13"/>
  <c r="AH47" i="13"/>
  <c r="I91" i="58"/>
  <c r="I82" i="58"/>
  <c r="N180" i="11"/>
  <c r="N112" i="11"/>
  <c r="O211" i="11"/>
  <c r="O135" i="11"/>
  <c r="AG137" i="56"/>
  <c r="AG136" i="56"/>
  <c r="AA476" i="22"/>
  <c r="X62" i="12"/>
  <c r="X90" i="12"/>
  <c r="X95" i="12"/>
  <c r="AE96" i="11"/>
  <c r="AE156" i="11"/>
  <c r="AE386" i="11"/>
  <c r="V94" i="11"/>
  <c r="V154" i="11"/>
  <c r="Q42" i="58"/>
  <c r="Q52" i="58"/>
  <c r="AF224" i="22"/>
  <c r="AB60" i="43"/>
  <c r="AB64" i="43"/>
  <c r="AB70" i="43"/>
  <c r="H110" i="47"/>
  <c r="O77" i="47"/>
  <c r="O414" i="11"/>
  <c r="T5" i="41"/>
  <c r="T102" i="41"/>
  <c r="R213" i="11"/>
  <c r="R137" i="11"/>
  <c r="S28" i="18"/>
  <c r="S29" i="18"/>
  <c r="S67" i="18"/>
  <c r="S66" i="18"/>
  <c r="P11" i="54"/>
  <c r="N385" i="11"/>
  <c r="Y358" i="11"/>
  <c r="Y359" i="11"/>
  <c r="Z361" i="11"/>
  <c r="Z17" i="14"/>
  <c r="Z86" i="47"/>
  <c r="AL141" i="41"/>
  <c r="AB181" i="22"/>
  <c r="AB172" i="22"/>
  <c r="P107" i="48"/>
  <c r="P110" i="48"/>
  <c r="T91" i="16"/>
  <c r="T80" i="16"/>
  <c r="T90" i="16"/>
  <c r="R101" i="11"/>
  <c r="R165" i="11"/>
  <c r="M59" i="58"/>
  <c r="M68" i="58"/>
  <c r="AU5" i="5"/>
  <c r="AU5" i="41"/>
  <c r="AU102" i="41"/>
  <c r="I118" i="8"/>
  <c r="I121" i="8"/>
  <c r="D121" i="8"/>
  <c r="AP476" i="22"/>
  <c r="AP505" i="22"/>
  <c r="AP537" i="22"/>
  <c r="AI231" i="48"/>
  <c r="AI234" i="48"/>
  <c r="S146" i="41"/>
  <c r="K50" i="4"/>
  <c r="K53" i="4"/>
  <c r="L50" i="4"/>
  <c r="L53" i="4"/>
  <c r="M50" i="4"/>
  <c r="M53" i="4"/>
  <c r="N50" i="4"/>
  <c r="N53" i="4"/>
  <c r="O50" i="4"/>
  <c r="O53" i="4"/>
  <c r="P50" i="4"/>
  <c r="P53" i="4"/>
  <c r="Q50" i="4"/>
  <c r="Q53" i="4"/>
  <c r="R50" i="4"/>
  <c r="R53" i="4"/>
  <c r="S50" i="4"/>
  <c r="S53" i="4"/>
  <c r="S9" i="9"/>
  <c r="S54" i="9"/>
  <c r="Y121" i="41"/>
  <c r="Y132" i="41"/>
  <c r="Y3" i="58"/>
  <c r="Y24" i="58"/>
  <c r="AJ34" i="43"/>
  <c r="AK200" i="12"/>
  <c r="AK218" i="12"/>
  <c r="AK223" i="12"/>
  <c r="AK243" i="12"/>
  <c r="AK247" i="12"/>
  <c r="AK248" i="12"/>
  <c r="AJ8" i="14"/>
  <c r="AE125" i="58"/>
  <c r="AB27" i="12"/>
  <c r="AB72" i="12"/>
  <c r="AB86" i="12"/>
  <c r="AB87" i="12"/>
  <c r="U111" i="48"/>
  <c r="U228" i="48"/>
  <c r="AB141" i="22"/>
  <c r="Y56" i="12"/>
  <c r="Z5" i="1"/>
  <c r="Z5" i="15"/>
  <c r="Z5" i="43"/>
  <c r="Z5" i="4"/>
  <c r="Z5" i="16"/>
  <c r="Z5" i="18"/>
  <c r="Z5" i="8"/>
  <c r="Z5" i="11"/>
  <c r="Z5" i="9"/>
  <c r="Z5" i="55"/>
  <c r="Z5" i="3"/>
  <c r="AA5" i="12"/>
  <c r="Z5" i="2"/>
  <c r="Z5" i="17"/>
  <c r="Z5" i="10"/>
  <c r="Z5" i="13"/>
  <c r="Z5" i="14"/>
  <c r="AL177" i="12"/>
  <c r="AL179" i="12"/>
  <c r="AK13" i="9"/>
  <c r="AK18" i="9"/>
  <c r="AK55" i="9"/>
  <c r="AE89" i="41"/>
  <c r="AE86" i="41"/>
  <c r="AE88" i="41"/>
  <c r="AJ122" i="11"/>
  <c r="AJ193" i="11"/>
  <c r="AJ400" i="11"/>
  <c r="S106" i="11"/>
  <c r="S170" i="11"/>
  <c r="N64" i="58"/>
  <c r="N73" i="58"/>
  <c r="X53" i="15"/>
  <c r="AI40" i="47"/>
  <c r="AI54" i="8"/>
  <c r="AI31" i="9"/>
  <c r="AI46" i="17"/>
  <c r="W124" i="11"/>
  <c r="W195" i="11"/>
  <c r="W414" i="11"/>
  <c r="W77" i="47"/>
  <c r="AE185" i="11"/>
  <c r="AE187" i="11"/>
  <c r="AE188" i="11"/>
  <c r="S25" i="41"/>
  <c r="S24" i="41"/>
  <c r="AE32" i="58"/>
  <c r="AE23" i="58"/>
  <c r="AB40" i="47"/>
  <c r="N125" i="11"/>
  <c r="N196" i="11"/>
  <c r="I104" i="58"/>
  <c r="I113" i="58"/>
  <c r="AB8" i="58"/>
  <c r="AB20" i="58"/>
  <c r="AN43" i="8"/>
  <c r="AK178" i="12"/>
  <c r="AJ7" i="15"/>
  <c r="AJ12" i="15"/>
  <c r="AJ32" i="41"/>
  <c r="AJ54" i="41"/>
  <c r="P142" i="11"/>
  <c r="AK476" i="22"/>
  <c r="AK505" i="22"/>
  <c r="AD117" i="48"/>
  <c r="AD122" i="48"/>
  <c r="AE31" i="9"/>
  <c r="AE46" i="17"/>
  <c r="AK27" i="4"/>
  <c r="AK46" i="4"/>
  <c r="AK47" i="4"/>
  <c r="AK52" i="4"/>
  <c r="AK34" i="47"/>
  <c r="AK35" i="47"/>
  <c r="K113" i="8"/>
  <c r="K114" i="8"/>
  <c r="K120" i="8"/>
  <c r="Y25" i="13"/>
  <c r="Y24" i="13"/>
  <c r="Q95" i="11"/>
  <c r="Q155" i="11"/>
  <c r="Q385" i="11"/>
  <c r="W304" i="11"/>
  <c r="X284" i="11"/>
  <c r="D304" i="11"/>
  <c r="V304" i="11"/>
  <c r="AD141" i="41"/>
  <c r="AD121" i="11"/>
  <c r="AD192" i="11"/>
  <c r="AD199" i="11"/>
  <c r="AD201" i="11"/>
  <c r="AD202" i="11"/>
  <c r="AD221" i="11"/>
  <c r="AD224" i="11"/>
  <c r="AD225" i="11"/>
  <c r="AD9" i="14"/>
  <c r="AD106" i="41"/>
  <c r="N95" i="11"/>
  <c r="N155" i="11"/>
  <c r="I43" i="58"/>
  <c r="I53" i="58"/>
  <c r="AI41" i="9"/>
  <c r="AI42" i="9"/>
  <c r="AI13" i="17"/>
  <c r="R52" i="4"/>
  <c r="R34" i="47"/>
  <c r="R35" i="47"/>
  <c r="M41" i="8"/>
  <c r="M42" i="8"/>
  <c r="AL121" i="11"/>
  <c r="AL192" i="11"/>
  <c r="AL199" i="11"/>
  <c r="AL201" i="11"/>
  <c r="AL202" i="11"/>
  <c r="AL221" i="11"/>
  <c r="AL224" i="11"/>
  <c r="AL225" i="11"/>
  <c r="AL9" i="14"/>
  <c r="AG137" i="58"/>
  <c r="AG138" i="58"/>
  <c r="AL476" i="22"/>
  <c r="AL505" i="22"/>
  <c r="AL511" i="22"/>
  <c r="AL522" i="22"/>
  <c r="P298" i="11"/>
  <c r="D298" i="11"/>
  <c r="Q298" i="11"/>
  <c r="R124" i="11"/>
  <c r="R195" i="11"/>
  <c r="M103" i="58"/>
  <c r="M112" i="58"/>
  <c r="AF17" i="9"/>
  <c r="AF56" i="17"/>
  <c r="AG73" i="3"/>
  <c r="AF57" i="8"/>
  <c r="AF58" i="8"/>
  <c r="AF73" i="8"/>
  <c r="AF22" i="15"/>
  <c r="AF24" i="15"/>
  <c r="AF59" i="3"/>
  <c r="AF70" i="3"/>
  <c r="AF76" i="3"/>
  <c r="AF75" i="3"/>
  <c r="AG27" i="4"/>
  <c r="AG46" i="4"/>
  <c r="AG47" i="4"/>
  <c r="AG52" i="4"/>
  <c r="AG34" i="47"/>
  <c r="AG35" i="47"/>
  <c r="P139" i="22"/>
  <c r="P467" i="22"/>
  <c r="P486" i="22"/>
  <c r="M100" i="12"/>
  <c r="M125" i="12"/>
  <c r="M142" i="12"/>
  <c r="M163" i="12"/>
  <c r="G27" i="58"/>
  <c r="G31" i="58"/>
  <c r="G34" i="58"/>
  <c r="Y121" i="11"/>
  <c r="Y192" i="11"/>
  <c r="Y199" i="11"/>
  <c r="Y201" i="11"/>
  <c r="Y202" i="11"/>
  <c r="Y221" i="11"/>
  <c r="Y224" i="11"/>
  <c r="Y225" i="11"/>
  <c r="Y233" i="11"/>
  <c r="Y235" i="11"/>
  <c r="Y23" i="9"/>
  <c r="Y114" i="41"/>
  <c r="Y125" i="41"/>
  <c r="Y138" i="41"/>
  <c r="AI30" i="14"/>
  <c r="AI27" i="14"/>
  <c r="AI185" i="12"/>
  <c r="AI186" i="12"/>
  <c r="AJ188" i="12"/>
  <c r="AI16" i="14"/>
  <c r="AI20" i="14"/>
  <c r="AI73" i="10"/>
  <c r="AI75" i="10"/>
  <c r="AI77" i="10"/>
  <c r="AI80" i="10"/>
  <c r="AI83" i="10"/>
  <c r="AI85" i="10"/>
  <c r="AI89" i="10"/>
  <c r="AI22" i="14"/>
  <c r="AI24" i="14"/>
  <c r="AI38" i="13"/>
  <c r="AI41" i="13"/>
  <c r="AI59" i="13"/>
  <c r="AI26" i="14"/>
  <c r="K68" i="58"/>
  <c r="K59" i="58"/>
  <c r="P217" i="11"/>
  <c r="P216" i="11"/>
  <c r="W25" i="8"/>
  <c r="W24" i="8"/>
  <c r="P29" i="17"/>
  <c r="P66" i="10"/>
  <c r="AK174" i="11"/>
  <c r="AK173" i="11"/>
  <c r="AK171" i="11"/>
  <c r="AI25" i="4"/>
  <c r="AI24" i="4"/>
  <c r="T95" i="11"/>
  <c r="T155" i="11"/>
  <c r="T385" i="11"/>
  <c r="AF233" i="48"/>
  <c r="AM541" i="22"/>
  <c r="AM141" i="22"/>
  <c r="AM469" i="22"/>
  <c r="AM480" i="22"/>
  <c r="AM509" i="22"/>
  <c r="W174" i="11"/>
  <c r="W173" i="11"/>
  <c r="W100" i="11"/>
  <c r="W164" i="11"/>
  <c r="W171" i="11"/>
  <c r="Y95" i="58"/>
  <c r="Y86" i="58"/>
  <c r="AD184" i="11"/>
  <c r="AD116" i="11"/>
  <c r="AB70" i="47"/>
  <c r="AB66" i="47"/>
  <c r="AK208" i="11"/>
  <c r="AK132" i="11"/>
  <c r="T66" i="47"/>
  <c r="T70" i="47"/>
  <c r="AG45" i="13"/>
  <c r="AG39" i="13"/>
  <c r="V119" i="12"/>
  <c r="V118" i="12"/>
  <c r="V27" i="12"/>
  <c r="V108" i="12"/>
  <c r="D153" i="11"/>
  <c r="AH147" i="41"/>
  <c r="AH233" i="11"/>
  <c r="AH235" i="11"/>
  <c r="AH23" i="9"/>
  <c r="AH27" i="9"/>
  <c r="AD77" i="12"/>
  <c r="AD76" i="12"/>
  <c r="AD70" i="12"/>
  <c r="Y86" i="47"/>
  <c r="Y17" i="14"/>
  <c r="S51" i="58"/>
  <c r="X93" i="11"/>
  <c r="X153" i="11"/>
  <c r="S41" i="58"/>
  <c r="O162" i="12"/>
  <c r="O141" i="12"/>
  <c r="O124" i="12"/>
  <c r="O99" i="12"/>
  <c r="AI47" i="17"/>
  <c r="AI100" i="8"/>
  <c r="AI32" i="9"/>
  <c r="Z19" i="56"/>
  <c r="Z15" i="56"/>
  <c r="Q128" i="12"/>
  <c r="L45" i="13"/>
  <c r="L39" i="13"/>
  <c r="AC181" i="22"/>
  <c r="AC162" i="22"/>
  <c r="AC172" i="22"/>
  <c r="S55" i="58"/>
  <c r="S45" i="58"/>
  <c r="X157" i="11"/>
  <c r="X97" i="11"/>
  <c r="AA72" i="58"/>
  <c r="AA63" i="58"/>
  <c r="AF169" i="11"/>
  <c r="AF105" i="11"/>
  <c r="K40" i="13"/>
  <c r="AG386" i="11"/>
  <c r="M46" i="13"/>
  <c r="Y54" i="58"/>
  <c r="Y44" i="58"/>
  <c r="AK29" i="12"/>
  <c r="AJ160" i="5"/>
  <c r="AE102" i="41"/>
  <c r="AE5" i="41"/>
  <c r="P46" i="14"/>
  <c r="P105" i="41"/>
  <c r="K10" i="58"/>
  <c r="J68" i="58"/>
  <c r="J59" i="58"/>
  <c r="AF68" i="58"/>
  <c r="AF59" i="58"/>
  <c r="U46" i="13"/>
  <c r="Y55" i="58"/>
  <c r="Y45" i="58"/>
  <c r="AD157" i="11"/>
  <c r="AD97" i="11"/>
  <c r="AG88" i="16"/>
  <c r="AG91" i="16"/>
  <c r="R133" i="22"/>
  <c r="AA68" i="58"/>
  <c r="AA59" i="58"/>
  <c r="X40" i="13"/>
  <c r="Z101" i="11"/>
  <c r="Z165" i="11"/>
  <c r="Z375" i="11"/>
  <c r="AF469" i="22"/>
  <c r="AF488" i="22"/>
  <c r="AC102" i="12"/>
  <c r="AC127" i="12"/>
  <c r="AC144" i="12"/>
  <c r="AB57" i="47"/>
  <c r="AB65" i="47"/>
  <c r="AB75" i="47"/>
  <c r="AB76" i="47"/>
  <c r="X488" i="22"/>
  <c r="U102" i="12"/>
  <c r="U127" i="12"/>
  <c r="U144" i="12"/>
  <c r="T57" i="47"/>
  <c r="T65" i="47"/>
  <c r="T75" i="47"/>
  <c r="T76" i="47"/>
  <c r="W15" i="15"/>
  <c r="W38" i="47"/>
  <c r="AH161" i="11"/>
  <c r="AH160" i="11"/>
  <c r="AH91" i="11"/>
  <c r="AH151" i="11"/>
  <c r="AH158" i="11"/>
  <c r="AG142" i="11"/>
  <c r="AE56" i="13"/>
  <c r="AE55" i="13"/>
  <c r="AE54" i="13"/>
  <c r="AF178" i="12"/>
  <c r="AE7" i="15"/>
  <c r="AE12" i="15"/>
  <c r="AE32" i="16"/>
  <c r="AE36" i="16"/>
  <c r="AF270" i="11"/>
  <c r="AF254" i="11"/>
  <c r="T39" i="13"/>
  <c r="T45" i="13"/>
  <c r="AG133" i="22"/>
  <c r="U90" i="58"/>
  <c r="U81" i="58"/>
  <c r="Z179" i="11"/>
  <c r="Z111" i="11"/>
  <c r="Y68" i="58"/>
  <c r="Y59" i="58"/>
  <c r="AF213" i="11"/>
  <c r="AF137" i="11"/>
  <c r="X211" i="22"/>
  <c r="AE13" i="17"/>
  <c r="AE42" i="9"/>
  <c r="AE41" i="9"/>
  <c r="P101" i="11"/>
  <c r="P165" i="11"/>
  <c r="P375" i="11"/>
  <c r="AG96" i="11"/>
  <c r="AG156" i="11"/>
  <c r="AB44" i="58"/>
  <c r="AB54" i="58"/>
  <c r="N410" i="11"/>
  <c r="Y517" i="22"/>
  <c r="T484" i="22"/>
  <c r="Q98" i="12"/>
  <c r="Q123" i="12"/>
  <c r="Q140" i="12"/>
  <c r="Q161" i="12"/>
  <c r="Q166" i="12"/>
  <c r="Q169" i="12"/>
  <c r="Q170" i="12"/>
  <c r="P7" i="14"/>
  <c r="K26" i="58"/>
  <c r="K30" i="58"/>
  <c r="K47" i="4"/>
  <c r="K97" i="10"/>
  <c r="K100" i="10"/>
  <c r="K104" i="10"/>
  <c r="K23" i="14"/>
  <c r="R505" i="22"/>
  <c r="R511" i="22"/>
  <c r="R522" i="22"/>
  <c r="AL255" i="11"/>
  <c r="AC10" i="47"/>
  <c r="AC7" i="47"/>
  <c r="O111" i="11"/>
  <c r="O179" i="11"/>
  <c r="J81" i="58"/>
  <c r="J90" i="58"/>
  <c r="R268" i="11"/>
  <c r="R252" i="11"/>
  <c r="D67" i="8"/>
  <c r="N161" i="5"/>
  <c r="O30" i="12"/>
  <c r="AF101" i="11"/>
  <c r="AF165" i="11"/>
  <c r="AF375" i="11"/>
  <c r="AM261" i="12"/>
  <c r="AT34" i="3"/>
  <c r="AT75" i="8"/>
  <c r="AT73" i="8"/>
  <c r="AT58" i="8"/>
  <c r="AT57" i="8"/>
  <c r="AK94" i="11"/>
  <c r="AK154" i="11"/>
  <c r="AF42" i="58"/>
  <c r="AF52" i="58"/>
  <c r="V358" i="11"/>
  <c r="V359" i="11"/>
  <c r="W361" i="11"/>
  <c r="W17" i="14"/>
  <c r="W86" i="47"/>
  <c r="AC107" i="10"/>
  <c r="AC14" i="9"/>
  <c r="AM476" i="22"/>
  <c r="AM505" i="22"/>
  <c r="AF117" i="48"/>
  <c r="AF122" i="48"/>
  <c r="AC284" i="11"/>
  <c r="AC285" i="11"/>
  <c r="AC351" i="11"/>
  <c r="AC27" i="15"/>
  <c r="AK74" i="8"/>
  <c r="AK67" i="8"/>
  <c r="AK66" i="8"/>
  <c r="AU29" i="17"/>
  <c r="AU66" i="10"/>
  <c r="AB67" i="12"/>
  <c r="O55" i="58"/>
  <c r="O45" i="58"/>
  <c r="T157" i="11"/>
  <c r="T97" i="11"/>
  <c r="AK37" i="47"/>
  <c r="AK41" i="47"/>
  <c r="AK42" i="47"/>
  <c r="AI55" i="15"/>
  <c r="AC161" i="5"/>
  <c r="AD30" i="12"/>
  <c r="AK88" i="47"/>
  <c r="AK19" i="14"/>
  <c r="AD68" i="58"/>
  <c r="AD59" i="58"/>
  <c r="X26" i="9"/>
  <c r="X117" i="41"/>
  <c r="N126" i="11"/>
  <c r="N197" i="11"/>
  <c r="I105" i="58"/>
  <c r="I114" i="58"/>
  <c r="H47" i="58"/>
  <c r="H46" i="58"/>
  <c r="Z115" i="58"/>
  <c r="Z106" i="58"/>
  <c r="S400" i="11"/>
  <c r="V55" i="15"/>
  <c r="AK400" i="11"/>
  <c r="AG10" i="47"/>
  <c r="AG7" i="47"/>
  <c r="AL10" i="14"/>
  <c r="AL278" i="11"/>
  <c r="AL271" i="11"/>
  <c r="AL250" i="11"/>
  <c r="AL266" i="11"/>
  <c r="Y277" i="22"/>
  <c r="Y274" i="22"/>
  <c r="Y265" i="22"/>
  <c r="AK123" i="11"/>
  <c r="AK194" i="11"/>
  <c r="AF102" i="58"/>
  <c r="AF111" i="58"/>
  <c r="AG25" i="3"/>
  <c r="AG24" i="3"/>
  <c r="O316" i="11"/>
  <c r="O295" i="11"/>
  <c r="AH522" i="22"/>
  <c r="AH511" i="22"/>
  <c r="Q56" i="5"/>
  <c r="U134" i="22"/>
  <c r="I32" i="16"/>
  <c r="I36" i="16"/>
  <c r="E38" i="16"/>
  <c r="S217" i="11"/>
  <c r="S216" i="11"/>
  <c r="N171" i="11"/>
  <c r="N173" i="11"/>
  <c r="N174" i="11"/>
  <c r="AI470" i="22"/>
  <c r="AD134" i="22"/>
  <c r="Z56" i="5"/>
  <c r="J41" i="9"/>
  <c r="J42" i="9"/>
  <c r="J13" i="17"/>
  <c r="AE27" i="9"/>
  <c r="AE147" i="41"/>
  <c r="P50" i="58"/>
  <c r="P40" i="58"/>
  <c r="U152" i="11"/>
  <c r="U92" i="11"/>
  <c r="AL55" i="9"/>
  <c r="K39" i="13"/>
  <c r="K45" i="13"/>
  <c r="AG74" i="8"/>
  <c r="AG67" i="8"/>
  <c r="AG66" i="8"/>
  <c r="R123" i="11"/>
  <c r="R194" i="11"/>
  <c r="R398" i="11"/>
  <c r="R61" i="47"/>
  <c r="P41" i="9"/>
  <c r="P42" i="9"/>
  <c r="P13" i="17"/>
  <c r="AA46" i="13"/>
  <c r="W20" i="14"/>
  <c r="W27" i="17"/>
  <c r="AD111" i="58"/>
  <c r="AD102" i="58"/>
  <c r="AD40" i="13"/>
  <c r="AE476" i="22"/>
  <c r="AB62" i="12"/>
  <c r="AB90" i="12"/>
  <c r="AB95" i="12"/>
  <c r="X57" i="8"/>
  <c r="X58" i="8"/>
  <c r="X73" i="8"/>
  <c r="X22" i="15"/>
  <c r="X24" i="15"/>
  <c r="X37" i="3"/>
  <c r="X40" i="3"/>
  <c r="X42" i="3"/>
  <c r="U103" i="11"/>
  <c r="U167" i="11"/>
  <c r="P61" i="58"/>
  <c r="P70" i="58"/>
  <c r="T31" i="16"/>
  <c r="T77" i="16"/>
  <c r="S78" i="16"/>
  <c r="AI104" i="8"/>
  <c r="AI105" i="8"/>
  <c r="AI119" i="8"/>
  <c r="AI31" i="15"/>
  <c r="AI33" i="15"/>
  <c r="AI44" i="13"/>
  <c r="AI47" i="13"/>
  <c r="AL66" i="47"/>
  <c r="AL70" i="47"/>
  <c r="W409" i="11"/>
  <c r="X211" i="11"/>
  <c r="X135" i="11"/>
  <c r="R185" i="12"/>
  <c r="R186" i="12"/>
  <c r="S188" i="12"/>
  <c r="R37" i="47"/>
  <c r="R41" i="47"/>
  <c r="R42" i="47"/>
  <c r="AL162" i="22"/>
  <c r="AL172" i="22"/>
  <c r="AL181" i="22"/>
  <c r="AG208" i="11"/>
  <c r="AG132" i="11"/>
  <c r="AK13" i="47"/>
  <c r="AK373" i="11"/>
  <c r="S122" i="11"/>
  <c r="S193" i="11"/>
  <c r="N101" i="58"/>
  <c r="N110" i="58"/>
  <c r="V104" i="8"/>
  <c r="V105" i="8"/>
  <c r="V119" i="8"/>
  <c r="V31" i="15"/>
  <c r="V33" i="15"/>
  <c r="V44" i="13"/>
  <c r="V47" i="13"/>
  <c r="AE90" i="58"/>
  <c r="AE81" i="58"/>
  <c r="AJ179" i="11"/>
  <c r="AJ111" i="11"/>
  <c r="AJ135" i="12"/>
  <c r="AJ65" i="12"/>
  <c r="AF103" i="11"/>
  <c r="AF167" i="11"/>
  <c r="AA61" i="58"/>
  <c r="AA70" i="58"/>
  <c r="AI101" i="11"/>
  <c r="AI165" i="11"/>
  <c r="AI375" i="11"/>
  <c r="T470" i="22"/>
  <c r="AI471" i="22"/>
  <c r="AI474" i="22"/>
  <c r="Z24" i="16"/>
  <c r="Z25" i="16"/>
  <c r="M295" i="11"/>
  <c r="D295" i="11"/>
  <c r="N295" i="11"/>
  <c r="Y130" i="11"/>
  <c r="Y206" i="11"/>
  <c r="Y214" i="11"/>
  <c r="Y403" i="11"/>
  <c r="Y405" i="11"/>
  <c r="Y62" i="47"/>
  <c r="S40" i="13"/>
  <c r="D57" i="8"/>
  <c r="AE50" i="58"/>
  <c r="AE40" i="58"/>
  <c r="AJ152" i="11"/>
  <c r="AJ92" i="11"/>
  <c r="P32" i="9"/>
  <c r="P47" i="17"/>
  <c r="V385" i="11"/>
  <c r="Q107" i="10"/>
  <c r="Q14" i="9"/>
  <c r="Q92" i="12"/>
  <c r="AK43" i="8"/>
  <c r="N112" i="58"/>
  <c r="N103" i="58"/>
  <c r="S112" i="11"/>
  <c r="S180" i="11"/>
  <c r="N82" i="58"/>
  <c r="N91" i="58"/>
  <c r="AC185" i="12"/>
  <c r="AC186" i="12"/>
  <c r="AD188" i="12"/>
  <c r="AC16" i="14"/>
  <c r="AC85" i="47"/>
  <c r="AC89" i="47"/>
  <c r="AC90" i="47"/>
  <c r="AH514" i="22"/>
  <c r="AK141" i="41"/>
  <c r="AK106" i="41"/>
  <c r="AP469" i="22"/>
  <c r="AP488" i="22"/>
  <c r="AM102" i="12"/>
  <c r="AM127" i="12"/>
  <c r="AM144" i="12"/>
  <c r="AL57" i="47"/>
  <c r="AL65" i="47"/>
  <c r="AL75" i="47"/>
  <c r="AL76" i="47"/>
  <c r="W125" i="11"/>
  <c r="W196" i="11"/>
  <c r="R104" i="58"/>
  <c r="R113" i="58"/>
  <c r="AK104" i="8"/>
  <c r="AK105" i="8"/>
  <c r="AK119" i="8"/>
  <c r="AK40" i="47"/>
  <c r="R115" i="11"/>
  <c r="R183" i="11"/>
  <c r="M85" i="58"/>
  <c r="M94" i="58"/>
  <c r="AH46" i="13"/>
  <c r="AL386" i="11"/>
  <c r="AC54" i="47"/>
  <c r="AG272" i="22"/>
  <c r="AG203" i="22"/>
  <c r="AH478" i="22"/>
  <c r="AH507" i="22"/>
  <c r="AH539" i="22"/>
  <c r="Y88" i="47"/>
  <c r="Y19" i="14"/>
  <c r="K54" i="47"/>
  <c r="O203" i="22"/>
  <c r="O272" i="22"/>
  <c r="Z210" i="11"/>
  <c r="Z134" i="11"/>
  <c r="AK121" i="8"/>
  <c r="AP203" i="22"/>
  <c r="AL54" i="47"/>
  <c r="AP272" i="22"/>
  <c r="R102" i="48"/>
  <c r="U14" i="15"/>
  <c r="U20" i="15"/>
  <c r="Q7" i="56"/>
  <c r="Q17" i="56"/>
  <c r="T74" i="8"/>
  <c r="T67" i="8"/>
  <c r="T66" i="8"/>
  <c r="Y509" i="22"/>
  <c r="Y541" i="22"/>
  <c r="R233" i="48"/>
  <c r="AD110" i="11"/>
  <c r="AD178" i="11"/>
  <c r="Y80" i="58"/>
  <c r="Y89" i="58"/>
  <c r="T471" i="22"/>
  <c r="T474" i="22"/>
  <c r="AB410" i="11"/>
  <c r="AL123" i="11"/>
  <c r="AL194" i="11"/>
  <c r="AG102" i="58"/>
  <c r="AG111" i="58"/>
  <c r="Q123" i="11"/>
  <c r="Q194" i="11"/>
  <c r="L102" i="58"/>
  <c r="L111" i="58"/>
  <c r="V386" i="11"/>
  <c r="AG43" i="8"/>
  <c r="R25" i="8"/>
  <c r="R24" i="8"/>
  <c r="AC124" i="11"/>
  <c r="AC195" i="11"/>
  <c r="AC414" i="11"/>
  <c r="AC77" i="47"/>
  <c r="AB268" i="11"/>
  <c r="AB252" i="11"/>
  <c r="AA70" i="43"/>
  <c r="AA64" i="43"/>
  <c r="AA60" i="43"/>
  <c r="V387" i="11"/>
  <c r="AA465" i="22"/>
  <c r="AA484" i="22"/>
  <c r="X98" i="12"/>
  <c r="X123" i="12"/>
  <c r="X128" i="12"/>
  <c r="V95" i="11"/>
  <c r="V155" i="11"/>
  <c r="Q43" i="58"/>
  <c r="Q53" i="58"/>
  <c r="R300" i="11"/>
  <c r="S300" i="11"/>
  <c r="Q64" i="12"/>
  <c r="Q134" i="12"/>
  <c r="Q194" i="12"/>
  <c r="P181" i="22"/>
  <c r="P172" i="22"/>
  <c r="M53" i="58"/>
  <c r="M43" i="58"/>
  <c r="R23" i="14"/>
  <c r="R104" i="10"/>
  <c r="R100" i="10"/>
  <c r="R27" i="4"/>
  <c r="R46" i="4"/>
  <c r="R47" i="4"/>
  <c r="R97" i="10"/>
  <c r="R485" i="22"/>
  <c r="R514" i="22"/>
  <c r="AK121" i="11"/>
  <c r="AK192" i="11"/>
  <c r="AK199" i="11"/>
  <c r="AK201" i="11"/>
  <c r="AK202" i="11"/>
  <c r="AK221" i="11"/>
  <c r="AK224" i="11"/>
  <c r="AK225" i="11"/>
  <c r="AK9" i="14"/>
  <c r="AF137" i="58"/>
  <c r="AF138" i="58"/>
  <c r="P46" i="13"/>
  <c r="AH409" i="11"/>
  <c r="V268" i="11"/>
  <c r="V252" i="11"/>
  <c r="X148" i="22"/>
  <c r="X210" i="22"/>
  <c r="X212" i="22"/>
  <c r="U209" i="12"/>
  <c r="U230" i="12"/>
  <c r="U234" i="12"/>
  <c r="AE132" i="41"/>
  <c r="AE121" i="41"/>
  <c r="K71" i="58"/>
  <c r="K62" i="58"/>
  <c r="P168" i="11"/>
  <c r="P104" i="11"/>
  <c r="AL96" i="11"/>
  <c r="AL156" i="11"/>
  <c r="AG44" i="58"/>
  <c r="AG54" i="58"/>
  <c r="AG141" i="22"/>
  <c r="AG147" i="22"/>
  <c r="AG267" i="22"/>
  <c r="AG276" i="22"/>
  <c r="K13" i="9"/>
  <c r="K18" i="9"/>
  <c r="K55" i="9"/>
  <c r="Y10" i="58"/>
  <c r="AD46" i="14"/>
  <c r="AD105" i="41"/>
  <c r="L80" i="47"/>
  <c r="I98" i="48"/>
  <c r="L79" i="47"/>
  <c r="F18" i="17"/>
  <c r="F19" i="17"/>
  <c r="D19" i="17"/>
  <c r="D7" i="17"/>
  <c r="X141" i="58"/>
  <c r="X140" i="58"/>
  <c r="O25" i="13"/>
  <c r="O24" i="13"/>
  <c r="AK107" i="10"/>
  <c r="AK14" i="9"/>
  <c r="Y40" i="47"/>
  <c r="O141" i="22"/>
  <c r="O147" i="22"/>
  <c r="F23" i="58"/>
  <c r="F32" i="58"/>
  <c r="U25" i="41"/>
  <c r="U24" i="41"/>
  <c r="X97" i="48"/>
  <c r="AE141" i="22"/>
  <c r="AE147" i="22"/>
  <c r="AE165" i="22"/>
  <c r="AA92" i="43"/>
  <c r="AA96" i="43"/>
  <c r="AA112" i="43"/>
  <c r="AA114" i="43"/>
  <c r="AA60" i="47"/>
  <c r="AA63" i="47"/>
  <c r="AA68" i="47"/>
  <c r="AP141" i="22"/>
  <c r="AP147" i="22"/>
  <c r="AG23" i="58"/>
  <c r="AG32" i="58"/>
  <c r="X489" i="22"/>
  <c r="S70" i="47"/>
  <c r="S66" i="47"/>
  <c r="X469" i="22"/>
  <c r="X480" i="22"/>
  <c r="X509" i="22"/>
  <c r="X541" i="22"/>
  <c r="Q233" i="48"/>
  <c r="V213" i="11"/>
  <c r="V137" i="11"/>
  <c r="M97" i="48"/>
  <c r="T141" i="22"/>
  <c r="T147" i="22"/>
  <c r="T165" i="22"/>
  <c r="P92" i="43"/>
  <c r="P96" i="43"/>
  <c r="P112" i="43"/>
  <c r="P114" i="43"/>
  <c r="P60" i="47"/>
  <c r="P63" i="47"/>
  <c r="P68" i="47"/>
  <c r="AF85" i="47"/>
  <c r="AF89" i="47"/>
  <c r="AF90" i="47"/>
  <c r="Y350" i="11"/>
  <c r="Y346" i="11"/>
  <c r="Y335" i="11"/>
  <c r="S13" i="17"/>
  <c r="S42" i="9"/>
  <c r="S41" i="9"/>
  <c r="AI379" i="11"/>
  <c r="AI382" i="11"/>
  <c r="AI14" i="47"/>
  <c r="AI97" i="11"/>
  <c r="AI157" i="11"/>
  <c r="AD45" i="58"/>
  <c r="AD55" i="58"/>
  <c r="AA32" i="16"/>
  <c r="AA36" i="16"/>
  <c r="AA54" i="13"/>
  <c r="AA55" i="13"/>
  <c r="AA56" i="13"/>
  <c r="AB126" i="11"/>
  <c r="AB197" i="11"/>
  <c r="W105" i="58"/>
  <c r="W114" i="58"/>
  <c r="AE88" i="16"/>
  <c r="AE91" i="16"/>
  <c r="M123" i="11"/>
  <c r="M194" i="11"/>
  <c r="H102" i="58"/>
  <c r="H111" i="58"/>
  <c r="AE162" i="22"/>
  <c r="AA34" i="43"/>
  <c r="AB200" i="12"/>
  <c r="AB218" i="12"/>
  <c r="AB223" i="12"/>
  <c r="AB243" i="12"/>
  <c r="AB247" i="12"/>
  <c r="AB248" i="12"/>
  <c r="AA8" i="14"/>
  <c r="V125" i="58"/>
  <c r="V96" i="11"/>
  <c r="V156" i="11"/>
  <c r="Q44" i="58"/>
  <c r="Q54" i="58"/>
  <c r="H72" i="58"/>
  <c r="H63" i="58"/>
  <c r="M169" i="11"/>
  <c r="M105" i="11"/>
  <c r="P93" i="58"/>
  <c r="P84" i="58"/>
  <c r="U182" i="11"/>
  <c r="U114" i="11"/>
  <c r="AT43" i="8"/>
  <c r="V106" i="11"/>
  <c r="V170" i="11"/>
  <c r="Q64" i="58"/>
  <c r="Q73" i="58"/>
  <c r="D13" i="47"/>
  <c r="K13" i="47"/>
  <c r="K93" i="11"/>
  <c r="K153" i="11"/>
  <c r="K373" i="11"/>
  <c r="D300" i="11"/>
  <c r="T300" i="11"/>
  <c r="T316" i="11"/>
  <c r="S50" i="58"/>
  <c r="S40" i="58"/>
  <c r="X152" i="11"/>
  <c r="X92" i="11"/>
  <c r="R95" i="11"/>
  <c r="R155" i="11"/>
  <c r="R385" i="11"/>
  <c r="AG70" i="58"/>
  <c r="AG61" i="58"/>
  <c r="AL167" i="11"/>
  <c r="AL103" i="11"/>
  <c r="R32" i="9"/>
  <c r="R47" i="17"/>
  <c r="V120" i="41"/>
  <c r="AG212" i="11"/>
  <c r="AG136" i="11"/>
  <c r="M267" i="11"/>
  <c r="M251" i="11"/>
  <c r="AJ29" i="12"/>
  <c r="AI160" i="5"/>
  <c r="AH125" i="11"/>
  <c r="AH196" i="11"/>
  <c r="AC104" i="58"/>
  <c r="AC113" i="58"/>
  <c r="N90" i="47"/>
  <c r="N89" i="47"/>
  <c r="N85" i="47"/>
  <c r="AE121" i="11"/>
  <c r="AE192" i="11"/>
  <c r="AE199" i="11"/>
  <c r="AE201" i="11"/>
  <c r="AE202" i="11"/>
  <c r="AE221" i="11"/>
  <c r="AE224" i="11"/>
  <c r="AE225" i="11"/>
  <c r="AE233" i="11"/>
  <c r="AE235" i="11"/>
  <c r="AE23" i="9"/>
  <c r="AE114" i="41"/>
  <c r="AE125" i="41"/>
  <c r="AE138" i="41"/>
  <c r="S111" i="48"/>
  <c r="W56" i="12"/>
  <c r="S228" i="48"/>
  <c r="AD7" i="14"/>
  <c r="Y26" i="58"/>
  <c r="Y30" i="58"/>
  <c r="R270" i="22"/>
  <c r="R188" i="22"/>
  <c r="P103" i="12"/>
  <c r="AG125" i="58"/>
  <c r="K114" i="58"/>
  <c r="K105" i="58"/>
  <c r="AG181" i="22"/>
  <c r="AG172" i="22"/>
  <c r="AK47" i="13"/>
  <c r="AK44" i="13"/>
  <c r="S69" i="43"/>
  <c r="S54" i="43"/>
  <c r="W187" i="22"/>
  <c r="W189" i="22"/>
  <c r="S50" i="43"/>
  <c r="Q118" i="48"/>
  <c r="X513" i="22"/>
  <c r="X518" i="22"/>
  <c r="W469" i="22"/>
  <c r="W488" i="22"/>
  <c r="T102" i="12"/>
  <c r="T127" i="12"/>
  <c r="T144" i="12"/>
  <c r="S57" i="47"/>
  <c r="S65" i="47"/>
  <c r="S75" i="47"/>
  <c r="S76" i="47"/>
  <c r="R277" i="22"/>
  <c r="R274" i="22"/>
  <c r="R265" i="22"/>
  <c r="T61" i="47"/>
  <c r="T123" i="11"/>
  <c r="T194" i="11"/>
  <c r="T398" i="11"/>
  <c r="AK284" i="11"/>
  <c r="AK285" i="11"/>
  <c r="AK351" i="11"/>
  <c r="AK27" i="15"/>
  <c r="V88" i="16"/>
  <c r="AA134" i="22"/>
  <c r="W56" i="5"/>
  <c r="AA31" i="9"/>
  <c r="AA46" i="17"/>
  <c r="Z122" i="11"/>
  <c r="Z193" i="11"/>
  <c r="Z400" i="11"/>
  <c r="AA172" i="22"/>
  <c r="AA181" i="22"/>
  <c r="AL44" i="9"/>
  <c r="AH103" i="10"/>
  <c r="AH105" i="10"/>
  <c r="AI103" i="10"/>
  <c r="AI105" i="10"/>
  <c r="AJ103" i="10"/>
  <c r="AJ105" i="10"/>
  <c r="AK103" i="10"/>
  <c r="AK105" i="10"/>
  <c r="AL103" i="10"/>
  <c r="AL105" i="10"/>
  <c r="AL107" i="10"/>
  <c r="AL14" i="9"/>
  <c r="AL18" i="9"/>
  <c r="AL20" i="9"/>
  <c r="AL37" i="9"/>
  <c r="AL12" i="17"/>
  <c r="AK122" i="11"/>
  <c r="AK193" i="11"/>
  <c r="AF101" i="58"/>
  <c r="AF110" i="58"/>
  <c r="AE224" i="22"/>
  <c r="AB213" i="12"/>
  <c r="AB97" i="11"/>
  <c r="AB157" i="11"/>
  <c r="W45" i="58"/>
  <c r="W55" i="58"/>
  <c r="Z32" i="9"/>
  <c r="Z47" i="17"/>
  <c r="Y15" i="15"/>
  <c r="X358" i="11"/>
  <c r="X359" i="11"/>
  <c r="Y361" i="11"/>
  <c r="Y38" i="47"/>
  <c r="AH138" i="22"/>
  <c r="AH466" i="22"/>
  <c r="AH485" i="22"/>
  <c r="AE99" i="12"/>
  <c r="AE124" i="12"/>
  <c r="AE141" i="12"/>
  <c r="AE162" i="12"/>
  <c r="U212" i="11"/>
  <c r="U136" i="11"/>
  <c r="AG103" i="11"/>
  <c r="AG167" i="11"/>
  <c r="AB61" i="58"/>
  <c r="AB70" i="58"/>
  <c r="Z484" i="22"/>
  <c r="W98" i="12"/>
  <c r="W123" i="12"/>
  <c r="W140" i="12"/>
  <c r="W161" i="12"/>
  <c r="W166" i="12"/>
  <c r="W169" i="12"/>
  <c r="W170" i="12"/>
  <c r="W177" i="12"/>
  <c r="W179" i="12"/>
  <c r="V13" i="9"/>
  <c r="V109" i="41"/>
  <c r="V131" i="41"/>
  <c r="V133" i="41"/>
  <c r="AD14" i="15"/>
  <c r="AD20" i="15"/>
  <c r="Z7" i="56"/>
  <c r="Z11" i="56"/>
  <c r="Z13" i="56"/>
  <c r="N29" i="17"/>
  <c r="N66" i="10"/>
  <c r="U104" i="11"/>
  <c r="U168" i="11"/>
  <c r="P62" i="58"/>
  <c r="P71" i="58"/>
  <c r="P130" i="11"/>
  <c r="P206" i="11"/>
  <c r="P214" i="11"/>
  <c r="P403" i="11"/>
  <c r="P405" i="11"/>
  <c r="P62" i="47"/>
  <c r="T17" i="56"/>
  <c r="X14" i="15"/>
  <c r="X20" i="15"/>
  <c r="T7" i="56"/>
  <c r="U102" i="48"/>
  <c r="N49" i="14"/>
  <c r="N52" i="14"/>
  <c r="U185" i="11"/>
  <c r="U187" i="11"/>
  <c r="U188" i="11"/>
  <c r="Q8" i="58"/>
  <c r="Q20" i="58"/>
  <c r="AC212" i="11"/>
  <c r="AC136" i="11"/>
  <c r="Y473" i="22"/>
  <c r="P469" i="22"/>
  <c r="P488" i="22"/>
  <c r="M102" i="12"/>
  <c r="M127" i="12"/>
  <c r="M144" i="12"/>
  <c r="L57" i="47"/>
  <c r="L65" i="47"/>
  <c r="L78" i="47"/>
  <c r="L83" i="47"/>
  <c r="L89" i="47"/>
  <c r="L90" i="47"/>
  <c r="I3" i="58"/>
  <c r="I24" i="58"/>
  <c r="AL34" i="43"/>
  <c r="AM200" i="12"/>
  <c r="AM218" i="12"/>
  <c r="AM223" i="12"/>
  <c r="AM243" i="12"/>
  <c r="AM247" i="12"/>
  <c r="AM248" i="12"/>
  <c r="AL8" i="14"/>
  <c r="AG140" i="58"/>
  <c r="AG141" i="58"/>
  <c r="AA93" i="11"/>
  <c r="AA153" i="11"/>
  <c r="AA373" i="11"/>
  <c r="AA13" i="47"/>
  <c r="AI124" i="11"/>
  <c r="AI195" i="11"/>
  <c r="AD103" i="58"/>
  <c r="AD112" i="58"/>
  <c r="M217" i="11"/>
  <c r="M216" i="11"/>
  <c r="W276" i="22"/>
  <c r="W267" i="22"/>
  <c r="AK101" i="11"/>
  <c r="AK165" i="11"/>
  <c r="AK375" i="11"/>
  <c r="N79" i="10"/>
  <c r="U54" i="58"/>
  <c r="U44" i="58"/>
  <c r="AF15" i="15"/>
  <c r="AF38" i="47"/>
  <c r="W387" i="11"/>
  <c r="Y31" i="58"/>
  <c r="AH139" i="22"/>
  <c r="AH467" i="22"/>
  <c r="AH486" i="22"/>
  <c r="AE100" i="12"/>
  <c r="AE125" i="12"/>
  <c r="AE142" i="12"/>
  <c r="AE163" i="12"/>
  <c r="Y27" i="58"/>
  <c r="AB67" i="58"/>
  <c r="AC161" i="11"/>
  <c r="AC160" i="11"/>
  <c r="AC91" i="11"/>
  <c r="AC151" i="11"/>
  <c r="AC158" i="11"/>
  <c r="O92" i="58"/>
  <c r="O83" i="58"/>
  <c r="T181" i="11"/>
  <c r="T113" i="11"/>
  <c r="AM181" i="22"/>
  <c r="AM172" i="22"/>
  <c r="V113" i="58"/>
  <c r="V104" i="58"/>
  <c r="AB4" i="58"/>
  <c r="AK143" i="22"/>
  <c r="X66" i="58"/>
  <c r="X65" i="58"/>
  <c r="K49" i="58"/>
  <c r="Q110" i="58"/>
  <c r="Q101" i="58"/>
  <c r="Z56" i="55"/>
  <c r="Z57" i="55"/>
  <c r="Z23" i="55"/>
  <c r="Z73" i="10"/>
  <c r="Z75" i="10"/>
  <c r="Z77" i="10"/>
  <c r="Z80" i="10"/>
  <c r="Z83" i="10"/>
  <c r="Z85" i="10"/>
  <c r="Z89" i="10"/>
  <c r="Z22" i="14"/>
  <c r="Z24" i="14"/>
  <c r="Z38" i="13"/>
  <c r="Z41" i="13"/>
  <c r="Z59" i="13"/>
  <c r="Z60" i="13"/>
  <c r="Z35" i="15"/>
  <c r="Z21" i="55"/>
  <c r="O120" i="41"/>
  <c r="AK40" i="13"/>
  <c r="AN489" i="22"/>
  <c r="AD10" i="9"/>
  <c r="AD8" i="9"/>
  <c r="Z141" i="58"/>
  <c r="Z140" i="58"/>
  <c r="T47" i="58"/>
  <c r="T46" i="58"/>
  <c r="AC71" i="58"/>
  <c r="AC62" i="58"/>
  <c r="AH168" i="11"/>
  <c r="AH104" i="11"/>
  <c r="Q143" i="22"/>
  <c r="H4" i="58"/>
  <c r="S193" i="12"/>
  <c r="S133" i="12"/>
  <c r="AE25" i="47"/>
  <c r="AE24" i="47"/>
  <c r="AE388" i="11"/>
  <c r="AE384" i="11"/>
  <c r="AI61" i="47"/>
  <c r="AI123" i="11"/>
  <c r="AI194" i="11"/>
  <c r="AI398" i="11"/>
  <c r="D72" i="8"/>
  <c r="AA51" i="58"/>
  <c r="AF93" i="11"/>
  <c r="AF153" i="11"/>
  <c r="AA41" i="58"/>
  <c r="AN181" i="22"/>
  <c r="AN162" i="22"/>
  <c r="AN172" i="22"/>
  <c r="N50" i="58"/>
  <c r="N40" i="58"/>
  <c r="S152" i="11"/>
  <c r="S92" i="11"/>
  <c r="AC375" i="11"/>
  <c r="Z91" i="16"/>
  <c r="Z88" i="16"/>
  <c r="V46" i="17"/>
  <c r="G19" i="17"/>
  <c r="G17" i="17"/>
  <c r="O45" i="19"/>
  <c r="O43" i="19"/>
  <c r="Z95" i="58"/>
  <c r="Z86" i="58"/>
  <c r="AE184" i="11"/>
  <c r="AE116" i="11"/>
  <c r="AF145" i="12"/>
  <c r="K14" i="9"/>
  <c r="K107" i="10"/>
  <c r="AG14" i="9"/>
  <c r="AE103" i="10"/>
  <c r="AE105" i="10"/>
  <c r="AF103" i="10"/>
  <c r="AF105" i="10"/>
  <c r="AG103" i="10"/>
  <c r="AG105" i="10"/>
  <c r="AG107" i="10"/>
  <c r="AJ54" i="47"/>
  <c r="AN203" i="22"/>
  <c r="AN272" i="22"/>
  <c r="AH90" i="47"/>
  <c r="AH89" i="47"/>
  <c r="AH185" i="12"/>
  <c r="AH186" i="12"/>
  <c r="AI188" i="12"/>
  <c r="AH16" i="14"/>
  <c r="AH85" i="47"/>
  <c r="T53" i="58"/>
  <c r="T43" i="58"/>
  <c r="P47" i="58"/>
  <c r="P46" i="58"/>
  <c r="AE358" i="11"/>
  <c r="AE359" i="11"/>
  <c r="AF361" i="11"/>
  <c r="AF17" i="14"/>
  <c r="AF86" i="47"/>
  <c r="W106" i="11"/>
  <c r="W170" i="11"/>
  <c r="R64" i="58"/>
  <c r="R73" i="58"/>
  <c r="W305" i="11"/>
  <c r="X305" i="11"/>
  <c r="Z27" i="4"/>
  <c r="Z46" i="4"/>
  <c r="Z47" i="4"/>
  <c r="Z52" i="4"/>
  <c r="Z34" i="47"/>
  <c r="Z35" i="47"/>
  <c r="AG100" i="11"/>
  <c r="AG164" i="11"/>
  <c r="AB58" i="58"/>
  <c r="AB65" i="58"/>
  <c r="AB66" i="58"/>
  <c r="AF10" i="58"/>
  <c r="AK46" i="14"/>
  <c r="AK105" i="41"/>
  <c r="AD107" i="48"/>
  <c r="AD110" i="48"/>
  <c r="R470" i="22"/>
  <c r="AL56" i="5"/>
  <c r="AP134" i="22"/>
  <c r="AJ387" i="11"/>
  <c r="P91" i="11"/>
  <c r="P151" i="11"/>
  <c r="K39" i="58"/>
  <c r="K46" i="58"/>
  <c r="K47" i="58"/>
  <c r="U411" i="11"/>
  <c r="AG99" i="12"/>
  <c r="AG124" i="12"/>
  <c r="AG141" i="12"/>
  <c r="AG162" i="12"/>
  <c r="AC67" i="58"/>
  <c r="AI270" i="11"/>
  <c r="AI254" i="11"/>
  <c r="L46" i="13"/>
  <c r="U40" i="13"/>
  <c r="I107" i="10"/>
  <c r="I14" i="9"/>
  <c r="W90" i="8"/>
  <c r="AD92" i="11"/>
  <c r="AD152" i="11"/>
  <c r="Y40" i="58"/>
  <c r="Y50" i="58"/>
  <c r="J107" i="48"/>
  <c r="J110" i="48"/>
  <c r="O14" i="15"/>
  <c r="O20" i="15"/>
  <c r="K7" i="56"/>
  <c r="K11" i="56"/>
  <c r="K15" i="56"/>
  <c r="K19" i="56"/>
  <c r="AC56" i="5"/>
  <c r="AG134" i="22"/>
  <c r="AC112" i="11"/>
  <c r="AC180" i="11"/>
  <c r="X82" i="58"/>
  <c r="X91" i="58"/>
  <c r="W537" i="22"/>
  <c r="W542" i="22"/>
  <c r="S185" i="12"/>
  <c r="S186" i="12"/>
  <c r="T188" i="12"/>
  <c r="S16" i="14"/>
  <c r="S20" i="14"/>
  <c r="S73" i="10"/>
  <c r="S75" i="10"/>
  <c r="S77" i="10"/>
  <c r="S80" i="10"/>
  <c r="S83" i="10"/>
  <c r="S85" i="10"/>
  <c r="S89" i="10"/>
  <c r="S22" i="14"/>
  <c r="S24" i="14"/>
  <c r="S38" i="13"/>
  <c r="S41" i="13"/>
  <c r="S59" i="13"/>
  <c r="S60" i="13"/>
  <c r="S35" i="15"/>
  <c r="S21" i="18"/>
  <c r="S23" i="18"/>
  <c r="S57" i="18"/>
  <c r="S56" i="18"/>
  <c r="N40" i="13"/>
  <c r="AC268" i="11"/>
  <c r="AC252" i="11"/>
  <c r="AG29" i="17"/>
  <c r="AG66" i="10"/>
  <c r="S103" i="11"/>
  <c r="S167" i="11"/>
  <c r="N61" i="58"/>
  <c r="N70" i="58"/>
  <c r="S73" i="58"/>
  <c r="S64" i="58"/>
  <c r="AK269" i="11"/>
  <c r="AK253" i="11"/>
  <c r="O106" i="41"/>
  <c r="O141" i="41"/>
  <c r="AC101" i="11"/>
  <c r="AC165" i="11"/>
  <c r="X59" i="58"/>
  <c r="X68" i="58"/>
  <c r="V31" i="9"/>
  <c r="V150" i="41"/>
  <c r="V152" i="41"/>
  <c r="AB92" i="11"/>
  <c r="AB152" i="11"/>
  <c r="W40" i="58"/>
  <c r="W50" i="58"/>
  <c r="U127" i="11"/>
  <c r="U198" i="11"/>
  <c r="P106" i="58"/>
  <c r="P115" i="58"/>
  <c r="AI25" i="3"/>
  <c r="AI24" i="3"/>
  <c r="Q121" i="41"/>
  <c r="Q132" i="41"/>
  <c r="S115" i="11"/>
  <c r="S183" i="11"/>
  <c r="N85" i="58"/>
  <c r="N94" i="58"/>
  <c r="W103" i="11"/>
  <c r="W167" i="11"/>
  <c r="R61" i="58"/>
  <c r="R70" i="58"/>
  <c r="AE66" i="8"/>
  <c r="AE67" i="8"/>
  <c r="AE74" i="8"/>
  <c r="AN141" i="22"/>
  <c r="AN147" i="22"/>
  <c r="AN267" i="22"/>
  <c r="AN276" i="22"/>
  <c r="Z187" i="22"/>
  <c r="Z189" i="22"/>
  <c r="V50" i="43"/>
  <c r="V54" i="43"/>
  <c r="V69" i="43"/>
  <c r="Q24" i="4"/>
  <c r="Q25" i="4"/>
  <c r="D305" i="11"/>
  <c r="Y305" i="11"/>
  <c r="Y316" i="11"/>
  <c r="AD176" i="12"/>
  <c r="AH54" i="10"/>
  <c r="U127" i="56"/>
  <c r="U126" i="56"/>
  <c r="N183" i="22"/>
  <c r="N187" i="22"/>
  <c r="N189" i="22"/>
  <c r="K207" i="12"/>
  <c r="K210" i="12"/>
  <c r="AO484" i="22"/>
  <c r="AL98" i="12"/>
  <c r="AL123" i="12"/>
  <c r="AL140" i="12"/>
  <c r="AL161" i="12"/>
  <c r="AL166" i="12"/>
  <c r="AL169" i="12"/>
  <c r="AL170" i="12"/>
  <c r="AK7" i="14"/>
  <c r="AF26" i="58"/>
  <c r="AF30" i="58"/>
  <c r="X6" i="58"/>
  <c r="AD54" i="12"/>
  <c r="AG32" i="9"/>
  <c r="AG47" i="17"/>
  <c r="R471" i="22"/>
  <c r="R474" i="22"/>
  <c r="AL160" i="5"/>
  <c r="AM29" i="12"/>
  <c r="AJ106" i="11"/>
  <c r="AJ170" i="11"/>
  <c r="AE64" i="58"/>
  <c r="AE73" i="58"/>
  <c r="AG130" i="11"/>
  <c r="AG206" i="11"/>
  <c r="AG214" i="11"/>
  <c r="AG216" i="11"/>
  <c r="AG217" i="11"/>
  <c r="P177" i="12"/>
  <c r="P179" i="12"/>
  <c r="O13" i="9"/>
  <c r="O109" i="41"/>
  <c r="O124" i="41"/>
  <c r="O137" i="41"/>
  <c r="O139" i="41"/>
  <c r="AH100" i="11"/>
  <c r="AH164" i="11"/>
  <c r="AC58" i="58"/>
  <c r="AC65" i="58"/>
  <c r="AC66" i="58"/>
  <c r="L74" i="47"/>
  <c r="L73" i="47"/>
  <c r="L412" i="11"/>
  <c r="L408" i="11"/>
  <c r="AL87" i="12"/>
  <c r="AL86" i="12"/>
  <c r="AL27" i="12"/>
  <c r="AL72" i="12"/>
  <c r="P126" i="11"/>
  <c r="P197" i="11"/>
  <c r="P410" i="11"/>
  <c r="AL60" i="13"/>
  <c r="AL35" i="15"/>
  <c r="AL21" i="18"/>
  <c r="AL23" i="18"/>
  <c r="AL57" i="18"/>
  <c r="AL56" i="18"/>
  <c r="AD272" i="22"/>
  <c r="AD203" i="22"/>
  <c r="Z54" i="47"/>
  <c r="O27" i="15"/>
  <c r="O351" i="11"/>
  <c r="M5" i="15"/>
  <c r="M5" i="18"/>
  <c r="M5" i="9"/>
  <c r="M5" i="10"/>
  <c r="M5" i="1"/>
  <c r="M143" i="5"/>
  <c r="M5" i="13"/>
  <c r="M5" i="3"/>
  <c r="M5" i="11"/>
  <c r="M5" i="17"/>
  <c r="M5" i="2"/>
  <c r="M5" i="14"/>
  <c r="N5" i="12"/>
  <c r="M5" i="8"/>
  <c r="M5" i="55"/>
  <c r="M5" i="43"/>
  <c r="M5" i="4"/>
  <c r="M5" i="16"/>
  <c r="AC24" i="13"/>
  <c r="AC25" i="13"/>
  <c r="AD400" i="11"/>
  <c r="L385" i="11"/>
  <c r="N91" i="11"/>
  <c r="N151" i="11"/>
  <c r="N158" i="11"/>
  <c r="N160" i="11"/>
  <c r="N161" i="11"/>
  <c r="AC38" i="47"/>
  <c r="AC15" i="15"/>
  <c r="AL94" i="11"/>
  <c r="AL154" i="11"/>
  <c r="AL391" i="11"/>
  <c r="AL29" i="47"/>
  <c r="T228" i="48"/>
  <c r="T111" i="48"/>
  <c r="X56" i="12"/>
  <c r="AO511" i="22"/>
  <c r="AO522" i="22"/>
  <c r="O9" i="14"/>
  <c r="J137" i="58"/>
  <c r="J138" i="58"/>
  <c r="P93" i="11"/>
  <c r="P153" i="11"/>
  <c r="P373" i="11"/>
  <c r="P13" i="47"/>
  <c r="W208" i="11"/>
  <c r="W132" i="11"/>
  <c r="Q114" i="41"/>
  <c r="Q125" i="41"/>
  <c r="Q138" i="41"/>
  <c r="AE470" i="22"/>
  <c r="S124" i="11"/>
  <c r="S195" i="11"/>
  <c r="S414" i="11"/>
  <c r="S77" i="47"/>
  <c r="S209" i="11"/>
  <c r="S133" i="11"/>
  <c r="AE489" i="22"/>
  <c r="AB102" i="41"/>
  <c r="AB5" i="41"/>
  <c r="AH34" i="4"/>
  <c r="AH36" i="4"/>
  <c r="AH44" i="4"/>
  <c r="AH51" i="4"/>
  <c r="AH50" i="10"/>
  <c r="AH52" i="10"/>
  <c r="AK53" i="10"/>
  <c r="AD67" i="58"/>
  <c r="AD101" i="11"/>
  <c r="AD165" i="11"/>
  <c r="AD375" i="11"/>
  <c r="T10" i="58"/>
  <c r="Y46" i="14"/>
  <c r="Y105" i="41"/>
  <c r="O185" i="12"/>
  <c r="O186" i="12"/>
  <c r="P188" i="12"/>
  <c r="O16" i="14"/>
  <c r="O85" i="47"/>
  <c r="O89" i="47"/>
  <c r="O90" i="47"/>
  <c r="AF47" i="17"/>
  <c r="AF32" i="9"/>
  <c r="AL375" i="11"/>
  <c r="S74" i="8"/>
  <c r="S67" i="8"/>
  <c r="S66" i="8"/>
  <c r="Z54" i="10"/>
  <c r="AG387" i="11"/>
  <c r="T138" i="22"/>
  <c r="T466" i="22"/>
  <c r="T477" i="22"/>
  <c r="T506" i="22"/>
  <c r="T538" i="22"/>
  <c r="M232" i="48"/>
  <c r="AO276" i="22"/>
  <c r="AO267" i="22"/>
  <c r="AM86" i="16"/>
  <c r="AM84" i="16"/>
  <c r="AI120" i="8"/>
  <c r="AI114" i="8"/>
  <c r="AI113" i="8"/>
  <c r="X94" i="11"/>
  <c r="X154" i="11"/>
  <c r="S42" i="58"/>
  <c r="S52" i="58"/>
  <c r="W113" i="8"/>
  <c r="W114" i="8"/>
  <c r="W120" i="8"/>
  <c r="Y142" i="11"/>
  <c r="AD267" i="22"/>
  <c r="AD276" i="22"/>
  <c r="T16" i="14"/>
  <c r="T20" i="14"/>
  <c r="T73" i="10"/>
  <c r="T75" i="10"/>
  <c r="T77" i="10"/>
  <c r="T80" i="10"/>
  <c r="T83" i="10"/>
  <c r="T85" i="10"/>
  <c r="T89" i="10"/>
  <c r="T22" i="14"/>
  <c r="T24" i="14"/>
  <c r="T38" i="13"/>
  <c r="T41" i="13"/>
  <c r="T59" i="13"/>
  <c r="T26" i="14"/>
  <c r="T27" i="14"/>
  <c r="T30" i="14"/>
  <c r="M5" i="47"/>
  <c r="M51" i="47"/>
  <c r="AJ116" i="11"/>
  <c r="AJ184" i="11"/>
  <c r="AE86" i="58"/>
  <c r="AE95" i="58"/>
  <c r="AU57" i="8"/>
  <c r="AU58" i="8"/>
  <c r="AU73" i="8"/>
  <c r="AU75" i="8"/>
  <c r="AU34" i="3"/>
  <c r="AD122" i="11"/>
  <c r="AD193" i="11"/>
  <c r="Y101" i="58"/>
  <c r="Y110" i="58"/>
  <c r="L95" i="11"/>
  <c r="L155" i="11"/>
  <c r="G43" i="58"/>
  <c r="G53" i="58"/>
  <c r="AD27" i="4"/>
  <c r="AD46" i="4"/>
  <c r="AD47" i="4"/>
  <c r="AD52" i="4"/>
  <c r="AD34" i="47"/>
  <c r="AD35" i="47"/>
  <c r="J54" i="9"/>
  <c r="J10" i="9"/>
  <c r="AB358" i="11"/>
  <c r="AB359" i="11"/>
  <c r="AC361" i="11"/>
  <c r="AC17" i="14"/>
  <c r="AC86" i="47"/>
  <c r="Q51" i="58"/>
  <c r="Q41" i="58"/>
  <c r="R8" i="58"/>
  <c r="R20" i="58"/>
  <c r="U26" i="43"/>
  <c r="U25" i="43"/>
  <c r="R92" i="11"/>
  <c r="R152" i="11"/>
  <c r="M40" i="58"/>
  <c r="M50" i="58"/>
  <c r="D45" i="8"/>
  <c r="XFD45" i="8"/>
  <c r="D92" i="8"/>
  <c r="AE471" i="22"/>
  <c r="AE474" i="22"/>
  <c r="X41" i="9"/>
  <c r="X42" i="9"/>
  <c r="X13" i="17"/>
  <c r="AG270" i="11"/>
  <c r="AG254" i="11"/>
  <c r="Y65" i="10"/>
  <c r="Y76" i="10"/>
  <c r="AC478" i="22"/>
  <c r="AC507" i="22"/>
  <c r="AC539" i="22"/>
  <c r="M41" i="9"/>
  <c r="M42" i="9"/>
  <c r="M13" i="17"/>
  <c r="AO486" i="22"/>
  <c r="AL100" i="12"/>
  <c r="AL125" i="12"/>
  <c r="AL142" i="12"/>
  <c r="AL163" i="12"/>
  <c r="AF27" i="58"/>
  <c r="AF31" i="58"/>
  <c r="U4" i="58"/>
  <c r="AD143" i="22"/>
  <c r="Z49" i="16"/>
  <c r="AW52" i="4"/>
  <c r="S272" i="22"/>
  <c r="S203" i="22"/>
  <c r="AI100" i="11"/>
  <c r="AI164" i="11"/>
  <c r="AD58" i="58"/>
  <c r="AD65" i="58"/>
  <c r="AD66" i="58"/>
  <c r="Q103" i="55"/>
  <c r="AM5" i="11"/>
  <c r="AM5" i="13"/>
  <c r="AM5" i="55"/>
  <c r="AM5" i="16"/>
  <c r="AM5" i="3"/>
  <c r="AM5" i="10"/>
  <c r="AM5" i="8"/>
  <c r="AM5" i="17"/>
  <c r="AM5" i="43"/>
  <c r="AM5" i="18"/>
  <c r="AC484" i="22"/>
  <c r="Z98" i="12"/>
  <c r="Z123" i="12"/>
  <c r="Z140" i="12"/>
  <c r="Z161" i="12"/>
  <c r="Z166" i="12"/>
  <c r="Z169" i="12"/>
  <c r="Z170" i="12"/>
  <c r="Y7" i="14"/>
  <c r="T26" i="58"/>
  <c r="T30" i="58"/>
  <c r="N25" i="8"/>
  <c r="N24" i="8"/>
  <c r="AF26" i="14"/>
  <c r="AF27" i="14"/>
  <c r="AF30" i="14"/>
  <c r="M68" i="47"/>
  <c r="Q165" i="22"/>
  <c r="M92" i="43"/>
  <c r="M96" i="43"/>
  <c r="M112" i="43"/>
  <c r="M114" i="43"/>
  <c r="M60" i="47"/>
  <c r="M63" i="47"/>
  <c r="J97" i="48"/>
  <c r="AL101" i="11"/>
  <c r="AL165" i="11"/>
  <c r="AG59" i="58"/>
  <c r="AG68" i="58"/>
  <c r="Z36" i="4"/>
  <c r="Z44" i="4"/>
  <c r="Z51" i="4"/>
  <c r="Z50" i="10"/>
  <c r="Z52" i="10"/>
  <c r="AC53" i="10"/>
  <c r="T70" i="12"/>
  <c r="T76" i="12"/>
  <c r="T77" i="12"/>
  <c r="AG106" i="11"/>
  <c r="AG170" i="11"/>
  <c r="AB64" i="58"/>
  <c r="AB73" i="58"/>
  <c r="AG25" i="16"/>
  <c r="AG24" i="16"/>
  <c r="I125" i="58"/>
  <c r="V284" i="11"/>
  <c r="V285" i="11"/>
  <c r="V351" i="11"/>
  <c r="V27" i="15"/>
  <c r="D41" i="8"/>
  <c r="L41" i="8"/>
  <c r="X130" i="11"/>
  <c r="X206" i="11"/>
  <c r="X214" i="11"/>
  <c r="X379" i="11"/>
  <c r="X382" i="11"/>
  <c r="X14" i="47"/>
  <c r="AM468" i="22"/>
  <c r="AM479" i="22"/>
  <c r="AM508" i="22"/>
  <c r="Q55" i="15"/>
  <c r="D11" i="14"/>
  <c r="D7" i="14"/>
  <c r="P25" i="8"/>
  <c r="P24" i="8"/>
  <c r="AG375" i="11"/>
  <c r="U91" i="11"/>
  <c r="U151" i="11"/>
  <c r="P39" i="58"/>
  <c r="P49" i="58"/>
  <c r="AA187" i="22"/>
  <c r="AA189" i="22"/>
  <c r="W50" i="43"/>
  <c r="W54" i="43"/>
  <c r="W69" i="43"/>
  <c r="X12" i="54"/>
  <c r="N67" i="58"/>
  <c r="AJ25" i="16"/>
  <c r="AJ24" i="16"/>
  <c r="T210" i="11"/>
  <c r="T134" i="11"/>
  <c r="AF171" i="11"/>
  <c r="AF173" i="11"/>
  <c r="AF174" i="11"/>
  <c r="U385" i="11"/>
  <c r="AB37" i="47"/>
  <c r="AB41" i="47"/>
  <c r="AB42" i="47"/>
  <c r="O207" i="22"/>
  <c r="O210" i="22"/>
  <c r="O212" i="22"/>
  <c r="L209" i="12"/>
  <c r="L230" i="12"/>
  <c r="L234" i="12"/>
  <c r="Z130" i="11"/>
  <c r="Z206" i="11"/>
  <c r="Z214" i="11"/>
  <c r="Z379" i="11"/>
  <c r="Z382" i="11"/>
  <c r="Z14" i="47"/>
  <c r="M93" i="11"/>
  <c r="M153" i="11"/>
  <c r="H41" i="58"/>
  <c r="H51" i="58"/>
  <c r="AJ113" i="11"/>
  <c r="AJ181" i="11"/>
  <c r="AE83" i="58"/>
  <c r="AE92" i="58"/>
  <c r="AA29" i="47"/>
  <c r="AA391" i="11"/>
  <c r="X27" i="12"/>
  <c r="X108" i="12"/>
  <c r="X118" i="12"/>
  <c r="X119" i="12"/>
  <c r="AD125" i="58"/>
  <c r="Q410" i="11"/>
  <c r="O92" i="11"/>
  <c r="O152" i="11"/>
  <c r="J40" i="58"/>
  <c r="J50" i="58"/>
  <c r="W107" i="48"/>
  <c r="W110" i="48"/>
  <c r="AA48" i="16"/>
  <c r="AA51" i="16"/>
  <c r="AA63" i="16"/>
  <c r="P32" i="58"/>
  <c r="P23" i="58"/>
  <c r="S385" i="11"/>
  <c r="W400" i="11"/>
  <c r="S141" i="22"/>
  <c r="S147" i="22"/>
  <c r="S267" i="22"/>
  <c r="S276" i="22"/>
  <c r="O196" i="12"/>
  <c r="O192" i="12"/>
  <c r="Q10" i="55"/>
  <c r="Q16" i="55"/>
  <c r="Q42" i="55"/>
  <c r="Q41" i="55"/>
  <c r="Q102" i="55"/>
  <c r="AM5" i="5"/>
  <c r="AM5" i="41"/>
  <c r="AM102" i="41"/>
  <c r="W70" i="58"/>
  <c r="W61" i="58"/>
  <c r="AB167" i="11"/>
  <c r="AB103" i="11"/>
  <c r="W134" i="22"/>
  <c r="S56" i="5"/>
  <c r="V195" i="12"/>
  <c r="V136" i="12"/>
  <c r="U267" i="11"/>
  <c r="U251" i="11"/>
  <c r="AB284" i="11"/>
  <c r="AB285" i="11"/>
  <c r="AB351" i="11"/>
  <c r="AB27" i="15"/>
  <c r="P55" i="15"/>
  <c r="N34" i="43"/>
  <c r="O200" i="12"/>
  <c r="O218" i="12"/>
  <c r="O223" i="12"/>
  <c r="O243" i="12"/>
  <c r="O247" i="12"/>
  <c r="O248" i="12"/>
  <c r="N8" i="14"/>
  <c r="I140" i="58"/>
  <c r="I141" i="58"/>
  <c r="M91" i="11"/>
  <c r="M151" i="11"/>
  <c r="H39" i="58"/>
  <c r="H49" i="58"/>
  <c r="U56" i="18"/>
  <c r="U57" i="18"/>
  <c r="U23" i="18"/>
  <c r="U185" i="12"/>
  <c r="U186" i="12"/>
  <c r="V188" i="12"/>
  <c r="U16" i="14"/>
  <c r="U20" i="14"/>
  <c r="U73" i="10"/>
  <c r="U75" i="10"/>
  <c r="U77" i="10"/>
  <c r="U80" i="10"/>
  <c r="U83" i="10"/>
  <c r="U85" i="10"/>
  <c r="U89" i="10"/>
  <c r="U22" i="14"/>
  <c r="U24" i="14"/>
  <c r="U38" i="13"/>
  <c r="U41" i="13"/>
  <c r="U59" i="13"/>
  <c r="U60" i="13"/>
  <c r="U35" i="15"/>
  <c r="U21" i="18"/>
  <c r="M400" i="11"/>
  <c r="AI96" i="8"/>
  <c r="AI90" i="8"/>
  <c r="X141" i="41"/>
  <c r="X106" i="41"/>
  <c r="AC29" i="12"/>
  <c r="AB160" i="5"/>
  <c r="O101" i="11"/>
  <c r="O165" i="11"/>
  <c r="O375" i="11"/>
  <c r="Q104" i="8"/>
  <c r="Q105" i="8"/>
  <c r="Q119" i="8"/>
  <c r="Q31" i="15"/>
  <c r="Q33" i="15"/>
  <c r="Q44" i="13"/>
  <c r="Q47" i="13"/>
  <c r="AH25" i="11"/>
  <c r="T25" i="3"/>
  <c r="T24" i="3"/>
  <c r="U177" i="12"/>
  <c r="U179" i="12"/>
  <c r="U178" i="12"/>
  <c r="T7" i="15"/>
  <c r="T12" i="15"/>
  <c r="T32" i="16"/>
  <c r="T36" i="16"/>
  <c r="T54" i="13"/>
  <c r="T55" i="13"/>
  <c r="T56" i="13"/>
  <c r="W123" i="11"/>
  <c r="W194" i="11"/>
  <c r="R102" i="58"/>
  <c r="R111" i="58"/>
  <c r="AG101" i="11"/>
  <c r="AG165" i="11"/>
  <c r="AB59" i="58"/>
  <c r="AB68" i="58"/>
  <c r="O97" i="11"/>
  <c r="O157" i="11"/>
  <c r="J45" i="58"/>
  <c r="J55" i="58"/>
  <c r="AE400" i="11"/>
  <c r="AA104" i="8"/>
  <c r="AA105" i="8"/>
  <c r="AA119" i="8"/>
  <c r="AA31" i="15"/>
  <c r="AA33" i="15"/>
  <c r="AA28" i="18"/>
  <c r="AA29" i="18"/>
  <c r="AA67" i="18"/>
  <c r="AA66" i="18"/>
  <c r="X11" i="54"/>
  <c r="I53" i="4"/>
  <c r="J50" i="4"/>
  <c r="J53" i="4"/>
  <c r="J9" i="9"/>
  <c r="J146" i="41"/>
  <c r="J148" i="41"/>
  <c r="J152" i="41"/>
  <c r="S100" i="11"/>
  <c r="S164" i="11"/>
  <c r="N58" i="58"/>
  <c r="N65" i="58"/>
  <c r="N66" i="58"/>
  <c r="Q121" i="11"/>
  <c r="Q192" i="11"/>
  <c r="Q199" i="11"/>
  <c r="Q201" i="11"/>
  <c r="Q202" i="11"/>
  <c r="Q221" i="11"/>
  <c r="Q224" i="11"/>
  <c r="Q225" i="11"/>
  <c r="Q233" i="11"/>
  <c r="Q235" i="11"/>
  <c r="Q23" i="9"/>
  <c r="Q27" i="9"/>
  <c r="Q147" i="41"/>
  <c r="K66" i="8"/>
  <c r="K67" i="8"/>
  <c r="K74" i="8"/>
  <c r="R178" i="12"/>
  <c r="Q7" i="15"/>
  <c r="Q12" i="15"/>
  <c r="Q32" i="16"/>
  <c r="Q36" i="16"/>
  <c r="Q54" i="13"/>
  <c r="Q55" i="13"/>
  <c r="Q56" i="13"/>
  <c r="AH40" i="13"/>
  <c r="X375" i="11"/>
  <c r="R103" i="11"/>
  <c r="R167" i="11"/>
  <c r="M61" i="58"/>
  <c r="M70" i="58"/>
  <c r="U95" i="11"/>
  <c r="U155" i="11"/>
  <c r="P43" i="58"/>
  <c r="P53" i="58"/>
  <c r="W267" i="11"/>
  <c r="W251" i="11"/>
  <c r="AK137" i="11"/>
  <c r="AK213" i="11"/>
  <c r="Y125" i="58"/>
  <c r="AC385" i="11"/>
  <c r="AV29" i="17"/>
  <c r="AV66" i="10"/>
  <c r="AM145" i="22"/>
  <c r="AM162" i="22"/>
  <c r="AI34" i="43"/>
  <c r="AJ200" i="12"/>
  <c r="AJ218" i="12"/>
  <c r="AJ223" i="12"/>
  <c r="AJ243" i="12"/>
  <c r="AJ247" i="12"/>
  <c r="AJ248" i="12"/>
  <c r="AI8" i="14"/>
  <c r="AD140" i="58"/>
  <c r="AD141" i="58"/>
  <c r="Q126" i="11"/>
  <c r="Q197" i="11"/>
  <c r="L105" i="58"/>
  <c r="L114" i="58"/>
  <c r="AL30" i="14"/>
  <c r="AL27" i="14"/>
  <c r="AK41" i="15"/>
  <c r="AK43" i="15"/>
  <c r="AL185" i="12"/>
  <c r="AL186" i="12"/>
  <c r="AM188" i="12"/>
  <c r="AL16" i="14"/>
  <c r="AL20" i="14"/>
  <c r="AL73" i="10"/>
  <c r="AL75" i="10"/>
  <c r="AL77" i="10"/>
  <c r="AL80" i="10"/>
  <c r="AL83" i="10"/>
  <c r="AL85" i="10"/>
  <c r="AL89" i="10"/>
  <c r="AL22" i="14"/>
  <c r="AL24" i="14"/>
  <c r="AL38" i="13"/>
  <c r="AL41" i="13"/>
  <c r="AL59" i="13"/>
  <c r="AL26" i="14"/>
  <c r="P107" i="10"/>
  <c r="P14" i="9"/>
  <c r="AW46" i="4"/>
  <c r="AW47" i="4"/>
  <c r="AW97" i="10"/>
  <c r="AW100" i="10"/>
  <c r="AW104" i="10"/>
  <c r="AK386" i="11"/>
  <c r="S95" i="11"/>
  <c r="S155" i="11"/>
  <c r="N43" i="58"/>
  <c r="N53" i="58"/>
  <c r="W122" i="11"/>
  <c r="W193" i="11"/>
  <c r="R101" i="58"/>
  <c r="R110" i="58"/>
  <c r="O132" i="12"/>
  <c r="O137" i="12"/>
  <c r="AG77" i="12"/>
  <c r="AG76" i="12"/>
  <c r="AG70" i="12"/>
  <c r="X106" i="11"/>
  <c r="X170" i="11"/>
  <c r="X387" i="11"/>
  <c r="AA124" i="11"/>
  <c r="AA195" i="11"/>
  <c r="AA414" i="11"/>
  <c r="AA77" i="47"/>
  <c r="AK92" i="11"/>
  <c r="AK152" i="11"/>
  <c r="AF40" i="58"/>
  <c r="AF50" i="58"/>
  <c r="T24" i="12"/>
  <c r="T25" i="12"/>
  <c r="N84" i="10"/>
  <c r="Y480" i="22"/>
  <c r="V66" i="12"/>
  <c r="V94" i="12"/>
  <c r="V25" i="8"/>
  <c r="V24" i="8"/>
  <c r="X385" i="11"/>
  <c r="P104" i="8"/>
  <c r="P105" i="8"/>
  <c r="P119" i="8"/>
  <c r="P31" i="15"/>
  <c r="P33" i="15"/>
  <c r="P44" i="13"/>
  <c r="P47" i="13"/>
  <c r="AJ138" i="22"/>
  <c r="AJ466" i="22"/>
  <c r="AJ485" i="22"/>
  <c r="AJ514" i="22"/>
  <c r="AG162" i="22"/>
  <c r="AC34" i="43"/>
  <c r="AD200" i="12"/>
  <c r="AD218" i="12"/>
  <c r="AD223" i="12"/>
  <c r="AD243" i="12"/>
  <c r="AD247" i="12"/>
  <c r="AD248" i="12"/>
  <c r="AC8" i="14"/>
  <c r="X125" i="58"/>
  <c r="M122" i="11"/>
  <c r="M193" i="11"/>
  <c r="H101" i="58"/>
  <c r="H110" i="58"/>
  <c r="X121" i="11"/>
  <c r="X192" i="11"/>
  <c r="X199" i="11"/>
  <c r="X201" i="11"/>
  <c r="X202" i="11"/>
  <c r="X221" i="11"/>
  <c r="X224" i="11"/>
  <c r="X225" i="11"/>
  <c r="X9" i="14"/>
  <c r="S137" i="58"/>
  <c r="S138" i="58"/>
  <c r="AO542" i="22"/>
  <c r="M67" i="12"/>
  <c r="AJ121" i="11"/>
  <c r="AJ192" i="11"/>
  <c r="AJ408" i="11"/>
  <c r="AJ412" i="11"/>
  <c r="AJ73" i="47"/>
  <c r="T141" i="56"/>
  <c r="T140" i="56"/>
  <c r="AE122" i="11"/>
  <c r="AE193" i="11"/>
  <c r="Z101" i="58"/>
  <c r="Z110" i="58"/>
  <c r="AN270" i="22"/>
  <c r="AN188" i="22"/>
  <c r="V506" i="22"/>
  <c r="V538" i="22"/>
  <c r="O232" i="48"/>
  <c r="AE97" i="11"/>
  <c r="AE157" i="11"/>
  <c r="Z45" i="58"/>
  <c r="Z55" i="58"/>
  <c r="X54" i="10"/>
  <c r="X101" i="11"/>
  <c r="X165" i="11"/>
  <c r="S59" i="58"/>
  <c r="S68" i="58"/>
  <c r="AC46" i="14"/>
  <c r="AC105" i="41"/>
  <c r="X10" i="58"/>
  <c r="T26" i="9"/>
  <c r="T117" i="41"/>
  <c r="R25" i="4"/>
  <c r="R24" i="4"/>
  <c r="AE223" i="12"/>
  <c r="AE243" i="12"/>
  <c r="AE247" i="12"/>
  <c r="AE248" i="12"/>
  <c r="AD8" i="14"/>
  <c r="Y140" i="58"/>
  <c r="Y141" i="58"/>
  <c r="AC95" i="11"/>
  <c r="AC155" i="11"/>
  <c r="X43" i="58"/>
  <c r="X53" i="58"/>
  <c r="AF212" i="11"/>
  <c r="AF136" i="11"/>
  <c r="Z58" i="13"/>
  <c r="Z61" i="13"/>
  <c r="AA58" i="13"/>
  <c r="AA61" i="13"/>
  <c r="AB58" i="13"/>
  <c r="AB61" i="13"/>
  <c r="AC58" i="13"/>
  <c r="AC61" i="13"/>
  <c r="AD58" i="13"/>
  <c r="AD61" i="13"/>
  <c r="AE58" i="13"/>
  <c r="AE61" i="13"/>
  <c r="AF58" i="13"/>
  <c r="AF61" i="13"/>
  <c r="AG58" i="13"/>
  <c r="AG61" i="13"/>
  <c r="AG26" i="9"/>
  <c r="AG117" i="41"/>
  <c r="Z141" i="22"/>
  <c r="Z469" i="22"/>
  <c r="Z480" i="22"/>
  <c r="Z509" i="22"/>
  <c r="Z541" i="22"/>
  <c r="S233" i="48"/>
  <c r="P114" i="11"/>
  <c r="P182" i="11"/>
  <c r="K84" i="58"/>
  <c r="K93" i="58"/>
  <c r="Z96" i="11"/>
  <c r="Z156" i="11"/>
  <c r="Z386" i="11"/>
  <c r="AK93" i="11"/>
  <c r="AK153" i="11"/>
  <c r="AF41" i="58"/>
  <c r="AF51" i="58"/>
  <c r="AD267" i="11"/>
  <c r="AD251" i="11"/>
  <c r="AK158" i="5"/>
  <c r="AK27" i="11"/>
  <c r="AK96" i="11"/>
  <c r="AK156" i="11"/>
  <c r="AF44" i="58"/>
  <c r="AF54" i="58"/>
  <c r="H88" i="2"/>
  <c r="J14" i="15"/>
  <c r="J20" i="15"/>
  <c r="F7" i="56"/>
  <c r="F11" i="56"/>
  <c r="F13" i="56"/>
  <c r="F14" i="56"/>
  <c r="F18" i="56"/>
  <c r="E26" i="56"/>
  <c r="N27" i="19"/>
  <c r="R465" i="22"/>
  <c r="R476" i="22"/>
  <c r="O62" i="12"/>
  <c r="O67" i="12"/>
  <c r="AA125" i="11"/>
  <c r="AA196" i="11"/>
  <c r="AA409" i="11"/>
  <c r="AG27" i="12"/>
  <c r="AG106" i="12"/>
  <c r="AG112" i="12"/>
  <c r="AG113" i="12"/>
  <c r="T379" i="11"/>
  <c r="T382" i="11"/>
  <c r="T14" i="47"/>
  <c r="AC100" i="11"/>
  <c r="AC164" i="11"/>
  <c r="X58" i="58"/>
  <c r="X67" i="58"/>
  <c r="W335" i="11"/>
  <c r="Y284" i="11"/>
  <c r="Y285" i="11"/>
  <c r="D335" i="11"/>
  <c r="X335" i="11"/>
  <c r="V122" i="11"/>
  <c r="V193" i="11"/>
  <c r="V400" i="11"/>
  <c r="X95" i="11"/>
  <c r="X155" i="11"/>
  <c r="S43" i="58"/>
  <c r="S53" i="58"/>
  <c r="M64" i="19"/>
  <c r="Q59" i="19"/>
  <c r="J24" i="15"/>
  <c r="J59" i="3"/>
  <c r="J70" i="3"/>
  <c r="J74" i="3"/>
  <c r="M55" i="19"/>
  <c r="M62" i="19"/>
  <c r="M68" i="19"/>
  <c r="P27" i="4"/>
  <c r="P46" i="4"/>
  <c r="P47" i="4"/>
  <c r="P97" i="10"/>
  <c r="P100" i="10"/>
  <c r="P104" i="10"/>
  <c r="P23" i="14"/>
  <c r="AD96" i="11"/>
  <c r="AD156" i="11"/>
  <c r="AD386" i="11"/>
  <c r="AE127" i="11"/>
  <c r="AE198" i="11"/>
  <c r="AE411" i="11"/>
  <c r="O162" i="22"/>
  <c r="O172" i="22"/>
  <c r="O181" i="22"/>
  <c r="Y27" i="4"/>
  <c r="Y46" i="4"/>
  <c r="Y47" i="4"/>
  <c r="Y97" i="10"/>
  <c r="Y100" i="10"/>
  <c r="Y104" i="10"/>
  <c r="Y23" i="14"/>
  <c r="AI145" i="22"/>
  <c r="AI162" i="22"/>
  <c r="AE34" i="43"/>
  <c r="AF200" i="12"/>
  <c r="AF218" i="12"/>
  <c r="AF223" i="12"/>
  <c r="AF243" i="12"/>
  <c r="AF247" i="12"/>
  <c r="AF248" i="12"/>
  <c r="AE8" i="14"/>
  <c r="Z125" i="58"/>
  <c r="AO465" i="22"/>
  <c r="AO476" i="22"/>
  <c r="AO505" i="22"/>
  <c r="AO537" i="22"/>
  <c r="AH231" i="48"/>
  <c r="AH234" i="48"/>
  <c r="J25" i="13"/>
  <c r="J23" i="13"/>
  <c r="AI27" i="4"/>
  <c r="AI46" i="4"/>
  <c r="AI47" i="4"/>
  <c r="AI97" i="10"/>
  <c r="AI100" i="10"/>
  <c r="AI104" i="10"/>
  <c r="AI23" i="14"/>
  <c r="M62" i="12"/>
  <c r="M90" i="12"/>
  <c r="M95" i="12"/>
  <c r="S39" i="13"/>
  <c r="S45" i="13"/>
  <c r="V138" i="22"/>
  <c r="V466" i="22"/>
  <c r="V477" i="22"/>
  <c r="S63" i="12"/>
  <c r="S91" i="12"/>
  <c r="AU43" i="8"/>
  <c r="S229" i="48"/>
  <c r="S226" i="48"/>
  <c r="AN145" i="22"/>
  <c r="AJ7" i="47"/>
  <c r="AJ10" i="47"/>
  <c r="Q10" i="47"/>
  <c r="Q7" i="47"/>
  <c r="N26" i="9"/>
  <c r="N117" i="41"/>
  <c r="AH24" i="11"/>
  <c r="AH110" i="11"/>
  <c r="AH178" i="11"/>
  <c r="AC80" i="58"/>
  <c r="AC89" i="58"/>
  <c r="Y124" i="11"/>
  <c r="Y195" i="11"/>
  <c r="T103" i="58"/>
  <c r="T112" i="58"/>
  <c r="X36" i="4"/>
  <c r="X44" i="4"/>
  <c r="X51" i="4"/>
  <c r="X50" i="10"/>
  <c r="X52" i="10"/>
  <c r="AA53" i="10"/>
  <c r="T68" i="47"/>
  <c r="X165" i="22"/>
  <c r="T92" i="43"/>
  <c r="T96" i="43"/>
  <c r="T112" i="43"/>
  <c r="T114" i="43"/>
  <c r="T60" i="47"/>
  <c r="T63" i="47"/>
  <c r="Q97" i="48"/>
  <c r="AC7" i="14"/>
  <c r="X26" i="58"/>
  <c r="X30" i="58"/>
  <c r="W37" i="47"/>
  <c r="W41" i="47"/>
  <c r="W42" i="47"/>
  <c r="AG484" i="22"/>
  <c r="AD98" i="12"/>
  <c r="AD123" i="12"/>
  <c r="AD140" i="12"/>
  <c r="AD161" i="12"/>
  <c r="AD166" i="12"/>
  <c r="AD169" i="12"/>
  <c r="AD170" i="12"/>
  <c r="AD177" i="12"/>
  <c r="AD179" i="12"/>
  <c r="AD178" i="12"/>
  <c r="AC7" i="15"/>
  <c r="AC12" i="15"/>
  <c r="AC32" i="16"/>
  <c r="AC36" i="16"/>
  <c r="AC54" i="13"/>
  <c r="AC55" i="13"/>
  <c r="AC56" i="13"/>
  <c r="J185" i="12"/>
  <c r="J186" i="12"/>
  <c r="K188" i="12"/>
  <c r="J16" i="14"/>
  <c r="D16" i="14"/>
  <c r="D20" i="14"/>
  <c r="AP486" i="22"/>
  <c r="AM100" i="12"/>
  <c r="AM125" i="12"/>
  <c r="AM142" i="12"/>
  <c r="AM163" i="12"/>
  <c r="AG27" i="58"/>
  <c r="AG31" i="58"/>
  <c r="AH68" i="47"/>
  <c r="AL165" i="22"/>
  <c r="AH92" i="43"/>
  <c r="AH96" i="43"/>
  <c r="AH112" i="43"/>
  <c r="AH114" i="43"/>
  <c r="AH60" i="47"/>
  <c r="AH63" i="47"/>
  <c r="AE97" i="48"/>
  <c r="AH172" i="22"/>
  <c r="AH181" i="22"/>
  <c r="AE43" i="8"/>
  <c r="V124" i="11"/>
  <c r="V195" i="11"/>
  <c r="V414" i="11"/>
  <c r="V77" i="47"/>
  <c r="Y95" i="11"/>
  <c r="Y155" i="11"/>
  <c r="Y385" i="11"/>
  <c r="AG539" i="22"/>
  <c r="AG478" i="22"/>
  <c r="AG507" i="22"/>
  <c r="AB48" i="14"/>
  <c r="AB51" i="14"/>
  <c r="Y161" i="11"/>
  <c r="Y160" i="11"/>
  <c r="Y158" i="11"/>
  <c r="P111" i="58"/>
  <c r="U123" i="11"/>
  <c r="U194" i="11"/>
  <c r="P102" i="58"/>
  <c r="K42" i="47"/>
  <c r="K41" i="47"/>
  <c r="K185" i="12"/>
  <c r="K186" i="12"/>
  <c r="L188" i="12"/>
  <c r="K37" i="47"/>
  <c r="W74" i="8"/>
  <c r="W67" i="8"/>
  <c r="W66" i="8"/>
  <c r="R115" i="58"/>
  <c r="R106" i="58"/>
  <c r="N47" i="58"/>
  <c r="N46" i="58"/>
  <c r="AJ65" i="8"/>
  <c r="AI68" i="8"/>
  <c r="AI65" i="8"/>
  <c r="AH68" i="8"/>
  <c r="AH65" i="8"/>
  <c r="AG68" i="8"/>
  <c r="AG65" i="8"/>
  <c r="AF68" i="8"/>
  <c r="AF65" i="8"/>
  <c r="AE68" i="8"/>
  <c r="AE65" i="8"/>
  <c r="AD68" i="8"/>
  <c r="AD65" i="8"/>
  <c r="AC68" i="8"/>
  <c r="AC65" i="8"/>
  <c r="AB68" i="8"/>
  <c r="AB65" i="8"/>
  <c r="AA68" i="8"/>
  <c r="AA65" i="8"/>
  <c r="Z68" i="8"/>
  <c r="Z65" i="8"/>
  <c r="Y68" i="8"/>
  <c r="Y65" i="8"/>
  <c r="X68" i="8"/>
  <c r="X65" i="8"/>
  <c r="W68" i="8"/>
  <c r="W65" i="8"/>
  <c r="V68" i="8"/>
  <c r="V65" i="8"/>
  <c r="U68" i="8"/>
  <c r="U65" i="8"/>
  <c r="T68" i="8"/>
  <c r="T65" i="8"/>
  <c r="S68" i="8"/>
  <c r="S65" i="8"/>
  <c r="R68" i="8"/>
  <c r="R65" i="8"/>
  <c r="Q68" i="8"/>
  <c r="Q65" i="8"/>
  <c r="P68" i="8"/>
  <c r="P65" i="8"/>
  <c r="O68" i="8"/>
  <c r="O65" i="8"/>
  <c r="N68" i="8"/>
  <c r="N65" i="8"/>
  <c r="M68" i="8"/>
  <c r="M65" i="8"/>
  <c r="L68" i="8"/>
  <c r="L65" i="8"/>
  <c r="K68" i="8"/>
  <c r="I69" i="58"/>
  <c r="I60" i="58"/>
  <c r="N166" i="11"/>
  <c r="N102" i="11"/>
  <c r="AJ139" i="41"/>
  <c r="AJ137" i="41"/>
  <c r="AJ124" i="41"/>
  <c r="F46" i="17"/>
  <c r="R25" i="16"/>
  <c r="R24" i="16"/>
  <c r="Q47" i="58"/>
  <c r="Q46" i="58"/>
  <c r="D34" i="3"/>
  <c r="I34" i="3"/>
  <c r="AA90" i="58"/>
  <c r="AA81" i="58"/>
  <c r="AF179" i="11"/>
  <c r="AF111" i="11"/>
  <c r="AE120" i="41"/>
  <c r="M110" i="58"/>
  <c r="M101" i="58"/>
  <c r="W45" i="13"/>
  <c r="W39" i="13"/>
  <c r="AV74" i="8"/>
  <c r="AV67" i="8"/>
  <c r="AV66" i="8"/>
  <c r="AM539" i="22"/>
  <c r="AM139" i="22"/>
  <c r="AM467" i="22"/>
  <c r="AM478" i="22"/>
  <c r="AM507" i="22"/>
  <c r="AA210" i="11"/>
  <c r="AA134" i="11"/>
  <c r="AF147" i="41"/>
  <c r="AF121" i="11"/>
  <c r="AF192" i="11"/>
  <c r="AF199" i="11"/>
  <c r="AF201" i="11"/>
  <c r="AF202" i="11"/>
  <c r="AF221" i="11"/>
  <c r="AF224" i="11"/>
  <c r="AF225" i="11"/>
  <c r="AF233" i="11"/>
  <c r="AF235" i="11"/>
  <c r="AF23" i="9"/>
  <c r="AF27" i="9"/>
  <c r="Z114" i="58"/>
  <c r="Z105" i="58"/>
  <c r="K34" i="58"/>
  <c r="K31" i="58"/>
  <c r="T486" i="22"/>
  <c r="Q100" i="12"/>
  <c r="Q125" i="12"/>
  <c r="Q142" i="12"/>
  <c r="Q163" i="12"/>
  <c r="K27" i="58"/>
  <c r="Z162" i="41"/>
  <c r="Z158" i="41"/>
  <c r="Z156" i="41"/>
  <c r="M10" i="9"/>
  <c r="M8" i="9"/>
  <c r="AF32" i="58"/>
  <c r="AF23" i="58"/>
  <c r="AD29" i="17"/>
  <c r="AD66" i="10"/>
  <c r="AM474" i="22"/>
  <c r="AM471" i="22"/>
  <c r="AL270" i="22"/>
  <c r="AL188" i="22"/>
  <c r="AC474" i="22"/>
  <c r="AC471" i="22"/>
  <c r="AI29" i="17"/>
  <c r="AI66" i="10"/>
  <c r="W93" i="58"/>
  <c r="W84" i="58"/>
  <c r="AB182" i="11"/>
  <c r="AB114" i="11"/>
  <c r="Q474" i="22"/>
  <c r="Q471" i="22"/>
  <c r="AL131" i="11"/>
  <c r="AL207" i="11"/>
  <c r="AJ124" i="11"/>
  <c r="AJ195" i="11"/>
  <c r="AJ414" i="11"/>
  <c r="AJ77" i="47"/>
  <c r="Z66" i="58"/>
  <c r="Z65" i="58"/>
  <c r="AD90" i="58"/>
  <c r="AD81" i="58"/>
  <c r="AI179" i="11"/>
  <c r="AI111" i="11"/>
  <c r="R46" i="13"/>
  <c r="X120" i="8"/>
  <c r="X114" i="8"/>
  <c r="X113" i="8"/>
  <c r="AA94" i="11"/>
  <c r="AA154" i="11"/>
  <c r="V42" i="58"/>
  <c r="V52" i="58"/>
  <c r="V234" i="48"/>
  <c r="V231" i="48"/>
  <c r="AW5" i="5"/>
  <c r="AW5" i="4"/>
  <c r="AW280" i="11"/>
  <c r="AW279" i="11"/>
  <c r="AE48" i="14"/>
  <c r="AE51" i="14"/>
  <c r="AA50" i="58"/>
  <c r="AA40" i="58"/>
  <c r="AF152" i="11"/>
  <c r="AF92" i="11"/>
  <c r="AB56" i="55"/>
  <c r="AB57" i="55"/>
  <c r="AB23" i="55"/>
  <c r="AB185" i="12"/>
  <c r="AB186" i="12"/>
  <c r="AC188" i="12"/>
  <c r="AB16" i="14"/>
  <c r="AB20" i="14"/>
  <c r="AB73" i="10"/>
  <c r="AB75" i="10"/>
  <c r="AB77" i="10"/>
  <c r="AB80" i="10"/>
  <c r="AB83" i="10"/>
  <c r="AB85" i="10"/>
  <c r="AB89" i="10"/>
  <c r="AB22" i="14"/>
  <c r="AB24" i="14"/>
  <c r="AB38" i="13"/>
  <c r="AB41" i="13"/>
  <c r="AB59" i="13"/>
  <c r="AB60" i="13"/>
  <c r="AB35" i="15"/>
  <c r="AB21" i="55"/>
  <c r="Q400" i="11"/>
  <c r="AL145" i="22"/>
  <c r="AH7" i="47"/>
  <c r="AH10" i="47"/>
  <c r="N55" i="15"/>
  <c r="L92" i="58"/>
  <c r="L83" i="58"/>
  <c r="Q181" i="11"/>
  <c r="Q113" i="11"/>
  <c r="K56" i="5"/>
  <c r="AG25" i="8"/>
  <c r="AG24" i="8"/>
  <c r="R69" i="43"/>
  <c r="R54" i="43"/>
  <c r="V187" i="22"/>
  <c r="V189" i="22"/>
  <c r="R50" i="43"/>
  <c r="AD26" i="43"/>
  <c r="AD25" i="43"/>
  <c r="AI175" i="41"/>
  <c r="AI168" i="41"/>
  <c r="AI166" i="41"/>
  <c r="T39" i="58"/>
  <c r="T49" i="58"/>
  <c r="Q470" i="22"/>
  <c r="AF94" i="58"/>
  <c r="AF85" i="58"/>
  <c r="AK183" i="11"/>
  <c r="AK115" i="11"/>
  <c r="S47" i="17"/>
  <c r="S32" i="9"/>
  <c r="AG120" i="8"/>
  <c r="AG114" i="8"/>
  <c r="AG113" i="8"/>
  <c r="M174" i="11"/>
  <c r="M173" i="11"/>
  <c r="M171" i="11"/>
  <c r="AD124" i="11"/>
  <c r="AD195" i="11"/>
  <c r="Y103" i="58"/>
  <c r="Y112" i="58"/>
  <c r="W43" i="8"/>
  <c r="N267" i="11"/>
  <c r="N251" i="11"/>
  <c r="AA234" i="48"/>
  <c r="AA231" i="48"/>
  <c r="AK140" i="12"/>
  <c r="AK161" i="12"/>
  <c r="AK166" i="12"/>
  <c r="AK169" i="12"/>
  <c r="AK170" i="12"/>
  <c r="AK177" i="12"/>
  <c r="AK179" i="12"/>
  <c r="AJ13" i="9"/>
  <c r="AJ109" i="41"/>
  <c r="AJ120" i="41"/>
  <c r="T130" i="11"/>
  <c r="T206" i="11"/>
  <c r="T214" i="11"/>
  <c r="T216" i="11"/>
  <c r="T217" i="11"/>
  <c r="AK90" i="47"/>
  <c r="AK89" i="47"/>
  <c r="AF43" i="15"/>
  <c r="AG41" i="15"/>
  <c r="AG43" i="15"/>
  <c r="AH41" i="15"/>
  <c r="AH43" i="15"/>
  <c r="AI41" i="15"/>
  <c r="AI43" i="15"/>
  <c r="AJ41" i="15"/>
  <c r="AJ43" i="15"/>
  <c r="AK185" i="12"/>
  <c r="AK186" i="12"/>
  <c r="AL188" i="12"/>
  <c r="AK16" i="14"/>
  <c r="AK85" i="47"/>
  <c r="AL387" i="11"/>
  <c r="P121" i="11"/>
  <c r="P192" i="11"/>
  <c r="P199" i="11"/>
  <c r="P201" i="11"/>
  <c r="P202" i="11"/>
  <c r="P221" i="11"/>
  <c r="P224" i="11"/>
  <c r="P225" i="11"/>
  <c r="P233" i="11"/>
  <c r="P235" i="11"/>
  <c r="P23" i="9"/>
  <c r="P27" i="9"/>
  <c r="P147" i="41"/>
  <c r="AJ93" i="11"/>
  <c r="AJ153" i="11"/>
  <c r="AE41" i="58"/>
  <c r="AE51" i="58"/>
  <c r="D115" i="8"/>
  <c r="AD87" i="12"/>
  <c r="AD86" i="12"/>
  <c r="AD27" i="12"/>
  <c r="AD72" i="12"/>
  <c r="AB138" i="58"/>
  <c r="AB137" i="58"/>
  <c r="AJ94" i="11"/>
  <c r="AJ154" i="11"/>
  <c r="AE42" i="58"/>
  <c r="AE52" i="58"/>
  <c r="AA66" i="58"/>
  <c r="AA65" i="58"/>
  <c r="AF177" i="12"/>
  <c r="AF179" i="12"/>
  <c r="AE13" i="9"/>
  <c r="AE109" i="41"/>
  <c r="AE124" i="41"/>
  <c r="AE137" i="41"/>
  <c r="AE139" i="41"/>
  <c r="AS53" i="8"/>
  <c r="AT49" i="8"/>
  <c r="AT53" i="8"/>
  <c r="AU49" i="8"/>
  <c r="AU53" i="8"/>
  <c r="AV49" i="8"/>
  <c r="AV43" i="8"/>
  <c r="S71" i="58"/>
  <c r="S62" i="58"/>
  <c r="X168" i="11"/>
  <c r="X104" i="11"/>
  <c r="AA35" i="16"/>
  <c r="Q124" i="11"/>
  <c r="Q195" i="11"/>
  <c r="Q414" i="11"/>
  <c r="Q77" i="47"/>
  <c r="L25" i="11"/>
  <c r="D24" i="11"/>
  <c r="AL106" i="11"/>
  <c r="AL170" i="11"/>
  <c r="AG64" i="58"/>
  <c r="AG73" i="58"/>
  <c r="Q122" i="11"/>
  <c r="Q193" i="11"/>
  <c r="L101" i="58"/>
  <c r="L110" i="58"/>
  <c r="N104" i="8"/>
  <c r="N105" i="8"/>
  <c r="N119" i="8"/>
  <c r="N31" i="15"/>
  <c r="N33" i="15"/>
  <c r="N44" i="13"/>
  <c r="N47" i="13"/>
  <c r="AH78" i="41"/>
  <c r="AH31" i="41"/>
  <c r="AH75" i="41"/>
  <c r="Z69" i="58"/>
  <c r="Z60" i="58"/>
  <c r="AE166" i="11"/>
  <c r="AE102" i="11"/>
  <c r="K110" i="58"/>
  <c r="K101" i="58"/>
  <c r="AF162" i="12"/>
  <c r="AF141" i="12"/>
  <c r="AF124" i="12"/>
  <c r="AF99" i="12"/>
  <c r="AI56" i="13"/>
  <c r="AI55" i="13"/>
  <c r="AI54" i="13"/>
  <c r="AI32" i="16"/>
  <c r="AI36" i="16"/>
  <c r="Q90" i="58"/>
  <c r="Q81" i="58"/>
  <c r="V179" i="11"/>
  <c r="V111" i="11"/>
  <c r="V175" i="41"/>
  <c r="V168" i="41"/>
  <c r="V166" i="41"/>
  <c r="K46" i="13"/>
  <c r="H70" i="58"/>
  <c r="H61" i="58"/>
  <c r="M167" i="11"/>
  <c r="M103" i="11"/>
  <c r="AH505" i="22"/>
  <c r="AH537" i="22"/>
  <c r="AH542" i="22"/>
  <c r="D66" i="8"/>
  <c r="AB47" i="17"/>
  <c r="AB32" i="9"/>
  <c r="AL161" i="11"/>
  <c r="AL160" i="11"/>
  <c r="AL91" i="11"/>
  <c r="AL151" i="11"/>
  <c r="AL158" i="11"/>
  <c r="X133" i="22"/>
  <c r="D113" i="8"/>
  <c r="AB277" i="22"/>
  <c r="AB274" i="22"/>
  <c r="AB265" i="22"/>
  <c r="AS74" i="8"/>
  <c r="AS67" i="8"/>
  <c r="AS66" i="8"/>
  <c r="X90" i="8"/>
  <c r="AE111" i="48"/>
  <c r="AE228" i="48"/>
  <c r="AI56" i="12"/>
  <c r="AB103" i="10"/>
  <c r="AB105" i="10"/>
  <c r="AC103" i="10"/>
  <c r="AC105" i="10"/>
  <c r="AD103" i="10"/>
  <c r="AD105" i="10"/>
  <c r="AD107" i="10"/>
  <c r="AD14" i="9"/>
  <c r="AE27" i="4"/>
  <c r="AE46" i="4"/>
  <c r="AE47" i="4"/>
  <c r="AE52" i="4"/>
  <c r="AE13" i="14"/>
  <c r="AE14" i="14"/>
  <c r="AD166" i="41"/>
  <c r="AD168" i="41"/>
  <c r="AD175" i="41"/>
  <c r="AA112" i="11"/>
  <c r="AA180" i="11"/>
  <c r="V82" i="58"/>
  <c r="V91" i="58"/>
  <c r="AF41" i="15"/>
  <c r="AF46" i="13"/>
  <c r="P115" i="11"/>
  <c r="P183" i="11"/>
  <c r="K85" i="58"/>
  <c r="K94" i="58"/>
  <c r="V73" i="58"/>
  <c r="V64" i="58"/>
  <c r="AE196" i="12"/>
  <c r="AE192" i="12"/>
  <c r="AN134" i="22"/>
  <c r="AJ56" i="5"/>
  <c r="Y94" i="11"/>
  <c r="Y154" i="11"/>
  <c r="T42" i="58"/>
  <c r="T52" i="58"/>
  <c r="AI25" i="13"/>
  <c r="AI24" i="13"/>
  <c r="AG90" i="8"/>
  <c r="AQ86" i="16"/>
  <c r="AQ84" i="16"/>
  <c r="I93" i="58"/>
  <c r="I84" i="58"/>
  <c r="N182" i="11"/>
  <c r="N114" i="11"/>
  <c r="AG139" i="22"/>
  <c r="AG467" i="22"/>
  <c r="AG486" i="22"/>
  <c r="AD100" i="12"/>
  <c r="AD125" i="12"/>
  <c r="AD142" i="12"/>
  <c r="AD163" i="12"/>
  <c r="X27" i="58"/>
  <c r="X31" i="58"/>
  <c r="AG123" i="11"/>
  <c r="AG194" i="11"/>
  <c r="AG398" i="11"/>
  <c r="AG61" i="47"/>
  <c r="U110" i="11"/>
  <c r="U178" i="11"/>
  <c r="P80" i="58"/>
  <c r="P89" i="58"/>
  <c r="AB55" i="58"/>
  <c r="AB45" i="58"/>
  <c r="AG157" i="11"/>
  <c r="AG97" i="11"/>
  <c r="T161" i="5"/>
  <c r="U30" i="12"/>
  <c r="R120" i="8"/>
  <c r="R114" i="8"/>
  <c r="R113" i="8"/>
  <c r="AD478" i="22"/>
  <c r="AD507" i="22"/>
  <c r="AD539" i="22"/>
  <c r="Q105" i="11"/>
  <c r="Q169" i="11"/>
  <c r="L63" i="58"/>
  <c r="L72" i="58"/>
  <c r="S55" i="15"/>
  <c r="AC8" i="58"/>
  <c r="AC20" i="58"/>
  <c r="AB110" i="11"/>
  <c r="AB178" i="11"/>
  <c r="AB185" i="11"/>
  <c r="AB187" i="11"/>
  <c r="AB188" i="11"/>
  <c r="W476" i="22"/>
  <c r="W505" i="22"/>
  <c r="W511" i="22"/>
  <c r="W522" i="22"/>
  <c r="AC139" i="22"/>
  <c r="AC467" i="22"/>
  <c r="AC486" i="22"/>
  <c r="Z100" i="12"/>
  <c r="Z125" i="12"/>
  <c r="Z142" i="12"/>
  <c r="Z163" i="12"/>
  <c r="T27" i="58"/>
  <c r="T31" i="58"/>
  <c r="S91" i="11"/>
  <c r="S151" i="11"/>
  <c r="N39" i="58"/>
  <c r="N49" i="58"/>
  <c r="V24" i="58"/>
  <c r="V3" i="58"/>
  <c r="F24" i="58"/>
  <c r="F3" i="58"/>
  <c r="AJ25" i="43"/>
  <c r="AJ26" i="43"/>
  <c r="AQ74" i="8"/>
  <c r="AQ67" i="8"/>
  <c r="AQ66" i="8"/>
  <c r="AI43" i="8"/>
  <c r="T93" i="58"/>
  <c r="T84" i="58"/>
  <c r="Y182" i="11"/>
  <c r="Y114" i="11"/>
  <c r="S110" i="58"/>
  <c r="S101" i="58"/>
  <c r="W48" i="14"/>
  <c r="W27" i="4"/>
  <c r="W46" i="4"/>
  <c r="W47" i="4"/>
  <c r="W52" i="4"/>
  <c r="W13" i="14"/>
  <c r="W14" i="14"/>
  <c r="W51" i="14"/>
  <c r="AB123" i="11"/>
  <c r="AB194" i="11"/>
  <c r="AB398" i="11"/>
  <c r="AB61" i="47"/>
  <c r="Y111" i="48"/>
  <c r="AC56" i="12"/>
  <c r="Y228" i="48"/>
  <c r="O277" i="22"/>
  <c r="O274" i="22"/>
  <c r="O265" i="22"/>
  <c r="O132" i="41"/>
  <c r="O121" i="41"/>
  <c r="O121" i="11"/>
  <c r="O192" i="11"/>
  <c r="O199" i="11"/>
  <c r="O201" i="11"/>
  <c r="O202" i="11"/>
  <c r="O221" i="11"/>
  <c r="O224" i="11"/>
  <c r="O225" i="11"/>
  <c r="O233" i="11"/>
  <c r="O235" i="11"/>
  <c r="O23" i="9"/>
  <c r="O114" i="41"/>
  <c r="O125" i="41"/>
  <c r="O138" i="41"/>
  <c r="Z232" i="48"/>
  <c r="AG538" i="22"/>
  <c r="AG138" i="22"/>
  <c r="AG466" i="22"/>
  <c r="AG477" i="22"/>
  <c r="AG506" i="22"/>
  <c r="AF211" i="11"/>
  <c r="AF135" i="11"/>
  <c r="H50" i="58"/>
  <c r="H40" i="58"/>
  <c r="M152" i="11"/>
  <c r="M92" i="11"/>
  <c r="AB120" i="8"/>
  <c r="AB114" i="8"/>
  <c r="AB113" i="8"/>
  <c r="O54" i="58"/>
  <c r="O44" i="58"/>
  <c r="AE132" i="12"/>
  <c r="AE137" i="12"/>
  <c r="X25" i="11"/>
  <c r="AB270" i="22"/>
  <c r="AB188" i="22"/>
  <c r="P113" i="11"/>
  <c r="P181" i="11"/>
  <c r="K83" i="58"/>
  <c r="K92" i="58"/>
  <c r="G12" i="54"/>
  <c r="AQ53" i="8"/>
  <c r="AR49" i="8"/>
  <c r="AR53" i="8"/>
  <c r="AS49" i="8"/>
  <c r="AS43" i="8"/>
  <c r="S104" i="8"/>
  <c r="S105" i="8"/>
  <c r="S119" i="8"/>
  <c r="S31" i="15"/>
  <c r="S33" i="15"/>
  <c r="S44" i="13"/>
  <c r="S47" i="13"/>
  <c r="Z349" i="11"/>
  <c r="Z352" i="11"/>
  <c r="AA349" i="11"/>
  <c r="AA352" i="11"/>
  <c r="AB349" i="11"/>
  <c r="AB352" i="11"/>
  <c r="AC349" i="11"/>
  <c r="AC352" i="11"/>
  <c r="AD349" i="11"/>
  <c r="AD352" i="11"/>
  <c r="AE349" i="11"/>
  <c r="AE352" i="11"/>
  <c r="AF349" i="11"/>
  <c r="AF352" i="11"/>
  <c r="AG349" i="11"/>
  <c r="AG352" i="11"/>
  <c r="AH349" i="11"/>
  <c r="AH352" i="11"/>
  <c r="AH39" i="13"/>
  <c r="AH45" i="13"/>
  <c r="N125" i="58"/>
  <c r="AB93" i="11"/>
  <c r="AB153" i="11"/>
  <c r="W41" i="58"/>
  <c r="W51" i="58"/>
  <c r="D350" i="11"/>
  <c r="AX84" i="16"/>
  <c r="AH84" i="16"/>
  <c r="AZ84" i="16"/>
  <c r="AJ84" i="16"/>
  <c r="AL84" i="16"/>
  <c r="AK84" i="16"/>
  <c r="AF84" i="16"/>
  <c r="AG86" i="16"/>
  <c r="AY84" i="16"/>
  <c r="AI84" i="16"/>
  <c r="AG84" i="16"/>
  <c r="AB211" i="11"/>
  <c r="AB135" i="11"/>
  <c r="U92" i="58"/>
  <c r="U83" i="58"/>
  <c r="Z181" i="11"/>
  <c r="Z113" i="11"/>
  <c r="H67" i="58"/>
  <c r="U188" i="22"/>
  <c r="U270" i="22"/>
  <c r="AE124" i="11"/>
  <c r="AE195" i="11"/>
  <c r="Z103" i="58"/>
  <c r="Z112" i="58"/>
  <c r="X122" i="11"/>
  <c r="X193" i="11"/>
  <c r="X400" i="11"/>
  <c r="AA175" i="41"/>
  <c r="AA168" i="41"/>
  <c r="AB27" i="4"/>
  <c r="AB46" i="4"/>
  <c r="AB47" i="4"/>
  <c r="AB52" i="4"/>
  <c r="AB13" i="14"/>
  <c r="AB14" i="14"/>
  <c r="AA166" i="41"/>
  <c r="AF141" i="22"/>
  <c r="W8" i="58"/>
  <c r="W20" i="58"/>
  <c r="J56" i="5"/>
  <c r="AE94" i="11"/>
  <c r="AE154" i="11"/>
  <c r="Z42" i="58"/>
  <c r="Z52" i="58"/>
  <c r="N95" i="58"/>
  <c r="N86" i="58"/>
  <c r="S184" i="11"/>
  <c r="S116" i="11"/>
  <c r="I61" i="13"/>
  <c r="J58" i="13"/>
  <c r="J61" i="13"/>
  <c r="K58" i="13"/>
  <c r="K61" i="13"/>
  <c r="L58" i="13"/>
  <c r="L61" i="13"/>
  <c r="M58" i="13"/>
  <c r="M61" i="13"/>
  <c r="N58" i="13"/>
  <c r="N61" i="13"/>
  <c r="O58" i="13"/>
  <c r="O61" i="13"/>
  <c r="P58" i="13"/>
  <c r="P61" i="13"/>
  <c r="Q58" i="13"/>
  <c r="Q61" i="13"/>
  <c r="R58" i="13"/>
  <c r="R61" i="13"/>
  <c r="S58" i="13"/>
  <c r="S61" i="13"/>
  <c r="T58" i="13"/>
  <c r="T61" i="13"/>
  <c r="U58" i="13"/>
  <c r="U61" i="13"/>
  <c r="V58" i="13"/>
  <c r="V61" i="13"/>
  <c r="W58" i="13"/>
  <c r="W61" i="13"/>
  <c r="X58" i="13"/>
  <c r="X61" i="13"/>
  <c r="Y58" i="13"/>
  <c r="Y61" i="13"/>
  <c r="Y26" i="9"/>
  <c r="Y117" i="41"/>
  <c r="AE93" i="11"/>
  <c r="AE153" i="11"/>
  <c r="AE373" i="11"/>
  <c r="AE13" i="47"/>
  <c r="R137" i="22"/>
  <c r="R145" i="22"/>
  <c r="R162" i="22"/>
  <c r="R172" i="22"/>
  <c r="R181" i="22"/>
  <c r="T96" i="11"/>
  <c r="T156" i="11"/>
  <c r="T386" i="11"/>
  <c r="AA106" i="11"/>
  <c r="AA170" i="11"/>
  <c r="AA387" i="11"/>
  <c r="AH476" i="22"/>
  <c r="AE62" i="12"/>
  <c r="AE67" i="12"/>
  <c r="L137" i="56"/>
  <c r="L136" i="56"/>
  <c r="X253" i="11"/>
  <c r="X269" i="11"/>
  <c r="R89" i="8"/>
  <c r="R90" i="8"/>
  <c r="K4" i="58"/>
  <c r="T143" i="22"/>
  <c r="AE56" i="5"/>
  <c r="AI134" i="22"/>
  <c r="J28" i="18"/>
  <c r="J29" i="18"/>
  <c r="J67" i="18"/>
  <c r="J66" i="18"/>
  <c r="G11" i="54"/>
  <c r="AE5" i="9"/>
  <c r="AE5" i="15"/>
  <c r="AE5" i="3"/>
  <c r="AE5" i="18"/>
  <c r="AE5" i="8"/>
  <c r="AF5" i="12"/>
  <c r="AE5" i="13"/>
  <c r="AE5" i="43"/>
  <c r="AE5" i="55"/>
  <c r="AE5" i="16"/>
  <c r="AE5" i="10"/>
  <c r="AE5" i="17"/>
  <c r="AE5" i="2"/>
  <c r="AE5" i="14"/>
  <c r="AE5" i="11"/>
  <c r="AE5" i="1"/>
  <c r="AE5" i="4"/>
  <c r="AK25" i="41"/>
  <c r="AK24" i="41"/>
  <c r="AD112" i="11"/>
  <c r="AD180" i="11"/>
  <c r="Y82" i="58"/>
  <c r="Y91" i="58"/>
  <c r="U43" i="8"/>
  <c r="D43" i="8"/>
  <c r="E84" i="56"/>
  <c r="E125" i="56"/>
  <c r="Q126" i="56"/>
  <c r="Q127" i="56"/>
  <c r="W145" i="22"/>
  <c r="W162" i="22"/>
  <c r="S34" i="43"/>
  <c r="T200" i="12"/>
  <c r="T218" i="12"/>
  <c r="T223" i="12"/>
  <c r="T243" i="12"/>
  <c r="T247" i="12"/>
  <c r="T248" i="12"/>
  <c r="S8" i="14"/>
  <c r="N140" i="58"/>
  <c r="N141" i="58"/>
  <c r="Z185" i="12"/>
  <c r="Z186" i="12"/>
  <c r="AA188" i="12"/>
  <c r="Z16" i="14"/>
  <c r="Z20" i="14"/>
  <c r="Z27" i="17"/>
  <c r="AP139" i="22"/>
  <c r="AP467" i="22"/>
  <c r="AP478" i="22"/>
  <c r="AP507" i="22"/>
  <c r="AP539" i="22"/>
  <c r="W137" i="22"/>
  <c r="W465" i="22"/>
  <c r="W484" i="22"/>
  <c r="T98" i="12"/>
  <c r="T123" i="12"/>
  <c r="T140" i="12"/>
  <c r="T161" i="12"/>
  <c r="T166" i="12"/>
  <c r="T169" i="12"/>
  <c r="T170" i="12"/>
  <c r="T177" i="12"/>
  <c r="T179" i="12"/>
  <c r="T178" i="12"/>
  <c r="S7" i="15"/>
  <c r="S12" i="15"/>
  <c r="S32" i="16"/>
  <c r="S36" i="16"/>
  <c r="S54" i="13"/>
  <c r="S55" i="13"/>
  <c r="S56" i="13"/>
  <c r="J10" i="14"/>
  <c r="D10" i="14"/>
  <c r="AG83" i="16"/>
  <c r="AV84" i="16"/>
  <c r="AV86" i="16"/>
  <c r="AL124" i="11"/>
  <c r="AL195" i="11"/>
  <c r="AG103" i="58"/>
  <c r="AG112" i="58"/>
  <c r="V23" i="14"/>
  <c r="V104" i="10"/>
  <c r="V100" i="10"/>
  <c r="V27" i="4"/>
  <c r="V46" i="4"/>
  <c r="V47" i="4"/>
  <c r="V97" i="10"/>
  <c r="AA120" i="41"/>
  <c r="J234" i="48"/>
  <c r="J231" i="48"/>
  <c r="AL40" i="13"/>
  <c r="AH29" i="17"/>
  <c r="AH66" i="10"/>
  <c r="AG89" i="58"/>
  <c r="AL110" i="11"/>
  <c r="AL178" i="11"/>
  <c r="AG80" i="58"/>
  <c r="AK55" i="15"/>
  <c r="L3" i="58"/>
  <c r="L24" i="58"/>
  <c r="U284" i="11"/>
  <c r="U285" i="11"/>
  <c r="U351" i="11"/>
  <c r="U27" i="15"/>
  <c r="AF100" i="11"/>
  <c r="AF164" i="11"/>
  <c r="AA58" i="58"/>
  <c r="AA67" i="58"/>
  <c r="U57" i="8"/>
  <c r="U58" i="8"/>
  <c r="U73" i="8"/>
  <c r="U22" i="15"/>
  <c r="U24" i="15"/>
  <c r="U37" i="3"/>
  <c r="U40" i="3"/>
  <c r="U42" i="3"/>
  <c r="AF100" i="8"/>
  <c r="AG96" i="8"/>
  <c r="AG100" i="8"/>
  <c r="AH96" i="8"/>
  <c r="AH100" i="8"/>
  <c r="AH32" i="9"/>
  <c r="AH47" i="17"/>
  <c r="J54" i="5"/>
  <c r="J24" i="43"/>
  <c r="J26" i="43"/>
  <c r="K7" i="47"/>
  <c r="O270" i="22"/>
  <c r="O145" i="22"/>
  <c r="O188" i="22"/>
  <c r="AK27" i="12"/>
  <c r="AK108" i="12"/>
  <c r="AK118" i="12"/>
  <c r="AK119" i="12"/>
  <c r="AC27" i="4"/>
  <c r="AC46" i="4"/>
  <c r="AC47" i="4"/>
  <c r="AC52" i="4"/>
  <c r="AC34" i="47"/>
  <c r="AC35" i="47"/>
  <c r="AD55" i="15"/>
  <c r="AG106" i="41"/>
  <c r="AG121" i="11"/>
  <c r="AG192" i="11"/>
  <c r="AG199" i="11"/>
  <c r="AG201" i="11"/>
  <c r="AG202" i="11"/>
  <c r="AG221" i="11"/>
  <c r="AG224" i="11"/>
  <c r="AG225" i="11"/>
  <c r="AG9" i="14"/>
  <c r="AG141" i="41"/>
  <c r="AJ130" i="11"/>
  <c r="AJ206" i="11"/>
  <c r="AJ214" i="11"/>
  <c r="AJ216" i="11"/>
  <c r="AJ217" i="11"/>
  <c r="N115" i="58"/>
  <c r="N106" i="58"/>
  <c r="AB90" i="8"/>
  <c r="V91" i="11"/>
  <c r="V151" i="11"/>
  <c r="Q39" i="58"/>
  <c r="Q49" i="58"/>
  <c r="M66" i="58"/>
  <c r="M65" i="58"/>
  <c r="I75" i="8"/>
  <c r="D75" i="8"/>
  <c r="M226" i="48"/>
  <c r="M229" i="48"/>
  <c r="AK469" i="22"/>
  <c r="AK480" i="22"/>
  <c r="AK509" i="22"/>
  <c r="AK541" i="22"/>
  <c r="AD233" i="48"/>
  <c r="AE24" i="13"/>
  <c r="AE25" i="13"/>
  <c r="AF112" i="48"/>
  <c r="AJ55" i="12"/>
  <c r="AM140" i="22"/>
  <c r="AD7" i="58"/>
  <c r="AE5" i="47"/>
  <c r="AE51" i="47"/>
  <c r="P465" i="22"/>
  <c r="P476" i="22"/>
  <c r="P505" i="22"/>
  <c r="I117" i="48"/>
  <c r="I122" i="48"/>
  <c r="AI32" i="41"/>
  <c r="AI54" i="41"/>
  <c r="AI57" i="41"/>
  <c r="O94" i="11"/>
  <c r="O154" i="11"/>
  <c r="O391" i="11"/>
  <c r="O29" i="47"/>
  <c r="D110" i="47"/>
  <c r="AA8" i="9"/>
  <c r="AA10" i="9"/>
  <c r="AE126" i="11"/>
  <c r="AE197" i="11"/>
  <c r="AE410" i="11"/>
  <c r="R122" i="11"/>
  <c r="R193" i="11"/>
  <c r="R400" i="11"/>
  <c r="Y113" i="11"/>
  <c r="Y181" i="11"/>
  <c r="T83" i="58"/>
  <c r="T92" i="58"/>
  <c r="Y104" i="11"/>
  <c r="Y168" i="11"/>
  <c r="T62" i="58"/>
  <c r="T71" i="58"/>
  <c r="AO203" i="22"/>
  <c r="AK54" i="47"/>
  <c r="AO141" i="22"/>
  <c r="AO147" i="22"/>
  <c r="AO272" i="22"/>
  <c r="AM470" i="22"/>
  <c r="AI217" i="11"/>
  <c r="AI216" i="11"/>
  <c r="AL284" i="11"/>
  <c r="AL285" i="11"/>
  <c r="AL351" i="11"/>
  <c r="AL27" i="15"/>
  <c r="AD340" i="11"/>
  <c r="AD346" i="11"/>
  <c r="AD350" i="11"/>
  <c r="Y102" i="11"/>
  <c r="Y166" i="11"/>
  <c r="T60" i="58"/>
  <c r="T69" i="58"/>
  <c r="AC470" i="22"/>
  <c r="AP470" i="22"/>
  <c r="AF120" i="8"/>
  <c r="AF114" i="8"/>
  <c r="AF113" i="8"/>
  <c r="P112" i="48"/>
  <c r="N7" i="58"/>
  <c r="T55" i="12"/>
  <c r="Z30" i="58"/>
  <c r="Z26" i="58"/>
  <c r="N25" i="13"/>
  <c r="N24" i="13"/>
  <c r="AI232" i="48"/>
  <c r="AP538" i="22"/>
  <c r="AP130" i="22"/>
  <c r="AP138" i="22"/>
  <c r="AP466" i="22"/>
  <c r="AP477" i="22"/>
  <c r="AP506" i="22"/>
  <c r="Z32" i="58"/>
  <c r="Z23" i="58"/>
  <c r="AH130" i="11"/>
  <c r="AH206" i="11"/>
  <c r="AH214" i="11"/>
  <c r="AH403" i="11"/>
  <c r="AH405" i="11"/>
  <c r="AH62" i="47"/>
  <c r="U105" i="41"/>
  <c r="P10" i="58"/>
  <c r="U46" i="14"/>
  <c r="AC277" i="22"/>
  <c r="AC274" i="22"/>
  <c r="AC265" i="22"/>
  <c r="H20" i="58"/>
  <c r="H8" i="58"/>
  <c r="AL13" i="17"/>
  <c r="AL42" i="9"/>
  <c r="AL41" i="9"/>
  <c r="AJ31" i="14"/>
  <c r="AK29" i="14"/>
  <c r="AK31" i="14"/>
  <c r="AL29" i="14"/>
  <c r="AL31" i="14"/>
  <c r="Q539" i="22"/>
  <c r="Q478" i="22"/>
  <c r="Q507" i="22"/>
  <c r="AJ269" i="11"/>
  <c r="AJ253" i="11"/>
  <c r="Z134" i="22"/>
  <c r="V56" i="5"/>
  <c r="Q139" i="41"/>
  <c r="Q137" i="41"/>
  <c r="Q124" i="41"/>
  <c r="U31" i="58"/>
  <c r="AD139" i="22"/>
  <c r="AD467" i="22"/>
  <c r="AD486" i="22"/>
  <c r="AA100" i="12"/>
  <c r="AA125" i="12"/>
  <c r="AA142" i="12"/>
  <c r="AA163" i="12"/>
  <c r="U27" i="58"/>
  <c r="D39" i="15"/>
  <c r="D36" i="15"/>
  <c r="D35" i="15"/>
  <c r="AH13" i="17"/>
  <c r="AH42" i="9"/>
  <c r="AH41" i="9"/>
  <c r="N251" i="12"/>
  <c r="N241" i="12"/>
  <c r="U210" i="11"/>
  <c r="U134" i="11"/>
  <c r="Y73" i="58"/>
  <c r="Y64" i="58"/>
  <c r="N209" i="11"/>
  <c r="N133" i="11"/>
  <c r="AA49" i="58"/>
  <c r="AA268" i="11"/>
  <c r="AA252" i="11"/>
  <c r="U60" i="16"/>
  <c r="U59" i="16"/>
  <c r="AI138" i="22"/>
  <c r="AI466" i="22"/>
  <c r="AI485" i="22"/>
  <c r="AI514" i="22"/>
  <c r="T539" i="22"/>
  <c r="T139" i="22"/>
  <c r="T467" i="22"/>
  <c r="T478" i="22"/>
  <c r="T507" i="22"/>
  <c r="AB409" i="11"/>
  <c r="W272" i="22"/>
  <c r="W203" i="22"/>
  <c r="S54" i="47"/>
  <c r="K112" i="58"/>
  <c r="P124" i="11"/>
  <c r="P195" i="11"/>
  <c r="K103" i="58"/>
  <c r="AB51" i="47"/>
  <c r="AB5" i="47"/>
  <c r="AK66" i="55"/>
  <c r="AK67" i="55"/>
  <c r="AK29" i="55"/>
  <c r="AK57" i="8"/>
  <c r="AK58" i="8"/>
  <c r="AK73" i="8"/>
  <c r="AK22" i="15"/>
  <c r="AK24" i="15"/>
  <c r="AK59" i="3"/>
  <c r="AK70" i="3"/>
  <c r="AK74" i="3"/>
  <c r="AK26" i="15"/>
  <c r="AK29" i="15"/>
  <c r="AK92" i="8"/>
  <c r="AK99" i="8"/>
  <c r="AK118" i="8"/>
  <c r="AK32" i="15"/>
  <c r="AK33" i="15"/>
  <c r="AK28" i="55"/>
  <c r="P113" i="58"/>
  <c r="P104" i="58"/>
  <c r="M58" i="58"/>
  <c r="M67" i="58"/>
  <c r="Y110" i="48"/>
  <c r="Y107" i="48"/>
  <c r="T409" i="11"/>
  <c r="T56" i="5"/>
  <c r="X134" i="22"/>
  <c r="I66" i="58"/>
  <c r="I65" i="58"/>
  <c r="AN143" i="22"/>
  <c r="AE4" i="58"/>
  <c r="AJ143" i="22"/>
  <c r="AA4" i="58"/>
  <c r="U387" i="11"/>
  <c r="Y484" i="22"/>
  <c r="V98" i="12"/>
  <c r="V123" i="12"/>
  <c r="V140" i="12"/>
  <c r="V161" i="12"/>
  <c r="V166" i="12"/>
  <c r="V169" i="12"/>
  <c r="V170" i="12"/>
  <c r="U7" i="14"/>
  <c r="P26" i="58"/>
  <c r="P30" i="58"/>
  <c r="J10" i="58"/>
  <c r="O46" i="14"/>
  <c r="O105" i="41"/>
  <c r="T284" i="11"/>
  <c r="T285" i="11"/>
  <c r="T351" i="11"/>
  <c r="T27" i="15"/>
  <c r="AI139" i="22"/>
  <c r="AI467" i="22"/>
  <c r="AI478" i="22"/>
  <c r="AI507" i="22"/>
  <c r="AI539" i="22"/>
  <c r="O411" i="11"/>
  <c r="D96" i="8"/>
  <c r="Q469" i="22"/>
  <c r="Q480" i="22"/>
  <c r="Q509" i="22"/>
  <c r="Q541" i="22"/>
  <c r="J233" i="48"/>
  <c r="AA270" i="22"/>
  <c r="AA188" i="22"/>
  <c r="AN139" i="22"/>
  <c r="AN467" i="22"/>
  <c r="AN478" i="22"/>
  <c r="AN507" i="22"/>
  <c r="AN539" i="22"/>
  <c r="Y74" i="8"/>
  <c r="Y67" i="8"/>
  <c r="Y66" i="8"/>
  <c r="V270" i="22"/>
  <c r="V188" i="22"/>
  <c r="AC138" i="58"/>
  <c r="AC137" i="58"/>
  <c r="O93" i="11"/>
  <c r="O153" i="11"/>
  <c r="J41" i="58"/>
  <c r="J51" i="58"/>
  <c r="V24" i="4"/>
  <c r="V25" i="4"/>
  <c r="N211" i="11"/>
  <c r="N135" i="11"/>
  <c r="V213" i="12"/>
  <c r="AG476" i="22"/>
  <c r="AG505" i="22"/>
  <c r="AG511" i="22"/>
  <c r="AG522" i="22"/>
  <c r="AI25" i="11"/>
  <c r="AH386" i="11"/>
  <c r="S125" i="58"/>
  <c r="D59" i="8"/>
  <c r="W316" i="11"/>
  <c r="W303" i="11"/>
  <c r="AF91" i="11"/>
  <c r="AF151" i="11"/>
  <c r="AA39" i="58"/>
  <c r="AA46" i="58"/>
  <c r="AA47" i="58"/>
  <c r="X15" i="15"/>
  <c r="X38" i="47"/>
  <c r="V110" i="58"/>
  <c r="V101" i="58"/>
  <c r="R10" i="9"/>
  <c r="R8" i="9"/>
  <c r="AP270" i="22"/>
  <c r="AP188" i="22"/>
  <c r="AB125" i="11"/>
  <c r="AB196" i="11"/>
  <c r="W104" i="58"/>
  <c r="W113" i="58"/>
  <c r="N23" i="58"/>
  <c r="N32" i="58"/>
  <c r="S127" i="11"/>
  <c r="S198" i="11"/>
  <c r="S411" i="11"/>
  <c r="D251" i="11"/>
  <c r="X172" i="22"/>
  <c r="X181" i="22"/>
  <c r="AE139" i="22"/>
  <c r="AE467" i="22"/>
  <c r="AE478" i="22"/>
  <c r="AE507" i="22"/>
  <c r="AE539" i="22"/>
  <c r="L40" i="13"/>
  <c r="T125" i="11"/>
  <c r="T196" i="11"/>
  <c r="O104" i="58"/>
  <c r="O113" i="58"/>
  <c r="T24" i="4"/>
  <c r="T25" i="4"/>
  <c r="J67" i="58"/>
  <c r="W358" i="11"/>
  <c r="W359" i="11"/>
  <c r="X361" i="11"/>
  <c r="X17" i="14"/>
  <c r="X86" i="47"/>
  <c r="AK52" i="12"/>
  <c r="AK57" i="12"/>
  <c r="AC107" i="48"/>
  <c r="AC110" i="48"/>
  <c r="AE210" i="11"/>
  <c r="AE134" i="11"/>
  <c r="R29" i="17"/>
  <c r="R66" i="10"/>
  <c r="K54" i="5"/>
  <c r="K23" i="11"/>
  <c r="K25" i="11"/>
  <c r="P88" i="10"/>
  <c r="P91" i="10"/>
  <c r="Q88" i="10"/>
  <c r="Q91" i="10"/>
  <c r="R88" i="10"/>
  <c r="R91" i="10"/>
  <c r="S88" i="10"/>
  <c r="S91" i="10"/>
  <c r="T88" i="10"/>
  <c r="T91" i="10"/>
  <c r="U88" i="10"/>
  <c r="U91" i="10"/>
  <c r="V88" i="10"/>
  <c r="V91" i="10"/>
  <c r="W88" i="10"/>
  <c r="W91" i="10"/>
  <c r="X88" i="10"/>
  <c r="X91" i="10"/>
  <c r="Y88" i="10"/>
  <c r="Y91" i="10"/>
  <c r="Z88" i="10"/>
  <c r="Z91" i="10"/>
  <c r="AA88" i="10"/>
  <c r="AA91" i="10"/>
  <c r="AB88" i="10"/>
  <c r="AB91" i="10"/>
  <c r="AC88" i="10"/>
  <c r="AC91" i="10"/>
  <c r="AD88" i="10"/>
  <c r="AD91" i="10"/>
  <c r="AE88" i="10"/>
  <c r="AE91" i="10"/>
  <c r="AF88" i="10"/>
  <c r="AF91" i="10"/>
  <c r="AF25" i="9"/>
  <c r="AF116" i="41"/>
  <c r="X27" i="11"/>
  <c r="X134" i="11"/>
  <c r="X210" i="11"/>
  <c r="AP465" i="22"/>
  <c r="AP471" i="22"/>
  <c r="AP474" i="22"/>
  <c r="L106" i="41"/>
  <c r="L141" i="41"/>
  <c r="AD341" i="11"/>
  <c r="AE284" i="11"/>
  <c r="AE285" i="11"/>
  <c r="D341" i="11"/>
  <c r="AC341" i="11"/>
  <c r="U303" i="11"/>
  <c r="D303" i="11"/>
  <c r="V303" i="11"/>
  <c r="Y188" i="22"/>
  <c r="Y270" i="22"/>
  <c r="AC270" i="22"/>
  <c r="AC145" i="22"/>
  <c r="AC188" i="22"/>
  <c r="S465" i="22"/>
  <c r="S484" i="22"/>
  <c r="P98" i="12"/>
  <c r="P123" i="12"/>
  <c r="P140" i="12"/>
  <c r="P161" i="12"/>
  <c r="P166" i="12"/>
  <c r="P169" i="12"/>
  <c r="P170" i="12"/>
  <c r="O7" i="14"/>
  <c r="J26" i="58"/>
  <c r="J30" i="58"/>
  <c r="O127" i="11"/>
  <c r="O198" i="11"/>
  <c r="J106" i="58"/>
  <c r="J115" i="58"/>
  <c r="J98" i="8"/>
  <c r="D98" i="8"/>
  <c r="R3" i="58"/>
  <c r="R24" i="58"/>
  <c r="AF73" i="58"/>
  <c r="AF64" i="58"/>
  <c r="AH141" i="41"/>
  <c r="AH121" i="11"/>
  <c r="AH192" i="11"/>
  <c r="AH199" i="11"/>
  <c r="AH201" i="11"/>
  <c r="AH202" i="11"/>
  <c r="AH221" i="11"/>
  <c r="AH224" i="11"/>
  <c r="AH225" i="11"/>
  <c r="AH9" i="14"/>
  <c r="AH106" i="41"/>
  <c r="J55" i="15"/>
  <c r="U484" i="22"/>
  <c r="R98" i="12"/>
  <c r="R123" i="12"/>
  <c r="R140" i="12"/>
  <c r="R161" i="12"/>
  <c r="R166" i="12"/>
  <c r="R169" i="12"/>
  <c r="R170" i="12"/>
  <c r="R177" i="12"/>
  <c r="R179" i="12"/>
  <c r="Q13" i="9"/>
  <c r="Q109" i="41"/>
  <c r="Q120" i="41"/>
  <c r="P55" i="58"/>
  <c r="P45" i="58"/>
  <c r="U157" i="11"/>
  <c r="U97" i="11"/>
  <c r="U94" i="58"/>
  <c r="U85" i="58"/>
  <c r="Z183" i="11"/>
  <c r="Z115" i="11"/>
  <c r="AA95" i="58"/>
  <c r="AA86" i="58"/>
  <c r="AF184" i="11"/>
  <c r="AF116" i="11"/>
  <c r="AH96" i="11"/>
  <c r="AH156" i="11"/>
  <c r="AC44" i="58"/>
  <c r="AC54" i="58"/>
  <c r="AB25" i="8"/>
  <c r="AB24" i="8"/>
  <c r="N112" i="48"/>
  <c r="R55" i="12"/>
  <c r="L7" i="58"/>
  <c r="AB137" i="22"/>
  <c r="AB145" i="22"/>
  <c r="AB162" i="22"/>
  <c r="X34" i="43"/>
  <c r="Y200" i="12"/>
  <c r="Y218" i="12"/>
  <c r="Y223" i="12"/>
  <c r="Y243" i="12"/>
  <c r="Y247" i="12"/>
  <c r="Y248" i="12"/>
  <c r="X8" i="14"/>
  <c r="S140" i="58"/>
  <c r="S141" i="58"/>
  <c r="AF476" i="22"/>
  <c r="AF505" i="22"/>
  <c r="AF511" i="22"/>
  <c r="AF522" i="22"/>
  <c r="AH35" i="16"/>
  <c r="AB139" i="41"/>
  <c r="AB137" i="41"/>
  <c r="AB124" i="41"/>
  <c r="AI209" i="11"/>
  <c r="AI133" i="11"/>
  <c r="M120" i="41"/>
  <c r="AD41" i="9"/>
  <c r="AD42" i="9"/>
  <c r="AD13" i="17"/>
  <c r="AI82" i="41"/>
  <c r="AG82" i="41"/>
  <c r="AX82" i="41"/>
  <c r="AF82" i="41"/>
  <c r="AY82" i="41"/>
  <c r="AJ82" i="41"/>
  <c r="AG84" i="41"/>
  <c r="AK82" i="41"/>
  <c r="AZ82" i="41"/>
  <c r="AH82" i="41"/>
  <c r="AL82" i="41"/>
  <c r="S93" i="58"/>
  <c r="S84" i="58"/>
  <c r="X182" i="11"/>
  <c r="X55" i="5"/>
  <c r="X24" i="11"/>
  <c r="X114" i="11"/>
  <c r="W207" i="11"/>
  <c r="W131" i="11"/>
  <c r="AA139" i="22"/>
  <c r="AA467" i="22"/>
  <c r="AA478" i="22"/>
  <c r="AA507" i="22"/>
  <c r="AA539" i="22"/>
  <c r="L251" i="11"/>
  <c r="L267" i="11"/>
  <c r="D267" i="11"/>
  <c r="AB56" i="13"/>
  <c r="AB55" i="13"/>
  <c r="AB54" i="13"/>
  <c r="AC178" i="12"/>
  <c r="AB7" i="15"/>
  <c r="AB12" i="15"/>
  <c r="AB32" i="16"/>
  <c r="AB36" i="16"/>
  <c r="Y69" i="58"/>
  <c r="Y60" i="58"/>
  <c r="AD166" i="11"/>
  <c r="AD102" i="11"/>
  <c r="D68" i="8"/>
  <c r="N185" i="12"/>
  <c r="N186" i="12"/>
  <c r="O188" i="12"/>
  <c r="N16" i="14"/>
  <c r="N20" i="14"/>
  <c r="N73" i="10"/>
  <c r="N75" i="10"/>
  <c r="N77" i="10"/>
  <c r="N80" i="10"/>
  <c r="N83" i="10"/>
  <c r="N85" i="10"/>
  <c r="N89" i="10"/>
  <c r="N22" i="14"/>
  <c r="N24" i="14"/>
  <c r="N38" i="13"/>
  <c r="N41" i="13"/>
  <c r="N59" i="13"/>
  <c r="N26" i="14"/>
  <c r="N27" i="14"/>
  <c r="N30" i="14"/>
  <c r="O100" i="11"/>
  <c r="O164" i="11"/>
  <c r="J58" i="58"/>
  <c r="J65" i="58"/>
  <c r="J66" i="58"/>
  <c r="AA122" i="11"/>
  <c r="AA193" i="11"/>
  <c r="AA400" i="11"/>
  <c r="M188" i="11"/>
  <c r="M187" i="11"/>
  <c r="M110" i="11"/>
  <c r="M178" i="11"/>
  <c r="M185" i="11"/>
  <c r="L132" i="11"/>
  <c r="L208" i="11"/>
  <c r="F34" i="8"/>
  <c r="AE46" i="13"/>
  <c r="R284" i="11"/>
  <c r="R285" i="11"/>
  <c r="R351" i="11"/>
  <c r="R27" i="15"/>
  <c r="AF141" i="58"/>
  <c r="AF140" i="58"/>
  <c r="AA139" i="41"/>
  <c r="AA137" i="41"/>
  <c r="AA13" i="9"/>
  <c r="AA109" i="41"/>
  <c r="AA124" i="41"/>
  <c r="Z70" i="47"/>
  <c r="Z66" i="47"/>
  <c r="AF470" i="22"/>
  <c r="AI53" i="8"/>
  <c r="AJ49" i="8"/>
  <c r="AJ53" i="8"/>
  <c r="AK49" i="8"/>
  <c r="AK53" i="8"/>
  <c r="AL49" i="8"/>
  <c r="AL53" i="8"/>
  <c r="AM49" i="8"/>
  <c r="AM53" i="8"/>
  <c r="AN49" i="8"/>
  <c r="AN53" i="8"/>
  <c r="AO49" i="8"/>
  <c r="AO53" i="8"/>
  <c r="AP49" i="8"/>
  <c r="AP53" i="8"/>
  <c r="AQ49" i="8"/>
  <c r="AQ43" i="8"/>
  <c r="L121" i="11"/>
  <c r="L192" i="11"/>
  <c r="L199" i="11"/>
  <c r="L201" i="11"/>
  <c r="L202" i="11"/>
  <c r="L221" i="11"/>
  <c r="L224" i="11"/>
  <c r="L225" i="11"/>
  <c r="L9" i="14"/>
  <c r="G137" i="58"/>
  <c r="G138" i="58"/>
  <c r="P3" i="58"/>
  <c r="P24" i="58"/>
  <c r="O410" i="11"/>
  <c r="AD100" i="8"/>
  <c r="AE96" i="8"/>
  <c r="AE100" i="8"/>
  <c r="AF96" i="8"/>
  <c r="AF90" i="8"/>
  <c r="AA161" i="11"/>
  <c r="AA160" i="11"/>
  <c r="AA91" i="11"/>
  <c r="AA151" i="11"/>
  <c r="AA158" i="11"/>
  <c r="T132" i="11"/>
  <c r="T208" i="11"/>
  <c r="AK106" i="11"/>
  <c r="AK170" i="11"/>
  <c r="AK387" i="11"/>
  <c r="Y43" i="8"/>
  <c r="V72" i="58"/>
  <c r="V63" i="58"/>
  <c r="AA169" i="11"/>
  <c r="AA105" i="11"/>
  <c r="T124" i="11"/>
  <c r="T195" i="11"/>
  <c r="O103" i="58"/>
  <c r="O112" i="58"/>
  <c r="J114" i="8"/>
  <c r="J120" i="8"/>
  <c r="J31" i="15"/>
  <c r="J33" i="15"/>
  <c r="J44" i="13"/>
  <c r="J47" i="13"/>
  <c r="W66" i="58"/>
  <c r="W65" i="58"/>
  <c r="N39" i="13"/>
  <c r="N45" i="13"/>
  <c r="AL102" i="11"/>
  <c r="AL166" i="11"/>
  <c r="AG60" i="58"/>
  <c r="AG69" i="58"/>
  <c r="V272" i="22"/>
  <c r="R54" i="47"/>
  <c r="V203" i="22"/>
  <c r="AC50" i="58"/>
  <c r="AC40" i="58"/>
  <c r="AH152" i="11"/>
  <c r="AH92" i="11"/>
  <c r="O113" i="11"/>
  <c r="O181" i="11"/>
  <c r="J83" i="58"/>
  <c r="J92" i="58"/>
  <c r="AL465" i="22"/>
  <c r="AL484" i="22"/>
  <c r="AI98" i="12"/>
  <c r="AI123" i="12"/>
  <c r="AI140" i="12"/>
  <c r="AI161" i="12"/>
  <c r="AI166" i="12"/>
  <c r="AI169" i="12"/>
  <c r="AI170" i="12"/>
  <c r="AI177" i="12"/>
  <c r="AI179" i="12"/>
  <c r="AI178" i="12"/>
  <c r="AH7" i="15"/>
  <c r="AH12" i="15"/>
  <c r="AH31" i="16"/>
  <c r="AH48" i="16"/>
  <c r="AH51" i="16"/>
  <c r="AE55" i="58"/>
  <c r="AE45" i="58"/>
  <c r="AJ157" i="11"/>
  <c r="AJ97" i="11"/>
  <c r="N93" i="58"/>
  <c r="N84" i="58"/>
  <c r="S182" i="11"/>
  <c r="S114" i="11"/>
  <c r="AO188" i="22"/>
  <c r="AO270" i="22"/>
  <c r="M23" i="58"/>
  <c r="M32" i="58"/>
  <c r="AG32" i="41"/>
  <c r="AG81" i="41"/>
  <c r="AQ82" i="41"/>
  <c r="AQ84" i="41"/>
  <c r="U66" i="47"/>
  <c r="U70" i="47"/>
  <c r="R138" i="22"/>
  <c r="R466" i="22"/>
  <c r="R477" i="22"/>
  <c r="R506" i="22"/>
  <c r="R538" i="22"/>
  <c r="K232" i="48"/>
  <c r="W106" i="41"/>
  <c r="W141" i="41"/>
  <c r="Y8" i="9"/>
  <c r="Y10" i="9"/>
  <c r="AC8" i="9"/>
  <c r="AC10" i="9"/>
  <c r="AF5" i="4"/>
  <c r="AF5" i="1"/>
  <c r="AF5" i="16"/>
  <c r="AF5" i="13"/>
  <c r="AG5" i="12"/>
  <c r="AF5" i="15"/>
  <c r="AF5" i="14"/>
  <c r="AF5" i="17"/>
  <c r="AF5" i="43"/>
  <c r="AF5" i="3"/>
  <c r="AF5" i="11"/>
  <c r="AF5" i="2"/>
  <c r="AF5" i="55"/>
  <c r="AF5" i="8"/>
  <c r="AF5" i="9"/>
  <c r="AF5" i="18"/>
  <c r="AF5" i="10"/>
  <c r="K46" i="14"/>
  <c r="K105" i="41"/>
  <c r="Z47" i="58"/>
  <c r="Z46" i="58"/>
  <c r="AO162" i="22"/>
  <c r="AK34" i="43"/>
  <c r="AL200" i="12"/>
  <c r="AL218" i="12"/>
  <c r="AL223" i="12"/>
  <c r="AL243" i="12"/>
  <c r="AL247" i="12"/>
  <c r="AL248" i="12"/>
  <c r="AK8" i="14"/>
  <c r="AF125" i="58"/>
  <c r="AB32" i="58"/>
  <c r="AB23" i="58"/>
  <c r="AD488" i="22"/>
  <c r="AA102" i="12"/>
  <c r="AA127" i="12"/>
  <c r="AA144" i="12"/>
  <c r="Z57" i="47"/>
  <c r="Z65" i="47"/>
  <c r="Z75" i="47"/>
  <c r="Z76" i="47"/>
  <c r="AF471" i="22"/>
  <c r="AF474" i="22"/>
  <c r="Q537" i="22"/>
  <c r="Q542" i="22"/>
  <c r="J316" i="11"/>
  <c r="J292" i="11"/>
  <c r="AB25" i="11"/>
  <c r="O126" i="11"/>
  <c r="O197" i="11"/>
  <c r="J105" i="58"/>
  <c r="J114" i="58"/>
  <c r="AD185" i="12"/>
  <c r="AD186" i="12"/>
  <c r="AE188" i="12"/>
  <c r="AD16" i="14"/>
  <c r="AD20" i="14"/>
  <c r="AD73" i="10"/>
  <c r="AD75" i="10"/>
  <c r="AD77" i="10"/>
  <c r="AD80" i="10"/>
  <c r="AD83" i="10"/>
  <c r="AD85" i="10"/>
  <c r="AD89" i="10"/>
  <c r="AD22" i="14"/>
  <c r="AD24" i="14"/>
  <c r="AD38" i="13"/>
  <c r="AD41" i="13"/>
  <c r="AD59" i="13"/>
  <c r="AD26" i="14"/>
  <c r="AD27" i="14"/>
  <c r="AD30" i="14"/>
  <c r="Y162" i="22"/>
  <c r="Y172" i="22"/>
  <c r="Y181" i="22"/>
  <c r="V158" i="5"/>
  <c r="V27" i="11"/>
  <c r="V93" i="11"/>
  <c r="V153" i="11"/>
  <c r="V373" i="11"/>
  <c r="V13" i="47"/>
  <c r="Y25" i="11"/>
  <c r="N103" i="11"/>
  <c r="N167" i="11"/>
  <c r="I61" i="58"/>
  <c r="I70" i="58"/>
  <c r="AB100" i="11"/>
  <c r="AB164" i="11"/>
  <c r="W58" i="58"/>
  <c r="W67" i="58"/>
  <c r="AG209" i="11"/>
  <c r="AG133" i="11"/>
  <c r="AI103" i="11"/>
  <c r="AI167" i="11"/>
  <c r="AD61" i="58"/>
  <c r="AD70" i="58"/>
  <c r="P158" i="5"/>
  <c r="P27" i="11"/>
  <c r="P122" i="11"/>
  <c r="P193" i="11"/>
  <c r="P400" i="11"/>
  <c r="V147" i="22"/>
  <c r="V267" i="22"/>
  <c r="V276" i="22"/>
  <c r="R107" i="10"/>
  <c r="R14" i="9"/>
  <c r="AF465" i="22"/>
  <c r="AF484" i="22"/>
  <c r="AC98" i="12"/>
  <c r="AC123" i="12"/>
  <c r="AC140" i="12"/>
  <c r="AC161" i="12"/>
  <c r="AC166" i="12"/>
  <c r="AC169" i="12"/>
  <c r="AC170" i="12"/>
  <c r="AC177" i="12"/>
  <c r="AC179" i="12"/>
  <c r="AB13" i="9"/>
  <c r="AB109" i="41"/>
  <c r="AB120" i="41"/>
  <c r="O130" i="11"/>
  <c r="O206" i="11"/>
  <c r="O214" i="11"/>
  <c r="O379" i="11"/>
  <c r="O382" i="11"/>
  <c r="O14" i="47"/>
  <c r="AO145" i="22"/>
  <c r="AF3" i="58"/>
  <c r="AF24" i="58"/>
  <c r="Q484" i="22"/>
  <c r="N98" i="12"/>
  <c r="N123" i="12"/>
  <c r="N140" i="12"/>
  <c r="N161" i="12"/>
  <c r="N166" i="12"/>
  <c r="N169" i="12"/>
  <c r="N170" i="12"/>
  <c r="N177" i="12"/>
  <c r="N179" i="12"/>
  <c r="M13" i="9"/>
  <c r="M109" i="41"/>
  <c r="M124" i="41"/>
  <c r="M137" i="41"/>
  <c r="M139" i="41"/>
  <c r="M114" i="11"/>
  <c r="M182" i="11"/>
  <c r="H84" i="58"/>
  <c r="H93" i="58"/>
  <c r="Y469" i="22"/>
  <c r="Y488" i="22"/>
  <c r="V102" i="12"/>
  <c r="V127" i="12"/>
  <c r="V144" i="12"/>
  <c r="U57" i="47"/>
  <c r="U65" i="47"/>
  <c r="U75" i="47"/>
  <c r="U76" i="47"/>
  <c r="AF114" i="11"/>
  <c r="AF182" i="11"/>
  <c r="AA84" i="58"/>
  <c r="AA93" i="58"/>
  <c r="S88" i="16"/>
  <c r="S59" i="16"/>
  <c r="M379" i="11"/>
  <c r="M382" i="11"/>
  <c r="M14" i="47"/>
  <c r="W199" i="11"/>
  <c r="W201" i="11"/>
  <c r="W202" i="11"/>
  <c r="W221" i="11"/>
  <c r="W224" i="11"/>
  <c r="W225" i="11"/>
  <c r="W9" i="14"/>
  <c r="R137" i="58"/>
  <c r="R138" i="58"/>
  <c r="AD25" i="11"/>
  <c r="AF5" i="41"/>
  <c r="AF102" i="41"/>
  <c r="K7" i="14"/>
  <c r="F10" i="58"/>
  <c r="D111" i="58"/>
  <c r="AA27" i="4"/>
  <c r="AA46" i="4"/>
  <c r="AA47" i="4"/>
  <c r="AA97" i="10"/>
  <c r="AA100" i="10"/>
  <c r="AA104" i="10"/>
  <c r="AA23" i="14"/>
  <c r="S121" i="11"/>
  <c r="S192" i="11"/>
  <c r="S408" i="11"/>
  <c r="S412" i="11"/>
  <c r="S73" i="47"/>
  <c r="J34" i="58"/>
  <c r="J31" i="58"/>
  <c r="S486" i="22"/>
  <c r="P100" i="12"/>
  <c r="P125" i="12"/>
  <c r="P142" i="12"/>
  <c r="P163" i="12"/>
  <c r="J27" i="58"/>
  <c r="O10" i="58"/>
  <c r="T105" i="41"/>
  <c r="T46" i="14"/>
  <c r="H13" i="58"/>
  <c r="Q139" i="22"/>
  <c r="Q467" i="22"/>
  <c r="Q486" i="22"/>
  <c r="N100" i="12"/>
  <c r="N125" i="12"/>
  <c r="N142" i="12"/>
  <c r="N163" i="12"/>
  <c r="H11" i="58"/>
  <c r="H19" i="58"/>
  <c r="AJ103" i="11"/>
  <c r="AJ167" i="11"/>
  <c r="AE61" i="58"/>
  <c r="AE70" i="58"/>
  <c r="P110" i="58"/>
  <c r="P101" i="58"/>
  <c r="AA270" i="11"/>
  <c r="AA254" i="11"/>
  <c r="W103" i="10"/>
  <c r="W105" i="10"/>
  <c r="X103" i="10"/>
  <c r="X105" i="10"/>
  <c r="Y103" i="10"/>
  <c r="Y105" i="10"/>
  <c r="Z103" i="10"/>
  <c r="Z105" i="10"/>
  <c r="AA103" i="10"/>
  <c r="AA105" i="10"/>
  <c r="AA107" i="10"/>
  <c r="AA14" i="9"/>
  <c r="W233" i="48"/>
  <c r="AD541" i="22"/>
  <c r="AD469" i="22"/>
  <c r="AD480" i="22"/>
  <c r="AD509" i="22"/>
  <c r="AB24" i="58"/>
  <c r="AB3" i="58"/>
  <c r="AI24" i="11"/>
  <c r="AI251" i="11"/>
  <c r="AI267" i="11"/>
  <c r="X23" i="14"/>
  <c r="X104" i="10"/>
  <c r="X100" i="10"/>
  <c r="X27" i="4"/>
  <c r="X46" i="4"/>
  <c r="X47" i="4"/>
  <c r="X97" i="10"/>
  <c r="O138" i="58"/>
  <c r="O137" i="58"/>
  <c r="U145" i="22"/>
  <c r="U162" i="22"/>
  <c r="U172" i="22"/>
  <c r="U181" i="22"/>
  <c r="AH210" i="11"/>
  <c r="AH134" i="11"/>
  <c r="V86" i="47"/>
  <c r="V17" i="14"/>
  <c r="W105" i="11"/>
  <c r="W169" i="11"/>
  <c r="R63" i="58"/>
  <c r="R72" i="58"/>
  <c r="T42" i="47"/>
  <c r="T41" i="47"/>
  <c r="T185" i="12"/>
  <c r="T186" i="12"/>
  <c r="U188" i="12"/>
  <c r="T37" i="47"/>
  <c r="AC4" i="58"/>
  <c r="AL143" i="22"/>
  <c r="Z68" i="47"/>
  <c r="AD141" i="22"/>
  <c r="AD147" i="22"/>
  <c r="AD165" i="22"/>
  <c r="Z92" i="43"/>
  <c r="Z96" i="43"/>
  <c r="Z112" i="43"/>
  <c r="Z114" i="43"/>
  <c r="Z60" i="47"/>
  <c r="Z63" i="47"/>
  <c r="W97" i="48"/>
  <c r="S137" i="22"/>
  <c r="S145" i="22"/>
  <c r="S162" i="22"/>
  <c r="S172" i="22"/>
  <c r="S181" i="22"/>
  <c r="AB91" i="58"/>
  <c r="AB82" i="58"/>
  <c r="AG180" i="11"/>
  <c r="AG112" i="11"/>
  <c r="W508" i="22"/>
  <c r="L49" i="58"/>
  <c r="O32" i="9"/>
  <c r="O47" i="17"/>
  <c r="J39" i="13"/>
  <c r="J45" i="13"/>
  <c r="AC113" i="11"/>
  <c r="AC181" i="11"/>
  <c r="X83" i="58"/>
  <c r="X92" i="58"/>
  <c r="AC93" i="11"/>
  <c r="AC153" i="11"/>
  <c r="X41" i="58"/>
  <c r="X51" i="58"/>
  <c r="P272" i="22"/>
  <c r="L54" i="47"/>
  <c r="P203" i="22"/>
  <c r="L32" i="9"/>
  <c r="L47" i="17"/>
  <c r="AE31" i="14"/>
  <c r="AF29" i="14"/>
  <c r="AF31" i="14"/>
  <c r="AG29" i="14"/>
  <c r="AG31" i="14"/>
  <c r="AH29" i="14"/>
  <c r="AH31" i="14"/>
  <c r="AI29" i="14"/>
  <c r="AI31" i="14"/>
  <c r="AJ29" i="14"/>
  <c r="AJ40" i="13"/>
  <c r="M100" i="11"/>
  <c r="M164" i="11"/>
  <c r="H58" i="58"/>
  <c r="H65" i="58"/>
  <c r="H66" i="58"/>
  <c r="L91" i="58"/>
  <c r="L82" i="58"/>
  <c r="Q180" i="11"/>
  <c r="Q112" i="11"/>
  <c r="E38" i="56"/>
  <c r="P267" i="11"/>
  <c r="P251" i="11"/>
  <c r="N115" i="11"/>
  <c r="N183" i="11"/>
  <c r="I85" i="58"/>
  <c r="I94" i="58"/>
  <c r="T24" i="13"/>
  <c r="T25" i="13"/>
  <c r="M49" i="58"/>
  <c r="Z470" i="22"/>
  <c r="AB486" i="22"/>
  <c r="Y100" i="12"/>
  <c r="Y125" i="12"/>
  <c r="Y142" i="12"/>
  <c r="Y163" i="12"/>
  <c r="S27" i="58"/>
  <c r="S31" i="58"/>
  <c r="Q411" i="11"/>
  <c r="AH97" i="11"/>
  <c r="AH157" i="11"/>
  <c r="AC45" i="58"/>
  <c r="AC55" i="58"/>
  <c r="P25" i="4"/>
  <c r="P24" i="4"/>
  <c r="AC465" i="22"/>
  <c r="AC476" i="22"/>
  <c r="AC505" i="22"/>
  <c r="AC537" i="22"/>
  <c r="AC542" i="22"/>
  <c r="AE105" i="41"/>
  <c r="Z10" i="58"/>
  <c r="AI484" i="22"/>
  <c r="AF98" i="12"/>
  <c r="AF123" i="12"/>
  <c r="AF140" i="12"/>
  <c r="AF161" i="12"/>
  <c r="AF166" i="12"/>
  <c r="AF169" i="12"/>
  <c r="AF170" i="12"/>
  <c r="AE7" i="14"/>
  <c r="AE46" i="14"/>
  <c r="U122" i="11"/>
  <c r="U193" i="11"/>
  <c r="U400" i="11"/>
  <c r="T97" i="48"/>
  <c r="AA165" i="22"/>
  <c r="W92" i="43"/>
  <c r="W96" i="43"/>
  <c r="W112" i="43"/>
  <c r="W114" i="43"/>
  <c r="W60" i="47"/>
  <c r="W63" i="47"/>
  <c r="W68" i="47"/>
  <c r="T32" i="9"/>
  <c r="T47" i="17"/>
  <c r="AE54" i="47"/>
  <c r="AI272" i="22"/>
  <c r="AI203" i="22"/>
  <c r="V484" i="22"/>
  <c r="S98" i="12"/>
  <c r="S123" i="12"/>
  <c r="S140" i="12"/>
  <c r="S161" i="12"/>
  <c r="S166" i="12"/>
  <c r="S169" i="12"/>
  <c r="S170" i="12"/>
  <c r="S177" i="12"/>
  <c r="S179" i="12"/>
  <c r="S178" i="12"/>
  <c r="R7" i="15"/>
  <c r="R12" i="15"/>
  <c r="R32" i="16"/>
  <c r="R36" i="16"/>
  <c r="R54" i="13"/>
  <c r="R55" i="13"/>
  <c r="R56" i="13"/>
  <c r="J68" i="8"/>
  <c r="K65" i="8"/>
  <c r="D65" i="8"/>
  <c r="AN137" i="22"/>
  <c r="AN465" i="22"/>
  <c r="AN484" i="22"/>
  <c r="AK98" i="12"/>
  <c r="AK123" i="12"/>
  <c r="AK128" i="12"/>
  <c r="AD94" i="11"/>
  <c r="AD154" i="11"/>
  <c r="AD391" i="11"/>
  <c r="AD29" i="47"/>
  <c r="AB116" i="11"/>
  <c r="AB184" i="11"/>
  <c r="W86" i="58"/>
  <c r="W95" i="58"/>
  <c r="J228" i="48"/>
  <c r="N56" i="12"/>
  <c r="J111" i="48"/>
  <c r="M97" i="11"/>
  <c r="M157" i="11"/>
  <c r="H45" i="58"/>
  <c r="H55" i="58"/>
  <c r="T141" i="41"/>
  <c r="T121" i="11"/>
  <c r="T192" i="11"/>
  <c r="T199" i="11"/>
  <c r="T201" i="11"/>
  <c r="T202" i="11"/>
  <c r="T221" i="11"/>
  <c r="T224" i="11"/>
  <c r="T225" i="11"/>
  <c r="T9" i="14"/>
  <c r="T106" i="41"/>
  <c r="AI93" i="11"/>
  <c r="AI153" i="11"/>
  <c r="AD41" i="58"/>
  <c r="AD51" i="58"/>
  <c r="V15" i="15"/>
  <c r="U358" i="11"/>
  <c r="U359" i="11"/>
  <c r="V361" i="11"/>
  <c r="V38" i="47"/>
  <c r="AJ55" i="5"/>
  <c r="AJ24" i="11"/>
  <c r="AJ25" i="11"/>
  <c r="AL137" i="22"/>
  <c r="AI52" i="12"/>
  <c r="AI57" i="12"/>
  <c r="V145" i="22"/>
  <c r="V265" i="22"/>
  <c r="V274" i="22"/>
  <c r="V277" i="22"/>
  <c r="Y24" i="11"/>
  <c r="Y105" i="11"/>
  <c r="Y169" i="11"/>
  <c r="T63" i="58"/>
  <c r="T72" i="58"/>
  <c r="AI106" i="41"/>
  <c r="AI141" i="41"/>
  <c r="AI121" i="11"/>
  <c r="AI192" i="11"/>
  <c r="AI199" i="11"/>
  <c r="AI201" i="11"/>
  <c r="AI202" i="11"/>
  <c r="AI221" i="11"/>
  <c r="AI224" i="11"/>
  <c r="AI225" i="11"/>
  <c r="AI9" i="14"/>
  <c r="AD137" i="58"/>
  <c r="AD138" i="58"/>
  <c r="AI49" i="8"/>
  <c r="AI66" i="8"/>
  <c r="AI67" i="8"/>
  <c r="AI74" i="8"/>
  <c r="Y145" i="22"/>
  <c r="Y224" i="22"/>
  <c r="U60" i="43"/>
  <c r="U64" i="43"/>
  <c r="U70" i="43"/>
  <c r="AH229" i="48"/>
  <c r="AH226" i="48"/>
  <c r="W140" i="22"/>
  <c r="W468" i="22"/>
  <c r="W479" i="22"/>
  <c r="T65" i="12"/>
  <c r="T135" i="12"/>
  <c r="K8" i="9"/>
  <c r="K10" i="9"/>
  <c r="Q91" i="11"/>
  <c r="Q151" i="11"/>
  <c r="L39" i="58"/>
  <c r="L46" i="58"/>
  <c r="L47" i="58"/>
  <c r="W102" i="11"/>
  <c r="W166" i="11"/>
  <c r="R60" i="58"/>
  <c r="R69" i="58"/>
  <c r="Q145" i="22"/>
  <c r="Q162" i="22"/>
  <c r="M34" i="43"/>
  <c r="N200" i="12"/>
  <c r="N218" i="12"/>
  <c r="N224" i="12"/>
  <c r="Z110" i="11"/>
  <c r="Z178" i="11"/>
  <c r="U80" i="58"/>
  <c r="U89" i="58"/>
  <c r="U102" i="11"/>
  <c r="U166" i="11"/>
  <c r="P60" i="58"/>
  <c r="P69" i="58"/>
  <c r="AD106" i="11"/>
  <c r="AD170" i="11"/>
  <c r="AD387" i="11"/>
  <c r="P141" i="22"/>
  <c r="P147" i="22"/>
  <c r="P267" i="22"/>
  <c r="P276" i="22"/>
  <c r="M130" i="11"/>
  <c r="M206" i="11"/>
  <c r="M214" i="11"/>
  <c r="M403" i="11"/>
  <c r="M405" i="11"/>
  <c r="M62" i="47"/>
  <c r="U88" i="16"/>
  <c r="U106" i="11"/>
  <c r="U170" i="11"/>
  <c r="P64" i="58"/>
  <c r="P73" i="58"/>
  <c r="AP265" i="22"/>
  <c r="AP274" i="22"/>
  <c r="AP277" i="22"/>
  <c r="AH94" i="11"/>
  <c r="AH154" i="11"/>
  <c r="AH391" i="11"/>
  <c r="AH29" i="47"/>
  <c r="W185" i="12"/>
  <c r="W186" i="12"/>
  <c r="X188" i="12"/>
  <c r="W16" i="14"/>
  <c r="W85" i="47"/>
  <c r="W89" i="47"/>
  <c r="W90" i="47"/>
  <c r="D13" i="14"/>
  <c r="D14" i="14"/>
  <c r="AB5" i="2"/>
  <c r="AB5" i="1"/>
  <c r="AB5" i="17"/>
  <c r="AB5" i="9"/>
  <c r="AB5" i="13"/>
  <c r="AB5" i="15"/>
  <c r="AB5" i="55"/>
  <c r="AB5" i="11"/>
  <c r="AB5" i="3"/>
  <c r="AC5" i="12"/>
  <c r="AB5" i="4"/>
  <c r="AB5" i="16"/>
  <c r="AB5" i="10"/>
  <c r="AB5" i="14"/>
  <c r="AB5" i="8"/>
  <c r="AB5" i="18"/>
  <c r="AB5" i="43"/>
  <c r="U125" i="11"/>
  <c r="U196" i="11"/>
  <c r="U409" i="11"/>
  <c r="AB340" i="11"/>
  <c r="AD284" i="11"/>
  <c r="AD285" i="11"/>
  <c r="D340" i="11"/>
  <c r="AC340" i="11"/>
  <c r="AJ51" i="14"/>
  <c r="AJ27" i="4"/>
  <c r="AJ46" i="4"/>
  <c r="AJ47" i="4"/>
  <c r="AJ52" i="4"/>
  <c r="AJ13" i="14"/>
  <c r="AJ14" i="14"/>
  <c r="AJ48" i="14"/>
  <c r="R158" i="5"/>
  <c r="R27" i="11"/>
  <c r="R91" i="11"/>
  <c r="R151" i="11"/>
  <c r="M39" i="58"/>
  <c r="M46" i="58"/>
  <c r="M47" i="58"/>
  <c r="Z465" i="22"/>
  <c r="Z471" i="22"/>
  <c r="Z474" i="22"/>
  <c r="AF143" i="22"/>
  <c r="W4" i="58"/>
  <c r="T158" i="5"/>
  <c r="T27" i="11"/>
  <c r="T91" i="11"/>
  <c r="T151" i="11"/>
  <c r="T384" i="11"/>
  <c r="T388" i="11"/>
  <c r="T24" i="47"/>
  <c r="T25" i="47"/>
  <c r="W270" i="11"/>
  <c r="W254" i="11"/>
  <c r="Q127" i="11"/>
  <c r="Q198" i="11"/>
  <c r="L106" i="58"/>
  <c r="L115" i="58"/>
  <c r="N100" i="11"/>
  <c r="N164" i="11"/>
  <c r="I58" i="58"/>
  <c r="I67" i="58"/>
  <c r="X486" i="22"/>
  <c r="U100" i="12"/>
  <c r="U125" i="12"/>
  <c r="U142" i="12"/>
  <c r="U163" i="12"/>
  <c r="O27" i="58"/>
  <c r="O31" i="58"/>
  <c r="AD24" i="11"/>
  <c r="AD113" i="11"/>
  <c r="AD181" i="11"/>
  <c r="Y83" i="58"/>
  <c r="Y92" i="58"/>
  <c r="O116" i="41"/>
  <c r="I91" i="10"/>
  <c r="J88" i="10"/>
  <c r="J91" i="10"/>
  <c r="K88" i="10"/>
  <c r="K91" i="10"/>
  <c r="L88" i="10"/>
  <c r="L91" i="10"/>
  <c r="M88" i="10"/>
  <c r="M91" i="10"/>
  <c r="N88" i="10"/>
  <c r="N91" i="10"/>
  <c r="O88" i="10"/>
  <c r="O91" i="10"/>
  <c r="O25" i="9"/>
  <c r="AE277" i="22"/>
  <c r="AE274" i="22"/>
  <c r="AE265" i="22"/>
  <c r="AJ277" i="22"/>
  <c r="AJ274" i="22"/>
  <c r="AJ265" i="22"/>
  <c r="AF29" i="17"/>
  <c r="AF66" i="10"/>
  <c r="Y45" i="13"/>
  <c r="L285" i="11"/>
  <c r="D322" i="11"/>
  <c r="J322" i="11"/>
  <c r="J346" i="11"/>
  <c r="J350" i="11"/>
  <c r="J352" i="11"/>
  <c r="K349" i="11"/>
  <c r="K352" i="11"/>
  <c r="L349" i="11"/>
  <c r="L352" i="11"/>
  <c r="M349" i="11"/>
  <c r="M352" i="11"/>
  <c r="N349" i="11"/>
  <c r="N352" i="11"/>
  <c r="O349" i="11"/>
  <c r="O352" i="11"/>
  <c r="P349" i="11"/>
  <c r="P352" i="11"/>
  <c r="Q349" i="11"/>
  <c r="Q352" i="11"/>
  <c r="R349" i="11"/>
  <c r="R352" i="11"/>
  <c r="S349" i="11"/>
  <c r="S352" i="11"/>
  <c r="T349" i="11"/>
  <c r="T352" i="11"/>
  <c r="U349" i="11"/>
  <c r="U352" i="11"/>
  <c r="V349" i="11"/>
  <c r="V352" i="11"/>
  <c r="W349" i="11"/>
  <c r="W352" i="11"/>
  <c r="X349" i="11"/>
  <c r="X352" i="11"/>
  <c r="Y349" i="11"/>
  <c r="Y352" i="11"/>
  <c r="Y39" i="13"/>
  <c r="W25" i="11"/>
  <c r="Y56" i="5"/>
  <c r="AC134" i="22"/>
  <c r="W54" i="47"/>
  <c r="AA272" i="22"/>
  <c r="AA203" i="22"/>
  <c r="S46" i="17"/>
  <c r="Q92" i="58"/>
  <c r="Q83" i="58"/>
  <c r="V181" i="11"/>
  <c r="V113" i="11"/>
  <c r="AB47" i="58"/>
  <c r="AB46" i="58"/>
  <c r="AA217" i="11"/>
  <c r="AA130" i="11"/>
  <c r="AA206" i="11"/>
  <c r="AA214" i="11"/>
  <c r="AA216" i="11"/>
  <c r="K56" i="13"/>
  <c r="K55" i="13"/>
  <c r="K54" i="13"/>
  <c r="O137" i="22"/>
  <c r="O465" i="22"/>
  <c r="O484" i="22"/>
  <c r="L98" i="12"/>
  <c r="L123" i="12"/>
  <c r="L140" i="12"/>
  <c r="L161" i="12"/>
  <c r="L166" i="12"/>
  <c r="L169" i="12"/>
  <c r="L170" i="12"/>
  <c r="L177" i="12"/>
  <c r="L179" i="12"/>
  <c r="L178" i="12"/>
  <c r="K7" i="15"/>
  <c r="K12" i="15"/>
  <c r="K32" i="16"/>
  <c r="K36" i="16"/>
  <c r="AG66" i="58"/>
  <c r="AG65" i="58"/>
  <c r="X95" i="58"/>
  <c r="X86" i="58"/>
  <c r="AC184" i="11"/>
  <c r="AC116" i="11"/>
  <c r="D89" i="8"/>
  <c r="L89" i="8"/>
  <c r="X276" i="22"/>
  <c r="X267" i="22"/>
  <c r="Z111" i="58"/>
  <c r="Z102" i="58"/>
  <c r="AG188" i="22"/>
  <c r="AG270" i="22"/>
  <c r="AD52" i="58"/>
  <c r="AI94" i="11"/>
  <c r="AI154" i="11"/>
  <c r="AD42" i="58"/>
  <c r="P114" i="58"/>
  <c r="P105" i="58"/>
  <c r="T114" i="58"/>
  <c r="T105" i="58"/>
  <c r="P30" i="12"/>
  <c r="O161" i="5"/>
  <c r="AG25" i="41"/>
  <c r="AG24" i="41"/>
  <c r="P54" i="58"/>
  <c r="P44" i="58"/>
  <c r="U10" i="9"/>
  <c r="U8" i="9"/>
  <c r="AG474" i="22"/>
  <c r="AG471" i="22"/>
  <c r="AH91" i="16"/>
  <c r="T49" i="8"/>
  <c r="T53" i="8"/>
  <c r="U49" i="8"/>
  <c r="U53" i="8"/>
  <c r="V49" i="8"/>
  <c r="V53" i="8"/>
  <c r="W49" i="8"/>
  <c r="W53" i="8"/>
  <c r="X49" i="8"/>
  <c r="X53" i="8"/>
  <c r="Y49" i="8"/>
  <c r="Y53" i="8"/>
  <c r="Z49" i="8"/>
  <c r="Z53" i="8"/>
  <c r="AA49" i="8"/>
  <c r="AA53" i="8"/>
  <c r="AB49" i="8"/>
  <c r="AB53" i="8"/>
  <c r="AC49" i="8"/>
  <c r="AC53" i="8"/>
  <c r="AD49" i="8"/>
  <c r="AD53" i="8"/>
  <c r="AE49" i="8"/>
  <c r="AE53" i="8"/>
  <c r="AF49" i="8"/>
  <c r="AF53" i="8"/>
  <c r="AG49" i="8"/>
  <c r="AG53" i="8"/>
  <c r="AH49" i="8"/>
  <c r="AH53" i="8"/>
  <c r="AH88" i="16"/>
  <c r="S269" i="11"/>
  <c r="S253" i="11"/>
  <c r="AN5" i="16"/>
  <c r="AN5" i="3"/>
  <c r="AN5" i="13"/>
  <c r="AN5" i="55"/>
  <c r="AN5" i="10"/>
  <c r="AN5" i="17"/>
  <c r="AN5" i="43"/>
  <c r="AN5" i="18"/>
  <c r="AN5" i="11"/>
  <c r="AN5" i="8"/>
  <c r="AK188" i="11"/>
  <c r="AK187" i="11"/>
  <c r="AK110" i="11"/>
  <c r="AK178" i="11"/>
  <c r="AK185" i="11"/>
  <c r="AK276" i="22"/>
  <c r="AK267" i="22"/>
  <c r="H69" i="58"/>
  <c r="H60" i="58"/>
  <c r="M166" i="11"/>
  <c r="M102" i="11"/>
  <c r="G125" i="58"/>
  <c r="AK270" i="22"/>
  <c r="AK188" i="22"/>
  <c r="AD114" i="58"/>
  <c r="AD105" i="58"/>
  <c r="AJ30" i="12"/>
  <c r="AI161" i="5"/>
  <c r="M54" i="47"/>
  <c r="Q272" i="22"/>
  <c r="Q203" i="22"/>
  <c r="AB72" i="58"/>
  <c r="AB63" i="58"/>
  <c r="AG169" i="11"/>
  <c r="AG105" i="11"/>
  <c r="AO134" i="22"/>
  <c r="AK56" i="5"/>
  <c r="R267" i="11"/>
  <c r="R251" i="11"/>
  <c r="L410" i="11"/>
  <c r="AF4" i="58"/>
  <c r="AO143" i="22"/>
  <c r="AA25" i="11"/>
  <c r="T27" i="12"/>
  <c r="T72" i="12"/>
  <c r="T86" i="12"/>
  <c r="T87" i="12"/>
  <c r="Y185" i="12"/>
  <c r="Y186" i="12"/>
  <c r="Z188" i="12"/>
  <c r="Y16" i="14"/>
  <c r="Y20" i="14"/>
  <c r="Y73" i="10"/>
  <c r="Y75" i="10"/>
  <c r="Y77" i="10"/>
  <c r="Y80" i="10"/>
  <c r="Y83" i="10"/>
  <c r="Y85" i="10"/>
  <c r="Y89" i="10"/>
  <c r="Y22" i="14"/>
  <c r="Y24" i="14"/>
  <c r="Y38" i="13"/>
  <c r="Y41" i="13"/>
  <c r="Y59" i="13"/>
  <c r="Y26" i="14"/>
  <c r="Y27" i="14"/>
  <c r="Y30" i="14"/>
  <c r="E36" i="56"/>
  <c r="E37" i="56"/>
  <c r="E40" i="56"/>
  <c r="E57" i="56"/>
  <c r="E62" i="56"/>
  <c r="E63" i="56"/>
  <c r="E135" i="56"/>
  <c r="W136" i="56"/>
  <c r="W137" i="56"/>
  <c r="Z270" i="22"/>
  <c r="Z188" i="22"/>
  <c r="AD56" i="5"/>
  <c r="AH134" i="22"/>
  <c r="Y55" i="5"/>
  <c r="Y24" i="10"/>
  <c r="Y25" i="10"/>
  <c r="I97" i="10"/>
  <c r="I100" i="10"/>
  <c r="I104" i="10"/>
  <c r="I105" i="10"/>
  <c r="J103" i="10"/>
  <c r="J105" i="10"/>
  <c r="K103" i="10"/>
  <c r="K105" i="10"/>
  <c r="L103" i="10"/>
  <c r="L105" i="10"/>
  <c r="M103" i="10"/>
  <c r="M105" i="10"/>
  <c r="N103" i="10"/>
  <c r="N105" i="10"/>
  <c r="O103" i="10"/>
  <c r="O105" i="10"/>
  <c r="P103" i="10"/>
  <c r="P105" i="10"/>
  <c r="Q103" i="10"/>
  <c r="Q105" i="10"/>
  <c r="R103" i="10"/>
  <c r="R105" i="10"/>
  <c r="S103" i="10"/>
  <c r="S105" i="10"/>
  <c r="T103" i="10"/>
  <c r="T105" i="10"/>
  <c r="U103" i="10"/>
  <c r="U105" i="10"/>
  <c r="V103" i="10"/>
  <c r="V105" i="10"/>
  <c r="V107" i="10"/>
  <c r="V14" i="9"/>
  <c r="AA141" i="22"/>
  <c r="AA147" i="22"/>
  <c r="AA267" i="22"/>
  <c r="AA276" i="22"/>
  <c r="L53" i="8"/>
  <c r="M49" i="8"/>
  <c r="M53" i="8"/>
  <c r="N49" i="8"/>
  <c r="N53" i="8"/>
  <c r="O49" i="8"/>
  <c r="O53" i="8"/>
  <c r="P49" i="8"/>
  <c r="P53" i="8"/>
  <c r="Q49" i="8"/>
  <c r="Q53" i="8"/>
  <c r="R49" i="8"/>
  <c r="R53" i="8"/>
  <c r="S49" i="8"/>
  <c r="S53" i="8"/>
  <c r="S31" i="9"/>
  <c r="S150" i="41"/>
  <c r="S152" i="41"/>
  <c r="S56" i="12"/>
  <c r="O111" i="48"/>
  <c r="O228" i="48"/>
  <c r="I56" i="15"/>
  <c r="AH465" i="22"/>
  <c r="AH484" i="22"/>
  <c r="AE98" i="12"/>
  <c r="AE123" i="12"/>
  <c r="AE140" i="12"/>
  <c r="AE161" i="12"/>
  <c r="AE166" i="12"/>
  <c r="AE169" i="12"/>
  <c r="AE170" i="12"/>
  <c r="AE177" i="12"/>
  <c r="AE179" i="12"/>
  <c r="AE178" i="12"/>
  <c r="AD7" i="15"/>
  <c r="AD12" i="15"/>
  <c r="AD32" i="16"/>
  <c r="AD36" i="16"/>
  <c r="AD54" i="13"/>
  <c r="AD55" i="13"/>
  <c r="AD56" i="13"/>
  <c r="AB375" i="11"/>
  <c r="Q375" i="11"/>
  <c r="AL400" i="11"/>
  <c r="V55" i="58"/>
  <c r="V45" i="58"/>
  <c r="AA157" i="11"/>
  <c r="AA97" i="11"/>
  <c r="Q409" i="11"/>
  <c r="U25" i="11"/>
  <c r="AG145" i="22"/>
  <c r="X3" i="58"/>
  <c r="X24" i="58"/>
  <c r="I90" i="58"/>
  <c r="I81" i="58"/>
  <c r="N179" i="11"/>
  <c r="N111" i="11"/>
  <c r="AD14" i="47"/>
  <c r="AD382" i="11"/>
  <c r="AD158" i="5"/>
  <c r="AD27" i="11"/>
  <c r="AD130" i="11"/>
  <c r="AD206" i="11"/>
  <c r="AD214" i="11"/>
  <c r="AD379" i="11"/>
  <c r="AI56" i="5"/>
  <c r="AM134" i="22"/>
  <c r="AB90" i="58"/>
  <c r="AB81" i="58"/>
  <c r="AG179" i="11"/>
  <c r="AG111" i="11"/>
  <c r="AC143" i="22"/>
  <c r="T4" i="58"/>
  <c r="AN5" i="5"/>
  <c r="AN5" i="41"/>
  <c r="AN102" i="41"/>
  <c r="AF67" i="58"/>
  <c r="Z25" i="11"/>
  <c r="AI137" i="22"/>
  <c r="AI465" i="22"/>
  <c r="AI476" i="22"/>
  <c r="AI505" i="22"/>
  <c r="AI511" i="22"/>
  <c r="AI522" i="22"/>
  <c r="O115" i="11"/>
  <c r="O183" i="11"/>
  <c r="J85" i="58"/>
  <c r="J94" i="58"/>
  <c r="AE224" i="12"/>
  <c r="P137" i="22"/>
  <c r="P145" i="22"/>
  <c r="P162" i="22"/>
  <c r="L34" i="43"/>
  <c r="M200" i="12"/>
  <c r="M218" i="12"/>
  <c r="M223" i="12"/>
  <c r="M243" i="12"/>
  <c r="M247" i="12"/>
  <c r="M248" i="12"/>
  <c r="L8" i="14"/>
  <c r="G140" i="58"/>
  <c r="G141" i="58"/>
  <c r="W130" i="11"/>
  <c r="W206" i="11"/>
  <c r="W214" i="11"/>
  <c r="W216" i="11"/>
  <c r="W217" i="11"/>
  <c r="N234" i="48"/>
  <c r="N231" i="48"/>
  <c r="Q92" i="11"/>
  <c r="Q152" i="11"/>
  <c r="L40" i="58"/>
  <c r="L50" i="58"/>
  <c r="Q141" i="22"/>
  <c r="Q147" i="22"/>
  <c r="Q267" i="22"/>
  <c r="Q276" i="22"/>
  <c r="I34" i="47"/>
  <c r="I35" i="47"/>
  <c r="I41" i="47"/>
  <c r="AG102" i="11"/>
  <c r="AG166" i="11"/>
  <c r="AB60" i="58"/>
  <c r="AB69" i="58"/>
  <c r="AE123" i="11"/>
  <c r="AE194" i="11"/>
  <c r="AE398" i="11"/>
  <c r="AE61" i="47"/>
  <c r="O29" i="17"/>
  <c r="O66" i="10"/>
  <c r="AK24" i="16"/>
  <c r="AK25" i="16"/>
  <c r="L126" i="11"/>
  <c r="L197" i="11"/>
  <c r="G105" i="58"/>
  <c r="G114" i="58"/>
  <c r="AO137" i="22"/>
  <c r="AH107" i="48"/>
  <c r="AH110" i="48"/>
  <c r="AO29" i="17"/>
  <c r="AO66" i="10"/>
  <c r="Y337" i="11"/>
  <c r="Z337" i="11"/>
  <c r="Q3" i="58"/>
  <c r="Q24" i="58"/>
  <c r="T145" i="22"/>
  <c r="T162" i="22"/>
  <c r="T172" i="22"/>
  <c r="T181" i="22"/>
  <c r="S68" i="47"/>
  <c r="W141" i="22"/>
  <c r="W147" i="22"/>
  <c r="W165" i="22"/>
  <c r="S92" i="43"/>
  <c r="S96" i="43"/>
  <c r="S112" i="43"/>
  <c r="S114" i="43"/>
  <c r="S60" i="47"/>
  <c r="S63" i="47"/>
  <c r="P97" i="48"/>
  <c r="AD5" i="5"/>
  <c r="AD55" i="5"/>
  <c r="AD160" i="5"/>
  <c r="AE29" i="12"/>
  <c r="AI409" i="11"/>
  <c r="X143" i="22"/>
  <c r="O4" i="58"/>
  <c r="Y470" i="22"/>
  <c r="V141" i="22"/>
  <c r="M8" i="58"/>
  <c r="M20" i="58"/>
  <c r="AE68" i="47"/>
  <c r="AI141" i="22"/>
  <c r="AI147" i="22"/>
  <c r="AI165" i="22"/>
  <c r="AE92" i="43"/>
  <c r="AE96" i="43"/>
  <c r="AE112" i="43"/>
  <c r="AE114" i="43"/>
  <c r="AE60" i="47"/>
  <c r="AE63" i="47"/>
  <c r="AB97" i="48"/>
  <c r="Q125" i="58"/>
  <c r="AB24" i="11"/>
  <c r="AB101" i="11"/>
  <c r="AB165" i="11"/>
  <c r="W59" i="58"/>
  <c r="W68" i="58"/>
  <c r="Q101" i="11"/>
  <c r="Q165" i="11"/>
  <c r="L59" i="58"/>
  <c r="L68" i="58"/>
  <c r="AL158" i="5"/>
  <c r="AL27" i="11"/>
  <c r="AL122" i="11"/>
  <c r="AL193" i="11"/>
  <c r="AG101" i="58"/>
  <c r="AG110" i="58"/>
  <c r="Q125" i="11"/>
  <c r="Q196" i="11"/>
  <c r="L104" i="58"/>
  <c r="L113" i="58"/>
  <c r="AC141" i="41"/>
  <c r="AC106" i="41"/>
  <c r="AI55" i="5"/>
  <c r="AI24" i="8"/>
  <c r="AI25" i="8"/>
  <c r="L27" i="4"/>
  <c r="L46" i="4"/>
  <c r="L47" i="4"/>
  <c r="L97" i="10"/>
  <c r="L100" i="10"/>
  <c r="L104" i="10"/>
  <c r="L23" i="14"/>
  <c r="AD140" i="56"/>
  <c r="AD141" i="56"/>
  <c r="AB139" i="22"/>
  <c r="AB467" i="22"/>
  <c r="AB478" i="22"/>
  <c r="AB507" i="22"/>
  <c r="AB539" i="22"/>
  <c r="AF123" i="11"/>
  <c r="AF194" i="11"/>
  <c r="AA102" i="58"/>
  <c r="AA111" i="58"/>
  <c r="AC137" i="22"/>
  <c r="V226" i="48"/>
  <c r="V229" i="48"/>
  <c r="AW29" i="17"/>
  <c r="AW66" i="10"/>
  <c r="Z139" i="22"/>
  <c r="Z467" i="22"/>
  <c r="Z478" i="22"/>
  <c r="Z507" i="22"/>
  <c r="Z539" i="22"/>
  <c r="AA158" i="5"/>
  <c r="AA27" i="11"/>
  <c r="AA123" i="11"/>
  <c r="AA194" i="11"/>
  <c r="V102" i="58"/>
  <c r="V111" i="58"/>
  <c r="AK100" i="11"/>
  <c r="AK164" i="11"/>
  <c r="AF58" i="58"/>
  <c r="AF65" i="58"/>
  <c r="AF66" i="58"/>
  <c r="Y134" i="22"/>
  <c r="U56" i="5"/>
  <c r="X41" i="15"/>
  <c r="X43" i="15"/>
  <c r="Y41" i="15"/>
  <c r="Y43" i="15"/>
  <c r="Z41" i="15"/>
  <c r="Z43" i="15"/>
  <c r="AA41" i="15"/>
  <c r="AA43" i="15"/>
  <c r="AB41" i="15"/>
  <c r="AB43" i="15"/>
  <c r="AC41" i="15"/>
  <c r="AC43" i="15"/>
  <c r="AD41" i="15"/>
  <c r="AD43" i="15"/>
  <c r="AE41" i="15"/>
  <c r="AE43" i="15"/>
  <c r="AF185" i="12"/>
  <c r="AF186" i="12"/>
  <c r="AG188" i="12"/>
  <c r="AF16" i="14"/>
  <c r="AF20" i="14"/>
  <c r="AF73" i="10"/>
  <c r="AF75" i="10"/>
  <c r="AF77" i="10"/>
  <c r="AF80" i="10"/>
  <c r="AF83" i="10"/>
  <c r="AF85" i="10"/>
  <c r="AF89" i="10"/>
  <c r="AF22" i="14"/>
  <c r="AF24" i="14"/>
  <c r="AF38" i="13"/>
  <c r="AF41" i="13"/>
  <c r="AF59" i="13"/>
  <c r="AF60" i="13"/>
  <c r="AF35" i="15"/>
  <c r="AF21" i="18"/>
  <c r="AF23" i="18"/>
  <c r="AF57" i="18"/>
  <c r="AF56" i="18"/>
  <c r="AH137" i="22"/>
  <c r="AH145" i="22"/>
  <c r="AH162" i="22"/>
  <c r="AD34" i="43"/>
  <c r="AE200" i="12"/>
  <c r="AE218" i="12"/>
  <c r="AE241" i="12"/>
  <c r="AE251" i="12"/>
  <c r="Y55" i="15"/>
  <c r="AK145" i="22"/>
  <c r="AK265" i="22"/>
  <c r="AK274" i="22"/>
  <c r="AK277" i="22"/>
  <c r="AF115" i="11"/>
  <c r="AF183" i="11"/>
  <c r="AA85" i="58"/>
  <c r="AA94" i="58"/>
  <c r="AE113" i="11"/>
  <c r="AE181" i="11"/>
  <c r="Z83" i="58"/>
  <c r="Z92" i="58"/>
  <c r="Z124" i="11"/>
  <c r="Z195" i="11"/>
  <c r="U103" i="58"/>
  <c r="U112" i="58"/>
  <c r="T134" i="22"/>
  <c r="P56" i="5"/>
  <c r="AB56" i="5"/>
  <c r="AF134" i="22"/>
  <c r="X188" i="22"/>
  <c r="X270" i="22"/>
  <c r="AK111" i="11"/>
  <c r="AK179" i="11"/>
  <c r="AF81" i="58"/>
  <c r="AF90" i="58"/>
  <c r="X158" i="5"/>
  <c r="Y27" i="12"/>
  <c r="Y70" i="12"/>
  <c r="Y76" i="12"/>
  <c r="Y77" i="12"/>
  <c r="AG134" i="11"/>
  <c r="AG210" i="11"/>
  <c r="Q25" i="11"/>
  <c r="D112" i="8"/>
  <c r="AK25" i="8"/>
  <c r="T29" i="17"/>
  <c r="I64" i="10"/>
  <c r="N69" i="10"/>
  <c r="T66" i="10"/>
  <c r="L74" i="8"/>
  <c r="L67" i="8"/>
  <c r="K53" i="8"/>
  <c r="L49" i="8"/>
  <c r="L66" i="8"/>
  <c r="O102" i="11"/>
  <c r="O166" i="11"/>
  <c r="J60" i="58"/>
  <c r="J69" i="58"/>
  <c r="AB94" i="11"/>
  <c r="AB154" i="11"/>
  <c r="AB391" i="11"/>
  <c r="AB29" i="47"/>
  <c r="X5" i="13"/>
  <c r="X5" i="10"/>
  <c r="X5" i="18"/>
  <c r="X5" i="1"/>
  <c r="X5" i="55"/>
  <c r="X5" i="9"/>
  <c r="Y5" i="12"/>
  <c r="X5" i="43"/>
  <c r="X5" i="16"/>
  <c r="X5" i="4"/>
  <c r="X5" i="8"/>
  <c r="X5" i="15"/>
  <c r="X5" i="3"/>
  <c r="X5" i="17"/>
  <c r="X5" i="2"/>
  <c r="X5" i="14"/>
  <c r="X5" i="11"/>
  <c r="W116" i="11"/>
  <c r="W184" i="11"/>
  <c r="R86" i="58"/>
  <c r="R95" i="58"/>
  <c r="AC209" i="11"/>
  <c r="AC133" i="11"/>
  <c r="R134" i="22"/>
  <c r="N56" i="5"/>
  <c r="AI125" i="11"/>
  <c r="AI196" i="11"/>
  <c r="AD104" i="58"/>
  <c r="AD113" i="58"/>
  <c r="Q107" i="48"/>
  <c r="Q110" i="48"/>
  <c r="E82" i="56"/>
  <c r="E100" i="56"/>
  <c r="E102" i="56"/>
  <c r="E139" i="56"/>
  <c r="AI140" i="56"/>
  <c r="AI141" i="56"/>
  <c r="Y137" i="22"/>
  <c r="Y465" i="22"/>
  <c r="Y471" i="22"/>
  <c r="Y474" i="22"/>
  <c r="AJ385" i="11"/>
  <c r="AC5" i="43"/>
  <c r="AC5" i="55"/>
  <c r="AC5" i="14"/>
  <c r="AC5" i="3"/>
  <c r="AC5" i="16"/>
  <c r="AC5" i="2"/>
  <c r="AC5" i="1"/>
  <c r="AC5" i="11"/>
  <c r="AC5" i="10"/>
  <c r="AD5" i="12"/>
  <c r="AC5" i="17"/>
  <c r="AC5" i="13"/>
  <c r="AC5" i="9"/>
  <c r="AC5" i="8"/>
  <c r="AC5" i="4"/>
  <c r="AC5" i="15"/>
  <c r="AC5" i="18"/>
  <c r="V41" i="15"/>
  <c r="V43" i="15"/>
  <c r="W41" i="15"/>
  <c r="W43" i="15"/>
  <c r="X185" i="12"/>
  <c r="X186" i="12"/>
  <c r="Y188" i="12"/>
  <c r="X16" i="14"/>
  <c r="X20" i="14"/>
  <c r="X73" i="10"/>
  <c r="X75" i="10"/>
  <c r="X77" i="10"/>
  <c r="X80" i="10"/>
  <c r="X83" i="10"/>
  <c r="X85" i="10"/>
  <c r="X89" i="10"/>
  <c r="X22" i="14"/>
  <c r="X24" i="14"/>
  <c r="X38" i="13"/>
  <c r="X41" i="13"/>
  <c r="X59" i="13"/>
  <c r="X26" i="14"/>
  <c r="X27" i="14"/>
  <c r="X30" i="14"/>
  <c r="Z145" i="22"/>
  <c r="Z162" i="22"/>
  <c r="V34" i="43"/>
  <c r="W200" i="12"/>
  <c r="W218" i="12"/>
  <c r="W223" i="12"/>
  <c r="W243" i="12"/>
  <c r="W247" i="12"/>
  <c r="W248" i="12"/>
  <c r="V8" i="14"/>
  <c r="Q140" i="58"/>
  <c r="Q141" i="58"/>
  <c r="AB411" i="11"/>
  <c r="AC121" i="11"/>
  <c r="AC192" i="11"/>
  <c r="AC199" i="11"/>
  <c r="AC201" i="11"/>
  <c r="AC202" i="11"/>
  <c r="AC221" i="11"/>
  <c r="AC224" i="11"/>
  <c r="AC225" i="11"/>
  <c r="AC9" i="14"/>
  <c r="X137" i="58"/>
  <c r="X138" i="58"/>
  <c r="T387" i="11"/>
  <c r="AK470" i="22"/>
  <c r="N375" i="11"/>
  <c r="U508" i="22"/>
  <c r="AB55" i="15"/>
  <c r="AH56" i="5"/>
  <c r="AL134" i="22"/>
  <c r="U24" i="4"/>
  <c r="U25" i="4"/>
  <c r="Q386" i="11"/>
  <c r="Y104" i="8"/>
  <c r="Y105" i="8"/>
  <c r="Y119" i="8"/>
  <c r="Y31" i="15"/>
  <c r="Y33" i="15"/>
  <c r="Y44" i="13"/>
  <c r="Y47" i="13"/>
  <c r="P25" i="11"/>
  <c r="AD270" i="22"/>
  <c r="AD188" i="22"/>
  <c r="AK484" i="22"/>
  <c r="AH98" i="12"/>
  <c r="AH123" i="12"/>
  <c r="AH140" i="12"/>
  <c r="AH161" i="12"/>
  <c r="AH166" i="12"/>
  <c r="AH169" i="12"/>
  <c r="AH170" i="12"/>
  <c r="AH177" i="12"/>
  <c r="AH179" i="12"/>
  <c r="AH178" i="12"/>
  <c r="AG7" i="15"/>
  <c r="AG12" i="15"/>
  <c r="AG32" i="16"/>
  <c r="AG36" i="16"/>
  <c r="AG54" i="13"/>
  <c r="AG55" i="13"/>
  <c r="AG56" i="13"/>
  <c r="W211" i="11"/>
  <c r="W135" i="11"/>
  <c r="P25" i="43"/>
  <c r="P26" i="43"/>
  <c r="AB55" i="5"/>
  <c r="AB24" i="16"/>
  <c r="AB25" i="16"/>
  <c r="O3" i="58"/>
  <c r="O24" i="58"/>
  <c r="AJ123" i="11"/>
  <c r="AJ194" i="11"/>
  <c r="AE102" i="58"/>
  <c r="AE111" i="58"/>
  <c r="X139" i="22"/>
  <c r="X467" i="22"/>
  <c r="X478" i="22"/>
  <c r="X507" i="22"/>
  <c r="X539" i="22"/>
  <c r="J113" i="8"/>
  <c r="J115" i="8"/>
  <c r="K112" i="8"/>
  <c r="K115" i="8"/>
  <c r="L112" i="8"/>
  <c r="L115" i="8"/>
  <c r="M112" i="8"/>
  <c r="M115" i="8"/>
  <c r="N112" i="8"/>
  <c r="N115" i="8"/>
  <c r="O112" i="8"/>
  <c r="O115" i="8"/>
  <c r="P112" i="8"/>
  <c r="P115" i="8"/>
  <c r="Q112" i="8"/>
  <c r="Q115" i="8"/>
  <c r="R112" i="8"/>
  <c r="R115" i="8"/>
  <c r="S112" i="8"/>
  <c r="S115" i="8"/>
  <c r="T112" i="8"/>
  <c r="T115" i="8"/>
  <c r="U112" i="8"/>
  <c r="U115" i="8"/>
  <c r="V112" i="8"/>
  <c r="V115" i="8"/>
  <c r="W112" i="8"/>
  <c r="W115" i="8"/>
  <c r="X112" i="8"/>
  <c r="X115" i="8"/>
  <c r="Y112" i="8"/>
  <c r="Y115" i="8"/>
  <c r="Z112" i="8"/>
  <c r="Z115" i="8"/>
  <c r="AA112" i="8"/>
  <c r="AA115" i="8"/>
  <c r="AB112" i="8"/>
  <c r="AB115" i="8"/>
  <c r="AC112" i="8"/>
  <c r="AC115" i="8"/>
  <c r="AD112" i="8"/>
  <c r="AD115" i="8"/>
  <c r="AE112" i="8"/>
  <c r="AE115" i="8"/>
  <c r="AF112" i="8"/>
  <c r="AF115" i="8"/>
  <c r="AG112" i="8"/>
  <c r="AG115" i="8"/>
  <c r="AH112" i="8"/>
  <c r="AH115" i="8"/>
  <c r="AI112" i="8"/>
  <c r="AI115" i="8"/>
  <c r="AJ112" i="8"/>
  <c r="Z135" i="11"/>
  <c r="Z211" i="11"/>
  <c r="AC103" i="11"/>
  <c r="AC167" i="11"/>
  <c r="X61" i="58"/>
  <c r="X70" i="58"/>
  <c r="AE158" i="5"/>
  <c r="AE27" i="11"/>
  <c r="AE91" i="11"/>
  <c r="AE151" i="11"/>
  <c r="Z39" i="58"/>
  <c r="Z49" i="58"/>
  <c r="AA113" i="11"/>
  <c r="AA181" i="11"/>
  <c r="V83" i="58"/>
  <c r="V92" i="58"/>
  <c r="AA284" i="11"/>
  <c r="AA285" i="11"/>
  <c r="D337" i="11"/>
  <c r="AA337" i="11"/>
  <c r="AA346" i="11"/>
  <c r="AA350" i="11"/>
  <c r="V465" i="22"/>
  <c r="V476" i="22"/>
  <c r="V505" i="22"/>
  <c r="V511" i="22"/>
  <c r="V522" i="22"/>
  <c r="X5" i="5"/>
  <c r="X5" i="41"/>
  <c r="X102" i="41"/>
  <c r="J5" i="55"/>
  <c r="J5" i="14"/>
  <c r="J5" i="17"/>
  <c r="J5" i="8"/>
  <c r="J5" i="10"/>
  <c r="J5" i="16"/>
  <c r="J5" i="13"/>
  <c r="J5" i="9"/>
  <c r="J5" i="1"/>
  <c r="J5" i="11"/>
  <c r="J5" i="43"/>
  <c r="J5" i="3"/>
  <c r="J5" i="2"/>
  <c r="J5" i="18"/>
  <c r="J5" i="15"/>
  <c r="N24" i="41"/>
  <c r="N25" i="41"/>
  <c r="AL25" i="11"/>
  <c r="AJ95" i="11"/>
  <c r="AJ155" i="11"/>
  <c r="AE43" i="58"/>
  <c r="AE53" i="58"/>
  <c r="AC5" i="41"/>
  <c r="AC102" i="41"/>
  <c r="O79" i="10"/>
  <c r="AE110" i="11"/>
  <c r="AE178" i="11"/>
  <c r="Z80" i="58"/>
  <c r="Z89" i="58"/>
  <c r="O229" i="48"/>
  <c r="O226" i="48"/>
  <c r="AB127" i="11"/>
  <c r="AB198" i="11"/>
  <c r="W106" i="58"/>
  <c r="W115" i="58"/>
  <c r="U55" i="5"/>
  <c r="U24" i="11"/>
  <c r="U116" i="11"/>
  <c r="U184" i="11"/>
  <c r="P86" i="58"/>
  <c r="P95" i="58"/>
  <c r="D316" i="11"/>
  <c r="N25" i="11"/>
  <c r="M325" i="11"/>
  <c r="N325" i="11"/>
  <c r="T106" i="11"/>
  <c r="T170" i="11"/>
  <c r="O64" i="58"/>
  <c r="O73" i="58"/>
  <c r="T268" i="11"/>
  <c r="T252" i="11"/>
  <c r="M158" i="5"/>
  <c r="M27" i="11"/>
  <c r="M134" i="11"/>
  <c r="M210" i="11"/>
  <c r="N316" i="11"/>
  <c r="N294" i="11"/>
  <c r="AK137" i="22"/>
  <c r="AK465" i="22"/>
  <c r="AK471" i="22"/>
  <c r="AK474" i="22"/>
  <c r="N101" i="11"/>
  <c r="N165" i="11"/>
  <c r="I59" i="58"/>
  <c r="I68" i="58"/>
  <c r="R114" i="58"/>
  <c r="R105" i="58"/>
  <c r="U140" i="22"/>
  <c r="U468" i="22"/>
  <c r="U479" i="22"/>
  <c r="R65" i="12"/>
  <c r="R135" i="12"/>
  <c r="AB104" i="8"/>
  <c r="AB105" i="8"/>
  <c r="AB119" i="8"/>
  <c r="AB31" i="15"/>
  <c r="AB33" i="15"/>
  <c r="AB44" i="13"/>
  <c r="AB47" i="13"/>
  <c r="AH55" i="5"/>
  <c r="AH24" i="8"/>
  <c r="AH25" i="8"/>
  <c r="Z116" i="11"/>
  <c r="Z184" i="11"/>
  <c r="U86" i="58"/>
  <c r="U95" i="58"/>
  <c r="AO52" i="4"/>
  <c r="Q158" i="5"/>
  <c r="Q27" i="11"/>
  <c r="Q96" i="11"/>
  <c r="Q156" i="11"/>
  <c r="L44" i="58"/>
  <c r="L54" i="58"/>
  <c r="AD137" i="22"/>
  <c r="AD145" i="22"/>
  <c r="U3" i="58"/>
  <c r="U24" i="58"/>
  <c r="K37" i="4"/>
  <c r="L34" i="4"/>
  <c r="L37" i="4"/>
  <c r="M34" i="4"/>
  <c r="M37" i="4"/>
  <c r="N34" i="4"/>
  <c r="N37" i="4"/>
  <c r="O34" i="4"/>
  <c r="O37" i="4"/>
  <c r="P34" i="4"/>
  <c r="P37" i="4"/>
  <c r="Q34" i="4"/>
  <c r="Q37" i="4"/>
  <c r="R34" i="4"/>
  <c r="R37" i="4"/>
  <c r="S34" i="4"/>
  <c r="S37" i="4"/>
  <c r="T34" i="4"/>
  <c r="T37" i="4"/>
  <c r="U34" i="4"/>
  <c r="U37" i="4"/>
  <c r="V34" i="4"/>
  <c r="V37" i="4"/>
  <c r="W34" i="4"/>
  <c r="W37" i="4"/>
  <c r="X34" i="4"/>
  <c r="X37" i="4"/>
  <c r="Y34" i="4"/>
  <c r="Y37" i="4"/>
  <c r="Z34" i="4"/>
  <c r="Z37" i="4"/>
  <c r="AA34" i="4"/>
  <c r="AA37" i="4"/>
  <c r="AB34" i="4"/>
  <c r="AB37" i="4"/>
  <c r="AC34" i="4"/>
  <c r="AC37" i="4"/>
  <c r="AD34" i="4"/>
  <c r="AD37" i="4"/>
  <c r="AE34" i="4"/>
  <c r="AE37" i="4"/>
  <c r="AF34" i="4"/>
  <c r="AF37" i="4"/>
  <c r="AG34" i="4"/>
  <c r="AG37" i="4"/>
  <c r="AG8" i="9"/>
  <c r="AG10" i="9"/>
  <c r="AK103" i="11"/>
  <c r="AK167" i="11"/>
  <c r="AF61" i="58"/>
  <c r="AF70" i="58"/>
  <c r="S134" i="22"/>
  <c r="O56" i="5"/>
  <c r="D50" i="10"/>
  <c r="O125" i="58"/>
  <c r="R56" i="5"/>
  <c r="V134" i="22"/>
  <c r="AG409" i="11"/>
  <c r="AN129" i="22"/>
  <c r="AO129" i="22"/>
  <c r="AP129" i="22"/>
  <c r="AP137" i="22"/>
  <c r="AP145" i="22"/>
  <c r="AP162" i="22"/>
  <c r="AP172" i="22"/>
  <c r="AP181" i="22"/>
  <c r="G49" i="58"/>
  <c r="AK24" i="8"/>
  <c r="AK113" i="8"/>
  <c r="AK114" i="8"/>
  <c r="AK120" i="8"/>
  <c r="Z411" i="11"/>
  <c r="R91" i="12"/>
  <c r="AL114" i="11"/>
  <c r="AL182" i="11"/>
  <c r="AG84" i="58"/>
  <c r="AG93" i="58"/>
  <c r="AH203" i="22"/>
  <c r="AH272" i="22"/>
  <c r="AD54" i="47"/>
  <c r="W126" i="11"/>
  <c r="W197" i="11"/>
  <c r="W410" i="11"/>
  <c r="AM130" i="22"/>
  <c r="AN130" i="22"/>
  <c r="AO130" i="22"/>
  <c r="AO139" i="22"/>
  <c r="AO467" i="22"/>
  <c r="AO478" i="22"/>
  <c r="AO507" i="22"/>
  <c r="AO539" i="22"/>
  <c r="J5" i="5"/>
  <c r="J5" i="41"/>
  <c r="J102" i="41"/>
  <c r="E66" i="16"/>
  <c r="W139" i="22"/>
  <c r="W467" i="22"/>
  <c r="W478" i="22"/>
  <c r="W507" i="22"/>
  <c r="W539" i="22"/>
  <c r="V25" i="11"/>
  <c r="J66" i="8"/>
  <c r="J67" i="8"/>
  <c r="J74" i="8"/>
  <c r="J22" i="15"/>
  <c r="D22" i="15"/>
  <c r="D24" i="15"/>
  <c r="AC55" i="5"/>
  <c r="AC24" i="11"/>
  <c r="AC25" i="11"/>
  <c r="Y306" i="11"/>
  <c r="X306" i="11"/>
  <c r="V5" i="5"/>
  <c r="V55" i="5"/>
  <c r="V24" i="11"/>
  <c r="V110" i="11"/>
  <c r="V178" i="11"/>
  <c r="Q80" i="58"/>
  <c r="Q89" i="58"/>
  <c r="L24" i="11"/>
  <c r="L284" i="11"/>
  <c r="D292" i="11"/>
  <c r="K292" i="11"/>
  <c r="K316" i="11"/>
  <c r="N66" i="47"/>
  <c r="N70" i="47"/>
  <c r="W125" i="58"/>
  <c r="Z143" i="22"/>
  <c r="Q4" i="58"/>
  <c r="U465" i="22"/>
  <c r="U476" i="22"/>
  <c r="U505" i="22"/>
  <c r="U537" i="22"/>
  <c r="U542" i="22"/>
  <c r="AE49" i="58"/>
  <c r="S375" i="11"/>
  <c r="AK116" i="11"/>
  <c r="AK184" i="11"/>
  <c r="AF86" i="58"/>
  <c r="AF95" i="58"/>
  <c r="Q54" i="47"/>
  <c r="U272" i="22"/>
  <c r="U203" i="22"/>
  <c r="I26" i="14"/>
  <c r="I27" i="14"/>
  <c r="I30" i="14"/>
  <c r="I31" i="14"/>
  <c r="J29" i="14"/>
  <c r="J31" i="14"/>
  <c r="K29" i="14"/>
  <c r="K31" i="14"/>
  <c r="L29" i="14"/>
  <c r="L31" i="14"/>
  <c r="M29" i="14"/>
  <c r="M31" i="14"/>
  <c r="N29" i="14"/>
  <c r="N31" i="14"/>
  <c r="O29" i="14"/>
  <c r="O31" i="14"/>
  <c r="P29" i="14"/>
  <c r="P31" i="14"/>
  <c r="Q29" i="14"/>
  <c r="Q31" i="14"/>
  <c r="R29" i="14"/>
  <c r="R31" i="14"/>
  <c r="S29" i="14"/>
  <c r="S31" i="14"/>
  <c r="T29" i="14"/>
  <c r="T31" i="14"/>
  <c r="U29" i="14"/>
  <c r="U31" i="14"/>
  <c r="V29" i="14"/>
  <c r="V31" i="14"/>
  <c r="W29" i="14"/>
  <c r="W31" i="14"/>
  <c r="X29" i="14"/>
  <c r="X31" i="14"/>
  <c r="Y29" i="14"/>
  <c r="Y31" i="14"/>
  <c r="Z29" i="14"/>
  <c r="Z31" i="14"/>
  <c r="AA29" i="14"/>
  <c r="AA31" i="14"/>
  <c r="AB29" i="14"/>
  <c r="AB31" i="14"/>
  <c r="AC29" i="14"/>
  <c r="AC31" i="14"/>
  <c r="AD29" i="14"/>
  <c r="AD31" i="14"/>
  <c r="AE29" i="14"/>
  <c r="AE40" i="13"/>
  <c r="S102" i="11"/>
  <c r="S166" i="11"/>
  <c r="N60" i="58"/>
  <c r="N69" i="58"/>
  <c r="M5" i="5"/>
  <c r="M55" i="5"/>
  <c r="M24" i="11"/>
  <c r="M25" i="11"/>
  <c r="Q41" i="15"/>
  <c r="Q43" i="15"/>
  <c r="R41" i="15"/>
  <c r="R43" i="15"/>
  <c r="S41" i="15"/>
  <c r="S43" i="15"/>
  <c r="T41" i="15"/>
  <c r="T43" i="15"/>
  <c r="U41" i="15"/>
  <c r="U43" i="15"/>
  <c r="V185" i="12"/>
  <c r="V186" i="12"/>
  <c r="W188" i="12"/>
  <c r="V16" i="14"/>
  <c r="V85" i="47"/>
  <c r="V89" i="47"/>
  <c r="V90" i="47"/>
  <c r="R24" i="13"/>
  <c r="R25" i="13"/>
  <c r="O24" i="4"/>
  <c r="O25" i="4"/>
  <c r="S139" i="22"/>
  <c r="S467" i="22"/>
  <c r="S478" i="22"/>
  <c r="S507" i="22"/>
  <c r="S539" i="22"/>
  <c r="K54" i="10"/>
  <c r="D54" i="10"/>
  <c r="X145" i="22"/>
  <c r="X162" i="22"/>
  <c r="T34" i="43"/>
  <c r="U200" i="12"/>
  <c r="U218" i="12"/>
  <c r="U223" i="12"/>
  <c r="U243" i="12"/>
  <c r="U247" i="12"/>
  <c r="U248" i="12"/>
  <c r="T8" i="14"/>
  <c r="O140" i="58"/>
  <c r="O141" i="58"/>
  <c r="R25" i="43"/>
  <c r="R26" i="43"/>
  <c r="I54" i="5"/>
  <c r="M191" i="22"/>
  <c r="M202" i="22"/>
  <c r="M204" i="22"/>
  <c r="I102" i="43"/>
  <c r="I106" i="43"/>
  <c r="I122" i="43"/>
  <c r="D129" i="58"/>
  <c r="W121" i="11"/>
  <c r="W192" i="11"/>
  <c r="W408" i="11"/>
  <c r="W412" i="11"/>
  <c r="W73" i="47"/>
  <c r="AG125" i="11"/>
  <c r="AG196" i="11"/>
  <c r="AB104" i="58"/>
  <c r="AB113" i="58"/>
  <c r="AJ158" i="11"/>
  <c r="AJ160" i="11"/>
  <c r="AJ161" i="11"/>
  <c r="Q5" i="5"/>
  <c r="Q55" i="5"/>
  <c r="Q24" i="11"/>
  <c r="Q114" i="11"/>
  <c r="Q182" i="11"/>
  <c r="L84" i="58"/>
  <c r="L93" i="58"/>
  <c r="L91" i="11"/>
  <c r="L151" i="11"/>
  <c r="G39" i="58"/>
  <c r="G46" i="58"/>
  <c r="G47" i="58"/>
  <c r="R100" i="11"/>
  <c r="R164" i="11"/>
  <c r="R171" i="11"/>
  <c r="R173" i="11"/>
  <c r="R174" i="11"/>
  <c r="Z158" i="5"/>
  <c r="Z27" i="11"/>
  <c r="Z127" i="11"/>
  <c r="Z198" i="11"/>
  <c r="U106" i="58"/>
  <c r="U115" i="58"/>
  <c r="AK102" i="11"/>
  <c r="AK166" i="11"/>
  <c r="AF60" i="58"/>
  <c r="AF69" i="58"/>
  <c r="U138" i="22"/>
  <c r="U466" i="22"/>
  <c r="U477" i="22"/>
  <c r="R63" i="12"/>
  <c r="R133" i="12"/>
  <c r="R193" i="12"/>
  <c r="T25" i="11"/>
  <c r="AE270" i="22"/>
  <c r="AE145" i="22"/>
  <c r="AE188" i="22"/>
  <c r="AJ270" i="22"/>
  <c r="AJ137" i="22"/>
  <c r="AJ145" i="22"/>
  <c r="AJ188" i="22"/>
  <c r="X137" i="22"/>
  <c r="X465" i="22"/>
  <c r="X484" i="22"/>
  <c r="U98" i="12"/>
  <c r="U123" i="12"/>
  <c r="U140" i="12"/>
  <c r="U161" i="12"/>
  <c r="U166" i="12"/>
  <c r="U169" i="12"/>
  <c r="U170" i="12"/>
  <c r="T7" i="14"/>
  <c r="O26" i="58"/>
  <c r="O30" i="58"/>
  <c r="M294" i="11"/>
  <c r="N284" i="11"/>
  <c r="D294" i="11"/>
  <c r="L294" i="11"/>
  <c r="AA12" i="54"/>
  <c r="AH141" i="22"/>
  <c r="AH147" i="22"/>
  <c r="AH267" i="22"/>
  <c r="AH276" i="22"/>
  <c r="U139" i="22"/>
  <c r="U467" i="22"/>
  <c r="U478" i="22"/>
  <c r="U507" i="22"/>
  <c r="U539" i="22"/>
  <c r="E69" i="16"/>
  <c r="E68" i="16"/>
  <c r="I31" i="16"/>
  <c r="I48" i="16"/>
  <c r="I51" i="16"/>
  <c r="I64" i="16"/>
  <c r="E67" i="16"/>
  <c r="I72" i="58"/>
  <c r="I63" i="58"/>
  <c r="N169" i="11"/>
  <c r="N105" i="11"/>
  <c r="K51" i="4"/>
  <c r="K50" i="10"/>
  <c r="K51" i="10"/>
  <c r="K55" i="10"/>
  <c r="K58" i="10"/>
  <c r="K60" i="10"/>
  <c r="L57" i="10"/>
  <c r="L60" i="10"/>
  <c r="M57" i="10"/>
  <c r="M60" i="10"/>
  <c r="N57" i="10"/>
  <c r="N60" i="10"/>
  <c r="O57" i="10"/>
  <c r="O59" i="10"/>
  <c r="O78" i="10"/>
  <c r="O98" i="10"/>
  <c r="R116" i="11"/>
  <c r="R184" i="11"/>
  <c r="M86" i="58"/>
  <c r="M95" i="58"/>
  <c r="AK268" i="11"/>
  <c r="AK252" i="11"/>
  <c r="Z5" i="5"/>
  <c r="Z55" i="5"/>
  <c r="Z24" i="11"/>
  <c r="Z284" i="11"/>
  <c r="D306" i="11"/>
  <c r="Z306" i="11"/>
  <c r="Z316" i="11"/>
  <c r="AH54" i="47"/>
  <c r="AL203" i="22"/>
  <c r="AL272" i="22"/>
  <c r="AF410" i="11"/>
  <c r="R141" i="22"/>
  <c r="R469" i="22"/>
  <c r="R488" i="22"/>
  <c r="O102" i="12"/>
  <c r="O127" i="12"/>
  <c r="O144" i="12"/>
  <c r="N57" i="47"/>
  <c r="N65" i="47"/>
  <c r="N75" i="47"/>
  <c r="N76" i="47"/>
  <c r="O284" i="11"/>
  <c r="O285" i="11"/>
  <c r="D325" i="11"/>
  <c r="O325" i="11"/>
  <c r="O346" i="11"/>
  <c r="O350" i="11"/>
  <c r="AF137" i="22"/>
  <c r="AF145" i="22"/>
  <c r="AF162" i="22"/>
  <c r="AB34" i="43"/>
  <c r="AC200" i="12"/>
  <c r="AC218" i="12"/>
  <c r="AC223" i="12"/>
  <c r="AC243" i="12"/>
  <c r="AC247" i="12"/>
  <c r="AC248" i="12"/>
  <c r="AB8" i="14"/>
  <c r="W140" i="58"/>
  <c r="W141" i="58"/>
  <c r="I112" i="58"/>
  <c r="I103" i="58"/>
  <c r="Z137" i="22"/>
  <c r="W52" i="12"/>
  <c r="W57" i="12"/>
  <c r="L158" i="5"/>
  <c r="L27" i="11"/>
  <c r="L130" i="11"/>
  <c r="L206" i="11"/>
  <c r="L214" i="11"/>
  <c r="L216" i="11"/>
  <c r="L217" i="11"/>
  <c r="K36" i="4"/>
  <c r="K44" i="4"/>
  <c r="D44" i="4"/>
  <c r="I47" i="4"/>
  <c r="I52" i="4"/>
  <c r="I13" i="14"/>
  <c r="I14" i="14"/>
  <c r="I20" i="14"/>
  <c r="I73" i="10"/>
  <c r="I75" i="10"/>
  <c r="I77" i="10"/>
  <c r="I84" i="10"/>
  <c r="I85" i="10"/>
  <c r="I89" i="10"/>
  <c r="I22" i="14"/>
  <c r="I24" i="14"/>
  <c r="I38" i="13"/>
  <c r="I41" i="13"/>
  <c r="I59" i="13"/>
  <c r="I60" i="13"/>
  <c r="I35" i="15"/>
  <c r="I36" i="15"/>
  <c r="I39" i="15"/>
  <c r="I42" i="15"/>
  <c r="I43" i="15"/>
  <c r="J41" i="15"/>
  <c r="J43" i="15"/>
  <c r="K41" i="15"/>
  <c r="K43" i="15"/>
  <c r="L41" i="15"/>
  <c r="L43" i="15"/>
  <c r="M41" i="15"/>
  <c r="M43" i="15"/>
  <c r="N41" i="15"/>
  <c r="N43" i="15"/>
  <c r="O41" i="15"/>
  <c r="O43" i="15"/>
  <c r="P41" i="15"/>
  <c r="P43" i="15"/>
  <c r="Q185" i="12"/>
  <c r="Q186" i="12"/>
  <c r="R188" i="12"/>
  <c r="Q16" i="14"/>
  <c r="Q20" i="14"/>
  <c r="Q73" i="10"/>
  <c r="Q75" i="10"/>
  <c r="Q65" i="10"/>
  <c r="Q76" i="10"/>
  <c r="AJ5" i="5"/>
  <c r="AJ158" i="5"/>
  <c r="AJ27" i="11"/>
  <c r="AJ91" i="11"/>
  <c r="AJ151" i="11"/>
  <c r="AE39" i="58"/>
  <c r="AE46" i="58"/>
  <c r="AE47" i="58"/>
  <c r="S101" i="11"/>
  <c r="S165" i="11"/>
  <c r="N59" i="58"/>
  <c r="N68" i="58"/>
  <c r="N93" i="11"/>
  <c r="N153" i="11"/>
  <c r="N373" i="11"/>
  <c r="N13" i="47"/>
  <c r="O27" i="11"/>
  <c r="O124" i="11"/>
  <c r="O195" i="11"/>
  <c r="J103" i="58"/>
  <c r="J112" i="58"/>
  <c r="U141" i="22"/>
  <c r="U147" i="22"/>
  <c r="U267" i="22"/>
  <c r="U276" i="22"/>
  <c r="L4" i="58"/>
  <c r="U143" i="22"/>
  <c r="O55" i="5"/>
  <c r="O24" i="11"/>
  <c r="O25" i="11"/>
  <c r="K27" i="4"/>
  <c r="K46" i="4"/>
  <c r="AO46" i="4"/>
  <c r="AO47" i="4"/>
  <c r="AO97" i="10"/>
  <c r="AO100" i="10"/>
  <c r="AO104" i="10"/>
  <c r="L59" i="8"/>
  <c r="M56" i="8"/>
  <c r="M59" i="8"/>
  <c r="N56" i="8"/>
  <c r="N59" i="8"/>
  <c r="O56" i="8"/>
  <c r="O59" i="8"/>
  <c r="P56" i="8"/>
  <c r="P59" i="8"/>
  <c r="Q56" i="8"/>
  <c r="Q59" i="8"/>
  <c r="R56" i="8"/>
  <c r="R59" i="8"/>
  <c r="S56" i="8"/>
  <c r="S59" i="8"/>
  <c r="T56" i="8"/>
  <c r="T59" i="8"/>
  <c r="U56" i="8"/>
  <c r="U59" i="8"/>
  <c r="V56" i="8"/>
  <c r="V59" i="8"/>
  <c r="W56" i="8"/>
  <c r="W59" i="8"/>
  <c r="X56" i="8"/>
  <c r="X59" i="8"/>
  <c r="Y56" i="8"/>
  <c r="Y59" i="8"/>
  <c r="Z56" i="8"/>
  <c r="Z59" i="8"/>
  <c r="AA56" i="8"/>
  <c r="AA59" i="8"/>
  <c r="AB56" i="8"/>
  <c r="AB59" i="8"/>
  <c r="AC56" i="8"/>
  <c r="AC59" i="8"/>
  <c r="AD56" i="8"/>
  <c r="AD59" i="8"/>
  <c r="AE56" i="8"/>
  <c r="AE59" i="8"/>
  <c r="AF56" i="8"/>
  <c r="AF59" i="8"/>
  <c r="AG56" i="8"/>
  <c r="AG59" i="8"/>
  <c r="AH56" i="8"/>
  <c r="AH59" i="8"/>
  <c r="AI56" i="8"/>
  <c r="AI59" i="8"/>
  <c r="AJ56" i="8"/>
  <c r="P5" i="5"/>
  <c r="P55" i="5"/>
  <c r="P24" i="11"/>
  <c r="P105" i="11"/>
  <c r="P169" i="11"/>
  <c r="K63" i="58"/>
  <c r="K72" i="58"/>
  <c r="AM129" i="22"/>
  <c r="AM137" i="22"/>
  <c r="AM465" i="22"/>
  <c r="AM484" i="22"/>
  <c r="AJ98" i="12"/>
  <c r="AJ123" i="12"/>
  <c r="AJ140" i="12"/>
  <c r="AJ161" i="12"/>
  <c r="AJ166" i="12"/>
  <c r="AJ169" i="12"/>
  <c r="AJ170" i="12"/>
  <c r="AJ177" i="12"/>
  <c r="AJ179" i="12"/>
  <c r="AJ178" i="12"/>
  <c r="AI7" i="15"/>
  <c r="AI12" i="15"/>
  <c r="AI31" i="41"/>
  <c r="AI48" i="41"/>
  <c r="AI51" i="41"/>
  <c r="AF126" i="11"/>
  <c r="AF197" i="11"/>
  <c r="AA105" i="58"/>
  <c r="AA114" i="58"/>
  <c r="AH5" i="5"/>
  <c r="AH158" i="5"/>
  <c r="AH27" i="11"/>
  <c r="AH133" i="11"/>
  <c r="AH209" i="11"/>
  <c r="AC5" i="5"/>
  <c r="AC158" i="5"/>
  <c r="AC27" i="11"/>
  <c r="AC97" i="11"/>
  <c r="AC157" i="11"/>
  <c r="X45" i="58"/>
  <c r="X55" i="58"/>
  <c r="Z78" i="16"/>
  <c r="S5" i="43"/>
  <c r="S5" i="16"/>
  <c r="S5" i="55"/>
  <c r="T5" i="12"/>
  <c r="S5" i="1"/>
  <c r="S5" i="14"/>
  <c r="S5" i="9"/>
  <c r="S5" i="18"/>
  <c r="S5" i="10"/>
  <c r="S5" i="11"/>
  <c r="S5" i="15"/>
  <c r="S5" i="8"/>
  <c r="S5" i="2"/>
  <c r="S5" i="4"/>
  <c r="S5" i="3"/>
  <c r="S5" i="13"/>
  <c r="S5" i="17"/>
  <c r="AE100" i="11"/>
  <c r="AE164" i="11"/>
  <c r="Z58" i="58"/>
  <c r="Z67" i="58"/>
  <c r="AG24" i="11"/>
  <c r="AG25" i="11"/>
  <c r="R125" i="58"/>
  <c r="K121" i="41"/>
  <c r="K132" i="41"/>
  <c r="V143" i="22"/>
  <c r="M4" i="58"/>
  <c r="AA375" i="11"/>
  <c r="AF124" i="11"/>
  <c r="AF195" i="11"/>
  <c r="AF414" i="11"/>
  <c r="AF77" i="47"/>
  <c r="U55" i="15"/>
  <c r="Y203" i="22"/>
  <c r="U54" i="47"/>
  <c r="Y272" i="22"/>
  <c r="R387" i="11"/>
  <c r="Q137" i="22"/>
  <c r="Q465" i="22"/>
  <c r="Q476" i="22"/>
  <c r="Q505" i="22"/>
  <c r="Q511" i="22"/>
  <c r="Q522" i="22"/>
  <c r="U100" i="8"/>
  <c r="V96" i="8"/>
  <c r="V100" i="8"/>
  <c r="W96" i="8"/>
  <c r="W100" i="8"/>
  <c r="X96" i="8"/>
  <c r="X100" i="8"/>
  <c r="Y96" i="8"/>
  <c r="Y100" i="8"/>
  <c r="Z96" i="8"/>
  <c r="Z100" i="8"/>
  <c r="AA96" i="8"/>
  <c r="AA100" i="8"/>
  <c r="AB96" i="8"/>
  <c r="AB100" i="8"/>
  <c r="AC96" i="8"/>
  <c r="AC100" i="8"/>
  <c r="AD96" i="8"/>
  <c r="AD104" i="8"/>
  <c r="AD105" i="8"/>
  <c r="AD119" i="8"/>
  <c r="AD31" i="15"/>
  <c r="AD33" i="15"/>
  <c r="AD28" i="18"/>
  <c r="AD29" i="18"/>
  <c r="AD67" i="18"/>
  <c r="AD66" i="18"/>
  <c r="AA11" i="54"/>
  <c r="AF158" i="5"/>
  <c r="AF27" i="11"/>
  <c r="AF94" i="11"/>
  <c r="AF154" i="11"/>
  <c r="AF391" i="11"/>
  <c r="AF29" i="47"/>
  <c r="Y91" i="11"/>
  <c r="Y151" i="11"/>
  <c r="Y384" i="11"/>
  <c r="Y388" i="11"/>
  <c r="Y24" i="47"/>
  <c r="Y25" i="47"/>
  <c r="T137" i="22"/>
  <c r="T465" i="22"/>
  <c r="T476" i="22"/>
  <c r="T505" i="22"/>
  <c r="M117" i="48"/>
  <c r="M122" i="48"/>
  <c r="T5" i="5"/>
  <c r="T55" i="5"/>
  <c r="T24" i="11"/>
  <c r="T111" i="11"/>
  <c r="T179" i="11"/>
  <c r="O81" i="58"/>
  <c r="O90" i="58"/>
  <c r="AL111" i="11"/>
  <c r="AL179" i="11"/>
  <c r="AG81" i="58"/>
  <c r="AG90" i="58"/>
  <c r="AG158" i="5"/>
  <c r="AG27" i="11"/>
  <c r="AG91" i="11"/>
  <c r="AG151" i="11"/>
  <c r="AB39" i="58"/>
  <c r="AB49" i="58"/>
  <c r="AL5" i="5"/>
  <c r="AL55" i="5"/>
  <c r="AL24" i="11"/>
  <c r="AL100" i="11"/>
  <c r="AL164" i="11"/>
  <c r="AG58" i="58"/>
  <c r="AG67" i="58"/>
  <c r="L90" i="8"/>
  <c r="T54" i="47"/>
  <c r="X203" i="22"/>
  <c r="X141" i="22"/>
  <c r="X147" i="22"/>
  <c r="X272" i="22"/>
  <c r="AI130" i="11"/>
  <c r="AI206" i="11"/>
  <c r="AI214" i="11"/>
  <c r="AI403" i="11"/>
  <c r="AI405" i="11"/>
  <c r="AI62" i="47"/>
  <c r="AL129" i="22"/>
  <c r="AL141" i="22"/>
  <c r="AL147" i="22"/>
  <c r="AC23" i="58"/>
  <c r="AC32" i="58"/>
  <c r="N55" i="5"/>
  <c r="N24" i="11"/>
  <c r="N113" i="11"/>
  <c r="N181" i="11"/>
  <c r="I83" i="58"/>
  <c r="I92" i="58"/>
  <c r="U126" i="11"/>
  <c r="U197" i="11"/>
  <c r="U410" i="11"/>
  <c r="Y5" i="5"/>
  <c r="Y158" i="5"/>
  <c r="Y27" i="11"/>
  <c r="Y126" i="11"/>
  <c r="Y197" i="11"/>
  <c r="Y410" i="11"/>
  <c r="O5" i="5"/>
  <c r="O158" i="5"/>
  <c r="S133" i="22"/>
  <c r="AK134" i="22"/>
  <c r="AG5" i="5"/>
  <c r="AG55" i="5"/>
  <c r="AG56" i="5"/>
  <c r="U5" i="5"/>
  <c r="U158" i="5"/>
  <c r="U27" i="11"/>
  <c r="U96" i="11"/>
  <c r="U156" i="11"/>
  <c r="U386" i="11"/>
  <c r="AG137" i="22"/>
  <c r="AG465" i="22"/>
  <c r="AG470" i="22"/>
  <c r="S55" i="5"/>
  <c r="S24" i="11"/>
  <c r="S25" i="11"/>
  <c r="S158" i="5"/>
  <c r="S27" i="11"/>
  <c r="S130" i="11"/>
  <c r="S206" i="11"/>
  <c r="S214" i="11"/>
  <c r="S379" i="11"/>
  <c r="S382" i="11"/>
  <c r="S14" i="47"/>
  <c r="AG54" i="47"/>
  <c r="AK272" i="22"/>
  <c r="AF129" i="22"/>
  <c r="AG129" i="22"/>
  <c r="AH129" i="22"/>
  <c r="AI129" i="22"/>
  <c r="AJ129" i="22"/>
  <c r="AK129" i="22"/>
  <c r="AK141" i="22"/>
  <c r="AK147" i="22"/>
  <c r="AK203" i="22"/>
  <c r="U137" i="22"/>
  <c r="N107" i="48"/>
  <c r="N110" i="48"/>
  <c r="I53" i="8"/>
  <c r="J49" i="8"/>
  <c r="J53" i="8"/>
  <c r="K49" i="8"/>
  <c r="K57" i="8"/>
  <c r="K59" i="8"/>
  <c r="L56" i="8"/>
  <c r="D56" i="8"/>
  <c r="W55" i="5"/>
  <c r="W24" i="11"/>
  <c r="W284" i="11"/>
  <c r="W285" i="11"/>
  <c r="W351" i="11"/>
  <c r="W27" i="15"/>
  <c r="L5" i="5"/>
  <c r="L55" i="5"/>
  <c r="P134" i="22"/>
  <c r="P130" i="22"/>
  <c r="Q130" i="22"/>
  <c r="R130" i="22"/>
  <c r="S130" i="22"/>
  <c r="T130" i="22"/>
  <c r="U130" i="22"/>
  <c r="V130" i="22"/>
  <c r="W130" i="22"/>
  <c r="X130" i="22"/>
  <c r="Y130" i="22"/>
  <c r="Z130" i="22"/>
  <c r="AA130" i="22"/>
  <c r="AB130" i="22"/>
  <c r="AC130" i="22"/>
  <c r="AD130" i="22"/>
  <c r="AE130" i="22"/>
  <c r="AF130" i="22"/>
  <c r="AG130" i="22"/>
  <c r="AH130" i="22"/>
  <c r="AI130" i="22"/>
  <c r="AJ130" i="22"/>
  <c r="AK130" i="22"/>
  <c r="AL130" i="22"/>
  <c r="AL139" i="22"/>
  <c r="AL467" i="22"/>
  <c r="AL486" i="22"/>
  <c r="AI100" i="12"/>
  <c r="AI125" i="12"/>
  <c r="AI142" i="12"/>
  <c r="AI163" i="12"/>
  <c r="AC27" i="58"/>
  <c r="AC31" i="58"/>
  <c r="AF5" i="5"/>
  <c r="AF55" i="5"/>
  <c r="AF24" i="11"/>
  <c r="AF25" i="11"/>
  <c r="AE5" i="5"/>
  <c r="AE55" i="5"/>
  <c r="AE24" i="11"/>
  <c r="AE25" i="11"/>
  <c r="AI27" i="11"/>
  <c r="AI126" i="11"/>
  <c r="AI197" i="11"/>
  <c r="AI410" i="11"/>
  <c r="AI5" i="5"/>
  <c r="AI158" i="5"/>
  <c r="AM133" i="22"/>
  <c r="W5" i="5"/>
  <c r="W158" i="5"/>
  <c r="W27" i="11"/>
  <c r="W127" i="11"/>
  <c r="W198" i="11"/>
  <c r="W411" i="11"/>
  <c r="AB5" i="5"/>
  <c r="AB158" i="5"/>
  <c r="AB27" i="11"/>
  <c r="AB124" i="11"/>
  <c r="AB195" i="11"/>
  <c r="W103" i="58"/>
  <c r="W112" i="58"/>
  <c r="AB129" i="22"/>
  <c r="AC129" i="22"/>
  <c r="AD129" i="22"/>
  <c r="AE129" i="22"/>
  <c r="AE137" i="22"/>
  <c r="AE465" i="22"/>
  <c r="AE484" i="22"/>
  <c r="AB98" i="12"/>
  <c r="AB123" i="12"/>
  <c r="AB140" i="12"/>
  <c r="AB161" i="12"/>
  <c r="AB166" i="12"/>
  <c r="AB169" i="12"/>
  <c r="AB170" i="12"/>
  <c r="AB177" i="12"/>
  <c r="AB179" i="12"/>
  <c r="AB178" i="12"/>
  <c r="AA7" i="15"/>
  <c r="AA12" i="15"/>
  <c r="AA31" i="16"/>
  <c r="AA77" i="16"/>
  <c r="AA80" i="16"/>
  <c r="AA90" i="16"/>
  <c r="N5" i="5"/>
  <c r="N158" i="5"/>
  <c r="N27" i="11"/>
  <c r="N124" i="11"/>
  <c r="N195" i="11"/>
  <c r="N414" i="11"/>
  <c r="N77" i="47"/>
  <c r="S5" i="5"/>
  <c r="S5" i="47"/>
  <c r="S51" i="47"/>
  <c r="AK5" i="5"/>
  <c r="AK55" i="5"/>
  <c r="AK24" i="11"/>
  <c r="AK25" i="11"/>
  <c r="Z129" i="22"/>
  <c r="AA129" i="22"/>
  <c r="AA137" i="22"/>
  <c r="AA145" i="22"/>
  <c r="AA162" i="22"/>
  <c r="W34" i="43"/>
  <c r="X200" i="12"/>
  <c r="X218" i="12"/>
  <c r="X223" i="12"/>
  <c r="X243" i="12"/>
  <c r="X247" i="12"/>
  <c r="X248" i="12"/>
  <c r="W8" i="14"/>
  <c r="R140" i="58"/>
  <c r="R141" i="58"/>
  <c r="K27" i="11"/>
  <c r="K121" i="11"/>
  <c r="K192" i="11"/>
  <c r="K199" i="11"/>
  <c r="K201" i="11"/>
  <c r="K202" i="11"/>
  <c r="K221" i="11"/>
  <c r="K224" i="11"/>
  <c r="K225" i="11"/>
  <c r="K233" i="11"/>
  <c r="K235" i="11"/>
  <c r="K23" i="9"/>
  <c r="K114" i="41"/>
  <c r="K125" i="41"/>
  <c r="K138" i="41"/>
  <c r="V137" i="22"/>
  <c r="O107" i="48"/>
  <c r="O110" i="48"/>
  <c r="AA5" i="5"/>
  <c r="AA55" i="5"/>
  <c r="AA24" i="11"/>
  <c r="AA101" i="11"/>
  <c r="AA165" i="11"/>
  <c r="V59" i="58"/>
  <c r="V68" i="58"/>
  <c r="R25" i="11"/>
  <c r="I5" i="5"/>
  <c r="J5" i="12"/>
  <c r="J179" i="12"/>
  <c r="J178" i="12"/>
  <c r="I7" i="15"/>
  <c r="I12" i="15"/>
  <c r="I20" i="15"/>
  <c r="I45" i="8"/>
  <c r="I52" i="8"/>
  <c r="I72" i="8"/>
  <c r="I23" i="15"/>
  <c r="I24" i="15"/>
  <c r="I59" i="3"/>
  <c r="I70" i="3"/>
  <c r="I74" i="3"/>
  <c r="I26" i="15"/>
  <c r="I29" i="15"/>
  <c r="I92" i="8"/>
  <c r="I99" i="8"/>
  <c r="I100" i="8"/>
  <c r="J96" i="8"/>
  <c r="J100" i="8"/>
  <c r="K96" i="8"/>
  <c r="K100" i="8"/>
  <c r="L96" i="8"/>
  <c r="L100" i="8"/>
  <c r="M96" i="8"/>
  <c r="M100" i="8"/>
  <c r="N96" i="8"/>
  <c r="N100" i="8"/>
  <c r="O96" i="8"/>
  <c r="O100" i="8"/>
  <c r="P96" i="8"/>
  <c r="P100" i="8"/>
  <c r="Q96" i="8"/>
  <c r="Q100" i="8"/>
  <c r="R96" i="8"/>
  <c r="R100" i="8"/>
  <c r="S96" i="8"/>
  <c r="S100" i="8"/>
  <c r="T96" i="8"/>
  <c r="T100" i="8"/>
  <c r="U96" i="8"/>
  <c r="U104" i="8"/>
  <c r="U105" i="8"/>
  <c r="U119" i="8"/>
  <c r="U31" i="15"/>
  <c r="U33" i="15"/>
  <c r="U44" i="13"/>
  <c r="U47" i="13"/>
  <c r="K5" i="5"/>
  <c r="K158" i="5"/>
  <c r="O133" i="22"/>
  <c r="O129" i="22"/>
  <c r="P129" i="22"/>
  <c r="Q129" i="22"/>
  <c r="R129" i="22"/>
  <c r="S129" i="22"/>
  <c r="T129" i="22"/>
  <c r="U129" i="22"/>
  <c r="V129" i="22"/>
  <c r="W129" i="22"/>
  <c r="X129" i="22"/>
  <c r="Y129" i="22"/>
  <c r="Y141" i="22"/>
  <c r="Y147" i="22"/>
  <c r="Y267" i="22"/>
  <c r="Y276" i="22"/>
  <c r="R5" i="5"/>
  <c r="R55" i="5"/>
  <c r="R24" i="11"/>
  <c r="R106" i="11"/>
  <c r="R170" i="11"/>
  <c r="M64" i="58"/>
  <c r="M73" i="5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F25" authorId="0" shapeId="0" xr:uid="{7DCDAC2E-759E-404B-A5A1-7E3AFE3E88CC}">
      <text>
        <r>
          <rPr>
            <b/>
            <sz val="9"/>
            <color indexed="81"/>
            <rFont val="Tahoma"/>
            <family val="2"/>
          </rPr>
          <t xml:space="preserve">Kassim: Ammonia plant , urea plant and all necessary on-site and offsite facilities including such for feedstock receiving , product shipment, power and energy plant ,water supply  and treatment as well as office building and stores </t>
        </r>
      </text>
    </comment>
    <comment ref="G25" authorId="0" shapeId="0" xr:uid="{C2EB09F0-B224-497F-B339-60E166AADD2B}">
      <text>
        <r>
          <rPr>
            <b/>
            <sz val="9"/>
            <color indexed="81"/>
            <rFont val="Tahoma"/>
            <family val="2"/>
          </rPr>
          <t>Hp:</t>
        </r>
        <r>
          <rPr>
            <sz val="9"/>
            <color indexed="81"/>
            <rFont val="Tahoma"/>
            <family val="2"/>
          </rPr>
          <t xml:space="preserve">
Including land preparation and other cost for pre-operating actions including lawyer fee, financial adviors fee and insureance premium</t>
        </r>
      </text>
    </comment>
  </commentList>
</comments>
</file>

<file path=xl/sharedStrings.xml><?xml version="1.0" encoding="utf-8"?>
<sst xmlns="http://schemas.openxmlformats.org/spreadsheetml/2006/main" count="7339" uniqueCount="2401">
  <si>
    <t>Period no</t>
  </si>
  <si>
    <t>Start date</t>
  </si>
  <si>
    <t>End date</t>
  </si>
  <si>
    <t>Days in Period</t>
  </si>
  <si>
    <t>25-Year Financial Model</t>
  </si>
  <si>
    <t>General Assumptions</t>
  </si>
  <si>
    <t>Reporting Currency</t>
  </si>
  <si>
    <t>Exchange Rate (NGN/US$)</t>
  </si>
  <si>
    <t>Tolerance</t>
  </si>
  <si>
    <t>Contingency</t>
  </si>
  <si>
    <t>Timing Conmstraints</t>
  </si>
  <si>
    <t>Days in the year</t>
  </si>
  <si>
    <t>Months in a year</t>
  </si>
  <si>
    <t>Hours in days</t>
  </si>
  <si>
    <t>Hours in year</t>
  </si>
  <si>
    <t>Hours in Month</t>
  </si>
  <si>
    <t>Naira</t>
  </si>
  <si>
    <t>=N=</t>
  </si>
  <si>
    <t>%</t>
  </si>
  <si>
    <t>days</t>
  </si>
  <si>
    <t>months</t>
  </si>
  <si>
    <t>hours</t>
  </si>
  <si>
    <t>Model Timeline</t>
  </si>
  <si>
    <t>Project commencement date</t>
  </si>
  <si>
    <t>Periodicity</t>
  </si>
  <si>
    <t>Number of years in the model</t>
  </si>
  <si>
    <t>Others</t>
  </si>
  <si>
    <t>Working Capital as a percentage of Year 1 - Opex</t>
  </si>
  <si>
    <t>Dividend Payout Rate</t>
  </si>
  <si>
    <t>Terminal Growth rate</t>
  </si>
  <si>
    <t>Project Dates</t>
  </si>
  <si>
    <t>Construction</t>
  </si>
  <si>
    <t>Construction start</t>
  </si>
  <si>
    <t>Duration</t>
  </si>
  <si>
    <t xml:space="preserve">Construction end </t>
  </si>
  <si>
    <t>Operations</t>
  </si>
  <si>
    <t>Operations end</t>
  </si>
  <si>
    <t>Indexation</t>
  </si>
  <si>
    <t>Salaries</t>
  </si>
  <si>
    <t>Maintenance</t>
  </si>
  <si>
    <t>Project Costs</t>
  </si>
  <si>
    <t>date</t>
  </si>
  <si>
    <t>month</t>
  </si>
  <si>
    <t>year</t>
  </si>
  <si>
    <t>US$</t>
  </si>
  <si>
    <t>years</t>
  </si>
  <si>
    <t>Key dates</t>
  </si>
  <si>
    <t>Project Commencement date</t>
  </si>
  <si>
    <t>#</t>
  </si>
  <si>
    <t>Annual timeline</t>
  </si>
  <si>
    <t>Days in period</t>
  </si>
  <si>
    <t>Monthly Timeline</t>
  </si>
  <si>
    <t>Year number</t>
  </si>
  <si>
    <t>Annual Flags</t>
  </si>
  <si>
    <t>From</t>
  </si>
  <si>
    <t>To</t>
  </si>
  <si>
    <t>Construction periods</t>
  </si>
  <si>
    <t>Operations periods</t>
  </si>
  <si>
    <t>Construction phase</t>
  </si>
  <si>
    <t>Construction start flag</t>
  </si>
  <si>
    <t>flag</t>
  </si>
  <si>
    <t>Construction active flag</t>
  </si>
  <si>
    <t>Construction end flag</t>
  </si>
  <si>
    <t>Construction counter</t>
  </si>
  <si>
    <t>Operations phase</t>
  </si>
  <si>
    <t>Operations start flag</t>
  </si>
  <si>
    <t>Operations active flag</t>
  </si>
  <si>
    <t>Operations end flag</t>
  </si>
  <si>
    <t>Operations counter</t>
  </si>
  <si>
    <t>% phase flags</t>
  </si>
  <si>
    <t>% flags</t>
  </si>
  <si>
    <t>Total</t>
  </si>
  <si>
    <t>% flag</t>
  </si>
  <si>
    <t>Opeartion start flag</t>
  </si>
  <si>
    <t>Operation active flag</t>
  </si>
  <si>
    <t>Operation end flag</t>
  </si>
  <si>
    <t>Operation counter</t>
  </si>
  <si>
    <t>Index Names</t>
  </si>
  <si>
    <t>Base Date</t>
  </si>
  <si>
    <t>Revenue &amp; OPEX</t>
  </si>
  <si>
    <t>Indexation factors</t>
  </si>
  <si>
    <t>Inflation rate</t>
  </si>
  <si>
    <t>Inflation factor</t>
  </si>
  <si>
    <t>Salaries index factor</t>
  </si>
  <si>
    <t>Maintenance index factor</t>
  </si>
  <si>
    <t>Index</t>
  </si>
  <si>
    <t>Operating &amp; Maintenance Costs</t>
  </si>
  <si>
    <t>Frequency</t>
  </si>
  <si>
    <t>Replacement of critical spare parts</t>
  </si>
  <si>
    <t>Replacement of operational spare parts</t>
  </si>
  <si>
    <t>Quarterly inspection</t>
  </si>
  <si>
    <t>Semiannual inspection</t>
  </si>
  <si>
    <t>Annual inspection</t>
  </si>
  <si>
    <t>Major maintenance/overhaul</t>
  </si>
  <si>
    <t>Debt financing flags</t>
  </si>
  <si>
    <t>Availability flags - monthly</t>
  </si>
  <si>
    <t>Facility</t>
  </si>
  <si>
    <t>Availability date</t>
  </si>
  <si>
    <t>Sub debt</t>
  </si>
  <si>
    <t>Senior debt</t>
  </si>
  <si>
    <t>Monthly timeline</t>
  </si>
  <si>
    <t>Availability start</t>
  </si>
  <si>
    <t>flags</t>
  </si>
  <si>
    <t>Availability period</t>
  </si>
  <si>
    <t>Repayment flags - annual</t>
  </si>
  <si>
    <t>Tenor (excluding moratorium)</t>
  </si>
  <si>
    <t>Repayment flag (excluding moratorium)</t>
  </si>
  <si>
    <t>Cummulative repayment flag</t>
  </si>
  <si>
    <t>Final repayment flag</t>
  </si>
  <si>
    <t>&gt;&gt;&gt;End of Worksheet</t>
  </si>
  <si>
    <t>Monthly flags</t>
  </si>
  <si>
    <t>Plant Availability</t>
  </si>
  <si>
    <t>Availability during Turn Around Maintenance (TAM) Year</t>
  </si>
  <si>
    <t>Availability during commissioning</t>
  </si>
  <si>
    <t>Total Capacity</t>
  </si>
  <si>
    <t xml:space="preserve">Feedstock / Products </t>
  </si>
  <si>
    <t>Plant</t>
  </si>
  <si>
    <t>Project Cost</t>
  </si>
  <si>
    <t>Land</t>
  </si>
  <si>
    <t>Pre-Operational Expenses</t>
  </si>
  <si>
    <t>Working Capital</t>
  </si>
  <si>
    <t>Sub-total</t>
  </si>
  <si>
    <t>Other development costs</t>
  </si>
  <si>
    <t>VAT</t>
  </si>
  <si>
    <t>Revenue</t>
  </si>
  <si>
    <t>Operations &amp; Maintenance Costs (O&amp;M)</t>
  </si>
  <si>
    <t>Roles</t>
  </si>
  <si>
    <r>
      <t>Annual salary     (</t>
    </r>
    <r>
      <rPr>
        <b/>
        <i/>
        <strike/>
        <sz val="8"/>
        <color theme="1"/>
        <rFont val="Arial"/>
        <family val="2"/>
      </rPr>
      <t>N</t>
    </r>
    <r>
      <rPr>
        <b/>
        <i/>
        <sz val="8"/>
        <color theme="1"/>
        <rFont val="Arial"/>
        <family val="2"/>
      </rPr>
      <t>'000)</t>
    </r>
  </si>
  <si>
    <r>
      <t>Total salary (</t>
    </r>
    <r>
      <rPr>
        <b/>
        <i/>
        <strike/>
        <sz val="8"/>
        <color theme="1"/>
        <rFont val="Arial"/>
        <family val="2"/>
      </rPr>
      <t>N</t>
    </r>
    <r>
      <rPr>
        <b/>
        <i/>
        <sz val="8"/>
        <color theme="1"/>
        <rFont val="Arial"/>
        <family val="2"/>
      </rPr>
      <t>'000)</t>
    </r>
  </si>
  <si>
    <t>Managing Director</t>
  </si>
  <si>
    <t>Plant Manager</t>
  </si>
  <si>
    <t>CFO</t>
  </si>
  <si>
    <t>Subsequent Annual Insurance</t>
  </si>
  <si>
    <t>% of NBV</t>
  </si>
  <si>
    <t>Phase I (US$)</t>
  </si>
  <si>
    <r>
      <t>Phase I (</t>
    </r>
    <r>
      <rPr>
        <b/>
        <strike/>
        <sz val="8"/>
        <color theme="1"/>
        <rFont val="Arial"/>
        <family val="2"/>
      </rPr>
      <t>N</t>
    </r>
    <r>
      <rPr>
        <b/>
        <sz val="8"/>
        <color theme="1"/>
        <rFont val="Arial"/>
        <family val="2"/>
      </rPr>
      <t>)</t>
    </r>
  </si>
  <si>
    <t>No. of Personnel</t>
  </si>
  <si>
    <t>Insurance Rate</t>
  </si>
  <si>
    <t xml:space="preserve">Initial Insurance Premium </t>
  </si>
  <si>
    <t>Debtors days outstanding</t>
  </si>
  <si>
    <t>Creditors days outstanding - operating costs</t>
  </si>
  <si>
    <t>Creditors days outstanding - maintenance costs</t>
  </si>
  <si>
    <t>Financing</t>
  </si>
  <si>
    <t>Target Capital Structure</t>
  </si>
  <si>
    <t>Debt</t>
  </si>
  <si>
    <t>Equity</t>
  </si>
  <si>
    <t>Equity Financing</t>
  </si>
  <si>
    <t>Target Equity IRR</t>
  </si>
  <si>
    <t>Actual Equity IRR</t>
  </si>
  <si>
    <t>sub debt</t>
  </si>
  <si>
    <t>senior debt</t>
  </si>
  <si>
    <t>Debt Financing</t>
  </si>
  <si>
    <t>Availability</t>
  </si>
  <si>
    <t>Split between tranches</t>
  </si>
  <si>
    <t>Available from (period starting)</t>
  </si>
  <si>
    <t>Moratorium on sub debt principal and interest payment</t>
  </si>
  <si>
    <t>Moratorium on senior debt principal and interest payment</t>
  </si>
  <si>
    <t>Repayment Methods</t>
  </si>
  <si>
    <t>Straight Line</t>
  </si>
  <si>
    <t>Annuity</t>
  </si>
  <si>
    <t>Sculpted</t>
  </si>
  <si>
    <t>Bullet</t>
  </si>
  <si>
    <t>Repayment</t>
  </si>
  <si>
    <t>Repayment Method</t>
  </si>
  <si>
    <t>Repayment from</t>
  </si>
  <si>
    <t>Tenor (years from start)</t>
  </si>
  <si>
    <t>Minimum DSCR for senior debt</t>
  </si>
  <si>
    <t>Dividend lock-up when minimum DSCR is breached</t>
  </si>
  <si>
    <t>Dividend Lock up</t>
  </si>
  <si>
    <t>Interest and financing fees</t>
  </si>
  <si>
    <t>Naira loan</t>
  </si>
  <si>
    <t>Rate</t>
  </si>
  <si>
    <t>USD facility</t>
  </si>
  <si>
    <t>Margin</t>
  </si>
  <si>
    <t>Financing fees</t>
  </si>
  <si>
    <t>Commitment</t>
  </si>
  <si>
    <t>Management</t>
  </si>
  <si>
    <t>Arrangement</t>
  </si>
  <si>
    <t>Debt Service Reserve Account</t>
  </si>
  <si>
    <t>Period to look forward</t>
  </si>
  <si>
    <t>period</t>
  </si>
  <si>
    <t>Prefunded debt service</t>
  </si>
  <si>
    <t>Prefund in last period of construction?</t>
  </si>
  <si>
    <t>switch</t>
  </si>
  <si>
    <t>Years prior</t>
  </si>
  <si>
    <t>Look forward amount</t>
  </si>
  <si>
    <t>Tax and Accounting</t>
  </si>
  <si>
    <t>Acconting depreciation rate - Straight line</t>
  </si>
  <si>
    <t>Fixed Assets</t>
  </si>
  <si>
    <t>Building</t>
  </si>
  <si>
    <t>Motor Vehicles &amp; office equipment</t>
  </si>
  <si>
    <t>Tax depreciation assumptions</t>
  </si>
  <si>
    <t>Initial allowance</t>
  </si>
  <si>
    <t>Federal Inland Revenue Service</t>
  </si>
  <si>
    <t>Annual allowance</t>
  </si>
  <si>
    <t>Investment allowance</t>
  </si>
  <si>
    <t>Tax holiday</t>
  </si>
  <si>
    <t>Tax Holiday</t>
  </si>
  <si>
    <t>Tax holiday starts</t>
  </si>
  <si>
    <t>Tax holiday ends</t>
  </si>
  <si>
    <t>Tax rates</t>
  </si>
  <si>
    <t>Corporate Tax</t>
  </si>
  <si>
    <t>Education Tax</t>
  </si>
  <si>
    <t>Value Added Tax (VAT)</t>
  </si>
  <si>
    <t>Loss carry forward limit</t>
  </si>
  <si>
    <t>Capital allowance limit</t>
  </si>
  <si>
    <t>Interest on Cash Deposits and Overdrafts</t>
  </si>
  <si>
    <t>USD</t>
  </si>
  <si>
    <t xml:space="preserve">Interest on cash deposits </t>
  </si>
  <si>
    <t>Interest on overdrafts</t>
  </si>
  <si>
    <t>Flags</t>
  </si>
  <si>
    <t>Construction flags</t>
  </si>
  <si>
    <t>Base date for NPV</t>
  </si>
  <si>
    <t>Assumed capital structure</t>
  </si>
  <si>
    <t>Weighted Average Cost of Capital - WACC</t>
  </si>
  <si>
    <t>Cost of equity</t>
  </si>
  <si>
    <t>Sensitivities</t>
  </si>
  <si>
    <t>Total cost</t>
  </si>
  <si>
    <t>Calculated Cost</t>
  </si>
  <si>
    <t>Project cost including IDC and fees</t>
  </si>
  <si>
    <t>Project costs</t>
  </si>
  <si>
    <t>Interest during construction</t>
  </si>
  <si>
    <t>Financing fees during construction</t>
  </si>
  <si>
    <t>Funding Requirements &amp; Drawdowns</t>
  </si>
  <si>
    <t>Funding Requirements</t>
  </si>
  <si>
    <t>DSRA prefunded amount</t>
  </si>
  <si>
    <t>MRA prefunded amount</t>
  </si>
  <si>
    <t xml:space="preserve">Prefunded reserve accounts </t>
  </si>
  <si>
    <t>Total funding requirement - calculated</t>
  </si>
  <si>
    <t>Total funding requirement - pasted</t>
  </si>
  <si>
    <t>Difference</t>
  </si>
  <si>
    <t>Available sources of funding</t>
  </si>
  <si>
    <t>Traget capital structure</t>
  </si>
  <si>
    <t>Split between debt tranches</t>
  </si>
  <si>
    <t>Sources of Funds</t>
  </si>
  <si>
    <t>Availability flags</t>
  </si>
  <si>
    <t>Start Date</t>
  </si>
  <si>
    <t>Sum</t>
  </si>
  <si>
    <t>Drawdowns</t>
  </si>
  <si>
    <t>Funding requirement before</t>
  </si>
  <si>
    <t>Available amount at period start</t>
  </si>
  <si>
    <t>Cumulative drawdowns</t>
  </si>
  <si>
    <t>Available amounts at period end</t>
  </si>
  <si>
    <t>Interest &amp; Financing Fees</t>
  </si>
  <si>
    <t>Interest rates</t>
  </si>
  <si>
    <t>Assumptions</t>
  </si>
  <si>
    <t>Availability start flags</t>
  </si>
  <si>
    <t>Commitment fees</t>
  </si>
  <si>
    <t>Arrangement fees</t>
  </si>
  <si>
    <t>Management fees</t>
  </si>
  <si>
    <t>Total fees</t>
  </si>
  <si>
    <t>Annual</t>
  </si>
  <si>
    <t>Monthly</t>
  </si>
  <si>
    <t>Debt - local_foreign</t>
  </si>
  <si>
    <t>Commitment fee
(%)</t>
  </si>
  <si>
    <t>Management fees (%)</t>
  </si>
  <si>
    <t>Arrangement fee (%)</t>
  </si>
  <si>
    <t>Flag</t>
  </si>
  <si>
    <t>Timing Flags</t>
  </si>
  <si>
    <t>Fixed assets</t>
  </si>
  <si>
    <t>Inflation Rate (Nigeria)</t>
  </si>
  <si>
    <t>Inflation Rate (US)</t>
  </si>
  <si>
    <t>Construction in progress</t>
  </si>
  <si>
    <t>Opening balance</t>
  </si>
  <si>
    <t>Additions</t>
  </si>
  <si>
    <t>Transfer to fixed assets</t>
  </si>
  <si>
    <t>Closing balance</t>
  </si>
  <si>
    <t>Depreciation rate</t>
  </si>
  <si>
    <t>Depreciation computation</t>
  </si>
  <si>
    <t>Depreciation</t>
  </si>
  <si>
    <t>Depreciation as % of partial year</t>
  </si>
  <si>
    <t>Adjusted depreciation</t>
  </si>
  <si>
    <t>Movement schedule</t>
  </si>
  <si>
    <t>Debt Service Reserve Account (DSRA)</t>
  </si>
  <si>
    <t>Debt repayment flag</t>
  </si>
  <si>
    <t>DSRA active flag</t>
  </si>
  <si>
    <t>Senior debt service</t>
  </si>
  <si>
    <t>Periods to look forward</t>
  </si>
  <si>
    <t>Cash available for DSRA</t>
  </si>
  <si>
    <t>Target balance</t>
  </si>
  <si>
    <t>Actual balance - calculated</t>
  </si>
  <si>
    <t>Actual balance - pasted</t>
  </si>
  <si>
    <t>Control account</t>
  </si>
  <si>
    <t>Initial funding</t>
  </si>
  <si>
    <t>Topup / (release)</t>
  </si>
  <si>
    <t>Senior Debt Payment</t>
  </si>
  <si>
    <t>Principal</t>
  </si>
  <si>
    <t>Repayment method</t>
  </si>
  <si>
    <t>Min DSCR for senior debt</t>
  </si>
  <si>
    <t>Cumulative repayment period</t>
  </si>
  <si>
    <t>Reverse cumulative flags</t>
  </si>
  <si>
    <t>Interest rate</t>
  </si>
  <si>
    <t>Repayments</t>
  </si>
  <si>
    <t>Cash flow available for debt service</t>
  </si>
  <si>
    <t>Chosen repayment method</t>
  </si>
  <si>
    <t>Control Account</t>
  </si>
  <si>
    <t>Capitalised interest</t>
  </si>
  <si>
    <t>Interest</t>
  </si>
  <si>
    <t>Interest payable</t>
  </si>
  <si>
    <t>Interest paid</t>
  </si>
  <si>
    <t>Financing Fees</t>
  </si>
  <si>
    <t>Annual management fees</t>
  </si>
  <si>
    <t>Financing fees payable</t>
  </si>
  <si>
    <t>Financing fees paid</t>
  </si>
  <si>
    <t>Total debt service</t>
  </si>
  <si>
    <t>method</t>
  </si>
  <si>
    <t>x</t>
  </si>
  <si>
    <t>Indexation for salaries</t>
  </si>
  <si>
    <t>Sub debt Repayment</t>
  </si>
  <si>
    <t>Straight line</t>
  </si>
  <si>
    <t>Maintenance Reserve Account (MRA)</t>
  </si>
  <si>
    <t>Debt repayment flag (principal)</t>
  </si>
  <si>
    <t>MRA active flag</t>
  </si>
  <si>
    <t>Prefunded maintenance costs</t>
  </si>
  <si>
    <t>Major maintenance costs</t>
  </si>
  <si>
    <t>Cash available for maintenance reserve</t>
  </si>
  <si>
    <t>Target MRA account balance</t>
  </si>
  <si>
    <t>Target MRA balance</t>
  </si>
  <si>
    <t>Actual MRA balance</t>
  </si>
  <si>
    <t>Weighting of look forward amount</t>
  </si>
  <si>
    <t>Operating Costs</t>
  </si>
  <si>
    <t>Operational spare parts</t>
  </si>
  <si>
    <t>Fixed O&amp;M costs</t>
  </si>
  <si>
    <t>Real operating costs</t>
  </si>
  <si>
    <t>Indexation assumptions</t>
  </si>
  <si>
    <t>Nominal operating costs</t>
  </si>
  <si>
    <t>Creditors control account</t>
  </si>
  <si>
    <t>Creditors days</t>
  </si>
  <si>
    <t>Operating costs payable</t>
  </si>
  <si>
    <t>Operating costs paid</t>
  </si>
  <si>
    <t>Frequency of replacing operational spare parts</t>
  </si>
  <si>
    <t>Indexation for operational spare parts</t>
  </si>
  <si>
    <t>Fixed O&amp;M Costs ($/bbl)</t>
  </si>
  <si>
    <t>Indexation for fixed O&amp;M costs</t>
  </si>
  <si>
    <t>Critical spare parts, tools and kits</t>
  </si>
  <si>
    <t>Frequency of replacing critical spare parts, tools and kits</t>
  </si>
  <si>
    <t>Indexation for critical spare parts, tools and kits</t>
  </si>
  <si>
    <t>Balance of plant maintenance</t>
  </si>
  <si>
    <t>Maintenance costs</t>
  </si>
  <si>
    <t>Cost items</t>
  </si>
  <si>
    <t>Number of eligible modules in year of occurrence</t>
  </si>
  <si>
    <t>Cost per module (US$)</t>
  </si>
  <si>
    <t>Total Cost         (US$)</t>
  </si>
  <si>
    <t>Frequency of maintenance costs</t>
  </si>
  <si>
    <t xml:space="preserve">Major maintenance/overhaul </t>
  </si>
  <si>
    <t>Indexation for maintenance costs</t>
  </si>
  <si>
    <t>Major maintenance/overhaul - (TAM)</t>
  </si>
  <si>
    <t>Operating Cost</t>
  </si>
  <si>
    <t>Maintenance Cost</t>
  </si>
  <si>
    <t>Interest Rate</t>
  </si>
  <si>
    <t>swich</t>
  </si>
  <si>
    <t>Indexation for Operational Costs</t>
  </si>
  <si>
    <t>Maintenance Costs</t>
  </si>
  <si>
    <t>Real Maintenance cost</t>
  </si>
  <si>
    <t>Nominal costs</t>
  </si>
  <si>
    <t>Creditors on maintenance costs control account</t>
  </si>
  <si>
    <t>Creditors days on maintenance costs</t>
  </si>
  <si>
    <t>Maintenance costs payable</t>
  </si>
  <si>
    <t>Maintenance costs paid</t>
  </si>
  <si>
    <t>Major maintenance/overhaul sinking fund</t>
  </si>
  <si>
    <t>Real cost</t>
  </si>
  <si>
    <t>Nominal cost</t>
  </si>
  <si>
    <t>Frequency of maintenance</t>
  </si>
  <si>
    <t>Real cost sinking fund</t>
  </si>
  <si>
    <t>Nominal Cost Sinking Fund</t>
  </si>
  <si>
    <t>Major Maintenance Control Account</t>
  </si>
  <si>
    <t>Opening Balance</t>
  </si>
  <si>
    <t>Charge for the year</t>
  </si>
  <si>
    <t>Transfer</t>
  </si>
  <si>
    <t>Interest on Overdrafts</t>
  </si>
  <si>
    <t>Closing cash</t>
  </si>
  <si>
    <t>Bank overdraft</t>
  </si>
  <si>
    <t>Interest paid on bank overdraft</t>
  </si>
  <si>
    <t>&lt;&lt;&lt;End of Worksheet</t>
  </si>
  <si>
    <t>Corporate tax rate</t>
  </si>
  <si>
    <t>Education tax</t>
  </si>
  <si>
    <t>Capital Allowance</t>
  </si>
  <si>
    <t>Tax holiday period</t>
  </si>
  <si>
    <t>Fixed assets additions for tax purposes</t>
  </si>
  <si>
    <t>Additions to fixed assets</t>
  </si>
  <si>
    <t>Total capital allowance</t>
  </si>
  <si>
    <t>Unutilised b/f</t>
  </si>
  <si>
    <t>Arising in current period</t>
  </si>
  <si>
    <t>Utilised during the period</t>
  </si>
  <si>
    <t>Unutilised c/f</t>
  </si>
  <si>
    <t>Tax Computation</t>
  </si>
  <si>
    <t xml:space="preserve">Tax loss </t>
  </si>
  <si>
    <t>Current year loss</t>
  </si>
  <si>
    <t>Losses utilised</t>
  </si>
  <si>
    <t>Losses expired</t>
  </si>
  <si>
    <t>Expriring losses</t>
  </si>
  <si>
    <t>Taxable Profit</t>
  </si>
  <si>
    <t>Profit before tax</t>
  </si>
  <si>
    <t>Assessable profit before b/f losses</t>
  </si>
  <si>
    <t>Brought forward losses utilised</t>
  </si>
  <si>
    <t>Assessble profit</t>
  </si>
  <si>
    <t>Capital allowance</t>
  </si>
  <si>
    <t>Taxable profit</t>
  </si>
  <si>
    <t>Corporate tax</t>
  </si>
  <si>
    <t>Company income tax</t>
  </si>
  <si>
    <t>Corporate tax control account</t>
  </si>
  <si>
    <t>Corporate tax payable</t>
  </si>
  <si>
    <t>Corporate tax paid</t>
  </si>
  <si>
    <t>Deferred Tax</t>
  </si>
  <si>
    <t>Temporary and permanent differences</t>
  </si>
  <si>
    <t>Capital allowances</t>
  </si>
  <si>
    <t>Tax losses</t>
  </si>
  <si>
    <t>Total differences</t>
  </si>
  <si>
    <t>Deferred tax control account</t>
  </si>
  <si>
    <t>Deferred tax charge</t>
  </si>
  <si>
    <t>Deferred tax asset</t>
  </si>
  <si>
    <t>Deferred tax liability</t>
  </si>
  <si>
    <t>Equity and Dividends</t>
  </si>
  <si>
    <t>Equity injection</t>
  </si>
  <si>
    <t>Equity redemption</t>
  </si>
  <si>
    <t>Cash and profit available for dividend</t>
  </si>
  <si>
    <t>Profit available</t>
  </si>
  <si>
    <t>Current period profit</t>
  </si>
  <si>
    <t>Major maintenance reserve accumulated balance</t>
  </si>
  <si>
    <t>Opening profit</t>
  </si>
  <si>
    <t>Profit available for dividends</t>
  </si>
  <si>
    <t>Cash flow available</t>
  </si>
  <si>
    <t>Current period cash</t>
  </si>
  <si>
    <t>Opening cash</t>
  </si>
  <si>
    <t>Cash available for dividends</t>
  </si>
  <si>
    <t>Dividend Payable</t>
  </si>
  <si>
    <t>Dividend lock up if minimum DSCR is breached?</t>
  </si>
  <si>
    <t>Actual DSCR (post tax)</t>
  </si>
  <si>
    <t>Lockup flag (1=no lockup)</t>
  </si>
  <si>
    <t>Dividend repayment flag</t>
  </si>
  <si>
    <t>Dividends payable</t>
  </si>
  <si>
    <t>Dividends paid</t>
  </si>
  <si>
    <t>Revenue &amp; Receivables</t>
  </si>
  <si>
    <t>Plant availability</t>
  </si>
  <si>
    <t>Plant availability during TAM</t>
  </si>
  <si>
    <t>Price switch</t>
  </si>
  <si>
    <t>Nominal Revenue</t>
  </si>
  <si>
    <t>Indexation for product prices</t>
  </si>
  <si>
    <t>Debtors Control Account</t>
  </si>
  <si>
    <t>Debtors days</t>
  </si>
  <si>
    <t>Revenue receivable</t>
  </si>
  <si>
    <t>Revenue received</t>
  </si>
  <si>
    <t>Interest on Cash Deposits</t>
  </si>
  <si>
    <t>Interest on Cash Deposit</t>
  </si>
  <si>
    <t>Cash deposit</t>
  </si>
  <si>
    <t>Cash on deposit interest received</t>
  </si>
  <si>
    <t>Operating costs</t>
  </si>
  <si>
    <t>Gross income</t>
  </si>
  <si>
    <t>Operating profit</t>
  </si>
  <si>
    <t>Interest receivable on cash deposits</t>
  </si>
  <si>
    <t>Interest payable on overdraft</t>
  </si>
  <si>
    <t>Senior debt interest &amp; fees</t>
  </si>
  <si>
    <t>Sub debt interest &amp; fees</t>
  </si>
  <si>
    <t>Corporation tax charge</t>
  </si>
  <si>
    <t>Profit after tax</t>
  </si>
  <si>
    <t>Dividend payable</t>
  </si>
  <si>
    <t>Net profit</t>
  </si>
  <si>
    <t>Retained profit b/f</t>
  </si>
  <si>
    <t>Net profit in period</t>
  </si>
  <si>
    <t>Retained profit c/f</t>
  </si>
  <si>
    <t>CIP account</t>
  </si>
  <si>
    <t>Total fixed assets</t>
  </si>
  <si>
    <t>Current Assets</t>
  </si>
  <si>
    <t>Trade debtors</t>
  </si>
  <si>
    <t>Cash</t>
  </si>
  <si>
    <t>DSRA</t>
  </si>
  <si>
    <t>MRA</t>
  </si>
  <si>
    <t>Total current assets</t>
  </si>
  <si>
    <t>Total assets</t>
  </si>
  <si>
    <t>Current Liabilities</t>
  </si>
  <si>
    <t xml:space="preserve">Trade creditors </t>
  </si>
  <si>
    <t>Deferred tax provision</t>
  </si>
  <si>
    <t>Corporation tax payable</t>
  </si>
  <si>
    <t>Total current liabilities</t>
  </si>
  <si>
    <t>Long Term Liabilities</t>
  </si>
  <si>
    <t>Major maintenance reserve account</t>
  </si>
  <si>
    <t xml:space="preserve">Senior debt </t>
  </si>
  <si>
    <t>Total long-term liabilities</t>
  </si>
  <si>
    <t>Total Liabilities</t>
  </si>
  <si>
    <t>Net Assets</t>
  </si>
  <si>
    <t>Shareholders' Fund</t>
  </si>
  <si>
    <t>Retained profit</t>
  </si>
  <si>
    <t xml:space="preserve">Corporation tax </t>
  </si>
  <si>
    <t>Cash flow from operations</t>
  </si>
  <si>
    <t>Interest received on cash deposits</t>
  </si>
  <si>
    <t>Interest paid on overdrafts</t>
  </si>
  <si>
    <t>Capital expenditure</t>
  </si>
  <si>
    <t>Senior debt drawdown</t>
  </si>
  <si>
    <t>Sub debt drawdown</t>
  </si>
  <si>
    <t>Cash flow available for senior debt</t>
  </si>
  <si>
    <t>Senior debt interest and fees</t>
  </si>
  <si>
    <t>Senior debt principal repayment</t>
  </si>
  <si>
    <t>Cash flows before transfer (to)/from reserves</t>
  </si>
  <si>
    <t>Transfers (to)/from MRA</t>
  </si>
  <si>
    <t>Transfers (to)/from Major maintanace Reserve Acct.</t>
  </si>
  <si>
    <t>Transfers (to)/from DSRA</t>
  </si>
  <si>
    <t>Cash flow available for sub debt</t>
  </si>
  <si>
    <t>Sub debt interest and fees</t>
  </si>
  <si>
    <t>Sub debt principal repayment</t>
  </si>
  <si>
    <t>Cash flow available for equity distributions</t>
  </si>
  <si>
    <t>Dividends</t>
  </si>
  <si>
    <t>Cash flow available after dividends</t>
  </si>
  <si>
    <t>Cash flow in period</t>
  </si>
  <si>
    <t>Cash balalance b/f</t>
  </si>
  <si>
    <t>cash in period</t>
  </si>
  <si>
    <t>Cash bal c/f</t>
  </si>
  <si>
    <t>Debt Service Coverage Ratio (DSCR)</t>
  </si>
  <si>
    <t>Debt repayment period</t>
  </si>
  <si>
    <t>CFADS - pre tax</t>
  </si>
  <si>
    <t>CFADS - post tax</t>
  </si>
  <si>
    <t>Total senior debt service</t>
  </si>
  <si>
    <t>DSCR - pre tax</t>
  </si>
  <si>
    <t>DSCR - post tax</t>
  </si>
  <si>
    <t>Average</t>
  </si>
  <si>
    <t>Minimum</t>
  </si>
  <si>
    <t>Period minimum occurs</t>
  </si>
  <si>
    <t>Year minimum occurs</t>
  </si>
  <si>
    <t>ratio</t>
  </si>
  <si>
    <t>Pre-tax</t>
  </si>
  <si>
    <t>Post-tax</t>
  </si>
  <si>
    <t>Loan Life Coverage Ratio (LLCR)</t>
  </si>
  <si>
    <t>Pre tax</t>
  </si>
  <si>
    <t>CFADS during repayment period</t>
  </si>
  <si>
    <t>Discounted CFADS</t>
  </si>
  <si>
    <t>Cash balances during repayment period</t>
  </si>
  <si>
    <t>Total NPV of cash flows</t>
  </si>
  <si>
    <t>Post tax</t>
  </si>
  <si>
    <t>Outstanding debt balance</t>
  </si>
  <si>
    <t>LLCR - Pre tax</t>
  </si>
  <si>
    <t>LLCR - Post tax</t>
  </si>
  <si>
    <t>Project Life Coverage Ratio (LLCR)</t>
  </si>
  <si>
    <t>PLCR - Pre tax</t>
  </si>
  <si>
    <t>PLCR - Post tax</t>
  </si>
  <si>
    <t>Project term</t>
  </si>
  <si>
    <t>Project start flag</t>
  </si>
  <si>
    <t>Project active flag</t>
  </si>
  <si>
    <t>Project end flag</t>
  </si>
  <si>
    <t>Project life counter</t>
  </si>
  <si>
    <t>Project term flag</t>
  </si>
  <si>
    <t>Project and Equity Cashflows</t>
  </si>
  <si>
    <t>Project cashflows</t>
  </si>
  <si>
    <t>Corporation tax paid</t>
  </si>
  <si>
    <t>Cashflows for project</t>
  </si>
  <si>
    <t>Shareholder cashflows (dividends)</t>
  </si>
  <si>
    <t>Equity injections</t>
  </si>
  <si>
    <t>Equity redemptions</t>
  </si>
  <si>
    <t>Shareholder cashflows</t>
  </si>
  <si>
    <t>Shareholder cashflows (FCFE)</t>
  </si>
  <si>
    <t>FCFE</t>
  </si>
  <si>
    <t>Returns</t>
  </si>
  <si>
    <t>On project cashflows</t>
  </si>
  <si>
    <t>NPV date</t>
  </si>
  <si>
    <t>Days from NPV date to period end</t>
  </si>
  <si>
    <t>Discount factors</t>
  </si>
  <si>
    <t>On shareholder cashflows</t>
  </si>
  <si>
    <t>Equity cashflows (dividends)</t>
  </si>
  <si>
    <t>Equity cashflows (FCFE)</t>
  </si>
  <si>
    <t>factor</t>
  </si>
  <si>
    <t>NPV</t>
  </si>
  <si>
    <t>IRR</t>
  </si>
  <si>
    <t>Cumulative==&gt;</t>
  </si>
  <si>
    <t>Project Milestone</t>
  </si>
  <si>
    <t>Milestones</t>
  </si>
  <si>
    <t>Operation</t>
  </si>
  <si>
    <t>Project cash flows</t>
  </si>
  <si>
    <t>Equity cashflows</t>
  </si>
  <si>
    <t>Key Assumptions</t>
  </si>
  <si>
    <t>Opex</t>
  </si>
  <si>
    <t>inflation</t>
  </si>
  <si>
    <t>Base date</t>
  </si>
  <si>
    <t>Excluding interest and fees</t>
  </si>
  <si>
    <t>Including interest and fees</t>
  </si>
  <si>
    <t>Valuation</t>
  </si>
  <si>
    <t>Valuation date</t>
  </si>
  <si>
    <t>WACC</t>
  </si>
  <si>
    <t>Tax and accounting</t>
  </si>
  <si>
    <t>Depreciation rates</t>
  </si>
  <si>
    <t>Project cost</t>
  </si>
  <si>
    <t>Accounting</t>
  </si>
  <si>
    <t>Gearing</t>
  </si>
  <si>
    <t>Total debt</t>
  </si>
  <si>
    <t>Total equity</t>
  </si>
  <si>
    <t>Debt financing</t>
  </si>
  <si>
    <t>Debt split</t>
  </si>
  <si>
    <t>Tenure (yrs)</t>
  </si>
  <si>
    <t>Establishment fees</t>
  </si>
  <si>
    <t>Annual fees</t>
  </si>
  <si>
    <t>Ratios</t>
  </si>
  <si>
    <t>Date of minimum</t>
  </si>
  <si>
    <t>Min DSCR for Senior debt</t>
  </si>
  <si>
    <t>Dividend lock up if dividend is breached</t>
  </si>
  <si>
    <t>DSCR</t>
  </si>
  <si>
    <t>LLCR</t>
  </si>
  <si>
    <t>PLCR</t>
  </si>
  <si>
    <t>Checks</t>
  </si>
  <si>
    <t>Sources and Uses</t>
  </si>
  <si>
    <t>Balance sheet balances?</t>
  </si>
  <si>
    <t>Sources and uses match?</t>
  </si>
  <si>
    <t>Senior debt repaid?</t>
  </si>
  <si>
    <t>Sub debt repaid?</t>
  </si>
  <si>
    <t>DSRA fully funded?</t>
  </si>
  <si>
    <t>MRA fully funded?</t>
  </si>
  <si>
    <t>Funding macro ok?</t>
  </si>
  <si>
    <t>Sources of funds</t>
  </si>
  <si>
    <t>Subordinated debt drawdown</t>
  </si>
  <si>
    <t>Uses of funds</t>
  </si>
  <si>
    <t>Major maintenance cost paid</t>
  </si>
  <si>
    <t>Overdraft interest paid</t>
  </si>
  <si>
    <t>Transfers to/from MRA</t>
  </si>
  <si>
    <t>Transfers to/from DSRA</t>
  </si>
  <si>
    <t>Full project phase</t>
  </si>
  <si>
    <t>n/a</t>
  </si>
  <si>
    <t>Check</t>
  </si>
  <si>
    <t>Master Check</t>
  </si>
  <si>
    <t>Error Checks</t>
  </si>
  <si>
    <t>Balance Sheet</t>
  </si>
  <si>
    <t>Net assets</t>
  </si>
  <si>
    <t>Shareholders' funds</t>
  </si>
  <si>
    <t>Sources and Uses of Funds</t>
  </si>
  <si>
    <t>Sources</t>
  </si>
  <si>
    <t>Uses</t>
  </si>
  <si>
    <t>Project dates</t>
  </si>
  <si>
    <t>Construction end date</t>
  </si>
  <si>
    <t>Operations start date</t>
  </si>
  <si>
    <t>Deferred tax</t>
  </si>
  <si>
    <t>Accounting profit * CIT tax rate</t>
  </si>
  <si>
    <t>Total tax (CIT + Deferred tax)</t>
  </si>
  <si>
    <t>Expired tax losses * tax rate</t>
  </si>
  <si>
    <t>Funding requirements</t>
  </si>
  <si>
    <t>Monthly start dates</t>
  </si>
  <si>
    <t>Monthly end dates</t>
  </si>
  <si>
    <t>Drawdowns (all sources)</t>
  </si>
  <si>
    <t>Repayment of loan facilities</t>
  </si>
  <si>
    <t>Closing balances</t>
  </si>
  <si>
    <t>Actual balance</t>
  </si>
  <si>
    <t>Maintenance reserve account (during debt repayment period)</t>
  </si>
  <si>
    <t>Macros</t>
  </si>
  <si>
    <t>Project</t>
  </si>
  <si>
    <t>Dates</t>
  </si>
  <si>
    <t>Final Balances</t>
  </si>
  <si>
    <t>Funding Macro ok</t>
  </si>
  <si>
    <t>Heading</t>
  </si>
  <si>
    <t>Sensitivity to Project Cost</t>
  </si>
  <si>
    <t>Post tax project IRR</t>
  </si>
  <si>
    <t>Post tax project NPV</t>
  </si>
  <si>
    <t>Post tax equity IRR</t>
  </si>
  <si>
    <t>Post tax equity NPV</t>
  </si>
  <si>
    <t>Minimum DSCR</t>
  </si>
  <si>
    <t>Capex and Drawdown Schedule</t>
  </si>
  <si>
    <t>CAPEX</t>
  </si>
  <si>
    <t>Fees during construction</t>
  </si>
  <si>
    <t>Year 1</t>
  </si>
  <si>
    <t>Year2</t>
  </si>
  <si>
    <t xml:space="preserve">Description </t>
  </si>
  <si>
    <t xml:space="preserve">Land </t>
  </si>
  <si>
    <t xml:space="preserve">Total </t>
  </si>
  <si>
    <t>Amount ($)</t>
  </si>
  <si>
    <t xml:space="preserve">Total Boundaries </t>
  </si>
  <si>
    <t>Grand Total - (US$)</t>
  </si>
  <si>
    <r>
      <t>Grand Total - (</t>
    </r>
    <r>
      <rPr>
        <b/>
        <i/>
        <strike/>
        <sz val="8"/>
        <rFont val="Arial"/>
        <family val="2"/>
      </rPr>
      <t>N</t>
    </r>
    <r>
      <rPr>
        <b/>
        <i/>
        <sz val="8"/>
        <rFont val="Arial"/>
        <family val="2"/>
      </rPr>
      <t>)</t>
    </r>
  </si>
  <si>
    <t>Return on Investment (ROI)</t>
  </si>
  <si>
    <t xml:space="preserve">Parameter </t>
  </si>
  <si>
    <t xml:space="preserve">Discount Factor </t>
  </si>
  <si>
    <t>Present Value of Equity</t>
  </si>
  <si>
    <t xml:space="preserve">Equity Net Present Value </t>
  </si>
  <si>
    <t>-</t>
  </si>
  <si>
    <t>Top Level Mangement</t>
  </si>
  <si>
    <t>Mid Level Mangement</t>
  </si>
  <si>
    <t>Lower Level Management</t>
  </si>
  <si>
    <t>Individual Contributor</t>
  </si>
  <si>
    <t>Do work Staff</t>
  </si>
  <si>
    <t>Contract Staff</t>
  </si>
  <si>
    <t>Feasibility Study for Fertilizer and Methanol Plant</t>
  </si>
  <si>
    <t>Client :NNPC Gas and Power Investment Services (NGPIS)</t>
  </si>
  <si>
    <t>&gt;&gt;&gt;TOC</t>
  </si>
  <si>
    <t>Period Start</t>
  </si>
  <si>
    <t>Period End</t>
  </si>
  <si>
    <t>Model Period</t>
  </si>
  <si>
    <t>Number of Days in Period</t>
  </si>
  <si>
    <t>Calender Year</t>
  </si>
  <si>
    <t>Source</t>
  </si>
  <si>
    <t>Units</t>
  </si>
  <si>
    <t xml:space="preserve">Model timeline </t>
  </si>
  <si>
    <t>Model Start Date</t>
  </si>
  <si>
    <t>Model Period Convention</t>
  </si>
  <si>
    <t>Quarterly</t>
  </si>
  <si>
    <t>Days in a Month</t>
  </si>
  <si>
    <t>Months/Period</t>
  </si>
  <si>
    <t>Days in a year</t>
  </si>
  <si>
    <t>Quarters in a year</t>
  </si>
  <si>
    <t>quarters</t>
  </si>
  <si>
    <t>Weeks in a year</t>
  </si>
  <si>
    <t>weeks</t>
  </si>
  <si>
    <t>No. of years modelled</t>
  </si>
  <si>
    <t>Years</t>
  </si>
  <si>
    <t>Model End Date</t>
  </si>
  <si>
    <t>Total no. of periods modelled</t>
  </si>
  <si>
    <t>Model Start Year</t>
  </si>
  <si>
    <t>Year</t>
  </si>
  <si>
    <t>Year End for Reporting (Year 1)</t>
  </si>
  <si>
    <t>Base Level/One</t>
  </si>
  <si>
    <t>Model Tolerance</t>
  </si>
  <si>
    <t>Macro Economic Assumptions</t>
  </si>
  <si>
    <t>Long-term Target Inflation Rate</t>
  </si>
  <si>
    <t>Long Term US Inflation Rate</t>
  </si>
  <si>
    <t>TradingEconomics</t>
  </si>
  <si>
    <t>Naira to USD Exchange Rate</t>
  </si>
  <si>
    <t>₦/USD</t>
  </si>
  <si>
    <t>MTPA</t>
  </si>
  <si>
    <t xml:space="preserve">Maxmim Operating Capacity </t>
  </si>
  <si>
    <t xml:space="preserve">Capex </t>
  </si>
  <si>
    <t xml:space="preserve">Contigency Fee </t>
  </si>
  <si>
    <t>VAT (7.5%)</t>
  </si>
  <si>
    <t>IDC</t>
  </si>
  <si>
    <t xml:space="preserve">Total Cost </t>
  </si>
  <si>
    <t>Financing Assumptions</t>
  </si>
  <si>
    <t>Initial Equity Capital Raise</t>
  </si>
  <si>
    <t>Initial Equity Injection Date</t>
  </si>
  <si>
    <t>Initial Equity Capital Injection</t>
  </si>
  <si>
    <t xml:space="preserve">Round 2 Equity Capital Raise </t>
  </si>
  <si>
    <t>Round 2 Equity Capital Raise Date</t>
  </si>
  <si>
    <t>Round 2 Equity Injection</t>
  </si>
  <si>
    <t>Total Equity Injection</t>
  </si>
  <si>
    <t>Transaction related expenses</t>
  </si>
  <si>
    <t>Cash received from Equity Capital raise (less transaction cost)</t>
  </si>
  <si>
    <t>Leverage Ratio</t>
  </si>
  <si>
    <t xml:space="preserve">Period between equity raise and debt raise </t>
  </si>
  <si>
    <t>Tranches required to raise total debt amount</t>
  </si>
  <si>
    <t>Loan Facility-</t>
  </si>
  <si>
    <t xml:space="preserve">Working Capital Facility </t>
  </si>
  <si>
    <t>Landing Cost and Transport</t>
  </si>
  <si>
    <t xml:space="preserve">Total Funds Required </t>
  </si>
  <si>
    <t>Local Currency Borrowings:</t>
  </si>
  <si>
    <t>Percentage Allocation - Naira Loans</t>
  </si>
  <si>
    <t>Naira denominated borrowings</t>
  </si>
  <si>
    <t>Transaction related cost (processing fee, arranger fee, etc.)</t>
  </si>
  <si>
    <t>Cash received from Local currency debt</t>
  </si>
  <si>
    <t>Average Cost of Funds</t>
  </si>
  <si>
    <t xml:space="preserve">Risk free Rate </t>
  </si>
  <si>
    <t>Spread on MPR for Inter-bank borrowing</t>
  </si>
  <si>
    <t>Tenure</t>
  </si>
  <si>
    <t>Moratorium</t>
  </si>
  <si>
    <t>Regulatory Assumptions</t>
  </si>
  <si>
    <t>Company Income Tax</t>
  </si>
  <si>
    <t>FIRS</t>
  </si>
  <si>
    <t>Effective Tax Rate</t>
  </si>
  <si>
    <t>Minimum Tax computation</t>
  </si>
  <si>
    <t xml:space="preserve">  </t>
  </si>
  <si>
    <t>For Gross Earnings Below:</t>
  </si>
  <si>
    <t>₦'000</t>
  </si>
  <si>
    <t>Higher of:</t>
  </si>
  <si>
    <t>Percentage of Gross Profit</t>
  </si>
  <si>
    <t>Percentage of Net Asset</t>
  </si>
  <si>
    <t>Percentage of Paid Up Capital</t>
  </si>
  <si>
    <t>Percentage of turnover for the year</t>
  </si>
  <si>
    <r>
      <t xml:space="preserve">For Gross Earnings above </t>
    </r>
    <r>
      <rPr>
        <strike/>
        <sz val="9"/>
        <color theme="1"/>
        <rFont val="Calibri"/>
        <family val="2"/>
        <scheme val="minor"/>
      </rPr>
      <t>N</t>
    </r>
    <r>
      <rPr>
        <sz val="9"/>
        <color theme="1"/>
        <rFont val="Calibri"/>
        <family val="2"/>
        <scheme val="minor"/>
      </rPr>
      <t>500,000</t>
    </r>
  </si>
  <si>
    <t>Percentage of turnover in excess of N500,000</t>
  </si>
  <si>
    <t xml:space="preserve">Revenue Assumptions </t>
  </si>
  <si>
    <t xml:space="preserve">Direct Cost </t>
  </si>
  <si>
    <t>USD($)</t>
  </si>
  <si>
    <t xml:space="preserve">Insurance </t>
  </si>
  <si>
    <t>Fixed Asset Assumptions</t>
  </si>
  <si>
    <t>Cost</t>
  </si>
  <si>
    <t xml:space="preserve">Plant and Machinery </t>
  </si>
  <si>
    <t>Motor Vehicle</t>
  </si>
  <si>
    <t xml:space="preserve">Factory Land and Building </t>
  </si>
  <si>
    <t xml:space="preserve">Furniture and Fittings </t>
  </si>
  <si>
    <t xml:space="preserve">Other Assets </t>
  </si>
  <si>
    <t xml:space="preserve">Capex Additions: </t>
  </si>
  <si>
    <t>Accumulated Depreciation - Opening Balance</t>
  </si>
  <si>
    <t>Depreciation Rates</t>
  </si>
  <si>
    <t>Intangible Assets</t>
  </si>
  <si>
    <t>Accumulated Depreciation</t>
  </si>
  <si>
    <t>Amortisation Rate</t>
  </si>
  <si>
    <t>Annual investment in intangible assets</t>
  </si>
  <si>
    <t>Working Capital Assumptions</t>
  </si>
  <si>
    <t>Average inventory processing period</t>
  </si>
  <si>
    <t>Days</t>
  </si>
  <si>
    <t>Average receivable collection period</t>
  </si>
  <si>
    <t>Complete Mths</t>
  </si>
  <si>
    <t>Partial Mth</t>
  </si>
  <si>
    <t>Average Cash Conversion Cycle</t>
  </si>
  <si>
    <t>Operating Cycle</t>
  </si>
  <si>
    <t>Dividend Assumptions</t>
  </si>
  <si>
    <t>Dividend Payout Ratio</t>
  </si>
  <si>
    <t>Base dividend</t>
  </si>
  <si>
    <t>₦/share</t>
  </si>
  <si>
    <t>Gearing limit</t>
  </si>
  <si>
    <t>Estimated</t>
  </si>
  <si>
    <t>Average Debt</t>
  </si>
  <si>
    <t>Valuation Assumptions</t>
  </si>
  <si>
    <t>Valuation Inputs</t>
  </si>
  <si>
    <t>5 year FGN Bond Yield</t>
  </si>
  <si>
    <t>Equity Risk Premium</t>
  </si>
  <si>
    <t>Country Risk Premium</t>
  </si>
  <si>
    <t>Beta</t>
  </si>
  <si>
    <t>Assumed</t>
  </si>
  <si>
    <t>Cost of Equity</t>
  </si>
  <si>
    <t>Assumed Long Term Industry Growth Rate</t>
  </si>
  <si>
    <t>Financial Ratios</t>
  </si>
  <si>
    <t>Liquidity Analysis</t>
  </si>
  <si>
    <t>Current ratio</t>
  </si>
  <si>
    <t>Quick ratio</t>
  </si>
  <si>
    <t>Cash ratio</t>
  </si>
  <si>
    <t>Long-term (Investment) Activity Analysis</t>
  </si>
  <si>
    <t>Debt to equity</t>
  </si>
  <si>
    <t>Debt to capital</t>
  </si>
  <si>
    <t>Interest coverage</t>
  </si>
  <si>
    <t>Profitability</t>
  </si>
  <si>
    <t>Return on Sales</t>
  </si>
  <si>
    <t>Gross profit margin</t>
  </si>
  <si>
    <t>Operating profit margin</t>
  </si>
  <si>
    <t>Net profit margin</t>
  </si>
  <si>
    <t>Return on equity (ROE)</t>
  </si>
  <si>
    <t>Return on assets (ROA)</t>
  </si>
  <si>
    <t xml:space="preserve">Dupont Analysis </t>
  </si>
  <si>
    <t>ROE</t>
  </si>
  <si>
    <t>Tax Burden</t>
  </si>
  <si>
    <t>Interest Burden</t>
  </si>
  <si>
    <t>EBIT Margin</t>
  </si>
  <si>
    <t>Asset Turnover</t>
  </si>
  <si>
    <t>Leverage</t>
  </si>
  <si>
    <t>[End of Model Sheet]</t>
  </si>
  <si>
    <t xml:space="preserve">3500 MPTA Fertilizer and Methanol Plant </t>
  </si>
  <si>
    <t xml:space="preserve">EPC - 3500 MPTA Fertiliser Process Plant </t>
  </si>
  <si>
    <t>"</t>
  </si>
  <si>
    <t>Cost of Land (Including permits and approvals)</t>
  </si>
  <si>
    <t xml:space="preserve">Number of Operating Days </t>
  </si>
  <si>
    <t xml:space="preserve">Operating Assumption </t>
  </si>
  <si>
    <t>US$/Ton</t>
  </si>
  <si>
    <t xml:space="preserve">Natural Gas Price </t>
  </si>
  <si>
    <t xml:space="preserve">EPC </t>
  </si>
  <si>
    <t xml:space="preserve">Project Name </t>
  </si>
  <si>
    <t xml:space="preserve">Ammonia Plant </t>
  </si>
  <si>
    <t>Ammonia Plant (MTD)</t>
  </si>
  <si>
    <t>Urea Plant (MTD)</t>
  </si>
  <si>
    <t xml:space="preserve">Utility Facility </t>
  </si>
  <si>
    <t xml:space="preserve">Urea Plant </t>
  </si>
  <si>
    <t xml:space="preserve">Off-Site Plant </t>
  </si>
  <si>
    <t>EPC (USD Million)</t>
  </si>
  <si>
    <t>Pre -Operating Cost (USD Million)</t>
  </si>
  <si>
    <t xml:space="preserve">preparation on-site and off-site facilities, including such for feedstock receiving products shipment power and energy plant, water </t>
  </si>
  <si>
    <t xml:space="preserve">IDC </t>
  </si>
  <si>
    <t>Cost per MTD (Urea)</t>
  </si>
  <si>
    <t>Cost per MTD (Ammonia )</t>
  </si>
  <si>
    <t xml:space="preserve">Outside Boundaries Infrastructure  </t>
  </si>
  <si>
    <t xml:space="preserve">Preparatory Survey On New Fertilizer Plant and Intermodel Transportation Terminal Project -Nepal </t>
  </si>
  <si>
    <t xml:space="preserve">Natural Gas Consumption Per Mt of Urea </t>
  </si>
  <si>
    <t>mmbtu</t>
  </si>
  <si>
    <t>Model is ok</t>
  </si>
  <si>
    <t xml:space="preserve">Indorama Eleme -Nigeria </t>
  </si>
  <si>
    <t xml:space="preserve">NGPIS PROJECT </t>
  </si>
  <si>
    <t>Contigency (5%)</t>
  </si>
  <si>
    <t>Mtpa</t>
  </si>
  <si>
    <t xml:space="preserve">Mtpa </t>
  </si>
  <si>
    <t xml:space="preserve"> Average payables for Raw Materials - payment period</t>
  </si>
  <si>
    <t xml:space="preserve">Export Subsidy </t>
  </si>
  <si>
    <t xml:space="preserve">Finished Goods Inventory </t>
  </si>
  <si>
    <t xml:space="preserve">Works in Process </t>
  </si>
  <si>
    <t xml:space="preserve">Packaging Materials Inventory Days </t>
  </si>
  <si>
    <t xml:space="preserve">Catalyst Inventory </t>
  </si>
  <si>
    <t xml:space="preserve">Chemical Inventory </t>
  </si>
  <si>
    <t xml:space="preserve">Sundary Maintenance </t>
  </si>
  <si>
    <t xml:space="preserve">Methanol </t>
  </si>
  <si>
    <t>https://www.fitchratings.com/research/corporate-finance/fitch-ratings-raises-several-fertiliser-price-assumptions-11-12-2023</t>
  </si>
  <si>
    <t xml:space="preserve">Products from the Plant </t>
  </si>
  <si>
    <t xml:space="preserve">Natural Gas </t>
  </si>
  <si>
    <t xml:space="preserve">Urea </t>
  </si>
  <si>
    <t xml:space="preserve">Product </t>
  </si>
  <si>
    <t xml:space="preserve">Capacity </t>
  </si>
  <si>
    <t xml:space="preserve">1,500,000 MTPA </t>
  </si>
  <si>
    <t xml:space="preserve">Purchased Equippmnet </t>
  </si>
  <si>
    <t xml:space="preserve">Installation of Purchased Equipment </t>
  </si>
  <si>
    <t xml:space="preserve">Insulation Cost </t>
  </si>
  <si>
    <t xml:space="preserve">Instrumentation and Control </t>
  </si>
  <si>
    <t xml:space="preserve">Piping </t>
  </si>
  <si>
    <t xml:space="preserve">Electrical Installations </t>
  </si>
  <si>
    <t>Builidng (Including services)</t>
  </si>
  <si>
    <t>Yard improvemnet</t>
  </si>
  <si>
    <t xml:space="preserve">Service Facilities </t>
  </si>
  <si>
    <t xml:space="preserve">Indirect Cost </t>
  </si>
  <si>
    <t>Freight Insurance Taxes</t>
  </si>
  <si>
    <t>Engineering and Supervision</t>
  </si>
  <si>
    <t>Construction Expense</t>
  </si>
  <si>
    <t>Contractors Fees</t>
  </si>
  <si>
    <t xml:space="preserve">Contigency </t>
  </si>
  <si>
    <t xml:space="preserve">Startup Cost </t>
  </si>
  <si>
    <t xml:space="preserve">Cost USD </t>
  </si>
  <si>
    <t xml:space="preserve">Exchange Rate </t>
  </si>
  <si>
    <r>
      <t xml:space="preserve">Cost </t>
    </r>
    <r>
      <rPr>
        <strike/>
        <u/>
        <sz val="11"/>
        <color theme="1"/>
        <rFont val="Calibri"/>
        <family val="2"/>
        <scheme val="minor"/>
      </rPr>
      <t>N</t>
    </r>
  </si>
  <si>
    <r>
      <t xml:space="preserve">Cost </t>
    </r>
    <r>
      <rPr>
        <b/>
        <strike/>
        <u/>
        <sz val="11"/>
        <color theme="1"/>
        <rFont val="Calibri"/>
        <family val="2"/>
        <scheme val="minor"/>
      </rPr>
      <t>N</t>
    </r>
  </si>
  <si>
    <t xml:space="preserve">EPC - 3000 MPTA Fertiliser Process Plant </t>
  </si>
  <si>
    <t>Methanol</t>
  </si>
  <si>
    <t xml:space="preserve">Power Plant </t>
  </si>
  <si>
    <t>Purchased equipment</t>
  </si>
  <si>
    <t>Purchased-equipment installation</t>
  </si>
  <si>
    <t>Insulation Costs</t>
  </si>
  <si>
    <t>Piping</t>
  </si>
  <si>
    <t>Buildings (including services)</t>
  </si>
  <si>
    <t>Yard improvements</t>
  </si>
  <si>
    <t>Service facilities</t>
  </si>
  <si>
    <t>Freight, Insurance &amp; Taxes</t>
  </si>
  <si>
    <t>Engineering and supervision</t>
  </si>
  <si>
    <t>Construction expense</t>
  </si>
  <si>
    <t>Contractor’s fee</t>
  </si>
  <si>
    <t>Direct Cost</t>
  </si>
  <si>
    <t xml:space="preserve">Power Plant Cost </t>
  </si>
  <si>
    <t xml:space="preserve">Total Capex </t>
  </si>
  <si>
    <t>Fixed  Capital Investment ( Power Plant Excluded)</t>
  </si>
  <si>
    <t xml:space="preserve">Operating Cost </t>
  </si>
  <si>
    <t xml:space="preserve">Risk Free Rate </t>
  </si>
  <si>
    <t>Turnaround Maintenace (Years)</t>
  </si>
  <si>
    <t xml:space="preserve">Annual Maintenace Days </t>
  </si>
  <si>
    <t xml:space="preserve">days </t>
  </si>
  <si>
    <t>Turn aroud Maintenance</t>
  </si>
  <si>
    <t>Mt</t>
  </si>
  <si>
    <t xml:space="preserve">US$/mmbtu </t>
  </si>
  <si>
    <t xml:space="preserve">Natural Gas Price Calculation </t>
  </si>
  <si>
    <t>National Reference Price (NRP)</t>
  </si>
  <si>
    <t>End Product Factor  (EPF)</t>
  </si>
  <si>
    <t xml:space="preserve">Applicable Natural  Gas price </t>
  </si>
  <si>
    <t xml:space="preserve">Natural Gas Escalation Factor </t>
  </si>
  <si>
    <t xml:space="preserve">Gas Transportation Fee </t>
  </si>
  <si>
    <t xml:space="preserve">Price of Urea </t>
  </si>
  <si>
    <t xml:space="preserve">US$/Per Mt </t>
  </si>
  <si>
    <t>Price of Methanol</t>
  </si>
  <si>
    <t xml:space="preserve">Methanol Price Escalation Factor </t>
  </si>
  <si>
    <t xml:space="preserve">Urea Quantity Produced </t>
  </si>
  <si>
    <t xml:space="preserve">Methanol Quantity Produced </t>
  </si>
  <si>
    <t xml:space="preserve">Mt </t>
  </si>
  <si>
    <t xml:space="preserve">Mt Per Annum </t>
  </si>
  <si>
    <t xml:space="preserve">Other Products </t>
  </si>
  <si>
    <t>Products output during operations</t>
  </si>
  <si>
    <t xml:space="preserve">Urea  </t>
  </si>
  <si>
    <t xml:space="preserve"> Products price switch</t>
  </si>
  <si>
    <t>Urea</t>
  </si>
  <si>
    <t xml:space="preserve">Urea Price </t>
  </si>
  <si>
    <t xml:space="preserve">Index </t>
  </si>
  <si>
    <t xml:space="preserve">US$/Ton </t>
  </si>
  <si>
    <t xml:space="preserve">check </t>
  </si>
  <si>
    <t xml:space="preserve">Plant </t>
  </si>
  <si>
    <t xml:space="preserve">Total Plant Capacity </t>
  </si>
  <si>
    <t>DESCRIPTION</t>
  </si>
  <si>
    <t>QTY</t>
  </si>
  <si>
    <t>UNIT</t>
  </si>
  <si>
    <t>RATE</t>
  </si>
  <si>
    <t>AMOUNT</t>
  </si>
  <si>
    <t>NR</t>
  </si>
  <si>
    <t>School</t>
  </si>
  <si>
    <t>SUB TOTAL</t>
  </si>
  <si>
    <t>TOTAL</t>
  </si>
  <si>
    <t>500,000,000 MTPA</t>
  </si>
  <si>
    <t>Fixed Capital Investment (Power Plant Exclusive  )</t>
  </si>
  <si>
    <t>Cost USD -Train 1</t>
  </si>
  <si>
    <t>Cost USD-Train  2</t>
  </si>
  <si>
    <t>Cost USD -Train 2</t>
  </si>
  <si>
    <t>Fixed Capital Investment (Power Plant Exclusive )</t>
  </si>
  <si>
    <t>Fixed  Capital Investment ( Power Plant Inclusive )</t>
  </si>
  <si>
    <t>Urea Plant -(Combined )</t>
  </si>
  <si>
    <t>Project Cost Urea -Train 1</t>
  </si>
  <si>
    <t>Project Cost Urea -Train 2</t>
  </si>
  <si>
    <t xml:space="preserve">Urea Train 1 </t>
  </si>
  <si>
    <t xml:space="preserve">Project Cost Urea Train 1 </t>
  </si>
  <si>
    <t xml:space="preserve">Project Cost -Methanol </t>
  </si>
  <si>
    <t>Project Cost Urea Train 2</t>
  </si>
  <si>
    <t xml:space="preserve">Total Project Cost </t>
  </si>
  <si>
    <t xml:space="preserve">Working Capital </t>
  </si>
  <si>
    <t xml:space="preserve">Raw Materials </t>
  </si>
  <si>
    <t xml:space="preserve">Utilities </t>
  </si>
  <si>
    <t xml:space="preserve">Operating Labour </t>
  </si>
  <si>
    <t xml:space="preserve">Maintenace Cost </t>
  </si>
  <si>
    <t xml:space="preserve">Operating Charges </t>
  </si>
  <si>
    <t xml:space="preserve">Plant Overhead </t>
  </si>
  <si>
    <t xml:space="preserve">G and A Expenses </t>
  </si>
  <si>
    <t xml:space="preserve">Operating Cost  Urea -Train 1 </t>
  </si>
  <si>
    <t>Operating Cost Urea -Train 2</t>
  </si>
  <si>
    <t xml:space="preserve">Operating Cost Methanol -Train 1 </t>
  </si>
  <si>
    <t xml:space="preserve">Operational costs Urea Train 1 </t>
  </si>
  <si>
    <t xml:space="preserve">Operating Cost -Urea Train 1 </t>
  </si>
  <si>
    <t>Operating Cost -Urea Train 2</t>
  </si>
  <si>
    <t>Operating Cost -Urea Train 3</t>
  </si>
  <si>
    <t xml:space="preserve">Urea Train 2 </t>
  </si>
  <si>
    <t xml:space="preserve">Export Quantity </t>
  </si>
  <si>
    <t xml:space="preserve">Local Quantity </t>
  </si>
  <si>
    <t xml:space="preserve">Ex-Factory Price </t>
  </si>
  <si>
    <t xml:space="preserve">Export Price </t>
  </si>
  <si>
    <t xml:space="preserve">Local Sales Revenue </t>
  </si>
  <si>
    <t>Methanol Plant Capacity (MMTPA)</t>
  </si>
  <si>
    <t xml:space="preserve">Land and Support Infrastructure </t>
  </si>
  <si>
    <t xml:space="preserve">CAPEX </t>
  </si>
  <si>
    <t>CAPEX (NGN)</t>
  </si>
  <si>
    <t>Cost (NGN)</t>
  </si>
  <si>
    <t>CAPEX (USD)</t>
  </si>
  <si>
    <t>Train 1</t>
  </si>
  <si>
    <t>Train 2 USD</t>
  </si>
  <si>
    <t>Train 1 USD</t>
  </si>
  <si>
    <t>Installation of Purchased-equipment</t>
  </si>
  <si>
    <t>Instrumentation and Control</t>
  </si>
  <si>
    <t>Electrical Installations</t>
  </si>
  <si>
    <t>Land and Supporting Infrastructures</t>
  </si>
  <si>
    <t>Startup Expenses</t>
  </si>
  <si>
    <t>Fixed Capital Investment [FCI]</t>
  </si>
  <si>
    <t xml:space="preserve">Total Capital Investment </t>
  </si>
  <si>
    <t>Cost of Land (Including permits and approvals</t>
  </si>
  <si>
    <t>Tax VAT (7.5%)</t>
  </si>
  <si>
    <t>Train 2</t>
  </si>
  <si>
    <t xml:space="preserve">Train </t>
  </si>
  <si>
    <t xml:space="preserve">Number of Trains </t>
  </si>
  <si>
    <t>Urea Plant Capacity (MTPA)</t>
  </si>
  <si>
    <t xml:space="preserve">Plant Location </t>
  </si>
  <si>
    <t xml:space="preserve">Total Number </t>
  </si>
  <si>
    <t xml:space="preserve">Combine Train </t>
  </si>
  <si>
    <t>Train 3</t>
  </si>
  <si>
    <t>200 MW</t>
  </si>
  <si>
    <t>150 MW</t>
  </si>
  <si>
    <t xml:space="preserve">Total Power Plant Capex </t>
  </si>
  <si>
    <t xml:space="preserve">Total Power Plant Cost </t>
  </si>
  <si>
    <t>Raw Materials</t>
  </si>
  <si>
    <t xml:space="preserve">Utilities Cost </t>
  </si>
  <si>
    <t>Operating Labour</t>
  </si>
  <si>
    <t>Operating Charges</t>
  </si>
  <si>
    <t>Plant Overhead</t>
  </si>
  <si>
    <t>G and A Expenses</t>
  </si>
  <si>
    <t xml:space="preserve">Total Operating Cost </t>
  </si>
  <si>
    <t xml:space="preserve">Total Opex </t>
  </si>
  <si>
    <t xml:space="preserve">Power Plant Type </t>
  </si>
  <si>
    <t>Capex</t>
  </si>
  <si>
    <t xml:space="preserve">UP-LOAD </t>
  </si>
  <si>
    <t xml:space="preserve">EPC - 2000 MPTA Fertiliser Process Plant </t>
  </si>
  <si>
    <t xml:space="preserve">EPC - 2000,000 MPTA Fertiliser Process Plant </t>
  </si>
  <si>
    <t xml:space="preserve">1.0 MTP X 2Trains (UREA) </t>
  </si>
  <si>
    <t xml:space="preserve">(1.5 MTP +1.0 MTP )2Trains (UREA) </t>
  </si>
  <si>
    <t>Train 1 USD (1.0 MMTPA)</t>
  </si>
  <si>
    <t xml:space="preserve">Train 2 USD (1.0 MMTPA) </t>
  </si>
  <si>
    <t>Train 1 USD (1.5 MMTPA)</t>
  </si>
  <si>
    <t xml:space="preserve">Options </t>
  </si>
  <si>
    <t xml:space="preserve">Option </t>
  </si>
  <si>
    <t xml:space="preserve">MASTER </t>
  </si>
  <si>
    <t>Train  1</t>
  </si>
  <si>
    <t xml:space="preserve"> Train 3</t>
  </si>
  <si>
    <t xml:space="preserve"> </t>
  </si>
  <si>
    <t>Option 1</t>
  </si>
  <si>
    <t xml:space="preserve">Option 2 </t>
  </si>
  <si>
    <t>Option 3</t>
  </si>
  <si>
    <t>0.5 MTPA</t>
  </si>
  <si>
    <t>1.0 MTPA</t>
  </si>
  <si>
    <t>1.5 MTPA</t>
  </si>
  <si>
    <t xml:space="preserve">Power Plant Capacity  </t>
  </si>
  <si>
    <t xml:space="preserve">Train 1 USD (1.0 MMTPA) -USD </t>
  </si>
  <si>
    <t>Train 2 USD (1.0 MMTPA) USD</t>
  </si>
  <si>
    <t>Total Cost USD</t>
  </si>
  <si>
    <t xml:space="preserve">OPEX </t>
  </si>
  <si>
    <t>Cost (USD)</t>
  </si>
  <si>
    <t xml:space="preserve">Train 1 </t>
  </si>
  <si>
    <t xml:space="preserve">Combined </t>
  </si>
  <si>
    <t xml:space="preserve">Combine </t>
  </si>
  <si>
    <t>OPEX</t>
  </si>
  <si>
    <t xml:space="preserve">Train 1 USD (1.5 MMTPA) -USD </t>
  </si>
  <si>
    <t xml:space="preserve">USD </t>
  </si>
  <si>
    <t>Operating Cost Urea -Train 3</t>
  </si>
  <si>
    <t xml:space="preserve">Methanol Plant -Train 1 </t>
  </si>
  <si>
    <t xml:space="preserve">1.5 MTP X 1Trains (UREA) </t>
  </si>
  <si>
    <t xml:space="preserve">Methanol Plant Train 2 </t>
  </si>
  <si>
    <t>Project Cost Urea -Train 3</t>
  </si>
  <si>
    <t>Operational costs Urea Train 2</t>
  </si>
  <si>
    <t>Operational costs Urea Train 3</t>
  </si>
  <si>
    <t>Operating Cost -Methanol  Train 1</t>
  </si>
  <si>
    <t>Urea Train 3</t>
  </si>
  <si>
    <t>Methanol Train 1</t>
  </si>
  <si>
    <t>Methanol  Train 1</t>
  </si>
  <si>
    <t>Project Cost Urea Train 3</t>
  </si>
  <si>
    <t xml:space="preserve">Urea  Plant -Train 1 </t>
  </si>
  <si>
    <t xml:space="preserve">Urea  Plant -Train 2 </t>
  </si>
  <si>
    <t>`</t>
  </si>
  <si>
    <t xml:space="preserve">6-month SOFR </t>
  </si>
  <si>
    <t>Sub debt -Development Finance Institution (DFIs)</t>
  </si>
  <si>
    <t xml:space="preserve">Senior debt- Local Commercial Bank </t>
  </si>
  <si>
    <t>Urea Granular Bulk FOB Nigerian</t>
  </si>
  <si>
    <t xml:space="preserve">Urea Granular Bulk FOB Black Sea </t>
  </si>
  <si>
    <t>Urea Granular Bulk FOB Middle East</t>
  </si>
  <si>
    <t xml:space="preserve">Average </t>
  </si>
  <si>
    <t xml:space="preserve">50K Naira </t>
  </si>
  <si>
    <t xml:space="preserve">I MT USD </t>
  </si>
  <si>
    <t xml:space="preserve">Local Price </t>
  </si>
  <si>
    <t>MMSA Monthly Price Foreast</t>
  </si>
  <si>
    <t>Monthly From March 2021</t>
  </si>
  <si>
    <t>US</t>
  </si>
  <si>
    <t>Europe</t>
  </si>
  <si>
    <t>NEA/SEA</t>
  </si>
  <si>
    <t>China</t>
  </si>
  <si>
    <t>MMSA Contract Index</t>
  </si>
  <si>
    <t>MMSA Spot Barge Wtd Avg</t>
  </si>
  <si>
    <t>MMSA Contract</t>
  </si>
  <si>
    <t>MMSA Spot Avg</t>
  </si>
  <si>
    <t>MMSA Contract Net Transaction Reference</t>
  </si>
  <si>
    <t>MMSA Spot, Avg.</t>
  </si>
  <si>
    <t>FOB USGC</t>
  </si>
  <si>
    <t>FOB Rotterdam T2</t>
  </si>
  <si>
    <t>Wtd Avg</t>
  </si>
  <si>
    <t>CFR China Main Ports</t>
  </si>
  <si>
    <t>USD/metric ton</t>
  </si>
  <si>
    <t>Disclaimer: MMSA conducted this analysis and prepared this report utilizing reasonable care and skill in applying methods of analysis consistent with normal industry practice.  All results are based on information available at the time of review.  Changes in factors upon which the review is based could affect the results. Forecasts are inherently uncertain because of events or combinations of events that cannot reasonably be foreseen including the actions of government, individuals,  third parties and competitors.  NO IMPLIED WARRANTY OF MERCHANTABILITY OR FITNESS FOR A PARTICULAR PURPOSE SHALL APPLY.</t>
  </si>
  <si>
    <t xml:space="preserve">1MT -Naira ex-plant </t>
  </si>
  <si>
    <t>Indorama Arpril 16-30</t>
  </si>
  <si>
    <t>Price of Urea (FOB)</t>
  </si>
  <si>
    <t>Price of Methanol (FOB)</t>
  </si>
  <si>
    <t xml:space="preserve">Metanool Average price </t>
  </si>
  <si>
    <t>Urea (Ex-Plant  Price )</t>
  </si>
  <si>
    <t>Urea (FOB Price )</t>
  </si>
  <si>
    <t>Methanol (FOB Price )</t>
  </si>
  <si>
    <t xml:space="preserve">Export Sales -Real </t>
  </si>
  <si>
    <t xml:space="preserve">Local Sales Quantity </t>
  </si>
  <si>
    <t xml:space="preserve">Local Sales Price </t>
  </si>
  <si>
    <t xml:space="preserve">Export  Sales Price </t>
  </si>
  <si>
    <t xml:space="preserve">Export Sales Price -Nominal </t>
  </si>
  <si>
    <t xml:space="preserve">Export Sales Revenue </t>
  </si>
  <si>
    <t>Per Plant  Capacity</t>
  </si>
  <si>
    <t>Floor Price for Gas Based Industries (GBI)</t>
  </si>
  <si>
    <t xml:space="preserve">Assumptions </t>
  </si>
  <si>
    <t>Nigeria Inflation</t>
  </si>
  <si>
    <t>GDP</t>
  </si>
  <si>
    <t>USD Inflation</t>
  </si>
  <si>
    <t>Projected Average FX Rate</t>
  </si>
  <si>
    <t>% +/ -</t>
  </si>
  <si>
    <t xml:space="preserve">Local Sales </t>
  </si>
  <si>
    <t xml:space="preserve">Interest Rate </t>
  </si>
  <si>
    <t>Urea (Naira)</t>
  </si>
  <si>
    <t>Urea (USD)</t>
  </si>
  <si>
    <t>Inflation USD</t>
  </si>
  <si>
    <t xml:space="preserve">Export /FOB </t>
  </si>
  <si>
    <t xml:space="preserve">Export FOB </t>
  </si>
  <si>
    <t xml:space="preserve">Volume </t>
  </si>
  <si>
    <t>Methanol (MTPA)</t>
  </si>
  <si>
    <t>Urea (MTPA)</t>
  </si>
  <si>
    <t xml:space="preserve">Capacity growth rate </t>
  </si>
  <si>
    <t xml:space="preserve">Construction Period </t>
  </si>
  <si>
    <t xml:space="preserve">Operating Period </t>
  </si>
  <si>
    <t>Urea Revenue -Export</t>
  </si>
  <si>
    <t xml:space="preserve">Urea Revenue -Local Sales </t>
  </si>
  <si>
    <t xml:space="preserve">Methanol Export </t>
  </si>
  <si>
    <t xml:space="preserve">Methanol Local Sales </t>
  </si>
  <si>
    <t>Year Discount 2</t>
  </si>
  <si>
    <t>Entry Price - Year Discount 1</t>
  </si>
  <si>
    <t>Year Discount 3</t>
  </si>
  <si>
    <t xml:space="preserve">Total Revenue -Urea </t>
  </si>
  <si>
    <t>Urea Price  -Export</t>
  </si>
  <si>
    <t xml:space="preserve">Urea Price  -Local Sales </t>
  </si>
  <si>
    <t>Methanol  Price  -Export</t>
  </si>
  <si>
    <t xml:space="preserve">Methanol  Price  -Local Sales </t>
  </si>
  <si>
    <t xml:space="preserve">Export Revenue -Urea </t>
  </si>
  <si>
    <t xml:space="preserve">Local Sales Revenue -Urea </t>
  </si>
  <si>
    <t>Export Revenue -Methanol</t>
  </si>
  <si>
    <t>Local Sales Revenue -Methanol</t>
  </si>
  <si>
    <t xml:space="preserve">Most recent Price </t>
  </si>
  <si>
    <t xml:space="preserve">Average Price </t>
  </si>
  <si>
    <t xml:space="preserve">Total Revenue </t>
  </si>
  <si>
    <t xml:space="preserve">Total Revenue -Methanol </t>
  </si>
  <si>
    <t xml:space="preserve">Gross Revenue 10 years </t>
  </si>
  <si>
    <t xml:space="preserve">Total Urea </t>
  </si>
  <si>
    <t xml:space="preserve">Total Methanol </t>
  </si>
  <si>
    <t xml:space="preserve">Margin Sheet </t>
  </si>
  <si>
    <t>AfricaFertilizer</t>
  </si>
  <si>
    <t>Statistic as Excel data file</t>
  </si>
  <si>
    <t>Nigeria: Inflation rate from 2008 to 2029 (compared to the previous year)</t>
  </si>
  <si>
    <t>Access data</t>
  </si>
  <si>
    <t>Description</t>
  </si>
  <si>
    <t xml:space="preserve">Nigeria’s inflation has been higher than the average for African and Sub-Saharan countries for years now, and even exceeded 16 percent in 2017 – and a real, significant decrease is nowhere in sight. The bigger problem is its unsteadiness, however: An inflation rate that is bouncing all over the place, like this one, is usually a sign of a struggling economy, causing prices to fluctuate, and unemployment and poverty to increase. Nigeria’s economy - a so-called “mixed economy”, which means the market economy is at least in part regulated by the state – is not entirely in bad shape, though. More than half of its GDP is generated by the services sector , namely telecommunications and finances, and the country derives a significant share of its state revenues from oil. 
 Because it got high 
To simplify: When the inflation rate rises, so do prices, and consequently banks raise their interest rates as well to cope and maintain their profit margin. Higher interest rates often cause unemployment to rise. In certain scenarios, rising prices can also mean more panicky spending and consumption among end users, causing debt and poverty. The extreme version of this is called hyperinflation: A rapid increase of prices that is out of control and leads to bankruptcies en masse, devaluation of money and subsequently a currency reform, among other things. But does that mean that low inflation is better? Maybe, but only to a certain degree; the ECB, for example, aspires to maintain an inflation rate of about two percent so as to keep the economy stable. As soon as we reach deflation territory, however, things are starting to look grim again. The best course is a stable inflation rate, to avoid uncertainty and rash actions.
 Nigeria today 
Nigeria is one of the countries with the largest populations worldwide and also the largest economy in Africa, with its economy growing rapidly after a slump in the aforementioned year 2017. It is slated to be one of the countries with the highest economic growth over the next few decades. Demographic key indicators, like infant mortality rate , fertility rate , and the median age of the population , all point towards a bright future. Additionally, the country seems to make big leaps forward in manufacturing and technological developments, and boasts huge natural resources, including natural gas. All in all, Nigeria and its inflation seem to be on the upswing – or on the path to stabilization, as it were. 
</t>
  </si>
  <si>
    <t>IMF</t>
  </si>
  <si>
    <t>Conducted by</t>
  </si>
  <si>
    <t>Survey period</t>
  </si>
  <si>
    <t>2008 to 2023</t>
  </si>
  <si>
    <t>Region</t>
  </si>
  <si>
    <t>Nigeria</t>
  </si>
  <si>
    <t>Type of survey</t>
  </si>
  <si>
    <t>n.a.</t>
  </si>
  <si>
    <t>Number of respondents</t>
  </si>
  <si>
    <t>Age group</t>
  </si>
  <si>
    <t>Special characteristics</t>
  </si>
  <si>
    <t>Note</t>
  </si>
  <si>
    <t>Estimate. Figures have been rounded.</t>
  </si>
  <si>
    <t>Publication</t>
  </si>
  <si>
    <t>Published by</t>
  </si>
  <si>
    <t>Publication date</t>
  </si>
  <si>
    <t>April 2024</t>
  </si>
  <si>
    <t>Original source</t>
  </si>
  <si>
    <t>imf.org</t>
  </si>
  <si>
    <t>ID</t>
  </si>
  <si>
    <t>383132</t>
  </si>
  <si>
    <t>Inflation rate in Nigeria 2029</t>
  </si>
  <si>
    <t>2008</t>
  </si>
  <si>
    <t>in %</t>
  </si>
  <si>
    <t>2009</t>
  </si>
  <si>
    <t>2010</t>
  </si>
  <si>
    <t>2011</t>
  </si>
  <si>
    <t>2012</t>
  </si>
  <si>
    <t>2013</t>
  </si>
  <si>
    <t>2014</t>
  </si>
  <si>
    <t>2015</t>
  </si>
  <si>
    <t>2016</t>
  </si>
  <si>
    <t>2017</t>
  </si>
  <si>
    <t>2018</t>
  </si>
  <si>
    <t>2019</t>
  </si>
  <si>
    <t>2020</t>
  </si>
  <si>
    <t>2021</t>
  </si>
  <si>
    <t>2022</t>
  </si>
  <si>
    <t>2023</t>
  </si>
  <si>
    <t>2024*</t>
  </si>
  <si>
    <t>2025*</t>
  </si>
  <si>
    <t>2026*</t>
  </si>
  <si>
    <t>2027*</t>
  </si>
  <si>
    <t>2028*</t>
  </si>
  <si>
    <t>2029*</t>
  </si>
  <si>
    <t>knoema.com/kyaewad/us-inflation-forecast-2022-2023-and-long-term-to-2030-data-and-charts</t>
  </si>
  <si>
    <t>www.statista.com/statistics/383132/inflation-rate-in-nigeria/</t>
  </si>
  <si>
    <t xml:space="preserve">Exchange Depreciation Rate </t>
  </si>
  <si>
    <t xml:space="preserve">Urea Train 1 Capacity </t>
  </si>
  <si>
    <t xml:space="preserve">Urea Train 2 Capacity </t>
  </si>
  <si>
    <t xml:space="preserve">Urea Train 3 Capacity </t>
  </si>
  <si>
    <t xml:space="preserve">Methanol  Train 1 Capacity </t>
  </si>
  <si>
    <t>Export Parity Price (EPP)</t>
  </si>
  <si>
    <t>Average Current Month End Product (CMPP)</t>
  </si>
  <si>
    <t>Product Reference Price (PRP)</t>
  </si>
  <si>
    <t xml:space="preserve">US$/Mt </t>
  </si>
  <si>
    <t xml:space="preserve">Gas Price </t>
  </si>
  <si>
    <t>&lt;=</t>
  </si>
  <si>
    <t>EPF</t>
  </si>
  <si>
    <t>CP=NPR*(1+EPF)&lt;=EPP</t>
  </si>
  <si>
    <t>0.5 MMTPY</t>
  </si>
  <si>
    <t>1 MMTPY</t>
  </si>
  <si>
    <t>1.5 MMTPY</t>
  </si>
  <si>
    <t>1.75 MMTPY</t>
  </si>
  <si>
    <t xml:space="preserve">Water Requirement Consumption </t>
  </si>
  <si>
    <t xml:space="preserve">Water Requirement  </t>
  </si>
  <si>
    <t xml:space="preserve">Natural Gas Consumtpion  </t>
  </si>
  <si>
    <t>Inflation  Rate Forecast Commencement  Date</t>
  </si>
  <si>
    <t xml:space="preserve"> Local Inflation Multiplier </t>
  </si>
  <si>
    <t xml:space="preserve">Long Term US Inflation Rate Multiplier </t>
  </si>
  <si>
    <t xml:space="preserve">Long Term US Inflation Rate Forecast </t>
  </si>
  <si>
    <t xml:space="preserve"> Local  Inflation Rate</t>
  </si>
  <si>
    <t xml:space="preserve"> Local Inflation Forecast </t>
  </si>
  <si>
    <t xml:space="preserve">Cap Price for Gas </t>
  </si>
  <si>
    <t xml:space="preserve">Natural Gas Escalation Multiplier  </t>
  </si>
  <si>
    <t xml:space="preserve">Urea Price Escalation </t>
  </si>
  <si>
    <t xml:space="preserve">Total Production  Plant Capacity </t>
  </si>
  <si>
    <t xml:space="preserve">Number of Trains -Urea Plant </t>
  </si>
  <si>
    <t xml:space="preserve">Number of Trains -Methanol Plant </t>
  </si>
  <si>
    <t xml:space="preserve">Plant Option Switch </t>
  </si>
  <si>
    <t xml:space="preserve">Power Plant Assumtpion </t>
  </si>
  <si>
    <t xml:space="preserve">Power Option Plan </t>
  </si>
  <si>
    <t xml:space="preserve">Plant Operating Capacity </t>
  </si>
  <si>
    <t xml:space="preserve">Production Hours and Days </t>
  </si>
  <si>
    <t xml:space="preserve">Number of Operating Days -Turnaround Mainteace Year </t>
  </si>
  <si>
    <t xml:space="preserve">Hours </t>
  </si>
  <si>
    <t xml:space="preserve">Natural Gas Consumption Per for Methanol </t>
  </si>
  <si>
    <t xml:space="preserve">1.125 MMTPY </t>
  </si>
  <si>
    <t>1.25 MMTPY</t>
  </si>
  <si>
    <t xml:space="preserve">Cost of Natural Gas -Urea </t>
  </si>
  <si>
    <t xml:space="preserve">Cost of Natural Gas -Methanol </t>
  </si>
  <si>
    <t xml:space="preserve">Natural Gas Consumption for Urea </t>
  </si>
  <si>
    <t xml:space="preserve">Natural Gas Consumption for Methanol </t>
  </si>
  <si>
    <t xml:space="preserve">Plant Production </t>
  </si>
  <si>
    <t xml:space="preserve">Taxation Assumptions </t>
  </si>
  <si>
    <t>Urea Plant Train  1</t>
  </si>
  <si>
    <t>Urea Plant Train  2</t>
  </si>
  <si>
    <t xml:space="preserve">Methanol Plant Train 1 </t>
  </si>
  <si>
    <t xml:space="preserve">Urea Indorama -Ex Plant </t>
  </si>
  <si>
    <t xml:space="preserve">Total Production </t>
  </si>
  <si>
    <t>Price of Urea -</t>
  </si>
  <si>
    <t xml:space="preserve">Naira /Per Mt </t>
  </si>
  <si>
    <t xml:space="preserve">Total Quantity </t>
  </si>
  <si>
    <t xml:space="preserve">Payback Period </t>
  </si>
  <si>
    <t xml:space="preserve">Local Sales Revenue -Nominal </t>
  </si>
  <si>
    <t>Feasibility Study for Urea and Methanol Plant</t>
  </si>
  <si>
    <t>MMBTU/SCF</t>
  </si>
  <si>
    <t>Methanol Price</t>
  </si>
  <si>
    <t>Revenue and Opex  Escalaction Rate ( USD )</t>
  </si>
  <si>
    <t xml:space="preserve">Revenue and Opex  Escalaction Forecast </t>
  </si>
  <si>
    <t xml:space="preserve">Revenue Opex Escalaction Multiplier </t>
  </si>
  <si>
    <t>Revenue and Opex Escalation Factor Flag (Naira Component )</t>
  </si>
  <si>
    <t xml:space="preserve">Revenue and Opex Escalation Factor </t>
  </si>
  <si>
    <t xml:space="preserve">Revenue and Opex Escalation Multiplier </t>
  </si>
  <si>
    <t xml:space="preserve">Revenue </t>
  </si>
  <si>
    <t xml:space="preserve">Project Cost Methanol -Train 1 </t>
  </si>
  <si>
    <t>Operating Year 1</t>
  </si>
  <si>
    <t>Operating Year 2</t>
  </si>
  <si>
    <t xml:space="preserve">Operating Year 3 </t>
  </si>
  <si>
    <t xml:space="preserve">Market Entry Discount -Urea </t>
  </si>
  <si>
    <t xml:space="preserve">Market Entry Discount -Methanol </t>
  </si>
  <si>
    <t xml:space="preserve">MIRR </t>
  </si>
  <si>
    <t xml:space="preserve">Yes </t>
  </si>
  <si>
    <t>Particulars</t>
  </si>
  <si>
    <t xml:space="preserve">Rate </t>
  </si>
  <si>
    <t xml:space="preserve">USD/tons </t>
  </si>
  <si>
    <t xml:space="preserve">Freight </t>
  </si>
  <si>
    <t xml:space="preserve">CIF Lagos </t>
  </si>
  <si>
    <t>0.06% of C&amp; F</t>
  </si>
  <si>
    <t>Cost and Freignt (C&amp;F )</t>
  </si>
  <si>
    <t xml:space="preserve">LC Charges </t>
  </si>
  <si>
    <t>1% of C&amp;F</t>
  </si>
  <si>
    <t>Comprehensive Import Supervision Scheme (CISS)</t>
  </si>
  <si>
    <t xml:space="preserve">1% of FOB </t>
  </si>
  <si>
    <t>Ecowas Trade Liberalisation Scheme (ETLS)</t>
  </si>
  <si>
    <t xml:space="preserve">0.5% of CIF </t>
  </si>
  <si>
    <t>NPA /NMA Lump sum charges (NMA Martime levy , Cargo dues ,Berth Charges ,and NPA handling )</t>
  </si>
  <si>
    <t xml:space="preserve">$15 Per ton </t>
  </si>
  <si>
    <t xml:space="preserve">Shipping Agent Commission </t>
  </si>
  <si>
    <t>$0.30</t>
  </si>
  <si>
    <t xml:space="preserve">Clearing and Forwarding Charges </t>
  </si>
  <si>
    <t xml:space="preserve">Stevdoring Charges </t>
  </si>
  <si>
    <t xml:space="preserve">$1/tons </t>
  </si>
  <si>
    <t xml:space="preserve">haulage and transport </t>
  </si>
  <si>
    <t xml:space="preserve">Handling equipment charges </t>
  </si>
  <si>
    <t xml:space="preserve">NPA Storage royalty </t>
  </si>
  <si>
    <t xml:space="preserve">Total Ex-Lagos </t>
  </si>
  <si>
    <t>Methanex Monthly Average Regional Posted Contract Price History</t>
  </si>
  <si>
    <t>Methanex Non-Discounted Reference Price</t>
  </si>
  <si>
    <t>Methanex European Posted Contract Price</t>
  </si>
  <si>
    <t>Methanex Asian Posted Contract Price</t>
  </si>
  <si>
    <t>Methanex China Posted Contract Price</t>
  </si>
  <si>
    <t>(MNDRP)</t>
  </si>
  <si>
    <t>(MEPCP)</t>
  </si>
  <si>
    <t>(APCP)</t>
  </si>
  <si>
    <t>(CPCP)</t>
  </si>
  <si>
    <t>Date</t>
  </si>
  <si>
    <t>$/gal</t>
  </si>
  <si>
    <t>$/MT</t>
  </si>
  <si>
    <t xml:space="preserve">€/MT </t>
  </si>
  <si>
    <t xml:space="preserve">$10 /ton </t>
  </si>
  <si>
    <t>0.53$/ton</t>
  </si>
  <si>
    <t>$4.0</t>
  </si>
  <si>
    <t>$0.27/ton</t>
  </si>
  <si>
    <t>Local Transport to Kano</t>
  </si>
  <si>
    <t xml:space="preserve">Cost of Funds </t>
  </si>
  <si>
    <t xml:space="preserve">Cost to Wholesaler </t>
  </si>
  <si>
    <t xml:space="preserve">Corporation Tax </t>
  </si>
  <si>
    <t xml:space="preserve">Education tax </t>
  </si>
  <si>
    <t xml:space="preserve">Free Trade Zone Assumptions -SWITCH </t>
  </si>
  <si>
    <t xml:space="preserve">NO </t>
  </si>
  <si>
    <t>https://www.commodity3.com/physical/fertilurea/fx-fertil-fibers-granular-&amp;-prilled-urea</t>
  </si>
  <si>
    <t xml:space="preserve">Water </t>
  </si>
  <si>
    <t>Annual Qty -Single Train (Mt)</t>
  </si>
  <si>
    <t>Urea  Price</t>
  </si>
  <si>
    <t xml:space="preserve">Methanol Price </t>
  </si>
  <si>
    <t xml:space="preserve">Revneue </t>
  </si>
  <si>
    <t xml:space="preserve">Cost of Sales </t>
  </si>
  <si>
    <t xml:space="preserve">Current Asset </t>
  </si>
  <si>
    <t xml:space="preserve">Current Liabilities </t>
  </si>
  <si>
    <t>Trade Debtors plus  Defered Tax  Asset</t>
  </si>
  <si>
    <t>Trade Creditors plus Deferred Tax provision</t>
  </si>
  <si>
    <t>Current Asset</t>
  </si>
  <si>
    <t>Activity Ratios</t>
  </si>
  <si>
    <t xml:space="preserve">Inventory Days </t>
  </si>
  <si>
    <t>Receivables Days-</t>
  </si>
  <si>
    <t>Payables Days-Current</t>
  </si>
  <si>
    <t xml:space="preserve">Cash Conversion Cycle </t>
  </si>
  <si>
    <t>Liquidity Ratio</t>
  </si>
  <si>
    <t xml:space="preserve">Cuurent Asset </t>
  </si>
  <si>
    <t xml:space="preserve">Net Liquiduty Balance </t>
  </si>
  <si>
    <t>Solvency Ratio</t>
  </si>
  <si>
    <t xml:space="preserve">Net Asset </t>
  </si>
  <si>
    <t xml:space="preserve">Long term Debt </t>
  </si>
  <si>
    <t xml:space="preserve">Asset Coverage </t>
  </si>
  <si>
    <t xml:space="preserve">Interest Coverage </t>
  </si>
  <si>
    <t>Profit Before Tax</t>
  </si>
  <si>
    <t>EBIT</t>
  </si>
  <si>
    <t xml:space="preserve">Interest </t>
  </si>
  <si>
    <t xml:space="preserve">Interest Covergae </t>
  </si>
  <si>
    <t xml:space="preserve">Economic Value Added </t>
  </si>
  <si>
    <t xml:space="preserve"> Operating Profit </t>
  </si>
  <si>
    <t xml:space="preserve">1-Tax </t>
  </si>
  <si>
    <t xml:space="preserve">NOPAT </t>
  </si>
  <si>
    <t xml:space="preserve">Invested Capital </t>
  </si>
  <si>
    <t xml:space="preserve">WACC </t>
  </si>
  <si>
    <t>Economic Value Added</t>
  </si>
  <si>
    <t xml:space="preserve">Profitability Index </t>
  </si>
  <si>
    <t xml:space="preserve">NPV </t>
  </si>
  <si>
    <t xml:space="preserve">Initial Investment </t>
  </si>
  <si>
    <t>CAGR</t>
  </si>
  <si>
    <t>Working Capital Requirement (Operating cost)</t>
  </si>
  <si>
    <t xml:space="preserve">Tangible  Asset </t>
  </si>
  <si>
    <t xml:space="preserve">Financd Charge </t>
  </si>
  <si>
    <t xml:space="preserve">Pre-Tax Payback </t>
  </si>
  <si>
    <t xml:space="preserve">Post-Tax Payback </t>
  </si>
  <si>
    <t xml:space="preserve">Monthly </t>
  </si>
  <si>
    <t xml:space="preserve">Raw Material Break Down -Urea </t>
  </si>
  <si>
    <t xml:space="preserve">Quantity of Gas Utilised - mmbtu </t>
  </si>
  <si>
    <t xml:space="preserve">Price of Gas -mmbtu </t>
  </si>
  <si>
    <r>
      <t>Quantity of Water Utilised (M</t>
    </r>
    <r>
      <rPr>
        <vertAlign val="superscript"/>
        <sz val="8"/>
        <color theme="1"/>
        <rFont val="Arial"/>
        <family val="2"/>
      </rPr>
      <t>3</t>
    </r>
    <r>
      <rPr>
        <sz val="8"/>
        <color theme="1"/>
        <rFont val="Arial"/>
        <family val="2"/>
      </rPr>
      <t>)</t>
    </r>
  </si>
  <si>
    <t xml:space="preserve">Price of Water per Mt </t>
  </si>
  <si>
    <t xml:space="preserve">Cost of Water -Urea </t>
  </si>
  <si>
    <r>
      <t>USD /M</t>
    </r>
    <r>
      <rPr>
        <i/>
        <vertAlign val="superscript"/>
        <sz val="9"/>
        <color rgb="FFC00000"/>
        <rFont val="Calibri"/>
        <family val="2"/>
        <scheme val="minor"/>
      </rPr>
      <t>3</t>
    </r>
    <r>
      <rPr>
        <i/>
        <sz val="9"/>
        <color rgb="FFC00000"/>
        <rFont val="Calibri"/>
        <family val="2"/>
        <scheme val="minor"/>
      </rPr>
      <t xml:space="preserve"> Per Day</t>
    </r>
  </si>
  <si>
    <t>FOB Methanol</t>
  </si>
  <si>
    <t xml:space="preserve">$1000/30 tons - </t>
  </si>
  <si>
    <t xml:space="preserve">Annual Plant Operating Hours </t>
  </si>
  <si>
    <t xml:space="preserve">Turnaround   Maintenace Days </t>
  </si>
  <si>
    <t xml:space="preserve"> Plant Options -Switch </t>
  </si>
  <si>
    <t>Scenario</t>
  </si>
  <si>
    <t>Tons/day</t>
  </si>
  <si>
    <t xml:space="preserve">SCF /Day </t>
  </si>
  <si>
    <t xml:space="preserve">Process Gas </t>
  </si>
  <si>
    <t xml:space="preserve">Reformer Fuel </t>
  </si>
  <si>
    <t>SCF/Day</t>
  </si>
  <si>
    <t xml:space="preserve">MMBTU /Day </t>
  </si>
  <si>
    <t>Total MMBTU /Day</t>
  </si>
  <si>
    <t xml:space="preserve">Gas Price Per MMBTU </t>
  </si>
  <si>
    <t>Gas utiilsed per ton of Urea (MMBTU / Ton of Urea )</t>
  </si>
  <si>
    <t xml:space="preserve">Consumption Per MMBTU  per day </t>
  </si>
  <si>
    <t xml:space="preserve">Gas Consumption( MMBTU) Per Ton of Urea </t>
  </si>
  <si>
    <t xml:space="preserve">Gas Price ( USD ) Per Ton of Urea </t>
  </si>
  <si>
    <t xml:space="preserve">Quantity of Gas Utilised - mmbtu / PER Ton of Urea </t>
  </si>
  <si>
    <t>Cost of Gas -Urea (USD)</t>
  </si>
  <si>
    <t>Quantity of Gas Utilised - mmbtu / PER Ton of Methanol</t>
  </si>
  <si>
    <t>Cost of Gas -Methanol (USD)</t>
  </si>
  <si>
    <t xml:space="preserve">Daily Production </t>
  </si>
  <si>
    <t>Consumption Per Mt (MMBTU)</t>
  </si>
  <si>
    <t>Gas utiilsed per ton of Methanol (MMBTU / Ton of Methanol )</t>
  </si>
  <si>
    <t xml:space="preserve">mmbtu/ton of Urea </t>
  </si>
  <si>
    <t xml:space="preserve">mmbtu/ton of methanol </t>
  </si>
  <si>
    <t>Cost of Gas -Urea (US$)</t>
  </si>
  <si>
    <t>Cost of Gas -Methanol (US$)</t>
  </si>
  <si>
    <t xml:space="preserve">Total Cost of Natural Gas </t>
  </si>
  <si>
    <t>US($)</t>
  </si>
  <si>
    <t xml:space="preserve">Scenario </t>
  </si>
  <si>
    <t xml:space="preserve">Recycle Water </t>
  </si>
  <si>
    <t xml:space="preserve">Daily Makeup  Water </t>
  </si>
  <si>
    <t xml:space="preserve">Total Water Requirement </t>
  </si>
  <si>
    <t>Cost of Makeup Water</t>
  </si>
  <si>
    <t xml:space="preserve">tons /day </t>
  </si>
  <si>
    <t xml:space="preserve">M3 /day </t>
  </si>
  <si>
    <r>
      <t>M</t>
    </r>
    <r>
      <rPr>
        <vertAlign val="superscript"/>
        <sz val="10"/>
        <color theme="1"/>
        <rFont val="Cambria"/>
        <family val="1"/>
      </rPr>
      <t>3</t>
    </r>
    <r>
      <rPr>
        <sz val="10"/>
        <color theme="1"/>
        <rFont val="Cambria"/>
        <family val="2"/>
      </rPr>
      <t xml:space="preserve"> /day </t>
    </r>
  </si>
  <si>
    <t>$/Annum</t>
  </si>
  <si>
    <t xml:space="preserve">Cost of Water </t>
  </si>
  <si>
    <t xml:space="preserve">Daily Urea Production </t>
  </si>
  <si>
    <t xml:space="preserve">Water Per Ton </t>
  </si>
  <si>
    <t xml:space="preserve">Total Water </t>
  </si>
  <si>
    <t xml:space="preserve">Daily Makeup Water Per Mt  Consumption for Urea </t>
  </si>
  <si>
    <t xml:space="preserve">Ton/M3 conversion rate </t>
  </si>
  <si>
    <r>
      <t>Recycle Water M</t>
    </r>
    <r>
      <rPr>
        <b/>
        <u/>
        <vertAlign val="superscript"/>
        <sz val="10"/>
        <color theme="1"/>
        <rFont val="Cambria"/>
        <family val="1"/>
      </rPr>
      <t>3</t>
    </r>
    <r>
      <rPr>
        <b/>
        <u/>
        <sz val="10"/>
        <color theme="1"/>
        <rFont val="Cambria"/>
        <family val="1"/>
      </rPr>
      <t>/day</t>
    </r>
  </si>
  <si>
    <t xml:space="preserve">Daily Make up Water </t>
  </si>
  <si>
    <t xml:space="preserve"> Recycle Water Per Mt of Urea </t>
  </si>
  <si>
    <t xml:space="preserve">Cost Price  of Water  </t>
  </si>
  <si>
    <t xml:space="preserve">Cost of Water Consumed for Urea </t>
  </si>
  <si>
    <t>1.0 MMTPY</t>
  </si>
  <si>
    <t xml:space="preserve">Daily Methanol Production </t>
  </si>
  <si>
    <t xml:space="preserve">Recycle Water Consumption Per Mt of Methanol </t>
  </si>
  <si>
    <t xml:space="preserve">Daily Makeup Water Per Mt Consumption </t>
  </si>
  <si>
    <t xml:space="preserve">Cost of Recycle Water </t>
  </si>
  <si>
    <t xml:space="preserve">Cost of Daily Makeup Water </t>
  </si>
  <si>
    <r>
      <t>Naira /M</t>
    </r>
    <r>
      <rPr>
        <i/>
        <vertAlign val="superscript"/>
        <sz val="9"/>
        <color rgb="FFC00000"/>
        <rFont val="Calibri"/>
        <family val="2"/>
        <scheme val="minor"/>
      </rPr>
      <t>3</t>
    </r>
    <r>
      <rPr>
        <i/>
        <sz val="9"/>
        <color rgb="FFC00000"/>
        <rFont val="Calibri"/>
        <family val="2"/>
        <scheme val="minor"/>
      </rPr>
      <t xml:space="preserve"> Per Day</t>
    </r>
  </si>
  <si>
    <t xml:space="preserve">Cost of Water -Methanol  </t>
  </si>
  <si>
    <t xml:space="preserve">MDEA </t>
  </si>
  <si>
    <t>MDEA</t>
  </si>
  <si>
    <t>ton/hr</t>
  </si>
  <si>
    <t>tons/Annum</t>
  </si>
  <si>
    <t xml:space="preserve">Costs (S) Annum </t>
  </si>
  <si>
    <t xml:space="preserve">Ton /Urea Mt </t>
  </si>
  <si>
    <t xml:space="preserve">MDEA Ton /UREA Ton </t>
  </si>
  <si>
    <t>Cost per MDEA/Urea Ton</t>
  </si>
  <si>
    <t>Water</t>
  </si>
  <si>
    <t xml:space="preserve">Rate Units </t>
  </si>
  <si>
    <t xml:space="preserve">Electricity Cost per Hour </t>
  </si>
  <si>
    <t xml:space="preserve">Electricity </t>
  </si>
  <si>
    <t xml:space="preserve">Process Utilities </t>
  </si>
  <si>
    <t xml:space="preserve">Total  Utilities </t>
  </si>
  <si>
    <t>USD /H</t>
  </si>
  <si>
    <t>KW</t>
  </si>
  <si>
    <t>UREA PLANT</t>
  </si>
  <si>
    <t>Methanol  PLANT</t>
  </si>
  <si>
    <t xml:space="preserve">Cost of MDEA Per Urea </t>
  </si>
  <si>
    <t xml:space="preserve">Total Volume of MDEA </t>
  </si>
  <si>
    <t xml:space="preserve">Cost of MDEA Per Mt </t>
  </si>
  <si>
    <t>Total Cost of MDEA</t>
  </si>
  <si>
    <t>Quantity of MDEA Per Mt Urea</t>
  </si>
  <si>
    <t>Quantity  of MDEA Per Mt</t>
  </si>
  <si>
    <t xml:space="preserve">Cost of Gas </t>
  </si>
  <si>
    <t>Cost of MDEA</t>
  </si>
  <si>
    <t xml:space="preserve">Total Raw Material </t>
  </si>
  <si>
    <t xml:space="preserve">Raw Material Break Down -Methanol </t>
  </si>
  <si>
    <t xml:space="preserve">Raw Material </t>
  </si>
  <si>
    <t xml:space="preserve">Cost  of Gas Utilised </t>
  </si>
  <si>
    <t xml:space="preserve">Cost of Water -Utilised </t>
  </si>
  <si>
    <t xml:space="preserve">Cost of Raw Material Urea </t>
  </si>
  <si>
    <t xml:space="preserve">Cost of Raw Material for Methanol </t>
  </si>
  <si>
    <t>Cost of Raw Material Methanol</t>
  </si>
  <si>
    <t xml:space="preserve">Raw Material Break Down -Summary </t>
  </si>
  <si>
    <t xml:space="preserve">Cost of Raw Materials </t>
  </si>
  <si>
    <t xml:space="preserve">Total Methanol Produced </t>
  </si>
  <si>
    <t xml:space="preserve">Total Product Produced </t>
  </si>
  <si>
    <t xml:space="preserve">Total Water Utilised </t>
  </si>
  <si>
    <t xml:space="preserve">Total of Gas </t>
  </si>
  <si>
    <t>Gas Cost per mt of Urea</t>
  </si>
  <si>
    <t xml:space="preserve">Gas Cost per mt of Methanol </t>
  </si>
  <si>
    <t xml:space="preserve">Total Cost of  Water </t>
  </si>
  <si>
    <r>
      <t>M</t>
    </r>
    <r>
      <rPr>
        <vertAlign val="superscript"/>
        <sz val="8"/>
        <color rgb="FFFF0000"/>
        <rFont val="Arial"/>
        <family val="2"/>
      </rPr>
      <t>3</t>
    </r>
  </si>
  <si>
    <t xml:space="preserve">Total of Water </t>
  </si>
  <si>
    <t>Cost of Water  per mt of Urea</t>
  </si>
  <si>
    <t xml:space="preserve">Cost of Water  per mt of Methanol </t>
  </si>
  <si>
    <t xml:space="preserve">Cost of MDEA per mt of Urea </t>
  </si>
  <si>
    <t>Total Cost of Raw Materials</t>
  </si>
  <si>
    <t xml:space="preserve">Total Cost of Raw Material -Urea </t>
  </si>
  <si>
    <t xml:space="preserve">Total Cost of Raw Material -Methanol </t>
  </si>
  <si>
    <t xml:space="preserve">Cost of Raw Material </t>
  </si>
  <si>
    <t xml:space="preserve">Security </t>
  </si>
  <si>
    <t xml:space="preserve">Startup Expenses+ Security </t>
  </si>
  <si>
    <t xml:space="preserve">Security Cost </t>
  </si>
  <si>
    <r>
      <t>M</t>
    </r>
    <r>
      <rPr>
        <vertAlign val="superscript"/>
        <sz val="10"/>
        <color theme="1"/>
        <rFont val="Calibri"/>
        <family val="2"/>
        <scheme val="minor"/>
      </rPr>
      <t>3</t>
    </r>
    <r>
      <rPr>
        <sz val="10"/>
        <color theme="1"/>
        <rFont val="Calibri"/>
        <family val="2"/>
        <scheme val="minor"/>
      </rPr>
      <t xml:space="preserve"> /day </t>
    </r>
  </si>
  <si>
    <t>Pre-tax Payback</t>
  </si>
  <si>
    <t xml:space="preserve">Post-tax Payback </t>
  </si>
  <si>
    <r>
      <t>Recycle Water M</t>
    </r>
    <r>
      <rPr>
        <u/>
        <vertAlign val="superscript"/>
        <sz val="10"/>
        <color theme="1"/>
        <rFont val="Calibri"/>
        <family val="2"/>
        <scheme val="minor"/>
      </rPr>
      <t>3</t>
    </r>
    <r>
      <rPr>
        <u/>
        <sz val="10"/>
        <color theme="1"/>
        <rFont val="Calibri"/>
        <family val="2"/>
        <scheme val="minor"/>
      </rPr>
      <t>/day</t>
    </r>
  </si>
  <si>
    <t xml:space="preserve">With Power Plant  </t>
  </si>
  <si>
    <t>EUROBONDS YIELD DATA</t>
  </si>
  <si>
    <t>DATE</t>
  </si>
  <si>
    <t>7.625% US$1.118BN NOV 2025 Eurobond</t>
  </si>
  <si>
    <t>6.500% US$1.5BN NOV 2027 Eurobond</t>
  </si>
  <si>
    <t>6.125% US$1.25BN SEP 28 Eurobond</t>
  </si>
  <si>
    <t>8.375% US$ 1.25BN MAR 29 Eurobond</t>
  </si>
  <si>
    <t>7.143% US$1.25BN FEB 2030 Eurobond</t>
  </si>
  <si>
    <t>8.747% US$1.0BN JAN 2031 Eurobond</t>
  </si>
  <si>
    <t>7.875% US$1.5BN FEB 2032 Eurobond</t>
  </si>
  <si>
    <t>7.375% US$1.5BN SEP 2033 Eurobond</t>
  </si>
  <si>
    <t>7.696% US$1.25BN FEB 2038 Eurobond</t>
  </si>
  <si>
    <t>7.625% US$1.5BN NOV 2047 Eurobond</t>
  </si>
  <si>
    <t>9.248% US$750M JAN 2049 Eurobond</t>
  </si>
  <si>
    <t>8.25% US$1.25BN SEP 2051 Eurobond</t>
  </si>
  <si>
    <t xml:space="preserve">Ave </t>
  </si>
  <si>
    <t>Cost of Capital</t>
  </si>
  <si>
    <t>Cost of Capital Calculation</t>
  </si>
  <si>
    <t>Debt to Total Capitalization</t>
  </si>
  <si>
    <t>Projections</t>
  </si>
  <si>
    <t>Equity to Total Capitalization</t>
  </si>
  <si>
    <t>Cost of Debt</t>
  </si>
  <si>
    <t>Interest Rate on Debt</t>
  </si>
  <si>
    <t>Projection</t>
  </si>
  <si>
    <t>Tax rate</t>
  </si>
  <si>
    <t>CIT</t>
  </si>
  <si>
    <t>After-tax Cost of Debt</t>
  </si>
  <si>
    <t>Calculated</t>
  </si>
  <si>
    <t>DMO</t>
  </si>
  <si>
    <t>Risk Free Rate</t>
  </si>
  <si>
    <t>Risk Premium</t>
  </si>
  <si>
    <t>After-Tax Cost of Debt</t>
  </si>
  <si>
    <t>Deb to Total Capitalization</t>
  </si>
  <si>
    <t>M3 /ton</t>
  </si>
  <si>
    <t>z</t>
  </si>
  <si>
    <t xml:space="preserve">Base Case </t>
  </si>
  <si>
    <t xml:space="preserve">Urea Train 1 -Project Cost </t>
  </si>
  <si>
    <t xml:space="preserve">Urea Train 2 -Project Cost </t>
  </si>
  <si>
    <t xml:space="preserve">Methanol Train 1 -Project Cost </t>
  </si>
  <si>
    <t>Change in Project Cost</t>
  </si>
  <si>
    <t xml:space="preserve">Total Project Cost Post Sensitivity </t>
  </si>
  <si>
    <t>Change in sale revenue</t>
  </si>
  <si>
    <t xml:space="preserve">Total Revenue Post Sensitivity </t>
  </si>
  <si>
    <t xml:space="preserve">Change in Operating Cost </t>
  </si>
  <si>
    <t xml:space="preserve">Total Operating Cost Post Sensitivity </t>
  </si>
  <si>
    <t>Total Natural Gas utilization</t>
  </si>
  <si>
    <t>Cost of Raw Material Per Ton -Urea</t>
  </si>
  <si>
    <t xml:space="preserve">Cost of Raw Material Per Ton -Methanol </t>
  </si>
  <si>
    <t xml:space="preserve">Change in Cost of Raw Material </t>
  </si>
  <si>
    <t>Total Raw Material</t>
  </si>
  <si>
    <t xml:space="preserve">Total Raw Materail Post Sensitivity </t>
  </si>
  <si>
    <t xml:space="preserve">Change in Urea Price </t>
  </si>
  <si>
    <t xml:space="preserve">Change in Methanol,Price </t>
  </si>
  <si>
    <t xml:space="preserve">Urea Price Post Sensitivity </t>
  </si>
  <si>
    <t xml:space="preserve">Methanol Price Post Cost Post Sensitivity </t>
  </si>
  <si>
    <t xml:space="preserve">Urea Price -Export Sales </t>
  </si>
  <si>
    <t xml:space="preserve">Urea Price -Local Sales </t>
  </si>
  <si>
    <t xml:space="preserve">Methnol Price -Local Sales </t>
  </si>
  <si>
    <t xml:space="preserve">Methnol Price -Export  Sales </t>
  </si>
  <si>
    <t xml:space="preserve">Sensitivty List </t>
  </si>
  <si>
    <t xml:space="preserve">Current Price -Urea </t>
  </si>
  <si>
    <t xml:space="preserve">Natural Gas Price Calculation -Urea </t>
  </si>
  <si>
    <t xml:space="preserve">Average Current Month End Product (CMPP)- Urea </t>
  </si>
  <si>
    <t xml:space="preserve">Product Reference Price (PRP)-Urea </t>
  </si>
  <si>
    <t>Natural Gas Price Calculation -Methanol</t>
  </si>
  <si>
    <t xml:space="preserve">Current Price -Formulae </t>
  </si>
  <si>
    <t xml:space="preserve">PIA </t>
  </si>
  <si>
    <t>NMDPRA (US$/mmbtu)</t>
  </si>
  <si>
    <t>Average Current Month End Product (CMPP)- Methanol</t>
  </si>
  <si>
    <t>Product Reference Price (PRP)-Methanol</t>
  </si>
  <si>
    <t>Current Price -Methanol</t>
  </si>
  <si>
    <t>PIA (US$/Mt)</t>
  </si>
  <si>
    <t xml:space="preserve">Total Cost of Natural Gas -Urea </t>
  </si>
  <si>
    <t xml:space="preserve">Total Gas Utilised Per annum </t>
  </si>
  <si>
    <t>Gas utillised Per Ton Methanol</t>
  </si>
  <si>
    <t xml:space="preserve">Total Cost of Gas -Urea </t>
  </si>
  <si>
    <t xml:space="preserve">Change in Cost of Gas -Urea </t>
  </si>
  <si>
    <t xml:space="preserve">Natural Gas Price - Urea </t>
  </si>
  <si>
    <t xml:space="preserve">Natural Gas Price - Methanol </t>
  </si>
  <si>
    <t xml:space="preserve">Cost of Gas -Urea </t>
  </si>
  <si>
    <t>Cost of Gas -Methanol</t>
  </si>
  <si>
    <t>Change in Cost of Gas -Methanol</t>
  </si>
  <si>
    <t xml:space="preserve">Total Cost of Gas -Methanol </t>
  </si>
  <si>
    <t xml:space="preserve">Urea Train 1 -Opex </t>
  </si>
  <si>
    <t xml:space="preserve">MethanoL Train 1  Opex </t>
  </si>
  <si>
    <t xml:space="preserve">Sensitivity </t>
  </si>
  <si>
    <t>Change in Urea Train 1 Project Cost</t>
  </si>
  <si>
    <t xml:space="preserve">Total Urea Train 1 Project Cost </t>
  </si>
  <si>
    <t xml:space="preserve">Total Urea Train 1 Project Cost Post Sensitivity </t>
  </si>
  <si>
    <t xml:space="preserve">Change in Methanol Train 1 </t>
  </si>
  <si>
    <t xml:space="preserve">Total Project Cost -Methanol Train 1 </t>
  </si>
  <si>
    <t xml:space="preserve">Total Project Cost Post Sensitivity -Methanol Train 1 </t>
  </si>
  <si>
    <t xml:space="preserve">Urea Train 3 Project Cost </t>
  </si>
  <si>
    <t xml:space="preserve">Check </t>
  </si>
  <si>
    <t xml:space="preserve">Total Train 1 Opex </t>
  </si>
  <si>
    <t xml:space="preserve">Total Train 2 Opex </t>
  </si>
  <si>
    <t xml:space="preserve">Change in Operating Cost -Urea Train 1 </t>
  </si>
  <si>
    <t>Change in Operating Cost -Urea Train 2</t>
  </si>
  <si>
    <t>Total Operating Cost -Urea Train 1</t>
  </si>
  <si>
    <t>Total Operating Cost Post Sensitivity -Urea Train 1</t>
  </si>
  <si>
    <t>Total Operating Cost -Urea Train 2</t>
  </si>
  <si>
    <t>Total Operating Cost Post Sensitivity -Urea Train 12</t>
  </si>
  <si>
    <t>Change in Operating Cost -Urea Train 3</t>
  </si>
  <si>
    <t>Total Operating Cost -Urea Train 3</t>
  </si>
  <si>
    <t>Total Operating Cost Post Sensitivity -Urea Train 3</t>
  </si>
  <si>
    <t>Total Operating Cost -Methnol Train 1</t>
  </si>
  <si>
    <t>Change in Operating Cost -Methanol 1</t>
  </si>
  <si>
    <t>Security Cost</t>
  </si>
  <si>
    <t xml:space="preserve">Master Sheet </t>
  </si>
  <si>
    <t>Option 2</t>
  </si>
  <si>
    <t xml:space="preserve">Urea Train 2 -Opex </t>
  </si>
  <si>
    <t xml:space="preserve">Urea Train 3 -Opex </t>
  </si>
  <si>
    <t xml:space="preserve">Power Opex Calculation </t>
  </si>
  <si>
    <t xml:space="preserve">Maintenace </t>
  </si>
  <si>
    <t>N</t>
  </si>
  <si>
    <t xml:space="preserve">Total Power Plant </t>
  </si>
  <si>
    <t xml:space="preserve">Power Plant -200 MW Opex </t>
  </si>
  <si>
    <t>Power Plant -</t>
  </si>
  <si>
    <t xml:space="preserve">Change in Power Plant  Operating Cost </t>
  </si>
  <si>
    <t xml:space="preserve">Total Power Plant Operating Cost </t>
  </si>
  <si>
    <t xml:space="preserve">Total Power Plant Operating Cost Post Sensitivity </t>
  </si>
  <si>
    <t xml:space="preserve">Power Plant Opex </t>
  </si>
  <si>
    <t xml:space="preserve">Price of </t>
  </si>
  <si>
    <t xml:space="preserve">Scf </t>
  </si>
  <si>
    <t xml:space="preserve">MMBTU </t>
  </si>
  <si>
    <t>Gas Price for Power Plant (MMBTU)</t>
  </si>
  <si>
    <t>Gas Price</t>
  </si>
  <si>
    <t xml:space="preserve">DASHBOARD -UREA AND METHANOL FINANCIAL MODEL </t>
  </si>
  <si>
    <t xml:space="preserve">Project  IRR -Pre Tax </t>
  </si>
  <si>
    <t xml:space="preserve">Project IRR -Post Tax </t>
  </si>
  <si>
    <t>Project NPV -Pre Tax (US$)</t>
  </si>
  <si>
    <t>Project NPV Post Tax (US$)</t>
  </si>
  <si>
    <t xml:space="preserve">Project Profitability Indices </t>
  </si>
  <si>
    <t xml:space="preserve">Equity Profitability Indices </t>
  </si>
  <si>
    <t xml:space="preserve">Equity  IRR -Pre Tax </t>
  </si>
  <si>
    <t xml:space="preserve">Equity IRR -Post Tax </t>
  </si>
  <si>
    <t>Equity NPV Post Tax (US$)</t>
  </si>
  <si>
    <t>Equity NPV -Pre Tax (US$)</t>
  </si>
  <si>
    <t xml:space="preserve">Debt Indices </t>
  </si>
  <si>
    <t xml:space="preserve">Equity Percentage </t>
  </si>
  <si>
    <t xml:space="preserve">PayBack Period  Indices </t>
  </si>
  <si>
    <t>Project Payback</t>
  </si>
  <si>
    <t xml:space="preserve">Equity Payback  </t>
  </si>
  <si>
    <t xml:space="preserve">Equity </t>
  </si>
  <si>
    <t xml:space="preserve">Debt </t>
  </si>
  <si>
    <t xml:space="preserve">Sources Fund </t>
  </si>
  <si>
    <t xml:space="preserve">Use of Funds </t>
  </si>
  <si>
    <t xml:space="preserve">Total Source of Funds </t>
  </si>
  <si>
    <t xml:space="preserve">Capital expenditure-Urea Train 1 </t>
  </si>
  <si>
    <t>Capital expenditure-Urea Train 2</t>
  </si>
  <si>
    <t>Capital expenditure-Urea Train 3</t>
  </si>
  <si>
    <t>Capital expenditure-Methanol  Train 1</t>
  </si>
  <si>
    <t xml:space="preserve">Total  Use of Funds </t>
  </si>
  <si>
    <t xml:space="preserve">Cost of Labour </t>
  </si>
  <si>
    <t xml:space="preserve">Cost of Power </t>
  </si>
  <si>
    <t xml:space="preserve">Urea  Labour Cost </t>
  </si>
  <si>
    <t xml:space="preserve">Urea Power Cost </t>
  </si>
  <si>
    <t xml:space="preserve">Methanol  Labour </t>
  </si>
  <si>
    <t xml:space="preserve">Methanol Power </t>
  </si>
  <si>
    <t xml:space="preserve">Total Cost of Power for Urea </t>
  </si>
  <si>
    <t xml:space="preserve">Gross Margin </t>
  </si>
  <si>
    <t>Gross Margin %</t>
  </si>
  <si>
    <t xml:space="preserve">Gross Margin Per Ton </t>
  </si>
  <si>
    <t>Cost Of Sales Per Ton -USD/MT</t>
  </si>
  <si>
    <t xml:space="preserve">Opex </t>
  </si>
  <si>
    <t>Security</t>
  </si>
  <si>
    <t>EBITDA</t>
  </si>
  <si>
    <t xml:space="preserve">Opex Per Ton -ISD/MT </t>
  </si>
  <si>
    <t>Contribition Margin Ratio</t>
  </si>
  <si>
    <t>Contribition</t>
  </si>
  <si>
    <t xml:space="preserve">EBITDA Margin </t>
  </si>
  <si>
    <t xml:space="preserve">EBITDA Per Ton </t>
  </si>
  <si>
    <t>EBT</t>
  </si>
  <si>
    <t xml:space="preserve">EBT Margin </t>
  </si>
  <si>
    <t xml:space="preserve">&lt;&lt;&lt;End of Worksheet for Urea </t>
  </si>
  <si>
    <t>Urea Production (Annual)</t>
  </si>
  <si>
    <t>Methanol Production (Annual)</t>
  </si>
  <si>
    <t xml:space="preserve">Revenue Per Mt </t>
  </si>
  <si>
    <t xml:space="preserve">Revenue per Mt </t>
  </si>
  <si>
    <t>US$/MT</t>
  </si>
  <si>
    <t>Total Cost of Power for Methanol</t>
  </si>
  <si>
    <t xml:space="preserve">Product Margin Sheet </t>
  </si>
  <si>
    <t xml:space="preserve">Production Volume </t>
  </si>
  <si>
    <t xml:space="preserve">Production Year </t>
  </si>
  <si>
    <t>Cost of Sales Per Mt</t>
  </si>
  <si>
    <t xml:space="preserve">Operating Cost Per Mt </t>
  </si>
  <si>
    <t xml:space="preserve">Depreciation </t>
  </si>
  <si>
    <t xml:space="preserve">Finance Cost -Interest and Fees  </t>
  </si>
  <si>
    <t>Total Cost</t>
  </si>
  <si>
    <t>Net Margin</t>
  </si>
  <si>
    <t xml:space="preserve">Net Margin Percentage </t>
  </si>
  <si>
    <t xml:space="preserve">Raw Material Methanol </t>
  </si>
  <si>
    <t xml:space="preserve">Summary of Raw Material Urea </t>
  </si>
  <si>
    <t>Summary Raw Material Urea and Methanol</t>
  </si>
  <si>
    <t xml:space="preserve">Project Cost </t>
  </si>
  <si>
    <t>Decommission  reserve account</t>
  </si>
  <si>
    <t>Interest During Construction (IDC)</t>
  </si>
  <si>
    <t>Urea Train 2</t>
  </si>
  <si>
    <t xml:space="preserve">Decommissioning Cost  (percentage of Capex) -Train </t>
  </si>
  <si>
    <t xml:space="preserve">Security Cost and Decommission Cost </t>
  </si>
  <si>
    <t>Plant Deputy Manager</t>
  </si>
  <si>
    <t>Plant Engineer</t>
  </si>
  <si>
    <t xml:space="preserve">Maintenance Supervisor </t>
  </si>
  <si>
    <t>Lab Manager</t>
  </si>
  <si>
    <t>Shift Supervisor</t>
  </si>
  <si>
    <t xml:space="preserve">Head of Maintenance </t>
  </si>
  <si>
    <t>Head of Laboratory</t>
  </si>
  <si>
    <t>HSE Personnel</t>
  </si>
  <si>
    <t>Lab Technician</t>
  </si>
  <si>
    <t>Maintenance Engineers &amp; Tech</t>
  </si>
  <si>
    <t>Shift Engineers/Operators</t>
  </si>
  <si>
    <t>Total Personnel/Staff</t>
  </si>
  <si>
    <t>No.</t>
  </si>
  <si>
    <t xml:space="preserve"> Salary Per Annum/Staff ($) </t>
  </si>
  <si>
    <t xml:space="preserve"> Total Salary Per Annum ($) </t>
  </si>
  <si>
    <t xml:space="preserve">1.0 MMTPA UREA PLANT </t>
  </si>
  <si>
    <t xml:space="preserve">1.167 MMTPA UREA PLANT </t>
  </si>
  <si>
    <t xml:space="preserve">1.5 MMTPA UREA PLANT </t>
  </si>
  <si>
    <t xml:space="preserve">0.5 MMTPA UREA PLANT </t>
  </si>
  <si>
    <t>Nigerian 13 years Eurobond -</t>
  </si>
  <si>
    <t>Equity Risk Premium (US)</t>
  </si>
  <si>
    <t>To look up the equity risk premium for a country, use this worksheet</t>
  </si>
  <si>
    <t>Country</t>
  </si>
  <si>
    <t>United States</t>
  </si>
  <si>
    <t>If you cannot find a country on this list, it is because that country does not have a sovereign rating</t>
  </si>
  <si>
    <t>or a sovereign CDS spread. Try the PRS worksheet in this spreadsheet for an alternate estimate.</t>
  </si>
  <si>
    <t>Moody's sovereign rating</t>
  </si>
  <si>
    <t>Local currency</t>
  </si>
  <si>
    <t>S&amp;P sovereign rating</t>
  </si>
  <si>
    <t>CDS spread</t>
  </si>
  <si>
    <t>Excess CDS spread (over US CDS)</t>
  </si>
  <si>
    <t>Country Default Spread (based on rating)</t>
  </si>
  <si>
    <t>Country Risk Premium (Rating)</t>
  </si>
  <si>
    <t>Equity Risk Premium (Rating)</t>
  </si>
  <si>
    <t>Country Risk Premium (CDS)</t>
  </si>
  <si>
    <t>Equity Risk Premium (CDS)</t>
  </si>
  <si>
    <t>To look up the equity risk premium for a region, use this worksheet</t>
  </si>
  <si>
    <t>Asia</t>
  </si>
  <si>
    <t>Country Risk Premium (simple average))</t>
  </si>
  <si>
    <t>Total Equity Risk Premium (simple average)</t>
  </si>
  <si>
    <t>Country Risk Premium (GDP weighted)</t>
  </si>
  <si>
    <t>Total Equity Risk Premium (GDP weighted)</t>
  </si>
  <si>
    <t>To construct your own regional ERP, use the data on GDP and ERP for countries in the Regional Weighted Averages Worksheet</t>
  </si>
  <si>
    <t>For countries not on the list above, try this frontier market list</t>
  </si>
  <si>
    <t>Zimbabwe</t>
  </si>
  <si>
    <t>PRS Score</t>
  </si>
  <si>
    <t>ERP based on PRS Score</t>
  </si>
  <si>
    <t xml:space="preserve"> Assumed </t>
  </si>
  <si>
    <t xml:space="preserve">Gas Price for Power Plant </t>
  </si>
  <si>
    <t xml:space="preserve">Security Cost and Decommissioning Cost </t>
  </si>
  <si>
    <t xml:space="preserve">Operating Cost for Power Plant </t>
  </si>
  <si>
    <t>Gross Margin</t>
  </si>
  <si>
    <t xml:space="preserve">Operating Margin </t>
  </si>
  <si>
    <t xml:space="preserve">Contribution Margin </t>
  </si>
  <si>
    <t>Operarting Margin</t>
  </si>
  <si>
    <t>Cost of Natural Gas -Urea</t>
  </si>
  <si>
    <t>Cost of Natural Gas -Methanol</t>
  </si>
  <si>
    <t xml:space="preserve">Loan Term </t>
  </si>
  <si>
    <t xml:space="preserve">Loan Tenor </t>
  </si>
  <si>
    <t>eepak Fertilisers &amp; Pe...</t>
  </si>
  <si>
    <t>IND</t>
  </si>
  <si>
    <t>International Peers Median</t>
  </si>
  <si>
    <t>Gujarat State Fertilize...</t>
  </si>
  <si>
    <t>1 040</t>
  </si>
  <si>
    <t>Tata Chemicals Limited</t>
  </si>
  <si>
    <t>3 273</t>
  </si>
  <si>
    <t>Coromandel Internationa...</t>
  </si>
  <si>
    <t>4 535</t>
  </si>
  <si>
    <t>China BlueChemical Ltd.</t>
  </si>
  <si>
    <t>CHN</t>
  </si>
  <si>
    <t>1 481</t>
  </si>
  <si>
    <t>N/A</t>
  </si>
  <si>
    <t>Sinofert Holdings Limit...</t>
  </si>
  <si>
    <t>BMU</t>
  </si>
  <si>
    <t xml:space="preserve">Average Beta of FERTILIZER Companies </t>
  </si>
  <si>
    <t>Ctry</t>
  </si>
  <si>
    <t>Market</t>
  </si>
  <si>
    <t>Cap.</t>
  </si>
  <si>
    <t>last (mUSD)</t>
  </si>
  <si>
    <t>1-Year</t>
  </si>
  <si>
    <t>Year-To-Date</t>
  </si>
  <si>
    <t>Price Change</t>
  </si>
  <si>
    <t>(in local currency)</t>
  </si>
  <si>
    <t>International Peers - Deepak Fertilisers &amp; Petrochemicals Corp. Ltd.</t>
  </si>
  <si>
    <t>Company Name</t>
  </si>
  <si>
    <t>Calculation of WACC</t>
  </si>
  <si>
    <t xml:space="preserve">Funding Mix Scenario Analysis </t>
  </si>
  <si>
    <t>Funding Mix Option 1 (Debt to Equity -85:15)</t>
  </si>
  <si>
    <t xml:space="preserve">Scenario Analysis </t>
  </si>
  <si>
    <t xml:space="preserve">Best Case </t>
  </si>
  <si>
    <t xml:space="preserve">Worst Case </t>
  </si>
  <si>
    <t xml:space="preserve">Urea Plant Capacity -Train 1 </t>
  </si>
  <si>
    <t>Urea Plant Capacity -Train 2</t>
  </si>
  <si>
    <t>Urea Plant Capacity -Train 3</t>
  </si>
  <si>
    <t xml:space="preserve">Methnol Train </t>
  </si>
  <si>
    <t xml:space="preserve">Urea Train 3 </t>
  </si>
  <si>
    <t xml:space="preserve">Construction Phase </t>
  </si>
  <si>
    <t>Train I Capacity-Urea</t>
  </si>
  <si>
    <t>Train 2 Capacity-Urea</t>
  </si>
  <si>
    <t>Train 3 Capacity-Urea</t>
  </si>
  <si>
    <t xml:space="preserve"> Methanol Train  </t>
  </si>
  <si>
    <t xml:space="preserve">Early Operations </t>
  </si>
  <si>
    <t xml:space="preserve">Urea Production </t>
  </si>
  <si>
    <t xml:space="preserve">Methanol Production </t>
  </si>
  <si>
    <t xml:space="preserve">Plant Production -By Train </t>
  </si>
  <si>
    <t xml:space="preserve">Factory Capacity Multiplier -Train 1  and Methanol </t>
  </si>
  <si>
    <t xml:space="preserve">Urea Train 1 and Methanol Train </t>
  </si>
  <si>
    <t xml:space="preserve">Operations start -Train1 and Methanol </t>
  </si>
  <si>
    <t xml:space="preserve">Operations start Train 2 &amp;3 </t>
  </si>
  <si>
    <t xml:space="preserve">Operation Start Train 1 </t>
  </si>
  <si>
    <t xml:space="preserve">Quantity By Train </t>
  </si>
  <si>
    <t xml:space="preserve">Methnol </t>
  </si>
  <si>
    <t xml:space="preserve">Operating Period -Urea Train and Methanol </t>
  </si>
  <si>
    <t xml:space="preserve">Operation Period -Urea Train 1 and Methanol </t>
  </si>
  <si>
    <t xml:space="preserve">Project Location </t>
  </si>
  <si>
    <t xml:space="preserve">Project </t>
  </si>
  <si>
    <t xml:space="preserve">Pre Tax </t>
  </si>
  <si>
    <t>Post Tax</t>
  </si>
  <si>
    <t>Pre Tax</t>
  </si>
  <si>
    <t xml:space="preserve">Post Tax </t>
  </si>
  <si>
    <t>VALUATION</t>
  </si>
  <si>
    <t>Discount Factors @ WACC</t>
  </si>
  <si>
    <t>Cashflow Available for Debt Service (CFADS)</t>
  </si>
  <si>
    <t>Interest Payments</t>
  </si>
  <si>
    <t>Principal Repayments</t>
  </si>
  <si>
    <t>Total Debt Service</t>
  </si>
  <si>
    <t>PV of CFADS</t>
  </si>
  <si>
    <t>PV of Debt Service</t>
  </si>
  <si>
    <t>PV of CFADS till Loan End</t>
  </si>
  <si>
    <t>Sum of PVs of CFADS till Loan End</t>
  </si>
  <si>
    <t>SUm of PVs of CFADS till Project End</t>
  </si>
  <si>
    <t>Debt Service Coverage Ratio</t>
  </si>
  <si>
    <t>Loan Life Coverage Ratio</t>
  </si>
  <si>
    <t>Project Life Coverage Ratio</t>
  </si>
  <si>
    <t>Average DSCR</t>
  </si>
  <si>
    <t>Average LLCR</t>
  </si>
  <si>
    <t>Average PLCR</t>
  </si>
  <si>
    <t>1-tax rate</t>
  </si>
  <si>
    <t>EBIT (1-Tax Rate)</t>
  </si>
  <si>
    <t>Plus Depreciation</t>
  </si>
  <si>
    <t>Less: CAPEX</t>
  </si>
  <si>
    <t>FCFF</t>
  </si>
  <si>
    <t>FCFF for IRR calculation</t>
  </si>
  <si>
    <t>PV of FCFF</t>
  </si>
  <si>
    <t>Sum of Initial Present Value</t>
  </si>
  <si>
    <t>Terminal Value</t>
  </si>
  <si>
    <t>FreeCashflow, year 40</t>
  </si>
  <si>
    <t>Terminal discount rate</t>
  </si>
  <si>
    <t>Continuing value (yr 40)</t>
  </si>
  <si>
    <t>Present value factor</t>
  </si>
  <si>
    <t>Present value of continuing value</t>
  </si>
  <si>
    <t>Project Net Present Value (NPV)</t>
  </si>
  <si>
    <t>Project Internal Rate of Return (IRR)</t>
  </si>
  <si>
    <t>Discount Factors @ Cost of Equity</t>
  </si>
  <si>
    <t>Less: Interest expense (1-tax rate)</t>
  </si>
  <si>
    <t>Less: Long and Short term repayments</t>
  </si>
  <si>
    <t>Add: Additional Debt capital</t>
  </si>
  <si>
    <t>FCFE for IRR calculation</t>
  </si>
  <si>
    <t>PV of FCFE</t>
  </si>
  <si>
    <t>Sum of initial Present values</t>
  </si>
  <si>
    <t>Equity Net Present Value (NPV)</t>
  </si>
  <si>
    <t xml:space="preserve"> Equity Internal Rate of Return (IRR)</t>
  </si>
  <si>
    <t>Aaa</t>
  </si>
  <si>
    <t>AA+</t>
  </si>
  <si>
    <t xml:space="preserve">Construction </t>
  </si>
  <si>
    <t>Growth Rate</t>
  </si>
  <si>
    <t>Post  Tax Equity NPV and IRR Calculation</t>
  </si>
  <si>
    <t>Post Tax -Free Cash Flow to the Firm/Project</t>
  </si>
  <si>
    <t xml:space="preserve">Tax </t>
  </si>
  <si>
    <t xml:space="preserve">Pre-Tax Project NPV and IRR </t>
  </si>
  <si>
    <t>FreeCashflow, year 41</t>
  </si>
  <si>
    <t>Pre-Tax Project Net Present Value (NPV)</t>
  </si>
  <si>
    <t>Pre-tax Project Internal Rate of Return (IRR)</t>
  </si>
  <si>
    <t xml:space="preserve">Pre-Tax FCFF </t>
  </si>
  <si>
    <t>Pre-Tax Equity NPV and IRR</t>
  </si>
  <si>
    <t xml:space="preserve">Cumulative </t>
  </si>
  <si>
    <t xml:space="preserve">Total After Cashflow before Tax </t>
  </si>
  <si>
    <t xml:space="preserve">Pre-Tax Equity Payback Period </t>
  </si>
  <si>
    <t xml:space="preserve">Pre-Tax Project Payback Period </t>
  </si>
  <si>
    <t xml:space="preserve">Post Tax Project PayBack Peiod </t>
  </si>
  <si>
    <t xml:space="preserve">Post Tax Equity Payback Period </t>
  </si>
  <si>
    <t xml:space="preserve">Min DSCR </t>
  </si>
  <si>
    <t xml:space="preserve">Min LLCR </t>
  </si>
  <si>
    <t xml:space="preserve">Min PLCR </t>
  </si>
  <si>
    <t>Post-Tax</t>
  </si>
  <si>
    <t xml:space="preserve">Cost of Land </t>
  </si>
  <si>
    <t>Average Land Size -(Hectares)</t>
  </si>
  <si>
    <t>Average Land Price/Hectare  -Kano</t>
  </si>
  <si>
    <t>Average Land Price/Hectare  -Kaduna</t>
  </si>
  <si>
    <t>Average Land Price/Hectare  -Abuja</t>
  </si>
  <si>
    <t>Naira (N)</t>
  </si>
  <si>
    <t xml:space="preserve">Urea Land -Train 1 </t>
  </si>
  <si>
    <t>Urea Land -Train 2</t>
  </si>
  <si>
    <t>Urea Land -Train 3</t>
  </si>
  <si>
    <t xml:space="preserve">Hospital </t>
  </si>
  <si>
    <t>Recreational (Golf course)</t>
  </si>
  <si>
    <t>Conservation Area</t>
  </si>
  <si>
    <t>Staff Housing</t>
  </si>
  <si>
    <t>Utility facilities (Housing)</t>
  </si>
  <si>
    <t xml:space="preserve">Shopping mall </t>
  </si>
  <si>
    <t>Sport complex</t>
  </si>
  <si>
    <t xml:space="preserve">Religious activities </t>
  </si>
  <si>
    <t>Police Station and Security post</t>
  </si>
  <si>
    <t>Green Area</t>
  </si>
  <si>
    <t xml:space="preserve">Urea 1.0 -Train One </t>
  </si>
  <si>
    <t xml:space="preserve">Urea 1.0 Train Two </t>
  </si>
  <si>
    <t xml:space="preserve">Land Cost </t>
  </si>
  <si>
    <t xml:space="preserve">land </t>
  </si>
  <si>
    <t xml:space="preserve">Urea 1.5 -Train One </t>
  </si>
  <si>
    <t xml:space="preserve">Urea 1.5 Train Two </t>
  </si>
  <si>
    <t xml:space="preserve">Urea 1.75 -Train One </t>
  </si>
  <si>
    <t xml:space="preserve">Urea 1.75 Train Two </t>
  </si>
  <si>
    <t xml:space="preserve">Urea 1.165 -Train One </t>
  </si>
  <si>
    <t xml:space="preserve">Urea 1.165 Train Two </t>
  </si>
  <si>
    <t>Urea 1.165 Train Three</t>
  </si>
  <si>
    <t xml:space="preserve">Cost of Land and -USD </t>
  </si>
  <si>
    <t xml:space="preserve">0.5 Methanol </t>
  </si>
  <si>
    <t xml:space="preserve">1.0 Methanol </t>
  </si>
  <si>
    <t xml:space="preserve">1.5 Methanol </t>
  </si>
  <si>
    <t xml:space="preserve">Average Size of Land </t>
  </si>
  <si>
    <t xml:space="preserve">Price of Land Per Hectare </t>
  </si>
  <si>
    <t xml:space="preserve">Land Location </t>
  </si>
  <si>
    <t>Average Size of Land (Hectares)</t>
  </si>
  <si>
    <t>Price of Land Per Hectare (Naira)</t>
  </si>
  <si>
    <t>Price of Land Per Hectare (USD)</t>
  </si>
  <si>
    <t xml:space="preserve">Land Development Cost </t>
  </si>
  <si>
    <t>Urea Train 1</t>
  </si>
  <si>
    <t xml:space="preserve">Methanol Train </t>
  </si>
  <si>
    <t xml:space="preserve">TOTAL </t>
  </si>
  <si>
    <t xml:space="preserve">Land Development </t>
  </si>
  <si>
    <t>Land Development Cost</t>
  </si>
  <si>
    <t xml:space="preserve">Option 1 </t>
  </si>
  <si>
    <t xml:space="preserve">Sales Per Product </t>
  </si>
  <si>
    <t xml:space="preserve">Operatig Cost </t>
  </si>
  <si>
    <t xml:space="preserve">Operatng Labour Cost </t>
  </si>
  <si>
    <t xml:space="preserve">Change in Labour Operating Cost  </t>
  </si>
  <si>
    <t xml:space="preserve">Total Labour Operating Cost </t>
  </si>
  <si>
    <t xml:space="preserve">Total Labour Operating Cost Post Sensitivity </t>
  </si>
  <si>
    <t xml:space="preserve">Average LLCR </t>
  </si>
  <si>
    <t xml:space="preserve">Return on Investment </t>
  </si>
  <si>
    <t xml:space="preserve">Percentage of Revenue </t>
  </si>
  <si>
    <t>Raw Material-Main</t>
  </si>
  <si>
    <t xml:space="preserve">Raw Material -Urea </t>
  </si>
  <si>
    <t xml:space="preserve">Raw Material -Methanol </t>
  </si>
  <si>
    <t xml:space="preserve">Cost of Recycle Water -Methanol </t>
  </si>
  <si>
    <t xml:space="preserve">Quantity of water Utilised - per mmbtu </t>
  </si>
  <si>
    <t xml:space="preserve">Quantity of Water  Utilised - per mmbtu </t>
  </si>
  <si>
    <t xml:space="preserve"> Equity Internal Rate of Return (MIRR)</t>
  </si>
  <si>
    <t>Pre-tax Project Internal Rate of Return (MIRR)</t>
  </si>
  <si>
    <t>Pre-tax Project Modified Internal Rate of Return (MIRR)</t>
  </si>
  <si>
    <t>Project Modified Internal Rate of Return (MIRR)</t>
  </si>
  <si>
    <t>S/No</t>
  </si>
  <si>
    <t xml:space="preserve">Department </t>
  </si>
  <si>
    <t xml:space="preserve">Sub-units </t>
  </si>
  <si>
    <t>Staff/ 12 hr. shift</t>
  </si>
  <si>
    <t>Total staff</t>
  </si>
  <si>
    <t xml:space="preserve">Discipline </t>
  </si>
  <si>
    <r>
      <t xml:space="preserve">Salary per annum </t>
    </r>
    <r>
      <rPr>
        <b/>
        <sz val="12"/>
        <color theme="1"/>
        <rFont val="Calibri"/>
        <family val="2"/>
      </rPr>
      <t>($)</t>
    </r>
  </si>
  <si>
    <r>
      <t xml:space="preserve">Total Salary </t>
    </r>
    <r>
      <rPr>
        <b/>
        <sz val="12"/>
        <color theme="1"/>
        <rFont val="Calibri"/>
        <family val="2"/>
      </rPr>
      <t>($)</t>
    </r>
    <r>
      <rPr>
        <b/>
        <sz val="12"/>
        <color theme="1"/>
        <rFont val="Times New Roman"/>
        <family val="1"/>
      </rPr>
      <t xml:space="preserve"> = Salary per annum* Average number of staff</t>
    </r>
  </si>
  <si>
    <t>Operations (Engineers)</t>
  </si>
  <si>
    <t>Utility</t>
  </si>
  <si>
    <t>30-40</t>
  </si>
  <si>
    <t>60-80</t>
  </si>
  <si>
    <t>Average (70)</t>
  </si>
  <si>
    <t>Chemical (85%), Petrochemical (5%), Mechanical Engrs. (5%), Ind. Chemists (5%)</t>
  </si>
  <si>
    <t>Av. (70)</t>
  </si>
  <si>
    <t>Operations (Plant Technicians)</t>
  </si>
  <si>
    <t>20-30</t>
  </si>
  <si>
    <t>40-60</t>
  </si>
  <si>
    <t>Av. (50)</t>
  </si>
  <si>
    <t>OND, HND, Engineering Technicians</t>
  </si>
  <si>
    <t>Control Room</t>
  </si>
  <si>
    <t>Av. 25</t>
  </si>
  <si>
    <t>Process ENGRS (80%), Mechanical (5%), Electrical (2%) others (13%)</t>
  </si>
  <si>
    <t>20-24</t>
  </si>
  <si>
    <t>Av. 22</t>
  </si>
  <si>
    <t>Mechanical</t>
  </si>
  <si>
    <t>20-40</t>
  </si>
  <si>
    <t>Av. 30</t>
  </si>
  <si>
    <t>Mechanical, Production Engrs (100%)</t>
  </si>
  <si>
    <t>Electrical and Instrumentation</t>
  </si>
  <si>
    <t>Electrical, Instrumentation Engrs (100%)</t>
  </si>
  <si>
    <t>Laboratory Services</t>
  </si>
  <si>
    <t>14-20</t>
  </si>
  <si>
    <t>Av. 17</t>
  </si>
  <si>
    <t>Industrial Chemistry (100%)</t>
  </si>
  <si>
    <t>HSE</t>
  </si>
  <si>
    <t>All units</t>
  </si>
  <si>
    <t>15-25 Av. 20</t>
  </si>
  <si>
    <t>Safety Engineers/ Scientists (BSc, OND)</t>
  </si>
  <si>
    <t>Marketing</t>
  </si>
  <si>
    <t>External linkages</t>
  </si>
  <si>
    <t>Any discipline (Marketing), BSc</t>
  </si>
  <si>
    <t>Internal/external</t>
  </si>
  <si>
    <t>SSCE, OND, BSc</t>
  </si>
  <si>
    <t>Cleaners</t>
  </si>
  <si>
    <t>Salary per annum ($)</t>
  </si>
  <si>
    <t>Total Salary ($) = Salary per annum * Average number of staff</t>
  </si>
  <si>
    <t>Av. 70</t>
  </si>
  <si>
    <t>Ammonia</t>
  </si>
  <si>
    <t>Same as above</t>
  </si>
  <si>
    <t>Av. 50</t>
  </si>
  <si>
    <t>Urea + Granulation</t>
  </si>
  <si>
    <t>13– 17</t>
  </si>
  <si>
    <t>26-34</t>
  </si>
  <si>
    <t>16-20</t>
  </si>
  <si>
    <t>Av. 18</t>
  </si>
  <si>
    <t>Av. 13</t>
  </si>
  <si>
    <t>10 – 20 Av. 15</t>
  </si>
  <si>
    <t>20-30 Av. 25</t>
  </si>
  <si>
    <t>25-35 Av. (30)</t>
  </si>
  <si>
    <t> 108,000</t>
  </si>
  <si>
    <t>Semi Personnel</t>
  </si>
  <si>
    <t>15-25 Av. 30</t>
  </si>
  <si>
    <t>Designation</t>
  </si>
  <si>
    <t>Number</t>
  </si>
  <si>
    <t>Salary Per Annum ($)</t>
  </si>
  <si>
    <t>Total Salary Per Annum</t>
  </si>
  <si>
    <t>Maintenance Supervisor</t>
  </si>
  <si>
    <t>Lab. Manager</t>
  </si>
  <si>
    <t>Shift Manager</t>
  </si>
  <si>
    <t>Chief Security Officer</t>
  </si>
  <si>
    <t>Cost of Land (incluidng permits and approvals)</t>
  </si>
  <si>
    <t xml:space="preserve">Land Development  </t>
  </si>
  <si>
    <t>Cost of Land (including permits and approvals)</t>
  </si>
  <si>
    <t xml:space="preserve">EPC - 1.0 MMPTA Fertiliser Process Plant </t>
  </si>
  <si>
    <t xml:space="preserve">Cost of Land and Land Developmnet Cost </t>
  </si>
  <si>
    <t xml:space="preserve">EPC - 1.0 MMTPA Fertilizer Process Plant </t>
  </si>
  <si>
    <t xml:space="preserve">EPC - 1.0 MMTPA Fertilizer  Process Plant </t>
  </si>
  <si>
    <t xml:space="preserve">EPC - 1.165 MMTPA Fertilizer Process Plant </t>
  </si>
  <si>
    <t xml:space="preserve">EPC - 2.0  MMPTA Methanol Process Plant </t>
  </si>
  <si>
    <t xml:space="preserve">EPC - 2.0 MMPTA Methanol Process Plant </t>
  </si>
  <si>
    <t>Cost of Land (including Permits and Approvals)</t>
  </si>
  <si>
    <t>Land Development Cost -(Infrastructure and Buildings)</t>
  </si>
  <si>
    <t>Land Developmnet Cost (Infrastructure and Buildings)</t>
  </si>
  <si>
    <t>Cost of Land (Incluidng Permits and Approvals)</t>
  </si>
  <si>
    <t>Land Development Cost  (Infrastructure and Buildings)</t>
  </si>
  <si>
    <t>Independent Power Plant (IPP)</t>
  </si>
  <si>
    <t xml:space="preserve">Urea -Local </t>
  </si>
  <si>
    <t xml:space="preserve">Urea Export </t>
  </si>
  <si>
    <t xml:space="preserve">Production -Mt </t>
  </si>
  <si>
    <t>Urea Plant-Staff Cost</t>
  </si>
  <si>
    <t xml:space="preserve">Methanol Plant -Staff Cost </t>
  </si>
  <si>
    <t>USD$</t>
  </si>
  <si>
    <t>"With Captive Power"</t>
  </si>
  <si>
    <t>"Without Captive Power"</t>
  </si>
  <si>
    <t>ROI</t>
  </si>
  <si>
    <t xml:space="preserve">Total Use of Funds </t>
  </si>
  <si>
    <t xml:space="preserve">CFAD </t>
  </si>
  <si>
    <t>Train Urea 1</t>
  </si>
  <si>
    <t>Train Urea 2</t>
  </si>
  <si>
    <t xml:space="preserve">Comparison of Base Case and Alternative Options </t>
  </si>
  <si>
    <t xml:space="preserve">Project Profitability Indice </t>
  </si>
  <si>
    <t xml:space="preserve">Base Case Option </t>
  </si>
  <si>
    <t xml:space="preserve">Alternative Options </t>
  </si>
  <si>
    <t>Base Case Funding Mix (Debt to Equity -70:30)</t>
  </si>
  <si>
    <t>Funding Mix Option 2 (Debt to Equity -80:20)</t>
  </si>
  <si>
    <t xml:space="preserve">Project Parameter </t>
  </si>
  <si>
    <t>Best Case</t>
  </si>
  <si>
    <t>Raw Material</t>
  </si>
  <si>
    <t>Urea Price</t>
  </si>
  <si>
    <t xml:space="preserve">Interest Price </t>
  </si>
  <si>
    <t xml:space="preserve">Natuaral Gas Price -Urea </t>
  </si>
  <si>
    <t xml:space="preserve">Natural Gas Price Methanol </t>
  </si>
  <si>
    <t>Total Cost of Land USD</t>
  </si>
  <si>
    <t xml:space="preserve">Development Cost </t>
  </si>
  <si>
    <t>Urea Train 1  - (1.5 MMTPA)</t>
  </si>
  <si>
    <r>
      <t>M</t>
    </r>
    <r>
      <rPr>
        <i/>
        <vertAlign val="superscript"/>
        <sz val="9"/>
        <color rgb="FFC00000"/>
        <rFont val="Calibri"/>
        <family val="2"/>
        <scheme val="minor"/>
      </rPr>
      <t>3</t>
    </r>
    <r>
      <rPr>
        <i/>
        <sz val="9"/>
        <color rgb="FFC00000"/>
        <rFont val="Calibri"/>
        <family val="2"/>
        <scheme val="minor"/>
      </rPr>
      <t xml:space="preserve"> Per Day</t>
    </r>
  </si>
  <si>
    <t>US($)/MT</t>
  </si>
  <si>
    <t>For WACC Calculation</t>
  </si>
  <si>
    <t xml:space="preserve">Factory Capacity Multiplier -Train 2 </t>
  </si>
  <si>
    <t xml:space="preserve">First Year Plant Operating Capacity For  Train 2 </t>
  </si>
  <si>
    <t>Power Plant Operating Cost (US$)</t>
  </si>
  <si>
    <t>EPC - 3.5 MMPTA  Process Plants</t>
  </si>
  <si>
    <t xml:space="preserve">terminal </t>
  </si>
  <si>
    <t>FreeCashflow, year 30</t>
  </si>
  <si>
    <t>FreeCashflow,year 30</t>
  </si>
  <si>
    <t>Continuing value (yr 30)</t>
  </si>
  <si>
    <t>Cost of Gas</t>
  </si>
  <si>
    <t>EPC Cost - 3.5 MMPTA  Process Plants</t>
  </si>
  <si>
    <t>Total (US$)</t>
  </si>
  <si>
    <t xml:space="preserve">Total EPC Cost </t>
  </si>
  <si>
    <t xml:space="preserve">Other Project Cost </t>
  </si>
  <si>
    <t xml:space="preserve">Interest During Construction </t>
  </si>
  <si>
    <t xml:space="preserve">Indepent Power Plant Cost </t>
  </si>
  <si>
    <t>Non</t>
  </si>
  <si>
    <t xml:space="preserve">Production Mt </t>
  </si>
  <si>
    <t>Total Production (Mt)</t>
  </si>
  <si>
    <t xml:space="preserve">Train Revenue </t>
  </si>
  <si>
    <t>Total Production (US$)</t>
  </si>
  <si>
    <t xml:space="preserve">Revenue (US$) </t>
  </si>
  <si>
    <t xml:space="preserve">Revised Pricing </t>
  </si>
  <si>
    <t>Average Power Plant Cost Per MW-USD($)</t>
  </si>
  <si>
    <t xml:space="preserve">200 MW Power Plant </t>
  </si>
  <si>
    <t>150 MW Power Plant</t>
  </si>
  <si>
    <t xml:space="preserve">100 MW Power Plant </t>
  </si>
  <si>
    <t xml:space="preserve">Opex Cost </t>
  </si>
  <si>
    <t>Opex Cost -TAM</t>
  </si>
  <si>
    <t>Opex Cost</t>
  </si>
  <si>
    <t xml:space="preserve">Opex Cost-Tam </t>
  </si>
  <si>
    <t>New Power Plant -200</t>
  </si>
  <si>
    <t>New Power Plant -150</t>
  </si>
  <si>
    <t xml:space="preserve">Ammonia Train </t>
  </si>
  <si>
    <t>First Year Plant Operating Capacity For Train 1 Urea,Ammonia and Methanol Train</t>
  </si>
  <si>
    <t xml:space="preserve">Ammonia </t>
  </si>
  <si>
    <t>Ammonia Train</t>
  </si>
  <si>
    <t xml:space="preserve">Ammonia Quantity Produced </t>
  </si>
  <si>
    <t xml:space="preserve">Ammonia Train Capacity </t>
  </si>
  <si>
    <t xml:space="preserve">Urea Train </t>
  </si>
  <si>
    <t xml:space="preserve">Total Ammonia </t>
  </si>
  <si>
    <t xml:space="preserve"> Production Quantity </t>
  </si>
  <si>
    <t>Ammonia (FOB)</t>
  </si>
  <si>
    <t>Local  Sales  Revnue -</t>
  </si>
  <si>
    <t xml:space="preserve">Change in Ammonia Price  Price </t>
  </si>
  <si>
    <t xml:space="preserve">Ammonia  Price -Local Sales </t>
  </si>
  <si>
    <t xml:space="preserve">Ammonia  Price Post Sensitivity </t>
  </si>
  <si>
    <t xml:space="preserve">Ammonia Price </t>
  </si>
  <si>
    <t xml:space="preserve">Ammonia  Price -Export Sales </t>
  </si>
  <si>
    <t xml:space="preserve">Ammonia Price Post Sensitivity </t>
  </si>
  <si>
    <t>Total Urea Produced Train 1</t>
  </si>
  <si>
    <t xml:space="preserve">Total Urea Produced Train 2 </t>
  </si>
  <si>
    <t xml:space="preserve">Total Urea Produced Train 3 </t>
  </si>
  <si>
    <t xml:space="preserve">Gas utillised Per Ton Urea and Ammonia </t>
  </si>
  <si>
    <t xml:space="preserve"> 1.5 MMPA UREA &amp; 0.5 AMMONIA </t>
  </si>
  <si>
    <t xml:space="preserve"> 0.5 MMPA METHANOL </t>
  </si>
  <si>
    <t xml:space="preserve"> TRAIN 1 </t>
  </si>
  <si>
    <t xml:space="preserve"> TRAIN 2 </t>
  </si>
  <si>
    <t xml:space="preserve"> TRAIN-1 </t>
  </si>
  <si>
    <t xml:space="preserve"> Cost ($) </t>
  </si>
  <si>
    <t>Installation of Purchased Equipment</t>
  </si>
  <si>
    <t>Yard Improvements*</t>
  </si>
  <si>
    <t>Service/Utilities Facilities</t>
  </si>
  <si>
    <t>Land and Supporting Infrastructure</t>
  </si>
  <si>
    <t xml:space="preserve">Indirect Cost  </t>
  </si>
  <si>
    <t>https://www.statista.com/statistics/383132/inflation-rate-in-nigeria/</t>
  </si>
  <si>
    <t xml:space="preserve">   </t>
  </si>
  <si>
    <t xml:space="preserve">Quantity of Gas Utilised - mmbtu / PER Ton of Ammonia </t>
  </si>
  <si>
    <t>Quantity of Gas Utilised - mmbtu /US$</t>
  </si>
  <si>
    <t>Price of Gas -mmbtu (Urea and Ammonnia)</t>
  </si>
  <si>
    <t xml:space="preserve">Natural Gas Consumption Urea </t>
  </si>
  <si>
    <t xml:space="preserve">Natural Gas Consumption Ammonia </t>
  </si>
  <si>
    <t xml:space="preserve">0.5MMTPY </t>
  </si>
  <si>
    <t>Ammonia Produced Daily MMBTU</t>
  </si>
  <si>
    <t xml:space="preserve">Gas consumed per Ton of Ammonia </t>
  </si>
  <si>
    <t>Cost of Gas -Ammonnia (USD)</t>
  </si>
  <si>
    <t xml:space="preserve">Total Cost of Gas </t>
  </si>
  <si>
    <t xml:space="preserve">Total Direct Cost </t>
  </si>
  <si>
    <t>Damodaran - Jan 2024</t>
  </si>
  <si>
    <t xml:space="preserve">Urea Train 1 and Ammonnia </t>
  </si>
  <si>
    <t xml:space="preserve">Capex Adjustment Flag </t>
  </si>
  <si>
    <t>3.5 MMTPA</t>
  </si>
  <si>
    <t>180 MW</t>
  </si>
  <si>
    <t>120 MW</t>
  </si>
  <si>
    <t>MODEL VERSION -Ammmonia Switch ( 1-no ammonia 2- With Ammonia )</t>
  </si>
  <si>
    <t>Cost of Water /M3</t>
  </si>
  <si>
    <t>1.165 MMTPY</t>
  </si>
  <si>
    <t>COST TRANSPORTING AMMONIA TO THE HARBOUR AND HANDLING</t>
  </si>
  <si>
    <t>S/N</t>
  </si>
  <si>
    <t>BASIS</t>
  </si>
  <si>
    <t>TIGA</t>
  </si>
  <si>
    <t>GWARMAI</t>
  </si>
  <si>
    <t xml:space="preserve">Tiga </t>
  </si>
  <si>
    <t>Connecting Rail line</t>
  </si>
  <si>
    <t>1 to 1.5  USD/km (used midpoint), Tiga is 20km, Gwarmai 0.5km</t>
  </si>
  <si>
    <t>Ammonia storage at the Port</t>
  </si>
  <si>
    <t>20,000-gallon [75m3] liq ammomia $50,000 to $150,000 [60,000m3 is one month production storage, used the the lower range because of economy of scale]</t>
  </si>
  <si>
    <t>Pipeline from tank to jetty</t>
  </si>
  <si>
    <t>$300,000 to $1.5 per km [assumed 500m pipeline and taking cost mid point]</t>
  </si>
  <si>
    <t>cost of haulage for liquid ammonia to a harbor</t>
  </si>
  <si>
    <t>$0.30 to $1.20 per mile per tonne</t>
  </si>
  <si>
    <t>NPA private jetty charges for exports</t>
  </si>
  <si>
    <t>N14/tonne</t>
  </si>
  <si>
    <t>Gwarmai</t>
  </si>
  <si>
    <t>c</t>
  </si>
  <si>
    <t>m3</t>
  </si>
  <si>
    <t>usd</t>
  </si>
  <si>
    <r>
      <t xml:space="preserve">TIGA
</t>
    </r>
    <r>
      <rPr>
        <sz val="11"/>
        <color theme="1"/>
        <rFont val="Calibri"/>
        <family val="2"/>
        <scheme val="minor"/>
      </rPr>
      <t>(million USD)</t>
    </r>
  </si>
  <si>
    <r>
      <t xml:space="preserve">GWARMAI </t>
    </r>
    <r>
      <rPr>
        <sz val="11"/>
        <color theme="1"/>
        <rFont val="Calibri"/>
        <family val="2"/>
        <scheme val="minor"/>
      </rPr>
      <t>(million USD)</t>
    </r>
  </si>
  <si>
    <t>Ammonia storage tank at the Port</t>
  </si>
  <si>
    <t>20,000-gallon [75m3] liq ammomia $50,000 to $150,000 [120,000m3 is about 2 month production storage, used the the lower range because of economy of scale]</t>
  </si>
  <si>
    <t>TOTAL CAPEX</t>
  </si>
  <si>
    <t>Loading/Unloading Fees</t>
  </si>
  <si>
    <t>$5 - $15 per ton [used midpoint]</t>
  </si>
  <si>
    <t>Handling Fees</t>
  </si>
  <si>
    <t>$5 - $10 per ton [used midpoint]</t>
  </si>
  <si>
    <t>Insurance Costs</t>
  </si>
  <si>
    <t>$1 - $3 per ton [used midpoint]</t>
  </si>
  <si>
    <t>N14/tonne export rate for private jetty</t>
  </si>
  <si>
    <t>NIMASA private jetty charges for exports</t>
  </si>
  <si>
    <t>N30/tonne export rate for private jetty</t>
  </si>
  <si>
    <t>TOTAL OPEX</t>
  </si>
  <si>
    <r>
      <t xml:space="preserve">GWAGS
</t>
    </r>
    <r>
      <rPr>
        <sz val="11"/>
        <color theme="1"/>
        <rFont val="Calibri"/>
        <family val="2"/>
        <scheme val="minor"/>
      </rPr>
      <t>(million USD)</t>
    </r>
  </si>
  <si>
    <r>
      <t xml:space="preserve">ABAJI </t>
    </r>
    <r>
      <rPr>
        <sz val="11"/>
        <color theme="1"/>
        <rFont val="Calibri"/>
        <family val="2"/>
        <scheme val="minor"/>
      </rPr>
      <t>(million USD)</t>
    </r>
  </si>
  <si>
    <t>1 to 1.5  USD/km (used midpoint), Gwags is about 10km, Abaji 1km</t>
  </si>
  <si>
    <t>$0.30 to $1.20 per mile per tonne [Abaji is 420km from Warri Port and Gwags is  500km]</t>
  </si>
  <si>
    <t xml:space="preserve">Ammonia Assumption </t>
  </si>
  <si>
    <t xml:space="preserve">Kano -Tiga </t>
  </si>
  <si>
    <t xml:space="preserve">Ammonia Capex </t>
  </si>
  <si>
    <t xml:space="preserve">Ammonia Opex </t>
  </si>
  <si>
    <t xml:space="preserve">Abuja  -Gwagwalada </t>
  </si>
  <si>
    <t>Abuja  -Abaji</t>
  </si>
  <si>
    <t xml:space="preserve">Train 1 Flag </t>
  </si>
  <si>
    <t xml:space="preserve">Train 2 Flag </t>
  </si>
  <si>
    <t>Operation Start Train 2</t>
  </si>
  <si>
    <t>Operation Start Train 3</t>
  </si>
  <si>
    <t>Methanol Train</t>
  </si>
  <si>
    <t xml:space="preserve">Opex and Revenue Flags </t>
  </si>
  <si>
    <t xml:space="preserve">Capex Flags </t>
  </si>
  <si>
    <t xml:space="preserve">Train Construction </t>
  </si>
  <si>
    <t>Yes</t>
  </si>
  <si>
    <t>Kano -Gwarima</t>
  </si>
  <si>
    <t xml:space="preserve">180 MW Power Plant </t>
  </si>
  <si>
    <t>New Power Plant -180</t>
  </si>
  <si>
    <t>New Power Plant -120</t>
  </si>
  <si>
    <t xml:space="preserve">120 MW Power Plant </t>
  </si>
  <si>
    <t xml:space="preserve">EPC - 1.5 MMPTA Fertiliser Process Plant </t>
  </si>
  <si>
    <t xml:space="preserve">EPC - 0.5 MMPTA Methanol Process Plant </t>
  </si>
  <si>
    <t>Urea Train 2 -(1.5 MMTPA)</t>
  </si>
  <si>
    <t>Methanol Train  (0.5 MMTPA)</t>
  </si>
  <si>
    <t>Urea Train 1 and NH3</t>
  </si>
  <si>
    <t xml:space="preserve">Total Capital Expenditure </t>
  </si>
  <si>
    <t>Ammonia (MTPA)</t>
  </si>
  <si>
    <t>Operating Cost Methanol Train</t>
  </si>
  <si>
    <t>WW</t>
  </si>
  <si>
    <t>Location (2-full site  , 1 co-sharing )</t>
  </si>
  <si>
    <t xml:space="preserve">Base Case Model </t>
  </si>
  <si>
    <t xml:space="preserve">3.5 Fertilizer and Methanol -1.5 Urea x 2 +0.5 Ammonia +0.5 Methanol </t>
  </si>
  <si>
    <t xml:space="preserve">Capex Phasing Urea Train 2 </t>
  </si>
  <si>
    <t>Capex Phasing Option</t>
  </si>
  <si>
    <t>COst of equity capital</t>
  </si>
  <si>
    <t xml:space="preserve">equity </t>
  </si>
  <si>
    <t>WITH ADJ</t>
  </si>
  <si>
    <t xml:space="preserve">2.0 Fertilizer and Methanol -1.0 Urea x 1.5 Methanol </t>
  </si>
  <si>
    <t>Project:</t>
  </si>
  <si>
    <t>Client  Name:</t>
  </si>
  <si>
    <t>Model Objective:</t>
  </si>
  <si>
    <t>Author:</t>
  </si>
  <si>
    <t>Key</t>
  </si>
  <si>
    <t>Cell Look/Font Colour</t>
  </si>
  <si>
    <t>Blue Font</t>
  </si>
  <si>
    <t>Figures that can be changed directly on the model</t>
  </si>
  <si>
    <t>Black Font</t>
  </si>
  <si>
    <t>Calculated figures and figures derived from other cells. These cells should not be changed</t>
  </si>
  <si>
    <t xml:space="preserve">Project Name : Project Savanah  </t>
  </si>
  <si>
    <t xml:space="preserve">Macro Economic Metrics </t>
  </si>
  <si>
    <t>Exchange Rate (Naira/USD)</t>
  </si>
  <si>
    <r>
      <rPr>
        <strike/>
        <sz val="11"/>
        <color theme="1"/>
        <rFont val="Times New Roman"/>
        <family val="1"/>
      </rPr>
      <t>N</t>
    </r>
    <r>
      <rPr>
        <sz val="11"/>
        <color theme="1"/>
        <rFont val="Times New Roman"/>
        <family val="1"/>
      </rPr>
      <t>1500/$1</t>
    </r>
  </si>
  <si>
    <t>3% -2.4%</t>
  </si>
  <si>
    <t>Inflation Rate (Naira )</t>
  </si>
  <si>
    <t xml:space="preserve">16.5%- 12% </t>
  </si>
  <si>
    <t xml:space="preserve">Naira Depreciation Rate </t>
  </si>
  <si>
    <t xml:space="preserve">Company Income Tax </t>
  </si>
  <si>
    <t xml:space="preserve">Operating  Assumptions </t>
  </si>
  <si>
    <t xml:space="preserve">Urea Train 1 -Capacity </t>
  </si>
  <si>
    <t xml:space="preserve">1.5 MMTPA </t>
  </si>
  <si>
    <t xml:space="preserve">Urea Train 2 -Capacity </t>
  </si>
  <si>
    <t xml:space="preserve">Methanol Train  -Capacity </t>
  </si>
  <si>
    <t xml:space="preserve">0.5 MMTPA </t>
  </si>
  <si>
    <t xml:space="preserve">Total Train </t>
  </si>
  <si>
    <t xml:space="preserve">Number of Operating Days -TAM Year </t>
  </si>
  <si>
    <t xml:space="preserve">Turnaround Maintenance Days </t>
  </si>
  <si>
    <t xml:space="preserve">Turnaround Maintenance Period </t>
  </si>
  <si>
    <t xml:space="preserve">OPEX  Assumptions </t>
  </si>
  <si>
    <t xml:space="preserve">Ammonia -Bye Product </t>
  </si>
  <si>
    <t xml:space="preserve">First Year Operating Capacity </t>
  </si>
  <si>
    <t xml:space="preserve">Second Year Operating Capacity </t>
  </si>
  <si>
    <t xml:space="preserve">Third  Year Operating Capacity </t>
  </si>
  <si>
    <t xml:space="preserve">Product Price </t>
  </si>
  <si>
    <t>Price of Urea -USD($)</t>
  </si>
  <si>
    <t>Price of Methanol-USD($)</t>
  </si>
  <si>
    <t xml:space="preserve">Export  Price </t>
  </si>
  <si>
    <t>Natural Gas Price -Urea (US$/MMBTU)</t>
  </si>
  <si>
    <t>Transport Cost -(US$/MMBTU)</t>
  </si>
  <si>
    <t>Total Gas Price -Urea (US$/MMBTU)</t>
  </si>
  <si>
    <t>Natural Gas Price-Methanol  (US$/MMBTU)</t>
  </si>
  <si>
    <t>Transport Cost - (US$/MMBTU)</t>
  </si>
  <si>
    <t>Total Gas Price -Methanol (US$/MMBTU)</t>
  </si>
  <si>
    <t>Natural Gas Consumption -Per Mt of Methanol</t>
  </si>
  <si>
    <t xml:space="preserve">Production in Year 1 of Operations </t>
  </si>
  <si>
    <t xml:space="preserve">Urea Produced  In Year 1 -Mt </t>
  </si>
  <si>
    <t xml:space="preserve">Methanol Production In Year 1-Mt </t>
  </si>
  <si>
    <t xml:space="preserve">Total Produced In Year 1 -Mt </t>
  </si>
  <si>
    <t>Urea Production In Year 4</t>
  </si>
  <si>
    <t>Urea Production In Year 5</t>
  </si>
  <si>
    <t>Urea Production In Year 6</t>
  </si>
  <si>
    <t>Urea Production In Year 7</t>
  </si>
  <si>
    <t xml:space="preserve">Client Name </t>
  </si>
  <si>
    <t xml:space="preserve">Project Details </t>
  </si>
  <si>
    <t xml:space="preserve">Model Objectives </t>
  </si>
  <si>
    <t xml:space="preserve">General Information </t>
  </si>
  <si>
    <t>NNPC Gas amd Power Invesmemt Seevices (NGPIS)</t>
  </si>
  <si>
    <t xml:space="preserve">The Development of 3.5 MMTPA Fertilizer and Methanol </t>
  </si>
  <si>
    <t>Determine the financial and economic viability of the Project</t>
  </si>
  <si>
    <t>Rigasa -Kaduna State</t>
  </si>
  <si>
    <t xml:space="preserve">1.0 MMTPA </t>
  </si>
  <si>
    <t xml:space="preserve">                                                                           US$</t>
  </si>
  <si>
    <t>Revenue (USD)</t>
  </si>
  <si>
    <t>Gross Profit (USD)</t>
  </si>
  <si>
    <t>Operating Profit (USD)</t>
  </si>
  <si>
    <t>Net Profit (USD)</t>
  </si>
  <si>
    <t>Operating Margin%</t>
  </si>
  <si>
    <t>Net Margin %</t>
  </si>
  <si>
    <t xml:space="preserve">Financial Debt </t>
  </si>
  <si>
    <t xml:space="preserve">Profitability and Equity IRR </t>
  </si>
  <si>
    <t xml:space="preserve">Project NPV </t>
  </si>
  <si>
    <t xml:space="preserve">Project IRR </t>
  </si>
  <si>
    <t xml:space="preserve">Equity NPV </t>
  </si>
  <si>
    <t xml:space="preserve">Equity IRR </t>
  </si>
  <si>
    <t xml:space="preserve">Project Payback Period </t>
  </si>
  <si>
    <t xml:space="preserve">Equity Payback Period </t>
  </si>
  <si>
    <t>USD ($)</t>
  </si>
  <si>
    <t xml:space="preserve">Years </t>
  </si>
  <si>
    <t>Debt Coverage Ratio</t>
  </si>
  <si>
    <t xml:space="preserve">DSCR </t>
  </si>
  <si>
    <t xml:space="preserve">PLCR </t>
  </si>
  <si>
    <t>MIN</t>
  </si>
  <si>
    <t>Weighted Average  Cost of Capital (WACC)</t>
  </si>
  <si>
    <t xml:space="preserve">Funding Mix </t>
  </si>
  <si>
    <t xml:space="preserve">Cost of Equity </t>
  </si>
  <si>
    <t xml:space="preserve">Equity Weighted </t>
  </si>
  <si>
    <t xml:space="preserve">Cost of Debt </t>
  </si>
  <si>
    <t xml:space="preserve">Debt Weighted </t>
  </si>
  <si>
    <t xml:space="preserve">Income Tax Rate </t>
  </si>
  <si>
    <t>Target Inflation Rate at Jan 2027</t>
  </si>
  <si>
    <t>2025-2027 MTEF/FSP</t>
  </si>
  <si>
    <t>Nasarawa</t>
  </si>
  <si>
    <t>9.625%    US$ 700M JUN 2031 Eurobond</t>
  </si>
  <si>
    <t>10.375% US$1.5BN DEC 2034 Eurobond</t>
  </si>
  <si>
    <t>Ave</t>
  </si>
  <si>
    <t>DISCLAIMER AND TERMS OF USE: HISTORICAL DATA IS PROVIDED "AS IS" AND SOLELY</t>
  </si>
  <si>
    <t>FOR INFORMATIONAL PURPOSES - NOT FOR TRADING PURPOSES OR ADVICE.</t>
  </si>
  <si>
    <t>NEITHER MACROTRENDS LLC NOR ANY OF OUR INFORMATION PROVIDERS WILL BE LIABLE</t>
  </si>
  <si>
    <t>FOR ANY DAMAGES RELATING TO YOUR USE OF THE DATA PROVIDED.</t>
  </si>
  <si>
    <t>ATTRIBUTION: Proper attribution requires clear indication of the data source as "www.macrotrends.net".</t>
  </si>
  <si>
    <t>A "dofollow" backlink to the originating page is also required if the data is displayed on a web page.</t>
  </si>
  <si>
    <t xml:space="preserve"> Annual % Change</t>
  </si>
  <si>
    <t>INFLATION</t>
  </si>
  <si>
    <t xml:space="preserve"> Average 1960-2023</t>
  </si>
  <si>
    <t>1999-2023</t>
  </si>
  <si>
    <t>Calculated( 1999-2023)</t>
  </si>
  <si>
    <t xml:space="preserve">Nasarawa </t>
  </si>
  <si>
    <t xml:space="preserve">Gombe </t>
  </si>
  <si>
    <t xml:space="preserve">Train 2 USD (1.5 MMTPA) </t>
  </si>
  <si>
    <t xml:space="preserve"> 2.5 MMTPA Urea</t>
  </si>
  <si>
    <t xml:space="preserve"> 3.0 MMTPA UREA </t>
  </si>
  <si>
    <t>EGG 1</t>
  </si>
  <si>
    <t>EG2</t>
  </si>
  <si>
    <t>KLM 1</t>
  </si>
  <si>
    <t xml:space="preserve">(1.5 MTP +1.5 MTP )2Trains (UREA) </t>
  </si>
  <si>
    <t>0.5 MTPA Methanol</t>
  </si>
  <si>
    <t>1.0 MTPA Methanol</t>
  </si>
  <si>
    <t xml:space="preserve">(1.5 MTP +1.0 MTP ) 2Trains (UREA) </t>
  </si>
  <si>
    <t>2.0 MMTPA Urea</t>
  </si>
  <si>
    <t xml:space="preserve">(1.5 MTP +1.5 MTP )2 Trains (UREA) </t>
  </si>
  <si>
    <t xml:space="preserve">Option 3 </t>
  </si>
  <si>
    <t>2.5 MTPA UREA (1.5 MTPA +1.0 MTPA)</t>
  </si>
  <si>
    <t>3.0 MMTPA (1.5 MMTPA +1.5 MMTPA)</t>
  </si>
  <si>
    <t>2.0 MTPA (1.0 MMTPA+1.0 MMTPA)</t>
  </si>
  <si>
    <t>Option 3  (1.5 MMTPA)</t>
  </si>
  <si>
    <t>Gas Required for Power Plant -180WM</t>
  </si>
  <si>
    <t xml:space="preserve">180 MW (Per day) </t>
  </si>
  <si>
    <t xml:space="preserve">OPTION 1 -2.5 MMTPA Urea +1.0 MMTPA Methanol </t>
  </si>
  <si>
    <t xml:space="preserve">OPTION 2 -3.0 MMTPA Urea +0.5 MMTPA Methanol </t>
  </si>
  <si>
    <t xml:space="preserve">OPTION 3 -2.0 MMTPA Urea +1.5 MMTPA Methanol </t>
  </si>
  <si>
    <t xml:space="preserve">Quntity Produced </t>
  </si>
  <si>
    <t>Recycle Water Consumption Per Mt of Power</t>
  </si>
  <si>
    <t>Daily Makeup Water Per Mt Consumption for Power</t>
  </si>
  <si>
    <t xml:space="preserve">Cost of Recycle Water -Power </t>
  </si>
  <si>
    <t xml:space="preserve">Cost of Water Consumed for Power </t>
  </si>
  <si>
    <t xml:space="preserve">Power </t>
  </si>
  <si>
    <r>
      <t>M</t>
    </r>
    <r>
      <rPr>
        <vertAlign val="superscript"/>
        <sz val="8"/>
        <color rgb="FFFF0000"/>
        <rFont val="Arial"/>
        <family val="2"/>
      </rPr>
      <t>4</t>
    </r>
    <r>
      <rPr>
        <sz val="11"/>
        <color theme="1"/>
        <rFont val="Calibri"/>
        <family val="2"/>
        <scheme val="minor"/>
      </rPr>
      <t/>
    </r>
  </si>
  <si>
    <t xml:space="preserve">Cost of Water per mt of Power </t>
  </si>
  <si>
    <t xml:space="preserve">Pipeline </t>
  </si>
  <si>
    <t xml:space="preserve">KM </t>
  </si>
  <si>
    <t xml:space="preserve">Access Road </t>
  </si>
  <si>
    <t>KM</t>
  </si>
  <si>
    <t xml:space="preserve">Dam </t>
  </si>
  <si>
    <t>AMOUNT($)</t>
  </si>
  <si>
    <t xml:space="preserve">Train 1 Urea </t>
  </si>
  <si>
    <t xml:space="preserve">Train 2 Urea </t>
  </si>
  <si>
    <t xml:space="preserve">Cost per Production Unit </t>
  </si>
  <si>
    <t xml:space="preserve">EPC - Fertiliser Process Plant </t>
  </si>
  <si>
    <t xml:space="preserve">EPC -Fertiliser Process Plant </t>
  </si>
  <si>
    <t>Project Name : Project Halifax</t>
  </si>
  <si>
    <t xml:space="preserve">Project Name : Project Halifax   </t>
  </si>
  <si>
    <t>Project PLYGROUND</t>
  </si>
  <si>
    <t>Client :</t>
  </si>
  <si>
    <t>Project Name : Project  PLYGROUND</t>
  </si>
  <si>
    <t>Project Name : Project PLYGROUND</t>
  </si>
  <si>
    <t>Project Name : PLYGROUND</t>
  </si>
  <si>
    <t xml:space="preserve">Project Name : Project PLYGROUND </t>
  </si>
  <si>
    <t xml:space="preserve">Project Name : Project PLYGROUND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</si>
</sst>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5">
    <numFmt numFmtId="6" formatCode="&quot;$&quot;#,##0_);[Red]\(&quot;$&quot;#,##0\)"/>
    <numFmt numFmtId="8" formatCode="&quot;$&quot;#,##0.00_);[Red]\(&quot;$&quot;#,##0.00\)"/>
    <numFmt numFmtId="41" formatCode="_(* #,##0_);_(* \(#,##0\);_(* &quot;-&quot;_);_(@_)"/>
    <numFmt numFmtId="43" formatCode="_(* #,##0.00_);_(* \(#,##0.00\);_(* &quot;-&quot;??_);_(@_)"/>
    <numFmt numFmtId="164" formatCode="&quot;₦&quot;#,##0.00;[Red]\-&quot;₦&quot;#,##0.00"/>
    <numFmt numFmtId="165" formatCode="_-* #,##0.00_-;\-* #,##0.00_-;_-* &quot;-&quot;??_-;_-@_-"/>
    <numFmt numFmtId="166" formatCode="[$-409]d\-mmm\-yy;@"/>
    <numFmt numFmtId="167" formatCode="_(* #,##0_);_(* \(#,##0\);_(* &quot;-&quot;??_);_(@_)"/>
    <numFmt numFmtId="168" formatCode="_-* #,##0_-;\-* #,##0_-;_-* &quot;-&quot;??_-;_-@_-"/>
    <numFmt numFmtId="169" formatCode="#,##0_);[Red]\(#,##0\);\-_)"/>
    <numFmt numFmtId="170" formatCode="_(* #,##0.0_);_(* \(#,##0.0\);_(* &quot;-&quot;??_);_(@_)"/>
    <numFmt numFmtId="171" formatCode="0.0%"/>
    <numFmt numFmtId="172" formatCode="_-* #,##0.0000_-;\-* #,##0.0000_-;_-* &quot;-&quot;??_-;_-@_-"/>
    <numFmt numFmtId="173" formatCode="0.0000"/>
    <numFmt numFmtId="174" formatCode="#,##0,_);[Red]\(#,##0,\)"/>
    <numFmt numFmtId="175" formatCode="_-* #,##0.0_-;\-* #,##0.0_-;_-* &quot;-&quot;??_-;_-@_-"/>
    <numFmt numFmtId="176" formatCode="#,##0.0000;[Red]\(#,##0.0000\);\-"/>
    <numFmt numFmtId="177" formatCode="#,##0;[Red]\(#,##0\);\-"/>
    <numFmt numFmtId="178" formatCode="_(* #,##0,_);_(* \(#,##0,\);_(* &quot;-&quot;_);_(@_)"/>
    <numFmt numFmtId="179" formatCode="[Red]&quot;error&quot;;[Red]&quot;error&quot;;[Blue]&quot;ok&quot;"/>
    <numFmt numFmtId="180" formatCode="_-* #,##0.000_-;\-* #,##0.000_-;_-* &quot;-&quot;??_-;_-@_-"/>
    <numFmt numFmtId="181" formatCode="0.000"/>
    <numFmt numFmtId="182" formatCode="0.0000%"/>
    <numFmt numFmtId="183" formatCode="#,##0,_);\(#,##0,\);&quot;-&quot;"/>
    <numFmt numFmtId="184" formatCode="0.0"/>
    <numFmt numFmtId="185" formatCode="0.000%"/>
    <numFmt numFmtId="186" formatCode="#,##0.0000,_);\(#,##0.0000,\);&quot;-&quot;"/>
    <numFmt numFmtId="187" formatCode="#,##0.0,_);\(#,##0.0,\);&quot;-&quot;"/>
    <numFmt numFmtId="188" formatCode="_-* #,##0.000_-;\-* #,##0.000_-;_-* &quot;-&quot;?_-;_-@_-"/>
    <numFmt numFmtId="189" formatCode="_-* #,##0_-;\-* #,##0_-;_-* &quot;-&quot;???_-;_-@_-"/>
    <numFmt numFmtId="190" formatCode="&quot;Every&quot;\ 0\ &quot;years&quot;"/>
    <numFmt numFmtId="191" formatCode="[$$-340A]#,##0.00"/>
    <numFmt numFmtId="192" formatCode="#,##0.0"/>
    <numFmt numFmtId="193" formatCode="&quot;&quot;\ 0.0\ &quot;MTPA&quot;"/>
    <numFmt numFmtId="194" formatCode="&quot;&quot;\ 0\ &quot;TRAIN&quot;"/>
    <numFmt numFmtId="195" formatCode="&quot;&quot;\ 0\ &quot;MW&quot;"/>
    <numFmt numFmtId="196" formatCode="&quot;OPTION&quot;\ 0\ &quot;&quot;"/>
    <numFmt numFmtId="197" formatCode="_-* #,##0.000000_-;\-* #,##0.000000_-;_-* &quot;-&quot;??_-;_-@_-"/>
    <numFmt numFmtId="198" formatCode="_-* #,##0.00000_-;\-* #,##0.00000_-;_-* &quot;-&quot;??_-;_-@_-"/>
    <numFmt numFmtId="199" formatCode="_(* #,##0.000_);_(* \(#,##0.000\);_(* &quot;-&quot;??_);_(@_)"/>
    <numFmt numFmtId="200" formatCode="0.00000%"/>
    <numFmt numFmtId="201" formatCode="_-* #,##0.0000000_-;\-* #,##0.0000000_-;_-* &quot;-&quot;??_-;_-@_-"/>
    <numFmt numFmtId="202" formatCode="&quot;&quot;\ 0.0\ &quot;TRAIN&quot;"/>
    <numFmt numFmtId="203" formatCode="&quot;$&quot;#,##0.00"/>
    <numFmt numFmtId="204" formatCode="&quot;$&quot;#,##0"/>
    <numFmt numFmtId="205" formatCode="[$€-2]\ #,##0.0_);[Red]\([$€-2]\ #,##0.0\)"/>
    <numFmt numFmtId="206" formatCode="#,##0.000"/>
    <numFmt numFmtId="207" formatCode="[$-409]mmm\-yy;@"/>
    <numFmt numFmtId="208" formatCode="[$€-2]\ #,##0"/>
    <numFmt numFmtId="209" formatCode="[$€-2]\ #,##0.00"/>
    <numFmt numFmtId="210" formatCode="&quot;&quot;\ 0\ &quot;days&quot;"/>
    <numFmt numFmtId="211" formatCode="&quot;&quot;\ 0.000\ &quot;MMPTA &quot;"/>
    <numFmt numFmtId="212" formatCode="_-* #,##0_-;\-* #,##0_-;_-* &quot;-&quot;??_-;_-@"/>
    <numFmt numFmtId="213" formatCode="_-* #,##0.00_-;\-* #,##0.00_-;_-* &quot;-&quot;??_-;_-@"/>
    <numFmt numFmtId="214" formatCode="0.00000"/>
    <numFmt numFmtId="215" formatCode="_(* #,##0.00_);_(* \(#,##0.00\);_(* &quot;-&quot;_);_(@_)"/>
    <numFmt numFmtId="216" formatCode="0.0\ &quot;years&quot;"/>
    <numFmt numFmtId="217" formatCode="_-* #,##0.0_-;\-* #,##0.0_-;_-* &quot;-&quot;?_-;_-@_-"/>
    <numFmt numFmtId="218" formatCode="_-* #,##0_-;\-* #,##0_-;_-* &quot;-&quot;?_-;_-@_-"/>
    <numFmt numFmtId="219" formatCode="0.00\ &quot;years&quot;"/>
    <numFmt numFmtId="220" formatCode="&quot;&quot;\ 0.000\ &quot;MMTPA&quot;"/>
    <numFmt numFmtId="221" formatCode="&quot;Location&quot;\ 0\ &quot;&quot;"/>
    <numFmt numFmtId="222" formatCode="mmmm\ yyyy"/>
    <numFmt numFmtId="223" formatCode="&quot;&quot;\ 0\ &quot;Years&quot;"/>
    <numFmt numFmtId="224" formatCode="&quot;&quot;\ 0\ &quot;MMBTU &quot;"/>
  </numFmts>
  <fonts count="250">
    <font>
      <sz val="11"/>
      <color theme="1"/>
      <name val="Calibri"/>
      <family val="2"/>
      <scheme val="minor"/>
    </font>
    <font>
      <sz val="8"/>
      <color theme="0"/>
      <name val="Arial"/>
      <family val="2"/>
    </font>
    <font>
      <sz val="8"/>
      <color theme="1"/>
      <name val="Arial"/>
      <family val="2"/>
    </font>
    <font>
      <sz val="8"/>
      <name val="Arial"/>
      <family val="2"/>
    </font>
    <font>
      <b/>
      <i/>
      <sz val="8"/>
      <name val="Arial"/>
      <family val="2"/>
    </font>
    <font>
      <b/>
      <sz val="8"/>
      <color theme="0"/>
      <name val="Arial"/>
      <family val="2"/>
    </font>
    <font>
      <b/>
      <sz val="8"/>
      <color theme="1"/>
      <name val="Arial"/>
      <family val="2"/>
    </font>
    <font>
      <sz val="8"/>
      <color rgb="FFFF0000"/>
      <name val="Arial"/>
      <family val="2"/>
    </font>
    <font>
      <sz val="11"/>
      <color theme="1"/>
      <name val="Calibri"/>
      <family val="2"/>
      <scheme val="minor"/>
    </font>
    <font>
      <b/>
      <sz val="8"/>
      <name val="Arial"/>
      <family val="2"/>
    </font>
    <font>
      <b/>
      <i/>
      <sz val="8"/>
      <color theme="1"/>
      <name val="Arial"/>
      <family val="2"/>
    </font>
    <font>
      <i/>
      <sz val="8"/>
      <color theme="1"/>
      <name val="Arial"/>
      <family val="2"/>
    </font>
    <font>
      <b/>
      <i/>
      <sz val="8"/>
      <color theme="0"/>
      <name val="Arial"/>
      <family val="2"/>
    </font>
    <font>
      <b/>
      <i/>
      <strike/>
      <sz val="8"/>
      <color theme="1"/>
      <name val="Arial"/>
      <family val="2"/>
    </font>
    <font>
      <b/>
      <strike/>
      <sz val="8"/>
      <color theme="1"/>
      <name val="Arial"/>
      <family val="2"/>
    </font>
    <font>
      <b/>
      <i/>
      <strike/>
      <sz val="8"/>
      <name val="Arial"/>
      <family val="2"/>
    </font>
    <font>
      <sz val="8"/>
      <color theme="1"/>
      <name val="Calibri"/>
      <family val="2"/>
      <scheme val="minor"/>
    </font>
    <font>
      <i/>
      <sz val="8"/>
      <color rgb="FFFF0000"/>
      <name val="Arial"/>
      <family val="2"/>
    </font>
    <font>
      <b/>
      <sz val="8"/>
      <color theme="1"/>
      <name val="Calibri"/>
      <family val="2"/>
      <scheme val="minor"/>
    </font>
    <font>
      <b/>
      <sz val="8"/>
      <color indexed="9"/>
      <name val="Arial"/>
      <family val="2"/>
    </font>
    <font>
      <b/>
      <i/>
      <sz val="8"/>
      <color indexed="9"/>
      <name val="Arial"/>
      <family val="2"/>
    </font>
    <font>
      <sz val="8"/>
      <color theme="1"/>
      <name val="Calibri"/>
      <family val="2"/>
    </font>
    <font>
      <i/>
      <sz val="8"/>
      <name val="Arial"/>
      <family val="2"/>
    </font>
    <font>
      <u/>
      <sz val="8"/>
      <color theme="1"/>
      <name val="Arial"/>
      <family val="2"/>
    </font>
    <font>
      <b/>
      <sz val="11"/>
      <color theme="0"/>
      <name val="Calibri"/>
      <family val="2"/>
      <scheme val="minor"/>
    </font>
    <font>
      <u/>
      <sz val="11"/>
      <color theme="10"/>
      <name val="Calibri"/>
      <family val="2"/>
      <scheme val="minor"/>
    </font>
    <font>
      <b/>
      <sz val="10"/>
      <color theme="0"/>
      <name val="Calibri"/>
      <family val="2"/>
      <scheme val="minor"/>
    </font>
    <font>
      <sz val="9"/>
      <color theme="1"/>
      <name val="Calibri"/>
      <family val="2"/>
      <scheme val="minor"/>
    </font>
    <font>
      <sz val="9"/>
      <color rgb="FF002060"/>
      <name val="Calibri"/>
      <family val="2"/>
      <scheme val="minor"/>
    </font>
    <font>
      <i/>
      <sz val="9"/>
      <color rgb="FFC00000"/>
      <name val="Calibri"/>
      <family val="2"/>
      <scheme val="minor"/>
    </font>
    <font>
      <b/>
      <sz val="9"/>
      <color theme="1"/>
      <name val="Calibri"/>
      <family val="2"/>
      <scheme val="minor"/>
    </font>
    <font>
      <u/>
      <sz val="9"/>
      <color theme="10"/>
      <name val="Calibri"/>
      <family val="2"/>
      <scheme val="minor"/>
    </font>
    <font>
      <b/>
      <u/>
      <sz val="9"/>
      <color theme="1"/>
      <name val="Calibri"/>
      <family val="2"/>
      <scheme val="minor"/>
    </font>
    <font>
      <b/>
      <sz val="9"/>
      <color rgb="FF002060"/>
      <name val="Calibri"/>
      <family val="2"/>
      <scheme val="minor"/>
    </font>
    <font>
      <b/>
      <i/>
      <sz val="9"/>
      <color rgb="FFC00000"/>
      <name val="Calibri"/>
      <family val="2"/>
      <scheme val="minor"/>
    </font>
    <font>
      <u/>
      <sz val="9"/>
      <color rgb="FF002060"/>
      <name val="Calibri"/>
      <family val="2"/>
      <scheme val="minor"/>
    </font>
    <font>
      <b/>
      <u/>
      <sz val="10"/>
      <color theme="1"/>
      <name val="Calibri"/>
      <family val="2"/>
      <scheme val="minor"/>
    </font>
    <font>
      <u/>
      <sz val="9"/>
      <color theme="1"/>
      <name val="Calibri"/>
      <family val="2"/>
      <scheme val="minor"/>
    </font>
    <font>
      <strike/>
      <sz val="9"/>
      <color theme="1"/>
      <name val="Calibri"/>
      <family val="2"/>
      <scheme val="minor"/>
    </font>
    <font>
      <sz val="9"/>
      <color rgb="FFC00000"/>
      <name val="Calibri"/>
      <family val="2"/>
      <scheme val="minor"/>
    </font>
    <font>
      <b/>
      <sz val="9"/>
      <color theme="0"/>
      <name val="Calibri"/>
      <family val="2"/>
      <scheme val="minor"/>
    </font>
    <font>
      <sz val="8"/>
      <color theme="9" tint="-0.499984740745262"/>
      <name val="Arial"/>
      <family val="2"/>
    </font>
    <font>
      <sz val="8"/>
      <color theme="5" tint="-0.249977111117893"/>
      <name val="Arial"/>
      <family val="2"/>
    </font>
    <font>
      <sz val="9"/>
      <color indexed="81"/>
      <name val="Tahoma"/>
      <family val="2"/>
    </font>
    <font>
      <b/>
      <sz val="9"/>
      <color indexed="81"/>
      <name val="Tahoma"/>
      <family val="2"/>
    </font>
    <font>
      <sz val="12"/>
      <color theme="1"/>
      <name val="Calibri"/>
      <family val="2"/>
      <scheme val="minor"/>
    </font>
    <font>
      <u/>
      <sz val="12"/>
      <color theme="1"/>
      <name val="Calibri"/>
      <family val="2"/>
      <scheme val="minor"/>
    </font>
    <font>
      <sz val="8"/>
      <name val="Calibri"/>
      <family val="2"/>
      <scheme val="minor"/>
    </font>
    <font>
      <sz val="9"/>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strike/>
      <u/>
      <sz val="11"/>
      <color theme="1"/>
      <name val="Calibri"/>
      <family val="2"/>
      <scheme val="minor"/>
    </font>
    <font>
      <b/>
      <strike/>
      <u/>
      <sz val="11"/>
      <color theme="1"/>
      <name val="Calibri"/>
      <family val="2"/>
      <scheme val="minor"/>
    </font>
    <font>
      <sz val="10"/>
      <color theme="1"/>
      <name val="Calibri"/>
      <family val="2"/>
      <scheme val="minor"/>
    </font>
    <font>
      <b/>
      <sz val="14"/>
      <color theme="1"/>
      <name val="Times New Roman"/>
      <family val="1"/>
    </font>
    <font>
      <sz val="14"/>
      <color theme="1"/>
      <name val="Times New Roman"/>
      <family val="1"/>
    </font>
    <font>
      <sz val="14"/>
      <name val="Times New Roman"/>
      <family val="1"/>
    </font>
    <font>
      <b/>
      <sz val="14"/>
      <name val="Times New Roman"/>
      <family val="1"/>
    </font>
    <font>
      <b/>
      <sz val="12"/>
      <color theme="1"/>
      <name val="Times New Roman"/>
      <family val="1"/>
    </font>
    <font>
      <b/>
      <u/>
      <sz val="8"/>
      <color theme="1"/>
      <name val="Arial"/>
      <family val="2"/>
    </font>
    <font>
      <u/>
      <sz val="8"/>
      <name val="Arial"/>
      <family val="2"/>
    </font>
    <font>
      <sz val="11"/>
      <color theme="1"/>
      <name val="Cambria"/>
      <family val="2"/>
    </font>
    <font>
      <b/>
      <sz val="11"/>
      <color theme="1"/>
      <name val="Cambria"/>
      <family val="1"/>
    </font>
    <font>
      <b/>
      <u/>
      <sz val="11"/>
      <color theme="1"/>
      <name val="Cambria"/>
      <family val="1"/>
    </font>
    <font>
      <b/>
      <sz val="10"/>
      <color theme="1"/>
      <name val="Calibri"/>
      <family val="2"/>
      <scheme val="minor"/>
    </font>
    <font>
      <b/>
      <sz val="9"/>
      <name val="Calibri"/>
      <family val="2"/>
    </font>
    <font>
      <sz val="10"/>
      <color theme="1"/>
      <name val="Cambria"/>
      <family val="2"/>
    </font>
    <font>
      <b/>
      <sz val="10"/>
      <color theme="1"/>
      <name val="Cambria"/>
      <family val="1"/>
    </font>
    <font>
      <b/>
      <sz val="14"/>
      <color theme="1"/>
      <name val="Cambria"/>
      <family val="1"/>
    </font>
    <font>
      <sz val="11"/>
      <name val="Arial"/>
      <family val="2"/>
    </font>
    <font>
      <sz val="10"/>
      <name val="Calibri"/>
      <family val="2"/>
    </font>
    <font>
      <b/>
      <sz val="10"/>
      <name val="Calibri"/>
      <family val="2"/>
    </font>
    <font>
      <sz val="10"/>
      <color theme="0"/>
      <name val="Calibri"/>
      <family val="2"/>
      <scheme val="minor"/>
    </font>
    <font>
      <b/>
      <u/>
      <sz val="10"/>
      <color theme="1"/>
      <name val="Cambria"/>
      <family val="1"/>
    </font>
    <font>
      <sz val="8"/>
      <color theme="1"/>
      <name val="Cambria"/>
      <family val="2"/>
    </font>
    <font>
      <b/>
      <sz val="8"/>
      <color theme="1"/>
      <name val="Cambria"/>
      <family val="1"/>
    </font>
    <font>
      <b/>
      <sz val="10"/>
      <name val="Calibri"/>
      <family val="2"/>
      <scheme val="minor"/>
    </font>
    <font>
      <b/>
      <sz val="11"/>
      <name val="Calibri"/>
      <family val="2"/>
      <scheme val="minor"/>
    </font>
    <font>
      <sz val="9"/>
      <color theme="1"/>
      <name val="Cambria"/>
      <family val="2"/>
    </font>
    <font>
      <sz val="10"/>
      <color theme="0"/>
      <name val="Cambria"/>
      <family val="2"/>
    </font>
    <font>
      <sz val="10"/>
      <name val="Cambria"/>
      <family val="2"/>
    </font>
    <font>
      <b/>
      <sz val="20"/>
      <color theme="1"/>
      <name val="Arial"/>
      <family val="2"/>
    </font>
    <font>
      <sz val="11"/>
      <color theme="1"/>
      <name val="Arial"/>
      <family val="2"/>
    </font>
    <font>
      <b/>
      <sz val="14"/>
      <color theme="1"/>
      <name val="Arial"/>
      <family val="2"/>
    </font>
    <font>
      <b/>
      <sz val="11"/>
      <color theme="1"/>
      <name val="Arial"/>
      <family val="2"/>
    </font>
    <font>
      <i/>
      <sz val="10"/>
      <color theme="1"/>
      <name val="Arial"/>
      <family val="2"/>
    </font>
    <font>
      <sz val="11"/>
      <color rgb="FFFF0000"/>
      <name val="Arial"/>
      <family val="2"/>
    </font>
    <font>
      <sz val="10"/>
      <name val="Arial"/>
      <family val="2"/>
    </font>
    <font>
      <b/>
      <sz val="10"/>
      <name val="Arial"/>
      <family val="2"/>
    </font>
    <font>
      <u/>
      <sz val="10"/>
      <color rgb="FF0000FF"/>
      <name val="Arial"/>
      <family val="2"/>
    </font>
    <font>
      <i/>
      <sz val="10"/>
      <name val="Arial"/>
      <family val="2"/>
    </font>
    <font>
      <sz val="9"/>
      <name val="Calibri"/>
      <family val="2"/>
    </font>
    <font>
      <b/>
      <sz val="10"/>
      <color theme="1"/>
      <name val="Cambria"/>
      <family val="2"/>
    </font>
    <font>
      <i/>
      <vertAlign val="superscript"/>
      <sz val="9"/>
      <color rgb="FFC00000"/>
      <name val="Calibri"/>
      <family val="2"/>
      <scheme val="minor"/>
    </font>
    <font>
      <b/>
      <u/>
      <vertAlign val="superscript"/>
      <sz val="10"/>
      <color theme="1"/>
      <name val="Cambria"/>
      <family val="1"/>
    </font>
    <font>
      <sz val="10"/>
      <name val="Geneva"/>
    </font>
    <font>
      <b/>
      <sz val="12"/>
      <name val="Arial"/>
      <family val="2"/>
    </font>
    <font>
      <sz val="10"/>
      <name val="MS Sans Serif"/>
      <family val="2"/>
    </font>
    <font>
      <sz val="12"/>
      <name val="Arial"/>
      <family val="2"/>
    </font>
    <font>
      <b/>
      <sz val="10"/>
      <color indexed="8"/>
      <name val="Arial"/>
      <family val="2"/>
    </font>
    <font>
      <b/>
      <u/>
      <sz val="10"/>
      <color rgb="FF000000"/>
      <name val="Arial"/>
      <family val="2"/>
    </font>
    <font>
      <b/>
      <sz val="9"/>
      <color theme="1"/>
      <name val="Arial"/>
      <family val="2"/>
    </font>
    <font>
      <b/>
      <u/>
      <sz val="9"/>
      <color rgb="FF000000"/>
      <name val="Arial"/>
      <family val="2"/>
    </font>
    <font>
      <sz val="9"/>
      <color theme="1"/>
      <name val="Arial"/>
      <family val="2"/>
    </font>
    <font>
      <vertAlign val="superscript"/>
      <sz val="8"/>
      <color theme="1"/>
      <name val="Arial"/>
      <family val="2"/>
    </font>
    <font>
      <vertAlign val="superscript"/>
      <sz val="10"/>
      <color theme="1"/>
      <name val="Cambria"/>
      <family val="1"/>
    </font>
    <font>
      <u/>
      <sz val="9"/>
      <color theme="1"/>
      <name val="Cambria"/>
      <family val="2"/>
    </font>
    <font>
      <b/>
      <u val="singleAccounting"/>
      <sz val="9"/>
      <color theme="1"/>
      <name val="Calibri"/>
      <family val="2"/>
      <scheme val="minor"/>
    </font>
    <font>
      <sz val="11"/>
      <name val="Calibri"/>
      <family val="2"/>
      <scheme val="minor"/>
    </font>
    <font>
      <u val="singleAccounting"/>
      <sz val="8"/>
      <color theme="1"/>
      <name val="Arial"/>
      <family val="2"/>
    </font>
    <font>
      <b/>
      <sz val="8"/>
      <color theme="5" tint="-0.249977111117893"/>
      <name val="Arial"/>
      <family val="2"/>
    </font>
    <font>
      <vertAlign val="superscript"/>
      <sz val="8"/>
      <color rgb="FFFF0000"/>
      <name val="Arial"/>
      <family val="2"/>
    </font>
    <font>
      <sz val="10"/>
      <name val="Calibri"/>
      <family val="2"/>
      <scheme val="minor"/>
    </font>
    <font>
      <u/>
      <sz val="10"/>
      <color theme="1"/>
      <name val="Calibri"/>
      <family val="2"/>
      <scheme val="minor"/>
    </font>
    <font>
      <vertAlign val="superscript"/>
      <sz val="10"/>
      <color theme="1"/>
      <name val="Calibri"/>
      <family val="2"/>
      <scheme val="minor"/>
    </font>
    <font>
      <u/>
      <vertAlign val="superscript"/>
      <sz val="10"/>
      <color theme="1"/>
      <name val="Calibri"/>
      <family val="2"/>
      <scheme val="minor"/>
    </font>
    <font>
      <b/>
      <sz val="12"/>
      <color theme="1"/>
      <name val="Tahoma"/>
      <family val="2"/>
    </font>
    <font>
      <sz val="12"/>
      <color theme="1"/>
      <name val="Tahoma"/>
      <family val="2"/>
    </font>
    <font>
      <b/>
      <sz val="8"/>
      <color theme="1"/>
      <name val="Tahoma"/>
      <family val="2"/>
    </font>
    <font>
      <sz val="11"/>
      <color theme="1"/>
      <name val="Calibri"/>
      <family val="2"/>
    </font>
    <font>
      <sz val="11"/>
      <color theme="1"/>
      <name val="Garamond"/>
      <family val="1"/>
    </font>
    <font>
      <sz val="8"/>
      <color theme="8" tint="-0.499984740745262"/>
      <name val="Arial"/>
      <family val="2"/>
    </font>
    <font>
      <sz val="9"/>
      <color theme="8" tint="-0.499984740745262"/>
      <name val="Arial"/>
      <family val="2"/>
    </font>
    <font>
      <sz val="9"/>
      <color rgb="FFFF0000"/>
      <name val="Arial"/>
      <family val="2"/>
    </font>
    <font>
      <strike/>
      <sz val="11"/>
      <color theme="1"/>
      <name val="Calibri"/>
      <family val="2"/>
      <scheme val="minor"/>
    </font>
    <font>
      <b/>
      <sz val="10"/>
      <color theme="1"/>
      <name val="Arial"/>
      <family val="2"/>
    </font>
    <font>
      <b/>
      <sz val="8"/>
      <name val="Daytona"/>
      <family val="2"/>
    </font>
    <font>
      <sz val="8"/>
      <color theme="1"/>
      <name val="Daytona"/>
      <family val="2"/>
    </font>
    <font>
      <sz val="10"/>
      <color theme="1"/>
      <name val="Arial"/>
      <family val="2"/>
    </font>
    <font>
      <sz val="11"/>
      <color theme="1"/>
      <name val="Daytona"/>
      <family val="2"/>
    </font>
    <font>
      <b/>
      <sz val="11"/>
      <color theme="1"/>
      <name val="Daytona"/>
      <family val="2"/>
    </font>
    <font>
      <b/>
      <sz val="12"/>
      <color theme="1"/>
      <name val="Daytona"/>
      <family val="2"/>
    </font>
    <font>
      <sz val="12"/>
      <color theme="1"/>
      <name val="Daytona"/>
      <family val="2"/>
    </font>
    <font>
      <b/>
      <u/>
      <sz val="10"/>
      <color theme="1"/>
      <name val="Daytona"/>
      <family val="2"/>
    </font>
    <font>
      <sz val="9"/>
      <color theme="1"/>
      <name val="Daytona"/>
      <family val="2"/>
    </font>
    <font>
      <b/>
      <i/>
      <sz val="9"/>
      <color rgb="FFC00000"/>
      <name val="Daytona"/>
      <family val="2"/>
    </font>
    <font>
      <b/>
      <u/>
      <sz val="9"/>
      <color theme="1"/>
      <name val="Daytona"/>
      <family val="2"/>
    </font>
    <font>
      <i/>
      <sz val="9"/>
      <color rgb="FFC00000"/>
      <name val="Daytona"/>
      <family val="2"/>
    </font>
    <font>
      <b/>
      <sz val="10"/>
      <color theme="1"/>
      <name val="Daytona"/>
      <family val="2"/>
    </font>
    <font>
      <b/>
      <sz val="9"/>
      <color theme="1"/>
      <name val="Daytona"/>
      <family val="2"/>
    </font>
    <font>
      <b/>
      <sz val="9"/>
      <color rgb="FFC00000"/>
      <name val="Daytona"/>
      <family val="2"/>
    </font>
    <font>
      <sz val="10"/>
      <color theme="1"/>
      <name val="Daytona"/>
      <family val="2"/>
    </font>
    <font>
      <sz val="11"/>
      <color theme="1"/>
      <name val="Times New Roman"/>
      <family val="1"/>
    </font>
    <font>
      <sz val="9"/>
      <name val="Geneva"/>
      <family val="2"/>
      <charset val="1"/>
    </font>
    <font>
      <b/>
      <sz val="14"/>
      <name val="Calibri"/>
      <family val="2"/>
      <scheme val="minor"/>
    </font>
    <font>
      <sz val="12"/>
      <name val="Calibri"/>
      <family val="2"/>
      <scheme val="minor"/>
    </font>
    <font>
      <i/>
      <sz val="9"/>
      <name val="Geneva"/>
      <family val="2"/>
      <charset val="1"/>
    </font>
    <font>
      <i/>
      <sz val="12"/>
      <name val="Calibri"/>
      <family val="2"/>
      <scheme val="minor"/>
    </font>
    <font>
      <b/>
      <sz val="14"/>
      <name val="Geneva"/>
      <family val="2"/>
      <charset val="1"/>
    </font>
    <font>
      <sz val="9"/>
      <color theme="1"/>
      <name val="Trebuchet MS"/>
      <family val="2"/>
    </font>
    <font>
      <b/>
      <sz val="10"/>
      <color theme="0"/>
      <name val="Garamond"/>
      <family val="1"/>
    </font>
    <font>
      <sz val="10"/>
      <color theme="0"/>
      <name val="Garamond"/>
      <family val="1"/>
    </font>
    <font>
      <sz val="16"/>
      <color theme="1"/>
      <name val="Tahoma"/>
      <family val="2"/>
    </font>
    <font>
      <sz val="8"/>
      <color rgb="FF003B4D"/>
      <name val="Arial"/>
      <family val="2"/>
    </font>
    <font>
      <b/>
      <sz val="7"/>
      <color theme="1"/>
      <name val="Arial"/>
      <family val="2"/>
    </font>
    <font>
      <sz val="6"/>
      <color theme="1"/>
      <name val="Arial"/>
      <family val="2"/>
    </font>
    <font>
      <sz val="10"/>
      <color theme="0"/>
      <name val="Daytona"/>
      <family val="2"/>
    </font>
    <font>
      <b/>
      <sz val="18"/>
      <color theme="1"/>
      <name val="Calibri"/>
      <family val="2"/>
      <scheme val="minor"/>
    </font>
    <font>
      <sz val="9"/>
      <name val="Times New Roman"/>
      <family val="1"/>
    </font>
    <font>
      <b/>
      <sz val="9"/>
      <color theme="0"/>
      <name val="Times New Roman"/>
      <family val="1"/>
    </font>
    <font>
      <b/>
      <sz val="9"/>
      <color theme="1"/>
      <name val="Times New Roman"/>
      <family val="1"/>
    </font>
    <font>
      <b/>
      <u/>
      <sz val="8"/>
      <name val="Arial"/>
      <family val="2"/>
    </font>
    <font>
      <sz val="9"/>
      <color rgb="FFFF0000"/>
      <name val="Calibri"/>
      <family val="2"/>
      <scheme val="minor"/>
    </font>
    <font>
      <sz val="9"/>
      <color rgb="FFFF0000"/>
      <name val="Calibri"/>
      <family val="2"/>
    </font>
    <font>
      <b/>
      <sz val="14"/>
      <color rgb="FF003300"/>
      <name val="Calibri"/>
      <family val="2"/>
    </font>
    <font>
      <b/>
      <sz val="11"/>
      <color theme="0"/>
      <name val="Calibri"/>
      <family val="2"/>
    </font>
    <font>
      <b/>
      <sz val="11"/>
      <color theme="1"/>
      <name val="Calibri"/>
      <family val="2"/>
    </font>
    <font>
      <b/>
      <u/>
      <sz val="14"/>
      <color theme="0"/>
      <name val="Calibri"/>
      <family val="2"/>
    </font>
    <font>
      <b/>
      <sz val="11"/>
      <name val="Calibri"/>
      <family val="2"/>
    </font>
    <font>
      <b/>
      <u/>
      <sz val="12"/>
      <color theme="1"/>
      <name val="Calibri"/>
      <family val="2"/>
    </font>
    <font>
      <sz val="11"/>
      <name val="Calibri"/>
      <family val="2"/>
    </font>
    <font>
      <b/>
      <sz val="11"/>
      <color indexed="8"/>
      <name val="Calibri"/>
      <family val="2"/>
    </font>
    <font>
      <sz val="11"/>
      <color indexed="8"/>
      <name val="Calibri"/>
      <family val="2"/>
    </font>
    <font>
      <sz val="11"/>
      <color theme="0"/>
      <name val="Arial"/>
      <family val="2"/>
    </font>
    <font>
      <sz val="14"/>
      <color theme="1"/>
      <name val="Calibri"/>
      <family val="2"/>
    </font>
    <font>
      <sz val="11"/>
      <color theme="0"/>
      <name val="Calibri"/>
      <family val="2"/>
    </font>
    <font>
      <b/>
      <u/>
      <sz val="11"/>
      <color theme="1"/>
      <name val="Calibri"/>
      <family val="2"/>
    </font>
    <font>
      <u val="singleAccounting"/>
      <sz val="12"/>
      <color theme="1"/>
      <name val="Calibri"/>
      <family val="2"/>
    </font>
    <font>
      <b/>
      <sz val="12"/>
      <color theme="1"/>
      <name val="Calibri"/>
      <family val="2"/>
    </font>
    <font>
      <u/>
      <sz val="10"/>
      <color theme="0"/>
      <name val="Cambria"/>
      <family val="2"/>
    </font>
    <font>
      <sz val="11"/>
      <color rgb="FF000000"/>
      <name val="Times New Roman"/>
      <family val="1"/>
    </font>
    <font>
      <sz val="11"/>
      <color theme="5" tint="-0.249977111117893"/>
      <name val="Calibri"/>
      <family val="2"/>
      <scheme val="minor"/>
    </font>
    <font>
      <u val="singleAccounting"/>
      <sz val="11"/>
      <color theme="1"/>
      <name val="Calibri"/>
      <family val="2"/>
      <scheme val="minor"/>
    </font>
    <font>
      <sz val="12"/>
      <color theme="1"/>
      <name val="Times New Roman"/>
      <family val="1"/>
    </font>
    <font>
      <sz val="12"/>
      <color rgb="FF000000"/>
      <name val="Times New Roman"/>
      <family val="1"/>
    </font>
    <font>
      <b/>
      <sz val="12"/>
      <color rgb="FF000000"/>
      <name val="Times New Roman"/>
      <family val="1"/>
    </font>
    <font>
      <b/>
      <sz val="12"/>
      <color theme="1"/>
      <name val="Calibri"/>
      <family val="2"/>
      <scheme val="minor"/>
    </font>
    <font>
      <b/>
      <sz val="14"/>
      <color theme="1"/>
      <name val="Calibri"/>
      <family val="2"/>
      <scheme val="minor"/>
    </font>
    <font>
      <sz val="14"/>
      <color theme="1"/>
      <name val="Calibri"/>
      <family val="2"/>
      <scheme val="minor"/>
    </font>
    <font>
      <b/>
      <sz val="12"/>
      <color theme="0"/>
      <name val="Times New Roman"/>
      <family val="1"/>
    </font>
    <font>
      <sz val="12"/>
      <name val="Times New Roman"/>
      <family val="1"/>
    </font>
    <font>
      <sz val="10"/>
      <color theme="1"/>
      <name val="Times New Roman"/>
      <family val="1"/>
    </font>
    <font>
      <sz val="10"/>
      <name val="Times New Roman"/>
      <family val="1"/>
    </font>
    <font>
      <b/>
      <sz val="10"/>
      <color theme="1"/>
      <name val="Times New Roman"/>
      <family val="1"/>
    </font>
    <font>
      <sz val="11"/>
      <name val="Times New Roman"/>
      <family val="1"/>
    </font>
    <font>
      <b/>
      <sz val="10"/>
      <color theme="0"/>
      <name val="Times New Roman"/>
      <family val="1"/>
    </font>
    <font>
      <b/>
      <i/>
      <sz val="10"/>
      <color theme="1"/>
      <name val="Times New Roman"/>
      <family val="1"/>
    </font>
    <font>
      <sz val="16"/>
      <color theme="1"/>
      <name val="Calibri"/>
      <family val="2"/>
      <scheme val="minor"/>
    </font>
    <font>
      <b/>
      <sz val="14"/>
      <color theme="0"/>
      <name val="Times New Roman"/>
      <family val="1"/>
    </font>
    <font>
      <b/>
      <sz val="14"/>
      <name val="Arial"/>
      <family val="2"/>
    </font>
    <font>
      <sz val="10"/>
      <color theme="5" tint="-0.249977111117893"/>
      <name val="Calibri"/>
      <family val="2"/>
      <scheme val="minor"/>
    </font>
    <font>
      <sz val="10"/>
      <color rgb="FF242424"/>
      <name val="Inherit"/>
    </font>
    <font>
      <b/>
      <u val="singleAccounting"/>
      <sz val="10"/>
      <color theme="1"/>
      <name val="Calibri"/>
      <family val="2"/>
      <scheme val="minor"/>
    </font>
    <font>
      <sz val="11"/>
      <color rgb="FFFF0000"/>
      <name val="Calibri"/>
      <family val="2"/>
      <scheme val="minor"/>
    </font>
    <font>
      <sz val="13"/>
      <color theme="1"/>
      <name val="Calibri"/>
      <family val="2"/>
      <scheme val="minor"/>
    </font>
    <font>
      <b/>
      <sz val="13"/>
      <color theme="0"/>
      <name val="Times New Roman"/>
      <family val="1"/>
    </font>
    <font>
      <sz val="13"/>
      <color theme="1"/>
      <name val="Times New Roman"/>
      <family val="1"/>
    </font>
    <font>
      <sz val="13"/>
      <name val="Times New Roman"/>
      <family val="1"/>
    </font>
    <font>
      <b/>
      <sz val="13"/>
      <color theme="1"/>
      <name val="Times New Roman"/>
      <family val="1"/>
    </font>
    <font>
      <u/>
      <sz val="14"/>
      <color theme="1"/>
      <name val="Calibri"/>
      <family val="2"/>
      <scheme val="minor"/>
    </font>
    <font>
      <sz val="14"/>
      <color theme="0"/>
      <name val="Times New Roman"/>
      <family val="1"/>
    </font>
    <font>
      <b/>
      <sz val="18"/>
      <color theme="0"/>
      <name val="Calibri"/>
      <family val="2"/>
      <scheme val="minor"/>
    </font>
    <font>
      <b/>
      <sz val="9"/>
      <color theme="0"/>
      <name val="Daytona"/>
      <family val="2"/>
    </font>
    <font>
      <sz val="13"/>
      <color theme="0"/>
      <name val="Calibri"/>
      <family val="2"/>
      <scheme val="minor"/>
    </font>
    <font>
      <b/>
      <sz val="14"/>
      <color theme="0"/>
      <name val="Calibri"/>
      <family val="2"/>
      <scheme val="minor"/>
    </font>
    <font>
      <sz val="11"/>
      <color theme="0"/>
      <name val="Calibri"/>
      <family val="2"/>
      <scheme val="minor"/>
    </font>
    <font>
      <b/>
      <u/>
      <sz val="11"/>
      <color rgb="FF003300"/>
      <name val="Calibri"/>
      <family val="2"/>
      <scheme val="minor"/>
    </font>
    <font>
      <sz val="11"/>
      <color rgb="FF003300"/>
      <name val="Calibri"/>
      <family val="2"/>
      <scheme val="minor"/>
    </font>
    <font>
      <b/>
      <sz val="11"/>
      <color rgb="FF003300"/>
      <name val="Calibri"/>
      <family val="2"/>
      <scheme val="minor"/>
    </font>
    <font>
      <u/>
      <sz val="11"/>
      <color theme="10"/>
      <name val="Cambria"/>
      <family val="2"/>
    </font>
    <font>
      <b/>
      <sz val="11"/>
      <color theme="3" tint="0.39997558519241921"/>
      <name val="Calibri"/>
      <family val="2"/>
      <scheme val="minor"/>
    </font>
    <font>
      <b/>
      <sz val="11"/>
      <color theme="0"/>
      <name val="Times New Roman"/>
      <family val="1"/>
    </font>
    <font>
      <b/>
      <sz val="11"/>
      <color theme="1"/>
      <name val="Times New Roman"/>
      <family val="1"/>
    </font>
    <font>
      <strike/>
      <sz val="11"/>
      <color theme="1"/>
      <name val="Times New Roman"/>
      <family val="1"/>
    </font>
    <font>
      <b/>
      <sz val="11"/>
      <color rgb="FFFF0000"/>
      <name val="Times New Roman"/>
      <family val="1"/>
    </font>
    <font>
      <sz val="11"/>
      <color theme="0"/>
      <name val="Daytona"/>
      <family val="2"/>
    </font>
    <font>
      <b/>
      <sz val="10"/>
      <color theme="0"/>
      <name val="Daytona"/>
      <family val="2"/>
    </font>
    <font>
      <sz val="10"/>
      <name val="Daytona"/>
      <family val="2"/>
    </font>
    <font>
      <sz val="9"/>
      <color theme="0"/>
      <name val="Daytona"/>
      <family val="2"/>
    </font>
    <font>
      <b/>
      <sz val="7.5"/>
      <color theme="1"/>
      <name val="Tahoma"/>
      <family val="2"/>
    </font>
    <font>
      <sz val="11"/>
      <color rgb="FF003B4D"/>
      <name val="Arial"/>
      <family val="2"/>
    </font>
    <font>
      <i/>
      <sz val="11"/>
      <color rgb="FF003B4D"/>
      <name val="Arial"/>
      <family val="2"/>
    </font>
    <font>
      <i/>
      <sz val="9"/>
      <color theme="1"/>
      <name val="Calibri"/>
      <family val="2"/>
      <scheme val="minor"/>
    </font>
    <font>
      <b/>
      <sz val="12"/>
      <name val="Calibri"/>
      <family val="2"/>
      <scheme val="minor"/>
    </font>
    <font>
      <sz val="12"/>
      <color theme="0"/>
      <name val="Calibri"/>
      <family val="2"/>
      <scheme val="minor"/>
    </font>
    <font>
      <sz val="14"/>
      <color theme="0"/>
      <name val="Calibri"/>
      <family val="2"/>
      <scheme val="minor"/>
    </font>
    <font>
      <sz val="12"/>
      <color theme="5" tint="-0.249977111117893"/>
      <name val="Calibri"/>
      <family val="2"/>
      <scheme val="minor"/>
    </font>
    <font>
      <sz val="14"/>
      <color rgb="FFFF0000"/>
      <name val="Calibri"/>
      <family val="2"/>
      <scheme val="minor"/>
    </font>
    <font>
      <sz val="10"/>
      <color theme="5" tint="-0.249977111117893"/>
      <name val="Cambria"/>
      <family val="2"/>
    </font>
    <font>
      <b/>
      <sz val="12"/>
      <name val="Times New Roman"/>
      <family val="1"/>
    </font>
    <font>
      <b/>
      <u val="singleAccounting"/>
      <sz val="12"/>
      <color theme="1"/>
      <name val="Calibri"/>
      <family val="2"/>
      <scheme val="minor"/>
    </font>
    <font>
      <sz val="12"/>
      <color rgb="FFFF0000"/>
      <name val="Calibri"/>
      <family val="2"/>
      <scheme val="minor"/>
    </font>
    <font>
      <sz val="10"/>
      <color theme="9" tint="-0.499984740745262"/>
      <name val="Arial"/>
      <family val="2"/>
    </font>
    <font>
      <sz val="10"/>
      <color theme="5" tint="-0.249977111117893"/>
      <name val="Arial"/>
      <family val="2"/>
    </font>
    <font>
      <b/>
      <sz val="10"/>
      <color indexed="9"/>
      <name val="Arial"/>
      <family val="2"/>
    </font>
    <font>
      <sz val="10"/>
      <color theme="0"/>
      <name val="Arial"/>
      <family val="2"/>
    </font>
    <font>
      <b/>
      <sz val="10"/>
      <color theme="1"/>
      <name val="Garamond"/>
      <family val="1"/>
    </font>
    <font>
      <sz val="10"/>
      <color theme="1"/>
      <name val="Garamond"/>
      <family val="1"/>
    </font>
    <font>
      <i/>
      <sz val="9"/>
      <name val="Calibri"/>
      <family val="2"/>
      <scheme val="minor"/>
    </font>
  </fonts>
  <fills count="50">
    <fill>
      <patternFill patternType="none"/>
    </fill>
    <fill>
      <patternFill patternType="gray125"/>
    </fill>
    <fill>
      <patternFill patternType="solid">
        <fgColor theme="9"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rgb="FFFFFF00"/>
        <bgColor indexed="64"/>
      </patternFill>
    </fill>
    <fill>
      <patternFill patternType="solid">
        <fgColor theme="4" tint="-0.49998474074526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1"/>
        <bgColor indexed="64"/>
      </patternFill>
    </fill>
    <fill>
      <patternFill patternType="solid">
        <fgColor theme="4" tint="0.39997558519241921"/>
        <bgColor indexed="64"/>
      </patternFill>
    </fill>
    <fill>
      <patternFill patternType="solid">
        <fgColor rgb="FFFF0000"/>
        <bgColor indexed="64"/>
      </patternFill>
    </fill>
    <fill>
      <patternFill patternType="solid">
        <fgColor theme="7" tint="-0.249977111117893"/>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indexed="9"/>
        <bgColor indexed="64"/>
      </patternFill>
    </fill>
    <fill>
      <patternFill patternType="solid">
        <fgColor indexed="43"/>
        <bgColor indexed="64"/>
      </patternFill>
    </fill>
    <fill>
      <patternFill patternType="solid">
        <fgColor theme="8" tint="0.79998168889431442"/>
        <bgColor indexed="64"/>
      </patternFill>
    </fill>
    <fill>
      <patternFill patternType="solid">
        <fgColor rgb="FF1E4E79"/>
        <bgColor rgb="FF1E4E79"/>
      </patternFill>
    </fill>
    <fill>
      <patternFill patternType="solid">
        <fgColor rgb="FF7F7F7F"/>
        <bgColor rgb="FF7F7F7F"/>
      </patternFill>
    </fill>
    <fill>
      <patternFill patternType="solid">
        <fgColor rgb="FFCCFFCC"/>
        <bgColor indexed="64"/>
      </patternFill>
    </fill>
    <fill>
      <patternFill patternType="solid">
        <fgColor rgb="FF5685A3"/>
        <bgColor indexed="64"/>
      </patternFill>
    </fill>
    <fill>
      <patternFill patternType="solid">
        <fgColor rgb="FFFFFFFF"/>
        <bgColor indexed="64"/>
      </patternFill>
    </fill>
    <fill>
      <patternFill patternType="solid">
        <fgColor rgb="FFF9F9F9"/>
        <bgColor indexed="64"/>
      </patternFill>
    </fill>
    <fill>
      <patternFill patternType="solid">
        <fgColor theme="9" tint="-0.249977111117893"/>
        <bgColor rgb="FF7F7F7F"/>
      </patternFill>
    </fill>
    <fill>
      <patternFill patternType="solid">
        <fgColor rgb="FF92D050"/>
        <bgColor indexed="64"/>
      </patternFill>
    </fill>
    <fill>
      <patternFill patternType="solid">
        <fgColor rgb="FF003300"/>
        <bgColor indexed="64"/>
      </patternFill>
    </fill>
    <fill>
      <patternFill patternType="solid">
        <fgColor rgb="FF2A411B"/>
        <bgColor indexed="64"/>
      </patternFill>
    </fill>
    <fill>
      <patternFill patternType="solid">
        <fgColor theme="9" tint="-0.49998474074526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8" tint="-0.499984740745262"/>
        <bgColor indexed="64"/>
      </patternFill>
    </fill>
    <fill>
      <patternFill patternType="solid">
        <fgColor theme="8" tint="-0.499984740745262"/>
        <bgColor rgb="FF7F7F7F"/>
      </patternFill>
    </fill>
    <fill>
      <patternFill patternType="solid">
        <fgColor theme="8" tint="-0.249977111117893"/>
        <bgColor indexed="64"/>
      </patternFill>
    </fill>
  </fills>
  <borders count="203">
    <border>
      <left/>
      <right/>
      <top/>
      <bottom/>
      <diagonal/>
    </border>
    <border>
      <left style="hair">
        <color auto="1"/>
      </left>
      <right style="hair">
        <color auto="1"/>
      </right>
      <top style="hair">
        <color auto="1"/>
      </top>
      <bottom style="hair">
        <color auto="1"/>
      </bottom>
      <diagonal/>
    </border>
    <border>
      <left style="dashed">
        <color auto="1"/>
      </left>
      <right style="dashed">
        <color auto="1"/>
      </right>
      <top style="dashed">
        <color auto="1"/>
      </top>
      <bottom style="dashed">
        <color auto="1"/>
      </bottom>
      <diagonal/>
    </border>
    <border>
      <left style="hair">
        <color auto="1"/>
      </left>
      <right style="hair">
        <color auto="1"/>
      </right>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dashed">
        <color auto="1"/>
      </left>
      <right/>
      <top style="dashed">
        <color auto="1"/>
      </top>
      <bottom style="dashed">
        <color auto="1"/>
      </bottom>
      <diagonal/>
    </border>
    <border>
      <left style="dotted">
        <color auto="1"/>
      </left>
      <right style="dotted">
        <color auto="1"/>
      </right>
      <top style="dotted">
        <color auto="1"/>
      </top>
      <bottom style="dotted">
        <color auto="1"/>
      </bottom>
      <diagonal/>
    </border>
    <border>
      <left/>
      <right style="dashed">
        <color auto="1"/>
      </right>
      <top style="dashed">
        <color auto="1"/>
      </top>
      <bottom style="dashed">
        <color auto="1"/>
      </bottom>
      <diagonal/>
    </border>
    <border>
      <left style="dashed">
        <color auto="1"/>
      </left>
      <right/>
      <top style="dashed">
        <color auto="1"/>
      </top>
      <bottom/>
      <diagonal/>
    </border>
    <border>
      <left style="dotted">
        <color auto="1"/>
      </left>
      <right style="dotted">
        <color auto="1"/>
      </right>
      <top style="dotted">
        <color auto="1"/>
      </top>
      <bottom/>
      <diagonal/>
    </border>
    <border>
      <left/>
      <right style="dashed">
        <color auto="1"/>
      </right>
      <top style="dashed">
        <color auto="1"/>
      </top>
      <bottom/>
      <diagonal/>
    </border>
    <border>
      <left style="dashed">
        <color auto="1"/>
      </left>
      <right style="dashed">
        <color auto="1"/>
      </right>
      <top style="dashed">
        <color auto="1"/>
      </top>
      <bottom style="thin">
        <color indexed="64"/>
      </bottom>
      <diagonal/>
    </border>
    <border>
      <left style="dashed">
        <color auto="1"/>
      </left>
      <right style="dashed">
        <color auto="1"/>
      </right>
      <top style="dashed">
        <color auto="1"/>
      </top>
      <bottom/>
      <diagonal/>
    </border>
    <border>
      <left style="dotted">
        <color indexed="64"/>
      </left>
      <right style="dotted">
        <color indexed="64"/>
      </right>
      <top style="thin">
        <color indexed="64"/>
      </top>
      <bottom style="dotted">
        <color indexed="64"/>
      </bottom>
      <diagonal/>
    </border>
    <border>
      <left style="dotted">
        <color indexed="64"/>
      </left>
      <right style="dotted">
        <color indexed="64"/>
      </right>
      <top style="dotted">
        <color indexed="64"/>
      </top>
      <bottom style="thin">
        <color indexed="64"/>
      </bottom>
      <diagonal/>
    </border>
    <border>
      <left style="dotted">
        <color indexed="64"/>
      </left>
      <right/>
      <top style="dotted">
        <color indexed="64"/>
      </top>
      <bottom style="thin">
        <color indexed="64"/>
      </bottom>
      <diagonal/>
    </border>
    <border>
      <left style="dotted">
        <color indexed="64"/>
      </left>
      <right style="dotted">
        <color indexed="64"/>
      </right>
      <top/>
      <bottom style="dotted">
        <color indexed="64"/>
      </bottom>
      <diagonal/>
    </border>
    <border>
      <left style="dotted">
        <color indexed="64"/>
      </left>
      <right/>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dotted">
        <color auto="1"/>
      </right>
      <top style="dotted">
        <color auto="1"/>
      </top>
      <bottom style="dotted">
        <color auto="1"/>
      </bottom>
      <diagonal/>
    </border>
    <border>
      <left style="dotted">
        <color auto="1"/>
      </left>
      <right style="thin">
        <color indexed="64"/>
      </right>
      <top style="dotted">
        <color auto="1"/>
      </top>
      <bottom style="dotted">
        <color auto="1"/>
      </bottom>
      <diagonal/>
    </border>
    <border>
      <left style="thin">
        <color indexed="64"/>
      </left>
      <right style="dotted">
        <color auto="1"/>
      </right>
      <top style="dotted">
        <color auto="1"/>
      </top>
      <bottom style="thin">
        <color indexed="64"/>
      </bottom>
      <diagonal/>
    </border>
    <border>
      <left style="dashed">
        <color auto="1"/>
      </left>
      <right style="dashed">
        <color auto="1"/>
      </right>
      <top/>
      <bottom style="dashed">
        <color auto="1"/>
      </bottom>
      <diagonal/>
    </border>
    <border>
      <left/>
      <right/>
      <top style="thin">
        <color indexed="64"/>
      </top>
      <bottom style="double">
        <color indexed="64"/>
      </bottom>
      <diagonal/>
    </border>
    <border>
      <left style="dotted">
        <color auto="1"/>
      </left>
      <right style="dotted">
        <color auto="1"/>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style="medium">
        <color indexed="64"/>
      </top>
      <bottom style="medium">
        <color indexed="64"/>
      </bottom>
      <diagonal/>
    </border>
    <border>
      <left style="hair">
        <color theme="1"/>
      </left>
      <right style="hair">
        <color theme="1"/>
      </right>
      <top/>
      <bottom style="hair">
        <color theme="1"/>
      </bottom>
      <diagonal/>
    </border>
    <border>
      <left style="hair">
        <color theme="1"/>
      </left>
      <right style="medium">
        <color indexed="64"/>
      </right>
      <top style="medium">
        <color indexed="64"/>
      </top>
      <bottom style="medium">
        <color indexed="64"/>
      </bottom>
      <diagonal/>
    </border>
    <border>
      <left/>
      <right/>
      <top style="thin">
        <color indexed="64"/>
      </top>
      <bottom style="medium">
        <color indexed="64"/>
      </bottom>
      <diagonal/>
    </border>
    <border>
      <left style="hair">
        <color theme="1"/>
      </left>
      <right style="hair">
        <color theme="1"/>
      </right>
      <top style="thin">
        <color indexed="64"/>
      </top>
      <bottom style="medium">
        <color indexed="64"/>
      </bottom>
      <diagonal/>
    </border>
    <border>
      <left style="medium">
        <color indexed="64"/>
      </left>
      <right/>
      <top style="thin">
        <color indexed="64"/>
      </top>
      <bottom/>
      <diagonal/>
    </border>
    <border>
      <left style="thin">
        <color indexed="64"/>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hair">
        <color theme="1"/>
      </left>
      <right style="hair">
        <color theme="1"/>
      </right>
      <top/>
      <bottom/>
      <diagonal/>
    </border>
    <border>
      <left style="hair">
        <color theme="1"/>
      </left>
      <right/>
      <top style="hair">
        <color theme="1"/>
      </top>
      <bottom style="hair">
        <color theme="1"/>
      </bottom>
      <diagonal/>
    </border>
    <border>
      <left style="hair">
        <color theme="1"/>
      </left>
      <right/>
      <top style="hair">
        <color theme="1"/>
      </top>
      <bottom style="medium">
        <color indexed="64"/>
      </bottom>
      <diagonal/>
    </border>
    <border>
      <left style="thin">
        <color indexed="64"/>
      </left>
      <right/>
      <top style="thin">
        <color indexed="64"/>
      </top>
      <bottom style="medium">
        <color indexed="64"/>
      </bottom>
      <diagonal/>
    </border>
    <border>
      <left style="medium">
        <color indexed="64"/>
      </left>
      <right/>
      <top style="dashed">
        <color auto="1"/>
      </top>
      <bottom style="dashed">
        <color auto="1"/>
      </bottom>
      <diagonal/>
    </border>
    <border>
      <left style="dashed">
        <color auto="1"/>
      </left>
      <right style="medium">
        <color indexed="64"/>
      </right>
      <top style="dashed">
        <color auto="1"/>
      </top>
      <bottom style="dashed">
        <color auto="1"/>
      </bottom>
      <diagonal/>
    </border>
    <border>
      <left style="medium">
        <color indexed="64"/>
      </left>
      <right/>
      <top style="dashed">
        <color auto="1"/>
      </top>
      <bottom/>
      <diagonal/>
    </border>
    <border>
      <left style="dashed">
        <color auto="1"/>
      </left>
      <right style="medium">
        <color indexed="64"/>
      </right>
      <top style="dashed">
        <color auto="1"/>
      </top>
      <bottom/>
      <diagonal/>
    </border>
    <border>
      <left style="thin">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style="medium">
        <color indexed="64"/>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bottom style="thin">
        <color indexed="64"/>
      </bottom>
      <diagonal/>
    </border>
    <border>
      <left style="medium">
        <color indexed="64"/>
      </left>
      <right/>
      <top/>
      <bottom style="thin">
        <color indexed="64"/>
      </bottom>
      <diagonal/>
    </border>
    <border>
      <left style="thin">
        <color indexed="64"/>
      </left>
      <right style="thin">
        <color indexed="64"/>
      </right>
      <top/>
      <bottom/>
      <diagonal/>
    </border>
    <border>
      <left style="thin">
        <color indexed="64"/>
      </left>
      <right/>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medium">
        <color indexed="64"/>
      </left>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hair">
        <color auto="1"/>
      </left>
      <right style="medium">
        <color indexed="64"/>
      </right>
      <top style="medium">
        <color indexed="64"/>
      </top>
      <bottom style="hair">
        <color auto="1"/>
      </bottom>
      <diagonal/>
    </border>
    <border>
      <left/>
      <right style="medium">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thin">
        <color indexed="64"/>
      </bottom>
      <diagonal/>
    </border>
    <border>
      <left style="hair">
        <color theme="1"/>
      </left>
      <right style="hair">
        <color theme="1"/>
      </right>
      <top style="thin">
        <color indexed="64"/>
      </top>
      <bottom style="thin">
        <color indexed="64"/>
      </bottom>
      <diagonal/>
    </border>
    <border>
      <left style="thin">
        <color indexed="64"/>
      </left>
      <right style="dotted">
        <color auto="1"/>
      </right>
      <top style="dotted">
        <color auto="1"/>
      </top>
      <bottom/>
      <diagonal/>
    </border>
    <border>
      <left style="dotted">
        <color auto="1"/>
      </left>
      <right style="thin">
        <color indexed="64"/>
      </right>
      <top style="dotted">
        <color auto="1"/>
      </top>
      <bottom/>
      <diagonal/>
    </border>
    <border>
      <left style="thin">
        <color indexed="64"/>
      </left>
      <right style="dotted">
        <color auto="1"/>
      </right>
      <top/>
      <bottom style="thin">
        <color indexed="64"/>
      </bottom>
      <diagonal/>
    </border>
    <border>
      <left style="dotted">
        <color auto="1"/>
      </left>
      <right style="thin">
        <color indexed="64"/>
      </right>
      <top/>
      <bottom style="dotted">
        <color auto="1"/>
      </bottom>
      <diagonal/>
    </border>
    <border>
      <left/>
      <right style="dotted">
        <color auto="1"/>
      </right>
      <top/>
      <bottom/>
      <diagonal/>
    </border>
    <border>
      <left/>
      <right/>
      <top style="dotted">
        <color auto="1"/>
      </top>
      <bottom/>
      <diagonal/>
    </border>
    <border>
      <left/>
      <right/>
      <top style="medium">
        <color indexed="64"/>
      </top>
      <bottom style="double">
        <color indexed="64"/>
      </bottom>
      <diagonal/>
    </border>
    <border>
      <left style="hair">
        <color theme="1"/>
      </left>
      <right style="hair">
        <color theme="1"/>
      </right>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right/>
      <top style="thin">
        <color rgb="FF000000"/>
      </top>
      <bottom style="double">
        <color rgb="FF000000"/>
      </bottom>
      <diagonal/>
    </border>
    <border>
      <left/>
      <right/>
      <top style="thin">
        <color rgb="FF000000"/>
      </top>
      <bottom style="medium">
        <color rgb="FF000000"/>
      </bottom>
      <diagonal/>
    </border>
    <border>
      <left style="mediumDashed">
        <color indexed="64"/>
      </left>
      <right style="mediumDashed">
        <color indexed="64"/>
      </right>
      <top style="mediumDashed">
        <color indexed="64"/>
      </top>
      <bottom style="mediumDashed">
        <color indexed="64"/>
      </bottom>
      <diagonal/>
    </border>
    <border>
      <left/>
      <right/>
      <top style="mediumDashed">
        <color indexed="64"/>
      </top>
      <bottom style="mediumDashed">
        <color indexed="64"/>
      </bottom>
      <diagonal/>
    </border>
    <border>
      <left style="medium">
        <color indexed="64"/>
      </left>
      <right style="thin">
        <color indexed="64"/>
      </right>
      <top style="thin">
        <color indexed="64"/>
      </top>
      <bottom style="double">
        <color indexed="64"/>
      </bottom>
      <diagonal/>
    </border>
    <border>
      <left style="hair">
        <color theme="1"/>
      </left>
      <right style="medium">
        <color indexed="64"/>
      </right>
      <top style="hair">
        <color theme="1"/>
      </top>
      <bottom style="hair">
        <color theme="1"/>
      </bottom>
      <diagonal/>
    </border>
    <border>
      <left style="hair">
        <color theme="1"/>
      </left>
      <right style="medium">
        <color indexed="64"/>
      </right>
      <top style="hair">
        <color theme="1"/>
      </top>
      <bottom/>
      <diagonal/>
    </border>
    <border>
      <left style="hair">
        <color theme="1"/>
      </left>
      <right style="medium">
        <color indexed="64"/>
      </right>
      <top style="thin">
        <color indexed="64"/>
      </top>
      <bottom style="medium">
        <color indexed="64"/>
      </bottom>
      <diagonal/>
    </border>
    <border>
      <left style="hair">
        <color theme="1"/>
      </left>
      <right style="medium">
        <color indexed="64"/>
      </right>
      <top style="medium">
        <color indexed="64"/>
      </top>
      <bottom style="hair">
        <color theme="1"/>
      </bottom>
      <diagonal/>
    </border>
    <border>
      <left style="hair">
        <color theme="1"/>
      </left>
      <right style="medium">
        <color indexed="64"/>
      </right>
      <top/>
      <bottom style="medium">
        <color indexed="64"/>
      </bottom>
      <diagonal/>
    </border>
    <border>
      <left style="dotted">
        <color auto="1"/>
      </left>
      <right style="medium">
        <color indexed="64"/>
      </right>
      <top style="dotted">
        <color auto="1"/>
      </top>
      <bottom style="dotted">
        <color auto="1"/>
      </bottom>
      <diagonal/>
    </border>
    <border>
      <left style="dotted">
        <color auto="1"/>
      </left>
      <right style="medium">
        <color indexed="64"/>
      </right>
      <top style="dotted">
        <color auto="1"/>
      </top>
      <bottom/>
      <diagonal/>
    </border>
    <border>
      <left style="dotted">
        <color auto="1"/>
      </left>
      <right style="medium">
        <color indexed="64"/>
      </right>
      <top style="thin">
        <color indexed="64"/>
      </top>
      <bottom style="medium">
        <color indexed="64"/>
      </bottom>
      <diagonal/>
    </border>
    <border>
      <left style="dotted">
        <color auto="1"/>
      </left>
      <right style="medium">
        <color indexed="64"/>
      </right>
      <top/>
      <bottom style="dotted">
        <color auto="1"/>
      </bottom>
      <diagonal/>
    </border>
    <border>
      <left style="dotted">
        <color auto="1"/>
      </left>
      <right style="medium">
        <color indexed="64"/>
      </right>
      <top style="medium">
        <color indexed="64"/>
      </top>
      <bottom style="medium">
        <color indexed="64"/>
      </bottom>
      <diagonal/>
    </border>
    <border>
      <left style="dotted">
        <color auto="1"/>
      </left>
      <right style="medium">
        <color indexed="64"/>
      </right>
      <top style="dotted">
        <color auto="1"/>
      </top>
      <bottom style="medium">
        <color indexed="64"/>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style="thin">
        <color indexed="64"/>
      </left>
      <right style="thin">
        <color theme="0"/>
      </right>
      <top style="thin">
        <color theme="0"/>
      </top>
      <bottom/>
      <diagonal/>
    </border>
    <border>
      <left style="thin">
        <color theme="0"/>
      </left>
      <right style="thin">
        <color theme="0"/>
      </right>
      <top style="thin">
        <color theme="0"/>
      </top>
      <bottom/>
      <diagonal/>
    </border>
    <border>
      <left style="thin">
        <color theme="0"/>
      </left>
      <right style="thin">
        <color indexed="64"/>
      </right>
      <top style="thin">
        <color theme="0"/>
      </top>
      <bottom/>
      <diagonal/>
    </border>
    <border>
      <left style="thin">
        <color theme="0"/>
      </left>
      <right style="thin">
        <color indexed="64"/>
      </right>
      <top style="thin">
        <color indexed="64"/>
      </top>
      <bottom/>
      <diagonal/>
    </border>
    <border>
      <left style="thin">
        <color indexed="64"/>
      </left>
      <right style="thin">
        <color indexed="64"/>
      </right>
      <top style="thin">
        <color indexed="64"/>
      </top>
      <bottom style="thin">
        <color theme="0"/>
      </bottom>
      <diagonal/>
    </border>
    <border>
      <left style="thin">
        <color theme="0"/>
      </left>
      <right style="thin">
        <color indexed="64"/>
      </right>
      <top/>
      <bottom/>
      <diagonal/>
    </border>
    <border>
      <left style="thin">
        <color indexed="64"/>
      </left>
      <right style="thin">
        <color indexed="64"/>
      </right>
      <top style="thin">
        <color theme="0"/>
      </top>
      <bottom style="thin">
        <color theme="0"/>
      </bottom>
      <diagonal/>
    </border>
    <border>
      <left style="thin">
        <color theme="0"/>
      </left>
      <right style="thin">
        <color indexed="64"/>
      </right>
      <top/>
      <bottom style="thin">
        <color theme="0"/>
      </bottom>
      <diagonal/>
    </border>
    <border>
      <left style="thin">
        <color indexed="64"/>
      </left>
      <right style="thin">
        <color indexed="64"/>
      </right>
      <top style="thin">
        <color theme="0"/>
      </top>
      <bottom style="thin">
        <color indexed="64"/>
      </bottom>
      <diagonal/>
    </border>
    <border>
      <left/>
      <right/>
      <top style="medium">
        <color rgb="FFDDDDDD"/>
      </top>
      <bottom style="medium">
        <color rgb="FFDDDDDD"/>
      </bottom>
      <diagonal/>
    </border>
    <border>
      <left style="medium">
        <color rgb="FFDDDDDD"/>
      </left>
      <right/>
      <top style="medium">
        <color rgb="FFDDDDDD"/>
      </top>
      <bottom style="medium">
        <color rgb="FFDDDDDD"/>
      </bottom>
      <diagonal/>
    </border>
    <border>
      <left/>
      <right style="medium">
        <color rgb="FFDDDDDD"/>
      </right>
      <top style="medium">
        <color rgb="FFDDDDDD"/>
      </top>
      <bottom style="medium">
        <color rgb="FFDDDDDD"/>
      </bottom>
      <diagonal/>
    </border>
    <border>
      <left style="medium">
        <color rgb="FFDDDDDD"/>
      </left>
      <right/>
      <top/>
      <bottom/>
      <diagonal/>
    </border>
    <border>
      <left/>
      <right style="medium">
        <color rgb="FFDDDDDD"/>
      </right>
      <top/>
      <bottom/>
      <diagonal/>
    </border>
    <border>
      <left style="medium">
        <color rgb="FFDDDDDD"/>
      </left>
      <right/>
      <top/>
      <bottom style="medium">
        <color rgb="FFDDDDDD"/>
      </bottom>
      <diagonal/>
    </border>
    <border>
      <left/>
      <right/>
      <top/>
      <bottom style="medium">
        <color rgb="FFDDDDDD"/>
      </bottom>
      <diagonal/>
    </border>
    <border>
      <left/>
      <right style="medium">
        <color rgb="FFDDDDDD"/>
      </right>
      <top/>
      <bottom style="medium">
        <color rgb="FFDDDDDD"/>
      </bottom>
      <diagonal/>
    </border>
    <border>
      <left style="medium">
        <color rgb="FFDDDDDD"/>
      </left>
      <right/>
      <top style="medium">
        <color rgb="FFDDDDDD"/>
      </top>
      <bottom/>
      <diagonal/>
    </border>
    <border>
      <left/>
      <right/>
      <top style="medium">
        <color rgb="FFDDDDDD"/>
      </top>
      <bottom/>
      <diagonal/>
    </border>
    <border>
      <left/>
      <right style="medium">
        <color rgb="FFDDDDDD"/>
      </right>
      <top style="medium">
        <color rgb="FFDDDDDD"/>
      </top>
      <bottom/>
      <diagonal/>
    </border>
    <border>
      <left style="medium">
        <color indexed="64"/>
      </left>
      <right/>
      <top style="thin">
        <color rgb="FF000000"/>
      </top>
      <bottom style="medium">
        <color rgb="FF000000"/>
      </bottom>
      <diagonal/>
    </border>
    <border>
      <left/>
      <right style="medium">
        <color indexed="64"/>
      </right>
      <top style="thin">
        <color rgb="FF000000"/>
      </top>
      <bottom style="medium">
        <color rgb="FF000000"/>
      </bottom>
      <diagonal/>
    </border>
    <border>
      <left style="medium">
        <color indexed="64"/>
      </left>
      <right/>
      <top style="thin">
        <color rgb="FF000000"/>
      </top>
      <bottom style="medium">
        <color indexed="64"/>
      </bottom>
      <diagonal/>
    </border>
    <border>
      <left/>
      <right/>
      <top style="thin">
        <color rgb="FF000000"/>
      </top>
      <bottom style="medium">
        <color indexed="64"/>
      </bottom>
      <diagonal/>
    </border>
    <border>
      <left/>
      <right style="medium">
        <color indexed="64"/>
      </right>
      <top style="thin">
        <color rgb="FF000000"/>
      </top>
      <bottom style="medium">
        <color indexed="64"/>
      </bottom>
      <diagonal/>
    </border>
    <border>
      <left style="hair">
        <color auto="1"/>
      </left>
      <right style="medium">
        <color indexed="64"/>
      </right>
      <top style="hair">
        <color auto="1"/>
      </top>
      <bottom style="hair">
        <color auto="1"/>
      </bottom>
      <diagonal/>
    </border>
    <border>
      <left style="hair">
        <color theme="1"/>
      </left>
      <right style="hair">
        <color theme="1"/>
      </right>
      <top style="thin">
        <color indexed="64"/>
      </top>
      <bottom style="double">
        <color indexed="64"/>
      </bottom>
      <diagonal/>
    </border>
    <border>
      <left style="double">
        <color indexed="64"/>
      </left>
      <right style="double">
        <color indexed="64"/>
      </right>
      <top style="double">
        <color indexed="64"/>
      </top>
      <bottom style="double">
        <color indexed="64"/>
      </bottom>
      <diagonal/>
    </border>
    <border>
      <left/>
      <right style="thin">
        <color indexed="64"/>
      </right>
      <top style="medium">
        <color indexed="64"/>
      </top>
      <bottom style="thin">
        <color indexed="64"/>
      </bottom>
      <diagonal/>
    </border>
    <border>
      <left style="medium">
        <color indexed="64"/>
      </left>
      <right/>
      <top/>
      <bottom style="double">
        <color indexed="64"/>
      </bottom>
      <diagonal/>
    </border>
    <border>
      <left style="thin">
        <color indexed="64"/>
      </left>
      <right/>
      <top style="medium">
        <color indexed="64"/>
      </top>
      <bottom style="thin">
        <color indexed="64"/>
      </bottom>
      <diagonal/>
    </border>
    <border>
      <left style="hair">
        <color auto="1"/>
      </left>
      <right style="medium">
        <color indexed="64"/>
      </right>
      <top/>
      <bottom style="hair">
        <color auto="1"/>
      </bottom>
      <diagonal/>
    </border>
    <border>
      <left style="hair">
        <color auto="1"/>
      </left>
      <right style="medium">
        <color indexed="64"/>
      </right>
      <top style="hair">
        <color auto="1"/>
      </top>
      <bottom/>
      <diagonal/>
    </border>
    <border>
      <left style="hair">
        <color auto="1"/>
      </left>
      <right style="thin">
        <color indexed="64"/>
      </right>
      <top style="thin">
        <color indexed="64"/>
      </top>
      <bottom style="thin">
        <color indexed="64"/>
      </bottom>
      <diagonal/>
    </border>
    <border>
      <left/>
      <right/>
      <top/>
      <bottom style="double">
        <color indexed="64"/>
      </bottom>
      <diagonal/>
    </border>
    <border>
      <left/>
      <right style="double">
        <color indexed="64"/>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style="double">
        <color indexed="64"/>
      </left>
      <right/>
      <top/>
      <bottom style="double">
        <color indexed="64"/>
      </bottom>
      <diagonal/>
    </border>
    <border>
      <left/>
      <right style="double">
        <color indexed="64"/>
      </right>
      <top/>
      <bottom style="double">
        <color indexed="64"/>
      </bottom>
      <diagonal/>
    </border>
    <border>
      <left/>
      <right style="double">
        <color indexed="64"/>
      </right>
      <top style="medium">
        <color indexed="64"/>
      </top>
      <bottom/>
      <diagonal/>
    </border>
    <border>
      <left/>
      <right style="double">
        <color indexed="64"/>
      </right>
      <top/>
      <bottom style="medium">
        <color indexed="64"/>
      </bottom>
      <diagonal/>
    </border>
    <border>
      <left/>
      <right style="double">
        <color indexed="64"/>
      </right>
      <top/>
      <bottom style="thin">
        <color indexed="64"/>
      </bottom>
      <diagonal/>
    </border>
    <border>
      <left style="double">
        <color indexed="64"/>
      </left>
      <right/>
      <top style="thin">
        <color indexed="64"/>
      </top>
      <bottom style="double">
        <color indexed="64"/>
      </bottom>
      <diagonal/>
    </border>
    <border>
      <left/>
      <right style="double">
        <color indexed="64"/>
      </right>
      <top style="thin">
        <color indexed="64"/>
      </top>
      <bottom style="double">
        <color indexed="64"/>
      </bottom>
      <diagonal/>
    </border>
    <border>
      <left style="hair">
        <color theme="1"/>
      </left>
      <right style="medium">
        <color indexed="64"/>
      </right>
      <top style="hair">
        <color theme="1"/>
      </top>
      <bottom style="medium">
        <color indexed="64"/>
      </bottom>
      <diagonal/>
    </border>
    <border>
      <left style="dashed">
        <color auto="1"/>
      </left>
      <right style="medium">
        <color indexed="64"/>
      </right>
      <top/>
      <bottom style="dashed">
        <color auto="1"/>
      </bottom>
      <diagonal/>
    </border>
    <border>
      <left style="dashed">
        <color auto="1"/>
      </left>
      <right style="medium">
        <color indexed="64"/>
      </right>
      <top style="dashed">
        <color auto="1"/>
      </top>
      <bottom style="thin">
        <color indexed="64"/>
      </bottom>
      <diagonal/>
    </border>
    <border>
      <left style="double">
        <color indexed="64"/>
      </left>
      <right style="double">
        <color indexed="64"/>
      </right>
      <top style="thin">
        <color indexed="64"/>
      </top>
      <bottom style="medium">
        <color indexed="64"/>
      </bottom>
      <diagonal/>
    </border>
  </borders>
  <cellStyleXfs count="22">
    <xf numFmtId="0" fontId="0" fillId="0" borderId="0"/>
    <xf numFmtId="165" fontId="8" fillId="0" borderId="0" applyFont="0" applyFill="0" applyBorder="0" applyAlignment="0" applyProtection="0"/>
    <xf numFmtId="9" fontId="8" fillId="0" borderId="0" applyFont="0" applyFill="0" applyBorder="0" applyAlignment="0" applyProtection="0"/>
    <xf numFmtId="0" fontId="25" fillId="0" borderId="0" applyNumberFormat="0" applyFill="0" applyBorder="0" applyAlignment="0" applyProtection="0"/>
    <xf numFmtId="0" fontId="27" fillId="13" borderId="55" applyNumberFormat="0" applyAlignment="0" applyProtection="0">
      <protection locked="0"/>
    </xf>
    <xf numFmtId="0" fontId="27" fillId="14" borderId="55" applyNumberFormat="0" applyAlignment="0" applyProtection="0"/>
    <xf numFmtId="43" fontId="8" fillId="0" borderId="0" applyFont="0" applyFill="0" applyBorder="0" applyAlignment="0" applyProtection="0"/>
    <xf numFmtId="0" fontId="62" fillId="0" borderId="0"/>
    <xf numFmtId="43" fontId="62" fillId="0" borderId="0" applyFont="0" applyFill="0" applyBorder="0" applyAlignment="0" applyProtection="0"/>
    <xf numFmtId="9" fontId="62" fillId="0" borderId="0" applyFont="0" applyFill="0" applyBorder="0" applyAlignment="0" applyProtection="0"/>
    <xf numFmtId="0" fontId="88" fillId="0" borderId="0"/>
    <xf numFmtId="0" fontId="96" fillId="0" borderId="0"/>
    <xf numFmtId="0" fontId="98" fillId="0" borderId="0"/>
    <xf numFmtId="40" fontId="96" fillId="0" borderId="0" applyFont="0" applyFill="0" applyBorder="0" applyAlignment="0" applyProtection="0"/>
    <xf numFmtId="8" fontId="96" fillId="0" borderId="0" applyFont="0" applyFill="0" applyBorder="0" applyAlignment="0" applyProtection="0"/>
    <xf numFmtId="0" fontId="45" fillId="0" borderId="0"/>
    <xf numFmtId="0" fontId="120" fillId="0" borderId="0"/>
    <xf numFmtId="0" fontId="144" fillId="0" borderId="0"/>
    <xf numFmtId="9" fontId="144" fillId="0" borderId="0" applyFont="0" applyFill="0" applyBorder="0" applyAlignment="0" applyProtection="0"/>
    <xf numFmtId="0" fontId="150" fillId="0" borderId="0"/>
    <xf numFmtId="0" fontId="165" fillId="40" borderId="179">
      <alignment horizontal="center" vertical="center"/>
    </xf>
    <xf numFmtId="0" fontId="220" fillId="0" borderId="0" applyNumberFormat="0" applyFill="0" applyBorder="0" applyAlignment="0" applyProtection="0"/>
  </cellStyleXfs>
  <cellXfs count="3499">
    <xf numFmtId="0" fontId="0" fillId="0" borderId="0" xfId="0"/>
    <xf numFmtId="0" fontId="1" fillId="2" borderId="0" xfId="0" applyFont="1" applyFill="1"/>
    <xf numFmtId="0" fontId="2" fillId="3" borderId="0" xfId="0" applyFont="1" applyFill="1"/>
    <xf numFmtId="3" fontId="3" fillId="3" borderId="0" xfId="0" applyNumberFormat="1" applyFont="1" applyFill="1"/>
    <xf numFmtId="3" fontId="4" fillId="3" borderId="0" xfId="0" applyNumberFormat="1" applyFont="1" applyFill="1"/>
    <xf numFmtId="0" fontId="3" fillId="3" borderId="0" xfId="0" applyFont="1" applyFill="1"/>
    <xf numFmtId="0" fontId="5" fillId="2" borderId="0" xfId="0" applyFont="1" applyFill="1"/>
    <xf numFmtId="0" fontId="2" fillId="3" borderId="1" xfId="0" applyFont="1" applyFill="1" applyBorder="1"/>
    <xf numFmtId="0" fontId="4" fillId="3" borderId="0" xfId="0" applyFont="1" applyFill="1"/>
    <xf numFmtId="0" fontId="2" fillId="2" borderId="0" xfId="0" applyFont="1" applyFill="1"/>
    <xf numFmtId="0" fontId="6" fillId="3" borderId="0" xfId="0" applyFont="1" applyFill="1"/>
    <xf numFmtId="0" fontId="7" fillId="3" borderId="0" xfId="0" applyFont="1" applyFill="1"/>
    <xf numFmtId="0" fontId="5" fillId="3" borderId="0" xfId="0" applyFont="1" applyFill="1"/>
    <xf numFmtId="0" fontId="2" fillId="3" borderId="0" xfId="0" applyFont="1" applyFill="1" applyAlignment="1">
      <alignment horizontal="right"/>
    </xf>
    <xf numFmtId="10" fontId="2" fillId="3" borderId="0" xfId="0" applyNumberFormat="1" applyFont="1" applyFill="1"/>
    <xf numFmtId="0" fontId="2" fillId="3" borderId="0" xfId="0" applyFont="1" applyFill="1" applyAlignment="1">
      <alignment horizontal="center"/>
    </xf>
    <xf numFmtId="0" fontId="2" fillId="4" borderId="1" xfId="0" applyFont="1" applyFill="1" applyBorder="1"/>
    <xf numFmtId="9" fontId="2" fillId="3" borderId="0" xfId="0" applyNumberFormat="1" applyFont="1" applyFill="1"/>
    <xf numFmtId="166" fontId="2" fillId="4" borderId="1" xfId="0" applyNumberFormat="1" applyFont="1" applyFill="1" applyBorder="1"/>
    <xf numFmtId="0" fontId="2" fillId="2" borderId="0" xfId="0" applyFont="1" applyFill="1" applyAlignment="1">
      <alignment horizontal="center"/>
    </xf>
    <xf numFmtId="0" fontId="2" fillId="3" borderId="3" xfId="0" applyFont="1" applyFill="1" applyBorder="1"/>
    <xf numFmtId="166" fontId="2" fillId="3" borderId="1" xfId="0" applyNumberFormat="1" applyFont="1" applyFill="1" applyBorder="1"/>
    <xf numFmtId="0" fontId="2" fillId="3" borderId="5" xfId="0" applyFont="1" applyFill="1" applyBorder="1" applyAlignment="1">
      <alignment horizontal="right"/>
    </xf>
    <xf numFmtId="0" fontId="2" fillId="3" borderId="6" xfId="0" applyFont="1" applyFill="1" applyBorder="1" applyAlignment="1">
      <alignment horizontal="right"/>
    </xf>
    <xf numFmtId="0" fontId="2" fillId="3" borderId="1" xfId="0" applyFont="1" applyFill="1" applyBorder="1" applyAlignment="1">
      <alignment horizontal="center"/>
    </xf>
    <xf numFmtId="166" fontId="2" fillId="3" borderId="3" xfId="0" applyNumberFormat="1" applyFont="1" applyFill="1" applyBorder="1"/>
    <xf numFmtId="0" fontId="9" fillId="3" borderId="0" xfId="0" applyFont="1" applyFill="1"/>
    <xf numFmtId="0" fontId="2" fillId="3" borderId="7" xfId="0" applyFont="1" applyFill="1" applyBorder="1"/>
    <xf numFmtId="0" fontId="2" fillId="3" borderId="7" xfId="0" applyFont="1" applyFill="1" applyBorder="1" applyAlignment="1">
      <alignment horizontal="center"/>
    </xf>
    <xf numFmtId="0" fontId="10" fillId="3" borderId="0" xfId="0" applyFont="1" applyFill="1"/>
    <xf numFmtId="0" fontId="11" fillId="3" borderId="4" xfId="0" applyFont="1" applyFill="1" applyBorder="1"/>
    <xf numFmtId="0" fontId="11" fillId="3" borderId="5" xfId="0" applyFont="1" applyFill="1" applyBorder="1"/>
    <xf numFmtId="0" fontId="11" fillId="3" borderId="8" xfId="0" applyFont="1" applyFill="1" applyBorder="1" applyAlignment="1">
      <alignment horizontal="center"/>
    </xf>
    <xf numFmtId="0" fontId="11" fillId="3" borderId="6" xfId="0" applyFont="1" applyFill="1" applyBorder="1" applyAlignment="1">
      <alignment horizontal="right"/>
    </xf>
    <xf numFmtId="0" fontId="11" fillId="3" borderId="8" xfId="0" applyFont="1" applyFill="1" applyBorder="1" applyAlignment="1">
      <alignment horizontal="right" wrapText="1"/>
    </xf>
    <xf numFmtId="166" fontId="2" fillId="3" borderId="0" xfId="0" applyNumberFormat="1" applyFont="1" applyFill="1"/>
    <xf numFmtId="167" fontId="2" fillId="3" borderId="0" xfId="1" applyNumberFormat="1" applyFont="1" applyFill="1" applyBorder="1"/>
    <xf numFmtId="167" fontId="2" fillId="3" borderId="0" xfId="0" applyNumberFormat="1" applyFont="1" applyFill="1"/>
    <xf numFmtId="9" fontId="2" fillId="3" borderId="0" xfId="2" applyFont="1" applyFill="1" applyBorder="1"/>
    <xf numFmtId="9" fontId="2" fillId="3" borderId="7" xfId="2" applyFont="1" applyFill="1" applyBorder="1"/>
    <xf numFmtId="0" fontId="12" fillId="2" borderId="0" xfId="0" applyFont="1" applyFill="1"/>
    <xf numFmtId="168" fontId="2" fillId="3" borderId="0" xfId="1" applyNumberFormat="1" applyFont="1" applyFill="1"/>
    <xf numFmtId="168" fontId="2" fillId="3" borderId="0" xfId="0" applyNumberFormat="1" applyFont="1" applyFill="1"/>
    <xf numFmtId="168" fontId="2" fillId="3" borderId="7" xfId="1" applyNumberFormat="1" applyFont="1" applyFill="1" applyBorder="1"/>
    <xf numFmtId="168" fontId="6" fillId="3" borderId="0" xfId="1" applyNumberFormat="1" applyFont="1" applyFill="1"/>
    <xf numFmtId="168" fontId="6" fillId="3" borderId="0" xfId="0" applyNumberFormat="1" applyFont="1" applyFill="1"/>
    <xf numFmtId="168" fontId="2" fillId="4" borderId="12" xfId="1" applyNumberFormat="1" applyFont="1" applyFill="1" applyBorder="1"/>
    <xf numFmtId="0" fontId="2" fillId="0" borderId="12" xfId="0" applyFont="1" applyBorder="1"/>
    <xf numFmtId="0" fontId="2" fillId="4" borderId="14" xfId="0" applyFont="1" applyFill="1" applyBorder="1"/>
    <xf numFmtId="0" fontId="2" fillId="3" borderId="13" xfId="0" applyFont="1" applyFill="1" applyBorder="1"/>
    <xf numFmtId="0" fontId="11" fillId="3" borderId="0" xfId="0" applyFont="1" applyFill="1"/>
    <xf numFmtId="0" fontId="6" fillId="3" borderId="0" xfId="0" applyFont="1" applyFill="1" applyAlignment="1">
      <alignment horizontal="right"/>
    </xf>
    <xf numFmtId="165" fontId="2" fillId="3" borderId="0" xfId="1" applyFont="1" applyFill="1" applyBorder="1"/>
    <xf numFmtId="168" fontId="2" fillId="3" borderId="0" xfId="1" applyNumberFormat="1" applyFont="1" applyFill="1" applyBorder="1"/>
    <xf numFmtId="168" fontId="6" fillId="3" borderId="0" xfId="1" applyNumberFormat="1" applyFont="1" applyFill="1" applyBorder="1"/>
    <xf numFmtId="168" fontId="10" fillId="3" borderId="0" xfId="0" applyNumberFormat="1" applyFont="1" applyFill="1"/>
    <xf numFmtId="168" fontId="11" fillId="3" borderId="7" xfId="1" applyNumberFormat="1" applyFont="1" applyFill="1" applyBorder="1"/>
    <xf numFmtId="168" fontId="6" fillId="3" borderId="0" xfId="0" applyNumberFormat="1" applyFont="1" applyFill="1" applyAlignment="1">
      <alignment horizontal="center"/>
    </xf>
    <xf numFmtId="0" fontId="2" fillId="3" borderId="0" xfId="0" quotePrefix="1" applyFont="1" applyFill="1" applyAlignment="1">
      <alignment horizontal="center"/>
    </xf>
    <xf numFmtId="168" fontId="2" fillId="3" borderId="0" xfId="1" applyNumberFormat="1" applyFont="1" applyFill="1" applyAlignment="1">
      <alignment horizontal="center"/>
    </xf>
    <xf numFmtId="0" fontId="2" fillId="3" borderId="16" xfId="0" applyFont="1" applyFill="1" applyBorder="1"/>
    <xf numFmtId="0" fontId="2" fillId="4" borderId="17" xfId="0" applyFont="1" applyFill="1" applyBorder="1"/>
    <xf numFmtId="168" fontId="2" fillId="4" borderId="15" xfId="1" applyNumberFormat="1" applyFont="1" applyFill="1" applyBorder="1"/>
    <xf numFmtId="0" fontId="2" fillId="3" borderId="8" xfId="0" applyFont="1" applyFill="1" applyBorder="1"/>
    <xf numFmtId="169" fontId="2" fillId="4" borderId="2" xfId="0" applyNumberFormat="1" applyFont="1" applyFill="1" applyBorder="1"/>
    <xf numFmtId="9" fontId="2" fillId="0" borderId="0" xfId="0" applyNumberFormat="1" applyFont="1" applyAlignment="1">
      <alignment horizontal="center"/>
    </xf>
    <xf numFmtId="9" fontId="2" fillId="4" borderId="19" xfId="0" applyNumberFormat="1" applyFont="1" applyFill="1" applyBorder="1" applyAlignment="1">
      <alignment horizontal="center"/>
    </xf>
    <xf numFmtId="0" fontId="2" fillId="0" borderId="0" xfId="0" applyFont="1"/>
    <xf numFmtId="166" fontId="2" fillId="3" borderId="13" xfId="0" applyNumberFormat="1" applyFont="1" applyFill="1" applyBorder="1"/>
    <xf numFmtId="0" fontId="11" fillId="3" borderId="0" xfId="0" applyFont="1" applyFill="1" applyAlignment="1">
      <alignment horizontal="right" wrapText="1"/>
    </xf>
    <xf numFmtId="0" fontId="11" fillId="3" borderId="5" xfId="0" applyFont="1" applyFill="1" applyBorder="1" applyAlignment="1">
      <alignment horizontal="right" wrapText="1"/>
    </xf>
    <xf numFmtId="0" fontId="2" fillId="3" borderId="20" xfId="0" applyFont="1" applyFill="1" applyBorder="1"/>
    <xf numFmtId="0" fontId="2" fillId="3" borderId="21" xfId="0" applyFont="1" applyFill="1" applyBorder="1"/>
    <xf numFmtId="0" fontId="11" fillId="3" borderId="6" xfId="0" applyFont="1" applyFill="1" applyBorder="1" applyAlignment="1">
      <alignment horizontal="right" wrapText="1"/>
    </xf>
    <xf numFmtId="9" fontId="2" fillId="4" borderId="15" xfId="0" applyNumberFormat="1" applyFont="1" applyFill="1" applyBorder="1" applyAlignment="1">
      <alignment horizontal="center"/>
    </xf>
    <xf numFmtId="9" fontId="2" fillId="3" borderId="22" xfId="0" applyNumberFormat="1" applyFont="1" applyFill="1" applyBorder="1" applyAlignment="1">
      <alignment horizontal="center"/>
    </xf>
    <xf numFmtId="0" fontId="11" fillId="3" borderId="11" xfId="0" applyFont="1" applyFill="1" applyBorder="1" applyAlignment="1">
      <alignment horizontal="right" wrapText="1"/>
    </xf>
    <xf numFmtId="0" fontId="2" fillId="3" borderId="13" xfId="0" applyFont="1" applyFill="1" applyBorder="1" applyAlignment="1">
      <alignment horizontal="center"/>
    </xf>
    <xf numFmtId="0" fontId="16" fillId="0" borderId="0" xfId="0" applyFont="1"/>
    <xf numFmtId="0" fontId="2" fillId="3" borderId="4" xfId="0" applyFont="1" applyFill="1" applyBorder="1"/>
    <xf numFmtId="0" fontId="11" fillId="3" borderId="5" xfId="0" applyFont="1" applyFill="1" applyBorder="1" applyAlignment="1">
      <alignment horizontal="right" vertical="center" wrapText="1"/>
    </xf>
    <xf numFmtId="0" fontId="2" fillId="4" borderId="13" xfId="0" applyFont="1" applyFill="1" applyBorder="1" applyAlignment="1">
      <alignment horizontal="center"/>
    </xf>
    <xf numFmtId="0" fontId="11" fillId="3" borderId="0" xfId="0" applyFont="1" applyFill="1" applyAlignment="1">
      <alignment horizontal="right"/>
    </xf>
    <xf numFmtId="170" fontId="2" fillId="4" borderId="2" xfId="1" applyNumberFormat="1" applyFont="1" applyFill="1" applyBorder="1" applyAlignment="1">
      <alignment horizontal="center"/>
    </xf>
    <xf numFmtId="9" fontId="2" fillId="6" borderId="13" xfId="0" applyNumberFormat="1" applyFont="1" applyFill="1" applyBorder="1" applyAlignment="1">
      <alignment horizontal="center"/>
    </xf>
    <xf numFmtId="0" fontId="2" fillId="3" borderId="20" xfId="0" applyFont="1" applyFill="1" applyBorder="1" applyAlignment="1">
      <alignment horizontal="center"/>
    </xf>
    <xf numFmtId="9" fontId="2" fillId="3" borderId="13" xfId="0" applyNumberFormat="1" applyFont="1" applyFill="1" applyBorder="1" applyAlignment="1">
      <alignment horizontal="center"/>
    </xf>
    <xf numFmtId="0" fontId="11" fillId="3" borderId="8" xfId="0" applyFont="1" applyFill="1" applyBorder="1"/>
    <xf numFmtId="0" fontId="11" fillId="3" borderId="6" xfId="0" applyFont="1" applyFill="1" applyBorder="1"/>
    <xf numFmtId="10" fontId="2" fillId="4" borderId="19" xfId="0" applyNumberFormat="1" applyFont="1" applyFill="1" applyBorder="1" applyAlignment="1">
      <alignment horizontal="center"/>
    </xf>
    <xf numFmtId="0" fontId="11" fillId="3" borderId="4" xfId="0" applyFont="1" applyFill="1" applyBorder="1" applyAlignment="1">
      <alignment horizontal="center"/>
    </xf>
    <xf numFmtId="0" fontId="11" fillId="3" borderId="4" xfId="0" applyFont="1" applyFill="1" applyBorder="1" applyAlignment="1">
      <alignment horizontal="right" wrapText="1"/>
    </xf>
    <xf numFmtId="0" fontId="2" fillId="4" borderId="20" xfId="0" applyFont="1" applyFill="1" applyBorder="1" applyAlignment="1">
      <alignment horizontal="center"/>
    </xf>
    <xf numFmtId="9" fontId="2" fillId="4" borderId="20" xfId="0" applyNumberFormat="1" applyFont="1" applyFill="1" applyBorder="1" applyAlignment="1">
      <alignment horizontal="center"/>
    </xf>
    <xf numFmtId="9" fontId="2" fillId="4" borderId="13" xfId="0" applyNumberFormat="1" applyFont="1" applyFill="1" applyBorder="1" applyAlignment="1">
      <alignment horizontal="center"/>
    </xf>
    <xf numFmtId="9" fontId="17" fillId="3" borderId="0" xfId="0" applyNumberFormat="1" applyFont="1" applyFill="1"/>
    <xf numFmtId="0" fontId="17" fillId="3" borderId="0" xfId="0" applyFont="1" applyFill="1"/>
    <xf numFmtId="0" fontId="6" fillId="0" borderId="0" xfId="0" applyFont="1"/>
    <xf numFmtId="0" fontId="18" fillId="0" borderId="0" xfId="0" applyFont="1"/>
    <xf numFmtId="9" fontId="2" fillId="3" borderId="13" xfId="0" applyNumberFormat="1" applyFont="1" applyFill="1" applyBorder="1"/>
    <xf numFmtId="0" fontId="2" fillId="6" borderId="13" xfId="0" applyFont="1" applyFill="1" applyBorder="1"/>
    <xf numFmtId="10" fontId="2" fillId="3" borderId="13" xfId="0" applyNumberFormat="1" applyFont="1" applyFill="1" applyBorder="1"/>
    <xf numFmtId="10" fontId="2" fillId="6" borderId="13" xfId="0" applyNumberFormat="1" applyFont="1" applyFill="1" applyBorder="1" applyAlignment="1">
      <alignment horizontal="center"/>
    </xf>
    <xf numFmtId="0" fontId="19" fillId="2" borderId="0" xfId="0" applyFont="1" applyFill="1"/>
    <xf numFmtId="9" fontId="2" fillId="3" borderId="0" xfId="2" applyFont="1" applyFill="1"/>
    <xf numFmtId="0" fontId="2" fillId="3" borderId="23" xfId="0" applyFont="1" applyFill="1" applyBorder="1"/>
    <xf numFmtId="10" fontId="2" fillId="4" borderId="13" xfId="0" applyNumberFormat="1" applyFont="1" applyFill="1" applyBorder="1"/>
    <xf numFmtId="165" fontId="2" fillId="3" borderId="0" xfId="0" applyNumberFormat="1" applyFont="1" applyFill="1"/>
    <xf numFmtId="168" fontId="2" fillId="3" borderId="7" xfId="0" applyNumberFormat="1" applyFont="1" applyFill="1" applyBorder="1"/>
    <xf numFmtId="168" fontId="2" fillId="3" borderId="4" xfId="1" applyNumberFormat="1" applyFont="1" applyFill="1" applyBorder="1"/>
    <xf numFmtId="9" fontId="2" fillId="3" borderId="2" xfId="2" applyFont="1" applyFill="1" applyBorder="1"/>
    <xf numFmtId="9" fontId="2" fillId="3" borderId="18" xfId="2" applyFont="1" applyFill="1" applyBorder="1"/>
    <xf numFmtId="9" fontId="2" fillId="3" borderId="21" xfId="0" applyNumberFormat="1" applyFont="1" applyFill="1" applyBorder="1"/>
    <xf numFmtId="0" fontId="2" fillId="3" borderId="2" xfId="0" applyFont="1" applyFill="1" applyBorder="1"/>
    <xf numFmtId="9" fontId="2" fillId="3" borderId="2" xfId="0" applyNumberFormat="1" applyFont="1" applyFill="1" applyBorder="1"/>
    <xf numFmtId="9" fontId="2" fillId="3" borderId="18" xfId="0" applyNumberFormat="1" applyFont="1" applyFill="1" applyBorder="1"/>
    <xf numFmtId="9" fontId="2" fillId="3" borderId="7" xfId="0" applyNumberFormat="1" applyFont="1" applyFill="1" applyBorder="1"/>
    <xf numFmtId="0" fontId="2" fillId="3" borderId="0" xfId="0" quotePrefix="1" applyFont="1" applyFill="1" applyAlignment="1">
      <alignment horizontal="right"/>
    </xf>
    <xf numFmtId="168" fontId="2" fillId="3" borderId="13" xfId="1" applyNumberFormat="1" applyFont="1" applyFill="1" applyBorder="1"/>
    <xf numFmtId="168" fontId="2" fillId="3" borderId="13" xfId="0" applyNumberFormat="1" applyFont="1" applyFill="1" applyBorder="1"/>
    <xf numFmtId="10" fontId="2" fillId="3" borderId="21" xfId="0" applyNumberFormat="1" applyFont="1" applyFill="1" applyBorder="1"/>
    <xf numFmtId="168" fontId="2" fillId="3" borderId="21" xfId="0" applyNumberFormat="1" applyFont="1" applyFill="1" applyBorder="1"/>
    <xf numFmtId="166" fontId="2" fillId="3" borderId="2" xfId="0" applyNumberFormat="1" applyFont="1" applyFill="1" applyBorder="1"/>
    <xf numFmtId="167" fontId="2" fillId="3" borderId="0" xfId="1" applyNumberFormat="1" applyFont="1" applyFill="1"/>
    <xf numFmtId="0" fontId="2" fillId="3" borderId="10" xfId="0" applyFont="1" applyFill="1" applyBorder="1"/>
    <xf numFmtId="0" fontId="2" fillId="3" borderId="24" xfId="0" applyFont="1" applyFill="1" applyBorder="1"/>
    <xf numFmtId="168" fontId="2" fillId="3" borderId="21" xfId="1" applyNumberFormat="1" applyFont="1" applyFill="1" applyBorder="1"/>
    <xf numFmtId="10" fontId="2" fillId="3" borderId="13" xfId="2" applyNumberFormat="1" applyFont="1" applyFill="1" applyBorder="1"/>
    <xf numFmtId="0" fontId="2" fillId="0" borderId="4" xfId="0" applyFont="1" applyBorder="1" applyAlignment="1">
      <alignment horizontal="center" vertical="center" wrapText="1"/>
    </xf>
    <xf numFmtId="0" fontId="2" fillId="0" borderId="6" xfId="0" applyFont="1" applyBorder="1" applyAlignment="1">
      <alignment horizontal="center" vertical="center" wrapText="1"/>
    </xf>
    <xf numFmtId="0" fontId="20" fillId="2" borderId="0" xfId="0" applyFont="1" applyFill="1"/>
    <xf numFmtId="1" fontId="2" fillId="0" borderId="7" xfId="0" applyNumberFormat="1" applyFont="1" applyBorder="1"/>
    <xf numFmtId="0" fontId="2" fillId="3" borderId="10" xfId="0" applyFont="1" applyFill="1" applyBorder="1" applyAlignment="1">
      <alignment horizontal="center"/>
    </xf>
    <xf numFmtId="0" fontId="3" fillId="3" borderId="7" xfId="0" applyFont="1" applyFill="1" applyBorder="1"/>
    <xf numFmtId="0" fontId="3" fillId="3" borderId="13" xfId="0" applyFont="1" applyFill="1" applyBorder="1"/>
    <xf numFmtId="0" fontId="2" fillId="7" borderId="0" xfId="0" applyFont="1" applyFill="1"/>
    <xf numFmtId="171" fontId="2" fillId="3" borderId="0" xfId="2" applyNumberFormat="1" applyFont="1" applyFill="1"/>
    <xf numFmtId="0" fontId="2" fillId="3" borderId="0" xfId="0" quotePrefix="1" applyFont="1" applyFill="1"/>
    <xf numFmtId="0" fontId="21" fillId="3" borderId="0" xfId="0" applyFont="1" applyFill="1"/>
    <xf numFmtId="2" fontId="2" fillId="3" borderId="0" xfId="0" applyNumberFormat="1" applyFont="1" applyFill="1"/>
    <xf numFmtId="2" fontId="2" fillId="3" borderId="10" xfId="0" applyNumberFormat="1" applyFont="1" applyFill="1" applyBorder="1"/>
    <xf numFmtId="0" fontId="2" fillId="3" borderId="13" xfId="0" applyFont="1" applyFill="1" applyBorder="1" applyAlignment="1">
      <alignment horizontal="right"/>
    </xf>
    <xf numFmtId="166" fontId="2" fillId="4" borderId="13" xfId="0" applyNumberFormat="1" applyFont="1" applyFill="1" applyBorder="1"/>
    <xf numFmtId="0" fontId="2" fillId="4" borderId="13" xfId="0" applyFont="1" applyFill="1" applyBorder="1"/>
    <xf numFmtId="168" fontId="2" fillId="3" borderId="0" xfId="0" applyNumberFormat="1" applyFont="1" applyFill="1" applyAlignment="1">
      <alignment horizontal="center"/>
    </xf>
    <xf numFmtId="171" fontId="2" fillId="3" borderId="0" xfId="2" applyNumberFormat="1" applyFont="1" applyFill="1" applyBorder="1"/>
    <xf numFmtId="10" fontId="2" fillId="3" borderId="0" xfId="2" applyNumberFormat="1" applyFont="1" applyFill="1"/>
    <xf numFmtId="172" fontId="2" fillId="3" borderId="0" xfId="1" applyNumberFormat="1" applyFont="1" applyFill="1"/>
    <xf numFmtId="173" fontId="2" fillId="3" borderId="0" xfId="0" applyNumberFormat="1" applyFont="1" applyFill="1"/>
    <xf numFmtId="175" fontId="2" fillId="3" borderId="7" xfId="1" applyNumberFormat="1" applyFont="1" applyFill="1" applyBorder="1"/>
    <xf numFmtId="174" fontId="2" fillId="3" borderId="0" xfId="0" applyNumberFormat="1" applyFont="1" applyFill="1"/>
    <xf numFmtId="0" fontId="2" fillId="8" borderId="0" xfId="0" applyFont="1" applyFill="1"/>
    <xf numFmtId="174" fontId="11" fillId="3" borderId="0" xfId="0" applyNumberFormat="1" applyFont="1" applyFill="1"/>
    <xf numFmtId="174" fontId="2" fillId="3" borderId="13" xfId="0" applyNumberFormat="1" applyFont="1" applyFill="1" applyBorder="1"/>
    <xf numFmtId="174" fontId="2" fillId="3" borderId="7" xfId="0" applyNumberFormat="1" applyFont="1" applyFill="1" applyBorder="1"/>
    <xf numFmtId="0" fontId="10" fillId="3" borderId="0" xfId="0" applyFont="1" applyFill="1" applyAlignment="1">
      <alignment horizontal="left" wrapText="1"/>
    </xf>
    <xf numFmtId="0" fontId="11" fillId="3" borderId="25" xfId="0" applyFont="1" applyFill="1" applyBorder="1" applyAlignment="1">
      <alignment horizontal="center"/>
    </xf>
    <xf numFmtId="0" fontId="2" fillId="3" borderId="2" xfId="0" applyFont="1" applyFill="1" applyBorder="1" applyAlignment="1">
      <alignment horizontal="center"/>
    </xf>
    <xf numFmtId="0" fontId="2" fillId="3" borderId="18" xfId="0" applyFont="1" applyFill="1" applyBorder="1" applyAlignment="1">
      <alignment horizontal="center"/>
    </xf>
    <xf numFmtId="168" fontId="2" fillId="3" borderId="0" xfId="1" applyNumberFormat="1" applyFont="1" applyFill="1" applyAlignment="1">
      <alignment horizontal="right"/>
    </xf>
    <xf numFmtId="0" fontId="11" fillId="0" borderId="4" xfId="0" applyFont="1" applyBorder="1" applyAlignment="1">
      <alignment horizontal="center" wrapText="1"/>
    </xf>
    <xf numFmtId="9" fontId="2" fillId="3" borderId="23" xfId="0" applyNumberFormat="1" applyFont="1" applyFill="1" applyBorder="1" applyAlignment="1">
      <alignment horizontal="center"/>
    </xf>
    <xf numFmtId="9" fontId="2" fillId="3" borderId="26" xfId="0" applyNumberFormat="1" applyFont="1" applyFill="1" applyBorder="1" applyAlignment="1">
      <alignment horizontal="center"/>
    </xf>
    <xf numFmtId="168" fontId="2" fillId="4" borderId="13" xfId="0" applyNumberFormat="1" applyFont="1" applyFill="1" applyBorder="1"/>
    <xf numFmtId="0" fontId="2" fillId="4" borderId="13" xfId="0" applyFont="1" applyFill="1" applyBorder="1" applyAlignment="1">
      <alignment horizontal="right"/>
    </xf>
    <xf numFmtId="9" fontId="2" fillId="4" borderId="13" xfId="2" applyFont="1" applyFill="1" applyBorder="1"/>
    <xf numFmtId="0" fontId="11" fillId="0" borderId="12" xfId="0" applyFont="1" applyBorder="1" applyAlignment="1">
      <alignment horizontal="left" vertical="center" wrapText="1"/>
    </xf>
    <xf numFmtId="0" fontId="2" fillId="3" borderId="13" xfId="0" applyFont="1" applyFill="1" applyBorder="1" applyAlignment="1">
      <alignment wrapText="1"/>
    </xf>
    <xf numFmtId="0" fontId="2" fillId="3" borderId="13" xfId="0" applyFont="1" applyFill="1" applyBorder="1" applyAlignment="1">
      <alignment horizontal="center" wrapText="1"/>
    </xf>
    <xf numFmtId="0" fontId="11" fillId="0" borderId="2" xfId="0" applyFont="1" applyBorder="1" applyAlignment="1">
      <alignment horizontal="center" vertical="center" wrapText="1"/>
    </xf>
    <xf numFmtId="167" fontId="2" fillId="4" borderId="2" xfId="1" applyNumberFormat="1" applyFont="1" applyFill="1" applyBorder="1"/>
    <xf numFmtId="168" fontId="6" fillId="3" borderId="13" xfId="1" applyNumberFormat="1" applyFont="1" applyFill="1" applyBorder="1"/>
    <xf numFmtId="0" fontId="2" fillId="3" borderId="9" xfId="0" applyFont="1" applyFill="1" applyBorder="1"/>
    <xf numFmtId="0" fontId="6" fillId="3" borderId="10" xfId="0" applyFont="1" applyFill="1" applyBorder="1" applyAlignment="1">
      <alignment horizontal="center"/>
    </xf>
    <xf numFmtId="0" fontId="6" fillId="3" borderId="11" xfId="0" applyFont="1" applyFill="1" applyBorder="1"/>
    <xf numFmtId="0" fontId="2" fillId="3" borderId="27" xfId="0" applyFont="1" applyFill="1" applyBorder="1"/>
    <xf numFmtId="0" fontId="2" fillId="3" borderId="28" xfId="0" applyFont="1" applyFill="1" applyBorder="1"/>
    <xf numFmtId="0" fontId="2" fillId="3" borderId="29" xfId="0" applyFont="1" applyFill="1" applyBorder="1"/>
    <xf numFmtId="9" fontId="2" fillId="3" borderId="30" xfId="0" applyNumberFormat="1" applyFont="1" applyFill="1" applyBorder="1"/>
    <xf numFmtId="0" fontId="6" fillId="3" borderId="29" xfId="0" applyFont="1" applyFill="1" applyBorder="1"/>
    <xf numFmtId="0" fontId="2" fillId="3" borderId="31" xfId="0" applyFont="1" applyFill="1" applyBorder="1"/>
    <xf numFmtId="0" fontId="2" fillId="4" borderId="0" xfId="0" applyFont="1" applyFill="1"/>
    <xf numFmtId="168" fontId="2" fillId="3" borderId="0" xfId="0" applyNumberFormat="1" applyFont="1" applyFill="1" applyAlignment="1">
      <alignment horizontal="right"/>
    </xf>
    <xf numFmtId="10" fontId="2" fillId="3" borderId="13" xfId="0" applyNumberFormat="1" applyFont="1" applyFill="1" applyBorder="1" applyAlignment="1">
      <alignment horizontal="center"/>
    </xf>
    <xf numFmtId="168" fontId="2" fillId="4" borderId="13" xfId="1" applyNumberFormat="1" applyFont="1" applyFill="1" applyBorder="1"/>
    <xf numFmtId="0" fontId="2" fillId="3" borderId="32" xfId="0" applyFont="1" applyFill="1" applyBorder="1"/>
    <xf numFmtId="175" fontId="2" fillId="3" borderId="0" xfId="1" applyNumberFormat="1" applyFont="1" applyFill="1"/>
    <xf numFmtId="0" fontId="22" fillId="3" borderId="0" xfId="0" applyFont="1" applyFill="1"/>
    <xf numFmtId="165" fontId="2" fillId="3" borderId="0" xfId="1" applyFont="1" applyFill="1"/>
    <xf numFmtId="168" fontId="2" fillId="3" borderId="7" xfId="1" applyNumberFormat="1" applyFont="1" applyFill="1" applyBorder="1" applyAlignment="1">
      <alignment horizontal="center"/>
    </xf>
    <xf numFmtId="168" fontId="1" fillId="3" borderId="0" xfId="1" applyNumberFormat="1" applyFont="1" applyFill="1" applyBorder="1"/>
    <xf numFmtId="168" fontId="3" fillId="3" borderId="0" xfId="1" applyNumberFormat="1" applyFont="1" applyFill="1" applyBorder="1"/>
    <xf numFmtId="168" fontId="3" fillId="3" borderId="7" xfId="1" applyNumberFormat="1" applyFont="1" applyFill="1" applyBorder="1"/>
    <xf numFmtId="168" fontId="3" fillId="3" borderId="7" xfId="1" applyNumberFormat="1" applyFont="1" applyFill="1" applyBorder="1" applyAlignment="1">
      <alignment horizontal="right"/>
    </xf>
    <xf numFmtId="168" fontId="3" fillId="3" borderId="0" xfId="1" applyNumberFormat="1" applyFont="1" applyFill="1" applyBorder="1" applyAlignment="1">
      <alignment horizontal="center"/>
    </xf>
    <xf numFmtId="168" fontId="3" fillId="3" borderId="7" xfId="1" applyNumberFormat="1" applyFont="1" applyFill="1" applyBorder="1" applyAlignment="1">
      <alignment horizontal="center"/>
    </xf>
    <xf numFmtId="168" fontId="9" fillId="3" borderId="0" xfId="1" applyNumberFormat="1" applyFont="1" applyFill="1" applyBorder="1" applyAlignment="1">
      <alignment horizontal="center"/>
    </xf>
    <xf numFmtId="168" fontId="9" fillId="3" borderId="0" xfId="1" applyNumberFormat="1" applyFont="1" applyFill="1" applyBorder="1"/>
    <xf numFmtId="0" fontId="2" fillId="3" borderId="7" xfId="0" quotePrefix="1" applyFont="1" applyFill="1" applyBorder="1" applyAlignment="1">
      <alignment horizontal="center"/>
    </xf>
    <xf numFmtId="0" fontId="6" fillId="3" borderId="0" xfId="0" quotePrefix="1" applyFont="1" applyFill="1" applyAlignment="1">
      <alignment horizontal="center"/>
    </xf>
    <xf numFmtId="0" fontId="3" fillId="3" borderId="0" xfId="0" applyFont="1" applyFill="1" applyAlignment="1">
      <alignment horizontal="right"/>
    </xf>
    <xf numFmtId="0" fontId="3" fillId="3" borderId="0" xfId="0" applyFont="1" applyFill="1" applyAlignment="1">
      <alignment horizontal="center"/>
    </xf>
    <xf numFmtId="10" fontId="3" fillId="3" borderId="0" xfId="0" applyNumberFormat="1" applyFont="1" applyFill="1"/>
    <xf numFmtId="9" fontId="3" fillId="3" borderId="0" xfId="0" applyNumberFormat="1" applyFont="1" applyFill="1"/>
    <xf numFmtId="168" fontId="3" fillId="3" borderId="0" xfId="0" applyNumberFormat="1" applyFont="1" applyFill="1"/>
    <xf numFmtId="0" fontId="6" fillId="3" borderId="33" xfId="0" applyFont="1" applyFill="1" applyBorder="1"/>
    <xf numFmtId="0" fontId="3" fillId="3" borderId="7" xfId="0" applyFont="1" applyFill="1" applyBorder="1" applyAlignment="1">
      <alignment horizontal="right"/>
    </xf>
    <xf numFmtId="0" fontId="3" fillId="3" borderId="7" xfId="0" applyFont="1" applyFill="1" applyBorder="1" applyAlignment="1">
      <alignment horizontal="center"/>
    </xf>
    <xf numFmtId="0" fontId="9" fillId="3" borderId="0" xfId="0" applyFont="1" applyFill="1" applyAlignment="1">
      <alignment horizontal="center"/>
    </xf>
    <xf numFmtId="0" fontId="9" fillId="3" borderId="33" xfId="0" applyFont="1" applyFill="1" applyBorder="1" applyAlignment="1">
      <alignment horizontal="center"/>
    </xf>
    <xf numFmtId="168" fontId="9" fillId="3" borderId="0" xfId="0" applyNumberFormat="1" applyFont="1" applyFill="1"/>
    <xf numFmtId="168" fontId="6" fillId="3" borderId="33" xfId="0" applyNumberFormat="1" applyFont="1" applyFill="1" applyBorder="1"/>
    <xf numFmtId="43" fontId="2" fillId="3" borderId="0" xfId="1" applyNumberFormat="1" applyFont="1" applyFill="1" applyAlignment="1">
      <alignment horizontal="right"/>
    </xf>
    <xf numFmtId="0" fontId="23" fillId="3" borderId="0" xfId="0" applyFont="1" applyFill="1" applyAlignment="1">
      <alignment horizontal="right"/>
    </xf>
    <xf numFmtId="43" fontId="2" fillId="3" borderId="0" xfId="0" applyNumberFormat="1" applyFont="1" applyFill="1"/>
    <xf numFmtId="1" fontId="2" fillId="0" borderId="0" xfId="0" applyNumberFormat="1" applyFont="1"/>
    <xf numFmtId="1" fontId="2" fillId="3" borderId="0" xfId="0" applyNumberFormat="1" applyFont="1" applyFill="1"/>
    <xf numFmtId="166" fontId="3" fillId="3" borderId="0" xfId="0" applyNumberFormat="1" applyFont="1" applyFill="1"/>
    <xf numFmtId="168" fontId="2" fillId="3" borderId="7" xfId="0" applyNumberFormat="1" applyFont="1" applyFill="1" applyBorder="1" applyAlignment="1">
      <alignment horizontal="center"/>
    </xf>
    <xf numFmtId="165" fontId="2" fillId="3" borderId="0" xfId="1" applyFont="1" applyFill="1" applyAlignment="1">
      <alignment horizontal="right"/>
    </xf>
    <xf numFmtId="0" fontId="1" fillId="3" borderId="0" xfId="0" applyFont="1" applyFill="1"/>
    <xf numFmtId="0" fontId="1" fillId="3" borderId="7" xfId="0" applyFont="1" applyFill="1" applyBorder="1"/>
    <xf numFmtId="176" fontId="3" fillId="3" borderId="0" xfId="0" applyNumberFormat="1" applyFont="1" applyFill="1" applyAlignment="1">
      <alignment horizontal="left"/>
    </xf>
    <xf numFmtId="3" fontId="2" fillId="3" borderId="0" xfId="0" applyNumberFormat="1" applyFont="1" applyFill="1"/>
    <xf numFmtId="9" fontId="2" fillId="3" borderId="0" xfId="0" applyNumberFormat="1" applyFont="1" applyFill="1" applyAlignment="1">
      <alignment horizontal="center"/>
    </xf>
    <xf numFmtId="9" fontId="2" fillId="3" borderId="16" xfId="0" applyNumberFormat="1" applyFont="1" applyFill="1" applyBorder="1" applyAlignment="1">
      <alignment horizontal="center"/>
    </xf>
    <xf numFmtId="172" fontId="2" fillId="3" borderId="0" xfId="1" applyNumberFormat="1" applyFont="1" applyFill="1" applyBorder="1"/>
    <xf numFmtId="9" fontId="2" fillId="3" borderId="0" xfId="0" applyNumberFormat="1" applyFont="1" applyFill="1" applyAlignment="1">
      <alignment horizontal="right"/>
    </xf>
    <xf numFmtId="165" fontId="3" fillId="3" borderId="0" xfId="1" applyFont="1" applyFill="1" applyBorder="1"/>
    <xf numFmtId="9" fontId="3" fillId="3" borderId="0" xfId="2" applyFont="1" applyFill="1" applyBorder="1"/>
    <xf numFmtId="10" fontId="3" fillId="3" borderId="0" xfId="2" applyNumberFormat="1" applyFont="1" applyFill="1" applyBorder="1"/>
    <xf numFmtId="0" fontId="22" fillId="3" borderId="0" xfId="0" applyFont="1" applyFill="1" applyAlignment="1">
      <alignment horizontal="right"/>
    </xf>
    <xf numFmtId="177" fontId="2" fillId="3" borderId="0" xfId="0" applyNumberFormat="1" applyFont="1" applyFill="1"/>
    <xf numFmtId="177" fontId="2" fillId="3" borderId="10" xfId="0" applyNumberFormat="1" applyFont="1" applyFill="1" applyBorder="1"/>
    <xf numFmtId="177" fontId="3" fillId="3" borderId="0" xfId="0" applyNumberFormat="1" applyFont="1" applyFill="1"/>
    <xf numFmtId="178" fontId="2" fillId="0" borderId="0" xfId="0" applyNumberFormat="1" applyFont="1" applyAlignment="1">
      <alignment horizontal="right"/>
    </xf>
    <xf numFmtId="178" fontId="2" fillId="3" borderId="0" xfId="0" applyNumberFormat="1" applyFont="1" applyFill="1" applyAlignment="1">
      <alignment horizontal="right"/>
    </xf>
    <xf numFmtId="178" fontId="2" fillId="3" borderId="7" xfId="0" applyNumberFormat="1" applyFont="1" applyFill="1" applyBorder="1" applyAlignment="1">
      <alignment horizontal="right"/>
    </xf>
    <xf numFmtId="179" fontId="10" fillId="0" borderId="0" xfId="0" applyNumberFormat="1" applyFont="1" applyAlignment="1">
      <alignment horizontal="right"/>
    </xf>
    <xf numFmtId="0" fontId="11" fillId="0" borderId="19" xfId="0" applyFont="1" applyBorder="1" applyAlignment="1">
      <alignment horizontal="right"/>
    </xf>
    <xf numFmtId="168" fontId="2" fillId="0" borderId="0" xfId="1" applyNumberFormat="1" applyFont="1"/>
    <xf numFmtId="9" fontId="3" fillId="3" borderId="0" xfId="2" applyFont="1" applyFill="1" applyBorder="1" applyAlignment="1">
      <alignment horizontal="center"/>
    </xf>
    <xf numFmtId="9" fontId="3" fillId="3" borderId="0" xfId="0" applyNumberFormat="1" applyFont="1" applyFill="1" applyAlignment="1">
      <alignment horizontal="right"/>
    </xf>
    <xf numFmtId="168" fontId="3" fillId="3" borderId="0" xfId="1" applyNumberFormat="1" applyFont="1" applyFill="1" applyBorder="1" applyAlignment="1">
      <alignment horizontal="right"/>
    </xf>
    <xf numFmtId="165" fontId="3" fillId="3" borderId="0" xfId="0" applyNumberFormat="1" applyFont="1" applyFill="1" applyAlignment="1">
      <alignment horizontal="right"/>
    </xf>
    <xf numFmtId="168" fontId="2" fillId="0" borderId="0" xfId="0" applyNumberFormat="1" applyFont="1"/>
    <xf numFmtId="168" fontId="6" fillId="0" borderId="0" xfId="0" applyNumberFormat="1" applyFont="1"/>
    <xf numFmtId="0" fontId="6" fillId="0" borderId="0" xfId="0" applyFont="1" applyAlignment="1">
      <alignment horizontal="center"/>
    </xf>
    <xf numFmtId="0" fontId="7" fillId="4" borderId="13" xfId="0" applyFont="1" applyFill="1" applyBorder="1" applyAlignment="1">
      <alignment horizontal="center"/>
    </xf>
    <xf numFmtId="0" fontId="7" fillId="3" borderId="13" xfId="0" applyFont="1" applyFill="1" applyBorder="1" applyAlignment="1">
      <alignment horizontal="center"/>
    </xf>
    <xf numFmtId="9" fontId="7" fillId="3" borderId="13" xfId="0" applyNumberFormat="1" applyFont="1" applyFill="1" applyBorder="1"/>
    <xf numFmtId="0" fontId="0" fillId="0" borderId="36" xfId="0" applyBorder="1"/>
    <xf numFmtId="0" fontId="0" fillId="0" borderId="40" xfId="0" applyBorder="1"/>
    <xf numFmtId="0" fontId="0" fillId="0" borderId="41" xfId="0" applyBorder="1"/>
    <xf numFmtId="168" fontId="0" fillId="0" borderId="39" xfId="1" applyNumberFormat="1" applyFont="1" applyBorder="1"/>
    <xf numFmtId="168" fontId="0" fillId="0" borderId="35" xfId="0" applyNumberFormat="1" applyBorder="1"/>
    <xf numFmtId="0" fontId="24" fillId="2" borderId="38" xfId="0" applyFont="1" applyFill="1" applyBorder="1" applyAlignment="1">
      <alignment horizontal="center"/>
    </xf>
    <xf numFmtId="0" fontId="24" fillId="2" borderId="37" xfId="0" applyFont="1" applyFill="1" applyBorder="1" applyAlignment="1">
      <alignment horizontal="center"/>
    </xf>
    <xf numFmtId="0" fontId="2" fillId="3" borderId="45" xfId="0" applyFont="1" applyFill="1" applyBorder="1"/>
    <xf numFmtId="168" fontId="11" fillId="3" borderId="0" xfId="1" applyNumberFormat="1" applyFont="1" applyFill="1" applyBorder="1"/>
    <xf numFmtId="165" fontId="11" fillId="3" borderId="46" xfId="1" applyFont="1" applyFill="1" applyBorder="1"/>
    <xf numFmtId="168" fontId="11" fillId="3" borderId="46" xfId="1" applyNumberFormat="1" applyFont="1" applyFill="1" applyBorder="1"/>
    <xf numFmtId="168" fontId="11" fillId="3" borderId="47" xfId="1" applyNumberFormat="1" applyFont="1" applyFill="1" applyBorder="1"/>
    <xf numFmtId="0" fontId="6" fillId="3" borderId="45" xfId="0" applyFont="1" applyFill="1" applyBorder="1"/>
    <xf numFmtId="168" fontId="10" fillId="3" borderId="0" xfId="1" applyNumberFormat="1" applyFont="1" applyFill="1" applyBorder="1"/>
    <xf numFmtId="168" fontId="10" fillId="3" borderId="46" xfId="1" applyNumberFormat="1" applyFont="1" applyFill="1" applyBorder="1"/>
    <xf numFmtId="168" fontId="11" fillId="3" borderId="46" xfId="0" applyNumberFormat="1" applyFont="1" applyFill="1" applyBorder="1"/>
    <xf numFmtId="168" fontId="10" fillId="3" borderId="46" xfId="0" applyNumberFormat="1" applyFont="1" applyFill="1" applyBorder="1"/>
    <xf numFmtId="0" fontId="4" fillId="5" borderId="45" xfId="0" applyFont="1" applyFill="1" applyBorder="1"/>
    <xf numFmtId="168" fontId="4" fillId="5" borderId="46" xfId="0" applyNumberFormat="1" applyFont="1" applyFill="1" applyBorder="1"/>
    <xf numFmtId="0" fontId="4" fillId="5" borderId="48" xfId="0" applyFont="1" applyFill="1" applyBorder="1"/>
    <xf numFmtId="0" fontId="2" fillId="3" borderId="49" xfId="0" applyFont="1" applyFill="1" applyBorder="1"/>
    <xf numFmtId="0" fontId="2" fillId="3" borderId="50" xfId="0" applyFont="1" applyFill="1" applyBorder="1"/>
    <xf numFmtId="0" fontId="6" fillId="3" borderId="43" xfId="0" applyFont="1" applyFill="1" applyBorder="1" applyAlignment="1">
      <alignment horizontal="right"/>
    </xf>
    <xf numFmtId="0" fontId="6" fillId="3" borderId="44" xfId="0" applyFont="1" applyFill="1" applyBorder="1" applyAlignment="1">
      <alignment horizontal="right"/>
    </xf>
    <xf numFmtId="168" fontId="6" fillId="3" borderId="46" xfId="1" applyNumberFormat="1" applyFont="1" applyFill="1" applyBorder="1"/>
    <xf numFmtId="168" fontId="2" fillId="3" borderId="46" xfId="0" applyNumberFormat="1" applyFont="1" applyFill="1" applyBorder="1"/>
    <xf numFmtId="168" fontId="2" fillId="3" borderId="46" xfId="1" applyNumberFormat="1" applyFont="1" applyFill="1" applyBorder="1"/>
    <xf numFmtId="168" fontId="6" fillId="3" borderId="46" xfId="0" applyNumberFormat="1" applyFont="1" applyFill="1" applyBorder="1"/>
    <xf numFmtId="0" fontId="10" fillId="3" borderId="46" xfId="0" applyFont="1" applyFill="1" applyBorder="1"/>
    <xf numFmtId="168" fontId="4" fillId="5" borderId="50" xfId="0" applyNumberFormat="1" applyFont="1" applyFill="1" applyBorder="1"/>
    <xf numFmtId="0" fontId="5" fillId="2" borderId="37" xfId="0" applyFont="1" applyFill="1" applyBorder="1"/>
    <xf numFmtId="0" fontId="2" fillId="2" borderId="51" xfId="0" applyFont="1" applyFill="1" applyBorder="1"/>
    <xf numFmtId="0" fontId="2" fillId="2" borderId="52" xfId="0" applyFont="1" applyFill="1" applyBorder="1"/>
    <xf numFmtId="0" fontId="3" fillId="3" borderId="45" xfId="0" applyFont="1" applyFill="1" applyBorder="1"/>
    <xf numFmtId="0" fontId="3" fillId="3" borderId="46" xfId="0" applyFont="1" applyFill="1" applyBorder="1"/>
    <xf numFmtId="0" fontId="11" fillId="3" borderId="45" xfId="0" applyFont="1" applyFill="1" applyBorder="1"/>
    <xf numFmtId="0" fontId="10" fillId="3" borderId="46" xfId="0" applyFont="1" applyFill="1" applyBorder="1" applyAlignment="1">
      <alignment horizontal="right"/>
    </xf>
    <xf numFmtId="9" fontId="3" fillId="3" borderId="46" xfId="2" applyFont="1" applyFill="1" applyBorder="1"/>
    <xf numFmtId="168" fontId="3" fillId="3" borderId="45" xfId="1" applyNumberFormat="1" applyFont="1" applyFill="1" applyBorder="1"/>
    <xf numFmtId="168" fontId="3" fillId="3" borderId="46" xfId="1" applyNumberFormat="1" applyFont="1" applyFill="1" applyBorder="1"/>
    <xf numFmtId="0" fontId="3" fillId="3" borderId="46" xfId="0" applyFont="1" applyFill="1" applyBorder="1" applyAlignment="1">
      <alignment horizontal="right"/>
    </xf>
    <xf numFmtId="166" fontId="2" fillId="0" borderId="0" xfId="0" applyNumberFormat="1" applyFont="1"/>
    <xf numFmtId="171" fontId="2" fillId="3" borderId="13" xfId="0" applyNumberFormat="1" applyFont="1" applyFill="1" applyBorder="1"/>
    <xf numFmtId="10" fontId="2" fillId="0" borderId="0" xfId="0" applyNumberFormat="1" applyFont="1"/>
    <xf numFmtId="2" fontId="2" fillId="0" borderId="0" xfId="0" applyNumberFormat="1" applyFont="1"/>
    <xf numFmtId="0" fontId="0" fillId="0" borderId="0" xfId="0" applyAlignment="1">
      <alignment horizontal="center"/>
    </xf>
    <xf numFmtId="0" fontId="0" fillId="0" borderId="45" xfId="0" applyBorder="1"/>
    <xf numFmtId="165" fontId="0" fillId="0" borderId="0" xfId="1" applyFont="1" applyBorder="1"/>
    <xf numFmtId="0" fontId="0" fillId="0" borderId="48" xfId="0" applyBorder="1"/>
    <xf numFmtId="0" fontId="0" fillId="0" borderId="49" xfId="0" applyBorder="1"/>
    <xf numFmtId="0" fontId="0" fillId="0" borderId="50" xfId="0" applyBorder="1"/>
    <xf numFmtId="0" fontId="0" fillId="0" borderId="53" xfId="0" applyBorder="1"/>
    <xf numFmtId="0" fontId="0" fillId="0" borderId="54" xfId="0" applyBorder="1"/>
    <xf numFmtId="0" fontId="0" fillId="9" borderId="36" xfId="0" applyFill="1" applyBorder="1"/>
    <xf numFmtId="0" fontId="0" fillId="9" borderId="53" xfId="0" applyFill="1" applyBorder="1" applyAlignment="1">
      <alignment horizontal="center"/>
    </xf>
    <xf numFmtId="0" fontId="0" fillId="9" borderId="54" xfId="0" applyFill="1" applyBorder="1" applyAlignment="1">
      <alignment horizontal="center"/>
    </xf>
    <xf numFmtId="180" fontId="0" fillId="0" borderId="0" xfId="1" applyNumberFormat="1" applyFont="1" applyBorder="1"/>
    <xf numFmtId="180" fontId="0" fillId="0" borderId="46" xfId="1" applyNumberFormat="1" applyFont="1" applyBorder="1"/>
    <xf numFmtId="168" fontId="0" fillId="0" borderId="49" xfId="1" applyNumberFormat="1" applyFont="1" applyBorder="1"/>
    <xf numFmtId="168" fontId="0" fillId="0" borderId="53" xfId="0" applyNumberFormat="1" applyBorder="1"/>
    <xf numFmtId="168" fontId="0" fillId="0" borderId="0" xfId="1" applyNumberFormat="1" applyFont="1"/>
    <xf numFmtId="168" fontId="0" fillId="10" borderId="39" xfId="1" applyNumberFormat="1" applyFont="1" applyFill="1" applyBorder="1"/>
    <xf numFmtId="9" fontId="3" fillId="0" borderId="46" xfId="2" applyFont="1" applyFill="1" applyBorder="1"/>
    <xf numFmtId="0" fontId="26" fillId="11" borderId="0" xfId="0" applyFont="1" applyFill="1"/>
    <xf numFmtId="0" fontId="27" fillId="11" borderId="0" xfId="0" applyFont="1" applyFill="1"/>
    <xf numFmtId="0" fontId="28" fillId="11" borderId="0" xfId="0" applyFont="1" applyFill="1" applyAlignment="1">
      <alignment horizontal="center"/>
    </xf>
    <xf numFmtId="0" fontId="29" fillId="11" borderId="0" xfId="0" applyFont="1" applyFill="1" applyAlignment="1">
      <alignment horizontal="center"/>
    </xf>
    <xf numFmtId="0" fontId="30" fillId="12" borderId="0" xfId="0" applyFont="1" applyFill="1"/>
    <xf numFmtId="0" fontId="27" fillId="12" borderId="0" xfId="0" applyFont="1" applyFill="1"/>
    <xf numFmtId="0" fontId="27" fillId="0" borderId="0" xfId="0" applyFont="1"/>
    <xf numFmtId="0" fontId="31" fillId="0" borderId="0" xfId="3" applyFont="1"/>
    <xf numFmtId="0" fontId="28" fillId="0" borderId="0" xfId="0" applyFont="1" applyAlignment="1">
      <alignment horizontal="center"/>
    </xf>
    <xf numFmtId="0" fontId="29" fillId="0" borderId="0" xfId="0" applyFont="1" applyAlignment="1">
      <alignment horizontal="center"/>
    </xf>
    <xf numFmtId="0" fontId="30" fillId="6" borderId="0" xfId="0" applyFont="1" applyFill="1"/>
    <xf numFmtId="0" fontId="32" fillId="6" borderId="0" xfId="0" applyFont="1" applyFill="1"/>
    <xf numFmtId="0" fontId="33" fillId="6" borderId="0" xfId="0" applyFont="1" applyFill="1" applyAlignment="1">
      <alignment horizontal="center"/>
    </xf>
    <xf numFmtId="0" fontId="34" fillId="6" borderId="0" xfId="0" applyFont="1" applyFill="1" applyAlignment="1">
      <alignment horizontal="center"/>
    </xf>
    <xf numFmtId="166" fontId="30" fillId="6" borderId="0" xfId="0" applyNumberFormat="1" applyFont="1" applyFill="1"/>
    <xf numFmtId="0" fontId="30" fillId="0" borderId="53" xfId="0" applyFont="1" applyBorder="1"/>
    <xf numFmtId="0" fontId="27" fillId="0" borderId="53" xfId="0" applyFont="1" applyBorder="1"/>
    <xf numFmtId="0" fontId="28" fillId="0" borderId="53" xfId="0" applyFont="1" applyBorder="1" applyAlignment="1">
      <alignment horizontal="center"/>
    </xf>
    <xf numFmtId="0" fontId="29" fillId="0" borderId="53" xfId="0" applyFont="1" applyBorder="1" applyAlignment="1">
      <alignment horizontal="center"/>
    </xf>
    <xf numFmtId="166" fontId="27" fillId="0" borderId="0" xfId="0" applyNumberFormat="1" applyFont="1"/>
    <xf numFmtId="0" fontId="35" fillId="0" borderId="0" xfId="0" applyFont="1"/>
    <xf numFmtId="0" fontId="28" fillId="0" borderId="0" xfId="0" applyFont="1"/>
    <xf numFmtId="181" fontId="27" fillId="0" borderId="0" xfId="0" applyNumberFormat="1" applyFont="1"/>
    <xf numFmtId="167" fontId="27" fillId="13" borderId="55" xfId="6" applyNumberFormat="1" applyFont="1" applyFill="1" applyBorder="1"/>
    <xf numFmtId="0" fontId="30" fillId="0" borderId="36" xfId="0" applyFont="1" applyBorder="1"/>
    <xf numFmtId="168" fontId="27" fillId="13" borderId="55" xfId="1" applyNumberFormat="1" applyFont="1" applyFill="1" applyBorder="1" applyAlignment="1">
      <alignment horizontal="right"/>
    </xf>
    <xf numFmtId="168" fontId="27" fillId="13" borderId="55" xfId="1" applyNumberFormat="1" applyFont="1" applyFill="1" applyBorder="1" applyAlignment="1">
      <alignment horizontal="left"/>
    </xf>
    <xf numFmtId="9" fontId="27" fillId="13" borderId="55" xfId="2" applyFont="1" applyFill="1" applyBorder="1" applyAlignment="1">
      <alignment horizontal="right"/>
    </xf>
    <xf numFmtId="9" fontId="27" fillId="14" borderId="55" xfId="2" applyFont="1" applyFill="1" applyBorder="1"/>
    <xf numFmtId="168" fontId="27" fillId="14" borderId="55" xfId="1" applyNumberFormat="1" applyFont="1" applyFill="1" applyBorder="1"/>
    <xf numFmtId="0" fontId="32" fillId="0" borderId="0" xfId="0" applyFont="1"/>
    <xf numFmtId="182" fontId="27" fillId="13" borderId="55" xfId="2" applyNumberFormat="1" applyFont="1" applyFill="1" applyBorder="1" applyAlignment="1">
      <alignment horizontal="left" indent="11"/>
    </xf>
    <xf numFmtId="9" fontId="27" fillId="13" borderId="55" xfId="2" applyFont="1" applyFill="1" applyBorder="1" applyAlignment="1">
      <alignment horizontal="left" indent="11"/>
    </xf>
    <xf numFmtId="9" fontId="27" fillId="13" borderId="55" xfId="2" applyFont="1" applyFill="1" applyBorder="1" applyAlignment="1">
      <alignment horizontal="left"/>
    </xf>
    <xf numFmtId="0" fontId="37" fillId="0" borderId="0" xfId="0" applyFont="1"/>
    <xf numFmtId="16" fontId="27" fillId="0" borderId="0" xfId="0" applyNumberFormat="1" applyFont="1"/>
    <xf numFmtId="9" fontId="27" fillId="0" borderId="53" xfId="2" applyFont="1" applyBorder="1" applyAlignment="1">
      <alignment horizontal="left"/>
    </xf>
    <xf numFmtId="0" fontId="27" fillId="0" borderId="8" xfId="0" applyFont="1" applyBorder="1"/>
    <xf numFmtId="0" fontId="30" fillId="0" borderId="0" xfId="0" applyFont="1"/>
    <xf numFmtId="183" fontId="27" fillId="13" borderId="55" xfId="6" applyNumberFormat="1" applyFont="1" applyFill="1" applyBorder="1"/>
    <xf numFmtId="168" fontId="27" fillId="0" borderId="0" xfId="1" applyNumberFormat="1" applyFont="1"/>
    <xf numFmtId="9" fontId="27" fillId="0" borderId="0" xfId="2" applyFont="1" applyAlignment="1">
      <alignment horizontal="left"/>
    </xf>
    <xf numFmtId="168" fontId="27" fillId="0" borderId="0" xfId="1" applyNumberFormat="1" applyFont="1" applyAlignment="1">
      <alignment horizontal="left"/>
    </xf>
    <xf numFmtId="168" fontId="27" fillId="0" borderId="35" xfId="2" applyNumberFormat="1" applyFont="1" applyBorder="1" applyAlignment="1">
      <alignment horizontal="left"/>
    </xf>
    <xf numFmtId="168" fontId="27" fillId="14" borderId="58" xfId="1" applyNumberFormat="1" applyFont="1" applyFill="1" applyBorder="1"/>
    <xf numFmtId="43" fontId="27" fillId="0" borderId="0" xfId="6" applyFont="1"/>
    <xf numFmtId="0" fontId="27" fillId="0" borderId="0" xfId="0" applyFont="1" applyAlignment="1">
      <alignment horizontal="left" indent="1"/>
    </xf>
    <xf numFmtId="0" fontId="27" fillId="10" borderId="0" xfId="0" applyFont="1" applyFill="1"/>
    <xf numFmtId="168" fontId="27" fillId="13" borderId="55" xfId="1" applyNumberFormat="1" applyFont="1" applyFill="1" applyBorder="1"/>
    <xf numFmtId="9" fontId="27" fillId="5" borderId="55" xfId="2" applyFont="1" applyFill="1" applyBorder="1"/>
    <xf numFmtId="183" fontId="27" fillId="5" borderId="55" xfId="6" applyNumberFormat="1" applyFont="1" applyFill="1" applyBorder="1"/>
    <xf numFmtId="183" fontId="27" fillId="0" borderId="0" xfId="0" applyNumberFormat="1" applyFont="1"/>
    <xf numFmtId="186" fontId="27" fillId="13" borderId="55" xfId="6" applyNumberFormat="1" applyFont="1" applyFill="1" applyBorder="1"/>
    <xf numFmtId="0" fontId="39" fillId="0" borderId="0" xfId="0" applyFont="1" applyAlignment="1">
      <alignment horizontal="center"/>
    </xf>
    <xf numFmtId="183" fontId="27" fillId="13" borderId="0" xfId="6" applyNumberFormat="1" applyFont="1" applyFill="1"/>
    <xf numFmtId="183" fontId="27" fillId="14" borderId="55" xfId="6" applyNumberFormat="1" applyFont="1" applyFill="1" applyBorder="1"/>
    <xf numFmtId="167" fontId="27" fillId="0" borderId="0" xfId="6" applyNumberFormat="1" applyFont="1"/>
    <xf numFmtId="9" fontId="27" fillId="13" borderId="55" xfId="2" applyFont="1" applyFill="1" applyBorder="1"/>
    <xf numFmtId="167" fontId="27" fillId="14" borderId="55" xfId="6" applyNumberFormat="1" applyFont="1" applyFill="1" applyBorder="1"/>
    <xf numFmtId="0" fontId="27" fillId="0" borderId="45" xfId="0" applyFont="1" applyBorder="1"/>
    <xf numFmtId="0" fontId="28" fillId="0" borderId="0" xfId="0" applyFont="1" applyAlignment="1">
      <alignment horizontal="right"/>
    </xf>
    <xf numFmtId="0" fontId="27" fillId="0" borderId="48" xfId="0" applyFont="1" applyBorder="1"/>
    <xf numFmtId="0" fontId="27" fillId="0" borderId="49" xfId="0" applyFont="1" applyBorder="1"/>
    <xf numFmtId="0" fontId="28" fillId="0" borderId="49" xfId="0" applyFont="1" applyBorder="1" applyAlignment="1">
      <alignment horizontal="center"/>
    </xf>
    <xf numFmtId="0" fontId="29" fillId="0" borderId="49" xfId="0" applyFont="1" applyBorder="1" applyAlignment="1">
      <alignment horizontal="center"/>
    </xf>
    <xf numFmtId="0" fontId="30" fillId="0" borderId="49" xfId="0" applyFont="1" applyBorder="1"/>
    <xf numFmtId="165" fontId="27" fillId="13" borderId="55" xfId="1" applyFont="1" applyFill="1" applyBorder="1"/>
    <xf numFmtId="171" fontId="27" fillId="13" borderId="55" xfId="2" applyNumberFormat="1" applyFont="1" applyFill="1" applyBorder="1"/>
    <xf numFmtId="0" fontId="40" fillId="15" borderId="0" xfId="0" applyFont="1" applyFill="1"/>
    <xf numFmtId="0" fontId="27" fillId="15" borderId="0" xfId="0" applyFont="1" applyFill="1"/>
    <xf numFmtId="0" fontId="28" fillId="15" borderId="0" xfId="0" applyFont="1" applyFill="1" applyAlignment="1">
      <alignment horizontal="center"/>
    </xf>
    <xf numFmtId="0" fontId="29" fillId="15" borderId="0" xfId="0" applyFont="1" applyFill="1" applyAlignment="1">
      <alignment horizontal="center"/>
    </xf>
    <xf numFmtId="0" fontId="1" fillId="11" borderId="0" xfId="0" applyFont="1" applyFill="1"/>
    <xf numFmtId="0" fontId="2" fillId="11" borderId="0" xfId="0" applyFont="1" applyFill="1"/>
    <xf numFmtId="0" fontId="3" fillId="16" borderId="0" xfId="0" applyFont="1" applyFill="1"/>
    <xf numFmtId="166" fontId="3" fillId="16" borderId="0" xfId="0" applyNumberFormat="1" applyFont="1" applyFill="1"/>
    <xf numFmtId="166" fontId="41" fillId="16" borderId="0" xfId="0" applyNumberFormat="1" applyFont="1" applyFill="1"/>
    <xf numFmtId="0" fontId="42" fillId="16" borderId="0" xfId="0" applyFont="1" applyFill="1"/>
    <xf numFmtId="16" fontId="30" fillId="0" borderId="60" xfId="0" applyNumberFormat="1" applyFont="1" applyBorder="1"/>
    <xf numFmtId="168" fontId="0" fillId="0" borderId="0" xfId="1" applyNumberFormat="1" applyFont="1" applyBorder="1"/>
    <xf numFmtId="0" fontId="0" fillId="0" borderId="0" xfId="0" applyBorder="1"/>
    <xf numFmtId="9" fontId="0" fillId="0" borderId="0" xfId="2" applyFont="1"/>
    <xf numFmtId="0" fontId="0" fillId="0" borderId="60" xfId="0" applyBorder="1"/>
    <xf numFmtId="9" fontId="0" fillId="0" borderId="60" xfId="0" applyNumberFormat="1" applyBorder="1"/>
    <xf numFmtId="165" fontId="0" fillId="0" borderId="0" xfId="0" applyNumberFormat="1"/>
    <xf numFmtId="165" fontId="0" fillId="0" borderId="0" xfId="1" applyNumberFormat="1" applyFont="1"/>
    <xf numFmtId="0" fontId="45" fillId="0" borderId="10" xfId="0" applyFont="1" applyBorder="1" applyAlignment="1">
      <alignment wrapText="1"/>
    </xf>
    <xf numFmtId="175" fontId="45" fillId="0" borderId="0" xfId="1" applyNumberFormat="1" applyFont="1"/>
    <xf numFmtId="165" fontId="45" fillId="0" borderId="0" xfId="1" applyFont="1" applyAlignment="1"/>
    <xf numFmtId="0" fontId="45" fillId="0" borderId="0" xfId="0" applyFont="1"/>
    <xf numFmtId="165" fontId="45" fillId="0" borderId="0" xfId="0" applyNumberFormat="1" applyFont="1"/>
    <xf numFmtId="180" fontId="45" fillId="0" borderId="0" xfId="1" applyNumberFormat="1" applyFont="1"/>
    <xf numFmtId="188" fontId="45" fillId="0" borderId="0" xfId="0" applyNumberFormat="1" applyFont="1"/>
    <xf numFmtId="0" fontId="45" fillId="0" borderId="7" xfId="0" applyFont="1" applyBorder="1" applyAlignment="1">
      <alignment horizontal="center"/>
    </xf>
    <xf numFmtId="0" fontId="46" fillId="0" borderId="7" xfId="0" applyFont="1" applyBorder="1" applyAlignment="1">
      <alignment horizontal="center"/>
    </xf>
    <xf numFmtId="0" fontId="45" fillId="0" borderId="7" xfId="0" applyFont="1" applyBorder="1" applyAlignment="1">
      <alignment horizontal="center" vertical="center"/>
    </xf>
    <xf numFmtId="0" fontId="45" fillId="0" borderId="7" xfId="0" applyFont="1" applyBorder="1" applyAlignment="1">
      <alignment horizontal="center" vertical="center" wrapText="1"/>
    </xf>
    <xf numFmtId="0" fontId="45" fillId="0" borderId="0" xfId="0" applyFont="1" applyAlignment="1">
      <alignment horizontal="center"/>
    </xf>
    <xf numFmtId="168" fontId="45" fillId="0" borderId="0" xfId="1" applyNumberFormat="1" applyFont="1" applyAlignment="1">
      <alignment horizontal="left" indent="2"/>
    </xf>
    <xf numFmtId="168" fontId="0" fillId="0" borderId="0" xfId="0" applyNumberFormat="1"/>
    <xf numFmtId="168" fontId="45" fillId="0" borderId="0" xfId="1" applyNumberFormat="1" applyFont="1"/>
    <xf numFmtId="165" fontId="45" fillId="0" borderId="0" xfId="1" applyNumberFormat="1" applyFont="1"/>
    <xf numFmtId="165" fontId="27" fillId="13" borderId="55" xfId="1" applyFont="1" applyFill="1" applyBorder="1" applyAlignment="1">
      <alignment horizontal="left" indent="11"/>
    </xf>
    <xf numFmtId="165" fontId="27" fillId="13" borderId="55" xfId="1" applyFont="1" applyFill="1" applyBorder="1" applyAlignment="1">
      <alignment horizontal="left"/>
    </xf>
    <xf numFmtId="165" fontId="0" fillId="0" borderId="60" xfId="0" applyNumberFormat="1" applyBorder="1"/>
    <xf numFmtId="168" fontId="27" fillId="13" borderId="61" xfId="1" applyNumberFormat="1" applyFont="1" applyFill="1" applyBorder="1" applyAlignment="1">
      <alignment horizontal="right"/>
    </xf>
    <xf numFmtId="167" fontId="27" fillId="13" borderId="60" xfId="6" applyNumberFormat="1" applyFont="1" applyFill="1" applyBorder="1"/>
    <xf numFmtId="168" fontId="0" fillId="0" borderId="60" xfId="1" applyNumberFormat="1" applyFont="1" applyBorder="1"/>
    <xf numFmtId="0" fontId="0" fillId="0" borderId="62" xfId="0" applyBorder="1"/>
    <xf numFmtId="9" fontId="0" fillId="0" borderId="0" xfId="0" applyNumberFormat="1"/>
    <xf numFmtId="175" fontId="27" fillId="13" borderId="55" xfId="1" applyNumberFormat="1" applyFont="1" applyFill="1" applyBorder="1" applyAlignment="1">
      <alignment horizontal="left"/>
    </xf>
    <xf numFmtId="9" fontId="27" fillId="13" borderId="58" xfId="2" applyFont="1" applyFill="1" applyBorder="1" applyAlignment="1">
      <alignment horizontal="left"/>
    </xf>
    <xf numFmtId="168" fontId="27" fillId="13" borderId="61" xfId="2" applyNumberFormat="1" applyFont="1" applyFill="1" applyBorder="1" applyAlignment="1">
      <alignment horizontal="left"/>
    </xf>
    <xf numFmtId="165" fontId="27" fillId="13" borderId="56" xfId="1" applyFont="1" applyFill="1" applyBorder="1" applyAlignment="1">
      <alignment horizontal="left"/>
    </xf>
    <xf numFmtId="165" fontId="27" fillId="13" borderId="55" xfId="1" applyFont="1" applyFill="1" applyBorder="1" applyAlignment="1">
      <alignment horizontal="right" indent="3"/>
    </xf>
    <xf numFmtId="165" fontId="27" fillId="14" borderId="55" xfId="1" applyNumberFormat="1" applyFont="1" applyFill="1" applyBorder="1"/>
    <xf numFmtId="0" fontId="48" fillId="0" borderId="0" xfId="0" applyFont="1"/>
    <xf numFmtId="168" fontId="27" fillId="13" borderId="55" xfId="1" applyNumberFormat="1" applyFont="1" applyFill="1" applyBorder="1" applyProtection="1"/>
    <xf numFmtId="168" fontId="27" fillId="13" borderId="55" xfId="1" applyNumberFormat="1" applyFont="1" applyFill="1" applyBorder="1" applyAlignment="1">
      <alignment horizontal="left" indent="11"/>
    </xf>
    <xf numFmtId="0" fontId="49" fillId="0" borderId="0" xfId="0" applyFont="1"/>
    <xf numFmtId="0" fontId="0" fillId="0" borderId="4" xfId="0" applyBorder="1"/>
    <xf numFmtId="165" fontId="0" fillId="0" borderId="4" xfId="1" applyFont="1" applyBorder="1"/>
    <xf numFmtId="168" fontId="0" fillId="0" borderId="4" xfId="1" applyNumberFormat="1" applyFont="1" applyBorder="1"/>
    <xf numFmtId="0" fontId="0" fillId="0" borderId="63" xfId="0" applyBorder="1"/>
    <xf numFmtId="165" fontId="0" fillId="0" borderId="63" xfId="1" applyFont="1" applyBorder="1"/>
    <xf numFmtId="0" fontId="49" fillId="0" borderId="36" xfId="0" applyFont="1" applyBorder="1"/>
    <xf numFmtId="0" fontId="50" fillId="0" borderId="53" xfId="0" applyFont="1" applyBorder="1" applyAlignment="1">
      <alignment horizontal="center"/>
    </xf>
    <xf numFmtId="0" fontId="50" fillId="0" borderId="54" xfId="0" applyFont="1" applyBorder="1" applyAlignment="1">
      <alignment horizontal="center"/>
    </xf>
    <xf numFmtId="168" fontId="0" fillId="0" borderId="0" xfId="0" applyNumberFormat="1" applyBorder="1"/>
    <xf numFmtId="168" fontId="0" fillId="0" borderId="46" xfId="0" applyNumberFormat="1" applyBorder="1"/>
    <xf numFmtId="0" fontId="0" fillId="0" borderId="46" xfId="0" applyBorder="1"/>
    <xf numFmtId="0" fontId="49" fillId="0" borderId="0" xfId="0" applyFont="1" applyAlignment="1">
      <alignment horizontal="right"/>
    </xf>
    <xf numFmtId="165" fontId="49" fillId="0" borderId="0" xfId="1" applyFont="1" applyAlignment="1">
      <alignment horizontal="right"/>
    </xf>
    <xf numFmtId="0" fontId="51" fillId="0" borderId="53" xfId="0" applyFont="1" applyBorder="1"/>
    <xf numFmtId="0" fontId="51" fillId="0" borderId="54" xfId="0" applyFont="1" applyBorder="1" applyAlignment="1">
      <alignment horizontal="center"/>
    </xf>
    <xf numFmtId="0" fontId="54" fillId="0" borderId="45" xfId="0" applyFont="1" applyBorder="1"/>
    <xf numFmtId="16" fontId="54" fillId="0" borderId="45" xfId="0" applyNumberFormat="1" applyFont="1" applyBorder="1"/>
    <xf numFmtId="0" fontId="54" fillId="0" borderId="41" xfId="0" applyFont="1" applyBorder="1"/>
    <xf numFmtId="168" fontId="0" fillId="0" borderId="60" xfId="0" applyNumberFormat="1" applyBorder="1"/>
    <xf numFmtId="168" fontId="0" fillId="0" borderId="64" xfId="0" applyNumberFormat="1" applyBorder="1"/>
    <xf numFmtId="0" fontId="51" fillId="0" borderId="66" xfId="0" applyFont="1" applyBorder="1"/>
    <xf numFmtId="0" fontId="0" fillId="0" borderId="66" xfId="0" applyBorder="1"/>
    <xf numFmtId="0" fontId="51" fillId="0" borderId="67" xfId="0" applyFont="1" applyBorder="1"/>
    <xf numFmtId="0" fontId="50" fillId="0" borderId="68" xfId="0" applyFont="1" applyBorder="1"/>
    <xf numFmtId="0" fontId="0" fillId="0" borderId="69" xfId="0" applyBorder="1"/>
    <xf numFmtId="0" fontId="0" fillId="0" borderId="68" xfId="0" applyBorder="1"/>
    <xf numFmtId="0" fontId="0" fillId="0" borderId="70" xfId="0" applyBorder="1"/>
    <xf numFmtId="168" fontId="0" fillId="0" borderId="69" xfId="1" applyNumberFormat="1" applyFont="1" applyBorder="1"/>
    <xf numFmtId="168" fontId="0" fillId="0" borderId="71" xfId="1" applyNumberFormat="1" applyFont="1" applyBorder="1"/>
    <xf numFmtId="0" fontId="50" fillId="0" borderId="65" xfId="0" applyFont="1" applyBorder="1"/>
    <xf numFmtId="0" fontId="50" fillId="0" borderId="45" xfId="0" applyFont="1" applyBorder="1"/>
    <xf numFmtId="168" fontId="0" fillId="0" borderId="54" xfId="0" applyNumberFormat="1" applyBorder="1"/>
    <xf numFmtId="0" fontId="2" fillId="3" borderId="51" xfId="0" applyFont="1" applyFill="1" applyBorder="1"/>
    <xf numFmtId="165" fontId="27" fillId="13" borderId="61" xfId="2" applyNumberFormat="1" applyFont="1" applyFill="1" applyBorder="1" applyAlignment="1">
      <alignment horizontal="left"/>
    </xf>
    <xf numFmtId="168" fontId="27" fillId="13" borderId="56" xfId="1" applyNumberFormat="1" applyFont="1" applyFill="1" applyBorder="1" applyAlignment="1">
      <alignment horizontal="left"/>
    </xf>
    <xf numFmtId="189" fontId="0" fillId="0" borderId="0" xfId="0" applyNumberFormat="1" applyBorder="1"/>
    <xf numFmtId="189" fontId="0" fillId="0" borderId="46" xfId="0" applyNumberFormat="1" applyBorder="1"/>
    <xf numFmtId="168" fontId="2" fillId="3" borderId="10" xfId="0" applyNumberFormat="1" applyFont="1" applyFill="1" applyBorder="1"/>
    <xf numFmtId="0" fontId="0" fillId="0" borderId="72" xfId="0" applyBorder="1"/>
    <xf numFmtId="168" fontId="0" fillId="0" borderId="73" xfId="1" applyNumberFormat="1" applyFont="1" applyBorder="1"/>
    <xf numFmtId="0" fontId="49" fillId="0" borderId="68" xfId="0" applyFont="1" applyBorder="1"/>
    <xf numFmtId="0" fontId="27" fillId="0" borderId="0" xfId="0" applyFont="1" applyAlignment="1">
      <alignment wrapText="1"/>
    </xf>
    <xf numFmtId="168" fontId="5" fillId="3" borderId="0" xfId="1" applyNumberFormat="1" applyFont="1" applyFill="1"/>
    <xf numFmtId="175" fontId="27" fillId="13" borderId="55" xfId="1" applyNumberFormat="1" applyFont="1" applyFill="1" applyBorder="1" applyAlignment="1">
      <alignment horizontal="left" indent="11"/>
    </xf>
    <xf numFmtId="3" fontId="9" fillId="3" borderId="0" xfId="0" applyNumberFormat="1" applyFont="1" applyFill="1"/>
    <xf numFmtId="182" fontId="27" fillId="13" borderId="58" xfId="2" applyNumberFormat="1" applyFont="1" applyFill="1" applyBorder="1" applyAlignment="1">
      <alignment horizontal="left" indent="11"/>
    </xf>
    <xf numFmtId="0" fontId="27" fillId="0" borderId="60" xfId="0" applyFont="1" applyBorder="1"/>
    <xf numFmtId="0" fontId="29" fillId="0" borderId="60" xfId="0" applyFont="1" applyBorder="1" applyAlignment="1">
      <alignment horizontal="center"/>
    </xf>
    <xf numFmtId="168" fontId="27" fillId="13" borderId="61" xfId="1" applyNumberFormat="1" applyFont="1" applyFill="1" applyBorder="1" applyAlignment="1">
      <alignment horizontal="left" indent="11"/>
    </xf>
    <xf numFmtId="168" fontId="2" fillId="4" borderId="13" xfId="1" applyNumberFormat="1" applyFont="1" applyFill="1" applyBorder="1" applyAlignment="1">
      <alignment horizontal="center"/>
    </xf>
    <xf numFmtId="168" fontId="2" fillId="4" borderId="13" xfId="1" applyNumberFormat="1" applyFont="1" applyFill="1" applyBorder="1" applyAlignment="1">
      <alignment horizontal="right"/>
    </xf>
    <xf numFmtId="0" fontId="27" fillId="0" borderId="0" xfId="0" applyFont="1" applyBorder="1"/>
    <xf numFmtId="0" fontId="2" fillId="3" borderId="60" xfId="0" applyFont="1" applyFill="1" applyBorder="1"/>
    <xf numFmtId="168" fontId="6" fillId="3" borderId="71" xfId="1" applyNumberFormat="1" applyFont="1" applyFill="1" applyBorder="1"/>
    <xf numFmtId="168" fontId="6" fillId="3" borderId="60" xfId="1" applyNumberFormat="1" applyFont="1" applyFill="1" applyBorder="1"/>
    <xf numFmtId="0" fontId="2" fillId="3" borderId="0" xfId="0" applyFont="1" applyFill="1" applyBorder="1"/>
    <xf numFmtId="0" fontId="10" fillId="0" borderId="37" xfId="0" applyFont="1" applyBorder="1" applyAlignment="1">
      <alignment wrapText="1"/>
    </xf>
    <xf numFmtId="0" fontId="10" fillId="3" borderId="51" xfId="0" applyFont="1" applyFill="1" applyBorder="1" applyAlignment="1">
      <alignment horizontal="right" wrapText="1"/>
    </xf>
    <xf numFmtId="0" fontId="10" fillId="0" borderId="51" xfId="0" applyFont="1" applyBorder="1" applyAlignment="1">
      <alignment horizontal="right" wrapText="1"/>
    </xf>
    <xf numFmtId="0" fontId="10" fillId="0" borderId="52" xfId="0" applyFont="1" applyBorder="1" applyAlignment="1">
      <alignment horizontal="right" wrapText="1"/>
    </xf>
    <xf numFmtId="0" fontId="2" fillId="0" borderId="78" xfId="0" applyFont="1" applyBorder="1"/>
    <xf numFmtId="168" fontId="2" fillId="4" borderId="79" xfId="1" applyNumberFormat="1" applyFont="1" applyFill="1" applyBorder="1"/>
    <xf numFmtId="0" fontId="2" fillId="0" borderId="80" xfId="0" applyFont="1" applyBorder="1"/>
    <xf numFmtId="168" fontId="2" fillId="4" borderId="81" xfId="1" applyNumberFormat="1" applyFont="1" applyFill="1" applyBorder="1"/>
    <xf numFmtId="0" fontId="6" fillId="3" borderId="41" xfId="0" applyFont="1" applyFill="1" applyBorder="1"/>
    <xf numFmtId="168" fontId="6" fillId="0" borderId="82" xfId="1" applyNumberFormat="1" applyFont="1" applyFill="1" applyBorder="1"/>
    <xf numFmtId="9" fontId="2" fillId="3" borderId="13" xfId="2" applyFont="1" applyFill="1" applyBorder="1"/>
    <xf numFmtId="0" fontId="23" fillId="3" borderId="0" xfId="0" applyFont="1" applyFill="1"/>
    <xf numFmtId="0" fontId="2" fillId="13" borderId="0" xfId="0" applyFont="1" applyFill="1"/>
    <xf numFmtId="165" fontId="2" fillId="0" borderId="0" xfId="0" applyNumberFormat="1" applyFont="1" applyBorder="1"/>
    <xf numFmtId="0" fontId="3" fillId="3" borderId="5" xfId="0" applyFont="1" applyFill="1" applyBorder="1"/>
    <xf numFmtId="0" fontId="2" fillId="3" borderId="8" xfId="0" applyFont="1" applyFill="1" applyBorder="1" applyAlignment="1">
      <alignment horizontal="center"/>
    </xf>
    <xf numFmtId="168" fontId="2" fillId="3" borderId="6" xfId="1" applyNumberFormat="1" applyFont="1" applyFill="1" applyBorder="1"/>
    <xf numFmtId="0" fontId="2" fillId="17" borderId="0" xfId="0" applyFont="1" applyFill="1"/>
    <xf numFmtId="0" fontId="55" fillId="0" borderId="83" xfId="0" applyFont="1" applyBorder="1" applyAlignment="1">
      <alignment horizontal="center" vertical="top" wrapText="1"/>
    </xf>
    <xf numFmtId="3" fontId="55" fillId="0" borderId="83" xfId="0" applyNumberFormat="1" applyFont="1" applyBorder="1" applyAlignment="1">
      <alignment horizontal="center" wrapText="1"/>
    </xf>
    <xf numFmtId="0" fontId="55" fillId="0" borderId="83" xfId="0" applyFont="1" applyBorder="1" applyAlignment="1">
      <alignment horizontal="center" wrapText="1"/>
    </xf>
    <xf numFmtId="4" fontId="55" fillId="0" borderId="83" xfId="0" applyNumberFormat="1" applyFont="1" applyBorder="1" applyAlignment="1">
      <alignment horizontal="center" wrapText="1"/>
    </xf>
    <xf numFmtId="0" fontId="56" fillId="0" borderId="0" xfId="0" applyFont="1"/>
    <xf numFmtId="0" fontId="55" fillId="0" borderId="84" xfId="0" applyFont="1" applyBorder="1" applyAlignment="1">
      <alignment horizontal="center" vertical="top" wrapText="1"/>
    </xf>
    <xf numFmtId="3" fontId="55" fillId="0" borderId="84" xfId="0" applyNumberFormat="1" applyFont="1" applyBorder="1" applyAlignment="1">
      <alignment horizontal="center" wrapText="1"/>
    </xf>
    <xf numFmtId="0" fontId="55" fillId="0" borderId="84" xfId="0" applyFont="1" applyBorder="1" applyAlignment="1">
      <alignment horizontal="center" wrapText="1"/>
    </xf>
    <xf numFmtId="4" fontId="55" fillId="0" borderId="84" xfId="0" applyNumberFormat="1" applyFont="1" applyBorder="1" applyAlignment="1">
      <alignment wrapText="1"/>
    </xf>
    <xf numFmtId="0" fontId="57" fillId="0" borderId="84" xfId="0" applyFont="1" applyBorder="1" applyAlignment="1">
      <alignment vertical="top" wrapText="1"/>
    </xf>
    <xf numFmtId="3" fontId="57" fillId="0" borderId="84" xfId="0" applyNumberFormat="1" applyFont="1" applyBorder="1" applyAlignment="1">
      <alignment horizontal="center" wrapText="1"/>
    </xf>
    <xf numFmtId="0" fontId="57" fillId="0" borderId="84" xfId="0" applyFont="1" applyBorder="1" applyAlignment="1">
      <alignment horizontal="center" wrapText="1"/>
    </xf>
    <xf numFmtId="4" fontId="58" fillId="0" borderId="85" xfId="0" applyNumberFormat="1" applyFont="1" applyBorder="1" applyAlignment="1">
      <alignment horizontal="center" wrapText="1"/>
    </xf>
    <xf numFmtId="4" fontId="56" fillId="0" borderId="0" xfId="0" applyNumberFormat="1" applyFont="1"/>
    <xf numFmtId="4" fontId="57" fillId="0" borderId="86" xfId="6" applyNumberFormat="1" applyFont="1" applyBorder="1" applyAlignment="1">
      <alignment wrapText="1"/>
    </xf>
    <xf numFmtId="4" fontId="58" fillId="0" borderId="86" xfId="0" applyNumberFormat="1" applyFont="1" applyBorder="1" applyAlignment="1">
      <alignment horizontal="center" wrapText="1"/>
    </xf>
    <xf numFmtId="0" fontId="58" fillId="0" borderId="84" xfId="0" applyFont="1" applyBorder="1" applyAlignment="1">
      <alignment vertical="top" wrapText="1"/>
    </xf>
    <xf numFmtId="191" fontId="55" fillId="0" borderId="0" xfId="0" applyNumberFormat="1" applyFont="1"/>
    <xf numFmtId="192" fontId="58" fillId="0" borderId="85" xfId="0" applyNumberFormat="1" applyFont="1" applyBorder="1" applyAlignment="1">
      <alignment horizontal="center" wrapText="1"/>
    </xf>
    <xf numFmtId="0" fontId="57" fillId="0" borderId="87" xfId="0" applyFont="1" applyBorder="1" applyAlignment="1">
      <alignment vertical="top" wrapText="1"/>
    </xf>
    <xf numFmtId="3" fontId="57" fillId="0" borderId="87" xfId="0" applyNumberFormat="1" applyFont="1" applyBorder="1" applyAlignment="1">
      <alignment horizontal="center" wrapText="1"/>
    </xf>
    <xf numFmtId="0" fontId="57" fillId="0" borderId="87" xfId="0" applyFont="1" applyBorder="1" applyAlignment="1">
      <alignment horizontal="center" wrapText="1"/>
    </xf>
    <xf numFmtId="4" fontId="57" fillId="0" borderId="87" xfId="6" applyNumberFormat="1" applyFont="1" applyBorder="1" applyAlignment="1">
      <alignment wrapText="1"/>
    </xf>
    <xf numFmtId="4" fontId="57" fillId="0" borderId="87" xfId="0" applyNumberFormat="1" applyFont="1" applyBorder="1" applyAlignment="1">
      <alignment horizontal="center" wrapText="1"/>
    </xf>
    <xf numFmtId="4" fontId="0" fillId="0" borderId="0" xfId="0" applyNumberFormat="1"/>
    <xf numFmtId="191" fontId="56" fillId="0" borderId="0" xfId="0" applyNumberFormat="1" applyFont="1"/>
    <xf numFmtId="168" fontId="49" fillId="0" borderId="0" xfId="1" applyNumberFormat="1" applyFont="1"/>
    <xf numFmtId="0" fontId="0" fillId="18" borderId="0" xfId="0" applyFill="1"/>
    <xf numFmtId="168" fontId="0" fillId="0" borderId="46" xfId="1" applyNumberFormat="1" applyFont="1" applyBorder="1"/>
    <xf numFmtId="168" fontId="49" fillId="0" borderId="49" xfId="0" applyNumberFormat="1" applyFont="1" applyBorder="1"/>
    <xf numFmtId="168" fontId="49" fillId="0" borderId="82" xfId="0" applyNumberFormat="1" applyFont="1" applyBorder="1"/>
    <xf numFmtId="165" fontId="49" fillId="0" borderId="4" xfId="0" applyNumberFormat="1" applyFont="1" applyBorder="1"/>
    <xf numFmtId="0" fontId="51" fillId="0" borderId="53" xfId="0" applyFont="1" applyBorder="1" applyAlignment="1">
      <alignment horizontal="center"/>
    </xf>
    <xf numFmtId="168" fontId="0" fillId="0" borderId="63" xfId="1" applyNumberFormat="1" applyFont="1" applyBorder="1"/>
    <xf numFmtId="0" fontId="0" fillId="0" borderId="88" xfId="0" applyBorder="1"/>
    <xf numFmtId="0" fontId="49" fillId="0" borderId="40" xfId="0" applyFont="1" applyBorder="1"/>
    <xf numFmtId="168" fontId="0" fillId="0" borderId="5" xfId="1" applyNumberFormat="1" applyFont="1" applyBorder="1"/>
    <xf numFmtId="168" fontId="0" fillId="0" borderId="5" xfId="0" applyNumberFormat="1" applyBorder="1"/>
    <xf numFmtId="168" fontId="0" fillId="0" borderId="47" xfId="1" applyNumberFormat="1" applyFont="1" applyBorder="1"/>
    <xf numFmtId="168" fontId="0" fillId="0" borderId="90" xfId="1" applyNumberFormat="1" applyFont="1" applyBorder="1"/>
    <xf numFmtId="0" fontId="49" fillId="0" borderId="5" xfId="0" applyFont="1" applyBorder="1"/>
    <xf numFmtId="0" fontId="36" fillId="0" borderId="8" xfId="0" applyFont="1" applyBorder="1" applyAlignment="1">
      <alignment horizontal="center"/>
    </xf>
    <xf numFmtId="0" fontId="36" fillId="0" borderId="4" xfId="0" applyFont="1" applyBorder="1" applyAlignment="1">
      <alignment horizontal="center"/>
    </xf>
    <xf numFmtId="0" fontId="50" fillId="0" borderId="6" xfId="0" applyFont="1" applyBorder="1" applyAlignment="1">
      <alignment horizontal="center"/>
    </xf>
    <xf numFmtId="168" fontId="0" fillId="0" borderId="9" xfId="1" applyNumberFormat="1" applyFont="1" applyBorder="1"/>
    <xf numFmtId="168" fontId="0" fillId="0" borderId="89" xfId="1" applyNumberFormat="1" applyFont="1" applyBorder="1"/>
    <xf numFmtId="0" fontId="0" fillId="0" borderId="77" xfId="0" applyBorder="1"/>
    <xf numFmtId="168" fontId="0" fillId="0" borderId="71" xfId="0" applyNumberFormat="1" applyBorder="1"/>
    <xf numFmtId="0" fontId="51" fillId="0" borderId="67" xfId="0" applyFont="1" applyBorder="1" applyAlignment="1">
      <alignment horizontal="center"/>
    </xf>
    <xf numFmtId="0" fontId="0" fillId="0" borderId="38" xfId="0" applyBorder="1"/>
    <xf numFmtId="0" fontId="54" fillId="0" borderId="39" xfId="0" applyFont="1" applyBorder="1"/>
    <xf numFmtId="16" fontId="54" fillId="0" borderId="92" xfId="0" applyNumberFormat="1" applyFont="1" applyBorder="1"/>
    <xf numFmtId="0" fontId="54" fillId="0" borderId="35" xfId="0" applyFont="1" applyBorder="1"/>
    <xf numFmtId="168" fontId="0" fillId="0" borderId="53" xfId="1" applyNumberFormat="1" applyFont="1" applyBorder="1"/>
    <xf numFmtId="168" fontId="0" fillId="0" borderId="54" xfId="1" applyNumberFormat="1" applyFont="1" applyBorder="1"/>
    <xf numFmtId="16" fontId="54" fillId="0" borderId="91" xfId="0" applyNumberFormat="1" applyFont="1" applyBorder="1"/>
    <xf numFmtId="0" fontId="51" fillId="0" borderId="49" xfId="0" applyFont="1" applyBorder="1" applyAlignment="1">
      <alignment horizontal="center"/>
    </xf>
    <xf numFmtId="16" fontId="30" fillId="0" borderId="0" xfId="0" applyNumberFormat="1" applyFont="1" applyBorder="1"/>
    <xf numFmtId="168" fontId="27" fillId="13" borderId="74" xfId="2" applyNumberFormat="1" applyFont="1" applyFill="1" applyBorder="1" applyAlignment="1">
      <alignment horizontal="left"/>
    </xf>
    <xf numFmtId="168" fontId="27" fillId="13" borderId="58" xfId="1" applyNumberFormat="1" applyFont="1" applyFill="1" applyBorder="1" applyAlignment="1">
      <alignment horizontal="left"/>
    </xf>
    <xf numFmtId="0" fontId="2" fillId="3" borderId="46" xfId="0" applyFont="1" applyFill="1" applyBorder="1"/>
    <xf numFmtId="0" fontId="2" fillId="3" borderId="36" xfId="0" applyFont="1" applyFill="1" applyBorder="1"/>
    <xf numFmtId="0" fontId="2" fillId="3" borderId="54" xfId="0" applyFont="1" applyFill="1" applyBorder="1"/>
    <xf numFmtId="165" fontId="2" fillId="3" borderId="45" xfId="1" applyFont="1" applyFill="1" applyBorder="1"/>
    <xf numFmtId="165" fontId="2" fillId="3" borderId="46" xfId="1" applyFont="1" applyFill="1" applyBorder="1"/>
    <xf numFmtId="165" fontId="2" fillId="3" borderId="48" xfId="1" applyFont="1" applyFill="1" applyBorder="1"/>
    <xf numFmtId="165" fontId="2" fillId="3" borderId="88" xfId="1" applyFont="1" applyFill="1" applyBorder="1"/>
    <xf numFmtId="165" fontId="2" fillId="3" borderId="47" xfId="1" applyFont="1" applyFill="1" applyBorder="1"/>
    <xf numFmtId="0" fontId="6" fillId="3" borderId="9" xfId="0" applyFont="1" applyFill="1" applyBorder="1"/>
    <xf numFmtId="0" fontId="2" fillId="3" borderId="0" xfId="0" applyFont="1" applyFill="1" applyBorder="1" applyAlignment="1">
      <alignment horizontal="center"/>
    </xf>
    <xf numFmtId="168" fontId="2" fillId="3" borderId="0" xfId="0" applyNumberFormat="1" applyFont="1" applyFill="1" applyBorder="1"/>
    <xf numFmtId="0" fontId="4" fillId="5" borderId="36" xfId="0" applyFont="1" applyFill="1" applyBorder="1"/>
    <xf numFmtId="0" fontId="2" fillId="3" borderId="53" xfId="0" applyFont="1" applyFill="1" applyBorder="1"/>
    <xf numFmtId="168" fontId="4" fillId="5" borderId="54" xfId="0" applyNumberFormat="1" applyFont="1" applyFill="1" applyBorder="1"/>
    <xf numFmtId="0" fontId="2" fillId="3" borderId="0" xfId="0" quotePrefix="1" applyFont="1" applyFill="1" applyBorder="1" applyAlignment="1">
      <alignment horizontal="center"/>
    </xf>
    <xf numFmtId="0" fontId="2" fillId="13" borderId="10" xfId="0" applyFont="1" applyFill="1" applyBorder="1"/>
    <xf numFmtId="0" fontId="2" fillId="13" borderId="10" xfId="0" applyFont="1" applyFill="1" applyBorder="1" applyAlignment="1">
      <alignment horizontal="center"/>
    </xf>
    <xf numFmtId="168" fontId="2" fillId="13" borderId="10" xfId="0" applyNumberFormat="1" applyFont="1" applyFill="1" applyBorder="1"/>
    <xf numFmtId="0" fontId="60" fillId="3" borderId="0" xfId="0" applyFont="1" applyFill="1"/>
    <xf numFmtId="168" fontId="2" fillId="3" borderId="60" xfId="0" applyNumberFormat="1" applyFont="1" applyFill="1" applyBorder="1"/>
    <xf numFmtId="0" fontId="61" fillId="3" borderId="0" xfId="0" applyFont="1" applyFill="1"/>
    <xf numFmtId="165" fontId="2" fillId="3" borderId="60" xfId="1" applyFont="1" applyFill="1" applyBorder="1"/>
    <xf numFmtId="0" fontId="2" fillId="0" borderId="0" xfId="0" applyFont="1" applyFill="1"/>
    <xf numFmtId="0" fontId="3" fillId="0" borderId="0" xfId="0" applyFont="1" applyFill="1"/>
    <xf numFmtId="9" fontId="2" fillId="3" borderId="0" xfId="0" applyNumberFormat="1" applyFont="1" applyFill="1" applyBorder="1"/>
    <xf numFmtId="0" fontId="0" fillId="19" borderId="45" xfId="0" applyFill="1" applyBorder="1"/>
    <xf numFmtId="168" fontId="0" fillId="19" borderId="9" xfId="1" applyNumberFormat="1" applyFont="1" applyFill="1" applyBorder="1"/>
    <xf numFmtId="168" fontId="0" fillId="19" borderId="89" xfId="1" applyNumberFormat="1" applyFont="1" applyFill="1" applyBorder="1"/>
    <xf numFmtId="0" fontId="0" fillId="19" borderId="40" xfId="0" applyFill="1" applyBorder="1"/>
    <xf numFmtId="168" fontId="0" fillId="19" borderId="5" xfId="1" applyNumberFormat="1" applyFont="1" applyFill="1" applyBorder="1"/>
    <xf numFmtId="168" fontId="0" fillId="19" borderId="4" xfId="1" applyNumberFormat="1" applyFont="1" applyFill="1" applyBorder="1"/>
    <xf numFmtId="168" fontId="27" fillId="0" borderId="0" xfId="0" applyNumberFormat="1" applyFont="1"/>
    <xf numFmtId="0" fontId="11" fillId="19" borderId="45" xfId="0" applyFont="1" applyFill="1" applyBorder="1"/>
    <xf numFmtId="0" fontId="11" fillId="19" borderId="46" xfId="0" applyFont="1" applyFill="1" applyBorder="1" applyAlignment="1">
      <alignment horizontal="right"/>
    </xf>
    <xf numFmtId="0" fontId="2" fillId="19" borderId="45" xfId="0" applyFont="1" applyFill="1" applyBorder="1"/>
    <xf numFmtId="165" fontId="3" fillId="19" borderId="0" xfId="1" applyFont="1" applyFill="1" applyBorder="1"/>
    <xf numFmtId="165" fontId="3" fillId="19" borderId="46" xfId="1" applyFont="1" applyFill="1" applyBorder="1"/>
    <xf numFmtId="166" fontId="2" fillId="19" borderId="46" xfId="0" applyNumberFormat="1" applyFont="1" applyFill="1" applyBorder="1"/>
    <xf numFmtId="0" fontId="27" fillId="0" borderId="0" xfId="0" applyFont="1" applyFill="1"/>
    <xf numFmtId="0" fontId="28" fillId="0" borderId="0" xfId="0" applyFont="1" applyFill="1" applyAlignment="1">
      <alignment horizontal="center"/>
    </xf>
    <xf numFmtId="0" fontId="29" fillId="0" borderId="0" xfId="0" applyFont="1" applyFill="1" applyAlignment="1">
      <alignment horizontal="center"/>
    </xf>
    <xf numFmtId="9" fontId="27" fillId="0" borderId="55" xfId="2" applyFont="1" applyFill="1" applyBorder="1" applyAlignment="1">
      <alignment horizontal="right"/>
    </xf>
    <xf numFmtId="0" fontId="62" fillId="0" borderId="0" xfId="7"/>
    <xf numFmtId="168" fontId="0" fillId="0" borderId="0" xfId="8" applyNumberFormat="1" applyFont="1"/>
    <xf numFmtId="168" fontId="62" fillId="0" borderId="0" xfId="7" applyNumberFormat="1"/>
    <xf numFmtId="0" fontId="64" fillId="0" borderId="45" xfId="7" applyFont="1" applyBorder="1" applyAlignment="1">
      <alignment horizontal="left" indent="2"/>
    </xf>
    <xf numFmtId="0" fontId="62" fillId="0" borderId="45" xfId="7" applyBorder="1" applyAlignment="1">
      <alignment horizontal="left" indent="2"/>
    </xf>
    <xf numFmtId="168" fontId="0" fillId="0" borderId="89" xfId="8" applyNumberFormat="1" applyFont="1" applyBorder="1"/>
    <xf numFmtId="168" fontId="0" fillId="0" borderId="97" xfId="8" applyNumberFormat="1" applyFont="1" applyBorder="1"/>
    <xf numFmtId="0" fontId="49" fillId="0" borderId="45" xfId="7" applyFont="1" applyBorder="1"/>
    <xf numFmtId="0" fontId="62" fillId="0" borderId="99" xfId="7" applyBorder="1" applyAlignment="1">
      <alignment horizontal="left" indent="2"/>
    </xf>
    <xf numFmtId="168" fontId="0" fillId="0" borderId="100" xfId="8" applyNumberFormat="1" applyFont="1" applyBorder="1"/>
    <xf numFmtId="168" fontId="0" fillId="0" borderId="101" xfId="8" applyNumberFormat="1" applyFont="1" applyBorder="1"/>
    <xf numFmtId="168" fontId="0" fillId="0" borderId="82" xfId="8" applyNumberFormat="1" applyFont="1" applyBorder="1"/>
    <xf numFmtId="0" fontId="62" fillId="0" borderId="102" xfId="7" applyBorder="1"/>
    <xf numFmtId="0" fontId="62" fillId="0" borderId="103" xfId="7" applyBorder="1" applyAlignment="1">
      <alignment horizontal="right"/>
    </xf>
    <xf numFmtId="175" fontId="62" fillId="0" borderId="65" xfId="7" applyNumberFormat="1" applyBorder="1"/>
    <xf numFmtId="9" fontId="62" fillId="0" borderId="63" xfId="7" applyNumberFormat="1" applyBorder="1"/>
    <xf numFmtId="168" fontId="62" fillId="0" borderId="73" xfId="7" applyNumberFormat="1" applyBorder="1"/>
    <xf numFmtId="175" fontId="62" fillId="0" borderId="70" xfId="7" applyNumberFormat="1" applyBorder="1"/>
    <xf numFmtId="165" fontId="0" fillId="0" borderId="89" xfId="8" applyNumberFormat="1" applyFont="1" applyBorder="1"/>
    <xf numFmtId="168" fontId="0" fillId="0" borderId="38" xfId="8" applyNumberFormat="1" applyFont="1" applyBorder="1"/>
    <xf numFmtId="168" fontId="0" fillId="0" borderId="93" xfId="8" applyNumberFormat="1" applyFont="1" applyBorder="1"/>
    <xf numFmtId="0" fontId="62" fillId="0" borderId="93" xfId="7" applyBorder="1"/>
    <xf numFmtId="168" fontId="0" fillId="0" borderId="45" xfId="8" applyNumberFormat="1" applyFont="1" applyBorder="1"/>
    <xf numFmtId="168" fontId="62" fillId="0" borderId="93" xfId="7" applyNumberFormat="1" applyBorder="1"/>
    <xf numFmtId="0" fontId="62" fillId="0" borderId="36" xfId="7" applyBorder="1"/>
    <xf numFmtId="0" fontId="62" fillId="0" borderId="54" xfId="7" applyBorder="1"/>
    <xf numFmtId="168" fontId="62" fillId="0" borderId="82" xfId="7" applyNumberFormat="1" applyBorder="1"/>
    <xf numFmtId="0" fontId="62" fillId="0" borderId="37" xfId="7" applyBorder="1"/>
    <xf numFmtId="0" fontId="67" fillId="0" borderId="53" xfId="7" applyFont="1" applyBorder="1"/>
    <xf numFmtId="168" fontId="67" fillId="0" borderId="72" xfId="7" applyNumberFormat="1" applyFont="1" applyBorder="1"/>
    <xf numFmtId="168" fontId="67" fillId="0" borderId="63" xfId="7" applyNumberFormat="1" applyFont="1" applyBorder="1"/>
    <xf numFmtId="0" fontId="68" fillId="0" borderId="72" xfId="7" applyFont="1" applyBorder="1"/>
    <xf numFmtId="0" fontId="67" fillId="0" borderId="63" xfId="7" applyFont="1" applyBorder="1"/>
    <xf numFmtId="0" fontId="67" fillId="0" borderId="73" xfId="7" applyFont="1" applyBorder="1" applyAlignment="1">
      <alignment horizontal="right"/>
    </xf>
    <xf numFmtId="175" fontId="67" fillId="0" borderId="68" xfId="7" applyNumberFormat="1" applyFont="1" applyBorder="1"/>
    <xf numFmtId="9" fontId="67" fillId="0" borderId="4" xfId="7" applyNumberFormat="1" applyFont="1" applyBorder="1"/>
    <xf numFmtId="168" fontId="67" fillId="0" borderId="69" xfId="7" applyNumberFormat="1" applyFont="1" applyBorder="1"/>
    <xf numFmtId="9" fontId="54" fillId="0" borderId="4" xfId="9" applyFont="1" applyBorder="1"/>
    <xf numFmtId="0" fontId="67" fillId="0" borderId="4" xfId="7" applyFont="1" applyBorder="1"/>
    <xf numFmtId="0" fontId="67" fillId="0" borderId="68" xfId="7" applyFont="1" applyBorder="1"/>
    <xf numFmtId="0" fontId="67" fillId="0" borderId="107" xfId="7" applyFont="1" applyBorder="1"/>
    <xf numFmtId="0" fontId="67" fillId="0" borderId="25" xfId="7" applyFont="1" applyBorder="1"/>
    <xf numFmtId="168" fontId="67" fillId="0" borderId="98" xfId="7" applyNumberFormat="1" applyFont="1" applyBorder="1"/>
    <xf numFmtId="0" fontId="54" fillId="0" borderId="70" xfId="7" applyFont="1" applyBorder="1" applyAlignment="1">
      <alignment horizontal="left"/>
    </xf>
    <xf numFmtId="168" fontId="67" fillId="0" borderId="54" xfId="7" applyNumberFormat="1" applyFont="1" applyBorder="1"/>
    <xf numFmtId="0" fontId="67" fillId="0" borderId="0" xfId="7" applyFont="1"/>
    <xf numFmtId="0" fontId="68" fillId="0" borderId="65" xfId="7" applyFont="1" applyBorder="1"/>
    <xf numFmtId="0" fontId="67" fillId="0" borderId="66" xfId="7" applyFont="1" applyBorder="1"/>
    <xf numFmtId="0" fontId="67" fillId="0" borderId="67" xfId="7" applyFont="1" applyBorder="1" applyAlignment="1">
      <alignment horizontal="right"/>
    </xf>
    <xf numFmtId="0" fontId="54" fillId="0" borderId="65" xfId="7" applyFont="1" applyBorder="1"/>
    <xf numFmtId="0" fontId="54" fillId="0" borderId="66" xfId="7" applyFont="1" applyBorder="1"/>
    <xf numFmtId="0" fontId="54" fillId="0" borderId="67" xfId="7" applyFont="1" applyBorder="1" applyAlignment="1">
      <alignment horizontal="right"/>
    </xf>
    <xf numFmtId="175" fontId="54" fillId="0" borderId="68" xfId="7" applyNumberFormat="1" applyFont="1" applyBorder="1"/>
    <xf numFmtId="9" fontId="54" fillId="0" borderId="4" xfId="7" applyNumberFormat="1" applyFont="1" applyBorder="1"/>
    <xf numFmtId="168" fontId="54" fillId="0" borderId="69" xfId="7" applyNumberFormat="1" applyFont="1" applyBorder="1"/>
    <xf numFmtId="0" fontId="54" fillId="0" borderId="4" xfId="7" applyFont="1" applyBorder="1"/>
    <xf numFmtId="0" fontId="54" fillId="0" borderId="68" xfId="7" applyFont="1" applyBorder="1"/>
    <xf numFmtId="0" fontId="54" fillId="0" borderId="107" xfId="7" applyFont="1" applyBorder="1"/>
    <xf numFmtId="0" fontId="54" fillId="0" borderId="25" xfId="7" applyFont="1" applyBorder="1"/>
    <xf numFmtId="0" fontId="54" fillId="0" borderId="36" xfId="7" applyFont="1" applyBorder="1"/>
    <xf numFmtId="0" fontId="54" fillId="0" borderId="53" xfId="7" applyFont="1" applyBorder="1"/>
    <xf numFmtId="168" fontId="54" fillId="0" borderId="54" xfId="7" applyNumberFormat="1" applyFont="1" applyBorder="1"/>
    <xf numFmtId="0" fontId="63" fillId="0" borderId="45" xfId="7" applyFont="1" applyBorder="1" applyAlignment="1">
      <alignment horizontal="left" indent="2"/>
    </xf>
    <xf numFmtId="168" fontId="0" fillId="0" borderId="37" xfId="8" applyNumberFormat="1" applyFont="1" applyBorder="1"/>
    <xf numFmtId="168" fontId="0" fillId="0" borderId="41" xfId="8" applyNumberFormat="1" applyFont="1" applyBorder="1"/>
    <xf numFmtId="0" fontId="62" fillId="0" borderId="93" xfId="7" applyBorder="1" applyAlignment="1">
      <alignment horizontal="left" indent="2"/>
    </xf>
    <xf numFmtId="0" fontId="62" fillId="0" borderId="41" xfId="7" applyBorder="1"/>
    <xf numFmtId="0" fontId="62" fillId="0" borderId="64" xfId="7" applyBorder="1"/>
    <xf numFmtId="0" fontId="62" fillId="0" borderId="111" xfId="7" applyBorder="1" applyAlignment="1">
      <alignment horizontal="left" indent="2"/>
    </xf>
    <xf numFmtId="0" fontId="62" fillId="0" borderId="112" xfId="7" applyBorder="1"/>
    <xf numFmtId="168" fontId="62" fillId="0" borderId="113" xfId="7" applyNumberFormat="1" applyBorder="1"/>
    <xf numFmtId="168" fontId="62" fillId="0" borderId="53" xfId="7" applyNumberFormat="1" applyBorder="1"/>
    <xf numFmtId="9" fontId="0" fillId="0" borderId="71" xfId="9" applyFont="1" applyBorder="1"/>
    <xf numFmtId="168" fontId="62" fillId="0" borderId="73" xfId="1" applyNumberFormat="1" applyFont="1" applyBorder="1"/>
    <xf numFmtId="195" fontId="70" fillId="5" borderId="65" xfId="0" applyNumberFormat="1" applyFont="1" applyFill="1" applyBorder="1" applyProtection="1">
      <protection locked="0"/>
    </xf>
    <xf numFmtId="0" fontId="62" fillId="5" borderId="68" xfId="7" applyFill="1" applyBorder="1"/>
    <xf numFmtId="168" fontId="62" fillId="5" borderId="69" xfId="1" applyNumberFormat="1" applyFont="1" applyFill="1" applyBorder="1"/>
    <xf numFmtId="0" fontId="62" fillId="5" borderId="70" xfId="7" applyFill="1" applyBorder="1"/>
    <xf numFmtId="168" fontId="62" fillId="5" borderId="82" xfId="1" applyNumberFormat="1" applyFont="1" applyFill="1" applyBorder="1"/>
    <xf numFmtId="195" fontId="71" fillId="13" borderId="114" xfId="0" applyNumberFormat="1" applyFont="1" applyFill="1" applyBorder="1" applyProtection="1">
      <protection locked="0"/>
    </xf>
    <xf numFmtId="0" fontId="65" fillId="0" borderId="48" xfId="7" applyFont="1" applyBorder="1" applyAlignment="1">
      <alignment horizontal="center" vertical="center"/>
    </xf>
    <xf numFmtId="0" fontId="67" fillId="0" borderId="48" xfId="7" applyFont="1" applyBorder="1"/>
    <xf numFmtId="193" fontId="66" fillId="20" borderId="44" xfId="0" applyNumberFormat="1" applyFont="1" applyFill="1" applyBorder="1" applyProtection="1">
      <protection locked="0"/>
    </xf>
    <xf numFmtId="194" fontId="66" fillId="20" borderId="109" xfId="0" applyNumberFormat="1" applyFont="1" applyFill="1" applyBorder="1" applyProtection="1">
      <protection locked="0"/>
    </xf>
    <xf numFmtId="0" fontId="18" fillId="0" borderId="65" xfId="0" applyFont="1" applyBorder="1"/>
    <xf numFmtId="0" fontId="18" fillId="0" borderId="68" xfId="0" applyFont="1" applyBorder="1"/>
    <xf numFmtId="0" fontId="18" fillId="0" borderId="53" xfId="7" applyFont="1" applyBorder="1" applyAlignment="1">
      <alignment horizontal="center"/>
    </xf>
    <xf numFmtId="0" fontId="65" fillId="0" borderId="35" xfId="7" applyFont="1" applyBorder="1" applyAlignment="1">
      <alignment horizontal="center"/>
    </xf>
    <xf numFmtId="0" fontId="18" fillId="0" borderId="35" xfId="7" applyFont="1" applyBorder="1" applyAlignment="1">
      <alignment horizontal="center"/>
    </xf>
    <xf numFmtId="0" fontId="65" fillId="0" borderId="70" xfId="7" applyFont="1" applyBorder="1" applyAlignment="1">
      <alignment horizontal="center"/>
    </xf>
    <xf numFmtId="0" fontId="65" fillId="0" borderId="82" xfId="7" applyFont="1" applyBorder="1" applyAlignment="1">
      <alignment horizontal="center"/>
    </xf>
    <xf numFmtId="0" fontId="54" fillId="0" borderId="35" xfId="7" applyFont="1" applyBorder="1" applyAlignment="1">
      <alignment horizontal="center" vertical="center"/>
    </xf>
    <xf numFmtId="168" fontId="67" fillId="0" borderId="0" xfId="1" applyNumberFormat="1" applyFont="1"/>
    <xf numFmtId="0" fontId="54" fillId="0" borderId="0" xfId="7" applyFont="1"/>
    <xf numFmtId="193" fontId="72" fillId="0" borderId="0" xfId="0" applyNumberFormat="1" applyFont="1" applyFill="1" applyBorder="1" applyProtection="1">
      <protection locked="0"/>
    </xf>
    <xf numFmtId="194" fontId="72" fillId="0" borderId="0" xfId="0" applyNumberFormat="1" applyFont="1" applyFill="1" applyBorder="1" applyProtection="1">
      <protection locked="0"/>
    </xf>
    <xf numFmtId="193" fontId="72" fillId="0" borderId="0" xfId="0" applyNumberFormat="1" applyFont="1" applyFill="1" applyBorder="1" applyAlignment="1" applyProtection="1">
      <alignment horizontal="right"/>
      <protection locked="0"/>
    </xf>
    <xf numFmtId="0" fontId="54" fillId="0" borderId="0" xfId="7" applyFont="1" applyAlignment="1">
      <alignment horizontal="center"/>
    </xf>
    <xf numFmtId="0" fontId="67" fillId="0" borderId="93" xfId="7" applyFont="1" applyFill="1" applyBorder="1"/>
    <xf numFmtId="0" fontId="73" fillId="9" borderId="36" xfId="7" applyFont="1" applyFill="1" applyBorder="1"/>
    <xf numFmtId="0" fontId="73" fillId="9" borderId="53" xfId="7" applyFont="1" applyFill="1" applyBorder="1"/>
    <xf numFmtId="168" fontId="73" fillId="9" borderId="54" xfId="1" applyNumberFormat="1" applyFont="1" applyFill="1" applyBorder="1"/>
    <xf numFmtId="0" fontId="67" fillId="2" borderId="5" xfId="7" applyFont="1" applyFill="1" applyBorder="1"/>
    <xf numFmtId="0" fontId="67" fillId="2" borderId="8" xfId="7" applyFont="1" applyFill="1" applyBorder="1"/>
    <xf numFmtId="0" fontId="67" fillId="2" borderId="6" xfId="7" applyFont="1" applyFill="1" applyBorder="1" applyAlignment="1">
      <alignment horizontal="center"/>
    </xf>
    <xf numFmtId="0" fontId="65" fillId="0" borderId="53" xfId="7" applyFont="1" applyBorder="1" applyAlignment="1">
      <alignment horizontal="center"/>
    </xf>
    <xf numFmtId="168" fontId="54" fillId="0" borderId="54" xfId="8" applyNumberFormat="1" applyFont="1" applyBorder="1"/>
    <xf numFmtId="168" fontId="54" fillId="0" borderId="0" xfId="8" applyNumberFormat="1" applyFont="1" applyBorder="1"/>
    <xf numFmtId="168" fontId="54" fillId="0" borderId="110" xfId="7" applyNumberFormat="1" applyFont="1" applyBorder="1"/>
    <xf numFmtId="168" fontId="54" fillId="0" borderId="89" xfId="7" applyNumberFormat="1" applyFont="1" applyBorder="1"/>
    <xf numFmtId="168" fontId="54" fillId="0" borderId="97" xfId="1" applyNumberFormat="1" applyFont="1" applyBorder="1"/>
    <xf numFmtId="168" fontId="67" fillId="0" borderId="35" xfId="7" applyNumberFormat="1" applyFont="1" applyBorder="1"/>
    <xf numFmtId="168" fontId="67" fillId="0" borderId="93" xfId="7" applyNumberFormat="1" applyFont="1" applyBorder="1"/>
    <xf numFmtId="0" fontId="73" fillId="2" borderId="66" xfId="7" applyFont="1" applyFill="1" applyBorder="1"/>
    <xf numFmtId="168" fontId="73" fillId="2" borderId="67" xfId="1" applyNumberFormat="1" applyFont="1" applyFill="1" applyBorder="1" applyAlignment="1">
      <alignment horizontal="right"/>
    </xf>
    <xf numFmtId="168" fontId="67" fillId="0" borderId="0" xfId="7" applyNumberFormat="1" applyFont="1" applyBorder="1"/>
    <xf numFmtId="0" fontId="65" fillId="0" borderId="105" xfId="7" applyFont="1" applyBorder="1" applyAlignment="1">
      <alignment horizontal="center"/>
    </xf>
    <xf numFmtId="0" fontId="65" fillId="0" borderId="54" xfId="7" applyFont="1" applyBorder="1" applyAlignment="1">
      <alignment horizontal="center"/>
    </xf>
    <xf numFmtId="0" fontId="65" fillId="0" borderId="37" xfId="7" applyFont="1" applyBorder="1"/>
    <xf numFmtId="168" fontId="54" fillId="0" borderId="37" xfId="8" applyNumberFormat="1" applyFont="1" applyBorder="1" applyAlignment="1">
      <alignment horizontal="center"/>
    </xf>
    <xf numFmtId="168" fontId="54" fillId="0" borderId="51" xfId="8" applyNumberFormat="1" applyFont="1" applyBorder="1" applyAlignment="1">
      <alignment horizontal="center"/>
    </xf>
    <xf numFmtId="168" fontId="54" fillId="0" borderId="5" xfId="7" applyNumberFormat="1" applyFont="1" applyBorder="1"/>
    <xf numFmtId="168" fontId="67" fillId="0" borderId="69" xfId="1" applyNumberFormat="1" applyFont="1" applyFill="1" applyBorder="1"/>
    <xf numFmtId="0" fontId="74" fillId="0" borderId="45" xfId="7" applyFont="1" applyBorder="1" applyAlignment="1">
      <alignment horizontal="left" indent="2"/>
    </xf>
    <xf numFmtId="168" fontId="54" fillId="0" borderId="89" xfId="8" applyNumberFormat="1" applyFont="1" applyBorder="1"/>
    <xf numFmtId="168" fontId="54" fillId="0" borderId="97" xfId="8" applyNumberFormat="1" applyFont="1" applyBorder="1"/>
    <xf numFmtId="168" fontId="54" fillId="0" borderId="93" xfId="8" applyNumberFormat="1" applyFont="1" applyBorder="1"/>
    <xf numFmtId="168" fontId="54" fillId="0" borderId="52" xfId="8" applyNumberFormat="1" applyFont="1" applyBorder="1"/>
    <xf numFmtId="0" fontId="36" fillId="0" borderId="45" xfId="7" applyFont="1" applyBorder="1" applyAlignment="1">
      <alignment horizontal="left"/>
    </xf>
    <xf numFmtId="168" fontId="54" fillId="0" borderId="45" xfId="8" applyNumberFormat="1" applyFont="1" applyBorder="1"/>
    <xf numFmtId="168" fontId="67" fillId="0" borderId="0" xfId="1" applyNumberFormat="1" applyFont="1" applyFill="1" applyBorder="1"/>
    <xf numFmtId="0" fontId="67" fillId="0" borderId="0" xfId="7" applyFont="1" applyBorder="1"/>
    <xf numFmtId="168" fontId="67" fillId="0" borderId="0" xfId="7" applyNumberFormat="1" applyFont="1"/>
    <xf numFmtId="0" fontId="54" fillId="0" borderId="45" xfId="7" applyFont="1" applyBorder="1" applyAlignment="1">
      <alignment horizontal="left"/>
    </xf>
    <xf numFmtId="168" fontId="54" fillId="0" borderId="45" xfId="1" applyNumberFormat="1" applyFont="1" applyBorder="1" applyAlignment="1">
      <alignment horizontal="center" vertical="center"/>
    </xf>
    <xf numFmtId="168" fontId="54" fillId="0" borderId="0" xfId="1" applyNumberFormat="1" applyFont="1" applyBorder="1" applyAlignment="1">
      <alignment horizontal="center" vertical="center" wrapText="1"/>
    </xf>
    <xf numFmtId="168" fontId="54" fillId="0" borderId="93" xfId="0" applyNumberFormat="1" applyFont="1" applyBorder="1" applyAlignment="1">
      <alignment vertical="center" wrapText="1"/>
    </xf>
    <xf numFmtId="168" fontId="54" fillId="0" borderId="9" xfId="7" applyNumberFormat="1" applyFont="1" applyBorder="1"/>
    <xf numFmtId="168" fontId="67" fillId="0" borderId="98" xfId="1" applyNumberFormat="1" applyFont="1" applyFill="1" applyBorder="1"/>
    <xf numFmtId="168" fontId="67" fillId="0" borderId="103" xfId="1" applyNumberFormat="1" applyFont="1" applyFill="1" applyBorder="1"/>
    <xf numFmtId="0" fontId="54" fillId="0" borderId="0" xfId="7" applyFont="1" applyBorder="1"/>
    <xf numFmtId="168" fontId="54" fillId="0" borderId="46" xfId="1" applyNumberFormat="1" applyFont="1" applyBorder="1"/>
    <xf numFmtId="168" fontId="54" fillId="0" borderId="0" xfId="1" applyNumberFormat="1" applyFont="1" applyBorder="1"/>
    <xf numFmtId="0" fontId="73" fillId="2" borderId="65" xfId="7" applyFont="1" applyFill="1" applyBorder="1"/>
    <xf numFmtId="168" fontId="54" fillId="0" borderId="45" xfId="1" applyNumberFormat="1" applyFont="1" applyBorder="1" applyAlignment="1">
      <alignment vertical="top"/>
    </xf>
    <xf numFmtId="168" fontId="54" fillId="0" borderId="0" xfId="1" applyNumberFormat="1" applyFont="1" applyBorder="1" applyAlignment="1">
      <alignment vertical="top"/>
    </xf>
    <xf numFmtId="168" fontId="54" fillId="0" borderId="69" xfId="1" applyNumberFormat="1" applyFont="1" applyBorder="1"/>
    <xf numFmtId="0" fontId="54" fillId="0" borderId="94" xfId="7" applyFont="1" applyBorder="1" applyAlignment="1">
      <alignment horizontal="left"/>
    </xf>
    <xf numFmtId="168" fontId="65" fillId="0" borderId="10" xfId="1" applyNumberFormat="1" applyFont="1" applyBorder="1" applyAlignment="1">
      <alignment horizontal="center" vertical="center"/>
    </xf>
    <xf numFmtId="0" fontId="54" fillId="0" borderId="62" xfId="7" applyFont="1" applyBorder="1" applyAlignment="1">
      <alignment horizontal="left"/>
    </xf>
    <xf numFmtId="168" fontId="67" fillId="0" borderId="91" xfId="7" applyNumberFormat="1" applyFont="1" applyBorder="1"/>
    <xf numFmtId="168" fontId="67" fillId="0" borderId="39" xfId="7" applyNumberFormat="1" applyFont="1" applyBorder="1"/>
    <xf numFmtId="0" fontId="65" fillId="0" borderId="36" xfId="7" applyFont="1" applyBorder="1" applyAlignment="1">
      <alignment horizontal="left"/>
    </xf>
    <xf numFmtId="168" fontId="65" fillId="0" borderId="53" xfId="1" applyNumberFormat="1" applyFont="1" applyBorder="1" applyAlignment="1">
      <alignment horizontal="center" vertical="center" wrapText="1"/>
    </xf>
    <xf numFmtId="168" fontId="54" fillId="0" borderId="98" xfId="1" applyNumberFormat="1" applyFont="1" applyBorder="1"/>
    <xf numFmtId="0" fontId="65" fillId="0" borderId="68" xfId="7" applyFont="1" applyBorder="1" applyAlignment="1">
      <alignment horizontal="left"/>
    </xf>
    <xf numFmtId="168" fontId="67" fillId="0" borderId="4" xfId="7" applyNumberFormat="1" applyFont="1" applyBorder="1"/>
    <xf numFmtId="168" fontId="54" fillId="0" borderId="69" xfId="0" applyNumberFormat="1" applyFont="1" applyBorder="1" applyAlignment="1">
      <alignment vertical="center" wrapText="1"/>
    </xf>
    <xf numFmtId="0" fontId="54" fillId="0" borderId="36" xfId="7" applyFont="1" applyBorder="1" applyAlignment="1">
      <alignment horizontal="left"/>
    </xf>
    <xf numFmtId="168" fontId="54" fillId="0" borderId="103" xfId="1" applyNumberFormat="1" applyFont="1" applyBorder="1"/>
    <xf numFmtId="168" fontId="67" fillId="0" borderId="71" xfId="7" applyNumberFormat="1" applyFont="1" applyBorder="1"/>
    <xf numFmtId="168" fontId="54" fillId="0" borderId="82" xfId="0" applyNumberFormat="1" applyFont="1" applyBorder="1" applyAlignment="1">
      <alignment vertical="center" wrapText="1"/>
    </xf>
    <xf numFmtId="168" fontId="67" fillId="0" borderId="105" xfId="7" applyNumberFormat="1" applyFont="1" applyBorder="1"/>
    <xf numFmtId="0" fontId="54" fillId="0" borderId="45" xfId="7" applyFont="1" applyBorder="1" applyAlignment="1">
      <alignment horizontal="left" indent="2"/>
    </xf>
    <xf numFmtId="0" fontId="67" fillId="0" borderId="93" xfId="7" applyFont="1" applyBorder="1"/>
    <xf numFmtId="168" fontId="67" fillId="0" borderId="46" xfId="1" applyNumberFormat="1" applyFont="1" applyBorder="1"/>
    <xf numFmtId="168" fontId="67" fillId="0" borderId="0" xfId="1" applyNumberFormat="1" applyFont="1" applyBorder="1"/>
    <xf numFmtId="0" fontId="67" fillId="0" borderId="45" xfId="7" applyFont="1" applyBorder="1" applyAlignment="1">
      <alignment horizontal="left" indent="2"/>
    </xf>
    <xf numFmtId="168" fontId="73" fillId="0" borderId="0" xfId="1" applyNumberFormat="1" applyFont="1" applyFill="1" applyBorder="1" applyAlignment="1">
      <alignment horizontal="right"/>
    </xf>
    <xf numFmtId="0" fontId="67" fillId="0" borderId="36" xfId="7" applyFont="1" applyBorder="1" applyAlignment="1">
      <alignment horizontal="left" indent="2"/>
    </xf>
    <xf numFmtId="0" fontId="54" fillId="0" borderId="72" xfId="0" applyFont="1" applyBorder="1"/>
    <xf numFmtId="168" fontId="67" fillId="0" borderId="90" xfId="7" applyNumberFormat="1" applyFont="1" applyBorder="1"/>
    <xf numFmtId="168" fontId="67" fillId="0" borderId="92" xfId="7" applyNumberFormat="1" applyFont="1" applyBorder="1"/>
    <xf numFmtId="168" fontId="54" fillId="0" borderId="63" xfId="1" applyNumberFormat="1" applyFont="1" applyBorder="1"/>
    <xf numFmtId="168" fontId="54" fillId="0" borderId="63" xfId="8" applyNumberFormat="1" applyFont="1" applyBorder="1"/>
    <xf numFmtId="168" fontId="54" fillId="0" borderId="73" xfId="8" applyNumberFormat="1" applyFont="1" applyBorder="1"/>
    <xf numFmtId="0" fontId="54" fillId="0" borderId="68" xfId="0" applyFont="1" applyBorder="1"/>
    <xf numFmtId="168" fontId="67" fillId="0" borderId="5" xfId="7" applyNumberFormat="1" applyFont="1" applyBorder="1"/>
    <xf numFmtId="168" fontId="54" fillId="0" borderId="4" xfId="1" applyNumberFormat="1" applyFont="1" applyBorder="1"/>
    <xf numFmtId="168" fontId="54" fillId="0" borderId="4" xfId="8" applyNumberFormat="1" applyFont="1" applyBorder="1"/>
    <xf numFmtId="168" fontId="67" fillId="0" borderId="4" xfId="1" applyNumberFormat="1" applyFont="1" applyBorder="1"/>
    <xf numFmtId="16" fontId="54" fillId="0" borderId="68" xfId="0" applyNumberFormat="1" applyFont="1" applyBorder="1"/>
    <xf numFmtId="0" fontId="54" fillId="0" borderId="107" xfId="0" applyFont="1" applyBorder="1"/>
    <xf numFmtId="168" fontId="67" fillId="0" borderId="25" xfId="1" applyNumberFormat="1" applyFont="1" applyBorder="1"/>
    <xf numFmtId="168" fontId="67" fillId="0" borderId="25" xfId="7" applyNumberFormat="1" applyFont="1" applyBorder="1"/>
    <xf numFmtId="16" fontId="54" fillId="0" borderId="70" xfId="0" applyNumberFormat="1" applyFont="1" applyBorder="1"/>
    <xf numFmtId="168" fontId="67" fillId="0" borderId="77" xfId="7" applyNumberFormat="1" applyFont="1" applyBorder="1"/>
    <xf numFmtId="168" fontId="67" fillId="0" borderId="60" xfId="7" applyNumberFormat="1" applyFont="1" applyBorder="1"/>
    <xf numFmtId="168" fontId="54" fillId="0" borderId="82" xfId="1" applyNumberFormat="1" applyFont="1" applyBorder="1"/>
    <xf numFmtId="16" fontId="54" fillId="0" borderId="102" xfId="0" applyNumberFormat="1" applyFont="1" applyBorder="1"/>
    <xf numFmtId="168" fontId="67" fillId="0" borderId="108" xfId="7" applyNumberFormat="1" applyFont="1" applyBorder="1"/>
    <xf numFmtId="168" fontId="67" fillId="0" borderId="103" xfId="7" applyNumberFormat="1" applyFont="1" applyBorder="1"/>
    <xf numFmtId="0" fontId="54" fillId="0" borderId="91" xfId="0" applyFont="1" applyBorder="1"/>
    <xf numFmtId="0" fontId="26" fillId="2" borderId="65" xfId="7" applyFont="1" applyFill="1" applyBorder="1" applyAlignment="1">
      <alignment horizontal="left"/>
    </xf>
    <xf numFmtId="175" fontId="54" fillId="0" borderId="68" xfId="7" applyNumberFormat="1" applyFont="1" applyBorder="1" applyAlignment="1">
      <alignment horizontal="left"/>
    </xf>
    <xf numFmtId="0" fontId="54" fillId="0" borderId="68" xfId="7" applyFont="1" applyBorder="1" applyAlignment="1">
      <alignment horizontal="left"/>
    </xf>
    <xf numFmtId="0" fontId="54" fillId="0" borderId="107" xfId="7" applyFont="1" applyBorder="1" applyAlignment="1">
      <alignment horizontal="left"/>
    </xf>
    <xf numFmtId="0" fontId="54" fillId="0" borderId="116" xfId="7" applyFont="1" applyBorder="1"/>
    <xf numFmtId="0" fontId="54" fillId="0" borderId="37" xfId="7" applyFont="1" applyBorder="1" applyAlignment="1">
      <alignment horizontal="left"/>
    </xf>
    <xf numFmtId="168" fontId="65" fillId="0" borderId="51" xfId="1" applyNumberFormat="1" applyFont="1" applyBorder="1" applyAlignment="1">
      <alignment horizontal="center" vertical="center" wrapText="1"/>
    </xf>
    <xf numFmtId="168" fontId="67" fillId="0" borderId="38" xfId="7" applyNumberFormat="1" applyFont="1" applyBorder="1"/>
    <xf numFmtId="168" fontId="67" fillId="0" borderId="68" xfId="1" applyNumberFormat="1" applyFont="1" applyBorder="1"/>
    <xf numFmtId="168" fontId="67" fillId="0" borderId="69" xfId="1" applyNumberFormat="1" applyFont="1" applyBorder="1"/>
    <xf numFmtId="168" fontId="75" fillId="0" borderId="35" xfId="7" applyNumberFormat="1" applyFont="1" applyBorder="1"/>
    <xf numFmtId="0" fontId="67" fillId="9" borderId="48" xfId="7" applyFont="1" applyFill="1" applyBorder="1"/>
    <xf numFmtId="0" fontId="65" fillId="9" borderId="94" xfId="7" applyFont="1" applyFill="1" applyBorder="1" applyAlignment="1">
      <alignment horizontal="center"/>
    </xf>
    <xf numFmtId="0" fontId="65" fillId="9" borderId="49" xfId="7" applyFont="1" applyFill="1" applyBorder="1" applyAlignment="1">
      <alignment horizontal="center"/>
    </xf>
    <xf numFmtId="0" fontId="67" fillId="9" borderId="36" xfId="7" applyFont="1" applyFill="1" applyBorder="1"/>
    <xf numFmtId="0" fontId="65" fillId="9" borderId="35" xfId="7" applyFont="1" applyFill="1" applyBorder="1" applyAlignment="1">
      <alignment horizontal="center"/>
    </xf>
    <xf numFmtId="0" fontId="65" fillId="9" borderId="53" xfId="7" applyFont="1" applyFill="1" applyBorder="1" applyAlignment="1">
      <alignment horizontal="center"/>
    </xf>
    <xf numFmtId="0" fontId="54" fillId="0" borderId="70" xfId="7" applyFont="1" applyBorder="1"/>
    <xf numFmtId="0" fontId="54" fillId="0" borderId="45" xfId="7" applyFont="1" applyBorder="1"/>
    <xf numFmtId="0" fontId="67" fillId="0" borderId="45" xfId="7" applyFont="1" applyBorder="1"/>
    <xf numFmtId="0" fontId="18" fillId="0" borderId="107" xfId="0" applyFont="1" applyBorder="1"/>
    <xf numFmtId="0" fontId="76" fillId="0" borderId="102" xfId="7" applyFont="1" applyBorder="1"/>
    <xf numFmtId="193" fontId="66" fillId="20" borderId="115" xfId="0" applyNumberFormat="1" applyFont="1" applyFill="1" applyBorder="1" applyAlignment="1" applyProtection="1">
      <alignment horizontal="right"/>
      <protection locked="0"/>
    </xf>
    <xf numFmtId="196" fontId="66" fillId="13" borderId="54" xfId="0" applyNumberFormat="1" applyFont="1" applyFill="1" applyBorder="1" applyProtection="1">
      <protection locked="0"/>
    </xf>
    <xf numFmtId="0" fontId="26" fillId="2" borderId="65" xfId="7" applyFont="1" applyFill="1" applyBorder="1"/>
    <xf numFmtId="168" fontId="67" fillId="21" borderId="69" xfId="1" applyNumberFormat="1" applyFont="1" applyFill="1" applyBorder="1"/>
    <xf numFmtId="168" fontId="67" fillId="21" borderId="103" xfId="1" applyNumberFormat="1" applyFont="1" applyFill="1" applyBorder="1"/>
    <xf numFmtId="0" fontId="54" fillId="0" borderId="102" xfId="7" applyFont="1" applyBorder="1"/>
    <xf numFmtId="168" fontId="54" fillId="0" borderId="97" xfId="1" applyNumberFormat="1" applyFont="1" applyBorder="1" applyAlignment="1">
      <alignment horizontal="right"/>
    </xf>
    <xf numFmtId="0" fontId="54" fillId="0" borderId="102" xfId="7" applyFont="1" applyBorder="1" applyAlignment="1">
      <alignment horizontal="left"/>
    </xf>
    <xf numFmtId="168" fontId="54" fillId="6" borderId="69" xfId="1" applyNumberFormat="1" applyFont="1" applyFill="1" applyBorder="1"/>
    <xf numFmtId="168" fontId="54" fillId="6" borderId="98" xfId="1" applyNumberFormat="1" applyFont="1" applyFill="1" applyBorder="1"/>
    <xf numFmtId="168" fontId="54" fillId="6" borderId="103" xfId="1" applyNumberFormat="1" applyFont="1" applyFill="1" applyBorder="1"/>
    <xf numFmtId="168" fontId="27" fillId="13" borderId="74" xfId="1" applyNumberFormat="1" applyFont="1" applyFill="1" applyBorder="1" applyAlignment="1">
      <alignment horizontal="left"/>
    </xf>
    <xf numFmtId="0" fontId="28" fillId="0" borderId="60" xfId="0" applyFont="1" applyBorder="1" applyAlignment="1">
      <alignment horizontal="center"/>
    </xf>
    <xf numFmtId="0" fontId="54" fillId="0" borderId="48" xfId="7" applyFont="1" applyBorder="1" applyAlignment="1">
      <alignment horizontal="left"/>
    </xf>
    <xf numFmtId="168" fontId="67" fillId="0" borderId="94" xfId="7" applyNumberFormat="1" applyFont="1" applyBorder="1"/>
    <xf numFmtId="168" fontId="65" fillId="0" borderId="8" xfId="1" applyNumberFormat="1" applyFont="1" applyBorder="1" applyAlignment="1">
      <alignment horizontal="center" vertical="center" wrapText="1"/>
    </xf>
    <xf numFmtId="0" fontId="67" fillId="2" borderId="96" xfId="7" applyFont="1" applyFill="1" applyBorder="1"/>
    <xf numFmtId="0" fontId="67" fillId="0" borderId="40" xfId="7" applyFont="1" applyBorder="1"/>
    <xf numFmtId="0" fontId="26" fillId="2" borderId="38" xfId="7" applyFont="1" applyFill="1" applyBorder="1" applyAlignment="1">
      <alignment horizontal="center"/>
    </xf>
    <xf numFmtId="0" fontId="26" fillId="2" borderId="37" xfId="7" applyFont="1" applyFill="1" applyBorder="1" applyAlignment="1">
      <alignment horizontal="center"/>
    </xf>
    <xf numFmtId="175" fontId="54" fillId="0" borderId="40" xfId="7" applyNumberFormat="1" applyFont="1" applyBorder="1"/>
    <xf numFmtId="0" fontId="54" fillId="0" borderId="40" xfId="7" applyFont="1" applyBorder="1"/>
    <xf numFmtId="0" fontId="67" fillId="0" borderId="69" xfId="7" applyFont="1" applyBorder="1"/>
    <xf numFmtId="0" fontId="73" fillId="2" borderId="42" xfId="7" applyFont="1" applyFill="1" applyBorder="1"/>
    <xf numFmtId="0" fontId="54" fillId="0" borderId="62" xfId="7" applyFont="1" applyBorder="1"/>
    <xf numFmtId="0" fontId="26" fillId="2" borderId="42" xfId="7" applyFont="1" applyFill="1" applyBorder="1"/>
    <xf numFmtId="0" fontId="67" fillId="0" borderId="51" xfId="7" applyFont="1" applyBorder="1"/>
    <xf numFmtId="0" fontId="67" fillId="0" borderId="39" xfId="7" applyFont="1" applyBorder="1"/>
    <xf numFmtId="168" fontId="67" fillId="0" borderId="39" xfId="1" applyNumberFormat="1" applyFont="1" applyBorder="1"/>
    <xf numFmtId="168" fontId="67" fillId="0" borderId="94" xfId="1" applyNumberFormat="1" applyFont="1" applyBorder="1"/>
    <xf numFmtId="168" fontId="2" fillId="4" borderId="16" xfId="0" applyNumberFormat="1" applyFont="1" applyFill="1" applyBorder="1"/>
    <xf numFmtId="0" fontId="81" fillId="13" borderId="40" xfId="7" applyFont="1" applyFill="1" applyBorder="1"/>
    <xf numFmtId="0" fontId="67" fillId="13" borderId="40" xfId="7" applyFont="1" applyFill="1" applyBorder="1"/>
    <xf numFmtId="183" fontId="27" fillId="13" borderId="58" xfId="6" applyNumberFormat="1" applyFont="1" applyFill="1" applyBorder="1"/>
    <xf numFmtId="3" fontId="27" fillId="13" borderId="61" xfId="6" applyNumberFormat="1" applyFont="1" applyFill="1" applyBorder="1"/>
    <xf numFmtId="168" fontId="54" fillId="0" borderId="40" xfId="7" applyNumberFormat="1" applyFont="1" applyBorder="1"/>
    <xf numFmtId="168" fontId="79" fillId="0" borderId="40" xfId="1" applyNumberFormat="1" applyFont="1" applyBorder="1"/>
    <xf numFmtId="168" fontId="79" fillId="0" borderId="62" xfId="1" applyNumberFormat="1" applyFont="1" applyBorder="1"/>
    <xf numFmtId="0" fontId="67" fillId="0" borderId="109" xfId="7" applyFont="1" applyBorder="1"/>
    <xf numFmtId="168" fontId="79" fillId="0" borderId="109" xfId="1" applyNumberFormat="1" applyFont="1" applyBorder="1"/>
    <xf numFmtId="168" fontId="79" fillId="0" borderId="115" xfId="1" applyNumberFormat="1" applyFont="1" applyBorder="1"/>
    <xf numFmtId="0" fontId="67" fillId="0" borderId="108" xfId="7" applyFont="1" applyBorder="1"/>
    <xf numFmtId="175" fontId="67" fillId="0" borderId="109" xfId="1" applyNumberFormat="1" applyFont="1" applyBorder="1"/>
    <xf numFmtId="175" fontId="67" fillId="0" borderId="115" xfId="1" applyNumberFormat="1" applyFont="1" applyBorder="1"/>
    <xf numFmtId="175" fontId="67" fillId="0" borderId="54" xfId="7" applyNumberFormat="1" applyFont="1" applyBorder="1"/>
    <xf numFmtId="0" fontId="26" fillId="2" borderId="25" xfId="7" applyFont="1" applyFill="1" applyBorder="1" applyAlignment="1">
      <alignment horizontal="center"/>
    </xf>
    <xf numFmtId="0" fontId="26" fillId="2" borderId="66" xfId="7" applyFont="1" applyFill="1" applyBorder="1" applyAlignment="1">
      <alignment horizontal="center"/>
    </xf>
    <xf numFmtId="168" fontId="67" fillId="0" borderId="98" xfId="1" applyNumberFormat="1" applyFont="1" applyBorder="1"/>
    <xf numFmtId="0" fontId="26" fillId="2" borderId="52" xfId="7" applyFont="1" applyFill="1" applyBorder="1" applyAlignment="1">
      <alignment horizontal="right"/>
    </xf>
    <xf numFmtId="0" fontId="67" fillId="15" borderId="0" xfId="7" applyFont="1" applyFill="1"/>
    <xf numFmtId="168" fontId="67" fillId="15" borderId="0" xfId="1" applyNumberFormat="1" applyFont="1" applyFill="1"/>
    <xf numFmtId="168" fontId="79" fillId="0" borderId="63" xfId="1" applyNumberFormat="1" applyFont="1" applyBorder="1" applyAlignment="1">
      <alignment horizontal="center"/>
    </xf>
    <xf numFmtId="168" fontId="79" fillId="0" borderId="73" xfId="1" applyNumberFormat="1" applyFont="1" applyBorder="1" applyAlignment="1">
      <alignment horizontal="center"/>
    </xf>
    <xf numFmtId="168" fontId="79" fillId="0" borderId="4" xfId="1" applyNumberFormat="1" applyFont="1" applyBorder="1" applyAlignment="1">
      <alignment horizontal="center"/>
    </xf>
    <xf numFmtId="168" fontId="79" fillId="0" borderId="69" xfId="1" applyNumberFormat="1" applyFont="1" applyBorder="1" applyAlignment="1">
      <alignment horizontal="center"/>
    </xf>
    <xf numFmtId="168" fontId="79" fillId="0" borderId="25" xfId="1" applyNumberFormat="1" applyFont="1" applyBorder="1" applyAlignment="1">
      <alignment horizontal="center"/>
    </xf>
    <xf numFmtId="168" fontId="79" fillId="0" borderId="98" xfId="1" applyNumberFormat="1" applyFont="1" applyBorder="1" applyAlignment="1">
      <alignment horizontal="center"/>
    </xf>
    <xf numFmtId="168" fontId="79" fillId="0" borderId="53" xfId="1" applyNumberFormat="1" applyFont="1" applyBorder="1" applyAlignment="1">
      <alignment horizontal="center"/>
    </xf>
    <xf numFmtId="168" fontId="79" fillId="0" borderId="103" xfId="1" applyNumberFormat="1" applyFont="1" applyBorder="1" applyAlignment="1">
      <alignment horizontal="center"/>
    </xf>
    <xf numFmtId="165" fontId="79" fillId="0" borderId="36" xfId="1" applyFont="1" applyBorder="1" applyAlignment="1">
      <alignment horizontal="center"/>
    </xf>
    <xf numFmtId="165" fontId="79" fillId="0" borderId="108" xfId="1" applyFont="1" applyBorder="1" applyAlignment="1">
      <alignment horizontal="center"/>
    </xf>
    <xf numFmtId="165" fontId="79" fillId="0" borderId="103" xfId="1" applyFont="1" applyBorder="1" applyAlignment="1">
      <alignment horizontal="center"/>
    </xf>
    <xf numFmtId="165" fontId="79" fillId="0" borderId="72" xfId="1" applyFont="1" applyBorder="1" applyAlignment="1">
      <alignment horizontal="left"/>
    </xf>
    <xf numFmtId="165" fontId="79" fillId="0" borderId="68" xfId="1" applyFont="1" applyBorder="1" applyAlignment="1">
      <alignment horizontal="left"/>
    </xf>
    <xf numFmtId="165" fontId="79" fillId="0" borderId="107" xfId="1" applyFont="1" applyBorder="1" applyAlignment="1">
      <alignment horizontal="left"/>
    </xf>
    <xf numFmtId="165" fontId="79" fillId="0" borderId="36" xfId="1" applyFont="1" applyBorder="1" applyAlignment="1">
      <alignment horizontal="left"/>
    </xf>
    <xf numFmtId="168" fontId="79" fillId="0" borderId="118" xfId="1" applyNumberFormat="1" applyFont="1" applyBorder="1" applyAlignment="1">
      <alignment horizontal="center"/>
    </xf>
    <xf numFmtId="168" fontId="79" fillId="0" borderId="6" xfId="1" applyNumberFormat="1" applyFont="1" applyBorder="1" applyAlignment="1">
      <alignment horizontal="center"/>
    </xf>
    <xf numFmtId="168" fontId="79" fillId="0" borderId="11" xfId="1" applyNumberFormat="1" applyFont="1" applyBorder="1" applyAlignment="1">
      <alignment horizontal="center"/>
    </xf>
    <xf numFmtId="165" fontId="79" fillId="0" borderId="37" xfId="1" applyFont="1" applyBorder="1" applyAlignment="1">
      <alignment horizontal="center"/>
    </xf>
    <xf numFmtId="165" fontId="79" fillId="0" borderId="4" xfId="1" applyFont="1" applyBorder="1" applyAlignment="1">
      <alignment horizontal="left"/>
    </xf>
    <xf numFmtId="165" fontId="79" fillId="0" borderId="25" xfId="1" applyFont="1" applyBorder="1" applyAlignment="1">
      <alignment horizontal="left"/>
    </xf>
    <xf numFmtId="165" fontId="79" fillId="0" borderId="102" xfId="1" applyFont="1" applyBorder="1" applyAlignment="1">
      <alignment horizontal="left"/>
    </xf>
    <xf numFmtId="0" fontId="24" fillId="2" borderId="65" xfId="7" applyFont="1" applyFill="1" applyBorder="1"/>
    <xf numFmtId="0" fontId="24" fillId="2" borderId="42" xfId="7" applyFont="1" applyFill="1" applyBorder="1"/>
    <xf numFmtId="0" fontId="26" fillId="2" borderId="37" xfId="7" applyFont="1" applyFill="1" applyBorder="1" applyAlignment="1">
      <alignment horizontal="left"/>
    </xf>
    <xf numFmtId="165" fontId="75" fillId="0" borderId="108" xfId="1" applyFont="1" applyBorder="1" applyAlignment="1">
      <alignment horizontal="center"/>
    </xf>
    <xf numFmtId="165" fontId="75" fillId="0" borderId="103" xfId="1" applyFont="1" applyBorder="1" applyAlignment="1">
      <alignment horizontal="center"/>
    </xf>
    <xf numFmtId="165" fontId="79" fillId="0" borderId="102" xfId="1" applyFont="1" applyBorder="1" applyAlignment="1">
      <alignment horizontal="center"/>
    </xf>
    <xf numFmtId="168" fontId="26" fillId="2" borderId="117" xfId="1" applyNumberFormat="1" applyFont="1" applyFill="1" applyBorder="1" applyAlignment="1">
      <alignment horizontal="center"/>
    </xf>
    <xf numFmtId="0" fontId="65" fillId="0" borderId="40" xfId="7" applyFont="1" applyBorder="1" applyAlignment="1">
      <alignment horizontal="left"/>
    </xf>
    <xf numFmtId="168" fontId="54" fillId="0" borderId="8" xfId="1" applyNumberFormat="1" applyFont="1" applyBorder="1" applyAlignment="1">
      <alignment horizontal="center" vertical="center" wrapText="1"/>
    </xf>
    <xf numFmtId="168" fontId="54" fillId="0" borderId="49" xfId="1" applyNumberFormat="1" applyFont="1" applyBorder="1" applyAlignment="1">
      <alignment horizontal="center" vertical="center" wrapText="1"/>
    </xf>
    <xf numFmtId="168" fontId="54" fillId="0" borderId="62" xfId="1" applyNumberFormat="1" applyFont="1" applyBorder="1" applyAlignment="1">
      <alignment horizontal="center" vertical="center"/>
    </xf>
    <xf numFmtId="168" fontId="54" fillId="0" borderId="36" xfId="1" applyNumberFormat="1" applyFont="1" applyBorder="1" applyAlignment="1">
      <alignment horizontal="center" vertical="center"/>
    </xf>
    <xf numFmtId="168" fontId="54" fillId="0" borderId="37" xfId="1" applyNumberFormat="1" applyFont="1" applyBorder="1" applyAlignment="1">
      <alignment horizontal="center" vertical="center"/>
    </xf>
    <xf numFmtId="168" fontId="4" fillId="0" borderId="0" xfId="0" applyNumberFormat="1" applyFont="1" applyFill="1" applyBorder="1"/>
    <xf numFmtId="168" fontId="27" fillId="13" borderId="56" xfId="1" applyNumberFormat="1" applyFont="1" applyFill="1" applyBorder="1"/>
    <xf numFmtId="168" fontId="27" fillId="13" borderId="119" xfId="1" applyNumberFormat="1" applyFont="1" applyFill="1" applyBorder="1"/>
    <xf numFmtId="3" fontId="27" fillId="13" borderId="119" xfId="6" applyNumberFormat="1" applyFont="1" applyFill="1" applyBorder="1"/>
    <xf numFmtId="0" fontId="2" fillId="3" borderId="120" xfId="0" applyFont="1" applyFill="1" applyBorder="1"/>
    <xf numFmtId="168" fontId="2" fillId="3" borderId="16" xfId="1" applyNumberFormat="1" applyFont="1" applyFill="1" applyBorder="1"/>
    <xf numFmtId="9" fontId="2" fillId="3" borderId="121" xfId="0" applyNumberFormat="1" applyFont="1" applyFill="1" applyBorder="1"/>
    <xf numFmtId="0" fontId="2" fillId="3" borderId="122" xfId="0" applyFont="1" applyFill="1" applyBorder="1"/>
    <xf numFmtId="168" fontId="2" fillId="3" borderId="26" xfId="1" applyNumberFormat="1" applyFont="1" applyFill="1" applyBorder="1"/>
    <xf numFmtId="9" fontId="2" fillId="3" borderId="123" xfId="0" applyNumberFormat="1" applyFont="1" applyFill="1" applyBorder="1"/>
    <xf numFmtId="0" fontId="2" fillId="3" borderId="124" xfId="0" applyFont="1" applyFill="1" applyBorder="1"/>
    <xf numFmtId="10" fontId="2" fillId="0" borderId="125" xfId="0" applyNumberFormat="1" applyFont="1" applyFill="1" applyBorder="1"/>
    <xf numFmtId="1" fontId="0" fillId="0" borderId="0" xfId="0" applyNumberFormat="1"/>
    <xf numFmtId="17" fontId="0" fillId="0" borderId="4" xfId="0" applyNumberFormat="1" applyBorder="1"/>
    <xf numFmtId="0" fontId="0" fillId="0" borderId="65" xfId="0" applyBorder="1"/>
    <xf numFmtId="0" fontId="0" fillId="0" borderId="66" xfId="0" applyBorder="1" applyAlignment="1">
      <alignment horizontal="center" wrapText="1"/>
    </xf>
    <xf numFmtId="0" fontId="0" fillId="0" borderId="67" xfId="0" applyBorder="1" applyAlignment="1">
      <alignment horizontal="center" wrapText="1"/>
    </xf>
    <xf numFmtId="0" fontId="0" fillId="0" borderId="107" xfId="0" applyBorder="1"/>
    <xf numFmtId="17" fontId="0" fillId="0" borderId="25" xfId="0" applyNumberFormat="1" applyBorder="1"/>
    <xf numFmtId="0" fontId="0" fillId="0" borderId="102" xfId="0" applyBorder="1"/>
    <xf numFmtId="0" fontId="0" fillId="0" borderId="108" xfId="0" applyBorder="1"/>
    <xf numFmtId="1" fontId="0" fillId="0" borderId="108" xfId="0" applyNumberFormat="1" applyBorder="1"/>
    <xf numFmtId="1" fontId="0" fillId="0" borderId="103" xfId="0" applyNumberFormat="1" applyBorder="1"/>
    <xf numFmtId="1" fontId="0" fillId="16" borderId="108" xfId="0" applyNumberFormat="1" applyFill="1" applyBorder="1"/>
    <xf numFmtId="0" fontId="83" fillId="0" borderId="0" xfId="0" applyFont="1" applyAlignment="1">
      <alignment vertical="top"/>
    </xf>
    <xf numFmtId="0" fontId="83" fillId="13" borderId="89" xfId="0" applyFont="1" applyFill="1" applyBorder="1" applyAlignment="1">
      <alignment horizontal="center" vertical="center"/>
    </xf>
    <xf numFmtId="0" fontId="83" fillId="13" borderId="0" xfId="0" applyFont="1" applyFill="1" applyAlignment="1">
      <alignment horizontal="center" vertical="center"/>
    </xf>
    <xf numFmtId="0" fontId="83" fillId="13" borderId="28" xfId="0" applyFont="1" applyFill="1" applyBorder="1" applyAlignment="1">
      <alignment horizontal="center" vertical="center"/>
    </xf>
    <xf numFmtId="0" fontId="83" fillId="0" borderId="0" xfId="0" applyFont="1" applyAlignment="1">
      <alignment vertical="center"/>
    </xf>
    <xf numFmtId="0" fontId="83" fillId="13" borderId="89" xfId="0" applyFont="1" applyFill="1" applyBorder="1" applyAlignment="1">
      <alignment horizontal="center" vertical="center" wrapText="1"/>
    </xf>
    <xf numFmtId="0" fontId="83" fillId="13" borderId="0" xfId="0" applyFont="1" applyFill="1" applyAlignment="1">
      <alignment horizontal="center" vertical="center" wrapText="1"/>
    </xf>
    <xf numFmtId="17" fontId="85" fillId="22" borderId="4" xfId="0" applyNumberFormat="1" applyFont="1" applyFill="1" applyBorder="1" applyAlignment="1">
      <alignment vertical="center"/>
    </xf>
    <xf numFmtId="1" fontId="83" fillId="0" borderId="4" xfId="0" applyNumberFormat="1" applyFont="1" applyBorder="1" applyAlignment="1">
      <alignment horizontal="center" vertical="center"/>
    </xf>
    <xf numFmtId="0" fontId="85" fillId="0" borderId="0" xfId="0" applyFont="1" applyAlignment="1">
      <alignment vertical="center"/>
    </xf>
    <xf numFmtId="0" fontId="83" fillId="0" borderId="0" xfId="0" applyFont="1" applyAlignment="1">
      <alignment horizontal="center" vertical="center"/>
    </xf>
    <xf numFmtId="0" fontId="86" fillId="0" borderId="0" xfId="0" applyFont="1" applyAlignment="1">
      <alignment vertical="justify"/>
    </xf>
    <xf numFmtId="1" fontId="83" fillId="0" borderId="0" xfId="0" applyNumberFormat="1" applyFont="1" applyAlignment="1">
      <alignment horizontal="center" vertical="center"/>
    </xf>
    <xf numFmtId="1" fontId="83" fillId="0" borderId="4" xfId="0" applyNumberFormat="1" applyFont="1" applyFill="1" applyBorder="1" applyAlignment="1">
      <alignment horizontal="center" vertical="center"/>
    </xf>
    <xf numFmtId="1" fontId="87" fillId="0" borderId="4" xfId="0" applyNumberFormat="1" applyFont="1" applyFill="1" applyBorder="1" applyAlignment="1">
      <alignment horizontal="center" vertical="center"/>
    </xf>
    <xf numFmtId="1" fontId="83" fillId="7" borderId="35" xfId="0" applyNumberFormat="1" applyFont="1" applyFill="1" applyBorder="1" applyAlignment="1">
      <alignment vertical="center"/>
    </xf>
    <xf numFmtId="9" fontId="27" fillId="13" borderId="55" xfId="1" applyNumberFormat="1" applyFont="1" applyFill="1" applyBorder="1" applyAlignment="1"/>
    <xf numFmtId="9" fontId="27" fillId="13" borderId="55" xfId="1" applyNumberFormat="1" applyFont="1" applyFill="1" applyBorder="1" applyAlignment="1">
      <alignment horizontal="right"/>
    </xf>
    <xf numFmtId="180" fontId="2" fillId="3" borderId="0" xfId="1" applyNumberFormat="1" applyFont="1" applyFill="1"/>
    <xf numFmtId="180" fontId="2" fillId="3" borderId="7" xfId="1" applyNumberFormat="1" applyFont="1" applyFill="1" applyBorder="1"/>
    <xf numFmtId="180" fontId="2" fillId="3" borderId="7" xfId="1" applyNumberFormat="1" applyFont="1" applyFill="1" applyBorder="1" applyAlignment="1">
      <alignment horizontal="center"/>
    </xf>
    <xf numFmtId="165" fontId="2" fillId="3" borderId="7" xfId="1" applyNumberFormat="1" applyFont="1" applyFill="1" applyBorder="1"/>
    <xf numFmtId="168" fontId="2" fillId="3" borderId="10" xfId="1" applyNumberFormat="1" applyFont="1" applyFill="1" applyBorder="1"/>
    <xf numFmtId="0" fontId="27" fillId="0" borderId="54" xfId="0" applyFont="1" applyBorder="1"/>
    <xf numFmtId="0" fontId="0" fillId="0" borderId="0" xfId="0" applyAlignment="1">
      <alignment horizontal="right"/>
    </xf>
    <xf numFmtId="0" fontId="51" fillId="0" borderId="0" xfId="0" applyFont="1" applyAlignment="1">
      <alignment horizontal="right"/>
    </xf>
    <xf numFmtId="0" fontId="0" fillId="23" borderId="0" xfId="0" applyFill="1" applyAlignment="1">
      <alignment horizontal="center" vertical="center"/>
    </xf>
    <xf numFmtId="10" fontId="49" fillId="23" borderId="0" xfId="0" applyNumberFormat="1" applyFont="1" applyFill="1" applyAlignment="1">
      <alignment horizontal="center" vertical="center" wrapText="1"/>
    </xf>
    <xf numFmtId="0" fontId="49" fillId="23" borderId="0" xfId="0" applyFont="1" applyFill="1" applyAlignment="1">
      <alignment horizontal="center" vertical="center"/>
    </xf>
    <xf numFmtId="0" fontId="49" fillId="23" borderId="0" xfId="0" applyFont="1" applyFill="1" applyAlignment="1">
      <alignment horizontal="center" vertical="center" wrapText="1"/>
    </xf>
    <xf numFmtId="0" fontId="0" fillId="0" borderId="0" xfId="0" applyAlignment="1">
      <alignment horizontal="center" vertical="center"/>
    </xf>
    <xf numFmtId="10" fontId="49" fillId="0" borderId="0" xfId="0" applyNumberFormat="1" applyFont="1" applyAlignment="1">
      <alignment horizontal="center" vertical="center" wrapText="1"/>
    </xf>
    <xf numFmtId="0" fontId="49" fillId="0" borderId="0" xfId="0" applyFont="1" applyAlignment="1">
      <alignment horizontal="center" vertical="center"/>
    </xf>
    <xf numFmtId="0" fontId="49" fillId="0" borderId="0" xfId="0" applyFont="1" applyAlignment="1">
      <alignment horizontal="center" vertical="center" wrapText="1"/>
    </xf>
    <xf numFmtId="10" fontId="0" fillId="0" borderId="0" xfId="0" applyNumberFormat="1" applyAlignment="1">
      <alignment horizontal="center" vertical="center"/>
    </xf>
    <xf numFmtId="10" fontId="0" fillId="0" borderId="0" xfId="2" applyNumberFormat="1" applyFont="1" applyAlignment="1">
      <alignment horizontal="center" vertical="center"/>
    </xf>
    <xf numFmtId="10" fontId="0" fillId="0" borderId="0" xfId="0" applyNumberFormat="1" applyAlignment="1">
      <alignment horizontal="center"/>
    </xf>
    <xf numFmtId="10" fontId="0" fillId="0" borderId="0" xfId="2" applyNumberFormat="1" applyFont="1" applyAlignment="1">
      <alignment horizontal="center"/>
    </xf>
    <xf numFmtId="10" fontId="0" fillId="0" borderId="0" xfId="0" applyNumberFormat="1"/>
    <xf numFmtId="168" fontId="49" fillId="23" borderId="0" xfId="1" applyNumberFormat="1" applyFont="1" applyFill="1" applyAlignment="1">
      <alignment horizontal="center" vertical="center" wrapText="1"/>
    </xf>
    <xf numFmtId="168" fontId="49" fillId="0" borderId="0" xfId="1" applyNumberFormat="1" applyFont="1" applyAlignment="1">
      <alignment horizontal="center" vertical="center" wrapText="1"/>
    </xf>
    <xf numFmtId="168" fontId="0" fillId="0" borderId="0" xfId="1" applyNumberFormat="1" applyFont="1" applyAlignment="1">
      <alignment horizontal="center" vertical="center"/>
    </xf>
    <xf numFmtId="168" fontId="0" fillId="0" borderId="0" xfId="1" applyNumberFormat="1" applyFont="1" applyAlignment="1">
      <alignment horizontal="center"/>
    </xf>
    <xf numFmtId="165" fontId="0" fillId="0" borderId="0" xfId="1" applyFont="1"/>
    <xf numFmtId="3" fontId="0" fillId="0" borderId="0" xfId="0" applyNumberFormat="1"/>
    <xf numFmtId="165" fontId="0" fillId="0" borderId="0" xfId="1" applyFont="1" applyAlignment="1"/>
    <xf numFmtId="0" fontId="0" fillId="0" borderId="33" xfId="0" applyBorder="1"/>
    <xf numFmtId="9" fontId="0" fillId="0" borderId="33" xfId="0" applyNumberFormat="1" applyBorder="1"/>
    <xf numFmtId="168" fontId="0" fillId="0" borderId="33" xfId="0" applyNumberFormat="1" applyBorder="1"/>
    <xf numFmtId="165" fontId="0" fillId="0" borderId="33" xfId="0" applyNumberFormat="1" applyBorder="1"/>
    <xf numFmtId="168" fontId="0" fillId="0" borderId="33" xfId="1" applyNumberFormat="1" applyFont="1" applyBorder="1"/>
    <xf numFmtId="0" fontId="51" fillId="0" borderId="0" xfId="0" applyFont="1" applyAlignment="1">
      <alignment horizontal="left"/>
    </xf>
    <xf numFmtId="0" fontId="51" fillId="0" borderId="0" xfId="0" applyFont="1"/>
    <xf numFmtId="1" fontId="0" fillId="0" borderId="38" xfId="0" applyNumberFormat="1" applyBorder="1"/>
    <xf numFmtId="1" fontId="0" fillId="0" borderId="93" xfId="0" applyNumberFormat="1" applyBorder="1"/>
    <xf numFmtId="1" fontId="0" fillId="0" borderId="94" xfId="0" applyNumberFormat="1" applyBorder="1"/>
    <xf numFmtId="17" fontId="0" fillId="0" borderId="42" xfId="0" applyNumberFormat="1" applyBorder="1"/>
    <xf numFmtId="17" fontId="0" fillId="0" borderId="40" xfId="0" applyNumberFormat="1" applyBorder="1"/>
    <xf numFmtId="165" fontId="0" fillId="0" borderId="0" xfId="0" applyNumberFormat="1" applyBorder="1"/>
    <xf numFmtId="9" fontId="0" fillId="0" borderId="0" xfId="2" applyFont="1" applyBorder="1"/>
    <xf numFmtId="0" fontId="0" fillId="0" borderId="126" xfId="0" applyFill="1" applyBorder="1"/>
    <xf numFmtId="168" fontId="0" fillId="0" borderId="126" xfId="1" applyNumberFormat="1" applyFont="1" applyBorder="1"/>
    <xf numFmtId="168" fontId="2" fillId="3" borderId="60" xfId="1" applyNumberFormat="1" applyFont="1" applyFill="1" applyBorder="1"/>
    <xf numFmtId="0" fontId="25" fillId="0" borderId="0" xfId="3" applyAlignment="1">
      <alignment wrapText="1"/>
    </xf>
    <xf numFmtId="0" fontId="0" fillId="0" borderId="110" xfId="0" applyBorder="1"/>
    <xf numFmtId="0" fontId="0" fillId="0" borderId="89" xfId="0" applyBorder="1" applyAlignment="1">
      <alignment horizontal="center"/>
    </xf>
    <xf numFmtId="0" fontId="0" fillId="0" borderId="97" xfId="0" applyBorder="1" applyAlignment="1">
      <alignment horizontal="center"/>
    </xf>
    <xf numFmtId="168" fontId="0" fillId="0" borderId="4" xfId="1" applyNumberFormat="1" applyFont="1" applyBorder="1" applyAlignment="1">
      <alignment horizontal="center"/>
    </xf>
    <xf numFmtId="168" fontId="0" fillId="0" borderId="25" xfId="1" applyNumberFormat="1" applyFont="1" applyBorder="1" applyAlignment="1">
      <alignment horizontal="center"/>
    </xf>
    <xf numFmtId="168" fontId="0" fillId="0" borderId="89" xfId="1" applyNumberFormat="1" applyFont="1" applyBorder="1" applyAlignment="1">
      <alignment horizontal="center"/>
    </xf>
    <xf numFmtId="175" fontId="0" fillId="0" borderId="4" xfId="0" applyNumberFormat="1" applyBorder="1" applyAlignment="1">
      <alignment horizontal="center"/>
    </xf>
    <xf numFmtId="175" fontId="0" fillId="0" borderId="69" xfId="0" applyNumberFormat="1" applyBorder="1" applyAlignment="1">
      <alignment horizontal="center"/>
    </xf>
    <xf numFmtId="175" fontId="0" fillId="0" borderId="25" xfId="0" applyNumberFormat="1" applyBorder="1" applyAlignment="1">
      <alignment horizontal="center"/>
    </xf>
    <xf numFmtId="175" fontId="0" fillId="0" borderId="98" xfId="0" applyNumberFormat="1" applyBorder="1" applyAlignment="1">
      <alignment horizontal="center"/>
    </xf>
    <xf numFmtId="0" fontId="89" fillId="0" borderId="0" xfId="10" applyFont="1" applyAlignment="1">
      <alignment horizontal="left" vertical="center"/>
    </xf>
    <xf numFmtId="0" fontId="88" fillId="0" borderId="0" xfId="10"/>
    <xf numFmtId="0" fontId="88" fillId="0" borderId="0" xfId="10" applyAlignment="1">
      <alignment horizontal="left" vertical="center"/>
    </xf>
    <xf numFmtId="0" fontId="90" fillId="0" borderId="0" xfId="10" applyFont="1"/>
    <xf numFmtId="0" fontId="91" fillId="0" borderId="0" xfId="10" applyFont="1" applyAlignment="1">
      <alignment horizontal="left" vertical="center"/>
    </xf>
    <xf numFmtId="0" fontId="88" fillId="0" borderId="0" xfId="10" applyAlignment="1">
      <alignment horizontal="left" vertical="center" wrapText="1"/>
    </xf>
    <xf numFmtId="0" fontId="89" fillId="0" borderId="0" xfId="10" applyFont="1" applyAlignment="1">
      <alignment horizontal="left" vertical="center" wrapText="1"/>
    </xf>
    <xf numFmtId="4" fontId="88" fillId="0" borderId="0" xfId="10" applyNumberFormat="1" applyAlignment="1">
      <alignment horizontal="right" vertical="center"/>
    </xf>
    <xf numFmtId="3" fontId="88" fillId="0" borderId="0" xfId="10" applyNumberFormat="1" applyAlignment="1">
      <alignment horizontal="right" vertical="center"/>
    </xf>
    <xf numFmtId="0" fontId="0" fillId="24" borderId="0" xfId="0" applyFill="1" applyAlignment="1">
      <alignment horizontal="center" vertical="center"/>
    </xf>
    <xf numFmtId="0" fontId="0" fillId="24" borderId="0" xfId="0" applyFill="1"/>
    <xf numFmtId="171" fontId="0" fillId="0" borderId="0" xfId="0" applyNumberFormat="1" applyAlignment="1">
      <alignment horizontal="center" vertical="center"/>
    </xf>
    <xf numFmtId="171" fontId="27" fillId="14" borderId="55" xfId="2" applyNumberFormat="1" applyFont="1" applyFill="1" applyBorder="1"/>
    <xf numFmtId="10" fontId="27" fillId="14" borderId="55" xfId="2" applyNumberFormat="1" applyFont="1" applyFill="1" applyBorder="1"/>
    <xf numFmtId="165" fontId="30" fillId="13" borderId="55" xfId="1" applyNumberFormat="1" applyFont="1" applyFill="1" applyBorder="1" applyAlignment="1">
      <alignment horizontal="left" indent="11"/>
    </xf>
    <xf numFmtId="0" fontId="67" fillId="0" borderId="45" xfId="7" applyFont="1" applyBorder="1" applyAlignment="1">
      <alignment horizontal="center"/>
    </xf>
    <xf numFmtId="180" fontId="67" fillId="0" borderId="46" xfId="1" applyNumberFormat="1" applyFont="1" applyBorder="1" applyAlignment="1">
      <alignment horizontal="center"/>
    </xf>
    <xf numFmtId="180" fontId="67" fillId="0" borderId="50" xfId="1" applyNumberFormat="1" applyFont="1" applyBorder="1" applyAlignment="1">
      <alignment horizontal="center"/>
    </xf>
    <xf numFmtId="180" fontId="27" fillId="14" borderId="55" xfId="1" applyNumberFormat="1" applyFont="1" applyFill="1" applyBorder="1"/>
    <xf numFmtId="0" fontId="74" fillId="0" borderId="46" xfId="7" applyFont="1" applyBorder="1" applyAlignment="1">
      <alignment horizontal="center"/>
    </xf>
    <xf numFmtId="180" fontId="27" fillId="13" borderId="55" xfId="1" applyNumberFormat="1" applyFont="1" applyFill="1" applyBorder="1" applyAlignment="1">
      <alignment horizontal="left" indent="11"/>
    </xf>
    <xf numFmtId="0" fontId="34" fillId="0" borderId="0" xfId="0" applyFont="1" applyAlignment="1">
      <alignment horizontal="center"/>
    </xf>
    <xf numFmtId="0" fontId="27" fillId="25" borderId="0" xfId="0" applyFont="1" applyFill="1"/>
    <xf numFmtId="168" fontId="28" fillId="0" borderId="0" xfId="1" applyNumberFormat="1" applyFont="1" applyAlignment="1">
      <alignment horizontal="center"/>
    </xf>
    <xf numFmtId="168" fontId="29" fillId="0" borderId="0" xfId="1" applyNumberFormat="1" applyFont="1" applyAlignment="1">
      <alignment horizontal="center"/>
    </xf>
    <xf numFmtId="168" fontId="27" fillId="13" borderId="55" xfId="2" applyNumberFormat="1" applyFont="1" applyFill="1" applyBorder="1" applyAlignment="1">
      <alignment horizontal="left"/>
    </xf>
    <xf numFmtId="165" fontId="27" fillId="13" borderId="56" xfId="2" applyNumberFormat="1" applyFont="1" applyFill="1" applyBorder="1" applyAlignment="1">
      <alignment horizontal="left"/>
    </xf>
    <xf numFmtId="0" fontId="28" fillId="0" borderId="49" xfId="0" applyFont="1" applyBorder="1" applyAlignment="1">
      <alignment horizontal="right"/>
    </xf>
    <xf numFmtId="1" fontId="0" fillId="0" borderId="35" xfId="0" applyNumberFormat="1" applyBorder="1"/>
    <xf numFmtId="1" fontId="83" fillId="27" borderId="35" xfId="0" applyNumberFormat="1" applyFont="1" applyFill="1" applyBorder="1" applyAlignment="1">
      <alignment vertical="center"/>
    </xf>
    <xf numFmtId="0" fontId="3" fillId="3" borderId="60" xfId="0" applyFont="1" applyFill="1" applyBorder="1"/>
    <xf numFmtId="0" fontId="2" fillId="3" borderId="60" xfId="0" applyFont="1" applyFill="1" applyBorder="1" applyAlignment="1">
      <alignment horizontal="center"/>
    </xf>
    <xf numFmtId="0" fontId="2" fillId="28" borderId="0" xfId="0" applyFont="1" applyFill="1"/>
    <xf numFmtId="168" fontId="2" fillId="28" borderId="10" xfId="0" applyNumberFormat="1" applyFont="1" applyFill="1" applyBorder="1"/>
    <xf numFmtId="0" fontId="2" fillId="28" borderId="10" xfId="0" applyFont="1" applyFill="1" applyBorder="1"/>
    <xf numFmtId="175" fontId="3" fillId="3" borderId="0" xfId="1" applyNumberFormat="1" applyFont="1" applyFill="1"/>
    <xf numFmtId="175" fontId="2" fillId="3" borderId="0" xfId="0" applyNumberFormat="1" applyFont="1" applyFill="1"/>
    <xf numFmtId="165" fontId="2" fillId="3" borderId="60" xfId="0" applyNumberFormat="1" applyFont="1" applyFill="1" applyBorder="1"/>
    <xf numFmtId="165" fontId="2" fillId="29" borderId="60" xfId="1" applyFont="1" applyFill="1" applyBorder="1"/>
    <xf numFmtId="168" fontId="2" fillId="29" borderId="60" xfId="1" applyNumberFormat="1" applyFont="1" applyFill="1" applyBorder="1"/>
    <xf numFmtId="168" fontId="2" fillId="29" borderId="0" xfId="1" applyNumberFormat="1" applyFont="1" applyFill="1"/>
    <xf numFmtId="166" fontId="3" fillId="0" borderId="0" xfId="0" applyNumberFormat="1" applyFont="1" applyFill="1"/>
    <xf numFmtId="166" fontId="41" fillId="0" borderId="0" xfId="0" applyNumberFormat="1" applyFont="1" applyFill="1"/>
    <xf numFmtId="0" fontId="42" fillId="0" borderId="0" xfId="0" applyFont="1" applyFill="1"/>
    <xf numFmtId="0" fontId="1" fillId="0" borderId="0" xfId="0" applyFont="1" applyFill="1"/>
    <xf numFmtId="168" fontId="2" fillId="0" borderId="0" xfId="1" applyNumberFormat="1" applyFont="1" applyFill="1"/>
    <xf numFmtId="9" fontId="2" fillId="0" borderId="7" xfId="0" applyNumberFormat="1" applyFont="1" applyFill="1" applyBorder="1"/>
    <xf numFmtId="9" fontId="2" fillId="0" borderId="0" xfId="0" applyNumberFormat="1" applyFont="1" applyFill="1"/>
    <xf numFmtId="43" fontId="2" fillId="0" borderId="0" xfId="1" applyNumberFormat="1" applyFont="1" applyFill="1" applyAlignment="1">
      <alignment horizontal="right"/>
    </xf>
    <xf numFmtId="168" fontId="2" fillId="0" borderId="7" xfId="1" applyNumberFormat="1" applyFont="1" applyFill="1" applyBorder="1"/>
    <xf numFmtId="168" fontId="2" fillId="0" borderId="7" xfId="0" applyNumberFormat="1" applyFont="1" applyFill="1" applyBorder="1"/>
    <xf numFmtId="200" fontId="2" fillId="3" borderId="7" xfId="0" applyNumberFormat="1" applyFont="1" applyFill="1" applyBorder="1"/>
    <xf numFmtId="198" fontId="2" fillId="3" borderId="0" xfId="1" applyNumberFormat="1" applyFont="1" applyFill="1" applyBorder="1"/>
    <xf numFmtId="0" fontId="2" fillId="7" borderId="0" xfId="0" applyFont="1" applyFill="1" applyAlignment="1">
      <alignment horizontal="center"/>
    </xf>
    <xf numFmtId="168" fontId="2" fillId="7" borderId="0" xfId="0" applyNumberFormat="1" applyFont="1" applyFill="1"/>
    <xf numFmtId="9" fontId="27" fillId="13" borderId="55" xfId="2" applyFont="1" applyFill="1" applyBorder="1" applyProtection="1"/>
    <xf numFmtId="9" fontId="27" fillId="14" borderId="58" xfId="2" applyFont="1" applyFill="1" applyBorder="1"/>
    <xf numFmtId="0" fontId="2" fillId="9" borderId="0" xfId="0" applyFont="1" applyFill="1"/>
    <xf numFmtId="168" fontId="2" fillId="9" borderId="0" xfId="0" applyNumberFormat="1" applyFont="1" applyFill="1"/>
    <xf numFmtId="168" fontId="2" fillId="17" borderId="0" xfId="0" applyNumberFormat="1" applyFont="1" applyFill="1"/>
    <xf numFmtId="168" fontId="2" fillId="0" borderId="0" xfId="0" applyNumberFormat="1" applyFont="1" applyFill="1"/>
    <xf numFmtId="168" fontId="2" fillId="8" borderId="0" xfId="1" applyNumberFormat="1" applyFont="1" applyFill="1"/>
    <xf numFmtId="168" fontId="2" fillId="8" borderId="0" xfId="0" applyNumberFormat="1" applyFont="1" applyFill="1"/>
    <xf numFmtId="168" fontId="2" fillId="8" borderId="0" xfId="0" applyNumberFormat="1" applyFont="1" applyFill="1" applyBorder="1"/>
    <xf numFmtId="9" fontId="2" fillId="8" borderId="0" xfId="0" applyNumberFormat="1" applyFont="1" applyFill="1"/>
    <xf numFmtId="9" fontId="2" fillId="8" borderId="7" xfId="0" applyNumberFormat="1" applyFont="1" applyFill="1" applyBorder="1"/>
    <xf numFmtId="0" fontId="1" fillId="8" borderId="0" xfId="0" applyFont="1" applyFill="1"/>
    <xf numFmtId="168" fontId="2" fillId="8" borderId="60" xfId="0" applyNumberFormat="1" applyFont="1" applyFill="1" applyBorder="1"/>
    <xf numFmtId="165" fontId="2" fillId="8" borderId="0" xfId="1" applyFont="1" applyFill="1"/>
    <xf numFmtId="165" fontId="2" fillId="8" borderId="60" xfId="1" applyFont="1" applyFill="1" applyBorder="1"/>
    <xf numFmtId="168" fontId="2" fillId="8" borderId="0" xfId="1" applyNumberFormat="1" applyFont="1" applyFill="1" applyBorder="1"/>
    <xf numFmtId="165" fontId="2" fillId="8" borderId="0" xfId="1" applyFont="1" applyFill="1" applyBorder="1"/>
    <xf numFmtId="168" fontId="2" fillId="8" borderId="60" xfId="1" applyNumberFormat="1" applyFont="1" applyFill="1" applyBorder="1"/>
    <xf numFmtId="165" fontId="2" fillId="8" borderId="60" xfId="0" applyNumberFormat="1" applyFont="1" applyFill="1" applyBorder="1"/>
    <xf numFmtId="175" fontId="2" fillId="8" borderId="0" xfId="0" applyNumberFormat="1" applyFont="1" applyFill="1"/>
    <xf numFmtId="168" fontId="2" fillId="8" borderId="10" xfId="1" applyNumberFormat="1" applyFont="1" applyFill="1" applyBorder="1"/>
    <xf numFmtId="168" fontId="2" fillId="8" borderId="10" xfId="0" applyNumberFormat="1" applyFont="1" applyFill="1" applyBorder="1"/>
    <xf numFmtId="0" fontId="2" fillId="8" borderId="0" xfId="0" applyFont="1" applyFill="1" applyBorder="1"/>
    <xf numFmtId="168" fontId="2" fillId="7" borderId="0" xfId="1" applyNumberFormat="1" applyFont="1" applyFill="1"/>
    <xf numFmtId="165" fontId="11" fillId="3" borderId="0" xfId="1" applyFont="1" applyFill="1"/>
    <xf numFmtId="168" fontId="3" fillId="0" borderId="0" xfId="1" applyNumberFormat="1" applyFont="1" applyFill="1" applyBorder="1"/>
    <xf numFmtId="0" fontId="3" fillId="0" borderId="0" xfId="0" applyFont="1" applyFill="1" applyAlignment="1">
      <alignment horizontal="center"/>
    </xf>
    <xf numFmtId="0" fontId="88" fillId="30" borderId="28" xfId="11" applyFont="1" applyFill="1" applyBorder="1" applyProtection="1">
      <protection locked="0"/>
    </xf>
    <xf numFmtId="0" fontId="88" fillId="30" borderId="0" xfId="11" applyFont="1" applyFill="1" applyProtection="1">
      <protection locked="0"/>
    </xf>
    <xf numFmtId="0" fontId="88" fillId="30" borderId="27" xfId="11" applyFont="1" applyFill="1" applyBorder="1" applyAlignment="1" applyProtection="1">
      <alignment horizontal="center" wrapText="1"/>
      <protection locked="0"/>
    </xf>
    <xf numFmtId="14" fontId="97" fillId="30" borderId="0" xfId="11" applyNumberFormat="1" applyFont="1" applyFill="1" applyAlignment="1" applyProtection="1">
      <alignment horizontal="center"/>
      <protection locked="0"/>
    </xf>
    <xf numFmtId="0" fontId="97" fillId="30" borderId="0" xfId="12" applyFont="1" applyFill="1" applyAlignment="1" applyProtection="1">
      <alignment horizontal="center"/>
      <protection locked="0"/>
    </xf>
    <xf numFmtId="0" fontId="99" fillId="30" borderId="118" xfId="12" applyFont="1" applyFill="1" applyBorder="1" applyProtection="1">
      <protection locked="0"/>
    </xf>
    <xf numFmtId="0" fontId="99" fillId="30" borderId="0" xfId="12" applyFont="1" applyFill="1" applyProtection="1">
      <protection locked="0"/>
    </xf>
    <xf numFmtId="0" fontId="88" fillId="31" borderId="9" xfId="11" applyFont="1" applyFill="1" applyBorder="1" applyAlignment="1" applyProtection="1">
      <alignment horizontal="center" wrapText="1"/>
      <protection locked="0"/>
    </xf>
    <xf numFmtId="203" fontId="89" fillId="31" borderId="9" xfId="11" applyNumberFormat="1" applyFont="1" applyFill="1" applyBorder="1" applyAlignment="1" applyProtection="1">
      <alignment horizontal="center"/>
      <protection locked="0"/>
    </xf>
    <xf numFmtId="204" fontId="89" fillId="31" borderId="11" xfId="11" applyNumberFormat="1" applyFont="1" applyFill="1" applyBorder="1" applyAlignment="1" applyProtection="1">
      <alignment horizontal="center"/>
      <protection locked="0"/>
    </xf>
    <xf numFmtId="14" fontId="97" fillId="31" borderId="10" xfId="11" applyNumberFormat="1" applyFont="1" applyFill="1" applyBorder="1" applyAlignment="1" applyProtection="1">
      <alignment horizontal="center"/>
      <protection locked="0"/>
    </xf>
    <xf numFmtId="0" fontId="97" fillId="31" borderId="25" xfId="12" applyFont="1" applyFill="1" applyBorder="1" applyAlignment="1" applyProtection="1">
      <alignment horizontal="center"/>
      <protection locked="0"/>
    </xf>
    <xf numFmtId="0" fontId="89" fillId="31" borderId="27" xfId="11" applyFont="1" applyFill="1" applyBorder="1" applyAlignment="1" applyProtection="1">
      <alignment horizontal="center" wrapText="1"/>
      <protection locked="0"/>
    </xf>
    <xf numFmtId="14" fontId="89" fillId="31" borderId="0" xfId="11" applyNumberFormat="1" applyFont="1" applyFill="1" applyAlignment="1" applyProtection="1">
      <alignment horizontal="center" vertical="center" wrapText="1"/>
      <protection locked="0"/>
    </xf>
    <xf numFmtId="0" fontId="89" fillId="31" borderId="89" xfId="12" applyFont="1" applyFill="1" applyBorder="1" applyAlignment="1" applyProtection="1">
      <alignment horizontal="center" vertical="center" wrapText="1"/>
      <protection locked="0"/>
    </xf>
    <xf numFmtId="15" fontId="89" fillId="31" borderId="63" xfId="11" applyNumberFormat="1" applyFont="1" applyFill="1" applyBorder="1" applyAlignment="1" applyProtection="1">
      <alignment horizontal="center"/>
      <protection locked="0"/>
    </xf>
    <xf numFmtId="203" fontId="89" fillId="31" borderId="90" xfId="13" applyNumberFormat="1" applyFont="1" applyFill="1" applyBorder="1" applyAlignment="1" applyProtection="1">
      <alignment horizontal="center" wrapText="1"/>
      <protection locked="0"/>
    </xf>
    <xf numFmtId="204" fontId="89" fillId="31" borderId="118" xfId="12" applyNumberFormat="1" applyFont="1" applyFill="1" applyBorder="1" applyAlignment="1" applyProtection="1">
      <alignment horizontal="center" wrapText="1"/>
      <protection locked="0"/>
    </xf>
    <xf numFmtId="205" fontId="89" fillId="31" borderId="63" xfId="13" applyNumberFormat="1" applyFont="1" applyFill="1" applyBorder="1" applyAlignment="1" applyProtection="1">
      <alignment horizontal="center" wrapText="1"/>
      <protection locked="0"/>
    </xf>
    <xf numFmtId="206" fontId="100" fillId="31" borderId="63" xfId="12" applyNumberFormat="1" applyFont="1" applyFill="1" applyBorder="1" applyAlignment="1" applyProtection="1">
      <alignment horizontal="center" wrapText="1"/>
      <protection locked="0"/>
    </xf>
    <xf numFmtId="0" fontId="89" fillId="30" borderId="0" xfId="12" applyFont="1" applyFill="1" applyProtection="1">
      <protection locked="0"/>
    </xf>
    <xf numFmtId="207" fontId="88" fillId="30" borderId="89" xfId="11" applyNumberFormat="1" applyFont="1" applyFill="1" applyBorder="1" applyAlignment="1" applyProtection="1">
      <alignment horizontal="center"/>
      <protection locked="0"/>
    </xf>
    <xf numFmtId="203" fontId="88" fillId="30" borderId="27" xfId="11" applyNumberFormat="1" applyFont="1" applyFill="1" applyBorder="1" applyAlignment="1" applyProtection="1">
      <alignment horizontal="center"/>
      <protection locked="0"/>
    </xf>
    <xf numFmtId="204" fontId="88" fillId="30" borderId="28" xfId="11" applyNumberFormat="1" applyFont="1" applyFill="1" applyBorder="1" applyAlignment="1" applyProtection="1">
      <alignment horizontal="center"/>
      <protection locked="0"/>
    </xf>
    <xf numFmtId="204" fontId="88" fillId="30" borderId="89" xfId="11" applyNumberFormat="1" applyFont="1" applyFill="1" applyBorder="1" applyAlignment="1" applyProtection="1">
      <alignment horizontal="center"/>
      <protection locked="0"/>
    </xf>
    <xf numFmtId="6" fontId="88" fillId="30" borderId="89" xfId="11" applyNumberFormat="1" applyFont="1" applyFill="1" applyBorder="1" applyAlignment="1" applyProtection="1">
      <alignment horizontal="center"/>
      <protection locked="0"/>
    </xf>
    <xf numFmtId="207" fontId="88" fillId="30" borderId="63" xfId="11" applyNumberFormat="1" applyFont="1" applyFill="1" applyBorder="1" applyAlignment="1" applyProtection="1">
      <alignment horizontal="center"/>
      <protection locked="0"/>
    </xf>
    <xf numFmtId="203" fontId="88" fillId="30" borderId="90" xfId="11" applyNumberFormat="1" applyFont="1" applyFill="1" applyBorder="1" applyAlignment="1" applyProtection="1">
      <alignment horizontal="center"/>
      <protection locked="0"/>
    </xf>
    <xf numFmtId="204" fontId="88" fillId="30" borderId="118" xfId="11" applyNumberFormat="1" applyFont="1" applyFill="1" applyBorder="1" applyAlignment="1" applyProtection="1">
      <alignment horizontal="center"/>
      <protection locked="0"/>
    </xf>
    <xf numFmtId="6" fontId="88" fillId="30" borderId="63" xfId="11" applyNumberFormat="1" applyFont="1" applyFill="1" applyBorder="1" applyAlignment="1" applyProtection="1">
      <alignment horizontal="center"/>
      <protection locked="0"/>
    </xf>
    <xf numFmtId="204" fontId="88" fillId="30" borderId="63" xfId="11" applyNumberFormat="1" applyFont="1" applyFill="1" applyBorder="1" applyAlignment="1" applyProtection="1">
      <alignment horizontal="center"/>
      <protection locked="0"/>
    </xf>
    <xf numFmtId="207" fontId="88" fillId="30" borderId="25" xfId="11" applyNumberFormat="1" applyFont="1" applyFill="1" applyBorder="1" applyAlignment="1" applyProtection="1">
      <alignment horizontal="center"/>
      <protection locked="0"/>
    </xf>
    <xf numFmtId="203" fontId="88" fillId="30" borderId="9" xfId="11" applyNumberFormat="1" applyFont="1" applyFill="1" applyBorder="1" applyAlignment="1" applyProtection="1">
      <alignment horizontal="center"/>
      <protection locked="0"/>
    </xf>
    <xf numFmtId="204" fontId="88" fillId="30" borderId="11" xfId="11" applyNumberFormat="1" applyFont="1" applyFill="1" applyBorder="1" applyAlignment="1" applyProtection="1">
      <alignment horizontal="center"/>
      <protection locked="0"/>
    </xf>
    <xf numFmtId="208" fontId="88" fillId="30" borderId="25" xfId="11" applyNumberFormat="1" applyFont="1" applyFill="1" applyBorder="1" applyAlignment="1" applyProtection="1">
      <alignment horizontal="center"/>
      <protection locked="0"/>
    </xf>
    <xf numFmtId="208" fontId="88" fillId="30" borderId="89" xfId="11" applyNumberFormat="1" applyFont="1" applyFill="1" applyBorder="1" applyAlignment="1" applyProtection="1">
      <alignment horizontal="center"/>
      <protection locked="0"/>
    </xf>
    <xf numFmtId="208" fontId="88" fillId="30" borderId="63" xfId="11" applyNumberFormat="1" applyFont="1" applyFill="1" applyBorder="1" applyAlignment="1" applyProtection="1">
      <alignment horizontal="center"/>
      <protection locked="0"/>
    </xf>
    <xf numFmtId="203" fontId="88" fillId="30" borderId="10" xfId="11" applyNumberFormat="1" applyFont="1" applyFill="1" applyBorder="1" applyAlignment="1" applyProtection="1">
      <alignment horizontal="center"/>
      <protection locked="0"/>
    </xf>
    <xf numFmtId="204" fontId="88" fillId="30" borderId="10" xfId="11" applyNumberFormat="1" applyFont="1" applyFill="1" applyBorder="1" applyAlignment="1" applyProtection="1">
      <alignment horizontal="center"/>
      <protection locked="0"/>
    </xf>
    <xf numFmtId="203" fontId="88" fillId="30" borderId="0" xfId="11" applyNumberFormat="1" applyFont="1" applyFill="1" applyAlignment="1" applyProtection="1">
      <alignment horizontal="center"/>
      <protection locked="0"/>
    </xf>
    <xf numFmtId="204" fontId="88" fillId="30" borderId="0" xfId="11" applyNumberFormat="1" applyFont="1" applyFill="1" applyAlignment="1" applyProtection="1">
      <alignment horizontal="center"/>
      <protection locked="0"/>
    </xf>
    <xf numFmtId="203" fontId="88" fillId="30" borderId="7" xfId="11" applyNumberFormat="1" applyFont="1" applyFill="1" applyBorder="1" applyAlignment="1" applyProtection="1">
      <alignment horizontal="center"/>
      <protection locked="0"/>
    </xf>
    <xf numFmtId="204" fontId="88" fillId="30" borderId="7" xfId="11" applyNumberFormat="1" applyFont="1" applyFill="1" applyBorder="1" applyAlignment="1" applyProtection="1">
      <alignment horizontal="center"/>
      <protection locked="0"/>
    </xf>
    <xf numFmtId="208" fontId="88" fillId="30" borderId="0" xfId="11" applyNumberFormat="1" applyFont="1" applyFill="1" applyAlignment="1" applyProtection="1">
      <alignment horizontal="center"/>
      <protection locked="0"/>
    </xf>
    <xf numFmtId="208" fontId="88" fillId="30" borderId="7" xfId="11" applyNumberFormat="1" applyFont="1" applyFill="1" applyBorder="1" applyAlignment="1" applyProtection="1">
      <alignment horizontal="center"/>
      <protection locked="0"/>
    </xf>
    <xf numFmtId="207" fontId="88" fillId="30" borderId="9" xfId="11" applyNumberFormat="1" applyFont="1" applyFill="1" applyBorder="1" applyAlignment="1" applyProtection="1">
      <alignment horizontal="center"/>
      <protection locked="0"/>
    </xf>
    <xf numFmtId="207" fontId="88" fillId="30" borderId="27" xfId="11" applyNumberFormat="1" applyFont="1" applyFill="1" applyBorder="1" applyAlignment="1" applyProtection="1">
      <alignment horizontal="center"/>
      <protection locked="0"/>
    </xf>
    <xf numFmtId="208" fontId="88" fillId="30" borderId="27" xfId="11" applyNumberFormat="1" applyFont="1" applyFill="1" applyBorder="1" applyAlignment="1" applyProtection="1">
      <alignment horizontal="center"/>
      <protection locked="0"/>
    </xf>
    <xf numFmtId="207" fontId="88" fillId="30" borderId="90" xfId="11" applyNumberFormat="1" applyFont="1" applyFill="1" applyBorder="1" applyAlignment="1" applyProtection="1">
      <alignment horizontal="center"/>
      <protection locked="0"/>
    </xf>
    <xf numFmtId="208" fontId="88" fillId="30" borderId="90" xfId="11" applyNumberFormat="1" applyFont="1" applyFill="1" applyBorder="1" applyAlignment="1" applyProtection="1">
      <alignment horizontal="center"/>
      <protection locked="0"/>
    </xf>
    <xf numFmtId="208" fontId="88" fillId="30" borderId="9" xfId="11" applyNumberFormat="1" applyFont="1" applyFill="1" applyBorder="1" applyAlignment="1" applyProtection="1">
      <alignment horizontal="center"/>
      <protection locked="0"/>
    </xf>
    <xf numFmtId="209" fontId="88" fillId="30" borderId="27" xfId="11" applyNumberFormat="1" applyFont="1" applyFill="1" applyBorder="1" applyAlignment="1" applyProtection="1">
      <alignment horizontal="center"/>
      <protection locked="0"/>
    </xf>
    <xf numFmtId="17" fontId="88" fillId="30" borderId="25" xfId="11" applyNumberFormat="1" applyFont="1" applyFill="1" applyBorder="1" applyAlignment="1" applyProtection="1">
      <alignment horizontal="center"/>
      <protection locked="0"/>
    </xf>
    <xf numFmtId="17" fontId="88" fillId="30" borderId="89" xfId="11" applyNumberFormat="1" applyFont="1" applyFill="1" applyBorder="1" applyAlignment="1" applyProtection="1">
      <alignment horizontal="center"/>
      <protection locked="0"/>
    </xf>
    <xf numFmtId="17" fontId="88" fillId="30" borderId="63" xfId="11" applyNumberFormat="1" applyFont="1" applyFill="1" applyBorder="1" applyAlignment="1" applyProtection="1">
      <alignment horizontal="center"/>
      <protection locked="0"/>
    </xf>
    <xf numFmtId="8" fontId="88" fillId="30" borderId="0" xfId="11" applyNumberFormat="1" applyFont="1" applyFill="1" applyProtection="1">
      <protection locked="0"/>
    </xf>
    <xf numFmtId="203" fontId="88" fillId="30" borderId="0" xfId="11" applyNumberFormat="1" applyFont="1" applyFill="1" applyProtection="1">
      <protection locked="0"/>
    </xf>
    <xf numFmtId="6" fontId="88" fillId="30" borderId="25" xfId="11" applyNumberFormat="1" applyFont="1" applyFill="1" applyBorder="1" applyAlignment="1" applyProtection="1">
      <alignment horizontal="center"/>
      <protection locked="0"/>
    </xf>
    <xf numFmtId="6" fontId="88" fillId="30" borderId="0" xfId="11" applyNumberFormat="1" applyFont="1" applyFill="1" applyProtection="1">
      <protection locked="0"/>
    </xf>
    <xf numFmtId="208" fontId="88" fillId="30" borderId="0" xfId="11" applyNumberFormat="1" applyFont="1" applyFill="1" applyProtection="1">
      <protection locked="0"/>
    </xf>
    <xf numFmtId="6" fontId="88" fillId="30" borderId="89" xfId="14" applyNumberFormat="1" applyFont="1" applyFill="1" applyBorder="1" applyAlignment="1" applyProtection="1">
      <alignment horizontal="center"/>
      <protection locked="0"/>
    </xf>
    <xf numFmtId="6" fontId="88" fillId="30" borderId="28" xfId="11" applyNumberFormat="1" applyFont="1" applyFill="1" applyBorder="1" applyAlignment="1" applyProtection="1">
      <alignment horizontal="center"/>
      <protection locked="0"/>
    </xf>
    <xf numFmtId="17" fontId="88" fillId="30" borderId="9" xfId="11" applyNumberFormat="1" applyFont="1" applyFill="1" applyBorder="1" applyAlignment="1" applyProtection="1">
      <alignment horizontal="center"/>
      <protection locked="0"/>
    </xf>
    <xf numFmtId="0" fontId="88" fillId="30" borderId="0" xfId="11" applyFont="1" applyFill="1" applyAlignment="1" applyProtection="1">
      <alignment horizontal="center"/>
      <protection locked="0"/>
    </xf>
    <xf numFmtId="204" fontId="88" fillId="30" borderId="0" xfId="11" applyNumberFormat="1" applyFont="1" applyFill="1" applyProtection="1">
      <protection locked="0"/>
    </xf>
    <xf numFmtId="6" fontId="88" fillId="30" borderId="27" xfId="11" applyNumberFormat="1" applyFont="1" applyFill="1" applyBorder="1" applyAlignment="1" applyProtection="1">
      <alignment horizontal="center"/>
      <protection locked="0"/>
    </xf>
    <xf numFmtId="6" fontId="88" fillId="5" borderId="35" xfId="11" applyNumberFormat="1" applyFont="1" applyFill="1" applyBorder="1" applyAlignment="1" applyProtection="1">
      <alignment horizontal="center"/>
      <protection locked="0"/>
    </xf>
    <xf numFmtId="0" fontId="0" fillId="0" borderId="93" xfId="0" applyBorder="1"/>
    <xf numFmtId="0" fontId="0" fillId="0" borderId="41" xfId="0" applyFill="1" applyBorder="1" applyAlignment="1">
      <alignment wrapText="1"/>
    </xf>
    <xf numFmtId="1" fontId="0" fillId="0" borderId="64" xfId="0" applyNumberFormat="1" applyBorder="1"/>
    <xf numFmtId="9" fontId="0" fillId="0" borderId="93" xfId="0" applyNumberFormat="1" applyBorder="1" applyAlignment="1">
      <alignment horizontal="left"/>
    </xf>
    <xf numFmtId="1" fontId="0" fillId="0" borderId="46" xfId="0" applyNumberFormat="1" applyBorder="1"/>
    <xf numFmtId="0" fontId="30" fillId="0" borderId="35" xfId="0" applyFont="1" applyBorder="1" applyAlignment="1">
      <alignment horizontal="center"/>
    </xf>
    <xf numFmtId="0" fontId="30" fillId="0" borderId="48" xfId="0" applyFont="1" applyBorder="1"/>
    <xf numFmtId="43" fontId="27" fillId="13" borderId="49" xfId="6" applyFont="1" applyFill="1" applyBorder="1"/>
    <xf numFmtId="0" fontId="29" fillId="0" borderId="0" xfId="0" applyFont="1" applyBorder="1" applyAlignment="1">
      <alignment horizontal="center"/>
    </xf>
    <xf numFmtId="168" fontId="27" fillId="14" borderId="56" xfId="1" applyNumberFormat="1" applyFont="1" applyFill="1" applyBorder="1"/>
    <xf numFmtId="168" fontId="27" fillId="14" borderId="74" xfId="1" applyNumberFormat="1" applyFont="1" applyFill="1" applyBorder="1"/>
    <xf numFmtId="0" fontId="67" fillId="0" borderId="4" xfId="7" applyFont="1" applyBorder="1" applyAlignment="1">
      <alignment horizontal="center"/>
    </xf>
    <xf numFmtId="0" fontId="67" fillId="0" borderId="70" xfId="7" applyFont="1" applyBorder="1"/>
    <xf numFmtId="0" fontId="67" fillId="0" borderId="71" xfId="7" applyFont="1" applyBorder="1"/>
    <xf numFmtId="0" fontId="67" fillId="0" borderId="63" xfId="7" applyFont="1" applyBorder="1" applyAlignment="1">
      <alignment horizontal="center"/>
    </xf>
    <xf numFmtId="168" fontId="67" fillId="0" borderId="71" xfId="1" applyNumberFormat="1" applyFont="1" applyBorder="1"/>
    <xf numFmtId="168" fontId="67" fillId="0" borderId="82" xfId="1" applyNumberFormat="1" applyFont="1" applyBorder="1"/>
    <xf numFmtId="0" fontId="49" fillId="5" borderId="4" xfId="0" applyFont="1" applyFill="1" applyBorder="1" applyAlignment="1">
      <alignment horizontal="center"/>
    </xf>
    <xf numFmtId="0" fontId="101" fillId="26" borderId="4" xfId="11" applyFont="1" applyFill="1" applyBorder="1" applyAlignment="1">
      <alignment horizontal="left" wrapText="1"/>
    </xf>
    <xf numFmtId="0" fontId="2" fillId="3" borderId="25" xfId="0" applyFont="1" applyFill="1" applyBorder="1"/>
    <xf numFmtId="0" fontId="101" fillId="26" borderId="65" xfId="11" applyFont="1" applyFill="1" applyBorder="1" applyAlignment="1">
      <alignment horizontal="left" wrapText="1"/>
    </xf>
    <xf numFmtId="0" fontId="2" fillId="3" borderId="66" xfId="0" applyFont="1" applyFill="1" applyBorder="1"/>
    <xf numFmtId="0" fontId="2" fillId="3" borderId="67" xfId="0" applyFont="1" applyFill="1" applyBorder="1"/>
    <xf numFmtId="0" fontId="2" fillId="3" borderId="68" xfId="0" applyFont="1" applyFill="1" applyBorder="1"/>
    <xf numFmtId="0" fontId="2" fillId="3" borderId="69" xfId="0" applyFont="1" applyFill="1" applyBorder="1"/>
    <xf numFmtId="0" fontId="2" fillId="3" borderId="70" xfId="0" applyFont="1" applyFill="1" applyBorder="1"/>
    <xf numFmtId="0" fontId="2" fillId="3" borderId="71" xfId="0" applyFont="1" applyFill="1" applyBorder="1"/>
    <xf numFmtId="0" fontId="2" fillId="3" borderId="82" xfId="0" applyFont="1" applyFill="1" applyBorder="1"/>
    <xf numFmtId="168" fontId="2" fillId="3" borderId="36" xfId="1" applyNumberFormat="1" applyFont="1" applyFill="1" applyBorder="1"/>
    <xf numFmtId="0" fontId="2" fillId="3" borderId="52" xfId="0" applyFont="1" applyFill="1" applyBorder="1"/>
    <xf numFmtId="0" fontId="60" fillId="3" borderId="65" xfId="0" applyFont="1" applyFill="1" applyBorder="1"/>
    <xf numFmtId="0" fontId="101" fillId="26" borderId="68" xfId="11" applyFont="1" applyFill="1" applyBorder="1" applyAlignment="1">
      <alignment horizontal="left" wrapText="1"/>
    </xf>
    <xf numFmtId="168" fontId="2" fillId="3" borderId="70" xfId="1" applyNumberFormat="1" applyFont="1" applyFill="1" applyBorder="1"/>
    <xf numFmtId="0" fontId="102" fillId="6" borderId="65" xfId="0" applyFont="1" applyFill="1" applyBorder="1"/>
    <xf numFmtId="0" fontId="103" fillId="26" borderId="68" xfId="11" applyFont="1" applyFill="1" applyBorder="1" applyAlignment="1">
      <alignment horizontal="left" wrapText="1"/>
    </xf>
    <xf numFmtId="0" fontId="104" fillId="0" borderId="68" xfId="0" applyFont="1" applyBorder="1"/>
    <xf numFmtId="9" fontId="104" fillId="0" borderId="68" xfId="2" applyFont="1" applyBorder="1"/>
    <xf numFmtId="168" fontId="104" fillId="3" borderId="68" xfId="1" applyNumberFormat="1" applyFont="1" applyFill="1" applyBorder="1"/>
    <xf numFmtId="165" fontId="2" fillId="3" borderId="4" xfId="1" applyFont="1" applyFill="1" applyBorder="1"/>
    <xf numFmtId="165" fontId="2" fillId="3" borderId="4" xfId="0" applyNumberFormat="1" applyFont="1" applyFill="1" applyBorder="1"/>
    <xf numFmtId="168" fontId="2" fillId="3" borderId="4" xfId="0" applyNumberFormat="1" applyFont="1" applyFill="1" applyBorder="1"/>
    <xf numFmtId="0" fontId="2" fillId="3" borderId="5" xfId="0" applyFont="1" applyFill="1" applyBorder="1"/>
    <xf numFmtId="1" fontId="2" fillId="3" borderId="4" xfId="0" applyNumberFormat="1" applyFont="1" applyFill="1" applyBorder="1"/>
    <xf numFmtId="0" fontId="6" fillId="8" borderId="4" xfId="0" applyFont="1" applyFill="1" applyBorder="1" applyAlignment="1">
      <alignment horizontal="center"/>
    </xf>
    <xf numFmtId="165" fontId="2" fillId="3" borderId="71" xfId="1" applyFont="1" applyFill="1" applyBorder="1"/>
    <xf numFmtId="168" fontId="2" fillId="3" borderId="71" xfId="0" applyNumberFormat="1" applyFont="1" applyFill="1" applyBorder="1"/>
    <xf numFmtId="165" fontId="2" fillId="3" borderId="71" xfId="0" applyNumberFormat="1" applyFont="1" applyFill="1" applyBorder="1"/>
    <xf numFmtId="0" fontId="2" fillId="3" borderId="107" xfId="0" applyFont="1" applyFill="1" applyBorder="1"/>
    <xf numFmtId="0" fontId="2" fillId="3" borderId="98" xfId="0" applyFont="1" applyFill="1" applyBorder="1"/>
    <xf numFmtId="2" fontId="2" fillId="3" borderId="71" xfId="0" applyNumberFormat="1" applyFont="1" applyFill="1" applyBorder="1"/>
    <xf numFmtId="0" fontId="3" fillId="3" borderId="0" xfId="0" applyFont="1" applyFill="1" applyBorder="1"/>
    <xf numFmtId="0" fontId="10" fillId="3" borderId="0" xfId="0" applyFont="1" applyFill="1" applyBorder="1" applyAlignment="1">
      <alignment horizontal="right"/>
    </xf>
    <xf numFmtId="0" fontId="3" fillId="3" borderId="0" xfId="0" applyFont="1" applyFill="1" applyBorder="1" applyAlignment="1">
      <alignment horizontal="center"/>
    </xf>
    <xf numFmtId="0" fontId="2" fillId="3" borderId="48" xfId="0" applyFont="1" applyFill="1" applyBorder="1"/>
    <xf numFmtId="0" fontId="3" fillId="19" borderId="0" xfId="0" applyFont="1" applyFill="1" applyBorder="1"/>
    <xf numFmtId="0" fontId="11" fillId="19" borderId="0" xfId="0" applyFont="1" applyFill="1" applyBorder="1" applyAlignment="1">
      <alignment horizontal="right"/>
    </xf>
    <xf numFmtId="0" fontId="2" fillId="19" borderId="0" xfId="0" applyFont="1" applyFill="1" applyBorder="1" applyAlignment="1">
      <alignment horizontal="center"/>
    </xf>
    <xf numFmtId="9" fontId="3" fillId="19" borderId="0" xfId="0" applyNumberFormat="1" applyFont="1" applyFill="1" applyBorder="1"/>
    <xf numFmtId="166" fontId="2" fillId="19" borderId="0" xfId="0" applyNumberFormat="1" applyFont="1" applyFill="1" applyBorder="1"/>
    <xf numFmtId="0" fontId="10" fillId="3" borderId="45" xfId="0" applyFont="1" applyFill="1" applyBorder="1"/>
    <xf numFmtId="0" fontId="5" fillId="2" borderId="36" xfId="0" applyFont="1" applyFill="1" applyBorder="1"/>
    <xf numFmtId="0" fontId="2" fillId="2" borderId="53" xfId="0" applyFont="1" applyFill="1" applyBorder="1"/>
    <xf numFmtId="0" fontId="2" fillId="2" borderId="54" xfId="0" applyFont="1" applyFill="1" applyBorder="1"/>
    <xf numFmtId="165" fontId="2" fillId="3" borderId="0" xfId="1" applyNumberFormat="1" applyFont="1" applyFill="1"/>
    <xf numFmtId="175" fontId="30" fillId="13" borderId="55" xfId="1" applyNumberFormat="1" applyFont="1" applyFill="1" applyBorder="1" applyAlignment="1">
      <alignment horizontal="left" indent="11"/>
    </xf>
    <xf numFmtId="168" fontId="30" fillId="0" borderId="0" xfId="1" applyNumberFormat="1" applyFont="1"/>
    <xf numFmtId="168" fontId="30" fillId="13" borderId="55" xfId="1" applyNumberFormat="1" applyFont="1" applyFill="1" applyBorder="1" applyAlignment="1">
      <alignment horizontal="left" indent="11"/>
    </xf>
    <xf numFmtId="0" fontId="54" fillId="0" borderId="0" xfId="7" applyFont="1" applyFill="1"/>
    <xf numFmtId="190" fontId="27" fillId="13" borderId="55" xfId="1" applyNumberFormat="1" applyFont="1" applyFill="1" applyBorder="1" applyAlignment="1">
      <alignment horizontal="right"/>
    </xf>
    <xf numFmtId="210" fontId="27" fillId="13" borderId="55" xfId="1" applyNumberFormat="1" applyFont="1" applyFill="1" applyBorder="1" applyAlignment="1">
      <alignment horizontal="right"/>
    </xf>
    <xf numFmtId="166" fontId="27" fillId="13" borderId="55" xfId="4" applyNumberFormat="1" applyFont="1" applyProtection="1"/>
    <xf numFmtId="0" fontId="27" fillId="13" borderId="55" xfId="4" applyFont="1" applyAlignment="1" applyProtection="1">
      <alignment horizontal="right"/>
    </xf>
    <xf numFmtId="0" fontId="27" fillId="13" borderId="55" xfId="4" applyFont="1" applyProtection="1"/>
    <xf numFmtId="0" fontId="27" fillId="14" borderId="55" xfId="5" applyFont="1"/>
    <xf numFmtId="166" fontId="27" fillId="14" borderId="55" xfId="5" applyNumberFormat="1" applyFont="1"/>
    <xf numFmtId="10" fontId="27" fillId="13" borderId="55" xfId="4" applyNumberFormat="1" applyFont="1" applyProtection="1"/>
    <xf numFmtId="10" fontId="27" fillId="14" borderId="55" xfId="5" applyNumberFormat="1" applyFont="1"/>
    <xf numFmtId="43" fontId="27" fillId="14" borderId="55" xfId="5" applyNumberFormat="1" applyFont="1"/>
    <xf numFmtId="2" fontId="27" fillId="14" borderId="55" xfId="5" applyNumberFormat="1" applyFont="1"/>
    <xf numFmtId="185" fontId="27" fillId="13" borderId="55" xfId="4" applyNumberFormat="1" applyFont="1" applyProtection="1"/>
    <xf numFmtId="185" fontId="27" fillId="13" borderId="56" xfId="4" applyNumberFormat="1" applyFont="1" applyBorder="1" applyProtection="1"/>
    <xf numFmtId="43" fontId="27" fillId="14" borderId="56" xfId="5" applyNumberFormat="1" applyFont="1" applyBorder="1"/>
    <xf numFmtId="170" fontId="27" fillId="14" borderId="55" xfId="5" applyNumberFormat="1" applyFont="1"/>
    <xf numFmtId="167" fontId="27" fillId="14" borderId="55" xfId="5" applyNumberFormat="1" applyFont="1"/>
    <xf numFmtId="185" fontId="27" fillId="13" borderId="0" xfId="4" applyNumberFormat="1" applyFont="1" applyBorder="1" applyProtection="1"/>
    <xf numFmtId="43" fontId="27" fillId="14" borderId="74" xfId="5" applyNumberFormat="1" applyFont="1" applyBorder="1"/>
    <xf numFmtId="43" fontId="27" fillId="14" borderId="57" xfId="5" applyNumberFormat="1" applyFont="1" applyBorder="1"/>
    <xf numFmtId="167" fontId="27" fillId="14" borderId="58" xfId="5" applyNumberFormat="1" applyFont="1" applyBorder="1"/>
    <xf numFmtId="170" fontId="27" fillId="14" borderId="58" xfId="5" applyNumberFormat="1" applyFont="1" applyBorder="1"/>
    <xf numFmtId="196" fontId="92" fillId="32" borderId="35" xfId="0" applyNumberFormat="1" applyFont="1" applyFill="1" applyBorder="1" applyAlignment="1" applyProtection="1">
      <alignment horizontal="right" vertical="center"/>
      <protection locked="0"/>
    </xf>
    <xf numFmtId="195" fontId="66" fillId="13" borderId="1" xfId="1" applyNumberFormat="1" applyFont="1" applyFill="1" applyBorder="1" applyAlignment="1" applyProtection="1">
      <alignment horizontal="right"/>
      <protection locked="0"/>
    </xf>
    <xf numFmtId="195" fontId="92" fillId="13" borderId="1" xfId="0" applyNumberFormat="1" applyFont="1" applyFill="1" applyBorder="1" applyProtection="1">
      <protection locked="0"/>
    </xf>
    <xf numFmtId="193" fontId="92" fillId="13" borderId="1" xfId="0" applyNumberFormat="1" applyFont="1" applyFill="1" applyBorder="1" applyProtection="1">
      <protection locked="0"/>
    </xf>
    <xf numFmtId="9" fontId="92" fillId="13" borderId="1" xfId="2" applyFont="1" applyFill="1" applyBorder="1" applyProtection="1">
      <protection locked="0"/>
    </xf>
    <xf numFmtId="9" fontId="27" fillId="14" borderId="55" xfId="5" applyNumberFormat="1" applyFont="1"/>
    <xf numFmtId="9" fontId="27" fillId="0" borderId="55" xfId="5" applyNumberFormat="1" applyFont="1" applyFill="1"/>
    <xf numFmtId="199" fontId="27" fillId="14" borderId="55" xfId="5" applyNumberFormat="1" applyFont="1"/>
    <xf numFmtId="0" fontId="104" fillId="0" borderId="0" xfId="0" applyFont="1"/>
    <xf numFmtId="167" fontId="27" fillId="14" borderId="61" xfId="5" applyNumberFormat="1" applyFont="1" applyBorder="1"/>
    <xf numFmtId="43" fontId="27" fillId="14" borderId="58" xfId="5" applyNumberFormat="1" applyFont="1" applyBorder="1"/>
    <xf numFmtId="43" fontId="27" fillId="14" borderId="127" xfId="5" applyNumberFormat="1" applyFont="1" applyBorder="1"/>
    <xf numFmtId="43" fontId="27" fillId="14" borderId="59" xfId="5" applyNumberFormat="1" applyFont="1" applyBorder="1"/>
    <xf numFmtId="9" fontId="27" fillId="13" borderId="55" xfId="4" applyNumberFormat="1" applyFont="1" applyProtection="1"/>
    <xf numFmtId="184" fontId="27" fillId="13" borderId="55" xfId="4" applyNumberFormat="1" applyFont="1" applyProtection="1"/>
    <xf numFmtId="171" fontId="27" fillId="13" borderId="55" xfId="4" applyNumberFormat="1" applyFont="1" applyProtection="1"/>
    <xf numFmtId="181" fontId="27" fillId="13" borderId="55" xfId="4" applyNumberFormat="1" applyFont="1" applyProtection="1"/>
    <xf numFmtId="185" fontId="27" fillId="13" borderId="58" xfId="4" applyNumberFormat="1" applyFont="1" applyBorder="1" applyProtection="1"/>
    <xf numFmtId="167" fontId="27" fillId="14" borderId="74" xfId="5" applyNumberFormat="1" applyFont="1" applyBorder="1"/>
    <xf numFmtId="183" fontId="27" fillId="0" borderId="55" xfId="5" applyNumberFormat="1" applyFont="1" applyFill="1"/>
    <xf numFmtId="183" fontId="27" fillId="14" borderId="55" xfId="5" applyNumberFormat="1" applyFont="1"/>
    <xf numFmtId="10" fontId="27" fillId="13" borderId="75" xfId="4" applyNumberFormat="1" applyFont="1" applyBorder="1" applyProtection="1"/>
    <xf numFmtId="2" fontId="27" fillId="13" borderId="75" xfId="4" applyNumberFormat="1" applyFont="1" applyBorder="1" applyProtection="1"/>
    <xf numFmtId="171" fontId="27" fillId="14" borderId="75" xfId="5" applyNumberFormat="1" applyFont="1" applyBorder="1"/>
    <xf numFmtId="9" fontId="27" fillId="13" borderId="76" xfId="4" applyNumberFormat="1" applyFont="1" applyBorder="1" applyProtection="1"/>
    <xf numFmtId="9" fontId="27" fillId="13" borderId="53" xfId="4" applyNumberFormat="1" applyFont="1" applyBorder="1" applyProtection="1"/>
    <xf numFmtId="9" fontId="27" fillId="13" borderId="0" xfId="4" applyNumberFormat="1" applyFont="1" applyBorder="1" applyProtection="1"/>
    <xf numFmtId="9" fontId="27" fillId="13" borderId="49" xfId="4" applyNumberFormat="1" applyFont="1" applyBorder="1" applyProtection="1"/>
    <xf numFmtId="0" fontId="67" fillId="0" borderId="72" xfId="7" applyFont="1" applyBorder="1" applyAlignment="1">
      <alignment horizontal="center"/>
    </xf>
    <xf numFmtId="168" fontId="67" fillId="0" borderId="63" xfId="1" applyNumberFormat="1" applyFont="1" applyBorder="1"/>
    <xf numFmtId="168" fontId="67" fillId="0" borderId="63" xfId="1" applyNumberFormat="1" applyFont="1" applyBorder="1" applyAlignment="1">
      <alignment horizontal="center"/>
    </xf>
    <xf numFmtId="211" fontId="67" fillId="0" borderId="68" xfId="7" applyNumberFormat="1" applyFont="1" applyBorder="1" applyAlignment="1">
      <alignment horizontal="center"/>
    </xf>
    <xf numFmtId="168" fontId="67" fillId="0" borderId="108" xfId="1" applyNumberFormat="1" applyFont="1" applyBorder="1"/>
    <xf numFmtId="168" fontId="2" fillId="3" borderId="53" xfId="1" applyNumberFormat="1" applyFont="1" applyFill="1" applyBorder="1"/>
    <xf numFmtId="168" fontId="67" fillId="0" borderId="129" xfId="1" applyNumberFormat="1" applyFont="1" applyBorder="1"/>
    <xf numFmtId="168" fontId="67" fillId="0" borderId="90" xfId="1" applyNumberFormat="1" applyFont="1" applyBorder="1"/>
    <xf numFmtId="165" fontId="67" fillId="0" borderId="5" xfId="1" applyNumberFormat="1" applyFont="1" applyBorder="1"/>
    <xf numFmtId="168" fontId="67" fillId="0" borderId="54" xfId="1" applyNumberFormat="1" applyFont="1" applyBorder="1"/>
    <xf numFmtId="168" fontId="67" fillId="0" borderId="46" xfId="1" applyNumberFormat="1" applyFont="1" applyBorder="1" applyAlignment="1">
      <alignment horizontal="center"/>
    </xf>
    <xf numFmtId="168" fontId="67" fillId="0" borderId="35" xfId="1" applyNumberFormat="1" applyFont="1" applyFill="1" applyBorder="1"/>
    <xf numFmtId="168" fontId="67" fillId="0" borderId="77" xfId="1" applyNumberFormat="1" applyFont="1" applyBorder="1"/>
    <xf numFmtId="168" fontId="67" fillId="0" borderId="50" xfId="1" applyNumberFormat="1" applyFont="1" applyBorder="1" applyAlignment="1">
      <alignment horizontal="center"/>
    </xf>
    <xf numFmtId="165" fontId="67" fillId="0" borderId="117" xfId="1" applyNumberFormat="1" applyFont="1" applyFill="1" applyBorder="1"/>
    <xf numFmtId="165" fontId="67" fillId="0" borderId="39" xfId="1" applyNumberFormat="1" applyFont="1" applyFill="1" applyBorder="1" applyAlignment="1">
      <alignment horizontal="center"/>
    </xf>
    <xf numFmtId="165" fontId="67" fillId="0" borderId="105" xfId="1" applyNumberFormat="1" applyFont="1" applyFill="1" applyBorder="1" applyAlignment="1">
      <alignment horizontal="center"/>
    </xf>
    <xf numFmtId="165" fontId="67" fillId="0" borderId="0" xfId="1" applyFont="1" applyBorder="1"/>
    <xf numFmtId="165" fontId="67" fillId="0" borderId="4" xfId="1" applyFont="1" applyBorder="1"/>
    <xf numFmtId="0" fontId="74" fillId="0" borderId="4" xfId="7" applyFont="1" applyBorder="1" applyAlignment="1">
      <alignment horizontal="center" wrapText="1"/>
    </xf>
    <xf numFmtId="165" fontId="27" fillId="13" borderId="55" xfId="1" applyNumberFormat="1" applyFont="1" applyFill="1" applyBorder="1" applyAlignment="1">
      <alignment horizontal="left" indent="11"/>
    </xf>
    <xf numFmtId="0" fontId="67" fillId="5" borderId="65" xfId="7" applyFont="1" applyFill="1" applyBorder="1"/>
    <xf numFmtId="0" fontId="93" fillId="5" borderId="66" xfId="7" applyFont="1" applyFill="1" applyBorder="1" applyAlignment="1">
      <alignment horizontal="center"/>
    </xf>
    <xf numFmtId="0" fontId="49" fillId="5" borderId="66" xfId="0" applyFont="1" applyFill="1" applyBorder="1" applyAlignment="1">
      <alignment horizontal="center"/>
    </xf>
    <xf numFmtId="0" fontId="49" fillId="5" borderId="67" xfId="0" applyFont="1" applyFill="1" applyBorder="1" applyAlignment="1">
      <alignment horizontal="center"/>
    </xf>
    <xf numFmtId="0" fontId="67" fillId="0" borderId="68" xfId="7" applyFont="1" applyFill="1" applyBorder="1"/>
    <xf numFmtId="0" fontId="67" fillId="0" borderId="0" xfId="7" applyFont="1" applyFill="1" applyBorder="1"/>
    <xf numFmtId="0" fontId="74" fillId="0" borderId="69" xfId="7" applyFont="1" applyBorder="1" applyAlignment="1">
      <alignment horizontal="center"/>
    </xf>
    <xf numFmtId="165" fontId="67" fillId="0" borderId="69" xfId="1" applyNumberFormat="1" applyFont="1" applyBorder="1" applyAlignment="1">
      <alignment horizontal="center"/>
    </xf>
    <xf numFmtId="165" fontId="67" fillId="0" borderId="71" xfId="1" applyFont="1" applyBorder="1" applyAlignment="1">
      <alignment horizontal="center"/>
    </xf>
    <xf numFmtId="165" fontId="67" fillId="0" borderId="50" xfId="7" applyNumberFormat="1" applyFont="1" applyBorder="1"/>
    <xf numFmtId="165" fontId="67" fillId="0" borderId="82" xfId="7" applyNumberFormat="1" applyFont="1" applyBorder="1"/>
    <xf numFmtId="175" fontId="67" fillId="0" borderId="25" xfId="1" applyNumberFormat="1" applyFont="1" applyBorder="1"/>
    <xf numFmtId="165" fontId="67" fillId="0" borderId="69" xfId="7" applyNumberFormat="1" applyFont="1" applyBorder="1"/>
    <xf numFmtId="175" fontId="67" fillId="0" borderId="98" xfId="1" applyNumberFormat="1" applyFont="1" applyBorder="1"/>
    <xf numFmtId="0" fontId="67" fillId="0" borderId="67" xfId="7" applyFont="1" applyBorder="1"/>
    <xf numFmtId="0" fontId="74" fillId="0" borderId="69" xfId="7" applyFont="1" applyBorder="1" applyAlignment="1">
      <alignment horizontal="center" wrapText="1"/>
    </xf>
    <xf numFmtId="165" fontId="67" fillId="0" borderId="0" xfId="1" applyNumberFormat="1" applyFont="1" applyBorder="1" applyAlignment="1">
      <alignment horizontal="center"/>
    </xf>
    <xf numFmtId="165" fontId="67" fillId="0" borderId="49" xfId="1" applyNumberFormat="1" applyFont="1" applyBorder="1" applyAlignment="1">
      <alignment horizontal="center"/>
    </xf>
    <xf numFmtId="175" fontId="2" fillId="3" borderId="0" xfId="1" applyNumberFormat="1" applyFont="1" applyFill="1" applyBorder="1"/>
    <xf numFmtId="168" fontId="108" fillId="0" borderId="0" xfId="1" applyNumberFormat="1" applyFont="1"/>
    <xf numFmtId="0" fontId="49" fillId="5" borderId="4" xfId="0" applyFont="1" applyFill="1" applyBorder="1"/>
    <xf numFmtId="0" fontId="49" fillId="5" borderId="25" xfId="0" applyFont="1" applyFill="1" applyBorder="1"/>
    <xf numFmtId="0" fontId="49" fillId="5" borderId="0" xfId="0" applyFont="1" applyFill="1" applyBorder="1"/>
    <xf numFmtId="0" fontId="49" fillId="5" borderId="0" xfId="0" applyFont="1" applyFill="1" applyBorder="1" applyAlignment="1">
      <alignment horizontal="center"/>
    </xf>
    <xf numFmtId="0" fontId="49" fillId="5" borderId="68" xfId="0" applyFont="1" applyFill="1" applyBorder="1"/>
    <xf numFmtId="0" fontId="49" fillId="5" borderId="69" xfId="0" applyFont="1" applyFill="1" applyBorder="1"/>
    <xf numFmtId="0" fontId="49" fillId="5" borderId="107" xfId="0" applyFont="1" applyFill="1" applyBorder="1"/>
    <xf numFmtId="0" fontId="0" fillId="0" borderId="71" xfId="0" applyBorder="1"/>
    <xf numFmtId="0" fontId="49" fillId="5" borderId="4" xfId="0" applyFont="1" applyFill="1" applyBorder="1" applyAlignment="1">
      <alignment wrapText="1"/>
    </xf>
    <xf numFmtId="0" fontId="49" fillId="5" borderId="0" xfId="0" applyFont="1" applyFill="1" applyBorder="1" applyAlignment="1"/>
    <xf numFmtId="0" fontId="49" fillId="5" borderId="46" xfId="0" applyFont="1" applyFill="1" applyBorder="1" applyAlignment="1">
      <alignment horizontal="center"/>
    </xf>
    <xf numFmtId="0" fontId="0" fillId="0" borderId="63" xfId="0" applyBorder="1" applyAlignment="1">
      <alignment horizontal="center"/>
    </xf>
    <xf numFmtId="0" fontId="0" fillId="0" borderId="66" xfId="0" applyBorder="1" applyAlignment="1">
      <alignment horizontal="center"/>
    </xf>
    <xf numFmtId="0" fontId="0" fillId="0" borderId="71" xfId="0" applyBorder="1" applyAlignment="1">
      <alignment horizontal="center"/>
    </xf>
    <xf numFmtId="168" fontId="0" fillId="0" borderId="66" xfId="1" applyNumberFormat="1" applyFont="1" applyBorder="1"/>
    <xf numFmtId="168" fontId="0" fillId="0" borderId="67" xfId="1" applyNumberFormat="1" applyFont="1" applyBorder="1"/>
    <xf numFmtId="0" fontId="0" fillId="0" borderId="25" xfId="0" applyBorder="1"/>
    <xf numFmtId="0" fontId="0" fillId="0" borderId="25" xfId="0" applyBorder="1" applyAlignment="1">
      <alignment horizontal="center"/>
    </xf>
    <xf numFmtId="168" fontId="0" fillId="0" borderId="25" xfId="1" applyNumberFormat="1" applyFont="1" applyBorder="1"/>
    <xf numFmtId="168" fontId="0" fillId="0" borderId="96" xfId="1" applyNumberFormat="1" applyFont="1" applyBorder="1"/>
    <xf numFmtId="0" fontId="0" fillId="0" borderId="130" xfId="0" applyBorder="1"/>
    <xf numFmtId="168" fontId="0" fillId="0" borderId="89" xfId="1" applyNumberFormat="1" applyFont="1" applyFill="1" applyBorder="1"/>
    <xf numFmtId="168" fontId="109" fillId="0" borderId="66" xfId="1" applyNumberFormat="1" applyFont="1" applyBorder="1"/>
    <xf numFmtId="168" fontId="0" fillId="0" borderId="131" xfId="1" applyNumberFormat="1" applyFont="1" applyBorder="1"/>
    <xf numFmtId="168" fontId="0" fillId="0" borderId="82" xfId="1" applyNumberFormat="1" applyFont="1" applyBorder="1"/>
    <xf numFmtId="0" fontId="0" fillId="10" borderId="67" xfId="0" applyFill="1" applyBorder="1"/>
    <xf numFmtId="168" fontId="0" fillId="0" borderId="130" xfId="1" applyNumberFormat="1" applyFont="1" applyFill="1" applyBorder="1"/>
    <xf numFmtId="168" fontId="0" fillId="0" borderId="97" xfId="1" applyNumberFormat="1" applyFont="1" applyBorder="1"/>
    <xf numFmtId="168" fontId="0" fillId="0" borderId="95" xfId="1" applyNumberFormat="1" applyFont="1" applyBorder="1"/>
    <xf numFmtId="168" fontId="0" fillId="0" borderId="130" xfId="1" applyNumberFormat="1" applyFont="1" applyBorder="1"/>
    <xf numFmtId="168" fontId="29" fillId="0" borderId="0" xfId="1" applyNumberFormat="1" applyFont="1" applyAlignment="1">
      <alignment horizontal="right"/>
    </xf>
    <xf numFmtId="198" fontId="30" fillId="13" borderId="55" xfId="1" applyNumberFormat="1" applyFont="1" applyFill="1" applyBorder="1" applyAlignment="1">
      <alignment horizontal="left" indent="11"/>
    </xf>
    <xf numFmtId="198" fontId="27" fillId="14" borderId="55" xfId="1" applyNumberFormat="1" applyFont="1" applyFill="1" applyBorder="1"/>
    <xf numFmtId="0" fontId="27" fillId="0" borderId="0" xfId="0" applyFont="1" applyAlignment="1">
      <alignment horizontal="left"/>
    </xf>
    <xf numFmtId="172" fontId="2" fillId="3" borderId="0" xfId="0" applyNumberFormat="1" applyFont="1" applyFill="1"/>
    <xf numFmtId="168" fontId="110" fillId="3" borderId="0" xfId="0" applyNumberFormat="1" applyFont="1" applyFill="1"/>
    <xf numFmtId="0" fontId="7" fillId="3" borderId="0" xfId="0" applyFont="1" applyFill="1" applyAlignment="1">
      <alignment horizontal="center"/>
    </xf>
    <xf numFmtId="0" fontId="23" fillId="3" borderId="0" xfId="0" applyFont="1" applyFill="1" applyBorder="1"/>
    <xf numFmtId="0" fontId="111" fillId="3" borderId="0" xfId="0" applyFont="1" applyFill="1"/>
    <xf numFmtId="0" fontId="7" fillId="3" borderId="0" xfId="0" applyFont="1" applyFill="1" applyBorder="1" applyAlignment="1">
      <alignment horizontal="center"/>
    </xf>
    <xf numFmtId="184" fontId="2" fillId="3" borderId="0" xfId="0" applyNumberFormat="1" applyFont="1" applyFill="1"/>
    <xf numFmtId="1" fontId="2" fillId="3" borderId="0" xfId="0" applyNumberFormat="1" applyFont="1" applyFill="1" applyBorder="1"/>
    <xf numFmtId="0" fontId="2" fillId="7" borderId="10" xfId="0" applyFont="1" applyFill="1" applyBorder="1"/>
    <xf numFmtId="165" fontId="2" fillId="3" borderId="10" xfId="1" applyFont="1" applyFill="1" applyBorder="1"/>
    <xf numFmtId="168" fontId="54" fillId="0" borderId="0" xfId="1" applyNumberFormat="1" applyFont="1"/>
    <xf numFmtId="0" fontId="54" fillId="0" borderId="93" xfId="7" applyFont="1" applyFill="1" applyBorder="1"/>
    <xf numFmtId="0" fontId="54" fillId="0" borderId="48" xfId="7" applyFont="1" applyBorder="1"/>
    <xf numFmtId="0" fontId="54" fillId="0" borderId="49" xfId="7" applyFont="1" applyBorder="1"/>
    <xf numFmtId="168" fontId="54" fillId="0" borderId="93" xfId="7" applyNumberFormat="1" applyFont="1" applyBorder="1"/>
    <xf numFmtId="168" fontId="54" fillId="0" borderId="0" xfId="7" applyNumberFormat="1" applyFont="1" applyBorder="1"/>
    <xf numFmtId="168" fontId="54" fillId="0" borderId="0" xfId="7" applyNumberFormat="1" applyFont="1"/>
    <xf numFmtId="168" fontId="54" fillId="0" borderId="45" xfId="7" applyNumberFormat="1" applyFont="1" applyBorder="1"/>
    <xf numFmtId="0" fontId="54" fillId="0" borderId="27" xfId="7" applyFont="1" applyBorder="1"/>
    <xf numFmtId="0" fontId="54" fillId="0" borderId="38" xfId="7" applyFont="1" applyBorder="1"/>
    <xf numFmtId="168" fontId="54" fillId="0" borderId="103" xfId="7" applyNumberFormat="1" applyFont="1" applyBorder="1"/>
    <xf numFmtId="0" fontId="113" fillId="13" borderId="40" xfId="7" applyFont="1" applyFill="1" applyBorder="1"/>
    <xf numFmtId="0" fontId="54" fillId="0" borderId="39" xfId="7" applyFont="1" applyBorder="1"/>
    <xf numFmtId="0" fontId="54" fillId="0" borderId="109" xfId="7" applyFont="1" applyBorder="1"/>
    <xf numFmtId="168" fontId="54" fillId="0" borderId="39" xfId="1" applyNumberFormat="1" applyFont="1" applyBorder="1"/>
    <xf numFmtId="168" fontId="54" fillId="0" borderId="94" xfId="1" applyNumberFormat="1" applyFont="1" applyBorder="1"/>
    <xf numFmtId="0" fontId="54" fillId="0" borderId="108" xfId="7" applyFont="1" applyBorder="1"/>
    <xf numFmtId="0" fontId="54" fillId="0" borderId="51" xfId="7" applyFont="1" applyBorder="1"/>
    <xf numFmtId="0" fontId="54" fillId="13" borderId="40" xfId="7" applyFont="1" applyFill="1" applyBorder="1"/>
    <xf numFmtId="175" fontId="54" fillId="0" borderId="109" xfId="1" applyNumberFormat="1" applyFont="1" applyBorder="1"/>
    <xf numFmtId="168" fontId="54" fillId="0" borderId="109" xfId="1" applyNumberFormat="1" applyFont="1" applyBorder="1"/>
    <xf numFmtId="175" fontId="54" fillId="0" borderId="115" xfId="1" applyNumberFormat="1" applyFont="1" applyBorder="1"/>
    <xf numFmtId="175" fontId="54" fillId="0" borderId="54" xfId="7" applyNumberFormat="1" applyFont="1" applyBorder="1"/>
    <xf numFmtId="0" fontId="54" fillId="0" borderId="69" xfId="7" applyFont="1" applyBorder="1"/>
    <xf numFmtId="180" fontId="54" fillId="0" borderId="0" xfId="1" applyNumberFormat="1" applyFont="1"/>
    <xf numFmtId="165" fontId="54" fillId="0" borderId="0" xfId="7" applyNumberFormat="1" applyFont="1"/>
    <xf numFmtId="0" fontId="54" fillId="5" borderId="35" xfId="7" applyFont="1" applyFill="1" applyBorder="1"/>
    <xf numFmtId="0" fontId="54" fillId="5" borderId="53" xfId="7" applyFont="1" applyFill="1" applyBorder="1"/>
    <xf numFmtId="165" fontId="54" fillId="5" borderId="35" xfId="7" applyNumberFormat="1" applyFont="1" applyFill="1" applyBorder="1"/>
    <xf numFmtId="0" fontId="114" fillId="0" borderId="72" xfId="7" applyFont="1" applyBorder="1" applyAlignment="1">
      <alignment horizontal="center"/>
    </xf>
    <xf numFmtId="0" fontId="54" fillId="0" borderId="63" xfId="7" applyFont="1" applyBorder="1" applyAlignment="1">
      <alignment horizontal="center"/>
    </xf>
    <xf numFmtId="168" fontId="54" fillId="0" borderId="4" xfId="1" applyNumberFormat="1" applyFont="1" applyBorder="1" applyAlignment="1">
      <alignment horizontal="center"/>
    </xf>
    <xf numFmtId="175" fontId="54" fillId="0" borderId="5" xfId="1" applyNumberFormat="1" applyFont="1" applyBorder="1"/>
    <xf numFmtId="165" fontId="54" fillId="0" borderId="39" xfId="7" applyNumberFormat="1" applyFont="1" applyBorder="1"/>
    <xf numFmtId="0" fontId="54" fillId="0" borderId="71" xfId="7" applyFont="1" applyBorder="1"/>
    <xf numFmtId="168" fontId="54" fillId="0" borderId="71" xfId="1" applyNumberFormat="1" applyFont="1" applyBorder="1" applyAlignment="1">
      <alignment horizontal="center"/>
    </xf>
    <xf numFmtId="175" fontId="54" fillId="0" borderId="77" xfId="1" applyNumberFormat="1" applyFont="1" applyBorder="1"/>
    <xf numFmtId="165" fontId="54" fillId="0" borderId="105" xfId="7" applyNumberFormat="1" applyFont="1" applyBorder="1"/>
    <xf numFmtId="0" fontId="54" fillId="5" borderId="65" xfId="7" applyFont="1" applyFill="1" applyBorder="1"/>
    <xf numFmtId="0" fontId="54" fillId="0" borderId="68" xfId="7" applyFont="1" applyFill="1" applyBorder="1"/>
    <xf numFmtId="0" fontId="54" fillId="0" borderId="0" xfId="7" applyFont="1" applyFill="1" applyBorder="1"/>
    <xf numFmtId="168" fontId="54" fillId="0" borderId="0" xfId="1" applyNumberFormat="1" applyFont="1" applyFill="1"/>
    <xf numFmtId="0" fontId="54" fillId="0" borderId="4" xfId="7" applyFont="1" applyBorder="1" applyAlignment="1">
      <alignment horizontal="center"/>
    </xf>
    <xf numFmtId="165" fontId="54" fillId="0" borderId="4" xfId="1" applyFont="1" applyBorder="1"/>
    <xf numFmtId="165" fontId="54" fillId="0" borderId="69" xfId="1" applyNumberFormat="1" applyFont="1" applyBorder="1" applyAlignment="1">
      <alignment horizontal="center"/>
    </xf>
    <xf numFmtId="165" fontId="54" fillId="0" borderId="0" xfId="1" applyFont="1" applyBorder="1"/>
    <xf numFmtId="0" fontId="54" fillId="0" borderId="67" xfId="7" applyFont="1" applyBorder="1"/>
    <xf numFmtId="0" fontId="114" fillId="0" borderId="69" xfId="7" applyFont="1" applyBorder="1"/>
    <xf numFmtId="197" fontId="54" fillId="0" borderId="69" xfId="7" applyNumberFormat="1" applyFont="1" applyBorder="1"/>
    <xf numFmtId="197" fontId="54" fillId="0" borderId="82" xfId="7" applyNumberFormat="1" applyFont="1" applyBorder="1"/>
    <xf numFmtId="0" fontId="54" fillId="0" borderId="108" xfId="7" applyFont="1" applyBorder="1" applyAlignment="1">
      <alignment horizontal="center"/>
    </xf>
    <xf numFmtId="211" fontId="54" fillId="0" borderId="72" xfId="7" applyNumberFormat="1" applyFont="1" applyBorder="1" applyAlignment="1">
      <alignment horizontal="center"/>
    </xf>
    <xf numFmtId="168" fontId="54" fillId="0" borderId="63" xfId="1" applyNumberFormat="1" applyFont="1" applyBorder="1" applyAlignment="1">
      <alignment horizontal="center"/>
    </xf>
    <xf numFmtId="168" fontId="54" fillId="0" borderId="73" xfId="1" applyNumberFormat="1" applyFont="1" applyBorder="1" applyAlignment="1">
      <alignment horizontal="center"/>
    </xf>
    <xf numFmtId="211" fontId="54" fillId="0" borderId="68" xfId="7" applyNumberFormat="1" applyFont="1" applyBorder="1" applyAlignment="1">
      <alignment horizontal="center"/>
    </xf>
    <xf numFmtId="211" fontId="54" fillId="0" borderId="70" xfId="7" applyNumberFormat="1" applyFont="1" applyBorder="1" applyAlignment="1">
      <alignment horizontal="center"/>
    </xf>
    <xf numFmtId="0" fontId="54" fillId="0" borderId="71" xfId="7" applyFont="1" applyBorder="1" applyAlignment="1">
      <alignment horizontal="center"/>
    </xf>
    <xf numFmtId="0" fontId="54" fillId="0" borderId="53" xfId="7" applyFont="1" applyBorder="1" applyAlignment="1">
      <alignment horizontal="center"/>
    </xf>
    <xf numFmtId="0" fontId="54" fillId="0" borderId="54" xfId="7" applyFont="1" applyBorder="1" applyAlignment="1">
      <alignment horizontal="center"/>
    </xf>
    <xf numFmtId="0" fontId="54" fillId="0" borderId="0" xfId="7" applyFont="1" applyBorder="1" applyAlignment="1">
      <alignment horizontal="center"/>
    </xf>
    <xf numFmtId="168" fontId="54" fillId="0" borderId="0" xfId="1" applyNumberFormat="1" applyFont="1" applyBorder="1" applyAlignment="1">
      <alignment horizontal="center"/>
    </xf>
    <xf numFmtId="0" fontId="114" fillId="0" borderId="0" xfId="7" applyFont="1" applyAlignment="1">
      <alignment horizontal="center"/>
    </xf>
    <xf numFmtId="165" fontId="54" fillId="0" borderId="71" xfId="7" applyNumberFormat="1" applyFont="1" applyBorder="1"/>
    <xf numFmtId="165" fontId="54" fillId="0" borderId="0" xfId="1" applyFont="1"/>
    <xf numFmtId="0" fontId="114" fillId="0" borderId="4" xfId="7" applyFont="1" applyBorder="1" applyAlignment="1">
      <alignment horizontal="center"/>
    </xf>
    <xf numFmtId="165" fontId="114" fillId="0" borderId="4" xfId="1" applyFont="1" applyBorder="1" applyAlignment="1">
      <alignment horizontal="center"/>
    </xf>
    <xf numFmtId="211" fontId="54" fillId="0" borderId="4" xfId="7" applyNumberFormat="1" applyFont="1" applyBorder="1" applyAlignment="1">
      <alignment horizontal="center"/>
    </xf>
    <xf numFmtId="165" fontId="54" fillId="0" borderId="4" xfId="7" applyNumberFormat="1" applyFont="1" applyBorder="1" applyAlignment="1">
      <alignment horizontal="center"/>
    </xf>
    <xf numFmtId="1" fontId="54" fillId="0" borderId="0" xfId="7" applyNumberFormat="1" applyFont="1"/>
    <xf numFmtId="165" fontId="27" fillId="0" borderId="55" xfId="1" applyFont="1" applyFill="1" applyBorder="1"/>
    <xf numFmtId="186" fontId="27" fillId="0" borderId="55" xfId="5" applyNumberFormat="1" applyFont="1" applyFill="1"/>
    <xf numFmtId="0" fontId="39" fillId="0" borderId="0" xfId="0" applyFont="1" applyFill="1" applyAlignment="1">
      <alignment horizontal="center"/>
    </xf>
    <xf numFmtId="187" fontId="27" fillId="0" borderId="55" xfId="5" applyNumberFormat="1" applyFont="1" applyFill="1"/>
    <xf numFmtId="168" fontId="27" fillId="0" borderId="0" xfId="1" applyNumberFormat="1" applyFont="1" applyFill="1"/>
    <xf numFmtId="193" fontId="113" fillId="0" borderId="0" xfId="0" applyNumberFormat="1" applyFont="1" applyFill="1" applyBorder="1" applyProtection="1">
      <protection locked="0"/>
    </xf>
    <xf numFmtId="194" fontId="113" fillId="0" borderId="0" xfId="0" applyNumberFormat="1" applyFont="1" applyFill="1" applyBorder="1" applyProtection="1">
      <protection locked="0"/>
    </xf>
    <xf numFmtId="193" fontId="113" fillId="0" borderId="0" xfId="0" applyNumberFormat="1" applyFont="1" applyFill="1" applyBorder="1" applyAlignment="1" applyProtection="1">
      <alignment horizontal="right"/>
      <protection locked="0"/>
    </xf>
    <xf numFmtId="0" fontId="54" fillId="0" borderId="72" xfId="7" applyFont="1" applyBorder="1"/>
    <xf numFmtId="0" fontId="54" fillId="0" borderId="37" xfId="7" applyFont="1" applyBorder="1"/>
    <xf numFmtId="168" fontId="73" fillId="2" borderId="117" xfId="1" applyNumberFormat="1" applyFont="1" applyFill="1" applyBorder="1" applyAlignment="1">
      <alignment horizontal="center"/>
    </xf>
    <xf numFmtId="0" fontId="73" fillId="2" borderId="37" xfId="7" applyFont="1" applyFill="1" applyBorder="1" applyAlignment="1">
      <alignment horizontal="left"/>
    </xf>
    <xf numFmtId="0" fontId="73" fillId="2" borderId="38" xfId="7" applyFont="1" applyFill="1" applyBorder="1" applyAlignment="1">
      <alignment horizontal="center"/>
    </xf>
    <xf numFmtId="165" fontId="54" fillId="0" borderId="36" xfId="1" applyFont="1" applyBorder="1" applyAlignment="1">
      <alignment horizontal="center"/>
    </xf>
    <xf numFmtId="165" fontId="54" fillId="0" borderId="108" xfId="1" applyFont="1" applyBorder="1" applyAlignment="1">
      <alignment horizontal="center"/>
    </xf>
    <xf numFmtId="165" fontId="54" fillId="0" borderId="103" xfId="1" applyFont="1" applyBorder="1" applyAlignment="1">
      <alignment horizontal="center"/>
    </xf>
    <xf numFmtId="165" fontId="54" fillId="0" borderId="37" xfId="1" applyFont="1" applyBorder="1" applyAlignment="1">
      <alignment horizontal="center"/>
    </xf>
    <xf numFmtId="165" fontId="54" fillId="0" borderId="72" xfId="1" applyFont="1" applyBorder="1" applyAlignment="1">
      <alignment horizontal="left"/>
    </xf>
    <xf numFmtId="165" fontId="54" fillId="0" borderId="4" xfId="1" applyFont="1" applyBorder="1" applyAlignment="1">
      <alignment horizontal="left"/>
    </xf>
    <xf numFmtId="165" fontId="54" fillId="0" borderId="68" xfId="1" applyFont="1" applyBorder="1" applyAlignment="1">
      <alignment horizontal="left"/>
    </xf>
    <xf numFmtId="168" fontId="54" fillId="0" borderId="69" xfId="1" applyNumberFormat="1" applyFont="1" applyBorder="1" applyAlignment="1">
      <alignment horizontal="center"/>
    </xf>
    <xf numFmtId="168" fontId="54" fillId="0" borderId="40" xfId="1" applyNumberFormat="1" applyFont="1" applyBorder="1"/>
    <xf numFmtId="165" fontId="54" fillId="0" borderId="107" xfId="1" applyFont="1" applyBorder="1" applyAlignment="1">
      <alignment horizontal="left"/>
    </xf>
    <xf numFmtId="168" fontId="54" fillId="0" borderId="25" xfId="1" applyNumberFormat="1" applyFont="1" applyBorder="1" applyAlignment="1">
      <alignment horizontal="center"/>
    </xf>
    <xf numFmtId="168" fontId="54" fillId="0" borderId="98" xfId="1" applyNumberFormat="1" applyFont="1" applyBorder="1" applyAlignment="1">
      <alignment horizontal="center"/>
    </xf>
    <xf numFmtId="168" fontId="54" fillId="0" borderId="62" xfId="1" applyNumberFormat="1" applyFont="1" applyBorder="1"/>
    <xf numFmtId="168" fontId="54" fillId="0" borderId="115" xfId="1" applyNumberFormat="1" applyFont="1" applyBorder="1"/>
    <xf numFmtId="165" fontId="54" fillId="0" borderId="25" xfId="1" applyFont="1" applyBorder="1" applyAlignment="1">
      <alignment horizontal="left"/>
    </xf>
    <xf numFmtId="165" fontId="54" fillId="0" borderId="36" xfId="1" applyFont="1" applyBorder="1" applyAlignment="1">
      <alignment horizontal="left"/>
    </xf>
    <xf numFmtId="168" fontId="54" fillId="0" borderId="53" xfId="1" applyNumberFormat="1" applyFont="1" applyBorder="1" applyAlignment="1">
      <alignment horizontal="center"/>
    </xf>
    <xf numFmtId="168" fontId="54" fillId="0" borderId="103" xfId="1" applyNumberFormat="1" applyFont="1" applyBorder="1" applyAlignment="1">
      <alignment horizontal="center"/>
    </xf>
    <xf numFmtId="165" fontId="54" fillId="0" borderId="102" xfId="1" applyFont="1" applyBorder="1" applyAlignment="1">
      <alignment horizontal="left"/>
    </xf>
    <xf numFmtId="0" fontId="73" fillId="2" borderId="25" xfId="7" applyFont="1" applyFill="1" applyBorder="1" applyAlignment="1">
      <alignment horizontal="center"/>
    </xf>
    <xf numFmtId="0" fontId="73" fillId="2" borderId="52" xfId="7" applyFont="1" applyFill="1" applyBorder="1" applyAlignment="1">
      <alignment horizontal="right"/>
    </xf>
    <xf numFmtId="0" fontId="73" fillId="2" borderId="66" xfId="7" applyFont="1" applyFill="1" applyBorder="1" applyAlignment="1">
      <alignment horizontal="center"/>
    </xf>
    <xf numFmtId="0" fontId="54" fillId="5" borderId="36" xfId="7" applyFont="1" applyFill="1" applyBorder="1" applyAlignment="1">
      <alignment horizontal="center"/>
    </xf>
    <xf numFmtId="0" fontId="54" fillId="5" borderId="53" xfId="0" applyFont="1" applyFill="1" applyBorder="1" applyAlignment="1">
      <alignment horizontal="center"/>
    </xf>
    <xf numFmtId="0" fontId="114" fillId="0" borderId="63" xfId="7" applyFont="1" applyBorder="1" applyAlignment="1">
      <alignment horizontal="right"/>
    </xf>
    <xf numFmtId="0" fontId="114" fillId="0" borderId="90" xfId="7" applyFont="1" applyBorder="1" applyAlignment="1">
      <alignment horizontal="right" wrapText="1"/>
    </xf>
    <xf numFmtId="0" fontId="114" fillId="0" borderId="92" xfId="7" applyFont="1" applyBorder="1" applyAlignment="1">
      <alignment horizontal="right" wrapText="1"/>
    </xf>
    <xf numFmtId="0" fontId="54" fillId="5" borderId="66" xfId="7" applyFont="1" applyFill="1" applyBorder="1" applyAlignment="1">
      <alignment horizontal="center"/>
    </xf>
    <xf numFmtId="0" fontId="54" fillId="5" borderId="66" xfId="0" applyFont="1" applyFill="1" applyBorder="1" applyAlignment="1">
      <alignment horizontal="center"/>
    </xf>
    <xf numFmtId="0" fontId="54" fillId="5" borderId="67" xfId="0" applyFont="1" applyFill="1" applyBorder="1" applyAlignment="1">
      <alignment horizontal="center"/>
    </xf>
    <xf numFmtId="0" fontId="114" fillId="0" borderId="4" xfId="7" applyFont="1" applyBorder="1" applyAlignment="1">
      <alignment horizontal="center" wrapText="1"/>
    </xf>
    <xf numFmtId="0" fontId="114" fillId="0" borderId="69" xfId="7" applyFont="1" applyBorder="1" applyAlignment="1">
      <alignment horizontal="center"/>
    </xf>
    <xf numFmtId="49" fontId="92" fillId="32" borderId="35" xfId="0" applyNumberFormat="1" applyFont="1" applyFill="1" applyBorder="1" applyAlignment="1" applyProtection="1">
      <alignment horizontal="right" vertical="center"/>
      <protection locked="0"/>
    </xf>
    <xf numFmtId="10" fontId="2" fillId="6" borderId="20" xfId="0" applyNumberFormat="1" applyFont="1" applyFill="1" applyBorder="1" applyAlignment="1">
      <alignment horizontal="center"/>
    </xf>
    <xf numFmtId="0" fontId="118" fillId="0" borderId="0" xfId="15" applyFont="1"/>
    <xf numFmtId="0" fontId="117" fillId="0" borderId="4" xfId="15" applyFont="1" applyBorder="1" applyAlignment="1">
      <alignment horizontal="center" vertical="center"/>
    </xf>
    <xf numFmtId="14" fontId="118" fillId="0" borderId="4" xfId="15" applyNumberFormat="1" applyFont="1" applyBorder="1" applyAlignment="1">
      <alignment horizontal="center" vertical="center"/>
    </xf>
    <xf numFmtId="181" fontId="118" fillId="0" borderId="4" xfId="15" applyNumberFormat="1" applyFont="1" applyBorder="1" applyAlignment="1">
      <alignment horizontal="center" vertical="center"/>
    </xf>
    <xf numFmtId="181" fontId="118" fillId="0" borderId="25" xfId="15" applyNumberFormat="1" applyFont="1" applyBorder="1" applyAlignment="1">
      <alignment horizontal="center" vertical="center"/>
    </xf>
    <xf numFmtId="0" fontId="118" fillId="0" borderId="0" xfId="15" applyFont="1" applyAlignment="1">
      <alignment horizontal="center" vertical="center"/>
    </xf>
    <xf numFmtId="181" fontId="118" fillId="0" borderId="27" xfId="15" applyNumberFormat="1" applyFont="1" applyBorder="1" applyAlignment="1">
      <alignment horizontal="center" vertical="center"/>
    </xf>
    <xf numFmtId="181" fontId="118" fillId="0" borderId="89" xfId="15" applyNumberFormat="1" applyFont="1" applyBorder="1" applyAlignment="1">
      <alignment horizontal="center" vertical="center"/>
    </xf>
    <xf numFmtId="181" fontId="118" fillId="0" borderId="0" xfId="15" applyNumberFormat="1" applyFont="1" applyAlignment="1">
      <alignment horizontal="center" vertical="center"/>
    </xf>
    <xf numFmtId="0" fontId="118" fillId="0" borderId="27" xfId="15" applyFont="1" applyBorder="1" applyAlignment="1">
      <alignment horizontal="center" vertical="center"/>
    </xf>
    <xf numFmtId="0" fontId="118" fillId="0" borderId="89" xfId="15" applyFont="1" applyBorder="1" applyAlignment="1">
      <alignment horizontal="center" vertical="center"/>
    </xf>
    <xf numFmtId="0" fontId="119" fillId="0" borderId="4" xfId="15" applyFont="1" applyBorder="1" applyAlignment="1">
      <alignment horizontal="center" vertical="center" wrapText="1"/>
    </xf>
    <xf numFmtId="10" fontId="119" fillId="0" borderId="4" xfId="15" applyNumberFormat="1" applyFont="1" applyBorder="1" applyAlignment="1">
      <alignment horizontal="center" vertical="center" wrapText="1"/>
    </xf>
    <xf numFmtId="0" fontId="119" fillId="19" borderId="4" xfId="15" applyFont="1" applyFill="1" applyBorder="1" applyAlignment="1">
      <alignment horizontal="center" vertical="center" wrapText="1"/>
    </xf>
    <xf numFmtId="181" fontId="118" fillId="19" borderId="4" xfId="15" applyNumberFormat="1" applyFont="1" applyFill="1" applyBorder="1" applyAlignment="1">
      <alignment horizontal="center" vertical="center"/>
    </xf>
    <xf numFmtId="181" fontId="118" fillId="19" borderId="25" xfId="15" applyNumberFormat="1" applyFont="1" applyFill="1" applyBorder="1" applyAlignment="1">
      <alignment horizontal="center" vertical="center"/>
    </xf>
    <xf numFmtId="181" fontId="118" fillId="19" borderId="27" xfId="15" applyNumberFormat="1" applyFont="1" applyFill="1" applyBorder="1" applyAlignment="1">
      <alignment horizontal="center" vertical="center"/>
    </xf>
    <xf numFmtId="0" fontId="118" fillId="19" borderId="27" xfId="15" applyFont="1" applyFill="1" applyBorder="1" applyAlignment="1">
      <alignment horizontal="center" vertical="center"/>
    </xf>
    <xf numFmtId="181" fontId="118" fillId="0" borderId="0" xfId="15" applyNumberFormat="1" applyFont="1"/>
    <xf numFmtId="0" fontId="118" fillId="0" borderId="132" xfId="15" applyFont="1" applyBorder="1"/>
    <xf numFmtId="181" fontId="118" fillId="0" borderId="49" xfId="15" applyNumberFormat="1" applyFont="1" applyBorder="1"/>
    <xf numFmtId="0" fontId="121" fillId="0" borderId="0" xfId="16" applyFont="1"/>
    <xf numFmtId="0" fontId="120" fillId="0" borderId="0" xfId="16"/>
    <xf numFmtId="0" fontId="1" fillId="2" borderId="0" xfId="0" applyFont="1" applyFill="1" applyAlignment="1">
      <alignment horizontal="center"/>
    </xf>
    <xf numFmtId="0" fontId="122" fillId="3" borderId="0" xfId="0" applyFont="1" applyFill="1"/>
    <xf numFmtId="0" fontId="122" fillId="3" borderId="0" xfId="0" applyFont="1" applyFill="1" applyAlignment="1">
      <alignment horizontal="center"/>
    </xf>
    <xf numFmtId="0" fontId="2" fillId="0" borderId="0" xfId="0" applyFont="1" applyFill="1" applyBorder="1"/>
    <xf numFmtId="0" fontId="123" fillId="3" borderId="0" xfId="0" applyFont="1" applyFill="1"/>
    <xf numFmtId="9" fontId="3" fillId="14" borderId="135" xfId="0" applyNumberFormat="1" applyFont="1" applyFill="1" applyBorder="1" applyAlignment="1">
      <alignment horizontal="center"/>
    </xf>
    <xf numFmtId="9" fontId="2" fillId="3" borderId="0" xfId="0" applyNumberFormat="1" applyFont="1" applyFill="1" applyBorder="1" applyAlignment="1">
      <alignment horizontal="center"/>
    </xf>
    <xf numFmtId="9" fontId="2" fillId="0" borderId="0" xfId="0" applyNumberFormat="1" applyFont="1"/>
    <xf numFmtId="9" fontId="2" fillId="0" borderId="0" xfId="2" applyFont="1"/>
    <xf numFmtId="9" fontId="3" fillId="0" borderId="136" xfId="0" applyNumberFormat="1" applyFont="1" applyFill="1" applyBorder="1" applyAlignment="1">
      <alignment horizontal="center"/>
    </xf>
    <xf numFmtId="165" fontId="30" fillId="13" borderId="58" xfId="1" applyFont="1" applyFill="1" applyBorder="1" applyAlignment="1">
      <alignment horizontal="left" indent="11"/>
    </xf>
    <xf numFmtId="0" fontId="6" fillId="3" borderId="7" xfId="0" applyFont="1" applyFill="1" applyBorder="1"/>
    <xf numFmtId="0" fontId="7" fillId="3" borderId="7" xfId="0" applyFont="1" applyFill="1" applyBorder="1" applyAlignment="1">
      <alignment horizontal="center"/>
    </xf>
    <xf numFmtId="9" fontId="3" fillId="0" borderId="0" xfId="0" applyNumberFormat="1" applyFont="1" applyFill="1" applyBorder="1" applyAlignment="1">
      <alignment horizontal="center"/>
    </xf>
    <xf numFmtId="9" fontId="123" fillId="7" borderId="135" xfId="2" applyFont="1" applyFill="1" applyBorder="1" applyAlignment="1">
      <alignment horizontal="center"/>
    </xf>
    <xf numFmtId="9" fontId="2" fillId="7" borderId="135" xfId="0" applyNumberFormat="1" applyFont="1" applyFill="1" applyBorder="1" applyAlignment="1">
      <alignment horizontal="center"/>
    </xf>
    <xf numFmtId="0" fontId="2" fillId="7" borderId="10" xfId="0" applyFont="1" applyFill="1" applyBorder="1" applyAlignment="1">
      <alignment horizontal="center"/>
    </xf>
    <xf numFmtId="168" fontId="2" fillId="7" borderId="10" xfId="0" applyNumberFormat="1" applyFont="1" applyFill="1" applyBorder="1"/>
    <xf numFmtId="168" fontId="124" fillId="3" borderId="0" xfId="0" applyNumberFormat="1" applyFont="1" applyFill="1"/>
    <xf numFmtId="0" fontId="2" fillId="3" borderId="33" xfId="0" applyFont="1" applyFill="1" applyBorder="1"/>
    <xf numFmtId="0" fontId="2" fillId="3" borderId="33" xfId="0" applyFont="1" applyFill="1" applyBorder="1" applyAlignment="1">
      <alignment horizontal="center"/>
    </xf>
    <xf numFmtId="168" fontId="2" fillId="3" borderId="33" xfId="1" applyNumberFormat="1" applyFont="1" applyFill="1" applyBorder="1"/>
    <xf numFmtId="168" fontId="2" fillId="3" borderId="33" xfId="0" applyNumberFormat="1" applyFont="1" applyFill="1" applyBorder="1"/>
    <xf numFmtId="195" fontId="66" fillId="13" borderId="3" xfId="1" applyNumberFormat="1" applyFont="1" applyFill="1" applyBorder="1" applyAlignment="1" applyProtection="1">
      <alignment horizontal="right"/>
      <protection locked="0"/>
    </xf>
    <xf numFmtId="168" fontId="2" fillId="4" borderId="0" xfId="0" applyNumberFormat="1" applyFont="1" applyFill="1" applyBorder="1"/>
    <xf numFmtId="9" fontId="3" fillId="3" borderId="0" xfId="0" applyNumberFormat="1" applyFont="1" applyFill="1" applyAlignment="1">
      <alignment horizontal="center"/>
    </xf>
    <xf numFmtId="9" fontId="2" fillId="7" borderId="135" xfId="2" applyFont="1" applyFill="1" applyBorder="1" applyAlignment="1">
      <alignment horizontal="center"/>
    </xf>
    <xf numFmtId="0" fontId="60" fillId="3" borderId="0" xfId="0" applyFont="1" applyFill="1" applyBorder="1"/>
    <xf numFmtId="0" fontId="3" fillId="3" borderId="51" xfId="0" applyFont="1" applyFill="1" applyBorder="1"/>
    <xf numFmtId="0" fontId="3" fillId="3" borderId="52" xfId="0" applyFont="1" applyFill="1" applyBorder="1"/>
    <xf numFmtId="43" fontId="3" fillId="3" borderId="0" xfId="1" applyNumberFormat="1" applyFont="1" applyFill="1" applyBorder="1"/>
    <xf numFmtId="43" fontId="3" fillId="3" borderId="7" xfId="1" applyNumberFormat="1" applyFont="1" applyFill="1" applyBorder="1"/>
    <xf numFmtId="167" fontId="3" fillId="3" borderId="0" xfId="1" applyNumberFormat="1" applyFont="1" applyFill="1" applyBorder="1"/>
    <xf numFmtId="167" fontId="3" fillId="3" borderId="7" xfId="1" applyNumberFormat="1" applyFont="1" applyFill="1" applyBorder="1"/>
    <xf numFmtId="167" fontId="7" fillId="3" borderId="0" xfId="1" applyNumberFormat="1" applyFont="1" applyFill="1" applyBorder="1"/>
    <xf numFmtId="0" fontId="7" fillId="3" borderId="0" xfId="0" applyFont="1" applyFill="1" applyBorder="1"/>
    <xf numFmtId="168" fontId="7" fillId="3" borderId="0" xfId="0" applyNumberFormat="1" applyFont="1" applyFill="1" applyBorder="1"/>
    <xf numFmtId="168" fontId="2" fillId="3" borderId="0" xfId="1" applyNumberFormat="1" applyFont="1" applyFill="1" applyBorder="1" applyAlignment="1">
      <alignment horizontal="left"/>
    </xf>
    <xf numFmtId="167" fontId="27" fillId="14" borderId="55" xfId="2" applyNumberFormat="1" applyFont="1" applyFill="1" applyBorder="1"/>
    <xf numFmtId="165" fontId="2" fillId="3" borderId="7" xfId="1" applyFont="1" applyFill="1" applyBorder="1"/>
    <xf numFmtId="167" fontId="3" fillId="3" borderId="10" xfId="1" applyNumberFormat="1" applyFont="1" applyFill="1" applyBorder="1"/>
    <xf numFmtId="168" fontId="3" fillId="3" borderId="33" xfId="1" applyNumberFormat="1" applyFont="1" applyFill="1" applyBorder="1" applyAlignment="1">
      <alignment horizontal="center"/>
    </xf>
    <xf numFmtId="167" fontId="3" fillId="3" borderId="33" xfId="1" applyNumberFormat="1" applyFont="1" applyFill="1" applyBorder="1"/>
    <xf numFmtId="168" fontId="3" fillId="3" borderId="33" xfId="1" applyNumberFormat="1" applyFont="1" applyFill="1" applyBorder="1"/>
    <xf numFmtId="165" fontId="2" fillId="3" borderId="33" xfId="1" applyFont="1" applyFill="1" applyBorder="1"/>
    <xf numFmtId="0" fontId="42" fillId="3" borderId="0" xfId="0" applyFont="1" applyFill="1"/>
    <xf numFmtId="9" fontId="42" fillId="3" borderId="0" xfId="2" applyFont="1" applyFill="1" applyBorder="1"/>
    <xf numFmtId="165" fontId="42" fillId="3" borderId="0" xfId="1" applyFont="1" applyFill="1" applyBorder="1"/>
    <xf numFmtId="167" fontId="42" fillId="3" borderId="0" xfId="1" applyNumberFormat="1" applyFont="1" applyFill="1" applyBorder="1"/>
    <xf numFmtId="168" fontId="42" fillId="3" borderId="0" xfId="1" applyNumberFormat="1" applyFont="1" applyFill="1" applyBorder="1"/>
    <xf numFmtId="168" fontId="42" fillId="3" borderId="0" xfId="1" applyNumberFormat="1" applyFont="1" applyFill="1" applyBorder="1" applyAlignment="1">
      <alignment horizontal="center"/>
    </xf>
    <xf numFmtId="168" fontId="42" fillId="3" borderId="0" xfId="0" applyNumberFormat="1" applyFont="1" applyFill="1"/>
    <xf numFmtId="168" fontId="42" fillId="3" borderId="0" xfId="1" applyNumberFormat="1" applyFont="1" applyFill="1"/>
    <xf numFmtId="168" fontId="111" fillId="3" borderId="0" xfId="1" applyNumberFormat="1" applyFont="1" applyFill="1" applyBorder="1" applyAlignment="1">
      <alignment horizontal="center"/>
    </xf>
    <xf numFmtId="168" fontId="1" fillId="2" borderId="0" xfId="1" applyNumberFormat="1" applyFont="1" applyFill="1" applyBorder="1" applyAlignment="1">
      <alignment horizontal="left"/>
    </xf>
    <xf numFmtId="1" fontId="42" fillId="3" borderId="0" xfId="0" applyNumberFormat="1" applyFont="1" applyFill="1"/>
    <xf numFmtId="167" fontId="2" fillId="3" borderId="10" xfId="0" applyNumberFormat="1" applyFont="1" applyFill="1" applyBorder="1"/>
    <xf numFmtId="2" fontId="42" fillId="3" borderId="0" xfId="0" applyNumberFormat="1" applyFont="1" applyFill="1"/>
    <xf numFmtId="9" fontId="42" fillId="3" borderId="0" xfId="2" applyFont="1" applyFill="1"/>
    <xf numFmtId="214" fontId="2" fillId="3" borderId="0" xfId="0" applyNumberFormat="1" applyFont="1" applyFill="1"/>
    <xf numFmtId="168" fontId="2" fillId="3" borderId="0" xfId="1" applyNumberFormat="1" applyFont="1" applyFill="1" applyAlignment="1">
      <alignment horizontal="left"/>
    </xf>
    <xf numFmtId="0" fontId="4" fillId="0" borderId="48" xfId="0" applyFont="1" applyFill="1" applyBorder="1"/>
    <xf numFmtId="0" fontId="6" fillId="7" borderId="42" xfId="0" applyFont="1" applyFill="1" applyBorder="1"/>
    <xf numFmtId="0" fontId="10" fillId="7" borderId="43" xfId="0" applyFont="1" applyFill="1" applyBorder="1"/>
    <xf numFmtId="0" fontId="10" fillId="7" borderId="44" xfId="0" applyFont="1" applyFill="1" applyBorder="1"/>
    <xf numFmtId="0" fontId="4" fillId="7" borderId="45" xfId="0" applyFont="1" applyFill="1" applyBorder="1"/>
    <xf numFmtId="168" fontId="4" fillId="7" borderId="46" xfId="0" applyNumberFormat="1" applyFont="1" applyFill="1" applyBorder="1"/>
    <xf numFmtId="168" fontId="11" fillId="3" borderId="0" xfId="0" applyNumberFormat="1" applyFont="1" applyFill="1" applyBorder="1"/>
    <xf numFmtId="168" fontId="10" fillId="3" borderId="0" xfId="0" applyNumberFormat="1" applyFont="1" applyFill="1" applyBorder="1"/>
    <xf numFmtId="0" fontId="10" fillId="3" borderId="0" xfId="0" applyFont="1" applyFill="1" applyBorder="1"/>
    <xf numFmtId="171" fontId="0" fillId="0" borderId="0" xfId="2" applyNumberFormat="1" applyFont="1"/>
    <xf numFmtId="0" fontId="0" fillId="0" borderId="67" xfId="0" applyBorder="1"/>
    <xf numFmtId="0" fontId="0" fillId="0" borderId="82" xfId="0" applyBorder="1"/>
    <xf numFmtId="0" fontId="2" fillId="7" borderId="60" xfId="0" applyFont="1" applyFill="1" applyBorder="1" applyAlignment="1">
      <alignment horizontal="center"/>
    </xf>
    <xf numFmtId="168" fontId="2" fillId="7" borderId="64" xfId="0" applyNumberFormat="1" applyFont="1" applyFill="1" applyBorder="1"/>
    <xf numFmtId="0" fontId="127" fillId="7" borderId="36" xfId="0" applyFont="1" applyFill="1" applyBorder="1"/>
    <xf numFmtId="0" fontId="128" fillId="7" borderId="53" xfId="0" applyFont="1" applyFill="1" applyBorder="1"/>
    <xf numFmtId="0" fontId="128" fillId="7" borderId="54" xfId="0" applyFont="1" applyFill="1" applyBorder="1"/>
    <xf numFmtId="0" fontId="128" fillId="3" borderId="45" xfId="0" applyFont="1" applyFill="1" applyBorder="1"/>
    <xf numFmtId="0" fontId="128" fillId="3" borderId="0" xfId="0" applyFont="1" applyFill="1" applyBorder="1" applyAlignment="1">
      <alignment horizontal="center"/>
    </xf>
    <xf numFmtId="168" fontId="128" fillId="3" borderId="46" xfId="0" applyNumberFormat="1" applyFont="1" applyFill="1" applyBorder="1"/>
    <xf numFmtId="0" fontId="129" fillId="7" borderId="41" xfId="0" applyFont="1" applyFill="1" applyBorder="1"/>
    <xf numFmtId="10" fontId="0" fillId="0" borderId="4" xfId="2" applyNumberFormat="1" applyFont="1" applyBorder="1"/>
    <xf numFmtId="0" fontId="10" fillId="19" borderId="44" xfId="0" applyFont="1" applyFill="1" applyBorder="1"/>
    <xf numFmtId="0" fontId="4" fillId="19" borderId="45" xfId="0" applyFont="1" applyFill="1" applyBorder="1"/>
    <xf numFmtId="168" fontId="4" fillId="19" borderId="46" xfId="0" applyNumberFormat="1" applyFont="1" applyFill="1" applyBorder="1"/>
    <xf numFmtId="0" fontId="132" fillId="0" borderId="82" xfId="7" applyFont="1" applyBorder="1"/>
    <xf numFmtId="0" fontId="132" fillId="0" borderId="37" xfId="7" applyFont="1" applyBorder="1"/>
    <xf numFmtId="168" fontId="133" fillId="0" borderId="95" xfId="8" applyNumberFormat="1" applyFont="1" applyBorder="1"/>
    <xf numFmtId="168" fontId="133" fillId="0" borderId="96" xfId="8" applyNumberFormat="1" applyFont="1" applyBorder="1"/>
    <xf numFmtId="0" fontId="132" fillId="0" borderId="45" xfId="7" applyFont="1" applyBorder="1" applyAlignment="1">
      <alignment horizontal="left" indent="2"/>
    </xf>
    <xf numFmtId="168" fontId="133" fillId="0" borderId="97" xfId="8" applyNumberFormat="1" applyFont="1" applyBorder="1"/>
    <xf numFmtId="0" fontId="133" fillId="0" borderId="45" xfId="7" applyFont="1" applyBorder="1" applyAlignment="1">
      <alignment horizontal="left" indent="2"/>
    </xf>
    <xf numFmtId="0" fontId="133" fillId="0" borderId="46" xfId="7" applyFont="1" applyBorder="1"/>
    <xf numFmtId="168" fontId="133" fillId="0" borderId="131" xfId="8" applyNumberFormat="1" applyFont="1" applyBorder="1"/>
    <xf numFmtId="0" fontId="133" fillId="19" borderId="41" xfId="7" applyFont="1" applyFill="1" applyBorder="1" applyAlignment="1">
      <alignment horizontal="left" indent="2"/>
    </xf>
    <xf numFmtId="168" fontId="133" fillId="19" borderId="71" xfId="8" applyNumberFormat="1" applyFont="1" applyFill="1" applyBorder="1"/>
    <xf numFmtId="167" fontId="27" fillId="14" borderId="56" xfId="5" applyNumberFormat="1" applyFont="1" applyBorder="1"/>
    <xf numFmtId="175" fontId="27" fillId="13" borderId="56" xfId="1" applyNumberFormat="1" applyFont="1" applyFill="1" applyBorder="1" applyAlignment="1">
      <alignment horizontal="left" indent="11"/>
    </xf>
    <xf numFmtId="0" fontId="135" fillId="0" borderId="45" xfId="0" applyFont="1" applyBorder="1"/>
    <xf numFmtId="0" fontId="135" fillId="0" borderId="0" xfId="0" applyFont="1" applyBorder="1"/>
    <xf numFmtId="0" fontId="136" fillId="0" borderId="0" xfId="0" applyFont="1" applyBorder="1" applyAlignment="1">
      <alignment horizontal="center"/>
    </xf>
    <xf numFmtId="0" fontId="137" fillId="0" borderId="45" xfId="0" applyFont="1" applyBorder="1"/>
    <xf numFmtId="0" fontId="138" fillId="0" borderId="0" xfId="0" applyFont="1" applyBorder="1" applyAlignment="1">
      <alignment horizontal="center"/>
    </xf>
    <xf numFmtId="0" fontId="140" fillId="0" borderId="0" xfId="0" applyFont="1" applyBorder="1"/>
    <xf numFmtId="0" fontId="141" fillId="0" borderId="0" xfId="0" applyFont="1" applyBorder="1" applyAlignment="1">
      <alignment horizontal="center"/>
    </xf>
    <xf numFmtId="0" fontId="135" fillId="0" borderId="48" xfId="0" applyFont="1" applyBorder="1"/>
    <xf numFmtId="0" fontId="140" fillId="0" borderId="49" xfId="0" applyFont="1" applyBorder="1"/>
    <xf numFmtId="0" fontId="136" fillId="0" borderId="49" xfId="0" applyFont="1" applyBorder="1" applyAlignment="1">
      <alignment horizontal="center"/>
    </xf>
    <xf numFmtId="0" fontId="130" fillId="0" borderId="72" xfId="0" applyFont="1" applyBorder="1"/>
    <xf numFmtId="0" fontId="130" fillId="0" borderId="68" xfId="0" applyFont="1" applyBorder="1"/>
    <xf numFmtId="0" fontId="130" fillId="0" borderId="4" xfId="0" applyFont="1" applyBorder="1"/>
    <xf numFmtId="3" fontId="130" fillId="0" borderId="4" xfId="0" applyNumberFormat="1" applyFont="1" applyBorder="1"/>
    <xf numFmtId="3" fontId="130" fillId="0" borderId="69" xfId="0" applyNumberFormat="1" applyFont="1" applyBorder="1"/>
    <xf numFmtId="0" fontId="130" fillId="0" borderId="70" xfId="0" applyFont="1" applyBorder="1"/>
    <xf numFmtId="0" fontId="130" fillId="0" borderId="71" xfId="0" applyFont="1" applyBorder="1"/>
    <xf numFmtId="3" fontId="130" fillId="0" borderId="71" xfId="0" applyNumberFormat="1" applyFont="1" applyBorder="1"/>
    <xf numFmtId="3" fontId="130" fillId="0" borderId="82" xfId="0" applyNumberFormat="1" applyFont="1" applyBorder="1"/>
    <xf numFmtId="0" fontId="130" fillId="0" borderId="63" xfId="0" applyFont="1" applyBorder="1"/>
    <xf numFmtId="3" fontId="130" fillId="0" borderId="63" xfId="0" applyNumberFormat="1" applyFont="1" applyBorder="1"/>
    <xf numFmtId="3" fontId="130" fillId="0" borderId="73" xfId="0" applyNumberFormat="1" applyFont="1" applyBorder="1"/>
    <xf numFmtId="0" fontId="142" fillId="0" borderId="4" xfId="0" applyFont="1" applyBorder="1" applyAlignment="1">
      <alignment vertical="center"/>
    </xf>
    <xf numFmtId="0" fontId="142" fillId="0" borderId="4" xfId="0" applyFont="1" applyBorder="1" applyAlignment="1">
      <alignment vertical="center" wrapText="1"/>
    </xf>
    <xf numFmtId="0" fontId="130" fillId="0" borderId="4" xfId="0" applyFont="1" applyBorder="1" applyAlignment="1">
      <alignment vertical="center"/>
    </xf>
    <xf numFmtId="0" fontId="130" fillId="0" borderId="4" xfId="0" applyFont="1" applyBorder="1" applyAlignment="1">
      <alignment horizontal="center" vertical="center"/>
    </xf>
    <xf numFmtId="0" fontId="142" fillId="0" borderId="4" xfId="0" applyFont="1" applyBorder="1" applyAlignment="1">
      <alignment horizontal="center" vertical="center"/>
    </xf>
    <xf numFmtId="0" fontId="142" fillId="0" borderId="4" xfId="0" applyFont="1" applyBorder="1" applyAlignment="1">
      <alignment horizontal="center" vertical="center" wrapText="1"/>
    </xf>
    <xf numFmtId="0" fontId="130" fillId="7" borderId="36" xfId="0" applyFont="1" applyFill="1" applyBorder="1"/>
    <xf numFmtId="0" fontId="130" fillId="7" borderId="53" xfId="0" applyFont="1" applyFill="1" applyBorder="1"/>
    <xf numFmtId="3" fontId="130" fillId="7" borderId="54" xfId="0" applyNumberFormat="1" applyFont="1" applyFill="1" applyBorder="1"/>
    <xf numFmtId="0" fontId="130" fillId="0" borderId="4" xfId="0" applyFont="1" applyBorder="1" applyAlignment="1">
      <alignment vertical="center" wrapText="1"/>
    </xf>
    <xf numFmtId="0" fontId="143" fillId="0" borderId="35" xfId="0" applyFont="1" applyBorder="1" applyAlignment="1">
      <alignment vertical="center"/>
    </xf>
    <xf numFmtId="0" fontId="143" fillId="0" borderId="54" xfId="0" applyFont="1" applyBorder="1" applyAlignment="1">
      <alignment vertical="center"/>
    </xf>
    <xf numFmtId="3" fontId="143" fillId="0" borderId="54" xfId="0" applyNumberFormat="1" applyFont="1" applyBorder="1" applyAlignment="1">
      <alignment vertical="center"/>
    </xf>
    <xf numFmtId="0" fontId="143" fillId="0" borderId="94" xfId="0" applyFont="1" applyBorder="1" applyAlignment="1">
      <alignment vertical="center"/>
    </xf>
    <xf numFmtId="0" fontId="143" fillId="0" borderId="50" xfId="0" applyFont="1" applyBorder="1" applyAlignment="1">
      <alignment vertical="center"/>
    </xf>
    <xf numFmtId="3" fontId="143" fillId="0" borderId="50" xfId="0" applyNumberFormat="1" applyFont="1" applyBorder="1" applyAlignment="1">
      <alignment vertical="center"/>
    </xf>
    <xf numFmtId="0" fontId="145" fillId="0" borderId="0" xfId="17" applyFont="1"/>
    <xf numFmtId="0" fontId="146" fillId="0" borderId="0" xfId="17" applyFont="1"/>
    <xf numFmtId="0" fontId="146" fillId="10" borderId="4" xfId="17" applyFont="1" applyFill="1" applyBorder="1"/>
    <xf numFmtId="0" fontId="144" fillId="0" borderId="0" xfId="17"/>
    <xf numFmtId="0" fontId="147" fillId="0" borderId="0" xfId="17" applyFont="1"/>
    <xf numFmtId="0" fontId="146" fillId="35" borderId="4" xfId="17" applyFont="1" applyFill="1" applyBorder="1" applyAlignment="1">
      <alignment horizontal="center"/>
    </xf>
    <xf numFmtId="10" fontId="146" fillId="35" borderId="4" xfId="18" applyNumberFormat="1" applyFont="1" applyFill="1" applyBorder="1" applyAlignment="1">
      <alignment horizontal="center"/>
    </xf>
    <xf numFmtId="0" fontId="146" fillId="0" borderId="0" xfId="17" applyFont="1" applyAlignment="1">
      <alignment horizontal="center"/>
    </xf>
    <xf numFmtId="10" fontId="146" fillId="35" borderId="0" xfId="18" applyNumberFormat="1" applyFont="1" applyFill="1" applyAlignment="1">
      <alignment horizontal="center"/>
    </xf>
    <xf numFmtId="0" fontId="144" fillId="10" borderId="4" xfId="17" applyFill="1" applyBorder="1"/>
    <xf numFmtId="10" fontId="144" fillId="35" borderId="4" xfId="18" applyNumberFormat="1" applyFill="1" applyBorder="1"/>
    <xf numFmtId="0" fontId="148" fillId="0" borderId="0" xfId="17" applyFont="1"/>
    <xf numFmtId="0" fontId="149" fillId="0" borderId="0" xfId="17" applyFont="1"/>
    <xf numFmtId="2" fontId="144" fillId="35" borderId="4" xfId="18" applyNumberFormat="1" applyFill="1" applyBorder="1" applyAlignment="1">
      <alignment horizontal="center"/>
    </xf>
    <xf numFmtId="10" fontId="144" fillId="35" borderId="4" xfId="18" applyNumberFormat="1" applyFill="1" applyBorder="1" applyAlignment="1">
      <alignment horizontal="center"/>
    </xf>
    <xf numFmtId="168" fontId="2" fillId="4" borderId="143" xfId="1" applyNumberFormat="1" applyFont="1" applyFill="1" applyBorder="1"/>
    <xf numFmtId="168" fontId="2" fillId="4" borderId="144" xfId="1" applyNumberFormat="1" applyFont="1" applyFill="1" applyBorder="1"/>
    <xf numFmtId="168" fontId="2" fillId="4" borderId="146" xfId="1" applyNumberFormat="1" applyFont="1" applyFill="1" applyBorder="1"/>
    <xf numFmtId="0" fontId="6" fillId="19" borderId="36" xfId="0" applyFont="1" applyFill="1" applyBorder="1"/>
    <xf numFmtId="0" fontId="2" fillId="19" borderId="53" xfId="0" applyFont="1" applyFill="1" applyBorder="1"/>
    <xf numFmtId="175" fontId="2" fillId="4" borderId="34" xfId="0" applyNumberFormat="1" applyFont="1" applyFill="1" applyBorder="1"/>
    <xf numFmtId="0" fontId="2" fillId="3" borderId="53" xfId="0" applyFont="1" applyFill="1" applyBorder="1" applyAlignment="1">
      <alignment horizontal="center"/>
    </xf>
    <xf numFmtId="168" fontId="2" fillId="4" borderId="23" xfId="0" applyNumberFormat="1" applyFont="1" applyFill="1" applyBorder="1"/>
    <xf numFmtId="175" fontId="2" fillId="4" borderId="146" xfId="0" applyNumberFormat="1" applyFont="1" applyFill="1" applyBorder="1"/>
    <xf numFmtId="175" fontId="2" fillId="4" borderId="143" xfId="0" applyNumberFormat="1" applyFont="1" applyFill="1" applyBorder="1"/>
    <xf numFmtId="175" fontId="2" fillId="4" borderId="144" xfId="0" applyNumberFormat="1" applyFont="1" applyFill="1" applyBorder="1"/>
    <xf numFmtId="0" fontId="2" fillId="19" borderId="53" xfId="0" applyFont="1" applyFill="1" applyBorder="1" applyAlignment="1">
      <alignment horizontal="center"/>
    </xf>
    <xf numFmtId="0" fontId="2" fillId="19" borderId="0" xfId="0" applyFont="1" applyFill="1"/>
    <xf numFmtId="168" fontId="2" fillId="4" borderId="34" xfId="0" applyNumberFormat="1" applyFont="1" applyFill="1" applyBorder="1"/>
    <xf numFmtId="168" fontId="2" fillId="19" borderId="147" xfId="0" applyNumberFormat="1" applyFont="1" applyFill="1" applyBorder="1"/>
    <xf numFmtId="168" fontId="2" fillId="4" borderId="146" xfId="0" applyNumberFormat="1" applyFont="1" applyFill="1" applyBorder="1"/>
    <xf numFmtId="168" fontId="2" fillId="4" borderId="143" xfId="0" applyNumberFormat="1" applyFont="1" applyFill="1" applyBorder="1"/>
    <xf numFmtId="168" fontId="2" fillId="4" borderId="144" xfId="0" applyNumberFormat="1" applyFont="1" applyFill="1" applyBorder="1"/>
    <xf numFmtId="168" fontId="2" fillId="4" borderId="147" xfId="0" applyNumberFormat="1" applyFont="1" applyFill="1" applyBorder="1"/>
    <xf numFmtId="0" fontId="139" fillId="19" borderId="37" xfId="0" applyFont="1" applyFill="1" applyBorder="1" applyAlignment="1">
      <alignment horizontal="center"/>
    </xf>
    <xf numFmtId="0" fontId="139" fillId="19" borderId="38" xfId="0" applyFont="1" applyFill="1" applyBorder="1" applyAlignment="1">
      <alignment horizontal="center"/>
    </xf>
    <xf numFmtId="0" fontId="139" fillId="19" borderId="52" xfId="0" applyFont="1" applyFill="1" applyBorder="1" applyAlignment="1">
      <alignment horizontal="center"/>
    </xf>
    <xf numFmtId="0" fontId="142" fillId="0" borderId="40" xfId="0" applyFont="1" applyBorder="1"/>
    <xf numFmtId="0" fontId="142" fillId="0" borderId="39" xfId="0" applyFont="1" applyBorder="1" applyAlignment="1">
      <alignment horizontal="center"/>
    </xf>
    <xf numFmtId="1" fontId="142" fillId="0" borderId="109" xfId="0" applyNumberFormat="1" applyFont="1" applyBorder="1" applyAlignment="1">
      <alignment horizontal="center"/>
    </xf>
    <xf numFmtId="0" fontId="142" fillId="0" borderId="109" xfId="0" applyFont="1" applyBorder="1" applyAlignment="1">
      <alignment horizontal="center"/>
    </xf>
    <xf numFmtId="0" fontId="142" fillId="0" borderId="40" xfId="0" applyFont="1" applyFill="1" applyBorder="1"/>
    <xf numFmtId="0" fontId="142" fillId="0" borderId="40" xfId="0" applyFont="1" applyFill="1" applyBorder="1" applyAlignment="1">
      <alignment wrapText="1"/>
    </xf>
    <xf numFmtId="184" fontId="142" fillId="0" borderId="109" xfId="0" applyNumberFormat="1" applyFont="1" applyBorder="1" applyAlignment="1">
      <alignment horizontal="center"/>
    </xf>
    <xf numFmtId="0" fontId="142" fillId="0" borderId="39" xfId="0" applyFont="1" applyFill="1" applyBorder="1" applyAlignment="1">
      <alignment horizontal="center"/>
    </xf>
    <xf numFmtId="0" fontId="142" fillId="0" borderId="45" xfId="0" applyFont="1" applyFill="1" applyBorder="1" applyAlignment="1">
      <alignment wrapText="1"/>
    </xf>
    <xf numFmtId="0" fontId="142" fillId="0" borderId="93" xfId="0" applyFont="1" applyFill="1" applyBorder="1" applyAlignment="1">
      <alignment horizontal="center"/>
    </xf>
    <xf numFmtId="0" fontId="142" fillId="0" borderId="46" xfId="0" applyFont="1" applyBorder="1" applyAlignment="1">
      <alignment horizontal="center"/>
    </xf>
    <xf numFmtId="0" fontId="142" fillId="0" borderId="93" xfId="0" applyFont="1" applyBorder="1" applyAlignment="1">
      <alignment horizontal="center"/>
    </xf>
    <xf numFmtId="0" fontId="142" fillId="0" borderId="62" xfId="0" applyFont="1" applyFill="1" applyBorder="1" applyAlignment="1">
      <alignment wrapText="1"/>
    </xf>
    <xf numFmtId="0" fontId="142" fillId="0" borderId="91" xfId="0" applyFont="1" applyBorder="1" applyAlignment="1">
      <alignment horizontal="center"/>
    </xf>
    <xf numFmtId="0" fontId="142" fillId="0" borderId="115" xfId="0" applyFont="1" applyBorder="1" applyAlignment="1">
      <alignment horizontal="center"/>
    </xf>
    <xf numFmtId="0" fontId="142" fillId="7" borderId="41" xfId="0" applyFont="1" applyFill="1" applyBorder="1" applyAlignment="1">
      <alignment wrapText="1"/>
    </xf>
    <xf numFmtId="0" fontId="142" fillId="7" borderId="105" xfId="0" applyFont="1" applyFill="1" applyBorder="1"/>
    <xf numFmtId="1" fontId="142" fillId="7" borderId="64" xfId="0" applyNumberFormat="1" applyFont="1" applyFill="1" applyBorder="1" applyAlignment="1">
      <alignment horizontal="center"/>
    </xf>
    <xf numFmtId="0" fontId="2" fillId="19" borderId="7" xfId="0" applyFont="1" applyFill="1" applyBorder="1"/>
    <xf numFmtId="168" fontId="2" fillId="19" borderId="7" xfId="0" applyNumberFormat="1" applyFont="1" applyFill="1" applyBorder="1" applyAlignment="1">
      <alignment horizontal="center"/>
    </xf>
    <xf numFmtId="168" fontId="2" fillId="19" borderId="7" xfId="1" applyNumberFormat="1" applyFont="1" applyFill="1" applyBorder="1"/>
    <xf numFmtId="10" fontId="2" fillId="3" borderId="13" xfId="2" applyNumberFormat="1" applyFont="1" applyFill="1" applyBorder="1" applyAlignment="1">
      <alignment horizontal="right"/>
    </xf>
    <xf numFmtId="164" fontId="2" fillId="3" borderId="0" xfId="0" applyNumberFormat="1" applyFont="1" applyFill="1"/>
    <xf numFmtId="0" fontId="151" fillId="36" borderId="149" xfId="19" applyFont="1" applyFill="1" applyBorder="1" applyAlignment="1">
      <alignment horizontal="centerContinuous" vertical="center"/>
    </xf>
    <xf numFmtId="0" fontId="151" fillId="36" borderId="150" xfId="19" applyFont="1" applyFill="1" applyBorder="1" applyAlignment="1">
      <alignment horizontal="centerContinuous" vertical="center"/>
    </xf>
    <xf numFmtId="0" fontId="152" fillId="36" borderId="151" xfId="19" applyFont="1" applyFill="1" applyBorder="1" applyAlignment="1">
      <alignment horizontal="centerContinuous" vertical="center"/>
    </xf>
    <xf numFmtId="9" fontId="1" fillId="3" borderId="0" xfId="0" applyNumberFormat="1" applyFont="1" applyFill="1"/>
    <xf numFmtId="171" fontId="152" fillId="36" borderId="152" xfId="19" applyNumberFormat="1" applyFont="1" applyFill="1" applyBorder="1" applyAlignment="1">
      <alignment horizontal="center" vertical="center"/>
    </xf>
    <xf numFmtId="171" fontId="152" fillId="36" borderId="153" xfId="19" applyNumberFormat="1" applyFont="1" applyFill="1" applyBorder="1" applyAlignment="1">
      <alignment horizontal="center" vertical="center"/>
    </xf>
    <xf numFmtId="171" fontId="152" fillId="36" borderId="154" xfId="19" applyNumberFormat="1" applyFont="1" applyFill="1" applyBorder="1" applyAlignment="1">
      <alignment horizontal="center" vertical="center"/>
    </xf>
    <xf numFmtId="171" fontId="152" fillId="36" borderId="156" xfId="19" applyNumberFormat="1" applyFont="1" applyFill="1" applyBorder="1" applyAlignment="1">
      <alignment horizontal="center" vertical="center"/>
    </xf>
    <xf numFmtId="10" fontId="3" fillId="3" borderId="4" xfId="2" applyNumberFormat="1" applyFont="1" applyFill="1" applyBorder="1"/>
    <xf numFmtId="171" fontId="152" fillId="36" borderId="158" xfId="19" applyNumberFormat="1" applyFont="1" applyFill="1" applyBorder="1" applyAlignment="1">
      <alignment horizontal="center" vertical="center"/>
    </xf>
    <xf numFmtId="171" fontId="152" fillId="36" borderId="160" xfId="19" applyNumberFormat="1" applyFont="1" applyFill="1" applyBorder="1" applyAlignment="1">
      <alignment horizontal="center" vertical="center"/>
    </xf>
    <xf numFmtId="0" fontId="153" fillId="0" borderId="0" xfId="15" applyFont="1"/>
    <xf numFmtId="0" fontId="154" fillId="0" borderId="0" xfId="0" applyFont="1" applyAlignment="1">
      <alignment horizontal="left" vertical="center" wrapText="1" indent="1"/>
    </xf>
    <xf numFmtId="0" fontId="155" fillId="38" borderId="0" xfId="0" applyFont="1" applyFill="1" applyAlignment="1">
      <alignment horizontal="center" vertical="center" wrapText="1"/>
    </xf>
    <xf numFmtId="0" fontId="156" fillId="38" borderId="0" xfId="0" applyFont="1" applyFill="1" applyAlignment="1">
      <alignment horizontal="center" vertical="center" wrapText="1"/>
    </xf>
    <xf numFmtId="0" fontId="156" fillId="38" borderId="167" xfId="0" applyFont="1" applyFill="1" applyBorder="1" applyAlignment="1">
      <alignment horizontal="center" vertical="center" wrapText="1"/>
    </xf>
    <xf numFmtId="0" fontId="155" fillId="38" borderId="170" xfId="0" applyFont="1" applyFill="1" applyBorder="1" applyAlignment="1">
      <alignment horizontal="center" vertical="center" wrapText="1"/>
    </xf>
    <xf numFmtId="0" fontId="155" fillId="38" borderId="171" xfId="0" applyFont="1" applyFill="1" applyBorder="1" applyAlignment="1">
      <alignment horizontal="center" vertical="center" wrapText="1"/>
    </xf>
    <xf numFmtId="0" fontId="155" fillId="38" borderId="165" xfId="0" applyFont="1" applyFill="1" applyBorder="1" applyAlignment="1">
      <alignment horizontal="center" vertical="center" wrapText="1"/>
    </xf>
    <xf numFmtId="0" fontId="156" fillId="38" borderId="168" xfId="0" applyFont="1" applyFill="1" applyBorder="1" applyAlignment="1">
      <alignment horizontal="center" vertical="center" wrapText="1"/>
    </xf>
    <xf numFmtId="166" fontId="2" fillId="4" borderId="177" xfId="0" applyNumberFormat="1" applyFont="1" applyFill="1" applyBorder="1"/>
    <xf numFmtId="10" fontId="2" fillId="3" borderId="143" xfId="0" applyNumberFormat="1" applyFont="1" applyFill="1" applyBorder="1"/>
    <xf numFmtId="10" fontId="2" fillId="4" borderId="143" xfId="0" applyNumberFormat="1" applyFont="1" applyFill="1" applyBorder="1"/>
    <xf numFmtId="0" fontId="157" fillId="36" borderId="150" xfId="19" applyFont="1" applyFill="1" applyBorder="1" applyAlignment="1">
      <alignment horizontal="centerContinuous" vertical="center"/>
    </xf>
    <xf numFmtId="0" fontId="0" fillId="13" borderId="0" xfId="0" applyFill="1"/>
    <xf numFmtId="0" fontId="0" fillId="13" borderId="37" xfId="0" applyFill="1" applyBorder="1"/>
    <xf numFmtId="0" fontId="0" fillId="13" borderId="51" xfId="0" applyFill="1" applyBorder="1"/>
    <xf numFmtId="0" fontId="0" fillId="13" borderId="52" xfId="0" applyFill="1" applyBorder="1"/>
    <xf numFmtId="0" fontId="0" fillId="13" borderId="48" xfId="0" applyFill="1" applyBorder="1"/>
    <xf numFmtId="0" fontId="0" fillId="13" borderId="49" xfId="0" applyFill="1" applyBorder="1"/>
    <xf numFmtId="0" fontId="0" fillId="13" borderId="50" xfId="0" applyFill="1" applyBorder="1"/>
    <xf numFmtId="0" fontId="0" fillId="13" borderId="45" xfId="0" applyFill="1" applyBorder="1"/>
    <xf numFmtId="0" fontId="0" fillId="13" borderId="0" xfId="0" applyFill="1" applyBorder="1"/>
    <xf numFmtId="0" fontId="0" fillId="13" borderId="46" xfId="0" applyFill="1" applyBorder="1"/>
    <xf numFmtId="0" fontId="30" fillId="0" borderId="0" xfId="0" applyFont="1" applyBorder="1"/>
    <xf numFmtId="0" fontId="28" fillId="0" borderId="0" xfId="0" applyFont="1" applyBorder="1" applyAlignment="1">
      <alignment horizontal="center"/>
    </xf>
    <xf numFmtId="0" fontId="162" fillId="3" borderId="0" xfId="0" applyFont="1" applyFill="1"/>
    <xf numFmtId="10" fontId="2" fillId="3" borderId="7" xfId="0" applyNumberFormat="1" applyFont="1" applyFill="1" applyBorder="1"/>
    <xf numFmtId="185" fontId="2" fillId="3" borderId="0" xfId="2" applyNumberFormat="1" applyFont="1" applyFill="1" applyBorder="1"/>
    <xf numFmtId="9" fontId="2" fillId="3" borderId="0" xfId="2" applyNumberFormat="1" applyFont="1" applyFill="1" applyBorder="1"/>
    <xf numFmtId="165" fontId="2" fillId="3" borderId="0" xfId="2" applyNumberFormat="1" applyFont="1" applyFill="1" applyBorder="1"/>
    <xf numFmtId="165" fontId="2" fillId="3" borderId="0" xfId="1" applyNumberFormat="1" applyFont="1" applyFill="1" applyBorder="1"/>
    <xf numFmtId="167" fontId="163" fillId="14" borderId="58" xfId="5" applyNumberFormat="1" applyFont="1" applyBorder="1"/>
    <xf numFmtId="167" fontId="27" fillId="14" borderId="178" xfId="5" applyNumberFormat="1" applyFont="1" applyBorder="1"/>
    <xf numFmtId="0" fontId="37" fillId="0" borderId="0" xfId="0" applyFont="1" applyBorder="1"/>
    <xf numFmtId="197" fontId="2" fillId="3" borderId="0" xfId="1" applyNumberFormat="1" applyFont="1" applyFill="1" applyBorder="1"/>
    <xf numFmtId="0" fontId="120" fillId="0" borderId="0" xfId="0" applyFont="1"/>
    <xf numFmtId="0" fontId="166" fillId="41" borderId="37" xfId="0" applyFont="1" applyFill="1" applyBorder="1"/>
    <xf numFmtId="0" fontId="166" fillId="41" borderId="36" xfId="0" applyFont="1" applyFill="1" applyBorder="1"/>
    <xf numFmtId="0" fontId="166" fillId="41" borderId="4" xfId="0" applyFont="1" applyFill="1" applyBorder="1"/>
    <xf numFmtId="0" fontId="166" fillId="41" borderId="69" xfId="0" applyFont="1" applyFill="1" applyBorder="1"/>
    <xf numFmtId="0" fontId="166" fillId="41" borderId="45" xfId="0" applyFont="1" applyFill="1" applyBorder="1"/>
    <xf numFmtId="2" fontId="166" fillId="41" borderId="25" xfId="0" applyNumberFormat="1" applyFont="1" applyFill="1" applyBorder="1"/>
    <xf numFmtId="0" fontId="120" fillId="0" borderId="37" xfId="0" applyFont="1" applyBorder="1"/>
    <xf numFmtId="41" fontId="0" fillId="0" borderId="4" xfId="1" applyNumberFormat="1" applyFont="1" applyBorder="1"/>
    <xf numFmtId="0" fontId="120" fillId="0" borderId="45" xfId="0" applyFont="1" applyBorder="1"/>
    <xf numFmtId="0" fontId="120" fillId="0" borderId="48" xfId="0" applyFont="1" applyBorder="1"/>
    <xf numFmtId="0" fontId="120" fillId="0" borderId="65" xfId="0" applyFont="1" applyBorder="1"/>
    <xf numFmtId="165" fontId="120" fillId="0" borderId="66" xfId="1" applyFont="1" applyBorder="1"/>
    <xf numFmtId="165" fontId="120" fillId="0" borderId="67" xfId="1" applyFont="1" applyBorder="1"/>
    <xf numFmtId="0" fontId="120" fillId="0" borderId="68" xfId="0" applyFont="1" applyBorder="1"/>
    <xf numFmtId="165" fontId="120" fillId="0" borderId="4" xfId="1" applyFont="1" applyBorder="1"/>
    <xf numFmtId="0" fontId="120" fillId="0" borderId="70" xfId="0" applyFont="1" applyBorder="1"/>
    <xf numFmtId="2" fontId="120" fillId="0" borderId="71" xfId="0" applyNumberFormat="1" applyFont="1" applyBorder="1"/>
    <xf numFmtId="0" fontId="167" fillId="5" borderId="65" xfId="0" applyFont="1" applyFill="1" applyBorder="1"/>
    <xf numFmtId="0" fontId="120" fillId="0" borderId="66" xfId="0" applyFont="1" applyBorder="1"/>
    <xf numFmtId="0" fontId="120" fillId="0" borderId="67" xfId="0" applyFont="1" applyBorder="1"/>
    <xf numFmtId="0" fontId="167" fillId="5" borderId="68" xfId="0" applyFont="1" applyFill="1" applyBorder="1"/>
    <xf numFmtId="0" fontId="120" fillId="0" borderId="4" xfId="0" applyFont="1" applyBorder="1"/>
    <xf numFmtId="0" fontId="120" fillId="0" borderId="69" xfId="0" applyFont="1" applyBorder="1"/>
    <xf numFmtId="0" fontId="120" fillId="0" borderId="82" xfId="0" applyFont="1" applyBorder="1"/>
    <xf numFmtId="0" fontId="168" fillId="42" borderId="65" xfId="0" applyFont="1" applyFill="1" applyBorder="1"/>
    <xf numFmtId="0" fontId="120" fillId="0" borderId="180" xfId="0" applyFont="1" applyBorder="1"/>
    <xf numFmtId="165" fontId="169" fillId="5" borderId="36" xfId="1" applyFont="1" applyFill="1" applyBorder="1"/>
    <xf numFmtId="165" fontId="169" fillId="5" borderId="53" xfId="1" applyFont="1" applyFill="1" applyBorder="1"/>
    <xf numFmtId="9" fontId="120" fillId="0" borderId="4" xfId="2" applyFont="1" applyBorder="1"/>
    <xf numFmtId="9" fontId="120" fillId="0" borderId="69" xfId="2" applyFont="1" applyBorder="1"/>
    <xf numFmtId="41" fontId="0" fillId="0" borderId="6" xfId="1" applyNumberFormat="1" applyFont="1" applyBorder="1"/>
    <xf numFmtId="0" fontId="120" fillId="0" borderId="107" xfId="0" applyFont="1" applyBorder="1"/>
    <xf numFmtId="41" fontId="0" fillId="0" borderId="128" xfId="1" applyNumberFormat="1" applyFont="1" applyBorder="1"/>
    <xf numFmtId="41" fontId="0" fillId="0" borderId="71" xfId="1" applyNumberFormat="1" applyFont="1" applyBorder="1"/>
    <xf numFmtId="167" fontId="167" fillId="3" borderId="72" xfId="1" applyNumberFormat="1" applyFont="1" applyFill="1" applyBorder="1"/>
    <xf numFmtId="168" fontId="120" fillId="0" borderId="73" xfId="1" applyNumberFormat="1" applyFont="1" applyBorder="1"/>
    <xf numFmtId="167" fontId="170" fillId="3" borderId="68" xfId="1" applyNumberFormat="1" applyFont="1" applyFill="1" applyBorder="1"/>
    <xf numFmtId="167" fontId="171" fillId="3" borderId="68" xfId="1" applyNumberFormat="1" applyFont="1" applyFill="1" applyBorder="1"/>
    <xf numFmtId="167" fontId="120" fillId="0" borderId="69" xfId="0" applyNumberFormat="1" applyFont="1" applyBorder="1"/>
    <xf numFmtId="167" fontId="120" fillId="3" borderId="68" xfId="1" applyNumberFormat="1" applyFont="1" applyFill="1" applyBorder="1"/>
    <xf numFmtId="167" fontId="167" fillId="3" borderId="68" xfId="1" applyNumberFormat="1" applyFont="1" applyFill="1" applyBorder="1"/>
    <xf numFmtId="2" fontId="120" fillId="0" borderId="69" xfId="0" applyNumberFormat="1" applyFont="1" applyBorder="1"/>
    <xf numFmtId="0" fontId="172" fillId="5" borderId="68" xfId="0" applyFont="1" applyFill="1" applyBorder="1"/>
    <xf numFmtId="167" fontId="167" fillId="5" borderId="70" xfId="1" applyNumberFormat="1" applyFont="1" applyFill="1" applyBorder="1"/>
    <xf numFmtId="0" fontId="168" fillId="42" borderId="37" xfId="0" applyFont="1" applyFill="1" applyBorder="1"/>
    <xf numFmtId="0" fontId="120" fillId="0" borderId="25" xfId="0" applyFont="1" applyBorder="1"/>
    <xf numFmtId="165" fontId="169" fillId="5" borderId="35" xfId="1" applyFont="1" applyFill="1" applyBorder="1"/>
    <xf numFmtId="167" fontId="173" fillId="3" borderId="88" xfId="1" applyNumberFormat="1" applyFont="1" applyFill="1" applyBorder="1"/>
    <xf numFmtId="43" fontId="120" fillId="0" borderId="63" xfId="0" applyNumberFormat="1" applyFont="1" applyBorder="1"/>
    <xf numFmtId="167" fontId="173" fillId="3" borderId="40" xfId="1" applyNumberFormat="1" applyFont="1" applyFill="1" applyBorder="1"/>
    <xf numFmtId="167" fontId="172" fillId="3" borderId="40" xfId="1" applyNumberFormat="1" applyFont="1" applyFill="1" applyBorder="1"/>
    <xf numFmtId="167" fontId="172" fillId="3" borderId="62" xfId="1" applyNumberFormat="1" applyFont="1" applyFill="1" applyBorder="1"/>
    <xf numFmtId="167" fontId="172" fillId="3" borderId="90" xfId="1" applyNumberFormat="1" applyFont="1" applyFill="1" applyBorder="1"/>
    <xf numFmtId="167" fontId="172" fillId="3" borderId="181" xfId="1" applyNumberFormat="1" applyFont="1" applyFill="1" applyBorder="1"/>
    <xf numFmtId="167" fontId="120" fillId="0" borderId="92" xfId="0" applyNumberFormat="1" applyFont="1" applyBorder="1"/>
    <xf numFmtId="43" fontId="120" fillId="0" borderId="0" xfId="0" applyNumberFormat="1" applyFont="1"/>
    <xf numFmtId="0" fontId="170" fillId="3" borderId="88" xfId="0" applyFont="1" applyFill="1" applyBorder="1"/>
    <xf numFmtId="167" fontId="120" fillId="0" borderId="39" xfId="0" applyNumberFormat="1" applyFont="1" applyBorder="1"/>
    <xf numFmtId="40" fontId="171" fillId="3" borderId="40" xfId="0" applyNumberFormat="1" applyFont="1" applyFill="1" applyBorder="1"/>
    <xf numFmtId="40" fontId="173" fillId="3" borderId="40" xfId="0" applyNumberFormat="1" applyFont="1" applyFill="1" applyBorder="1"/>
    <xf numFmtId="10" fontId="120" fillId="0" borderId="39" xfId="2" applyNumberFormat="1" applyFont="1" applyBorder="1"/>
    <xf numFmtId="0" fontId="172" fillId="5" borderId="40" xfId="0" applyFont="1" applyFill="1" applyBorder="1"/>
    <xf numFmtId="167" fontId="167" fillId="5" borderId="41" xfId="1" applyNumberFormat="1" applyFont="1" applyFill="1" applyBorder="1"/>
    <xf numFmtId="166" fontId="174" fillId="43" borderId="0" xfId="0" applyNumberFormat="1" applyFont="1" applyFill="1"/>
    <xf numFmtId="165" fontId="120" fillId="0" borderId="4" xfId="1" applyNumberFormat="1" applyFont="1" applyBorder="1"/>
    <xf numFmtId="9" fontId="2" fillId="3" borderId="50" xfId="0" applyNumberFormat="1" applyFont="1" applyFill="1" applyBorder="1"/>
    <xf numFmtId="41" fontId="0" fillId="0" borderId="5" xfId="1" applyNumberFormat="1" applyFont="1" applyBorder="1"/>
    <xf numFmtId="41" fontId="0" fillId="0" borderId="77" xfId="1" applyNumberFormat="1" applyFont="1" applyBorder="1"/>
    <xf numFmtId="0" fontId="120" fillId="0" borderId="96" xfId="0" applyFont="1" applyBorder="1"/>
    <xf numFmtId="10" fontId="120" fillId="0" borderId="82" xfId="0" applyNumberFormat="1" applyFont="1" applyBorder="1"/>
    <xf numFmtId="41" fontId="120" fillId="0" borderId="4" xfId="0" applyNumberFormat="1" applyFont="1" applyBorder="1"/>
    <xf numFmtId="165" fontId="120" fillId="0" borderId="4" xfId="0" applyNumberFormat="1" applyFont="1" applyBorder="1"/>
    <xf numFmtId="41" fontId="120" fillId="0" borderId="71" xfId="0" applyNumberFormat="1" applyFont="1" applyBorder="1"/>
    <xf numFmtId="168" fontId="175" fillId="0" borderId="4" xfId="1" applyNumberFormat="1" applyFont="1" applyBorder="1"/>
    <xf numFmtId="0" fontId="120" fillId="0" borderId="6" xfId="0" applyFont="1" applyBorder="1"/>
    <xf numFmtId="0" fontId="170" fillId="3" borderId="42" xfId="0" applyFont="1" applyFill="1" applyBorder="1"/>
    <xf numFmtId="0" fontId="120" fillId="0" borderId="50" xfId="0" applyFont="1" applyBorder="1"/>
    <xf numFmtId="41" fontId="120" fillId="0" borderId="28" xfId="0" applyNumberFormat="1" applyFont="1" applyBorder="1"/>
    <xf numFmtId="41" fontId="120" fillId="0" borderId="6" xfId="0" applyNumberFormat="1" applyFont="1" applyBorder="1"/>
    <xf numFmtId="41" fontId="120" fillId="0" borderId="128" xfId="0" applyNumberFormat="1" applyFont="1" applyBorder="1"/>
    <xf numFmtId="41" fontId="120" fillId="0" borderId="69" xfId="0" applyNumberFormat="1" applyFont="1" applyBorder="1"/>
    <xf numFmtId="168" fontId="120" fillId="0" borderId="69" xfId="0" applyNumberFormat="1" applyFont="1" applyBorder="1"/>
    <xf numFmtId="0" fontId="168" fillId="42" borderId="51" xfId="0" applyFont="1" applyFill="1" applyBorder="1"/>
    <xf numFmtId="0" fontId="120" fillId="0" borderId="109" xfId="0" applyFont="1" applyBorder="1" applyAlignment="1">
      <alignment horizontal="left"/>
    </xf>
    <xf numFmtId="0" fontId="120" fillId="0" borderId="64" xfId="0" applyFont="1" applyBorder="1" applyAlignment="1">
      <alignment horizontal="left"/>
    </xf>
    <xf numFmtId="167" fontId="172" fillId="3" borderId="94" xfId="1" applyNumberFormat="1" applyFont="1" applyFill="1" applyBorder="1"/>
    <xf numFmtId="0" fontId="168" fillId="42" borderId="0" xfId="0" applyFont="1" applyFill="1" applyBorder="1"/>
    <xf numFmtId="166" fontId="174" fillId="43" borderId="4" xfId="0" applyNumberFormat="1" applyFont="1" applyFill="1" applyBorder="1"/>
    <xf numFmtId="168" fontId="175" fillId="0" borderId="43" xfId="1" applyNumberFormat="1" applyFont="1" applyBorder="1" applyAlignment="1">
      <alignment horizontal="left"/>
    </xf>
    <xf numFmtId="0" fontId="120" fillId="0" borderId="8" xfId="0" applyFont="1" applyBorder="1" applyAlignment="1">
      <alignment horizontal="left"/>
    </xf>
    <xf numFmtId="0" fontId="120" fillId="0" borderId="60" xfId="0" applyFont="1" applyBorder="1" applyAlignment="1">
      <alignment horizontal="left"/>
    </xf>
    <xf numFmtId="168" fontId="120" fillId="0" borderId="4" xfId="0" applyNumberFormat="1" applyFont="1" applyBorder="1"/>
    <xf numFmtId="2" fontId="176" fillId="43" borderId="4" xfId="0" applyNumberFormat="1" applyFont="1" applyFill="1" applyBorder="1"/>
    <xf numFmtId="0" fontId="177" fillId="0" borderId="0" xfId="0" applyFont="1"/>
    <xf numFmtId="41" fontId="120" fillId="0" borderId="0" xfId="0" applyNumberFormat="1" applyFont="1"/>
    <xf numFmtId="41" fontId="120" fillId="0" borderId="0" xfId="0" applyNumberFormat="1" applyFont="1" applyAlignment="1">
      <alignment horizontal="right"/>
    </xf>
    <xf numFmtId="0" fontId="120" fillId="0" borderId="36" xfId="0" applyFont="1" applyBorder="1"/>
    <xf numFmtId="0" fontId="120" fillId="0" borderId="0" xfId="0" applyFont="1" applyAlignment="1">
      <alignment horizontal="right"/>
    </xf>
    <xf numFmtId="168" fontId="120" fillId="0" borderId="0" xfId="1" applyNumberFormat="1" applyFont="1"/>
    <xf numFmtId="0" fontId="120" fillId="0" borderId="0" xfId="0" applyFont="1" applyBorder="1"/>
    <xf numFmtId="165" fontId="120" fillId="0" borderId="0" xfId="0" applyNumberFormat="1" applyFont="1" applyBorder="1"/>
    <xf numFmtId="215" fontId="120" fillId="0" borderId="0" xfId="0" applyNumberFormat="1" applyFont="1"/>
    <xf numFmtId="0" fontId="120" fillId="0" borderId="0" xfId="0" applyFont="1" applyFill="1" applyBorder="1"/>
    <xf numFmtId="175" fontId="120" fillId="0" borderId="0" xfId="0" applyNumberFormat="1" applyFont="1"/>
    <xf numFmtId="215" fontId="169" fillId="12" borderId="54" xfId="0" applyNumberFormat="1" applyFont="1" applyFill="1" applyBorder="1"/>
    <xf numFmtId="0" fontId="120" fillId="12" borderId="0" xfId="0" applyFont="1" applyFill="1"/>
    <xf numFmtId="41" fontId="120" fillId="12" borderId="0" xfId="0" applyNumberFormat="1" applyFont="1" applyFill="1"/>
    <xf numFmtId="0" fontId="120" fillId="0" borderId="0" xfId="0" applyFont="1" applyFill="1"/>
    <xf numFmtId="41" fontId="120" fillId="0" borderId="0" xfId="0" applyNumberFormat="1" applyFont="1" applyFill="1"/>
    <xf numFmtId="10" fontId="120" fillId="0" borderId="0" xfId="2" applyNumberFormat="1" applyFont="1" applyFill="1"/>
    <xf numFmtId="216" fontId="2" fillId="3" borderId="46" xfId="0" applyNumberFormat="1" applyFont="1" applyFill="1" applyBorder="1"/>
    <xf numFmtId="216" fontId="2" fillId="3" borderId="50" xfId="0" applyNumberFormat="1" applyFont="1" applyFill="1" applyBorder="1"/>
    <xf numFmtId="0" fontId="167" fillId="5" borderId="107" xfId="0" applyFont="1" applyFill="1" applyBorder="1"/>
    <xf numFmtId="0" fontId="120" fillId="0" borderId="98" xfId="0" applyFont="1" applyBorder="1"/>
    <xf numFmtId="0" fontId="167" fillId="5" borderId="4" xfId="0" applyFont="1" applyFill="1" applyBorder="1"/>
    <xf numFmtId="165" fontId="120" fillId="0" borderId="63" xfId="1" applyFont="1" applyBorder="1"/>
    <xf numFmtId="0" fontId="167" fillId="5" borderId="25" xfId="0" applyFont="1" applyFill="1" applyBorder="1"/>
    <xf numFmtId="165" fontId="178" fillId="0" borderId="25" xfId="1" applyNumberFormat="1" applyFont="1" applyBorder="1" applyAlignment="1">
      <alignment horizontal="center"/>
    </xf>
    <xf numFmtId="0" fontId="178" fillId="0" borderId="25" xfId="0" applyFont="1" applyBorder="1" applyAlignment="1">
      <alignment horizontal="center"/>
    </xf>
    <xf numFmtId="0" fontId="179" fillId="5" borderId="65" xfId="0" applyFont="1" applyFill="1" applyBorder="1"/>
    <xf numFmtId="0" fontId="178" fillId="0" borderId="66" xfId="0" applyFont="1" applyBorder="1" applyAlignment="1">
      <alignment horizontal="center"/>
    </xf>
    <xf numFmtId="0" fontId="178" fillId="0" borderId="67" xfId="0" applyFont="1" applyBorder="1" applyAlignment="1">
      <alignment horizontal="center"/>
    </xf>
    <xf numFmtId="0" fontId="179" fillId="5" borderId="70" xfId="0" applyFont="1" applyFill="1" applyBorder="1"/>
    <xf numFmtId="0" fontId="120" fillId="0" borderId="49" xfId="0" applyFont="1" applyBorder="1"/>
    <xf numFmtId="167" fontId="27" fillId="0" borderId="0" xfId="0" applyNumberFormat="1" applyFont="1"/>
    <xf numFmtId="165" fontId="3" fillId="3" borderId="0" xfId="0" applyNumberFormat="1" applyFont="1" applyFill="1"/>
    <xf numFmtId="0" fontId="67" fillId="0" borderId="0" xfId="7" applyFont="1" applyAlignment="1">
      <alignment horizontal="right"/>
    </xf>
    <xf numFmtId="0" fontId="180" fillId="2" borderId="4" xfId="7" applyFont="1" applyFill="1" applyBorder="1"/>
    <xf numFmtId="0" fontId="80" fillId="2" borderId="4" xfId="7" applyFont="1" applyFill="1" applyBorder="1"/>
    <xf numFmtId="2" fontId="67" fillId="0" borderId="0" xfId="7" applyNumberFormat="1" applyFont="1"/>
    <xf numFmtId="2" fontId="0" fillId="0" borderId="0" xfId="0" applyNumberFormat="1"/>
    <xf numFmtId="181" fontId="0" fillId="0" borderId="0" xfId="0" applyNumberFormat="1"/>
    <xf numFmtId="189" fontId="0" fillId="0" borderId="0" xfId="0" applyNumberFormat="1"/>
    <xf numFmtId="216" fontId="2" fillId="3" borderId="46" xfId="0" applyNumberFormat="1" applyFont="1" applyFill="1" applyBorder="1" applyAlignment="1">
      <alignment horizontal="right"/>
    </xf>
    <xf numFmtId="0" fontId="181" fillId="0" borderId="4" xfId="0" applyFont="1" applyBorder="1" applyAlignment="1">
      <alignment horizontal="left" vertical="center"/>
    </xf>
    <xf numFmtId="0" fontId="143" fillId="0" borderId="4" xfId="0" applyFont="1" applyBorder="1" applyAlignment="1">
      <alignment horizontal="left" vertical="center"/>
    </xf>
    <xf numFmtId="218" fontId="0" fillId="0" borderId="0" xfId="0" applyNumberFormat="1"/>
    <xf numFmtId="168" fontId="182" fillId="0" borderId="0" xfId="0" applyNumberFormat="1" applyFont="1"/>
    <xf numFmtId="0" fontId="51" fillId="0" borderId="0" xfId="0" applyFont="1" applyAlignment="1">
      <alignment horizontal="center"/>
    </xf>
    <xf numFmtId="218" fontId="0" fillId="0" borderId="60" xfId="0" applyNumberFormat="1" applyBorder="1"/>
    <xf numFmtId="0" fontId="51" fillId="0" borderId="7" xfId="0" applyFont="1" applyBorder="1" applyAlignment="1">
      <alignment horizontal="center"/>
    </xf>
    <xf numFmtId="168" fontId="0" fillId="0" borderId="8" xfId="0" applyNumberFormat="1" applyBorder="1"/>
    <xf numFmtId="9" fontId="0" fillId="0" borderId="5" xfId="0" applyNumberFormat="1" applyBorder="1"/>
    <xf numFmtId="0" fontId="0" fillId="0" borderId="37" xfId="0" applyBorder="1"/>
    <xf numFmtId="168" fontId="0" fillId="0" borderId="51" xfId="0" applyNumberFormat="1" applyBorder="1"/>
    <xf numFmtId="168" fontId="0" fillId="0" borderId="52" xfId="0" applyNumberFormat="1" applyBorder="1"/>
    <xf numFmtId="0" fontId="181" fillId="0" borderId="68" xfId="0" applyFont="1" applyBorder="1" applyAlignment="1">
      <alignment horizontal="left" vertical="center"/>
    </xf>
    <xf numFmtId="0" fontId="143" fillId="0" borderId="68" xfId="0" applyFont="1" applyBorder="1" applyAlignment="1">
      <alignment horizontal="left" vertical="center"/>
    </xf>
    <xf numFmtId="168" fontId="0" fillId="0" borderId="10" xfId="0" applyNumberFormat="1" applyBorder="1"/>
    <xf numFmtId="0" fontId="0" fillId="0" borderId="52" xfId="0" applyBorder="1"/>
    <xf numFmtId="9" fontId="0" fillId="0" borderId="69" xfId="0" applyNumberFormat="1" applyBorder="1"/>
    <xf numFmtId="9" fontId="0" fillId="0" borderId="82" xfId="0" applyNumberFormat="1" applyBorder="1"/>
    <xf numFmtId="168" fontId="0" fillId="0" borderId="0" xfId="0" applyNumberFormat="1" applyFont="1" applyAlignment="1">
      <alignment horizontal="left"/>
    </xf>
    <xf numFmtId="168" fontId="0" fillId="0" borderId="60" xfId="0" applyNumberFormat="1" applyFont="1" applyBorder="1"/>
    <xf numFmtId="0" fontId="0" fillId="0" borderId="51" xfId="0" applyBorder="1"/>
    <xf numFmtId="217" fontId="0" fillId="0" borderId="0" xfId="0" applyNumberFormat="1" applyBorder="1"/>
    <xf numFmtId="165" fontId="0" fillId="0" borderId="46" xfId="1" applyFont="1" applyBorder="1"/>
    <xf numFmtId="168" fontId="0" fillId="0" borderId="77" xfId="0" applyNumberFormat="1" applyBorder="1"/>
    <xf numFmtId="3" fontId="0" fillId="0" borderId="67" xfId="0" applyNumberFormat="1" applyBorder="1"/>
    <xf numFmtId="0" fontId="51" fillId="0" borderId="68" xfId="0" applyFont="1" applyBorder="1"/>
    <xf numFmtId="168" fontId="30" fillId="13" borderId="58" xfId="1" applyNumberFormat="1" applyFont="1" applyFill="1" applyBorder="1" applyAlignment="1">
      <alignment horizontal="left"/>
    </xf>
    <xf numFmtId="168" fontId="65" fillId="13" borderId="58" xfId="1" applyNumberFormat="1" applyFont="1" applyFill="1" applyBorder="1" applyAlignment="1">
      <alignment horizontal="left"/>
    </xf>
    <xf numFmtId="168" fontId="27" fillId="13" borderId="58" xfId="2" applyNumberFormat="1" applyFont="1" applyFill="1" applyBorder="1" applyAlignment="1">
      <alignment horizontal="left"/>
    </xf>
    <xf numFmtId="0" fontId="6" fillId="3" borderId="46" xfId="0" applyFont="1" applyFill="1" applyBorder="1" applyAlignment="1">
      <alignment horizontal="right"/>
    </xf>
    <xf numFmtId="0" fontId="6" fillId="0" borderId="45" xfId="0" applyFont="1" applyFill="1" applyBorder="1"/>
    <xf numFmtId="0" fontId="10" fillId="0" borderId="46" xfId="0" applyFont="1" applyFill="1" applyBorder="1"/>
    <xf numFmtId="168" fontId="6" fillId="3" borderId="0" xfId="0" applyNumberFormat="1" applyFont="1" applyFill="1" applyBorder="1"/>
    <xf numFmtId="0" fontId="4" fillId="0" borderId="0" xfId="0" applyFont="1" applyFill="1" applyBorder="1"/>
    <xf numFmtId="10" fontId="27" fillId="13" borderId="0" xfId="2" applyNumberFormat="1" applyFont="1" applyFill="1" applyAlignment="1">
      <alignment horizontal="right"/>
    </xf>
    <xf numFmtId="0" fontId="0" fillId="0" borderId="7" xfId="0" applyBorder="1"/>
    <xf numFmtId="165" fontId="0" fillId="0" borderId="33" xfId="1" applyFont="1" applyBorder="1"/>
    <xf numFmtId="180" fontId="0" fillId="0" borderId="0" xfId="1" applyNumberFormat="1" applyFont="1"/>
    <xf numFmtId="172" fontId="0" fillId="0" borderId="0" xfId="1" applyNumberFormat="1" applyFont="1"/>
    <xf numFmtId="165" fontId="3" fillId="3" borderId="0" xfId="0" applyNumberFormat="1" applyFont="1" applyFill="1" applyBorder="1"/>
    <xf numFmtId="9" fontId="3" fillId="14" borderId="135" xfId="2" applyFont="1" applyFill="1" applyBorder="1" applyAlignment="1">
      <alignment horizontal="center"/>
    </xf>
    <xf numFmtId="0" fontId="0" fillId="5" borderId="0" xfId="0" applyFill="1"/>
    <xf numFmtId="168" fontId="0" fillId="5" borderId="0" xfId="1" applyNumberFormat="1" applyFont="1" applyFill="1"/>
    <xf numFmtId="165" fontId="0" fillId="5" borderId="0" xfId="1" applyFont="1" applyFill="1"/>
    <xf numFmtId="168" fontId="183" fillId="0" borderId="0" xfId="1" applyNumberFormat="1" applyFont="1"/>
    <xf numFmtId="168" fontId="0" fillId="0" borderId="0" xfId="1" applyNumberFormat="1" applyFont="1" applyFill="1"/>
    <xf numFmtId="168" fontId="0" fillId="0" borderId="0" xfId="0" applyNumberFormat="1" applyFill="1"/>
    <xf numFmtId="196" fontId="66" fillId="32" borderId="35" xfId="0" applyNumberFormat="1" applyFont="1" applyFill="1" applyBorder="1" applyAlignment="1" applyProtection="1">
      <alignment horizontal="right" vertical="center"/>
      <protection locked="0"/>
    </xf>
    <xf numFmtId="168" fontId="3" fillId="14" borderId="135" xfId="1" applyNumberFormat="1" applyFont="1" applyFill="1" applyBorder="1" applyAlignment="1">
      <alignment horizontal="center"/>
    </xf>
    <xf numFmtId="10" fontId="120" fillId="0" borderId="54" xfId="0" applyNumberFormat="1" applyFont="1" applyBorder="1"/>
    <xf numFmtId="0" fontId="59" fillId="0" borderId="35" xfId="0" applyFont="1" applyBorder="1" applyAlignment="1">
      <alignment vertical="center" wrapText="1"/>
    </xf>
    <xf numFmtId="0" fontId="59" fillId="0" borderId="54" xfId="0" applyFont="1" applyBorder="1" applyAlignment="1">
      <alignment vertical="center" wrapText="1"/>
    </xf>
    <xf numFmtId="0" fontId="59" fillId="0" borderId="54" xfId="0" applyFont="1" applyBorder="1" applyAlignment="1">
      <alignment horizontal="center" vertical="center" wrapText="1"/>
    </xf>
    <xf numFmtId="0" fontId="184" fillId="0" borderId="46" xfId="0" applyFont="1" applyBorder="1" applyAlignment="1">
      <alignment vertical="center" wrapText="1"/>
    </xf>
    <xf numFmtId="0" fontId="184" fillId="0" borderId="46" xfId="0" applyFont="1" applyBorder="1" applyAlignment="1">
      <alignment horizontal="justify" vertical="center" wrapText="1"/>
    </xf>
    <xf numFmtId="0" fontId="184" fillId="0" borderId="50" xfId="0" applyFont="1" applyBorder="1" applyAlignment="1">
      <alignment horizontal="justify" vertical="center" wrapText="1"/>
    </xf>
    <xf numFmtId="17" fontId="184" fillId="0" borderId="46" xfId="0" applyNumberFormat="1" applyFont="1" applyBorder="1" applyAlignment="1">
      <alignment horizontal="justify" vertical="center" wrapText="1"/>
    </xf>
    <xf numFmtId="0" fontId="184" fillId="0" borderId="50" xfId="0" applyFont="1" applyBorder="1" applyAlignment="1">
      <alignment vertical="center" wrapText="1"/>
    </xf>
    <xf numFmtId="0" fontId="184" fillId="0" borderId="94" xfId="0" applyFont="1" applyBorder="1" applyAlignment="1">
      <alignment vertical="center" wrapText="1"/>
    </xf>
    <xf numFmtId="3" fontId="184" fillId="0" borderId="50" xfId="0" applyNumberFormat="1" applyFont="1" applyBorder="1" applyAlignment="1">
      <alignment vertical="center" wrapText="1"/>
    </xf>
    <xf numFmtId="3" fontId="185" fillId="0" borderId="50" xfId="0" applyNumberFormat="1" applyFont="1" applyBorder="1" applyAlignment="1">
      <alignment vertical="center" wrapText="1"/>
    </xf>
    <xf numFmtId="0" fontId="184" fillId="0" borderId="93" xfId="0" applyFont="1" applyBorder="1" applyAlignment="1">
      <alignment vertical="center" wrapText="1"/>
    </xf>
    <xf numFmtId="0" fontId="184" fillId="0" borderId="38" xfId="0" applyFont="1" applyBorder="1" applyAlignment="1">
      <alignment vertical="center" wrapText="1"/>
    </xf>
    <xf numFmtId="0" fontId="184" fillId="0" borderId="94" xfId="0" applyFont="1" applyBorder="1" applyAlignment="1">
      <alignment vertical="center" wrapText="1"/>
    </xf>
    <xf numFmtId="0" fontId="59" fillId="0" borderId="38" xfId="0" applyFont="1" applyBorder="1" applyAlignment="1">
      <alignment horizontal="justify" vertical="center" wrapText="1"/>
    </xf>
    <xf numFmtId="0" fontId="59" fillId="0" borderId="94" xfId="0" applyFont="1" applyBorder="1" applyAlignment="1">
      <alignment horizontal="justify" vertical="center" wrapText="1"/>
    </xf>
    <xf numFmtId="0" fontId="59" fillId="0" borderId="50" xfId="0" applyFont="1" applyBorder="1" applyAlignment="1">
      <alignment horizontal="justify" vertical="center" wrapText="1"/>
    </xf>
    <xf numFmtId="0" fontId="184" fillId="0" borderId="94" xfId="0" applyFont="1" applyBorder="1" applyAlignment="1">
      <alignment horizontal="justify" vertical="center" wrapText="1"/>
    </xf>
    <xf numFmtId="3" fontId="184" fillId="0" borderId="50" xfId="0" applyNumberFormat="1" applyFont="1" applyBorder="1" applyAlignment="1">
      <alignment horizontal="justify" vertical="center" wrapText="1"/>
    </xf>
    <xf numFmtId="0" fontId="185" fillId="0" borderId="50" xfId="0" applyFont="1" applyBorder="1" applyAlignment="1">
      <alignment horizontal="justify" vertical="center" wrapText="1"/>
    </xf>
    <xf numFmtId="0" fontId="59" fillId="0" borderId="54" xfId="0" applyFont="1" applyBorder="1" applyAlignment="1">
      <alignment horizontal="justify" vertical="center" wrapText="1"/>
    </xf>
    <xf numFmtId="0" fontId="59" fillId="0" borderId="94" xfId="0" applyFont="1" applyBorder="1" applyAlignment="1">
      <alignment vertical="center" wrapText="1"/>
    </xf>
    <xf numFmtId="3" fontId="59" fillId="0" borderId="50" xfId="0" applyNumberFormat="1" applyFont="1" applyBorder="1" applyAlignment="1">
      <alignment horizontal="justify" vertical="center" wrapText="1"/>
    </xf>
    <xf numFmtId="3" fontId="130" fillId="0" borderId="90" xfId="0" applyNumberFormat="1" applyFont="1" applyBorder="1"/>
    <xf numFmtId="3" fontId="130" fillId="0" borderId="27" xfId="0" applyNumberFormat="1" applyFont="1" applyBorder="1"/>
    <xf numFmtId="3" fontId="130" fillId="0" borderId="5" xfId="0" applyNumberFormat="1" applyFont="1" applyBorder="1"/>
    <xf numFmtId="3" fontId="130" fillId="0" borderId="77" xfId="0" applyNumberFormat="1" applyFont="1" applyBorder="1"/>
    <xf numFmtId="168" fontId="0" fillId="0" borderId="0" xfId="1" applyNumberFormat="1" applyFont="1" applyAlignment="1">
      <alignment horizontal="left"/>
    </xf>
    <xf numFmtId="171" fontId="120" fillId="0" borderId="105" xfId="0" applyNumberFormat="1" applyFont="1" applyBorder="1"/>
    <xf numFmtId="0" fontId="6" fillId="9" borderId="42" xfId="0" applyFont="1" applyFill="1" applyBorder="1"/>
    <xf numFmtId="0" fontId="10" fillId="9" borderId="44" xfId="0" applyFont="1" applyFill="1" applyBorder="1"/>
    <xf numFmtId="0" fontId="4" fillId="9" borderId="45" xfId="0" applyFont="1" applyFill="1" applyBorder="1"/>
    <xf numFmtId="0" fontId="10" fillId="9" borderId="0" xfId="0" applyFont="1" applyFill="1"/>
    <xf numFmtId="168" fontId="4" fillId="9" borderId="46" xfId="0" applyNumberFormat="1" applyFont="1" applyFill="1" applyBorder="1"/>
    <xf numFmtId="0" fontId="10" fillId="9" borderId="44" xfId="0" applyFont="1" applyFill="1" applyBorder="1" applyAlignment="1">
      <alignment horizontal="right"/>
    </xf>
    <xf numFmtId="168" fontId="10" fillId="0" borderId="46" xfId="1" applyNumberFormat="1" applyFont="1" applyFill="1" applyBorder="1" applyAlignment="1">
      <alignment horizontal="right"/>
    </xf>
    <xf numFmtId="0" fontId="6" fillId="9" borderId="48" xfId="0" applyFont="1" applyFill="1" applyBorder="1"/>
    <xf numFmtId="168" fontId="10" fillId="9" borderId="50" xfId="0" applyNumberFormat="1" applyFont="1" applyFill="1" applyBorder="1"/>
    <xf numFmtId="165" fontId="0" fillId="0" borderId="39" xfId="1" applyFont="1" applyBorder="1"/>
    <xf numFmtId="0" fontId="0" fillId="0" borderId="39" xfId="0" applyBorder="1"/>
    <xf numFmtId="185" fontId="0" fillId="0" borderId="0" xfId="2" applyNumberFormat="1" applyFont="1"/>
    <xf numFmtId="0" fontId="0" fillId="0" borderId="180" xfId="0" applyBorder="1"/>
    <xf numFmtId="10" fontId="0" fillId="0" borderId="6" xfId="2" applyNumberFormat="1" applyFont="1" applyBorder="1"/>
    <xf numFmtId="9" fontId="0" fillId="0" borderId="6" xfId="2" applyFont="1" applyBorder="1"/>
    <xf numFmtId="9" fontId="0" fillId="0" borderId="128" xfId="2" applyFont="1" applyBorder="1"/>
    <xf numFmtId="168" fontId="0" fillId="0" borderId="98" xfId="1" applyNumberFormat="1" applyFont="1" applyBorder="1"/>
    <xf numFmtId="0" fontId="0" fillId="0" borderId="73" xfId="0" applyBorder="1"/>
    <xf numFmtId="171" fontId="0" fillId="0" borderId="4" xfId="2" applyNumberFormat="1" applyFont="1" applyBorder="1"/>
    <xf numFmtId="10" fontId="0" fillId="0" borderId="4" xfId="0" applyNumberFormat="1" applyBorder="1"/>
    <xf numFmtId="168" fontId="0" fillId="0" borderId="69" xfId="1" applyNumberFormat="1" applyFont="1" applyBorder="1" applyAlignment="1">
      <alignment horizontal="left" indent="5"/>
    </xf>
    <xf numFmtId="0" fontId="184" fillId="9" borderId="94" xfId="0" applyFont="1" applyFill="1" applyBorder="1" applyAlignment="1">
      <alignment vertical="center" wrapText="1"/>
    </xf>
    <xf numFmtId="0" fontId="59" fillId="9" borderId="50" xfId="0" applyFont="1" applyFill="1" applyBorder="1" applyAlignment="1">
      <alignment vertical="center" wrapText="1"/>
    </xf>
    <xf numFmtId="3" fontId="59" fillId="9" borderId="50" xfId="0" applyNumberFormat="1" applyFont="1" applyFill="1" applyBorder="1" applyAlignment="1">
      <alignment vertical="center" wrapText="1"/>
    </xf>
    <xf numFmtId="0" fontId="184" fillId="0" borderId="38" xfId="0" applyFont="1" applyBorder="1" applyAlignment="1">
      <alignment vertical="top" wrapText="1"/>
    </xf>
    <xf numFmtId="0" fontId="184" fillId="0" borderId="93" xfId="0" applyFont="1" applyBorder="1" applyAlignment="1">
      <alignment vertical="top" wrapText="1"/>
    </xf>
    <xf numFmtId="0" fontId="184" fillId="0" borderId="94" xfId="0" applyFont="1" applyBorder="1" applyAlignment="1">
      <alignment vertical="top" wrapText="1"/>
    </xf>
    <xf numFmtId="0" fontId="188" fillId="9" borderId="36" xfId="0" applyFont="1" applyFill="1" applyBorder="1" applyAlignment="1"/>
    <xf numFmtId="0" fontId="188" fillId="9" borderId="53" xfId="0" applyFont="1" applyFill="1" applyBorder="1" applyAlignment="1"/>
    <xf numFmtId="0" fontId="188" fillId="9" borderId="54" xfId="0" applyFont="1" applyFill="1" applyBorder="1" applyAlignment="1"/>
    <xf numFmtId="0" fontId="59" fillId="9" borderId="94" xfId="0" applyFont="1" applyFill="1" applyBorder="1" applyAlignment="1">
      <alignment horizontal="justify" vertical="center" wrapText="1"/>
    </xf>
    <xf numFmtId="0" fontId="59" fillId="9" borderId="50" xfId="0" applyFont="1" applyFill="1" applyBorder="1" applyAlignment="1">
      <alignment horizontal="justify" vertical="center" wrapText="1"/>
    </xf>
    <xf numFmtId="3" fontId="186" fillId="9" borderId="50" xfId="0" applyNumberFormat="1" applyFont="1" applyFill="1" applyBorder="1" applyAlignment="1">
      <alignment horizontal="justify" vertical="center" wrapText="1"/>
    </xf>
    <xf numFmtId="0" fontId="0" fillId="0" borderId="35" xfId="0" applyBorder="1"/>
    <xf numFmtId="0" fontId="160" fillId="2" borderId="117" xfId="0" applyFont="1" applyFill="1" applyBorder="1" applyAlignment="1">
      <alignment horizontal="left"/>
    </xf>
    <xf numFmtId="0" fontId="0" fillId="0" borderId="117" xfId="0" applyBorder="1"/>
    <xf numFmtId="2" fontId="0" fillId="0" borderId="39" xfId="0" applyNumberFormat="1" applyBorder="1"/>
    <xf numFmtId="0" fontId="184" fillId="0" borderId="39" xfId="0" applyFont="1" applyBorder="1"/>
    <xf numFmtId="0" fontId="190" fillId="2" borderId="39" xfId="0" applyFont="1" applyFill="1" applyBorder="1" applyAlignment="1">
      <alignment horizontal="left"/>
    </xf>
    <xf numFmtId="0" fontId="191" fillId="3" borderId="39" xfId="0" applyFont="1" applyFill="1" applyBorder="1" applyProtection="1">
      <protection locked="0"/>
    </xf>
    <xf numFmtId="0" fontId="190" fillId="2" borderId="39" xfId="0" applyFont="1" applyFill="1" applyBorder="1" applyAlignment="1">
      <alignment horizontal="center"/>
    </xf>
    <xf numFmtId="216" fontId="184" fillId="3" borderId="39" xfId="0" applyNumberFormat="1" applyFont="1" applyFill="1" applyBorder="1"/>
    <xf numFmtId="216" fontId="184" fillId="3" borderId="105" xfId="0" applyNumberFormat="1" applyFont="1" applyFill="1" applyBorder="1"/>
    <xf numFmtId="0" fontId="0" fillId="0" borderId="39" xfId="0" applyFont="1" applyBorder="1"/>
    <xf numFmtId="171" fontId="159" fillId="3" borderId="92" xfId="2" applyNumberFormat="1" applyFont="1" applyFill="1" applyBorder="1"/>
    <xf numFmtId="171" fontId="159" fillId="3" borderId="39" xfId="2" applyNumberFormat="1" applyFont="1" applyFill="1" applyBorder="1"/>
    <xf numFmtId="0" fontId="59" fillId="3" borderId="39" xfId="0" applyFont="1" applyFill="1" applyBorder="1" applyAlignment="1"/>
    <xf numFmtId="216" fontId="59" fillId="3" borderId="39" xfId="0" applyNumberFormat="1" applyFont="1" applyFill="1" applyBorder="1" applyAlignment="1"/>
    <xf numFmtId="0" fontId="0" fillId="13" borderId="93" xfId="0" applyFill="1" applyBorder="1"/>
    <xf numFmtId="171" fontId="0" fillId="0" borderId="39" xfId="2" applyNumberFormat="1" applyFont="1" applyBorder="1"/>
    <xf numFmtId="216" fontId="184" fillId="3" borderId="40" xfId="0" applyNumberFormat="1" applyFont="1" applyFill="1" applyBorder="1"/>
    <xf numFmtId="0" fontId="0" fillId="9" borderId="35" xfId="0" applyFill="1" applyBorder="1"/>
    <xf numFmtId="216" fontId="143" fillId="3" borderId="39" xfId="0" applyNumberFormat="1" applyFont="1" applyFill="1" applyBorder="1" applyAlignment="1">
      <alignment horizontal="right"/>
    </xf>
    <xf numFmtId="216" fontId="143" fillId="3" borderId="105" xfId="0" applyNumberFormat="1" applyFont="1" applyFill="1" applyBorder="1" applyAlignment="1">
      <alignment horizontal="right"/>
    </xf>
    <xf numFmtId="0" fontId="189" fillId="9" borderId="35" xfId="0" applyFont="1" applyFill="1" applyBorder="1" applyAlignment="1">
      <alignment horizontal="center" vertical="center"/>
    </xf>
    <xf numFmtId="219" fontId="143" fillId="3" borderId="39" xfId="0" applyNumberFormat="1" applyFont="1" applyFill="1" applyBorder="1" applyAlignment="1">
      <alignment horizontal="right"/>
    </xf>
    <xf numFmtId="216" fontId="184" fillId="3" borderId="35" xfId="0" applyNumberFormat="1" applyFont="1" applyFill="1" applyBorder="1" applyAlignment="1">
      <alignment horizontal="center"/>
    </xf>
    <xf numFmtId="9" fontId="0" fillId="0" borderId="54" xfId="2" applyFont="1" applyBorder="1"/>
    <xf numFmtId="219" fontId="143" fillId="3" borderId="105" xfId="0" applyNumberFormat="1" applyFont="1" applyFill="1" applyBorder="1" applyAlignment="1">
      <alignment horizontal="right"/>
    </xf>
    <xf numFmtId="0" fontId="193" fillId="3" borderId="68" xfId="0" applyFont="1" applyFill="1" applyBorder="1"/>
    <xf numFmtId="0" fontId="194" fillId="3" borderId="68" xfId="0" applyFont="1" applyFill="1" applyBorder="1"/>
    <xf numFmtId="0" fontId="195" fillId="3" borderId="68" xfId="0" applyFont="1" applyFill="1" applyBorder="1"/>
    <xf numFmtId="216" fontId="160" fillId="0" borderId="182" xfId="0" applyNumberFormat="1" applyFont="1" applyBorder="1" applyAlignment="1">
      <alignment horizontal="center"/>
    </xf>
    <xf numFmtId="168" fontId="159" fillId="3" borderId="5" xfId="1" applyNumberFormat="1" applyFont="1" applyFill="1" applyBorder="1"/>
    <xf numFmtId="168" fontId="161" fillId="3" borderId="5" xfId="0" applyNumberFormat="1" applyFont="1" applyFill="1" applyBorder="1"/>
    <xf numFmtId="0" fontId="143" fillId="3" borderId="68" xfId="0" applyFont="1" applyFill="1" applyBorder="1"/>
    <xf numFmtId="0" fontId="0" fillId="13" borderId="4" xfId="0" applyFill="1" applyBorder="1"/>
    <xf numFmtId="0" fontId="0" fillId="0" borderId="117" xfId="0" applyBorder="1" applyAlignment="1"/>
    <xf numFmtId="0" fontId="160" fillId="13" borderId="39" xfId="0" applyFont="1" applyFill="1" applyBorder="1" applyAlignment="1">
      <alignment horizontal="center"/>
    </xf>
    <xf numFmtId="168" fontId="0" fillId="0" borderId="4" xfId="1" applyNumberFormat="1" applyFont="1" applyFill="1" applyBorder="1"/>
    <xf numFmtId="0" fontId="190" fillId="2" borderId="40" xfId="0" applyFont="1" applyFill="1" applyBorder="1" applyAlignment="1">
      <alignment horizontal="center"/>
    </xf>
    <xf numFmtId="0" fontId="160" fillId="13" borderId="69" xfId="0" applyFont="1" applyFill="1" applyBorder="1" applyAlignment="1">
      <alignment horizontal="center"/>
    </xf>
    <xf numFmtId="216" fontId="184" fillId="3" borderId="88" xfId="0" applyNumberFormat="1" applyFont="1" applyFill="1" applyBorder="1"/>
    <xf numFmtId="168" fontId="0" fillId="0" borderId="69" xfId="1" applyNumberFormat="1" applyFont="1" applyFill="1" applyBorder="1"/>
    <xf numFmtId="168" fontId="0" fillId="0" borderId="50" xfId="1" applyNumberFormat="1" applyFont="1" applyBorder="1"/>
    <xf numFmtId="0" fontId="54" fillId="0" borderId="117" xfId="7" applyFont="1" applyBorder="1"/>
    <xf numFmtId="0" fontId="54" fillId="0" borderId="105" xfId="7" applyFont="1" applyBorder="1"/>
    <xf numFmtId="0" fontId="54" fillId="0" borderId="94" xfId="7" applyFont="1" applyBorder="1"/>
    <xf numFmtId="193" fontId="113" fillId="20" borderId="91" xfId="0" applyNumberFormat="1" applyFont="1" applyFill="1" applyBorder="1" applyAlignment="1" applyProtection="1">
      <alignment horizontal="right"/>
      <protection locked="0"/>
    </xf>
    <xf numFmtId="214" fontId="54" fillId="0" borderId="0" xfId="7" applyNumberFormat="1" applyFont="1"/>
    <xf numFmtId="0" fontId="193" fillId="3" borderId="72" xfId="0" applyFont="1" applyFill="1" applyBorder="1" applyProtection="1">
      <protection locked="0"/>
    </xf>
    <xf numFmtId="171" fontId="193" fillId="3" borderId="73" xfId="2" applyNumberFormat="1" applyFont="1" applyFill="1" applyBorder="1"/>
    <xf numFmtId="0" fontId="193" fillId="3" borderId="68" xfId="0" applyFont="1" applyFill="1" applyBorder="1" applyProtection="1">
      <protection locked="0"/>
    </xf>
    <xf numFmtId="171" fontId="193" fillId="3" borderId="69" xfId="2" applyNumberFormat="1" applyFont="1" applyFill="1" applyBorder="1"/>
    <xf numFmtId="168" fontId="193" fillId="3" borderId="69" xfId="1" applyNumberFormat="1" applyFont="1" applyFill="1" applyBorder="1"/>
    <xf numFmtId="0" fontId="193" fillId="3" borderId="70" xfId="0" applyFont="1" applyFill="1" applyBorder="1" applyProtection="1">
      <protection locked="0"/>
    </xf>
    <xf numFmtId="167" fontId="193" fillId="3" borderId="82" xfId="8" applyNumberFormat="1" applyFont="1" applyFill="1" applyBorder="1"/>
    <xf numFmtId="165" fontId="193" fillId="3" borderId="73" xfId="1" applyNumberFormat="1" applyFont="1" applyFill="1" applyBorder="1"/>
    <xf numFmtId="165" fontId="193" fillId="3" borderId="69" xfId="1" applyNumberFormat="1" applyFont="1" applyFill="1" applyBorder="1"/>
    <xf numFmtId="165" fontId="193" fillId="3" borderId="82" xfId="1" applyNumberFormat="1" applyFont="1" applyFill="1" applyBorder="1"/>
    <xf numFmtId="0" fontId="129" fillId="3" borderId="45" xfId="0" applyFont="1" applyFill="1" applyBorder="1"/>
    <xf numFmtId="9" fontId="193" fillId="3" borderId="98" xfId="1" applyNumberFormat="1" applyFont="1" applyFill="1" applyBorder="1"/>
    <xf numFmtId="0" fontId="197" fillId="3" borderId="68" xfId="0" applyFont="1" applyFill="1" applyBorder="1" applyAlignment="1"/>
    <xf numFmtId="0" fontId="192" fillId="0" borderId="69" xfId="0" applyFont="1" applyBorder="1" applyAlignment="1"/>
    <xf numFmtId="216" fontId="192" fillId="3" borderId="68" xfId="0" applyNumberFormat="1" applyFont="1" applyFill="1" applyBorder="1"/>
    <xf numFmtId="216" fontId="192" fillId="3" borderId="69" xfId="0" applyNumberFormat="1" applyFont="1" applyFill="1" applyBorder="1"/>
    <xf numFmtId="216" fontId="197" fillId="3" borderId="68" xfId="0" applyNumberFormat="1" applyFont="1" applyFill="1" applyBorder="1" applyAlignment="1"/>
    <xf numFmtId="216" fontId="192" fillId="0" borderId="69" xfId="0" applyNumberFormat="1" applyFont="1" applyBorder="1" applyAlignment="1"/>
    <xf numFmtId="216" fontId="192" fillId="3" borderId="107" xfId="0" applyNumberFormat="1" applyFont="1" applyFill="1" applyBorder="1"/>
    <xf numFmtId="168" fontId="194" fillId="3" borderId="69" xfId="0" applyNumberFormat="1" applyFont="1" applyFill="1" applyBorder="1"/>
    <xf numFmtId="0" fontId="192" fillId="3" borderId="68" xfId="0" applyFont="1" applyFill="1" applyBorder="1"/>
    <xf numFmtId="0" fontId="193" fillId="3" borderId="70" xfId="0" applyFont="1" applyFill="1" applyBorder="1"/>
    <xf numFmtId="168" fontId="193" fillId="3" borderId="82" xfId="1" applyNumberFormat="1" applyFont="1" applyFill="1" applyBorder="1"/>
    <xf numFmtId="0" fontId="196" fillId="2" borderId="117" xfId="0" applyFont="1" applyFill="1" applyBorder="1" applyAlignment="1">
      <alignment horizontal="center"/>
    </xf>
    <xf numFmtId="0" fontId="57" fillId="3" borderId="68" xfId="0" applyFont="1" applyFill="1" applyBorder="1" applyProtection="1">
      <protection locked="0"/>
    </xf>
    <xf numFmtId="171" fontId="57" fillId="3" borderId="4" xfId="2" applyNumberFormat="1" applyFont="1" applyFill="1" applyBorder="1"/>
    <xf numFmtId="168" fontId="57" fillId="3" borderId="4" xfId="1" applyNumberFormat="1" applyFont="1" applyFill="1" applyBorder="1"/>
    <xf numFmtId="167" fontId="57" fillId="3" borderId="4" xfId="8" applyNumberFormat="1" applyFont="1" applyFill="1" applyBorder="1"/>
    <xf numFmtId="0" fontId="199" fillId="2" borderId="69" xfId="0" applyFont="1" applyFill="1" applyBorder="1" applyAlignment="1">
      <alignment horizontal="center"/>
    </xf>
    <xf numFmtId="165" fontId="57" fillId="3" borderId="4" xfId="1" applyNumberFormat="1" applyFont="1" applyFill="1" applyBorder="1"/>
    <xf numFmtId="0" fontId="199" fillId="2" borderId="67" xfId="0" applyFont="1" applyFill="1" applyBorder="1" applyAlignment="1">
      <alignment horizontal="center"/>
    </xf>
    <xf numFmtId="0" fontId="58" fillId="3" borderId="68" xfId="0" applyFont="1" applyFill="1" applyBorder="1" applyProtection="1">
      <protection locked="0"/>
    </xf>
    <xf numFmtId="0" fontId="56" fillId="0" borderId="4" xfId="0" applyFont="1" applyBorder="1" applyAlignment="1"/>
    <xf numFmtId="216" fontId="56" fillId="3" borderId="4" xfId="0" applyNumberFormat="1" applyFont="1" applyFill="1" applyBorder="1"/>
    <xf numFmtId="216" fontId="56" fillId="3" borderId="69" xfId="0" applyNumberFormat="1" applyFont="1" applyFill="1" applyBorder="1"/>
    <xf numFmtId="216" fontId="56" fillId="0" borderId="4" xfId="0" applyNumberFormat="1" applyFont="1" applyBorder="1" applyAlignment="1"/>
    <xf numFmtId="0" fontId="57" fillId="3" borderId="70" xfId="0" applyFont="1" applyFill="1" applyBorder="1" applyProtection="1">
      <protection locked="0"/>
    </xf>
    <xf numFmtId="216" fontId="56" fillId="3" borderId="71" xfId="0" applyNumberFormat="1" applyFont="1" applyFill="1" applyBorder="1"/>
    <xf numFmtId="216" fontId="56" fillId="3" borderId="82" xfId="0" applyNumberFormat="1" applyFont="1" applyFill="1" applyBorder="1"/>
    <xf numFmtId="171" fontId="56" fillId="0" borderId="69" xfId="2" applyNumberFormat="1" applyFont="1" applyBorder="1"/>
    <xf numFmtId="168" fontId="56" fillId="0" borderId="69" xfId="1" applyNumberFormat="1" applyFont="1" applyBorder="1"/>
    <xf numFmtId="2" fontId="56" fillId="0" borderId="69" xfId="0" applyNumberFormat="1" applyFont="1" applyBorder="1"/>
    <xf numFmtId="0" fontId="56" fillId="0" borderId="69" xfId="0" applyFont="1" applyBorder="1"/>
    <xf numFmtId="0" fontId="56" fillId="3" borderId="107" xfId="0" applyFont="1" applyFill="1" applyBorder="1"/>
    <xf numFmtId="171" fontId="56" fillId="0" borderId="98" xfId="2" applyNumberFormat="1" applyFont="1" applyBorder="1"/>
    <xf numFmtId="9" fontId="56" fillId="0" borderId="69" xfId="2" applyFont="1" applyBorder="1"/>
    <xf numFmtId="0" fontId="56" fillId="5" borderId="68" xfId="0" applyFont="1" applyFill="1" applyBorder="1" applyAlignment="1">
      <alignment horizontal="center"/>
    </xf>
    <xf numFmtId="0" fontId="56" fillId="5" borderId="4" xfId="0" applyFont="1" applyFill="1" applyBorder="1" applyAlignment="1">
      <alignment horizontal="center"/>
    </xf>
    <xf numFmtId="0" fontId="56" fillId="5" borderId="69" xfId="0" applyFont="1" applyFill="1" applyBorder="1" applyAlignment="1">
      <alignment horizontal="center"/>
    </xf>
    <xf numFmtId="0" fontId="199" fillId="2" borderId="68" xfId="0" applyFont="1" applyFill="1" applyBorder="1" applyAlignment="1">
      <alignment horizontal="left"/>
    </xf>
    <xf numFmtId="0" fontId="199" fillId="2" borderId="4" xfId="0" applyFont="1" applyFill="1" applyBorder="1" applyAlignment="1">
      <alignment horizontal="center"/>
    </xf>
    <xf numFmtId="0" fontId="198" fillId="0" borderId="68" xfId="0" applyFont="1" applyBorder="1"/>
    <xf numFmtId="0" fontId="198" fillId="0" borderId="72" xfId="0" applyFont="1" applyBorder="1"/>
    <xf numFmtId="0" fontId="198" fillId="0" borderId="70" xfId="0" applyFont="1" applyBorder="1"/>
    <xf numFmtId="0" fontId="188" fillId="0" borderId="63" xfId="0" applyFont="1" applyBorder="1"/>
    <xf numFmtId="0" fontId="188" fillId="0" borderId="4" xfId="0" applyFont="1" applyBorder="1"/>
    <xf numFmtId="9" fontId="200" fillId="0" borderId="4" xfId="0" applyNumberFormat="1" applyFont="1" applyFill="1" applyBorder="1" applyAlignment="1">
      <alignment horizontal="center"/>
    </xf>
    <xf numFmtId="0" fontId="200" fillId="3" borderId="4" xfId="0" applyFont="1" applyFill="1" applyBorder="1"/>
    <xf numFmtId="0" fontId="188" fillId="0" borderId="73" xfId="0" applyFont="1" applyBorder="1"/>
    <xf numFmtId="9" fontId="200" fillId="0" borderId="69" xfId="0" applyNumberFormat="1" applyFont="1" applyFill="1" applyBorder="1" applyAlignment="1">
      <alignment horizontal="center"/>
    </xf>
    <xf numFmtId="0" fontId="200" fillId="3" borderId="69" xfId="0" applyFont="1" applyFill="1" applyBorder="1"/>
    <xf numFmtId="9" fontId="27" fillId="0" borderId="0" xfId="2" applyFont="1"/>
    <xf numFmtId="0" fontId="65" fillId="0" borderId="45" xfId="7" applyFont="1" applyBorder="1" applyAlignment="1">
      <alignment horizontal="center" vertical="center"/>
    </xf>
    <xf numFmtId="0" fontId="16" fillId="0" borderId="51" xfId="7" applyFont="1" applyBorder="1" applyAlignment="1">
      <alignment horizontal="center"/>
    </xf>
    <xf numFmtId="0" fontId="18" fillId="0" borderId="51" xfId="7" applyFont="1" applyBorder="1" applyAlignment="1">
      <alignment horizontal="center"/>
    </xf>
    <xf numFmtId="0" fontId="26" fillId="2" borderId="72" xfId="7" applyFont="1" applyFill="1" applyBorder="1" applyAlignment="1">
      <alignment horizontal="left"/>
    </xf>
    <xf numFmtId="0" fontId="73" fillId="2" borderId="90" xfId="7" applyFont="1" applyFill="1" applyBorder="1"/>
    <xf numFmtId="168" fontId="73" fillId="2" borderId="73" xfId="1" applyNumberFormat="1" applyFont="1" applyFill="1" applyBorder="1" applyAlignment="1">
      <alignment horizontal="right"/>
    </xf>
    <xf numFmtId="0" fontId="18" fillId="0" borderId="37" xfId="7" applyFont="1" applyBorder="1" applyAlignment="1">
      <alignment horizontal="center"/>
    </xf>
    <xf numFmtId="168" fontId="75" fillId="0" borderId="93" xfId="7" applyNumberFormat="1" applyFont="1" applyBorder="1"/>
    <xf numFmtId="0" fontId="65" fillId="0" borderId="28" xfId="7" applyFont="1" applyBorder="1" applyAlignment="1">
      <alignment horizontal="center"/>
    </xf>
    <xf numFmtId="0" fontId="65" fillId="0" borderId="97" xfId="7" applyFont="1" applyBorder="1" applyAlignment="1">
      <alignment horizontal="center"/>
    </xf>
    <xf numFmtId="0" fontId="65" fillId="0" borderId="93" xfId="7" applyFont="1" applyBorder="1" applyAlignment="1">
      <alignment horizontal="center"/>
    </xf>
    <xf numFmtId="0" fontId="73" fillId="0" borderId="68" xfId="7" applyFont="1" applyFill="1" applyBorder="1"/>
    <xf numFmtId="168" fontId="73" fillId="0" borderId="69" xfId="1" applyNumberFormat="1" applyFont="1" applyFill="1" applyBorder="1" applyAlignment="1">
      <alignment horizontal="right"/>
    </xf>
    <xf numFmtId="173" fontId="0" fillId="0" borderId="0" xfId="0" applyNumberFormat="1"/>
    <xf numFmtId="3" fontId="0" fillId="0" borderId="73" xfId="0" applyNumberFormat="1" applyBorder="1"/>
    <xf numFmtId="0" fontId="0" fillId="7" borderId="4" xfId="0" applyFill="1" applyBorder="1"/>
    <xf numFmtId="0" fontId="0" fillId="7" borderId="6" xfId="0" applyFill="1" applyBorder="1"/>
    <xf numFmtId="168" fontId="0" fillId="0" borderId="6" xfId="1" applyNumberFormat="1" applyFont="1" applyBorder="1"/>
    <xf numFmtId="0" fontId="0" fillId="7" borderId="65" xfId="0" applyFill="1" applyBorder="1"/>
    <xf numFmtId="0" fontId="0" fillId="7" borderId="66" xfId="0" applyFill="1" applyBorder="1"/>
    <xf numFmtId="0" fontId="0" fillId="7" borderId="67" xfId="0" applyFill="1" applyBorder="1"/>
    <xf numFmtId="0" fontId="62" fillId="0" borderId="48" xfId="7" applyBorder="1" applyAlignment="1">
      <alignment horizontal="left" indent="2"/>
    </xf>
    <xf numFmtId="168" fontId="0" fillId="0" borderId="130" xfId="8" applyNumberFormat="1" applyFont="1" applyBorder="1"/>
    <xf numFmtId="168" fontId="0" fillId="0" borderId="131" xfId="8" applyNumberFormat="1" applyFont="1" applyBorder="1"/>
    <xf numFmtId="43" fontId="120" fillId="0" borderId="118" xfId="0" applyNumberFormat="1" applyFont="1" applyBorder="1"/>
    <xf numFmtId="43" fontId="120" fillId="0" borderId="92" xfId="0" applyNumberFormat="1" applyFont="1" applyBorder="1"/>
    <xf numFmtId="41" fontId="0" fillId="0" borderId="39" xfId="1" applyNumberFormat="1" applyFont="1" applyBorder="1"/>
    <xf numFmtId="172" fontId="169" fillId="5" borderId="36" xfId="1" applyNumberFormat="1" applyFont="1" applyFill="1" applyBorder="1"/>
    <xf numFmtId="182" fontId="120" fillId="0" borderId="39" xfId="2" applyNumberFormat="1" applyFont="1" applyBorder="1"/>
    <xf numFmtId="168" fontId="120" fillId="0" borderId="4" xfId="1" applyNumberFormat="1" applyFont="1" applyBorder="1"/>
    <xf numFmtId="168" fontId="120" fillId="0" borderId="44" xfId="1" applyNumberFormat="1" applyFont="1" applyBorder="1" applyAlignment="1">
      <alignment horizontal="left"/>
    </xf>
    <xf numFmtId="168" fontId="120" fillId="0" borderId="6" xfId="1" applyNumberFormat="1" applyFont="1" applyBorder="1"/>
    <xf numFmtId="214" fontId="120" fillId="0" borderId="0" xfId="0" applyNumberFormat="1" applyFont="1"/>
    <xf numFmtId="173" fontId="120" fillId="0" borderId="0" xfId="0" applyNumberFormat="1" applyFont="1"/>
    <xf numFmtId="181" fontId="120" fillId="0" borderId="0" xfId="0" applyNumberFormat="1" applyFont="1"/>
    <xf numFmtId="2" fontId="120" fillId="0" borderId="0" xfId="0" applyNumberFormat="1" applyFont="1"/>
    <xf numFmtId="166" fontId="70" fillId="16" borderId="0" xfId="0" applyNumberFormat="1" applyFont="1" applyFill="1" applyBorder="1" applyAlignment="1">
      <alignment horizontal="center"/>
    </xf>
    <xf numFmtId="214" fontId="166" fillId="41" borderId="25" xfId="0" applyNumberFormat="1" applyFont="1" applyFill="1" applyBorder="1"/>
    <xf numFmtId="198" fontId="169" fillId="5" borderId="53" xfId="1" applyNumberFormat="1" applyFont="1" applyFill="1" applyBorder="1"/>
    <xf numFmtId="197" fontId="169" fillId="5" borderId="53" xfId="1" applyNumberFormat="1" applyFont="1" applyFill="1" applyBorder="1"/>
    <xf numFmtId="201" fontId="169" fillId="5" borderId="53" xfId="1" applyNumberFormat="1" applyFont="1" applyFill="1" applyBorder="1"/>
    <xf numFmtId="43" fontId="27" fillId="13" borderId="54" xfId="6" applyFont="1" applyFill="1" applyBorder="1"/>
    <xf numFmtId="0" fontId="30" fillId="0" borderId="45" xfId="0" applyFont="1" applyBorder="1"/>
    <xf numFmtId="220" fontId="92" fillId="13" borderId="177" xfId="0" applyNumberFormat="1" applyFont="1" applyFill="1" applyBorder="1" applyAlignment="1" applyProtection="1">
      <alignment horizontal="right"/>
      <protection locked="0"/>
    </xf>
    <xf numFmtId="193" fontId="92" fillId="13" borderId="177" xfId="0" applyNumberFormat="1" applyFont="1" applyFill="1" applyBorder="1" applyAlignment="1" applyProtection="1">
      <alignment horizontal="right"/>
      <protection locked="0"/>
    </xf>
    <xf numFmtId="193" fontId="92" fillId="13" borderId="183" xfId="0" applyNumberFormat="1" applyFont="1" applyFill="1" applyBorder="1" applyAlignment="1" applyProtection="1">
      <alignment horizontal="right"/>
      <protection locked="0"/>
    </xf>
    <xf numFmtId="193" fontId="164" fillId="13" borderId="177" xfId="0" applyNumberFormat="1" applyFont="1" applyFill="1" applyBorder="1" applyAlignment="1" applyProtection="1">
      <alignment horizontal="right"/>
      <protection locked="0"/>
    </xf>
    <xf numFmtId="202" fontId="92" fillId="13" borderId="177" xfId="0" applyNumberFormat="1" applyFont="1" applyFill="1" applyBorder="1" applyProtection="1">
      <protection locked="0"/>
    </xf>
    <xf numFmtId="202" fontId="92" fillId="13" borderId="177" xfId="0" applyNumberFormat="1" applyFont="1" applyFill="1" applyBorder="1" applyAlignment="1" applyProtection="1">
      <alignment horizontal="right"/>
      <protection locked="0"/>
    </xf>
    <xf numFmtId="0" fontId="32" fillId="0" borderId="0" xfId="0" applyFont="1" applyBorder="1"/>
    <xf numFmtId="196" fontId="92" fillId="0" borderId="46" xfId="0" applyNumberFormat="1" applyFont="1" applyFill="1" applyBorder="1" applyAlignment="1" applyProtection="1">
      <alignment horizontal="right" vertical="center"/>
      <protection locked="0"/>
    </xf>
    <xf numFmtId="194" fontId="92" fillId="0" borderId="52" xfId="0" applyNumberFormat="1" applyFont="1" applyFill="1" applyBorder="1" applyAlignment="1" applyProtection="1">
      <alignment horizontal="right"/>
      <protection locked="0"/>
    </xf>
    <xf numFmtId="195" fontId="92" fillId="13" borderId="183" xfId="0" applyNumberFormat="1" applyFont="1" applyFill="1" applyBorder="1" applyAlignment="1" applyProtection="1">
      <alignment horizontal="right"/>
      <protection locked="0"/>
    </xf>
    <xf numFmtId="0" fontId="27" fillId="0" borderId="45" xfId="0" applyFont="1" applyFill="1" applyBorder="1"/>
    <xf numFmtId="0" fontId="27" fillId="0" borderId="0" xfId="0" applyFont="1" applyFill="1" applyBorder="1"/>
    <xf numFmtId="0" fontId="28" fillId="0" borderId="0" xfId="0" applyFont="1" applyFill="1" applyBorder="1" applyAlignment="1">
      <alignment horizontal="center"/>
    </xf>
    <xf numFmtId="0" fontId="29" fillId="0" borderId="0" xfId="0" applyFont="1" applyFill="1" applyBorder="1" applyAlignment="1">
      <alignment horizontal="center"/>
    </xf>
    <xf numFmtId="195" fontId="66" fillId="13" borderId="177" xfId="1" applyNumberFormat="1" applyFont="1" applyFill="1" applyBorder="1" applyAlignment="1" applyProtection="1">
      <alignment horizontal="right"/>
      <protection locked="0"/>
    </xf>
    <xf numFmtId="165" fontId="92" fillId="13" borderId="177" xfId="1" applyFont="1" applyFill="1" applyBorder="1" applyAlignment="1" applyProtection="1">
      <alignment horizontal="right"/>
      <protection locked="0"/>
    </xf>
    <xf numFmtId="168" fontId="92" fillId="13" borderId="177" xfId="1" applyNumberFormat="1" applyFont="1" applyFill="1" applyBorder="1" applyAlignment="1" applyProtection="1">
      <alignment horizontal="right"/>
      <protection locked="0"/>
    </xf>
    <xf numFmtId="168" fontId="92" fillId="13" borderId="184" xfId="1" applyNumberFormat="1" applyFont="1" applyFill="1" applyBorder="1" applyAlignment="1" applyProtection="1">
      <alignment horizontal="right"/>
      <protection locked="0"/>
    </xf>
    <xf numFmtId="0" fontId="27" fillId="0" borderId="48" xfId="0" applyFont="1" applyFill="1" applyBorder="1"/>
    <xf numFmtId="0" fontId="27" fillId="0" borderId="49" xfId="0" applyFont="1" applyFill="1" applyBorder="1"/>
    <xf numFmtId="9" fontId="54" fillId="0" borderId="0" xfId="7" applyNumberFormat="1" applyFont="1"/>
    <xf numFmtId="0" fontId="7" fillId="2" borderId="0" xfId="0" applyFont="1" applyFill="1"/>
    <xf numFmtId="168" fontId="201" fillId="0" borderId="0" xfId="1" applyNumberFormat="1" applyFont="1" applyBorder="1" applyAlignment="1">
      <alignment horizontal="center" vertical="center" wrapText="1"/>
    </xf>
    <xf numFmtId="0" fontId="0" fillId="14" borderId="0" xfId="0" applyFill="1"/>
    <xf numFmtId="1" fontId="0" fillId="14" borderId="0" xfId="0" applyNumberFormat="1" applyFill="1"/>
    <xf numFmtId="41" fontId="0" fillId="44" borderId="39" xfId="1" applyNumberFormat="1" applyFont="1" applyFill="1" applyBorder="1"/>
    <xf numFmtId="41" fontId="0" fillId="44" borderId="4" xfId="1" applyNumberFormat="1" applyFont="1" applyFill="1" applyBorder="1"/>
    <xf numFmtId="165" fontId="120" fillId="0" borderId="69" xfId="1" applyFont="1" applyFill="1" applyBorder="1"/>
    <xf numFmtId="168" fontId="120" fillId="0" borderId="69" xfId="0" applyNumberFormat="1" applyFont="1" applyFill="1" applyBorder="1"/>
    <xf numFmtId="41" fontId="120" fillId="0" borderId="69" xfId="0" applyNumberFormat="1" applyFont="1" applyFill="1" applyBorder="1"/>
    <xf numFmtId="10" fontId="120" fillId="0" borderId="50" xfId="0" applyNumberFormat="1" applyFont="1" applyFill="1" applyBorder="1"/>
    <xf numFmtId="10" fontId="120" fillId="0" borderId="54" xfId="0" applyNumberFormat="1" applyFont="1" applyFill="1" applyBorder="1"/>
    <xf numFmtId="171" fontId="120" fillId="0" borderId="54" xfId="0" applyNumberFormat="1" applyFont="1" applyFill="1" applyBorder="1"/>
    <xf numFmtId="10" fontId="120" fillId="0" borderId="69" xfId="2" applyNumberFormat="1" applyFont="1" applyFill="1" applyBorder="1"/>
    <xf numFmtId="9" fontId="54" fillId="0" borderId="89" xfId="2" applyFont="1" applyBorder="1"/>
    <xf numFmtId="0" fontId="67" fillId="0" borderId="0" xfId="7" applyFont="1" applyFill="1"/>
    <xf numFmtId="168" fontId="67" fillId="0" borderId="0" xfId="1" applyNumberFormat="1" applyFont="1" applyFill="1"/>
    <xf numFmtId="168" fontId="54" fillId="0" borderId="0" xfId="7" applyNumberFormat="1" applyFont="1" applyFill="1" applyBorder="1"/>
    <xf numFmtId="0" fontId="49" fillId="0" borderId="35" xfId="7" applyFont="1" applyBorder="1" applyAlignment="1">
      <alignment horizontal="center"/>
    </xf>
    <xf numFmtId="0" fontId="49" fillId="0" borderId="82" xfId="7" applyFont="1" applyBorder="1" applyAlignment="1">
      <alignment horizontal="center"/>
    </xf>
    <xf numFmtId="0" fontId="51" fillId="0" borderId="45" xfId="0" applyFont="1" applyBorder="1"/>
    <xf numFmtId="0" fontId="125" fillId="0" borderId="0" xfId="0" applyFont="1" applyBorder="1" applyAlignment="1">
      <alignment horizontal="center"/>
    </xf>
    <xf numFmtId="0" fontId="114" fillId="0" borderId="0" xfId="7" applyFont="1" applyBorder="1" applyAlignment="1">
      <alignment horizontal="left" indent="2"/>
    </xf>
    <xf numFmtId="0" fontId="0" fillId="0" borderId="68" xfId="0" applyFill="1" applyBorder="1"/>
    <xf numFmtId="0" fontId="49" fillId="19" borderId="102" xfId="0" applyFont="1" applyFill="1" applyBorder="1"/>
    <xf numFmtId="168" fontId="49" fillId="19" borderId="102" xfId="0" applyNumberFormat="1" applyFont="1" applyFill="1" applyBorder="1"/>
    <xf numFmtId="168" fontId="49" fillId="19" borderId="35" xfId="0" applyNumberFormat="1" applyFont="1" applyFill="1" applyBorder="1"/>
    <xf numFmtId="0" fontId="49" fillId="19" borderId="108" xfId="0" applyFont="1" applyFill="1" applyBorder="1" applyAlignment="1">
      <alignment horizontal="center"/>
    </xf>
    <xf numFmtId="0" fontId="49" fillId="19" borderId="103" xfId="0" applyFont="1" applyFill="1" applyBorder="1"/>
    <xf numFmtId="0" fontId="49" fillId="0" borderId="0" xfId="0" applyFont="1" applyFill="1" applyBorder="1"/>
    <xf numFmtId="0" fontId="49" fillId="19" borderId="106" xfId="0" applyFont="1" applyFill="1" applyBorder="1"/>
    <xf numFmtId="0" fontId="0" fillId="0" borderId="107" xfId="0" applyFill="1" applyBorder="1"/>
    <xf numFmtId="0" fontId="49" fillId="19" borderId="70" xfId="0" applyFont="1" applyFill="1" applyBorder="1" applyAlignment="1">
      <alignment horizontal="center"/>
    </xf>
    <xf numFmtId="0" fontId="49" fillId="19" borderId="41" xfId="0" applyFont="1" applyFill="1" applyBorder="1" applyAlignment="1">
      <alignment horizontal="center"/>
    </xf>
    <xf numFmtId="0" fontId="49" fillId="19" borderId="71" xfId="0" applyFont="1" applyFill="1" applyBorder="1" applyAlignment="1">
      <alignment horizontal="center"/>
    </xf>
    <xf numFmtId="0" fontId="49" fillId="19" borderId="82" xfId="0" applyFont="1" applyFill="1" applyBorder="1" applyAlignment="1">
      <alignment horizontal="center"/>
    </xf>
    <xf numFmtId="0" fontId="187" fillId="19" borderId="70" xfId="0" applyFont="1" applyFill="1" applyBorder="1"/>
    <xf numFmtId="168" fontId="187" fillId="19" borderId="82" xfId="1" applyNumberFormat="1" applyFont="1" applyFill="1" applyBorder="1"/>
    <xf numFmtId="0" fontId="187" fillId="19" borderId="36" xfId="0" applyFont="1" applyFill="1" applyBorder="1" applyAlignment="1">
      <alignment horizontal="center"/>
    </xf>
    <xf numFmtId="0" fontId="187" fillId="19" borderId="35" xfId="0" applyFont="1" applyFill="1" applyBorder="1" applyAlignment="1">
      <alignment horizontal="center"/>
    </xf>
    <xf numFmtId="168" fontId="0" fillId="0" borderId="4" xfId="1" applyNumberFormat="1" applyFont="1" applyFill="1" applyBorder="1" applyAlignment="1">
      <alignment horizontal="center"/>
    </xf>
    <xf numFmtId="168" fontId="0" fillId="0" borderId="25" xfId="1" applyNumberFormat="1" applyFont="1" applyFill="1" applyBorder="1" applyAlignment="1">
      <alignment horizontal="center"/>
    </xf>
    <xf numFmtId="175" fontId="0" fillId="0" borderId="60" xfId="1" applyNumberFormat="1" applyFont="1" applyBorder="1"/>
    <xf numFmtId="175" fontId="0" fillId="0" borderId="0" xfId="1" applyNumberFormat="1" applyFont="1" applyBorder="1"/>
    <xf numFmtId="175" fontId="0" fillId="0" borderId="46" xfId="1" applyNumberFormat="1" applyFont="1" applyBorder="1"/>
    <xf numFmtId="175" fontId="0" fillId="7" borderId="65" xfId="1" applyNumberFormat="1" applyFont="1" applyFill="1" applyBorder="1" applyAlignment="1">
      <alignment horizontal="left"/>
    </xf>
    <xf numFmtId="175" fontId="0" fillId="0" borderId="45" xfId="1" applyNumberFormat="1" applyFont="1" applyBorder="1"/>
    <xf numFmtId="175" fontId="0" fillId="0" borderId="41" xfId="1" applyNumberFormat="1" applyFont="1" applyBorder="1"/>
    <xf numFmtId="175" fontId="0" fillId="7" borderId="72" xfId="1" applyNumberFormat="1" applyFont="1" applyFill="1" applyBorder="1" applyAlignment="1">
      <alignment horizontal="left"/>
    </xf>
    <xf numFmtId="175" fontId="0" fillId="0" borderId="36" xfId="1" applyNumberFormat="1" applyFont="1" applyBorder="1"/>
    <xf numFmtId="0" fontId="0" fillId="7" borderId="180" xfId="0" applyFill="1" applyBorder="1"/>
    <xf numFmtId="0" fontId="0" fillId="7" borderId="182" xfId="0" applyFill="1" applyBorder="1"/>
    <xf numFmtId="3" fontId="62" fillId="0" borderId="0" xfId="7" applyNumberFormat="1"/>
    <xf numFmtId="168" fontId="62" fillId="0" borderId="0" xfId="1" applyNumberFormat="1" applyFont="1"/>
    <xf numFmtId="10" fontId="62" fillId="0" borderId="0" xfId="7" applyNumberFormat="1"/>
    <xf numFmtId="0" fontId="27" fillId="0" borderId="8" xfId="0" applyFont="1" applyFill="1" applyBorder="1"/>
    <xf numFmtId="0" fontId="28" fillId="0" borderId="8" xfId="0" applyFont="1" applyFill="1" applyBorder="1" applyAlignment="1">
      <alignment horizontal="center"/>
    </xf>
    <xf numFmtId="0" fontId="29" fillId="0" borderId="8" xfId="0" applyFont="1" applyFill="1" applyBorder="1" applyAlignment="1">
      <alignment horizontal="center"/>
    </xf>
    <xf numFmtId="168" fontId="66" fillId="13" borderId="185" xfId="1" applyNumberFormat="1" applyFont="1" applyFill="1" applyBorder="1" applyAlignment="1" applyProtection="1">
      <alignment horizontal="right"/>
      <protection locked="0"/>
    </xf>
    <xf numFmtId="0" fontId="114" fillId="0" borderId="0" xfId="0" applyFont="1" applyFill="1" applyBorder="1"/>
    <xf numFmtId="0" fontId="54" fillId="0" borderId="0" xfId="0" applyFont="1" applyFill="1" applyBorder="1"/>
    <xf numFmtId="0" fontId="54" fillId="0" borderId="5" xfId="0" applyFont="1" applyFill="1" applyBorder="1"/>
    <xf numFmtId="9" fontId="3" fillId="14" borderId="135" xfId="0" applyNumberFormat="1" applyFont="1" applyFill="1" applyBorder="1" applyAlignment="1">
      <alignment horizontal="right"/>
    </xf>
    <xf numFmtId="165" fontId="3" fillId="16" borderId="0" xfId="1" applyFont="1" applyFill="1"/>
    <xf numFmtId="168" fontId="0" fillId="0" borderId="8" xfId="1" applyNumberFormat="1" applyFont="1" applyBorder="1"/>
    <xf numFmtId="9" fontId="0" fillId="0" borderId="40" xfId="2" applyFont="1" applyBorder="1"/>
    <xf numFmtId="168" fontId="0" fillId="0" borderId="41" xfId="1" applyNumberFormat="1" applyFont="1" applyBorder="1"/>
    <xf numFmtId="9" fontId="54" fillId="0" borderId="0" xfId="2" applyFont="1" applyBorder="1"/>
    <xf numFmtId="0" fontId="0" fillId="0" borderId="102" xfId="0" applyBorder="1" applyAlignment="1">
      <alignment horizontal="center"/>
    </xf>
    <xf numFmtId="0" fontId="0" fillId="0" borderId="103" xfId="0" applyBorder="1" applyAlignment="1">
      <alignment horizontal="center"/>
    </xf>
    <xf numFmtId="168" fontId="0" fillId="0" borderId="40" xfId="1" applyNumberFormat="1" applyFont="1" applyBorder="1"/>
    <xf numFmtId="168" fontId="0" fillId="0" borderId="36" xfId="0" applyNumberFormat="1" applyBorder="1"/>
    <xf numFmtId="168" fontId="0" fillId="0" borderId="103" xfId="0" applyNumberFormat="1" applyBorder="1"/>
    <xf numFmtId="3" fontId="104" fillId="4" borderId="13" xfId="0" applyNumberFormat="1" applyFont="1" applyFill="1" applyBorder="1"/>
    <xf numFmtId="168" fontId="92" fillId="26" borderId="1" xfId="1" applyNumberFormat="1" applyFont="1" applyFill="1" applyBorder="1" applyAlignment="1" applyProtection="1">
      <alignment horizontal="right"/>
      <protection locked="0"/>
    </xf>
    <xf numFmtId="168" fontId="92" fillId="26" borderId="0" xfId="1" applyNumberFormat="1" applyFont="1" applyFill="1" applyBorder="1" applyAlignment="1" applyProtection="1">
      <alignment horizontal="right"/>
      <protection locked="0"/>
    </xf>
    <xf numFmtId="0" fontId="3" fillId="3" borderId="36" xfId="0" applyFont="1" applyFill="1" applyBorder="1"/>
    <xf numFmtId="168" fontId="2" fillId="3" borderId="53" xfId="0" applyNumberFormat="1" applyFont="1" applyFill="1" applyBorder="1"/>
    <xf numFmtId="168" fontId="3" fillId="3" borderId="0" xfId="1" applyNumberFormat="1" applyFont="1" applyFill="1"/>
    <xf numFmtId="0" fontId="2" fillId="29" borderId="60" xfId="0" applyFont="1" applyFill="1" applyBorder="1"/>
    <xf numFmtId="0" fontId="3" fillId="29" borderId="60" xfId="0" applyFont="1" applyFill="1" applyBorder="1"/>
    <xf numFmtId="0" fontId="2" fillId="29" borderId="60" xfId="0" applyFont="1" applyFill="1" applyBorder="1" applyAlignment="1">
      <alignment horizontal="center"/>
    </xf>
    <xf numFmtId="0" fontId="3" fillId="0" borderId="0" xfId="0" applyFont="1" applyFill="1" applyBorder="1"/>
    <xf numFmtId="0" fontId="59" fillId="0" borderId="35" xfId="0" applyFont="1" applyBorder="1" applyAlignment="1">
      <alignment vertical="center"/>
    </xf>
    <xf numFmtId="0" fontId="59" fillId="0" borderId="94" xfId="0" applyFont="1" applyBorder="1" applyAlignment="1">
      <alignment vertical="center"/>
    </xf>
    <xf numFmtId="0" fontId="59" fillId="0" borderId="50" xfId="0" applyFont="1" applyBorder="1" applyAlignment="1">
      <alignment vertical="center" wrapText="1"/>
    </xf>
    <xf numFmtId="0" fontId="59" fillId="0" borderId="50" xfId="0" applyFont="1" applyBorder="1" applyAlignment="1">
      <alignment vertical="center"/>
    </xf>
    <xf numFmtId="0" fontId="184" fillId="0" borderId="94" xfId="0" applyFont="1" applyBorder="1" applyAlignment="1">
      <alignment vertical="center"/>
    </xf>
    <xf numFmtId="3" fontId="184" fillId="0" borderId="50" xfId="0" applyNumberFormat="1" applyFont="1" applyBorder="1" applyAlignment="1">
      <alignment vertical="center"/>
    </xf>
    <xf numFmtId="0" fontId="184" fillId="0" borderId="50" xfId="0" applyFont="1" applyBorder="1" applyAlignment="1">
      <alignment vertical="center"/>
    </xf>
    <xf numFmtId="3" fontId="59" fillId="0" borderId="50" xfId="0" applyNumberFormat="1" applyFont="1" applyBorder="1" applyAlignment="1">
      <alignment vertical="center"/>
    </xf>
    <xf numFmtId="171" fontId="184" fillId="0" borderId="50" xfId="2" applyNumberFormat="1" applyFont="1" applyBorder="1" applyAlignment="1">
      <alignment vertical="center"/>
    </xf>
    <xf numFmtId="168" fontId="54" fillId="0" borderId="82" xfId="1" applyNumberFormat="1" applyFont="1" applyBorder="1" applyAlignment="1">
      <alignment horizontal="center"/>
    </xf>
    <xf numFmtId="0" fontId="54" fillId="20" borderId="0" xfId="7" applyFont="1" applyFill="1"/>
    <xf numFmtId="211" fontId="54" fillId="20" borderId="68" xfId="7" applyNumberFormat="1" applyFont="1" applyFill="1" applyBorder="1" applyAlignment="1">
      <alignment horizontal="center"/>
    </xf>
    <xf numFmtId="0" fontId="54" fillId="20" borderId="4" xfId="7" applyFont="1" applyFill="1" applyBorder="1" applyAlignment="1">
      <alignment horizontal="center"/>
    </xf>
    <xf numFmtId="168" fontId="54" fillId="20" borderId="4" xfId="1" applyNumberFormat="1" applyFont="1" applyFill="1" applyBorder="1" applyAlignment="1">
      <alignment horizontal="center"/>
    </xf>
    <xf numFmtId="168" fontId="54" fillId="20" borderId="69" xfId="1" applyNumberFormat="1" applyFont="1" applyFill="1" applyBorder="1" applyAlignment="1">
      <alignment horizontal="center"/>
    </xf>
    <xf numFmtId="165" fontId="54" fillId="20" borderId="39" xfId="7" applyNumberFormat="1" applyFont="1" applyFill="1" applyBorder="1"/>
    <xf numFmtId="175" fontId="67" fillId="0" borderId="0" xfId="1" applyNumberFormat="1" applyFont="1"/>
    <xf numFmtId="165" fontId="67" fillId="0" borderId="0" xfId="1" applyNumberFormat="1" applyFont="1"/>
    <xf numFmtId="175" fontId="54" fillId="0" borderId="0" xfId="1" applyNumberFormat="1" applyFont="1" applyBorder="1"/>
    <xf numFmtId="165" fontId="54" fillId="0" borderId="0" xfId="7" applyNumberFormat="1" applyFont="1" applyBorder="1"/>
    <xf numFmtId="0" fontId="54" fillId="5" borderId="40" xfId="7" applyFont="1" applyFill="1" applyBorder="1" applyAlignment="1">
      <alignment horizontal="center"/>
    </xf>
    <xf numFmtId="168" fontId="54" fillId="0" borderId="8" xfId="1" applyNumberFormat="1" applyFont="1" applyBorder="1" applyAlignment="1">
      <alignment horizontal="center"/>
    </xf>
    <xf numFmtId="0" fontId="114" fillId="0" borderId="90" xfId="7" applyFont="1" applyBorder="1" applyAlignment="1">
      <alignment horizontal="right"/>
    </xf>
    <xf numFmtId="165" fontId="54" fillId="0" borderId="4" xfId="7" applyNumberFormat="1" applyFont="1" applyBorder="1"/>
    <xf numFmtId="0" fontId="54" fillId="5" borderId="82" xfId="7" applyFont="1" applyFill="1" applyBorder="1"/>
    <xf numFmtId="175" fontId="54" fillId="0" borderId="8" xfId="1" applyNumberFormat="1" applyFont="1" applyBorder="1"/>
    <xf numFmtId="0" fontId="54" fillId="0" borderId="110" xfId="7" applyFont="1" applyBorder="1"/>
    <xf numFmtId="2" fontId="54" fillId="0" borderId="110" xfId="7" applyNumberFormat="1" applyFont="1" applyBorder="1"/>
    <xf numFmtId="0" fontId="54" fillId="0" borderId="90" xfId="7" applyFont="1" applyBorder="1"/>
    <xf numFmtId="0" fontId="54" fillId="0" borderId="7" xfId="7" applyFont="1" applyBorder="1"/>
    <xf numFmtId="175" fontId="27" fillId="14" borderId="55" xfId="1" applyNumberFormat="1" applyFont="1" applyFill="1" applyBorder="1"/>
    <xf numFmtId="0" fontId="67" fillId="0" borderId="60" xfId="7" applyFont="1" applyBorder="1"/>
    <xf numFmtId="168" fontId="67" fillId="0" borderId="64" xfId="7" applyNumberFormat="1" applyFont="1" applyBorder="1"/>
    <xf numFmtId="9" fontId="120" fillId="0" borderId="0" xfId="0" applyNumberFormat="1" applyFont="1"/>
    <xf numFmtId="165" fontId="120" fillId="0" borderId="0" xfId="1" applyFont="1"/>
    <xf numFmtId="165" fontId="120" fillId="0" borderId="0" xfId="0" applyNumberFormat="1" applyFont="1"/>
    <xf numFmtId="168" fontId="120" fillId="0" borderId="0" xfId="0" applyNumberFormat="1" applyFont="1"/>
    <xf numFmtId="168" fontId="0" fillId="0" borderId="118" xfId="1" applyNumberFormat="1" applyFont="1" applyBorder="1"/>
    <xf numFmtId="9" fontId="2" fillId="4" borderId="13" xfId="2" applyFont="1" applyFill="1" applyBorder="1" applyAlignment="1">
      <alignment horizontal="center"/>
    </xf>
    <xf numFmtId="196" fontId="77" fillId="13" borderId="38" xfId="0" applyNumberFormat="1" applyFont="1" applyFill="1" applyBorder="1" applyProtection="1">
      <protection locked="0"/>
    </xf>
    <xf numFmtId="168" fontId="54" fillId="0" borderId="43" xfId="7" applyNumberFormat="1" applyFont="1" applyBorder="1"/>
    <xf numFmtId="168" fontId="54" fillId="0" borderId="43" xfId="1" applyNumberFormat="1" applyFont="1" applyBorder="1"/>
    <xf numFmtId="168" fontId="54" fillId="0" borderId="110" xfId="1" applyNumberFormat="1" applyFont="1" applyBorder="1"/>
    <xf numFmtId="168" fontId="54" fillId="0" borderId="89" xfId="1" applyNumberFormat="1" applyFont="1" applyBorder="1"/>
    <xf numFmtId="0" fontId="0" fillId="0" borderId="51" xfId="0" applyBorder="1" applyAlignment="1">
      <alignment horizontal="center"/>
    </xf>
    <xf numFmtId="0" fontId="54" fillId="0" borderId="102" xfId="7" applyFont="1" applyBorder="1" applyAlignment="1">
      <alignment horizontal="center"/>
    </xf>
    <xf numFmtId="0" fontId="0" fillId="0" borderId="108" xfId="0" applyBorder="1" applyAlignment="1">
      <alignment horizontal="center"/>
    </xf>
    <xf numFmtId="0" fontId="49" fillId="0" borderId="70" xfId="0" applyFont="1" applyBorder="1" applyAlignment="1">
      <alignment vertical="center"/>
    </xf>
    <xf numFmtId="211" fontId="93" fillId="0" borderId="72" xfId="7" applyNumberFormat="1" applyFont="1" applyBorder="1" applyAlignment="1">
      <alignment vertical="center"/>
    </xf>
    <xf numFmtId="168" fontId="54" fillId="17" borderId="4" xfId="1" applyNumberFormat="1" applyFont="1" applyFill="1" applyBorder="1" applyAlignment="1">
      <alignment horizontal="center"/>
    </xf>
    <xf numFmtId="0" fontId="0" fillId="0" borderId="51" xfId="0" applyBorder="1" applyAlignment="1">
      <alignment horizontal="center"/>
    </xf>
    <xf numFmtId="168" fontId="0" fillId="0" borderId="4" xfId="0" applyNumberFormat="1" applyBorder="1"/>
    <xf numFmtId="165" fontId="0" fillId="0" borderId="4" xfId="0" applyNumberFormat="1" applyBorder="1"/>
    <xf numFmtId="0" fontId="51" fillId="0" borderId="65" xfId="0" applyFont="1" applyBorder="1"/>
    <xf numFmtId="168" fontId="0" fillId="0" borderId="69" xfId="0" applyNumberFormat="1" applyBorder="1"/>
    <xf numFmtId="165" fontId="0" fillId="0" borderId="71" xfId="0" applyNumberFormat="1" applyBorder="1"/>
    <xf numFmtId="168" fontId="0" fillId="0" borderId="82" xfId="0" applyNumberFormat="1" applyBorder="1"/>
    <xf numFmtId="168" fontId="0" fillId="0" borderId="64" xfId="1" applyNumberFormat="1" applyFont="1" applyBorder="1"/>
    <xf numFmtId="168" fontId="109" fillId="0" borderId="63" xfId="1" applyNumberFormat="1" applyFont="1" applyBorder="1"/>
    <xf numFmtId="0" fontId="49" fillId="5" borderId="4" xfId="0" applyFont="1" applyFill="1" applyBorder="1" applyAlignment="1"/>
    <xf numFmtId="168" fontId="0" fillId="0" borderId="67" xfId="1" applyNumberFormat="1" applyFont="1" applyFill="1" applyBorder="1"/>
    <xf numFmtId="168" fontId="0" fillId="0" borderId="73" xfId="1" applyNumberFormat="1" applyFont="1" applyFill="1" applyBorder="1"/>
    <xf numFmtId="168" fontId="0" fillId="0" borderId="82" xfId="1" applyNumberFormat="1" applyFont="1" applyFill="1" applyBorder="1"/>
    <xf numFmtId="0" fontId="0" fillId="0" borderId="66" xfId="0" applyFill="1" applyBorder="1"/>
    <xf numFmtId="0" fontId="0" fillId="0" borderId="66" xfId="0" applyFill="1" applyBorder="1" applyAlignment="1">
      <alignment horizontal="center"/>
    </xf>
    <xf numFmtId="168" fontId="0" fillId="0" borderId="66" xfId="1" applyNumberFormat="1" applyFont="1" applyFill="1" applyBorder="1"/>
    <xf numFmtId="0" fontId="0" fillId="0" borderId="71" xfId="0" applyFill="1" applyBorder="1"/>
    <xf numFmtId="0" fontId="0" fillId="0" borderId="71" xfId="0" applyFill="1" applyBorder="1" applyAlignment="1">
      <alignment horizontal="center"/>
    </xf>
    <xf numFmtId="168" fontId="0" fillId="0" borderId="71" xfId="1" applyNumberFormat="1" applyFont="1" applyFill="1" applyBorder="1"/>
    <xf numFmtId="0" fontId="49" fillId="5" borderId="69" xfId="0" applyFont="1" applyFill="1" applyBorder="1" applyAlignment="1">
      <alignment horizontal="center"/>
    </xf>
    <xf numFmtId="168" fontId="0" fillId="0" borderId="98" xfId="1" applyNumberFormat="1" applyFont="1" applyFill="1" applyBorder="1"/>
    <xf numFmtId="168" fontId="54" fillId="0" borderId="0" xfId="1" applyNumberFormat="1" applyFont="1" applyFill="1" applyBorder="1" applyAlignment="1">
      <alignment horizontal="center"/>
    </xf>
    <xf numFmtId="168" fontId="54" fillId="0" borderId="46" xfId="1" applyNumberFormat="1" applyFont="1" applyFill="1" applyBorder="1" applyAlignment="1">
      <alignment horizontal="center"/>
    </xf>
    <xf numFmtId="168" fontId="54" fillId="26" borderId="0" xfId="1" applyNumberFormat="1" applyFont="1" applyFill="1" applyBorder="1" applyAlignment="1">
      <alignment horizontal="center"/>
    </xf>
    <xf numFmtId="168" fontId="54" fillId="26" borderId="46" xfId="1" applyNumberFormat="1" applyFont="1" applyFill="1" applyBorder="1" applyAlignment="1">
      <alignment horizontal="center"/>
    </xf>
    <xf numFmtId="168" fontId="54" fillId="0" borderId="4" xfId="7" applyNumberFormat="1" applyFont="1" applyBorder="1" applyAlignment="1">
      <alignment horizontal="center"/>
    </xf>
    <xf numFmtId="175" fontId="54" fillId="0" borderId="4" xfId="1" applyNumberFormat="1" applyFont="1" applyBorder="1" applyAlignment="1">
      <alignment horizontal="center"/>
    </xf>
    <xf numFmtId="168" fontId="54" fillId="20" borderId="4" xfId="7" applyNumberFormat="1" applyFont="1" applyFill="1" applyBorder="1" applyAlignment="1">
      <alignment horizontal="center"/>
    </xf>
    <xf numFmtId="175" fontId="54" fillId="20" borderId="4" xfId="1" applyNumberFormat="1" applyFont="1" applyFill="1" applyBorder="1" applyAlignment="1">
      <alignment horizontal="center"/>
    </xf>
    <xf numFmtId="168" fontId="54" fillId="0" borderId="4" xfId="1" applyNumberFormat="1" applyFont="1" applyBorder="1" applyAlignment="1">
      <alignment wrapText="1"/>
    </xf>
    <xf numFmtId="0" fontId="54" fillId="0" borderId="129" xfId="7" applyFont="1" applyBorder="1" applyAlignment="1">
      <alignment horizontal="center"/>
    </xf>
    <xf numFmtId="168" fontId="54" fillId="0" borderId="90" xfId="1" applyNumberFormat="1" applyFont="1" applyBorder="1" applyAlignment="1">
      <alignment horizontal="center"/>
    </xf>
    <xf numFmtId="168" fontId="54" fillId="0" borderId="5" xfId="1" applyNumberFormat="1" applyFont="1" applyBorder="1" applyAlignment="1">
      <alignment horizontal="center"/>
    </xf>
    <xf numFmtId="168" fontId="54" fillId="20" borderId="5" xfId="1" applyNumberFormat="1" applyFont="1" applyFill="1" applyBorder="1" applyAlignment="1">
      <alignment horizontal="center"/>
    </xf>
    <xf numFmtId="168" fontId="54" fillId="0" borderId="77" xfId="1" applyNumberFormat="1" applyFont="1" applyBorder="1" applyAlignment="1">
      <alignment horizontal="center"/>
    </xf>
    <xf numFmtId="0" fontId="54" fillId="0" borderId="66" xfId="7" applyFont="1" applyBorder="1" applyAlignment="1">
      <alignment horizontal="center"/>
    </xf>
    <xf numFmtId="168" fontId="54" fillId="0" borderId="71" xfId="7" applyNumberFormat="1" applyFont="1" applyBorder="1" applyAlignment="1">
      <alignment horizontal="center"/>
    </xf>
    <xf numFmtId="175" fontId="54" fillId="0" borderId="71" xfId="1" applyNumberFormat="1" applyFont="1" applyBorder="1" applyAlignment="1">
      <alignment horizontal="center"/>
    </xf>
    <xf numFmtId="1" fontId="54" fillId="0" borderId="4" xfId="7" applyNumberFormat="1" applyFont="1" applyBorder="1" applyAlignment="1">
      <alignment horizontal="center"/>
    </xf>
    <xf numFmtId="1" fontId="54" fillId="20" borderId="4" xfId="7" applyNumberFormat="1" applyFont="1" applyFill="1" applyBorder="1" applyAlignment="1">
      <alignment horizontal="center"/>
    </xf>
    <xf numFmtId="168" fontId="54" fillId="0" borderId="0" xfId="1" applyNumberFormat="1" applyFont="1" applyFill="1" applyBorder="1"/>
    <xf numFmtId="165" fontId="54" fillId="0" borderId="4" xfId="1" applyNumberFormat="1" applyFont="1" applyFill="1" applyBorder="1"/>
    <xf numFmtId="165" fontId="54" fillId="0" borderId="4" xfId="1" applyNumberFormat="1" applyFont="1" applyFill="1" applyBorder="1" applyAlignment="1">
      <alignment horizontal="center"/>
    </xf>
    <xf numFmtId="168" fontId="54" fillId="0" borderId="66" xfId="1" applyNumberFormat="1" applyFont="1" applyBorder="1"/>
    <xf numFmtId="1" fontId="54" fillId="0" borderId="71" xfId="7" applyNumberFormat="1" applyFont="1" applyBorder="1" applyAlignment="1">
      <alignment horizontal="center"/>
    </xf>
    <xf numFmtId="165" fontId="54" fillId="0" borderId="71" xfId="1" applyNumberFormat="1" applyFont="1" applyFill="1" applyBorder="1" applyAlignment="1">
      <alignment horizontal="center"/>
    </xf>
    <xf numFmtId="0" fontId="67" fillId="0" borderId="130" xfId="7" applyFont="1" applyBorder="1"/>
    <xf numFmtId="0" fontId="107" fillId="0" borderId="36" xfId="7" applyFont="1" applyBorder="1"/>
    <xf numFmtId="0" fontId="79" fillId="0" borderId="108" xfId="7" applyFont="1" applyBorder="1"/>
    <xf numFmtId="193" fontId="67" fillId="19" borderId="108" xfId="1" applyNumberFormat="1" applyFont="1" applyFill="1" applyBorder="1" applyAlignment="1">
      <alignment horizontal="center"/>
    </xf>
    <xf numFmtId="193" fontId="67" fillId="19" borderId="103" xfId="1" applyNumberFormat="1" applyFont="1" applyFill="1" applyBorder="1" applyAlignment="1">
      <alignment horizontal="center"/>
    </xf>
    <xf numFmtId="168" fontId="67" fillId="0" borderId="73" xfId="1" applyNumberFormat="1" applyFont="1" applyBorder="1"/>
    <xf numFmtId="0" fontId="0" fillId="0" borderId="0" xfId="0" applyAlignment="1">
      <alignment vertical="center"/>
    </xf>
    <xf numFmtId="0" fontId="0" fillId="0" borderId="4" xfId="0" applyBorder="1" applyAlignment="1">
      <alignment horizontal="center" vertical="center"/>
    </xf>
    <xf numFmtId="0" fontId="0" fillId="0" borderId="4" xfId="0" applyBorder="1" applyAlignment="1">
      <alignment vertical="center"/>
    </xf>
    <xf numFmtId="0" fontId="0" fillId="0" borderId="4" xfId="0" applyBorder="1" applyAlignment="1">
      <alignment vertical="center" wrapText="1"/>
    </xf>
    <xf numFmtId="2" fontId="0" fillId="0" borderId="4" xfId="0" applyNumberFormat="1" applyBorder="1" applyAlignment="1">
      <alignment vertical="center"/>
    </xf>
    <xf numFmtId="2" fontId="49" fillId="0" borderId="4" xfId="0" applyNumberFormat="1" applyFont="1" applyBorder="1" applyAlignment="1">
      <alignment vertical="center"/>
    </xf>
    <xf numFmtId="0" fontId="0" fillId="0" borderId="0" xfId="0" applyAlignment="1">
      <alignment vertical="center" wrapText="1"/>
    </xf>
    <xf numFmtId="214" fontId="0" fillId="0" borderId="4" xfId="1" applyNumberFormat="1" applyFont="1" applyBorder="1" applyAlignment="1">
      <alignment vertical="center"/>
    </xf>
    <xf numFmtId="168" fontId="0" fillId="0" borderId="0" xfId="1" applyNumberFormat="1" applyFont="1" applyAlignment="1">
      <alignment vertical="center"/>
    </xf>
    <xf numFmtId="168" fontId="0" fillId="0" borderId="4" xfId="0" applyNumberFormat="1" applyBorder="1" applyAlignment="1">
      <alignment vertical="center"/>
    </xf>
    <xf numFmtId="0" fontId="49" fillId="0" borderId="0" xfId="0" applyFont="1" applyAlignment="1">
      <alignment vertical="center"/>
    </xf>
    <xf numFmtId="0" fontId="51" fillId="0" borderId="0" xfId="0" applyFont="1" applyAlignment="1">
      <alignment vertical="center"/>
    </xf>
    <xf numFmtId="165" fontId="0" fillId="0" borderId="4" xfId="1" applyFont="1" applyBorder="1" applyAlignment="1">
      <alignment vertical="center"/>
    </xf>
    <xf numFmtId="168" fontId="0" fillId="0" borderId="4" xfId="1" applyNumberFormat="1" applyFont="1" applyBorder="1" applyAlignment="1">
      <alignment vertical="center"/>
    </xf>
    <xf numFmtId="0" fontId="49" fillId="0" borderId="4" xfId="0" applyFont="1" applyBorder="1" applyAlignment="1">
      <alignment horizontal="center" vertical="center"/>
    </xf>
    <xf numFmtId="0" fontId="49" fillId="0" borderId="4" xfId="0" applyFont="1" applyBorder="1" applyAlignment="1">
      <alignment vertical="center"/>
    </xf>
    <xf numFmtId="0" fontId="49" fillId="0" borderId="4" xfId="0" applyFont="1" applyBorder="1" applyAlignment="1">
      <alignment horizontal="center" vertical="center" wrapText="1"/>
    </xf>
    <xf numFmtId="0" fontId="49" fillId="0" borderId="4" xfId="0" applyFont="1" applyBorder="1" applyAlignment="1">
      <alignment vertical="center" wrapText="1"/>
    </xf>
    <xf numFmtId="168" fontId="202" fillId="0" borderId="0" xfId="1" applyNumberFormat="1" applyFont="1" applyAlignment="1">
      <alignment vertical="center"/>
    </xf>
    <xf numFmtId="0" fontId="202" fillId="0" borderId="4" xfId="0" applyFont="1" applyBorder="1" applyAlignment="1">
      <alignment vertical="center"/>
    </xf>
    <xf numFmtId="2" fontId="0" fillId="0" borderId="0" xfId="0" applyNumberFormat="1" applyAlignment="1">
      <alignment horizontal="center" vertical="center"/>
    </xf>
    <xf numFmtId="2" fontId="0" fillId="0" borderId="4" xfId="0" applyNumberFormat="1" applyBorder="1" applyAlignment="1">
      <alignment horizontal="center" vertical="center"/>
    </xf>
    <xf numFmtId="2" fontId="49" fillId="0" borderId="4" xfId="0" applyNumberFormat="1" applyFont="1" applyBorder="1" applyAlignment="1">
      <alignment horizontal="center" vertical="center"/>
    </xf>
    <xf numFmtId="165" fontId="0" fillId="0" borderId="4" xfId="1" applyFont="1" applyBorder="1" applyAlignment="1">
      <alignment horizontal="center" vertical="center"/>
    </xf>
    <xf numFmtId="214" fontId="0" fillId="0" borderId="4" xfId="1" applyNumberFormat="1" applyFont="1" applyBorder="1" applyAlignment="1">
      <alignment horizontal="center" vertical="center"/>
    </xf>
    <xf numFmtId="168" fontId="54" fillId="0" borderId="60" xfId="1" applyNumberFormat="1" applyFont="1" applyBorder="1"/>
    <xf numFmtId="168" fontId="65" fillId="0" borderId="0" xfId="1" applyNumberFormat="1" applyFont="1"/>
    <xf numFmtId="168" fontId="203" fillId="0" borderId="0" xfId="1" applyNumberFormat="1" applyFont="1"/>
    <xf numFmtId="221" fontId="66" fillId="32" borderId="35" xfId="0" applyNumberFormat="1" applyFont="1" applyFill="1" applyBorder="1" applyAlignment="1" applyProtection="1">
      <alignment horizontal="right" vertical="center"/>
      <protection locked="0"/>
    </xf>
    <xf numFmtId="202" fontId="92" fillId="13" borderId="184" xfId="0" applyNumberFormat="1" applyFont="1" applyFill="1" applyBorder="1" applyAlignment="1" applyProtection="1">
      <alignment horizontal="right"/>
      <protection locked="0"/>
    </xf>
    <xf numFmtId="202" fontId="92" fillId="13" borderId="46" xfId="0" applyNumberFormat="1" applyFont="1" applyFill="1" applyBorder="1" applyAlignment="1" applyProtection="1">
      <alignment horizontal="right"/>
      <protection locked="0"/>
    </xf>
    <xf numFmtId="0" fontId="29" fillId="0" borderId="46" xfId="0" applyFont="1" applyBorder="1" applyAlignment="1">
      <alignment horizontal="center"/>
    </xf>
    <xf numFmtId="171" fontId="120" fillId="0" borderId="0" xfId="0" applyNumberFormat="1" applyFont="1"/>
    <xf numFmtId="166" fontId="2" fillId="3" borderId="0" xfId="0" applyNumberFormat="1" applyFont="1" applyFill="1" applyAlignment="1">
      <alignment horizontal="center"/>
    </xf>
    <xf numFmtId="10" fontId="193" fillId="3" borderId="73" xfId="2" applyNumberFormat="1" applyFont="1" applyFill="1" applyBorder="1"/>
    <xf numFmtId="10" fontId="193" fillId="3" borderId="69" xfId="2" applyNumberFormat="1" applyFont="1" applyFill="1" applyBorder="1"/>
    <xf numFmtId="171" fontId="0" fillId="0" borderId="0" xfId="2" applyNumberFormat="1" applyFont="1" applyBorder="1"/>
    <xf numFmtId="168" fontId="0" fillId="0" borderId="45" xfId="1" applyNumberFormat="1" applyFont="1" applyBorder="1"/>
    <xf numFmtId="168" fontId="0" fillId="0" borderId="109" xfId="1" applyNumberFormat="1" applyFont="1" applyBorder="1"/>
    <xf numFmtId="0" fontId="0" fillId="0" borderId="35" xfId="0" applyBorder="1" applyAlignment="1">
      <alignment horizontal="center"/>
    </xf>
    <xf numFmtId="168" fontId="0" fillId="0" borderId="93" xfId="0" applyNumberFormat="1" applyBorder="1"/>
    <xf numFmtId="0" fontId="49" fillId="0" borderId="70" xfId="0" applyFont="1" applyBorder="1"/>
    <xf numFmtId="168" fontId="49" fillId="0" borderId="82" xfId="1" applyNumberFormat="1" applyFont="1" applyBorder="1"/>
    <xf numFmtId="168" fontId="0" fillId="0" borderId="73" xfId="1" applyNumberFormat="1" applyFont="1" applyBorder="1" applyAlignment="1">
      <alignment horizontal="left" indent="5"/>
    </xf>
    <xf numFmtId="168" fontId="0" fillId="0" borderId="82" xfId="1" applyNumberFormat="1" applyFont="1" applyBorder="1" applyAlignment="1">
      <alignment horizontal="left" indent="5"/>
    </xf>
    <xf numFmtId="0" fontId="0" fillId="0" borderId="0" xfId="0" applyFill="1" applyBorder="1"/>
    <xf numFmtId="0" fontId="134" fillId="45" borderId="37" xfId="0" applyFont="1" applyFill="1" applyBorder="1"/>
    <xf numFmtId="0" fontId="135" fillId="45" borderId="51" xfId="0" applyFont="1" applyFill="1" applyBorder="1"/>
    <xf numFmtId="0" fontId="135" fillId="45" borderId="52" xfId="0" applyFont="1" applyFill="1" applyBorder="1"/>
    <xf numFmtId="0" fontId="139" fillId="45" borderId="41" xfId="0" applyFont="1" applyFill="1" applyBorder="1"/>
    <xf numFmtId="0" fontId="140" fillId="45" borderId="60" xfId="0" applyFont="1" applyFill="1" applyBorder="1"/>
    <xf numFmtId="0" fontId="136" fillId="45" borderId="60" xfId="0" applyFont="1" applyFill="1" applyBorder="1" applyAlignment="1">
      <alignment horizontal="center"/>
    </xf>
    <xf numFmtId="165" fontId="140" fillId="45" borderId="140" xfId="1" applyFont="1" applyFill="1" applyBorder="1" applyAlignment="1">
      <alignment horizontal="left" indent="11"/>
    </xf>
    <xf numFmtId="0" fontId="137" fillId="45" borderId="37" xfId="0" applyFont="1" applyFill="1" applyBorder="1"/>
    <xf numFmtId="0" fontId="140" fillId="45" borderId="51" xfId="0" applyFont="1" applyFill="1" applyBorder="1"/>
    <xf numFmtId="0" fontId="136" fillId="45" borderId="51" xfId="0" applyFont="1" applyFill="1" applyBorder="1" applyAlignment="1">
      <alignment horizontal="center"/>
    </xf>
    <xf numFmtId="165" fontId="140" fillId="45" borderId="141" xfId="1" applyFont="1" applyFill="1" applyBorder="1" applyAlignment="1">
      <alignment horizontal="left" indent="11"/>
    </xf>
    <xf numFmtId="0" fontId="140" fillId="45" borderId="48" xfId="0" applyFont="1" applyFill="1" applyBorder="1"/>
    <xf numFmtId="0" fontId="140" fillId="45" borderId="49" xfId="0" applyFont="1" applyFill="1" applyBorder="1"/>
    <xf numFmtId="0" fontId="136" fillId="45" borderId="49" xfId="0" applyFont="1" applyFill="1" applyBorder="1" applyAlignment="1">
      <alignment horizontal="center"/>
    </xf>
    <xf numFmtId="165" fontId="140" fillId="45" borderId="142" xfId="1" applyFont="1" applyFill="1" applyBorder="1" applyAlignment="1">
      <alignment horizontal="left" indent="11"/>
    </xf>
    <xf numFmtId="165" fontId="135" fillId="46" borderId="138" xfId="1" applyFont="1" applyFill="1" applyBorder="1" applyAlignment="1">
      <alignment horizontal="right"/>
    </xf>
    <xf numFmtId="165" fontId="135" fillId="46" borderId="138" xfId="1" applyFont="1" applyFill="1" applyBorder="1" applyAlignment="1">
      <alignment horizontal="left" indent="11"/>
    </xf>
    <xf numFmtId="165" fontId="135" fillId="46" borderId="139" xfId="1" applyFont="1" applyFill="1" applyBorder="1" applyAlignment="1">
      <alignment horizontal="left" indent="11"/>
    </xf>
    <xf numFmtId="165" fontId="140" fillId="46" borderId="138" xfId="1" applyFont="1" applyFill="1" applyBorder="1" applyAlignment="1">
      <alignment horizontal="left" indent="11"/>
    </xf>
    <xf numFmtId="165" fontId="140" fillId="46" borderId="142" xfId="1" applyFont="1" applyFill="1" applyBorder="1" applyAlignment="1">
      <alignment horizontal="left" indent="11"/>
    </xf>
    <xf numFmtId="0" fontId="2" fillId="47" borderId="53" xfId="0" applyFont="1" applyFill="1" applyBorder="1"/>
    <xf numFmtId="0" fontId="1" fillId="47" borderId="36" xfId="0" applyFont="1" applyFill="1" applyBorder="1"/>
    <xf numFmtId="0" fontId="1" fillId="47" borderId="53" xfId="0" applyFont="1" applyFill="1" applyBorder="1"/>
    <xf numFmtId="0" fontId="1" fillId="47" borderId="53" xfId="0" applyFont="1" applyFill="1" applyBorder="1" applyAlignment="1">
      <alignment horizontal="center"/>
    </xf>
    <xf numFmtId="168" fontId="1" fillId="47" borderId="54" xfId="0" applyNumberFormat="1" applyFont="1" applyFill="1" applyBorder="1" applyAlignment="1">
      <alignment horizontal="right"/>
    </xf>
    <xf numFmtId="0" fontId="1" fillId="47" borderId="48" xfId="0" applyFont="1" applyFill="1" applyBorder="1"/>
    <xf numFmtId="0" fontId="1" fillId="47" borderId="49" xfId="0" applyFont="1" applyFill="1" applyBorder="1"/>
    <xf numFmtId="0" fontId="1" fillId="47" borderId="49" xfId="0" applyFont="1" applyFill="1" applyBorder="1" applyAlignment="1">
      <alignment horizontal="center"/>
    </xf>
    <xf numFmtId="168" fontId="1" fillId="47" borderId="148" xfId="0" applyNumberFormat="1" applyFont="1" applyFill="1" applyBorder="1"/>
    <xf numFmtId="0" fontId="5" fillId="47" borderId="36" xfId="0" applyFont="1" applyFill="1" applyBorder="1"/>
    <xf numFmtId="168" fontId="5" fillId="47" borderId="147" xfId="0" applyNumberFormat="1" applyFont="1" applyFill="1" applyBorder="1" applyAlignment="1">
      <alignment horizontal="right"/>
    </xf>
    <xf numFmtId="168" fontId="1" fillId="47" borderId="54" xfId="0" applyNumberFormat="1" applyFont="1" applyFill="1" applyBorder="1"/>
    <xf numFmtId="168" fontId="1" fillId="47" borderId="145" xfId="0" applyNumberFormat="1" applyFont="1" applyFill="1" applyBorder="1"/>
    <xf numFmtId="0" fontId="5" fillId="47" borderId="54" xfId="0" applyFont="1" applyFill="1" applyBorder="1" applyAlignment="1">
      <alignment horizontal="right"/>
    </xf>
    <xf numFmtId="175" fontId="1" fillId="47" borderId="147" xfId="0" applyNumberFormat="1" applyFont="1" applyFill="1" applyBorder="1" applyAlignment="1">
      <alignment horizontal="right"/>
    </xf>
    <xf numFmtId="0" fontId="5" fillId="47" borderId="53" xfId="0" applyFont="1" applyFill="1" applyBorder="1"/>
    <xf numFmtId="0" fontId="5" fillId="47" borderId="53" xfId="0" applyFont="1" applyFill="1" applyBorder="1" applyAlignment="1">
      <alignment horizontal="center"/>
    </xf>
    <xf numFmtId="175" fontId="5" fillId="47" borderId="147" xfId="0" applyNumberFormat="1" applyFont="1" applyFill="1" applyBorder="1"/>
    <xf numFmtId="168" fontId="187" fillId="0" borderId="49" xfId="1" applyNumberFormat="1" applyFont="1" applyBorder="1"/>
    <xf numFmtId="216" fontId="207" fillId="3" borderId="88" xfId="0" applyNumberFormat="1" applyFont="1" applyFill="1" applyBorder="1"/>
    <xf numFmtId="216" fontId="207" fillId="3" borderId="40" xfId="0" applyNumberFormat="1" applyFont="1" applyFill="1" applyBorder="1"/>
    <xf numFmtId="0" fontId="205" fillId="0" borderId="48" xfId="0" applyFont="1" applyBorder="1"/>
    <xf numFmtId="216" fontId="207" fillId="3" borderId="62" xfId="0" applyNumberFormat="1" applyFont="1" applyFill="1" applyBorder="1"/>
    <xf numFmtId="171" fontId="120" fillId="0" borderId="35" xfId="0" applyNumberFormat="1" applyFont="1" applyBorder="1"/>
    <xf numFmtId="168" fontId="9" fillId="5" borderId="50" xfId="0" applyNumberFormat="1" applyFont="1" applyFill="1" applyBorder="1"/>
    <xf numFmtId="0" fontId="0" fillId="14" borderId="4" xfId="0" applyFill="1" applyBorder="1"/>
    <xf numFmtId="168" fontId="204" fillId="0" borderId="67" xfId="1" applyNumberFormat="1" applyFont="1" applyFill="1" applyBorder="1"/>
    <xf numFmtId="168" fontId="204" fillId="0" borderId="96" xfId="1" applyNumberFormat="1" applyFont="1" applyBorder="1"/>
    <xf numFmtId="168" fontId="187" fillId="0" borderId="35" xfId="1" applyNumberFormat="1" applyFont="1" applyBorder="1"/>
    <xf numFmtId="0" fontId="207" fillId="0" borderId="40" xfId="0" applyFont="1" applyBorder="1"/>
    <xf numFmtId="0" fontId="208" fillId="3" borderId="40" xfId="0" applyFont="1" applyFill="1" applyBorder="1" applyProtection="1">
      <protection locked="0"/>
    </xf>
    <xf numFmtId="0" fontId="209" fillId="3" borderId="40" xfId="0" applyFont="1" applyFill="1" applyBorder="1" applyAlignment="1"/>
    <xf numFmtId="216" fontId="209" fillId="3" borderId="40" xfId="0" applyNumberFormat="1" applyFont="1" applyFill="1" applyBorder="1" applyAlignment="1"/>
    <xf numFmtId="216" fontId="207" fillId="3" borderId="41" xfId="0" applyNumberFormat="1" applyFont="1" applyFill="1" applyBorder="1"/>
    <xf numFmtId="0" fontId="208" fillId="3" borderId="40" xfId="0" applyFont="1" applyFill="1" applyBorder="1"/>
    <xf numFmtId="0" fontId="207" fillId="3" borderId="62" xfId="0" applyFont="1" applyFill="1" applyBorder="1"/>
    <xf numFmtId="10" fontId="191" fillId="3" borderId="47" xfId="2" applyNumberFormat="1" applyFont="1" applyFill="1" applyBorder="1"/>
    <xf numFmtId="10" fontId="191" fillId="3" borderId="109" xfId="2" applyNumberFormat="1" applyFont="1" applyFill="1" applyBorder="1"/>
    <xf numFmtId="168" fontId="191" fillId="3" borderId="109" xfId="1" applyNumberFormat="1" applyFont="1" applyFill="1" applyBorder="1"/>
    <xf numFmtId="167" fontId="191" fillId="3" borderId="64" xfId="8" applyNumberFormat="1" applyFont="1" applyFill="1" applyBorder="1"/>
    <xf numFmtId="171" fontId="45" fillId="0" borderId="109" xfId="2" applyNumberFormat="1" applyFont="1" applyBorder="1"/>
    <xf numFmtId="168" fontId="45" fillId="0" borderId="109" xfId="1" applyNumberFormat="1" applyFont="1" applyBorder="1"/>
    <xf numFmtId="165" fontId="45" fillId="0" borderId="109" xfId="1" applyFont="1" applyBorder="1"/>
    <xf numFmtId="0" fontId="45" fillId="0" borderId="109" xfId="0" applyFont="1" applyBorder="1"/>
    <xf numFmtId="0" fontId="45" fillId="0" borderId="47" xfId="0" applyFont="1" applyBorder="1"/>
    <xf numFmtId="168" fontId="59" fillId="3" borderId="115" xfId="0" applyNumberFormat="1" applyFont="1" applyFill="1" applyBorder="1"/>
    <xf numFmtId="168" fontId="45" fillId="0" borderId="47" xfId="1" applyNumberFormat="1" applyFont="1" applyBorder="1"/>
    <xf numFmtId="168" fontId="187" fillId="0" borderId="115" xfId="1" applyNumberFormat="1" applyFont="1" applyFill="1" applyBorder="1"/>
    <xf numFmtId="171" fontId="191" fillId="3" borderId="4" xfId="2" applyNumberFormat="1" applyFont="1" applyFill="1" applyBorder="1"/>
    <xf numFmtId="168" fontId="45" fillId="0" borderId="4" xfId="1" applyNumberFormat="1" applyFont="1" applyBorder="1"/>
    <xf numFmtId="171" fontId="45" fillId="0" borderId="4" xfId="2" applyNumberFormat="1" applyFont="1" applyBorder="1"/>
    <xf numFmtId="2" fontId="45" fillId="0" borderId="4" xfId="0" applyNumberFormat="1" applyFont="1" applyBorder="1"/>
    <xf numFmtId="0" fontId="45" fillId="0" borderId="4" xfId="0" applyFont="1" applyBorder="1"/>
    <xf numFmtId="216" fontId="184" fillId="3" borderId="4" xfId="0" applyNumberFormat="1" applyFont="1" applyFill="1" applyBorder="1" applyAlignment="1">
      <alignment horizontal="right"/>
    </xf>
    <xf numFmtId="216" fontId="190" fillId="0" borderId="4" xfId="0" applyNumberFormat="1" applyFont="1" applyBorder="1" applyAlignment="1">
      <alignment horizontal="center"/>
    </xf>
    <xf numFmtId="168" fontId="191" fillId="3" borderId="4" xfId="1" applyNumberFormat="1" applyFont="1" applyFill="1" applyBorder="1"/>
    <xf numFmtId="168" fontId="59" fillId="3" borderId="4" xfId="0" applyNumberFormat="1" applyFont="1" applyFill="1" applyBorder="1"/>
    <xf numFmtId="168" fontId="187" fillId="0" borderId="4" xfId="1" applyNumberFormat="1" applyFont="1" applyFill="1" applyBorder="1"/>
    <xf numFmtId="0" fontId="205" fillId="0" borderId="63" xfId="0" applyFont="1" applyBorder="1"/>
    <xf numFmtId="0" fontId="205" fillId="0" borderId="47" xfId="0" applyFont="1" applyBorder="1" applyAlignment="1"/>
    <xf numFmtId="0" fontId="205" fillId="45" borderId="4" xfId="0" applyFont="1" applyFill="1" applyBorder="1"/>
    <xf numFmtId="0" fontId="188" fillId="45" borderId="4" xfId="0" applyFont="1" applyFill="1" applyBorder="1" applyAlignment="1">
      <alignment horizontal="center" vertical="center"/>
    </xf>
    <xf numFmtId="0" fontId="206" fillId="47" borderId="88" xfId="0" applyFont="1" applyFill="1" applyBorder="1" applyAlignment="1">
      <alignment horizontal="left"/>
    </xf>
    <xf numFmtId="0" fontId="45" fillId="32" borderId="4" xfId="0" applyFont="1" applyFill="1" applyBorder="1"/>
    <xf numFmtId="0" fontId="190" fillId="32" borderId="109" xfId="0" applyFont="1" applyFill="1" applyBorder="1" applyAlignment="1">
      <alignment horizontal="center"/>
    </xf>
    <xf numFmtId="0" fontId="190" fillId="32" borderId="54" xfId="0" applyFont="1" applyFill="1" applyBorder="1" applyAlignment="1">
      <alignment horizontal="center"/>
    </xf>
    <xf numFmtId="0" fontId="45" fillId="32" borderId="54" xfId="0" applyFont="1" applyFill="1" applyBorder="1"/>
    <xf numFmtId="0" fontId="207" fillId="0" borderId="62" xfId="0" applyFont="1" applyBorder="1"/>
    <xf numFmtId="168" fontId="45" fillId="0" borderId="25" xfId="1" applyNumberFormat="1" applyFont="1" applyBorder="1"/>
    <xf numFmtId="167" fontId="191" fillId="3" borderId="115" xfId="8" applyNumberFormat="1" applyFont="1" applyFill="1" applyBorder="1"/>
    <xf numFmtId="0" fontId="208" fillId="3" borderId="88" xfId="0" applyFont="1" applyFill="1" applyBorder="1" applyProtection="1">
      <protection locked="0"/>
    </xf>
    <xf numFmtId="171" fontId="45" fillId="0" borderId="63" xfId="2" applyNumberFormat="1" applyFont="1" applyBorder="1"/>
    <xf numFmtId="171" fontId="45" fillId="0" borderId="47" xfId="2" applyNumberFormat="1" applyFont="1" applyBorder="1"/>
    <xf numFmtId="0" fontId="206" fillId="47" borderId="36" xfId="0" applyFont="1" applyFill="1" applyBorder="1" applyAlignment="1">
      <alignment horizontal="left"/>
    </xf>
    <xf numFmtId="0" fontId="45" fillId="32" borderId="108" xfId="0" applyFont="1" applyFill="1" applyBorder="1"/>
    <xf numFmtId="9" fontId="200" fillId="12" borderId="4" xfId="0" applyNumberFormat="1" applyFont="1" applyFill="1" applyBorder="1" applyAlignment="1">
      <alignment horizontal="center"/>
    </xf>
    <xf numFmtId="9" fontId="200" fillId="12" borderId="69" xfId="0" applyNumberFormat="1" applyFont="1" applyFill="1" applyBorder="1" applyAlignment="1">
      <alignment horizontal="center"/>
    </xf>
    <xf numFmtId="9" fontId="200" fillId="12" borderId="71" xfId="0" applyNumberFormat="1" applyFont="1" applyFill="1" applyBorder="1" applyAlignment="1">
      <alignment horizontal="center"/>
    </xf>
    <xf numFmtId="9" fontId="200" fillId="12" borderId="82" xfId="0" applyNumberFormat="1" applyFont="1" applyFill="1" applyBorder="1" applyAlignment="1">
      <alignment horizontal="center"/>
    </xf>
    <xf numFmtId="0" fontId="212" fillId="49" borderId="102" xfId="0" applyFont="1" applyFill="1" applyBorder="1"/>
    <xf numFmtId="0" fontId="212" fillId="49" borderId="108" xfId="0" applyFont="1" applyFill="1" applyBorder="1" applyAlignment="1">
      <alignment horizontal="center"/>
    </xf>
    <xf numFmtId="0" fontId="212" fillId="49" borderId="103" xfId="0" applyFont="1" applyFill="1" applyBorder="1" applyAlignment="1">
      <alignment horizontal="center"/>
    </xf>
    <xf numFmtId="165" fontId="3" fillId="14" borderId="135" xfId="1" applyFont="1" applyFill="1" applyBorder="1" applyAlignment="1">
      <alignment horizontal="center"/>
    </xf>
    <xf numFmtId="10" fontId="7" fillId="4" borderId="13" xfId="0" applyNumberFormat="1" applyFont="1" applyFill="1" applyBorder="1"/>
    <xf numFmtId="0" fontId="0" fillId="2" borderId="0" xfId="0" applyFill="1"/>
    <xf numFmtId="0" fontId="7" fillId="4" borderId="0" xfId="0" applyFont="1" applyFill="1"/>
    <xf numFmtId="0" fontId="2" fillId="12" borderId="0" xfId="0" applyFont="1" applyFill="1"/>
    <xf numFmtId="0" fontId="2" fillId="12" borderId="0" xfId="0" applyFont="1" applyFill="1" applyAlignment="1">
      <alignment horizontal="center"/>
    </xf>
    <xf numFmtId="168" fontId="2" fillId="12" borderId="13" xfId="1" applyNumberFormat="1" applyFont="1" applyFill="1" applyBorder="1"/>
    <xf numFmtId="168" fontId="2" fillId="12" borderId="0" xfId="1" applyNumberFormat="1" applyFont="1" applyFill="1"/>
    <xf numFmtId="10" fontId="3" fillId="4" borderId="13" xfId="0" applyNumberFormat="1" applyFont="1" applyFill="1" applyBorder="1"/>
    <xf numFmtId="0" fontId="129" fillId="3" borderId="0" xfId="0" applyFont="1" applyFill="1"/>
    <xf numFmtId="0" fontId="2" fillId="10" borderId="0" xfId="0" applyFont="1" applyFill="1"/>
    <xf numFmtId="0" fontId="2" fillId="10" borderId="0" xfId="0" applyFont="1" applyFill="1" applyAlignment="1">
      <alignment horizontal="center"/>
    </xf>
    <xf numFmtId="167" fontId="2" fillId="10" borderId="0" xfId="0" applyNumberFormat="1" applyFont="1" applyFill="1"/>
    <xf numFmtId="0" fontId="214" fillId="2" borderId="4" xfId="0" applyFont="1" applyFill="1" applyBorder="1"/>
    <xf numFmtId="0" fontId="215" fillId="2" borderId="4" xfId="0" applyFont="1" applyFill="1" applyBorder="1" applyAlignment="1">
      <alignment horizontal="center" vertical="center"/>
    </xf>
    <xf numFmtId="0" fontId="206" fillId="2" borderId="88" xfId="0" applyFont="1" applyFill="1" applyBorder="1" applyAlignment="1">
      <alignment horizontal="left"/>
    </xf>
    <xf numFmtId="0" fontId="206" fillId="2" borderId="36" xfId="0" applyFont="1" applyFill="1" applyBorder="1" applyAlignment="1">
      <alignment horizontal="left"/>
    </xf>
    <xf numFmtId="0" fontId="45" fillId="5" borderId="108" xfId="0" applyFont="1" applyFill="1" applyBorder="1"/>
    <xf numFmtId="0" fontId="190" fillId="5" borderId="54" xfId="0" applyFont="1" applyFill="1" applyBorder="1" applyAlignment="1">
      <alignment horizontal="center"/>
    </xf>
    <xf numFmtId="9" fontId="2" fillId="10" borderId="0" xfId="2" applyFont="1" applyFill="1" applyBorder="1"/>
    <xf numFmtId="0" fontId="49" fillId="21" borderId="0" xfId="7" applyFont="1" applyFill="1"/>
    <xf numFmtId="0" fontId="62" fillId="21" borderId="0" xfId="7" applyFill="1"/>
    <xf numFmtId="0" fontId="216" fillId="21" borderId="0" xfId="7" applyFont="1" applyFill="1"/>
    <xf numFmtId="0" fontId="62" fillId="21" borderId="186" xfId="7" applyFill="1" applyBorder="1"/>
    <xf numFmtId="0" fontId="62" fillId="21" borderId="187" xfId="7" applyFill="1" applyBorder="1"/>
    <xf numFmtId="0" fontId="217" fillId="3" borderId="188" xfId="7" applyFont="1" applyFill="1" applyBorder="1" applyAlignment="1">
      <alignment horizontal="left"/>
    </xf>
    <xf numFmtId="0" fontId="217" fillId="3" borderId="189" xfId="7" applyFont="1" applyFill="1" applyBorder="1" applyAlignment="1">
      <alignment horizontal="left"/>
    </xf>
    <xf numFmtId="0" fontId="218" fillId="3" borderId="189" xfId="7" applyFont="1" applyFill="1" applyBorder="1"/>
    <xf numFmtId="0" fontId="218" fillId="3" borderId="190" xfId="7" applyFont="1" applyFill="1" applyBorder="1"/>
    <xf numFmtId="0" fontId="62" fillId="21" borderId="191" xfId="7" applyFill="1" applyBorder="1"/>
    <xf numFmtId="0" fontId="219" fillId="3" borderId="191" xfId="7" applyFont="1" applyFill="1" applyBorder="1"/>
    <xf numFmtId="0" fontId="219" fillId="3" borderId="0" xfId="7" applyFont="1" applyFill="1"/>
    <xf numFmtId="0" fontId="218" fillId="3" borderId="0" xfId="7" applyFont="1" applyFill="1"/>
    <xf numFmtId="0" fontId="218" fillId="3" borderId="187" xfId="7" applyFont="1" applyFill="1" applyBorder="1"/>
    <xf numFmtId="0" fontId="220" fillId="3" borderId="191" xfId="21" applyFill="1" applyBorder="1"/>
    <xf numFmtId="0" fontId="219" fillId="3" borderId="192" xfId="7" applyFont="1" applyFill="1" applyBorder="1"/>
    <xf numFmtId="0" fontId="218" fillId="3" borderId="186" xfId="7" applyFont="1" applyFill="1" applyBorder="1"/>
    <xf numFmtId="0" fontId="218" fillId="3" borderId="193" xfId="7" applyFont="1" applyFill="1" applyBorder="1"/>
    <xf numFmtId="0" fontId="218" fillId="3" borderId="194" xfId="7" applyFont="1" applyFill="1" applyBorder="1"/>
    <xf numFmtId="0" fontId="219" fillId="3" borderId="49" xfId="7" applyFont="1" applyFill="1" applyBorder="1"/>
    <xf numFmtId="0" fontId="218" fillId="3" borderId="49" xfId="7" applyFont="1" applyFill="1" applyBorder="1"/>
    <xf numFmtId="0" fontId="218" fillId="3" borderId="195" xfId="7" applyFont="1" applyFill="1" applyBorder="1"/>
    <xf numFmtId="0" fontId="219" fillId="3" borderId="51" xfId="7" applyFont="1" applyFill="1" applyBorder="1"/>
    <xf numFmtId="0" fontId="218" fillId="3" borderId="51" xfId="7" applyFont="1" applyFill="1" applyBorder="1"/>
    <xf numFmtId="0" fontId="221" fillId="3" borderId="7" xfId="7" applyFont="1" applyFill="1" applyBorder="1"/>
    <xf numFmtId="0" fontId="218" fillId="3" borderId="7" xfId="7" applyFont="1" applyFill="1" applyBorder="1"/>
    <xf numFmtId="0" fontId="218" fillId="3" borderId="196" xfId="7" applyFont="1" applyFill="1" applyBorder="1"/>
    <xf numFmtId="0" fontId="109" fillId="3" borderId="197" xfId="7" applyFont="1" applyFill="1" applyBorder="1"/>
    <xf numFmtId="0" fontId="109" fillId="3" borderId="33" xfId="7" applyFont="1" applyFill="1" applyBorder="1"/>
    <xf numFmtId="0" fontId="218" fillId="3" borderId="33" xfId="7" applyFont="1" applyFill="1" applyBorder="1"/>
    <xf numFmtId="0" fontId="218" fillId="3" borderId="198" xfId="7" applyFont="1" applyFill="1" applyBorder="1"/>
    <xf numFmtId="0" fontId="30" fillId="9" borderId="0" xfId="0" applyFont="1" applyFill="1"/>
    <xf numFmtId="0" fontId="3" fillId="9" borderId="0" xfId="0" applyFont="1" applyFill="1"/>
    <xf numFmtId="0" fontId="27" fillId="9" borderId="0" xfId="0" applyFont="1" applyFill="1"/>
    <xf numFmtId="166" fontId="3" fillId="9" borderId="0" xfId="0" applyNumberFormat="1" applyFont="1" applyFill="1"/>
    <xf numFmtId="166" fontId="41" fillId="9" borderId="0" xfId="0" applyNumberFormat="1" applyFont="1" applyFill="1"/>
    <xf numFmtId="0" fontId="42" fillId="9" borderId="0" xfId="0" applyFont="1" applyFill="1"/>
    <xf numFmtId="0" fontId="26" fillId="2" borderId="0" xfId="0" applyFont="1" applyFill="1"/>
    <xf numFmtId="0" fontId="27" fillId="2" borderId="0" xfId="0" applyFont="1" applyFill="1"/>
    <xf numFmtId="0" fontId="28" fillId="2" borderId="0" xfId="0" applyFont="1" applyFill="1" applyAlignment="1">
      <alignment horizontal="center"/>
    </xf>
    <xf numFmtId="0" fontId="29" fillId="2" borderId="0" xfId="0" applyFont="1" applyFill="1" applyAlignment="1">
      <alignment horizontal="center"/>
    </xf>
    <xf numFmtId="0" fontId="143" fillId="0" borderId="68" xfId="0" applyFont="1" applyBorder="1"/>
    <xf numFmtId="0" fontId="143" fillId="0" borderId="69" xfId="0" applyFont="1" applyBorder="1" applyAlignment="1">
      <alignment horizontal="right"/>
    </xf>
    <xf numFmtId="9" fontId="143" fillId="0" borderId="69" xfId="0" applyNumberFormat="1" applyFont="1" applyBorder="1" applyAlignment="1">
      <alignment horizontal="right"/>
    </xf>
    <xf numFmtId="0" fontId="143" fillId="0" borderId="70" xfId="0" applyFont="1" applyBorder="1"/>
    <xf numFmtId="9" fontId="143" fillId="0" borderId="82" xfId="0" applyNumberFormat="1" applyFont="1" applyBorder="1"/>
    <xf numFmtId="0" fontId="143" fillId="0" borderId="0" xfId="0" applyFont="1"/>
    <xf numFmtId="0" fontId="143" fillId="0" borderId="82" xfId="0" applyFont="1" applyBorder="1" applyAlignment="1">
      <alignment horizontal="right"/>
    </xf>
    <xf numFmtId="0" fontId="143" fillId="0" borderId="72" xfId="0" applyFont="1" applyBorder="1"/>
    <xf numFmtId="0" fontId="143" fillId="0" borderId="73" xfId="0" applyFont="1" applyBorder="1"/>
    <xf numFmtId="0" fontId="143" fillId="0" borderId="69" xfId="0" applyFont="1" applyBorder="1"/>
    <xf numFmtId="210" fontId="143" fillId="0" borderId="138" xfId="1" applyNumberFormat="1" applyFont="1" applyBorder="1" applyAlignment="1">
      <alignment horizontal="right"/>
    </xf>
    <xf numFmtId="223" fontId="143" fillId="0" borderId="199" xfId="1" applyNumberFormat="1" applyFont="1" applyBorder="1" applyAlignment="1">
      <alignment horizontal="right"/>
    </xf>
    <xf numFmtId="9" fontId="143" fillId="0" borderId="69" xfId="0" applyNumberFormat="1" applyFont="1" applyBorder="1"/>
    <xf numFmtId="1" fontId="143" fillId="0" borderId="69" xfId="0" applyNumberFormat="1" applyFont="1" applyBorder="1"/>
    <xf numFmtId="0" fontId="143" fillId="0" borderId="45" xfId="0" applyFont="1" applyBorder="1"/>
    <xf numFmtId="0" fontId="143" fillId="0" borderId="46" xfId="0" applyFont="1" applyBorder="1"/>
    <xf numFmtId="0" fontId="143" fillId="0" borderId="65" xfId="0" applyFont="1" applyBorder="1"/>
    <xf numFmtId="0" fontId="143" fillId="0" borderId="67" xfId="0" applyFont="1" applyBorder="1"/>
    <xf numFmtId="184" fontId="143" fillId="0" borderId="69" xfId="0" applyNumberFormat="1" applyFont="1" applyBorder="1"/>
    <xf numFmtId="2" fontId="143" fillId="0" borderId="69" xfId="0" applyNumberFormat="1" applyFont="1" applyBorder="1"/>
    <xf numFmtId="2" fontId="143" fillId="0" borderId="82" xfId="0" applyNumberFormat="1" applyFont="1" applyBorder="1"/>
    <xf numFmtId="224" fontId="143" fillId="0" borderId="69" xfId="0" applyNumberFormat="1" applyFont="1" applyBorder="1"/>
    <xf numFmtId="0" fontId="143" fillId="0" borderId="110" xfId="0" applyFont="1" applyBorder="1"/>
    <xf numFmtId="224" fontId="223" fillId="0" borderId="46" xfId="0" applyNumberFormat="1" applyFont="1" applyBorder="1"/>
    <xf numFmtId="168" fontId="143" fillId="0" borderId="69" xfId="1" applyNumberFormat="1" applyFont="1" applyBorder="1"/>
    <xf numFmtId="0" fontId="143" fillId="0" borderId="36" xfId="0" applyFont="1" applyBorder="1"/>
    <xf numFmtId="168" fontId="143" fillId="0" borderId="103" xfId="1" applyNumberFormat="1" applyFont="1" applyBorder="1"/>
    <xf numFmtId="168" fontId="143" fillId="0" borderId="0" xfId="1" applyNumberFormat="1" applyFont="1"/>
    <xf numFmtId="0" fontId="225" fillId="2" borderId="67" xfId="0" applyFont="1" applyFill="1" applyBorder="1"/>
    <xf numFmtId="0" fontId="222" fillId="2" borderId="65" xfId="0" applyFont="1" applyFill="1" applyBorder="1"/>
    <xf numFmtId="0" fontId="222" fillId="2" borderId="67" xfId="0" applyFont="1" applyFill="1" applyBorder="1"/>
    <xf numFmtId="0" fontId="222" fillId="2" borderId="104" xfId="0" applyFont="1" applyFill="1" applyBorder="1"/>
    <xf numFmtId="0" fontId="222" fillId="2" borderId="96" xfId="0" applyFont="1" applyFill="1" applyBorder="1"/>
    <xf numFmtId="0" fontId="222" fillId="2" borderId="36" xfId="0" applyFont="1" applyFill="1" applyBorder="1"/>
    <xf numFmtId="0" fontId="222" fillId="2" borderId="103" xfId="0" applyFont="1" applyFill="1" applyBorder="1"/>
    <xf numFmtId="0" fontId="226" fillId="2" borderId="37" xfId="0" applyFont="1" applyFill="1" applyBorder="1"/>
    <xf numFmtId="0" fontId="226" fillId="2" borderId="52" xfId="0" applyFont="1" applyFill="1" applyBorder="1"/>
    <xf numFmtId="0" fontId="130" fillId="0" borderId="69" xfId="0" applyFont="1" applyBorder="1" applyAlignment="1">
      <alignment wrapText="1"/>
    </xf>
    <xf numFmtId="0" fontId="130" fillId="0" borderId="82" xfId="0" applyFont="1" applyBorder="1" applyAlignment="1">
      <alignment wrapText="1"/>
    </xf>
    <xf numFmtId="0" fontId="228" fillId="3" borderId="68" xfId="0" applyFont="1" applyFill="1" applyBorder="1"/>
    <xf numFmtId="168" fontId="228" fillId="3" borderId="69" xfId="1" applyNumberFormat="1" applyFont="1" applyFill="1" applyBorder="1"/>
    <xf numFmtId="0" fontId="139" fillId="3" borderId="68" xfId="0" applyFont="1" applyFill="1" applyBorder="1"/>
    <xf numFmtId="168" fontId="139" fillId="3" borderId="69" xfId="0" applyNumberFormat="1" applyFont="1" applyFill="1" applyBorder="1"/>
    <xf numFmtId="0" fontId="142" fillId="3" borderId="68" xfId="0" applyFont="1" applyFill="1" applyBorder="1"/>
    <xf numFmtId="0" fontId="228" fillId="3" borderId="70" xfId="0" applyFont="1" applyFill="1" applyBorder="1"/>
    <xf numFmtId="168" fontId="228" fillId="3" borderId="82" xfId="1" applyNumberFormat="1" applyFont="1" applyFill="1" applyBorder="1"/>
    <xf numFmtId="0" fontId="133" fillId="0" borderId="72" xfId="0" applyFont="1" applyBorder="1"/>
    <xf numFmtId="0" fontId="133" fillId="0" borderId="63" xfId="0" applyFont="1" applyBorder="1"/>
    <xf numFmtId="168" fontId="133" fillId="0" borderId="73" xfId="1" applyNumberFormat="1" applyFont="1" applyBorder="1"/>
    <xf numFmtId="0" fontId="133" fillId="0" borderId="68" xfId="0" applyFont="1" applyBorder="1"/>
    <xf numFmtId="0" fontId="133" fillId="0" borderId="4" xfId="0" applyFont="1" applyBorder="1"/>
    <xf numFmtId="168" fontId="133" fillId="0" borderId="69" xfId="1" applyNumberFormat="1" applyFont="1" applyBorder="1"/>
    <xf numFmtId="0" fontId="6" fillId="2" borderId="36" xfId="0" applyFont="1" applyFill="1" applyBorder="1"/>
    <xf numFmtId="0" fontId="2" fillId="2" borderId="53" xfId="0" applyFont="1" applyFill="1" applyBorder="1" applyAlignment="1">
      <alignment horizontal="center"/>
    </xf>
    <xf numFmtId="171" fontId="2" fillId="4" borderId="200" xfId="0" applyNumberFormat="1" applyFont="1" applyFill="1" applyBorder="1" applyAlignment="1">
      <alignment horizontal="center"/>
    </xf>
    <xf numFmtId="0" fontId="2" fillId="3" borderId="88" xfId="0" applyFont="1" applyFill="1" applyBorder="1"/>
    <xf numFmtId="171" fontId="2" fillId="4" borderId="201" xfId="0" applyNumberFormat="1" applyFont="1" applyFill="1" applyBorder="1" applyAlignment="1">
      <alignment horizontal="center"/>
    </xf>
    <xf numFmtId="9" fontId="2" fillId="0" borderId="50" xfId="0" applyNumberFormat="1" applyFont="1" applyBorder="1" applyAlignment="1">
      <alignment horizontal="center"/>
    </xf>
    <xf numFmtId="9" fontId="6" fillId="3" borderId="0" xfId="2" applyFont="1" applyFill="1"/>
    <xf numFmtId="0" fontId="229" fillId="2" borderId="51" xfId="0" applyFont="1" applyFill="1" applyBorder="1"/>
    <xf numFmtId="0" fontId="135" fillId="2" borderId="52" xfId="0" applyFont="1" applyFill="1" applyBorder="1"/>
    <xf numFmtId="0" fontId="142" fillId="3" borderId="45" xfId="0" applyFont="1" applyFill="1" applyBorder="1"/>
    <xf numFmtId="0" fontId="142" fillId="3" borderId="0" xfId="0" applyFont="1" applyFill="1" applyBorder="1"/>
    <xf numFmtId="167" fontId="142" fillId="3" borderId="46" xfId="0" applyNumberFormat="1" applyFont="1" applyFill="1" applyBorder="1"/>
    <xf numFmtId="10" fontId="142" fillId="3" borderId="46" xfId="0" applyNumberFormat="1" applyFont="1" applyFill="1" applyBorder="1"/>
    <xf numFmtId="0" fontId="142" fillId="3" borderId="46" xfId="0" applyFont="1" applyFill="1" applyBorder="1"/>
    <xf numFmtId="171" fontId="142" fillId="3" borderId="46" xfId="0" applyNumberFormat="1" applyFont="1" applyFill="1" applyBorder="1"/>
    <xf numFmtId="216" fontId="142" fillId="3" borderId="46" xfId="0" applyNumberFormat="1" applyFont="1" applyFill="1" applyBorder="1"/>
    <xf numFmtId="0" fontId="142" fillId="3" borderId="48" xfId="0" applyFont="1" applyFill="1" applyBorder="1"/>
    <xf numFmtId="0" fontId="142" fillId="3" borderId="49" xfId="0" applyFont="1" applyFill="1" applyBorder="1"/>
    <xf numFmtId="216" fontId="142" fillId="3" borderId="50" xfId="0" applyNumberFormat="1" applyFont="1" applyFill="1" applyBorder="1"/>
    <xf numFmtId="0" fontId="157" fillId="2" borderId="37" xfId="0" applyFont="1" applyFill="1" applyBorder="1"/>
    <xf numFmtId="0" fontId="226" fillId="2" borderId="53" xfId="0" applyFont="1" applyFill="1" applyBorder="1" applyAlignment="1">
      <alignment horizontal="center"/>
    </xf>
    <xf numFmtId="0" fontId="226" fillId="2" borderId="54" xfId="0" applyFont="1" applyFill="1" applyBorder="1" applyAlignment="1">
      <alignment horizontal="center"/>
    </xf>
    <xf numFmtId="0" fontId="130" fillId="3" borderId="45" xfId="0" applyFont="1" applyFill="1" applyBorder="1"/>
    <xf numFmtId="0" fontId="130" fillId="3" borderId="0" xfId="0" applyFont="1" applyFill="1" applyBorder="1"/>
    <xf numFmtId="0" fontId="130" fillId="3" borderId="46" xfId="0" applyFont="1" applyFill="1" applyBorder="1"/>
    <xf numFmtId="165" fontId="130" fillId="3" borderId="0" xfId="0" applyNumberFormat="1" applyFont="1" applyFill="1" applyBorder="1"/>
    <xf numFmtId="165" fontId="130" fillId="3" borderId="46" xfId="0" applyNumberFormat="1" applyFont="1" applyFill="1" applyBorder="1"/>
    <xf numFmtId="0" fontId="130" fillId="3" borderId="48" xfId="0" applyFont="1" applyFill="1" applyBorder="1"/>
    <xf numFmtId="0" fontId="130" fillId="3" borderId="49" xfId="0" applyFont="1" applyFill="1" applyBorder="1"/>
    <xf numFmtId="0" fontId="130" fillId="3" borderId="50" xfId="0" applyFont="1" applyFill="1" applyBorder="1"/>
    <xf numFmtId="0" fontId="226" fillId="2" borderId="36" xfId="0" applyFont="1" applyFill="1" applyBorder="1" applyAlignment="1">
      <alignment horizontal="left"/>
    </xf>
    <xf numFmtId="0" fontId="227" fillId="2" borderId="36" xfId="0" applyFont="1" applyFill="1" applyBorder="1"/>
    <xf numFmtId="0" fontId="227" fillId="2" borderId="53" xfId="0" applyFont="1" applyFill="1" applyBorder="1"/>
    <xf numFmtId="0" fontId="227" fillId="2" borderId="54" xfId="0" applyFont="1" applyFill="1" applyBorder="1"/>
    <xf numFmtId="0" fontId="129" fillId="3" borderId="0" xfId="0" applyFont="1" applyFill="1" applyBorder="1"/>
    <xf numFmtId="0" fontId="129" fillId="3" borderId="46" xfId="0" applyFont="1" applyFill="1" applyBorder="1"/>
    <xf numFmtId="0" fontId="129" fillId="3" borderId="48" xfId="0" applyFont="1" applyFill="1" applyBorder="1"/>
    <xf numFmtId="0" fontId="129" fillId="3" borderId="49" xfId="0" applyFont="1" applyFill="1" applyBorder="1"/>
    <xf numFmtId="9" fontId="129" fillId="3" borderId="46" xfId="0" applyNumberFormat="1" applyFont="1" applyFill="1" applyBorder="1"/>
    <xf numFmtId="10" fontId="129" fillId="3" borderId="46" xfId="0" applyNumberFormat="1" applyFont="1" applyFill="1" applyBorder="1"/>
    <xf numFmtId="171" fontId="129" fillId="3" borderId="50" xfId="2" applyNumberFormat="1" applyFont="1" applyFill="1" applyBorder="1"/>
    <xf numFmtId="9" fontId="129" fillId="3" borderId="0" xfId="0" applyNumberFormat="1" applyFont="1" applyFill="1" applyBorder="1" applyAlignment="1">
      <alignment horizontal="left"/>
    </xf>
    <xf numFmtId="9" fontId="129" fillId="3" borderId="46" xfId="2" applyFont="1" applyFill="1" applyBorder="1"/>
    <xf numFmtId="168" fontId="129" fillId="3" borderId="46" xfId="0" applyNumberFormat="1" applyFont="1" applyFill="1" applyBorder="1"/>
    <xf numFmtId="9" fontId="129" fillId="3" borderId="49" xfId="0" applyNumberFormat="1" applyFont="1" applyFill="1" applyBorder="1" applyAlignment="1">
      <alignment horizontal="left"/>
    </xf>
    <xf numFmtId="168" fontId="129" fillId="3" borderId="50" xfId="0" applyNumberFormat="1" applyFont="1" applyFill="1" applyBorder="1" applyAlignment="1">
      <alignment horizontal="left"/>
    </xf>
    <xf numFmtId="0" fontId="26" fillId="2" borderId="37" xfId="7" applyFont="1" applyFill="1" applyBorder="1" applyAlignment="1">
      <alignment horizontal="center"/>
    </xf>
    <xf numFmtId="0" fontId="26" fillId="2" borderId="51" xfId="7" applyFont="1" applyFill="1" applyBorder="1" applyAlignment="1">
      <alignment horizontal="center"/>
    </xf>
    <xf numFmtId="0" fontId="26" fillId="2" borderId="36" xfId="7" applyFont="1" applyFill="1" applyBorder="1" applyAlignment="1">
      <alignment horizontal="center"/>
    </xf>
    <xf numFmtId="0" fontId="26" fillId="2" borderId="53" xfId="7" applyFont="1" applyFill="1" applyBorder="1" applyAlignment="1">
      <alignment horizontal="center"/>
    </xf>
    <xf numFmtId="0" fontId="0" fillId="0" borderId="54" xfId="0" applyBorder="1" applyAlignment="1"/>
    <xf numFmtId="168" fontId="54" fillId="10" borderId="0" xfId="1" applyNumberFormat="1" applyFont="1" applyFill="1"/>
    <xf numFmtId="0" fontId="230" fillId="0" borderId="4" xfId="15" applyFont="1" applyBorder="1" applyAlignment="1">
      <alignment horizontal="center" vertical="center" wrapText="1"/>
    </xf>
    <xf numFmtId="10" fontId="230" fillId="0" borderId="4" xfId="15" applyNumberFormat="1" applyFont="1" applyBorder="1" applyAlignment="1">
      <alignment horizontal="center" vertical="center" wrapText="1"/>
    </xf>
    <xf numFmtId="0" fontId="230" fillId="7" borderId="4" xfId="15" applyFont="1" applyFill="1" applyBorder="1" applyAlignment="1">
      <alignment horizontal="center" vertical="center" wrapText="1"/>
    </xf>
    <xf numFmtId="14" fontId="118" fillId="0" borderId="0" xfId="15" applyNumberFormat="1" applyFont="1" applyAlignment="1">
      <alignment horizontal="center" vertical="center"/>
    </xf>
    <xf numFmtId="0" fontId="118" fillId="0" borderId="4" xfId="15" applyFont="1" applyBorder="1" applyAlignment="1">
      <alignment horizontal="center" vertical="center"/>
    </xf>
    <xf numFmtId="181" fontId="118" fillId="0" borderId="4" xfId="15" applyNumberFormat="1" applyFont="1" applyBorder="1" applyAlignment="1">
      <alignment horizontal="left" vertical="center" indent="1"/>
    </xf>
    <xf numFmtId="14" fontId="118" fillId="0" borderId="5" xfId="15" applyNumberFormat="1" applyFont="1" applyBorder="1" applyAlignment="1">
      <alignment horizontal="center" vertical="center"/>
    </xf>
    <xf numFmtId="0" fontId="118" fillId="0" borderId="25" xfId="15" applyFont="1" applyBorder="1" applyAlignment="1">
      <alignment horizontal="center" vertical="center"/>
    </xf>
    <xf numFmtId="181" fontId="118" fillId="7" borderId="27" xfId="15" applyNumberFormat="1" applyFont="1" applyFill="1" applyBorder="1" applyAlignment="1">
      <alignment horizontal="center" vertical="center"/>
    </xf>
    <xf numFmtId="0" fontId="231" fillId="37" borderId="162" xfId="0" applyFont="1" applyFill="1" applyBorder="1" applyAlignment="1">
      <alignment vertical="top"/>
    </xf>
    <xf numFmtId="0" fontId="231" fillId="37" borderId="161" xfId="0" applyFont="1" applyFill="1" applyBorder="1" applyAlignment="1">
      <alignment vertical="top"/>
    </xf>
    <xf numFmtId="0" fontId="231" fillId="37" borderId="161" xfId="0" applyFont="1" applyFill="1" applyBorder="1" applyAlignment="1">
      <alignment horizontal="right" vertical="top"/>
    </xf>
    <xf numFmtId="0" fontId="231" fillId="37" borderId="161" xfId="0" applyFont="1" applyFill="1" applyBorder="1" applyAlignment="1">
      <alignment horizontal="center" vertical="top"/>
    </xf>
    <xf numFmtId="10" fontId="231" fillId="37" borderId="163" xfId="0" applyNumberFormat="1" applyFont="1" applyFill="1" applyBorder="1" applyAlignment="1">
      <alignment horizontal="right" vertical="center"/>
    </xf>
    <xf numFmtId="0" fontId="232" fillId="38" borderId="162" xfId="0" applyFont="1" applyFill="1" applyBorder="1" applyAlignment="1">
      <alignment horizontal="right" vertical="top"/>
    </xf>
    <xf numFmtId="0" fontId="232" fillId="38" borderId="161" xfId="0" applyFont="1" applyFill="1" applyBorder="1" applyAlignment="1">
      <alignment horizontal="right" vertical="top"/>
    </xf>
    <xf numFmtId="0" fontId="232" fillId="38" borderId="161" xfId="0" applyFont="1" applyFill="1" applyBorder="1" applyAlignment="1">
      <alignment horizontal="center" vertical="top"/>
    </xf>
    <xf numFmtId="10" fontId="232" fillId="38" borderId="163" xfId="0" applyNumberFormat="1" applyFont="1" applyFill="1" applyBorder="1" applyAlignment="1">
      <alignment horizontal="left" vertical="center"/>
    </xf>
    <xf numFmtId="0" fontId="231" fillId="37" borderId="164" xfId="0" applyFont="1" applyFill="1" applyBorder="1" applyAlignment="1">
      <alignment vertical="top"/>
    </xf>
    <xf numFmtId="0" fontId="231" fillId="37" borderId="0" xfId="0" applyFont="1" applyFill="1" applyAlignment="1">
      <alignment vertical="top"/>
    </xf>
    <xf numFmtId="0" fontId="231" fillId="37" borderId="0" xfId="0" applyFont="1" applyFill="1" applyAlignment="1">
      <alignment horizontal="right" vertical="top"/>
    </xf>
    <xf numFmtId="0" fontId="231" fillId="37" borderId="0" xfId="0" applyFont="1" applyFill="1" applyAlignment="1">
      <alignment horizontal="center" vertical="top"/>
    </xf>
    <xf numFmtId="10" fontId="231" fillId="37" borderId="165" xfId="0" applyNumberFormat="1" applyFont="1" applyFill="1" applyBorder="1" applyAlignment="1">
      <alignment horizontal="right" vertical="center"/>
    </xf>
    <xf numFmtId="0" fontId="231" fillId="38" borderId="164" xfId="0" applyFont="1" applyFill="1" applyBorder="1" applyAlignment="1">
      <alignment vertical="top"/>
    </xf>
    <xf numFmtId="0" fontId="231" fillId="38" borderId="0" xfId="0" applyFont="1" applyFill="1" applyAlignment="1">
      <alignment vertical="top"/>
    </xf>
    <xf numFmtId="0" fontId="231" fillId="38" borderId="0" xfId="0" applyFont="1" applyFill="1" applyAlignment="1">
      <alignment horizontal="right" vertical="top"/>
    </xf>
    <xf numFmtId="0" fontId="231" fillId="38" borderId="0" xfId="0" applyFont="1" applyFill="1" applyAlignment="1">
      <alignment horizontal="center" vertical="top"/>
    </xf>
    <xf numFmtId="10" fontId="231" fillId="38" borderId="165" xfId="0" applyNumberFormat="1" applyFont="1" applyFill="1" applyBorder="1" applyAlignment="1">
      <alignment horizontal="right" vertical="center"/>
    </xf>
    <xf numFmtId="10" fontId="231" fillId="37" borderId="165" xfId="0" applyNumberFormat="1" applyFont="1" applyFill="1" applyBorder="1" applyAlignment="1">
      <alignment horizontal="left" vertical="center"/>
    </xf>
    <xf numFmtId="10" fontId="231" fillId="38" borderId="165" xfId="0" applyNumberFormat="1" applyFont="1" applyFill="1" applyBorder="1" applyAlignment="1">
      <alignment horizontal="left" vertical="center"/>
    </xf>
    <xf numFmtId="0" fontId="231" fillId="37" borderId="166" xfId="0" applyFont="1" applyFill="1" applyBorder="1" applyAlignment="1">
      <alignment vertical="top"/>
    </xf>
    <xf numFmtId="0" fontId="231" fillId="37" borderId="167" xfId="0" applyFont="1" applyFill="1" applyBorder="1" applyAlignment="1">
      <alignment vertical="top"/>
    </xf>
    <xf numFmtId="0" fontId="231" fillId="37" borderId="167" xfId="0" applyFont="1" applyFill="1" applyBorder="1" applyAlignment="1">
      <alignment horizontal="right" vertical="top"/>
    </xf>
    <xf numFmtId="0" fontId="231" fillId="37" borderId="167" xfId="0" applyFont="1" applyFill="1" applyBorder="1" applyAlignment="1">
      <alignment horizontal="center" vertical="top"/>
    </xf>
    <xf numFmtId="0" fontId="0" fillId="37" borderId="168" xfId="0" applyFont="1" applyFill="1" applyBorder="1"/>
    <xf numFmtId="14" fontId="0" fillId="0" borderId="0" xfId="0" applyNumberFormat="1"/>
    <xf numFmtId="0" fontId="0" fillId="7" borderId="0" xfId="0" applyFill="1"/>
    <xf numFmtId="2" fontId="0" fillId="7" borderId="0" xfId="0" applyNumberFormat="1" applyFill="1"/>
    <xf numFmtId="0" fontId="30" fillId="7" borderId="45" xfId="0" applyFont="1" applyFill="1" applyBorder="1"/>
    <xf numFmtId="0" fontId="27" fillId="7" borderId="0" xfId="0" applyFont="1" applyFill="1" applyBorder="1"/>
    <xf numFmtId="0" fontId="28" fillId="7" borderId="0" xfId="0" applyFont="1" applyFill="1" applyBorder="1" applyAlignment="1">
      <alignment horizontal="center"/>
    </xf>
    <xf numFmtId="0" fontId="29" fillId="7" borderId="0" xfId="0" applyFont="1" applyFill="1" applyBorder="1" applyAlignment="1">
      <alignment horizontal="center"/>
    </xf>
    <xf numFmtId="220" fontId="92" fillId="7" borderId="177" xfId="0" applyNumberFormat="1" applyFont="1" applyFill="1" applyBorder="1" applyAlignment="1" applyProtection="1">
      <alignment horizontal="right"/>
      <protection locked="0"/>
    </xf>
    <xf numFmtId="167" fontId="27" fillId="7" borderId="55" xfId="5" applyNumberFormat="1" applyFont="1" applyFill="1"/>
    <xf numFmtId="0" fontId="27" fillId="7" borderId="45" xfId="0" applyFont="1" applyFill="1" applyBorder="1"/>
    <xf numFmtId="0" fontId="27" fillId="7" borderId="0" xfId="0" applyFont="1" applyFill="1"/>
    <xf numFmtId="167" fontId="27" fillId="7" borderId="58" xfId="5" applyNumberFormat="1" applyFont="1" applyFill="1" applyBorder="1"/>
    <xf numFmtId="202" fontId="92" fillId="7" borderId="184" xfId="0" applyNumberFormat="1" applyFont="1" applyFill="1" applyBorder="1" applyAlignment="1" applyProtection="1">
      <alignment horizontal="right"/>
      <protection locked="0"/>
    </xf>
    <xf numFmtId="0" fontId="30" fillId="14" borderId="0" xfId="0" applyFont="1" applyFill="1"/>
    <xf numFmtId="0" fontId="27" fillId="14" borderId="0" xfId="0" applyFont="1" applyFill="1"/>
    <xf numFmtId="0" fontId="27" fillId="14" borderId="0" xfId="0" applyFont="1" applyFill="1" applyAlignment="1">
      <alignment horizontal="center"/>
    </xf>
    <xf numFmtId="0" fontId="233" fillId="14" borderId="0" xfId="0" applyFont="1" applyFill="1" applyAlignment="1">
      <alignment horizontal="center"/>
    </xf>
    <xf numFmtId="0" fontId="30" fillId="7" borderId="0" xfId="0" applyFont="1" applyFill="1"/>
    <xf numFmtId="0" fontId="28" fillId="7" borderId="0" xfId="0" applyFont="1" applyFill="1" applyAlignment="1">
      <alignment horizontal="center"/>
    </xf>
    <xf numFmtId="0" fontId="29" fillId="7" borderId="0" xfId="0" applyFont="1" applyFill="1" applyAlignment="1">
      <alignment horizontal="center"/>
    </xf>
    <xf numFmtId="0" fontId="3" fillId="7" borderId="0" xfId="0" applyFont="1" applyFill="1"/>
    <xf numFmtId="0" fontId="3" fillId="8" borderId="0" xfId="0" applyFont="1" applyFill="1"/>
    <xf numFmtId="0" fontId="41" fillId="8" borderId="0" xfId="0" applyFont="1" applyFill="1"/>
    <xf numFmtId="0" fontId="42" fillId="8" borderId="0" xfId="0" applyFont="1" applyFill="1"/>
    <xf numFmtId="0" fontId="3" fillId="7" borderId="0" xfId="0" applyFont="1" applyFill="1" applyAlignment="1">
      <alignment horizontal="right"/>
    </xf>
    <xf numFmtId="166" fontId="3" fillId="7" borderId="0" xfId="0" applyNumberFormat="1" applyFont="1" applyFill="1"/>
    <xf numFmtId="0" fontId="41" fillId="7" borderId="0" xfId="0" applyFont="1" applyFill="1"/>
    <xf numFmtId="0" fontId="41" fillId="7" borderId="0" xfId="0" applyFont="1" applyFill="1" applyAlignment="1">
      <alignment horizontal="right"/>
    </xf>
    <xf numFmtId="166" fontId="41" fillId="7" borderId="0" xfId="0" applyNumberFormat="1" applyFont="1" applyFill="1"/>
    <xf numFmtId="0" fontId="42" fillId="7" borderId="0" xfId="0" applyFont="1" applyFill="1"/>
    <xf numFmtId="0" fontId="42" fillId="7" borderId="0" xfId="0" applyFont="1" applyFill="1" applyAlignment="1">
      <alignment horizontal="right"/>
    </xf>
    <xf numFmtId="0" fontId="30" fillId="19" borderId="0" xfId="0" applyFont="1" applyFill="1"/>
    <xf numFmtId="0" fontId="27" fillId="19" borderId="0" xfId="0" applyFont="1" applyFill="1"/>
    <xf numFmtId="0" fontId="28" fillId="19" borderId="0" xfId="0" applyFont="1" applyFill="1" applyAlignment="1">
      <alignment horizontal="center"/>
    </xf>
    <xf numFmtId="0" fontId="29" fillId="19" borderId="0" xfId="0" applyFont="1" applyFill="1" applyAlignment="1">
      <alignment horizontal="center"/>
    </xf>
    <xf numFmtId="0" fontId="26" fillId="19" borderId="0" xfId="0" applyFont="1" applyFill="1"/>
    <xf numFmtId="0" fontId="26" fillId="0" borderId="0" xfId="0" applyFont="1" applyFill="1"/>
    <xf numFmtId="0" fontId="41" fillId="0" borderId="0" xfId="0" applyFont="1" applyFill="1"/>
    <xf numFmtId="0" fontId="0" fillId="0" borderId="117" xfId="0" applyFont="1" applyBorder="1"/>
    <xf numFmtId="193" fontId="78" fillId="20" borderId="117" xfId="0" applyNumberFormat="1" applyFont="1" applyFill="1" applyBorder="1" applyProtection="1">
      <protection locked="0"/>
    </xf>
    <xf numFmtId="194" fontId="78" fillId="20" borderId="39" xfId="0" applyNumberFormat="1" applyFont="1" applyFill="1" applyBorder="1" applyProtection="1">
      <protection locked="0"/>
    </xf>
    <xf numFmtId="175" fontId="78" fillId="13" borderId="117" xfId="1" applyNumberFormat="1" applyFont="1" applyFill="1" applyBorder="1" applyProtection="1">
      <protection locked="0"/>
    </xf>
    <xf numFmtId="172" fontId="78" fillId="0" borderId="35" xfId="1" applyNumberFormat="1" applyFont="1" applyFill="1" applyBorder="1" applyProtection="1">
      <protection locked="0"/>
    </xf>
    <xf numFmtId="175" fontId="78" fillId="13" borderId="94" xfId="1" applyNumberFormat="1" applyFont="1" applyFill="1" applyBorder="1" applyProtection="1">
      <protection locked="0"/>
    </xf>
    <xf numFmtId="168" fontId="8" fillId="0" borderId="35" xfId="7" applyNumberFormat="1" applyFont="1" applyBorder="1"/>
    <xf numFmtId="168" fontId="45" fillId="0" borderId="35" xfId="7" applyNumberFormat="1" applyFont="1" applyBorder="1"/>
    <xf numFmtId="168" fontId="8" fillId="0" borderId="0" xfId="8" applyNumberFormat="1" applyFont="1" applyBorder="1"/>
    <xf numFmtId="0" fontId="46" fillId="0" borderId="45" xfId="7" applyFont="1" applyBorder="1" applyAlignment="1">
      <alignment horizontal="left"/>
    </xf>
    <xf numFmtId="168" fontId="45" fillId="0" borderId="45" xfId="8" applyNumberFormat="1" applyFont="1" applyBorder="1"/>
    <xf numFmtId="168" fontId="45" fillId="0" borderId="0" xfId="8" applyNumberFormat="1" applyFont="1" applyBorder="1"/>
    <xf numFmtId="168" fontId="45" fillId="0" borderId="93" xfId="7" applyNumberFormat="1" applyFont="1" applyBorder="1"/>
    <xf numFmtId="0" fontId="45" fillId="0" borderId="45" xfId="7" applyFont="1" applyBorder="1" applyAlignment="1">
      <alignment horizontal="left"/>
    </xf>
    <xf numFmtId="168" fontId="45" fillId="0" borderId="45" xfId="1" applyNumberFormat="1" applyFont="1" applyBorder="1" applyAlignment="1">
      <alignment horizontal="center" vertical="center"/>
    </xf>
    <xf numFmtId="168" fontId="45" fillId="0" borderId="0" xfId="1" applyNumberFormat="1" applyFont="1" applyBorder="1" applyAlignment="1">
      <alignment horizontal="center" vertical="center" wrapText="1"/>
    </xf>
    <xf numFmtId="168" fontId="45" fillId="0" borderId="45" xfId="1" applyNumberFormat="1" applyFont="1" applyBorder="1" applyAlignment="1">
      <alignment vertical="top"/>
    </xf>
    <xf numFmtId="168" fontId="45" fillId="0" borderId="0" xfId="1" applyNumberFormat="1" applyFont="1" applyBorder="1" applyAlignment="1">
      <alignment vertical="top"/>
    </xf>
    <xf numFmtId="0" fontId="45" fillId="0" borderId="94" xfId="7" applyFont="1" applyBorder="1" applyAlignment="1">
      <alignment horizontal="left"/>
    </xf>
    <xf numFmtId="168" fontId="45" fillId="0" borderId="62" xfId="1" applyNumberFormat="1" applyFont="1" applyBorder="1" applyAlignment="1">
      <alignment horizontal="center" vertical="center"/>
    </xf>
    <xf numFmtId="0" fontId="8" fillId="0" borderId="36" xfId="7" applyFont="1" applyBorder="1" applyAlignment="1">
      <alignment horizontal="left"/>
    </xf>
    <xf numFmtId="168" fontId="8" fillId="0" borderId="36" xfId="1" applyNumberFormat="1" applyFont="1" applyBorder="1" applyAlignment="1">
      <alignment horizontal="center" vertical="center"/>
    </xf>
    <xf numFmtId="168" fontId="8" fillId="0" borderId="53" xfId="1" applyNumberFormat="1" applyFont="1" applyBorder="1" applyAlignment="1">
      <alignment horizontal="center" vertical="center" wrapText="1"/>
    </xf>
    <xf numFmtId="0" fontId="8" fillId="0" borderId="45" xfId="7" applyFont="1" applyBorder="1" applyAlignment="1">
      <alignment horizontal="left" indent="2"/>
    </xf>
    <xf numFmtId="0" fontId="8" fillId="0" borderId="93" xfId="7" applyFont="1" applyBorder="1"/>
    <xf numFmtId="0" fontId="8" fillId="9" borderId="36" xfId="7" applyFont="1" applyFill="1" applyBorder="1"/>
    <xf numFmtId="0" fontId="8" fillId="9" borderId="35" xfId="7" applyFont="1" applyFill="1" applyBorder="1" applyAlignment="1">
      <alignment horizontal="center"/>
    </xf>
    <xf numFmtId="0" fontId="8" fillId="9" borderId="53" xfId="7" applyFont="1" applyFill="1" applyBorder="1" applyAlignment="1">
      <alignment horizontal="center"/>
    </xf>
    <xf numFmtId="175" fontId="8" fillId="0" borderId="68" xfId="7" applyNumberFormat="1" applyFont="1" applyBorder="1"/>
    <xf numFmtId="168" fontId="8" fillId="0" borderId="63" xfId="7" applyNumberFormat="1" applyFont="1" applyBorder="1"/>
    <xf numFmtId="168" fontId="8" fillId="0" borderId="90" xfId="7" applyNumberFormat="1" applyFont="1" applyBorder="1"/>
    <xf numFmtId="168" fontId="8" fillId="0" borderId="92" xfId="7" applyNumberFormat="1" applyFont="1" applyBorder="1"/>
    <xf numFmtId="0" fontId="8" fillId="0" borderId="68" xfId="0" applyFont="1" applyBorder="1"/>
    <xf numFmtId="168" fontId="8" fillId="0" borderId="4" xfId="7" applyNumberFormat="1" applyFont="1" applyBorder="1"/>
    <xf numFmtId="168" fontId="8" fillId="0" borderId="5" xfId="7" applyNumberFormat="1" applyFont="1" applyBorder="1"/>
    <xf numFmtId="168" fontId="8" fillId="0" borderId="39" xfId="7" applyNumberFormat="1" applyFont="1" applyBorder="1"/>
    <xf numFmtId="16" fontId="8" fillId="0" borderId="68" xfId="0" applyNumberFormat="1" applyFont="1" applyBorder="1"/>
    <xf numFmtId="0" fontId="234" fillId="9" borderId="36" xfId="7" applyFont="1" applyFill="1" applyBorder="1"/>
    <xf numFmtId="0" fontId="236" fillId="2" borderId="65" xfId="7" applyFont="1" applyFill="1" applyBorder="1" applyAlignment="1">
      <alignment horizontal="center"/>
    </xf>
    <xf numFmtId="0" fontId="236" fillId="2" borderId="66" xfId="7" applyFont="1" applyFill="1" applyBorder="1"/>
    <xf numFmtId="168" fontId="236" fillId="2" borderId="67" xfId="1" applyNumberFormat="1" applyFont="1" applyFill="1" applyBorder="1" applyAlignment="1">
      <alignment horizontal="right"/>
    </xf>
    <xf numFmtId="175" fontId="189" fillId="0" borderId="68" xfId="7" applyNumberFormat="1" applyFont="1" applyBorder="1"/>
    <xf numFmtId="168" fontId="189" fillId="0" borderId="5" xfId="7" applyNumberFormat="1" applyFont="1" applyBorder="1"/>
    <xf numFmtId="0" fontId="189" fillId="0" borderId="68" xfId="7" applyFont="1" applyBorder="1"/>
    <xf numFmtId="0" fontId="189" fillId="0" borderId="107" xfId="7" applyFont="1" applyBorder="1"/>
    <xf numFmtId="0" fontId="189" fillId="0" borderId="36" xfId="7" applyFont="1" applyBorder="1"/>
    <xf numFmtId="0" fontId="189" fillId="0" borderId="53" xfId="7" applyFont="1" applyBorder="1"/>
    <xf numFmtId="0" fontId="235" fillId="2" borderId="65" xfId="7" applyFont="1" applyFill="1" applyBorder="1"/>
    <xf numFmtId="0" fontId="235" fillId="2" borderId="66" xfId="7" applyFont="1" applyFill="1" applyBorder="1"/>
    <xf numFmtId="168" fontId="235" fillId="2" borderId="67" xfId="1" applyNumberFormat="1" applyFont="1" applyFill="1" applyBorder="1" applyAlignment="1">
      <alignment horizontal="right"/>
    </xf>
    <xf numFmtId="175" fontId="45" fillId="0" borderId="68" xfId="7" applyNumberFormat="1" applyFont="1" applyBorder="1"/>
    <xf numFmtId="9" fontId="45" fillId="0" borderId="4" xfId="7" applyNumberFormat="1" applyFont="1" applyBorder="1"/>
    <xf numFmtId="168" fontId="45" fillId="0" borderId="69" xfId="1" applyNumberFormat="1" applyFont="1" applyBorder="1"/>
    <xf numFmtId="9" fontId="45" fillId="0" borderId="4" xfId="9" applyFont="1" applyBorder="1"/>
    <xf numFmtId="0" fontId="45" fillId="0" borderId="4" xfId="7" applyFont="1" applyBorder="1"/>
    <xf numFmtId="0" fontId="45" fillId="0" borderId="68" xfId="7" applyFont="1" applyBorder="1"/>
    <xf numFmtId="0" fontId="45" fillId="0" borderId="107" xfId="7" applyFont="1" applyBorder="1"/>
    <xf numFmtId="0" fontId="45" fillId="0" borderId="25" xfId="7" applyFont="1" applyBorder="1"/>
    <xf numFmtId="168" fontId="45" fillId="0" borderId="98" xfId="1" applyNumberFormat="1" applyFont="1" applyBorder="1"/>
    <xf numFmtId="0" fontId="45" fillId="0" borderId="36" xfId="7" applyFont="1" applyBorder="1"/>
    <xf numFmtId="0" fontId="45" fillId="0" borderId="53" xfId="7" applyFont="1" applyBorder="1"/>
    <xf numFmtId="168" fontId="45" fillId="0" borderId="103" xfId="1" applyNumberFormat="1" applyFont="1" applyBorder="1"/>
    <xf numFmtId="0" fontId="236" fillId="2" borderId="65" xfId="7" applyFont="1" applyFill="1" applyBorder="1"/>
    <xf numFmtId="9" fontId="189" fillId="0" borderId="4" xfId="7" applyNumberFormat="1" applyFont="1" applyBorder="1"/>
    <xf numFmtId="168" fontId="189" fillId="0" borderId="69" xfId="1" applyNumberFormat="1" applyFont="1" applyBorder="1"/>
    <xf numFmtId="9" fontId="189" fillId="0" borderId="4" xfId="9" applyFont="1" applyBorder="1"/>
    <xf numFmtId="0" fontId="189" fillId="0" borderId="4" xfId="7" applyFont="1" applyBorder="1"/>
    <xf numFmtId="0" fontId="189" fillId="0" borderId="25" xfId="7" applyFont="1" applyBorder="1"/>
    <xf numFmtId="168" fontId="189" fillId="0" borderId="98" xfId="1" applyNumberFormat="1" applyFont="1" applyBorder="1"/>
    <xf numFmtId="168" fontId="189" fillId="0" borderId="103" xfId="1" applyNumberFormat="1" applyFont="1" applyBorder="1"/>
    <xf numFmtId="0" fontId="45" fillId="0" borderId="37" xfId="7" applyFont="1" applyBorder="1"/>
    <xf numFmtId="168" fontId="45" fillId="0" borderId="37" xfId="8" applyNumberFormat="1" applyFont="1" applyBorder="1" applyAlignment="1">
      <alignment horizontal="center"/>
    </xf>
    <xf numFmtId="168" fontId="45" fillId="0" borderId="51" xfId="8" applyNumberFormat="1" applyFont="1" applyBorder="1" applyAlignment="1">
      <alignment horizontal="center"/>
    </xf>
    <xf numFmtId="168" fontId="45" fillId="0" borderId="48" xfId="1" applyNumberFormat="1" applyFont="1" applyBorder="1" applyAlignment="1">
      <alignment horizontal="center" vertical="center"/>
    </xf>
    <xf numFmtId="168" fontId="45" fillId="0" borderId="50" xfId="1" applyNumberFormat="1" applyFont="1" applyBorder="1" applyAlignment="1">
      <alignment horizontal="center" vertical="center"/>
    </xf>
    <xf numFmtId="0" fontId="45" fillId="0" borderId="36" xfId="7" applyFont="1" applyBorder="1" applyAlignment="1">
      <alignment horizontal="left"/>
    </xf>
    <xf numFmtId="168" fontId="45" fillId="0" borderId="36" xfId="1" applyNumberFormat="1" applyFont="1" applyBorder="1" applyAlignment="1">
      <alignment horizontal="center" vertical="center"/>
    </xf>
    <xf numFmtId="168" fontId="45" fillId="0" borderId="53" xfId="1" applyNumberFormat="1" applyFont="1" applyBorder="1" applyAlignment="1">
      <alignment horizontal="center" vertical="center" wrapText="1"/>
    </xf>
    <xf numFmtId="168" fontId="187" fillId="0" borderId="97" xfId="1" applyNumberFormat="1" applyFont="1" applyBorder="1" applyAlignment="1">
      <alignment horizontal="right"/>
    </xf>
    <xf numFmtId="0" fontId="189" fillId="0" borderId="35" xfId="7" applyFont="1" applyBorder="1" applyAlignment="1">
      <alignment horizontal="center"/>
    </xf>
    <xf numFmtId="0" fontId="189" fillId="0" borderId="53" xfId="7" applyFont="1" applyBorder="1" applyAlignment="1">
      <alignment horizontal="center"/>
    </xf>
    <xf numFmtId="168" fontId="189" fillId="0" borderId="35" xfId="7" applyNumberFormat="1" applyFont="1" applyBorder="1"/>
    <xf numFmtId="0" fontId="45" fillId="0" borderId="68" xfId="0" applyFont="1" applyBorder="1"/>
    <xf numFmtId="168" fontId="237" fillId="0" borderId="4" xfId="7" applyNumberFormat="1" applyFont="1" applyBorder="1"/>
    <xf numFmtId="16" fontId="45" fillId="0" borderId="68" xfId="0" applyNumberFormat="1" applyFont="1" applyBorder="1"/>
    <xf numFmtId="168" fontId="45" fillId="0" borderId="4" xfId="7" applyNumberFormat="1" applyFont="1" applyBorder="1"/>
    <xf numFmtId="0" fontId="189" fillId="9" borderId="36" xfId="7" applyFont="1" applyFill="1" applyBorder="1"/>
    <xf numFmtId="0" fontId="189" fillId="9" borderId="35" xfId="7" applyFont="1" applyFill="1" applyBorder="1" applyAlignment="1">
      <alignment horizontal="center"/>
    </xf>
    <xf numFmtId="0" fontId="189" fillId="9" borderId="53" xfId="7" applyFont="1" applyFill="1" applyBorder="1" applyAlignment="1">
      <alignment horizontal="center"/>
    </xf>
    <xf numFmtId="168" fontId="189" fillId="0" borderId="90" xfId="7" applyNumberFormat="1" applyFont="1" applyBorder="1"/>
    <xf numFmtId="168" fontId="189" fillId="0" borderId="92" xfId="7" applyNumberFormat="1" applyFont="1" applyBorder="1"/>
    <xf numFmtId="0" fontId="189" fillId="0" borderId="68" xfId="0" applyFont="1" applyBorder="1"/>
    <xf numFmtId="16" fontId="189" fillId="0" borderId="68" xfId="0" applyNumberFormat="1" applyFont="1" applyBorder="1"/>
    <xf numFmtId="168" fontId="189" fillId="0" borderId="4" xfId="7" applyNumberFormat="1" applyFont="1" applyBorder="1"/>
    <xf numFmtId="16" fontId="189" fillId="0" borderId="70" xfId="0" applyNumberFormat="1" applyFont="1" applyBorder="1"/>
    <xf numFmtId="168" fontId="189" fillId="0" borderId="71" xfId="7" applyNumberFormat="1" applyFont="1" applyBorder="1"/>
    <xf numFmtId="168" fontId="189" fillId="0" borderId="94" xfId="7" applyNumberFormat="1" applyFont="1" applyBorder="1"/>
    <xf numFmtId="0" fontId="45" fillId="0" borderId="36" xfId="7" applyFont="1" applyBorder="1" applyAlignment="1">
      <alignment horizontal="left" indent="2"/>
    </xf>
    <xf numFmtId="0" fontId="45" fillId="0" borderId="54" xfId="7" applyFont="1" applyBorder="1" applyAlignment="1">
      <alignment horizontal="center"/>
    </xf>
    <xf numFmtId="168" fontId="45" fillId="0" borderId="63" xfId="1" applyNumberFormat="1" applyFont="1" applyBorder="1"/>
    <xf numFmtId="168" fontId="45" fillId="0" borderId="63" xfId="8" applyNumberFormat="1" applyFont="1" applyBorder="1"/>
    <xf numFmtId="168" fontId="45" fillId="0" borderId="73" xfId="8" applyNumberFormat="1" applyFont="1" applyBorder="1"/>
    <xf numFmtId="168" fontId="45" fillId="0" borderId="4" xfId="8" applyNumberFormat="1" applyFont="1" applyBorder="1"/>
    <xf numFmtId="0" fontId="45" fillId="0" borderId="107" xfId="0" applyFont="1" applyBorder="1"/>
    <xf numFmtId="168" fontId="45" fillId="0" borderId="25" xfId="7" applyNumberFormat="1" applyFont="1" applyBorder="1"/>
    <xf numFmtId="16" fontId="45" fillId="0" borderId="102" xfId="0" applyNumberFormat="1" applyFont="1" applyBorder="1"/>
    <xf numFmtId="168" fontId="45" fillId="0" borderId="108" xfId="7" applyNumberFormat="1" applyFont="1" applyBorder="1"/>
    <xf numFmtId="168" fontId="45" fillId="0" borderId="103" xfId="7" applyNumberFormat="1" applyFont="1" applyBorder="1"/>
    <xf numFmtId="0" fontId="45" fillId="0" borderId="0" xfId="7" applyFont="1"/>
    <xf numFmtId="0" fontId="235" fillId="2" borderId="4" xfId="7" applyFont="1" applyFill="1" applyBorder="1"/>
    <xf numFmtId="168" fontId="235" fillId="2" borderId="4" xfId="1" applyNumberFormat="1" applyFont="1" applyFill="1" applyBorder="1" applyAlignment="1">
      <alignment horizontal="right"/>
    </xf>
    <xf numFmtId="168" fontId="45" fillId="21" borderId="69" xfId="1" applyNumberFormat="1" applyFont="1" applyFill="1" applyBorder="1"/>
    <xf numFmtId="168" fontId="45" fillId="21" borderId="103" xfId="1" applyNumberFormat="1" applyFont="1" applyFill="1" applyBorder="1"/>
    <xf numFmtId="0" fontId="45" fillId="0" borderId="0" xfId="7" applyFont="1" applyBorder="1"/>
    <xf numFmtId="168" fontId="45" fillId="0" borderId="46" xfId="1" applyNumberFormat="1" applyFont="1" applyBorder="1"/>
    <xf numFmtId="168" fontId="45" fillId="6" borderId="69" xfId="1" applyNumberFormat="1" applyFont="1" applyFill="1" applyBorder="1"/>
    <xf numFmtId="168" fontId="45" fillId="6" borderId="103" xfId="1" applyNumberFormat="1" applyFont="1" applyFill="1" applyBorder="1"/>
    <xf numFmtId="168" fontId="45" fillId="6" borderId="98" xfId="1" applyNumberFormat="1" applyFont="1" applyFill="1" applyBorder="1"/>
    <xf numFmtId="0" fontId="45" fillId="0" borderId="102" xfId="7" applyFont="1" applyBorder="1"/>
    <xf numFmtId="0" fontId="54" fillId="0" borderId="0" xfId="7" applyFont="1" applyBorder="1" applyAlignment="1">
      <alignment horizontal="center"/>
    </xf>
    <xf numFmtId="168" fontId="54" fillId="0" borderId="0" xfId="8" applyNumberFormat="1" applyFont="1" applyBorder="1" applyAlignment="1">
      <alignment horizontal="center"/>
    </xf>
    <xf numFmtId="0" fontId="114" fillId="0" borderId="0" xfId="7" applyFont="1" applyBorder="1" applyAlignment="1">
      <alignment horizontal="left"/>
    </xf>
    <xf numFmtId="0" fontId="54" fillId="0" borderId="0" xfId="7" applyFont="1" applyBorder="1" applyAlignment="1">
      <alignment horizontal="left"/>
    </xf>
    <xf numFmtId="168" fontId="54" fillId="0" borderId="0" xfId="1" applyNumberFormat="1" applyFont="1" applyBorder="1" applyAlignment="1">
      <alignment horizontal="center" vertical="center"/>
    </xf>
    <xf numFmtId="0" fontId="67" fillId="0" borderId="41" xfId="7" applyFont="1" applyBorder="1"/>
    <xf numFmtId="168" fontId="189" fillId="0" borderId="54" xfId="8" applyNumberFormat="1" applyFont="1" applyBorder="1" applyAlignment="1">
      <alignment horizontal="center"/>
    </xf>
    <xf numFmtId="0" fontId="204" fillId="7" borderId="68" xfId="0" applyFont="1" applyFill="1" applyBorder="1"/>
    <xf numFmtId="168" fontId="204" fillId="7" borderId="4" xfId="7" applyNumberFormat="1" applyFont="1" applyFill="1" applyBorder="1"/>
    <xf numFmtId="168" fontId="204" fillId="7" borderId="5" xfId="7" applyNumberFormat="1" applyFont="1" applyFill="1" applyBorder="1"/>
    <xf numFmtId="168" fontId="204" fillId="7" borderId="39" xfId="7" applyNumberFormat="1" applyFont="1" applyFill="1" applyBorder="1"/>
    <xf numFmtId="0" fontId="238" fillId="7" borderId="68" xfId="0" applyFont="1" applyFill="1" applyBorder="1"/>
    <xf numFmtId="168" fontId="238" fillId="7" borderId="5" xfId="7" applyNumberFormat="1" applyFont="1" applyFill="1" applyBorder="1"/>
    <xf numFmtId="168" fontId="238" fillId="7" borderId="92" xfId="7" applyNumberFormat="1" applyFont="1" applyFill="1" applyBorder="1"/>
    <xf numFmtId="168" fontId="54" fillId="0" borderId="0" xfId="8" applyNumberFormat="1" applyFont="1" applyFill="1" applyBorder="1"/>
    <xf numFmtId="168" fontId="54" fillId="0" borderId="0" xfId="1" applyNumberFormat="1" applyFont="1" applyFill="1" applyBorder="1" applyAlignment="1">
      <alignment horizontal="center" vertical="center" wrapText="1"/>
    </xf>
    <xf numFmtId="168" fontId="54" fillId="0" borderId="0" xfId="1" applyNumberFormat="1" applyFont="1" applyFill="1" applyBorder="1" applyAlignment="1">
      <alignment vertical="top"/>
    </xf>
    <xf numFmtId="0" fontId="54" fillId="0" borderId="0" xfId="7" applyFont="1" applyFill="1" applyBorder="1" applyAlignment="1">
      <alignment horizontal="center"/>
    </xf>
    <xf numFmtId="0" fontId="65" fillId="0" borderId="0" xfId="7" applyFont="1" applyFill="1" applyBorder="1" applyAlignment="1">
      <alignment horizontal="center"/>
    </xf>
    <xf numFmtId="16" fontId="54" fillId="0" borderId="0" xfId="0" applyNumberFormat="1" applyFont="1" applyFill="1" applyBorder="1"/>
    <xf numFmtId="0" fontId="54" fillId="0" borderId="0" xfId="7" applyFont="1" applyFill="1" applyBorder="1" applyAlignment="1">
      <alignment horizontal="center" vertical="center"/>
    </xf>
    <xf numFmtId="168" fontId="54" fillId="0" borderId="0" xfId="8" applyNumberFormat="1" applyFont="1" applyFill="1" applyBorder="1" applyAlignment="1">
      <alignment horizontal="center"/>
    </xf>
    <xf numFmtId="0" fontId="114" fillId="0" borderId="0" xfId="7" applyFont="1" applyFill="1" applyBorder="1" applyAlignment="1">
      <alignment horizontal="left"/>
    </xf>
    <xf numFmtId="0" fontId="54" fillId="0" borderId="0" xfId="7" applyFont="1" applyFill="1" applyBorder="1" applyAlignment="1">
      <alignment horizontal="left"/>
    </xf>
    <xf numFmtId="168" fontId="54" fillId="0" borderId="0" xfId="1" applyNumberFormat="1" applyFont="1" applyFill="1" applyBorder="1" applyAlignment="1">
      <alignment horizontal="center" vertical="center"/>
    </xf>
    <xf numFmtId="0" fontId="30" fillId="0" borderId="0" xfId="0" applyFont="1" applyFill="1" applyBorder="1"/>
    <xf numFmtId="0" fontId="73" fillId="0" borderId="0" xfId="7" applyFont="1" applyFill="1" applyBorder="1" applyAlignment="1">
      <alignment horizontal="right"/>
    </xf>
    <xf numFmtId="0" fontId="54" fillId="0" borderId="0" xfId="7" applyFont="1" applyFill="1" applyBorder="1" applyAlignment="1">
      <alignment horizontal="right"/>
    </xf>
    <xf numFmtId="0" fontId="54" fillId="0" borderId="0" xfId="0" applyFont="1" applyFill="1" applyBorder="1" applyAlignment="1">
      <alignment horizontal="center"/>
    </xf>
    <xf numFmtId="0" fontId="73" fillId="0" borderId="0" xfId="7" applyFont="1" applyFill="1" applyBorder="1"/>
    <xf numFmtId="0" fontId="16" fillId="0" borderId="0" xfId="7" applyFont="1" applyFill="1" applyBorder="1" applyAlignment="1">
      <alignment horizontal="center"/>
    </xf>
    <xf numFmtId="175" fontId="54" fillId="0" borderId="0" xfId="7" applyNumberFormat="1" applyFont="1" applyFill="1" applyBorder="1"/>
    <xf numFmtId="9" fontId="54" fillId="0" borderId="0" xfId="7" applyNumberFormat="1" applyFont="1" applyFill="1" applyBorder="1"/>
    <xf numFmtId="9" fontId="54" fillId="0" borderId="0" xfId="9" applyFont="1" applyFill="1" applyBorder="1"/>
    <xf numFmtId="0" fontId="54" fillId="0" borderId="0" xfId="7" applyFont="1" applyFill="1" applyBorder="1" applyAlignment="1">
      <alignment horizontal="left" indent="2"/>
    </xf>
    <xf numFmtId="0" fontId="65" fillId="0" borderId="0" xfId="7" applyFont="1" applyFill="1" applyBorder="1" applyAlignment="1">
      <alignment horizontal="center" vertical="center"/>
    </xf>
    <xf numFmtId="168" fontId="201" fillId="0" borderId="0" xfId="7" applyNumberFormat="1" applyFont="1" applyFill="1" applyBorder="1"/>
    <xf numFmtId="0" fontId="73" fillId="0" borderId="0" xfId="7" applyFont="1" applyFill="1" applyBorder="1" applyAlignment="1">
      <alignment horizontal="center"/>
    </xf>
    <xf numFmtId="0" fontId="73" fillId="0" borderId="0" xfId="7" applyFont="1" applyFill="1" applyBorder="1" applyAlignment="1">
      <alignment horizontal="left"/>
    </xf>
    <xf numFmtId="165" fontId="54" fillId="0" borderId="0" xfId="1" applyFont="1" applyFill="1" applyBorder="1" applyAlignment="1">
      <alignment horizontal="center"/>
    </xf>
    <xf numFmtId="165" fontId="54" fillId="0" borderId="0" xfId="1" applyFont="1" applyFill="1" applyBorder="1" applyAlignment="1">
      <alignment horizontal="left"/>
    </xf>
    <xf numFmtId="3" fontId="54" fillId="0" borderId="0" xfId="7" applyNumberFormat="1" applyFont="1" applyFill="1" applyBorder="1"/>
    <xf numFmtId="175" fontId="54" fillId="0" borderId="0" xfId="1" applyNumberFormat="1" applyFont="1" applyFill="1" applyBorder="1"/>
    <xf numFmtId="168" fontId="45" fillId="0" borderId="5" xfId="7" applyNumberFormat="1" applyFont="1" applyBorder="1"/>
    <xf numFmtId="168" fontId="45" fillId="0" borderId="69" xfId="1" applyNumberFormat="1" applyFont="1" applyFill="1" applyBorder="1"/>
    <xf numFmtId="168" fontId="45" fillId="0" borderId="9" xfId="7" applyNumberFormat="1" applyFont="1" applyBorder="1"/>
    <xf numFmtId="168" fontId="45" fillId="0" borderId="98" xfId="1" applyNumberFormat="1" applyFont="1" applyFill="1" applyBorder="1"/>
    <xf numFmtId="168" fontId="45" fillId="0" borderId="103" xfId="1" applyNumberFormat="1" applyFont="1" applyFill="1" applyBorder="1"/>
    <xf numFmtId="0" fontId="26" fillId="2" borderId="0" xfId="7" applyFont="1" applyFill="1" applyAlignment="1">
      <alignment horizontal="center"/>
    </xf>
    <xf numFmtId="0" fontId="49" fillId="0" borderId="0" xfId="7" applyFont="1" applyFill="1" applyBorder="1" applyAlignment="1"/>
    <xf numFmtId="0" fontId="8" fillId="0" borderId="0" xfId="7" applyFont="1" applyFill="1" applyBorder="1" applyAlignment="1">
      <alignment horizontal="center" vertical="center"/>
    </xf>
    <xf numFmtId="0" fontId="8" fillId="0" borderId="0" xfId="7" applyFont="1" applyFill="1" applyBorder="1" applyAlignment="1">
      <alignment horizontal="center"/>
    </xf>
    <xf numFmtId="0" fontId="8" fillId="0" borderId="0" xfId="7" applyFont="1" applyFill="1" applyBorder="1" applyAlignment="1">
      <alignment horizontal="right"/>
    </xf>
    <xf numFmtId="168" fontId="8" fillId="0" borderId="0" xfId="7" applyNumberFormat="1" applyFont="1" applyFill="1" applyBorder="1"/>
    <xf numFmtId="0" fontId="8" fillId="0" borderId="0" xfId="7" applyFont="1" applyFill="1" applyBorder="1"/>
    <xf numFmtId="168" fontId="8" fillId="0" borderId="0" xfId="8" applyNumberFormat="1" applyFont="1" applyFill="1" applyBorder="1" applyAlignment="1">
      <alignment horizontal="center"/>
    </xf>
    <xf numFmtId="0" fontId="51" fillId="0" borderId="0" xfId="7" applyFont="1" applyFill="1" applyBorder="1" applyAlignment="1">
      <alignment horizontal="left"/>
    </xf>
    <xf numFmtId="168" fontId="8" fillId="0" borderId="0" xfId="8" applyNumberFormat="1" applyFont="1" applyFill="1" applyBorder="1"/>
    <xf numFmtId="0" fontId="8" fillId="0" borderId="0" xfId="7" applyFont="1" applyFill="1" applyBorder="1" applyAlignment="1">
      <alignment horizontal="left"/>
    </xf>
    <xf numFmtId="168" fontId="8" fillId="0" borderId="0" xfId="1" applyNumberFormat="1" applyFont="1" applyFill="1" applyBorder="1" applyAlignment="1">
      <alignment horizontal="center" vertical="center"/>
    </xf>
    <xf numFmtId="168" fontId="8" fillId="0" borderId="0" xfId="1" applyNumberFormat="1" applyFont="1" applyFill="1" applyBorder="1" applyAlignment="1">
      <alignment horizontal="center" vertical="center" wrapText="1"/>
    </xf>
    <xf numFmtId="168" fontId="8" fillId="0" borderId="0" xfId="1" applyNumberFormat="1" applyFont="1" applyFill="1" applyBorder="1" applyAlignment="1">
      <alignment vertical="top"/>
    </xf>
    <xf numFmtId="0" fontId="8" fillId="0" borderId="0" xfId="7" applyFont="1" applyFill="1" applyBorder="1" applyAlignment="1">
      <alignment horizontal="left" indent="2"/>
    </xf>
    <xf numFmtId="175" fontId="8" fillId="0" borderId="0" xfId="7" applyNumberFormat="1" applyFont="1" applyFill="1" applyBorder="1"/>
    <xf numFmtId="0" fontId="8" fillId="0" borderId="0" xfId="0" applyFont="1" applyFill="1" applyBorder="1"/>
    <xf numFmtId="16" fontId="8" fillId="0" borderId="0" xfId="0" applyNumberFormat="1" applyFont="1" applyFill="1" applyBorder="1"/>
    <xf numFmtId="0" fontId="30" fillId="0" borderId="0" xfId="0" applyFont="1" applyFill="1"/>
    <xf numFmtId="0" fontId="8" fillId="0" borderId="0" xfId="7" applyFont="1" applyFill="1"/>
    <xf numFmtId="168" fontId="65" fillId="0" borderId="0" xfId="8" applyNumberFormat="1" applyFont="1" applyFill="1" applyBorder="1"/>
    <xf numFmtId="0" fontId="80" fillId="0" borderId="0" xfId="7" applyFont="1" applyFill="1" applyBorder="1" applyAlignment="1">
      <alignment horizontal="right"/>
    </xf>
    <xf numFmtId="0" fontId="18" fillId="0" borderId="0" xfId="7" applyFont="1" applyFill="1" applyBorder="1" applyAlignment="1">
      <alignment horizontal="center"/>
    </xf>
    <xf numFmtId="168" fontId="67" fillId="0" borderId="0" xfId="7" applyNumberFormat="1" applyFont="1" applyFill="1" applyBorder="1"/>
    <xf numFmtId="0" fontId="67" fillId="0" borderId="0" xfId="7" applyFont="1" applyFill="1" applyBorder="1" applyAlignment="1">
      <alignment horizontal="right"/>
    </xf>
    <xf numFmtId="0" fontId="65" fillId="0" borderId="0" xfId="7" applyFont="1" applyFill="1" applyBorder="1"/>
    <xf numFmtId="0" fontId="36" fillId="0" borderId="0" xfId="7" applyFont="1" applyFill="1" applyBorder="1" applyAlignment="1">
      <alignment horizontal="left"/>
    </xf>
    <xf numFmtId="0" fontId="65" fillId="0" borderId="0" xfId="7" applyFont="1" applyFill="1" applyBorder="1" applyAlignment="1">
      <alignment horizontal="left"/>
    </xf>
    <xf numFmtId="0" fontId="67" fillId="0" borderId="0" xfId="7" applyFont="1" applyFill="1" applyBorder="1" applyAlignment="1">
      <alignment horizontal="left" indent="2"/>
    </xf>
    <xf numFmtId="168" fontId="65" fillId="0" borderId="0" xfId="8" applyNumberFormat="1" applyFont="1" applyFill="1" applyBorder="1" applyAlignment="1">
      <alignment horizontal="center"/>
    </xf>
    <xf numFmtId="0" fontId="26" fillId="0" borderId="0" xfId="7" applyFont="1" applyFill="1" applyBorder="1" applyAlignment="1">
      <alignment horizontal="left"/>
    </xf>
    <xf numFmtId="0" fontId="26" fillId="0" borderId="0" xfId="7" applyFont="1" applyFill="1" applyBorder="1" applyAlignment="1">
      <alignment horizontal="center"/>
    </xf>
    <xf numFmtId="165" fontId="79" fillId="0" borderId="0" xfId="1" applyFont="1" applyFill="1" applyBorder="1" applyAlignment="1">
      <alignment horizontal="center"/>
    </xf>
    <xf numFmtId="165" fontId="75" fillId="0" borderId="0" xfId="1" applyFont="1" applyFill="1" applyBorder="1" applyAlignment="1">
      <alignment horizontal="center"/>
    </xf>
    <xf numFmtId="165" fontId="79" fillId="0" borderId="0" xfId="1" applyFont="1" applyFill="1" applyBorder="1" applyAlignment="1">
      <alignment horizontal="left"/>
    </xf>
    <xf numFmtId="168" fontId="79" fillId="0" borderId="0" xfId="1" applyNumberFormat="1" applyFont="1" applyFill="1" applyBorder="1" applyAlignment="1">
      <alignment horizontal="center"/>
    </xf>
    <xf numFmtId="3" fontId="67" fillId="0" borderId="0" xfId="7" applyNumberFormat="1" applyFont="1" applyFill="1" applyBorder="1"/>
    <xf numFmtId="168" fontId="79" fillId="0" borderId="0" xfId="1" applyNumberFormat="1" applyFont="1" applyFill="1" applyBorder="1"/>
    <xf numFmtId="0" fontId="26" fillId="0" borderId="0" xfId="7" applyFont="1" applyFill="1" applyBorder="1"/>
    <xf numFmtId="0" fontId="26" fillId="0" borderId="0" xfId="7" applyFont="1" applyFill="1" applyBorder="1" applyAlignment="1">
      <alignment horizontal="right"/>
    </xf>
    <xf numFmtId="175" fontId="67" fillId="0" borderId="0" xfId="7" applyNumberFormat="1" applyFont="1" applyFill="1" applyBorder="1"/>
    <xf numFmtId="0" fontId="67" fillId="0" borderId="0" xfId="7" applyFont="1" applyFill="1" applyBorder="1" applyAlignment="1">
      <alignment horizontal="center"/>
    </xf>
    <xf numFmtId="168" fontId="65" fillId="0" borderId="0" xfId="1" applyNumberFormat="1" applyFont="1" applyFill="1" applyBorder="1" applyAlignment="1">
      <alignment horizontal="center" vertical="center"/>
    </xf>
    <xf numFmtId="168" fontId="65" fillId="0" borderId="0" xfId="1" applyNumberFormat="1" applyFont="1" applyFill="1" applyBorder="1" applyAlignment="1">
      <alignment horizontal="center" vertical="center" wrapText="1"/>
    </xf>
    <xf numFmtId="175" fontId="67" fillId="0" borderId="0" xfId="1" applyNumberFormat="1" applyFont="1" applyFill="1" applyBorder="1"/>
    <xf numFmtId="168" fontId="54" fillId="0" borderId="54" xfId="8" applyNumberFormat="1" applyFont="1" applyBorder="1" applyAlignment="1">
      <alignment horizontal="center"/>
    </xf>
    <xf numFmtId="0" fontId="0" fillId="14" borderId="0" xfId="0" applyFont="1" applyFill="1"/>
    <xf numFmtId="0" fontId="49" fillId="7" borderId="0" xfId="0" applyFont="1" applyFill="1"/>
    <xf numFmtId="0" fontId="0" fillId="7" borderId="0" xfId="0" applyFont="1" applyFill="1"/>
    <xf numFmtId="0" fontId="0" fillId="13" borderId="0" xfId="7" applyFont="1" applyFill="1"/>
    <xf numFmtId="0" fontId="0" fillId="0" borderId="0" xfId="7" applyFont="1"/>
    <xf numFmtId="193" fontId="109" fillId="0" borderId="0" xfId="0" applyNumberFormat="1" applyFont="1" applyFill="1" applyBorder="1" applyProtection="1">
      <protection locked="0"/>
    </xf>
    <xf numFmtId="194" fontId="109" fillId="0" borderId="0" xfId="0" applyNumberFormat="1" applyFont="1" applyFill="1" applyBorder="1" applyProtection="1">
      <protection locked="0"/>
    </xf>
    <xf numFmtId="193" fontId="109" fillId="0" borderId="0" xfId="0" applyNumberFormat="1" applyFont="1" applyFill="1" applyBorder="1" applyAlignment="1" applyProtection="1">
      <alignment horizontal="right"/>
      <protection locked="0"/>
    </xf>
    <xf numFmtId="168" fontId="109" fillId="0" borderId="0" xfId="1" applyNumberFormat="1" applyFont="1" applyFill="1" applyBorder="1" applyAlignment="1" applyProtection="1">
      <alignment horizontal="right"/>
      <protection locked="0"/>
    </xf>
    <xf numFmtId="0" fontId="0" fillId="9" borderId="5" xfId="7" applyFont="1" applyFill="1" applyBorder="1"/>
    <xf numFmtId="0" fontId="0" fillId="9" borderId="8" xfId="7" applyFont="1" applyFill="1" applyBorder="1"/>
    <xf numFmtId="0" fontId="0" fillId="9" borderId="6" xfId="7" applyFont="1" applyFill="1" applyBorder="1" applyAlignment="1">
      <alignment horizontal="center"/>
    </xf>
    <xf numFmtId="168" fontId="0" fillId="0" borderId="110" xfId="7" applyNumberFormat="1" applyFont="1" applyBorder="1"/>
    <xf numFmtId="168" fontId="0" fillId="0" borderId="89" xfId="7" applyNumberFormat="1" applyFont="1" applyBorder="1"/>
    <xf numFmtId="168" fontId="0" fillId="0" borderId="97" xfId="1" applyNumberFormat="1" applyFont="1" applyBorder="1" applyAlignment="1">
      <alignment horizontal="right"/>
    </xf>
    <xf numFmtId="0" fontId="0" fillId="0" borderId="54" xfId="0" applyFont="1" applyBorder="1" applyAlignment="1">
      <alignment horizontal="center"/>
    </xf>
    <xf numFmtId="168" fontId="0" fillId="0" borderId="72" xfId="7" applyNumberFormat="1" applyFont="1" applyBorder="1"/>
    <xf numFmtId="168" fontId="0" fillId="0" borderId="63" xfId="7" applyNumberFormat="1" applyFont="1" applyBorder="1"/>
    <xf numFmtId="0" fontId="0" fillId="0" borderId="73" xfId="7" applyFont="1" applyBorder="1" applyAlignment="1">
      <alignment horizontal="right"/>
    </xf>
    <xf numFmtId="0" fontId="216" fillId="2" borderId="65" xfId="7" applyFont="1" applyFill="1" applyBorder="1" applyAlignment="1">
      <alignment horizontal="left"/>
    </xf>
    <xf numFmtId="0" fontId="216" fillId="2" borderId="66" xfId="7" applyFont="1" applyFill="1" applyBorder="1"/>
    <xf numFmtId="168" fontId="216" fillId="2" borderId="67" xfId="1" applyNumberFormat="1" applyFont="1" applyFill="1" applyBorder="1" applyAlignment="1">
      <alignment horizontal="right"/>
    </xf>
    <xf numFmtId="0" fontId="0" fillId="0" borderId="36" xfId="7" applyFont="1" applyBorder="1" applyAlignment="1">
      <alignment horizontal="center" vertical="center"/>
    </xf>
    <xf numFmtId="0" fontId="0" fillId="0" borderId="36" xfId="7" applyFont="1" applyBorder="1" applyAlignment="1">
      <alignment horizontal="center"/>
    </xf>
    <xf numFmtId="0" fontId="0" fillId="0" borderId="35" xfId="7" applyFont="1" applyBorder="1" applyAlignment="1">
      <alignment horizontal="center"/>
    </xf>
    <xf numFmtId="0" fontId="0" fillId="0" borderId="72" xfId="7" applyFont="1" applyBorder="1"/>
    <xf numFmtId="0" fontId="0" fillId="0" borderId="63" xfId="7" applyFont="1" applyBorder="1"/>
    <xf numFmtId="175" fontId="0" fillId="0" borderId="68" xfId="7" applyNumberFormat="1" applyFont="1" applyBorder="1" applyAlignment="1">
      <alignment horizontal="left"/>
    </xf>
    <xf numFmtId="168" fontId="0" fillId="0" borderId="5" xfId="7" applyNumberFormat="1" applyFont="1" applyBorder="1"/>
    <xf numFmtId="0" fontId="51" fillId="0" borderId="45" xfId="7" applyFont="1" applyBorder="1" applyAlignment="1">
      <alignment horizontal="left"/>
    </xf>
    <xf numFmtId="175" fontId="0" fillId="0" borderId="68" xfId="7" applyNumberFormat="1" applyFont="1" applyBorder="1"/>
    <xf numFmtId="9" fontId="0" fillId="0" borderId="4" xfId="7" applyNumberFormat="1" applyFont="1" applyBorder="1"/>
    <xf numFmtId="168" fontId="0" fillId="0" borderId="69" xfId="7" applyNumberFormat="1" applyFont="1" applyBorder="1"/>
    <xf numFmtId="0" fontId="0" fillId="0" borderId="45" xfId="7" applyFont="1" applyBorder="1" applyAlignment="1">
      <alignment horizontal="left"/>
    </xf>
    <xf numFmtId="168" fontId="0" fillId="20" borderId="45" xfId="7" applyNumberFormat="1" applyFont="1" applyFill="1" applyBorder="1"/>
    <xf numFmtId="168" fontId="0" fillId="20" borderId="93" xfId="7" applyNumberFormat="1" applyFont="1" applyFill="1" applyBorder="1"/>
    <xf numFmtId="168" fontId="0" fillId="12" borderId="93" xfId="0" applyNumberFormat="1" applyFont="1" applyFill="1" applyBorder="1" applyAlignment="1">
      <alignment vertical="center" wrapText="1"/>
    </xf>
    <xf numFmtId="9" fontId="0" fillId="0" borderId="4" xfId="9" applyFont="1" applyBorder="1"/>
    <xf numFmtId="0" fontId="0" fillId="0" borderId="4" xfId="7" applyFont="1" applyBorder="1"/>
    <xf numFmtId="0" fontId="0" fillId="0" borderId="68" xfId="7" applyFont="1" applyBorder="1" applyAlignment="1">
      <alignment horizontal="left"/>
    </xf>
    <xf numFmtId="0" fontId="0" fillId="0" borderId="68" xfId="7" applyFont="1" applyBorder="1"/>
    <xf numFmtId="0" fontId="0" fillId="0" borderId="107" xfId="7" applyFont="1" applyBorder="1" applyAlignment="1">
      <alignment horizontal="left"/>
    </xf>
    <xf numFmtId="168" fontId="0" fillId="0" borderId="9" xfId="7" applyNumberFormat="1" applyFont="1" applyBorder="1"/>
    <xf numFmtId="0" fontId="0" fillId="0" borderId="107" xfId="7" applyFont="1" applyBorder="1"/>
    <xf numFmtId="0" fontId="0" fillId="0" borderId="25" xfId="7" applyFont="1" applyBorder="1"/>
    <xf numFmtId="168" fontId="0" fillId="0" borderId="98" xfId="7" applyNumberFormat="1" applyFont="1" applyBorder="1"/>
    <xf numFmtId="0" fontId="0" fillId="0" borderId="36" xfId="7" applyFont="1" applyBorder="1" applyAlignment="1">
      <alignment horizontal="left"/>
    </xf>
    <xf numFmtId="0" fontId="0" fillId="0" borderId="53" xfId="7" applyFont="1" applyBorder="1"/>
    <xf numFmtId="168" fontId="0" fillId="0" borderId="103" xfId="1" applyNumberFormat="1" applyFont="1" applyFill="1" applyBorder="1"/>
    <xf numFmtId="0" fontId="182" fillId="0" borderId="45" xfId="7" applyFont="1" applyBorder="1" applyAlignment="1">
      <alignment horizontal="left"/>
    </xf>
    <xf numFmtId="168" fontId="0" fillId="0" borderId="45" xfId="7" applyNumberFormat="1" applyFont="1" applyBorder="1"/>
    <xf numFmtId="168" fontId="0" fillId="0" borderId="93" xfId="7" applyNumberFormat="1" applyFont="1" applyBorder="1"/>
    <xf numFmtId="168" fontId="0" fillId="0" borderId="93" xfId="0" applyNumberFormat="1" applyFont="1" applyBorder="1" applyAlignment="1">
      <alignment vertical="center" wrapText="1"/>
    </xf>
    <xf numFmtId="0" fontId="0" fillId="0" borderId="102" xfId="7" applyFont="1" applyBorder="1" applyAlignment="1">
      <alignment horizontal="left"/>
    </xf>
    <xf numFmtId="168" fontId="0" fillId="0" borderId="54" xfId="7" applyNumberFormat="1" applyFont="1" applyBorder="1"/>
    <xf numFmtId="0" fontId="0" fillId="0" borderId="45" xfId="7" applyFont="1" applyBorder="1"/>
    <xf numFmtId="0" fontId="0" fillId="0" borderId="0" xfId="7" applyFont="1" applyBorder="1"/>
    <xf numFmtId="0" fontId="216" fillId="2" borderId="65" xfId="7" applyFont="1" applyFill="1" applyBorder="1"/>
    <xf numFmtId="0" fontId="0" fillId="0" borderId="65" xfId="7" applyFont="1" applyBorder="1"/>
    <xf numFmtId="0" fontId="0" fillId="0" borderId="66" xfId="7" applyFont="1" applyBorder="1"/>
    <xf numFmtId="0" fontId="0" fillId="0" borderId="67" xfId="7" applyFont="1" applyBorder="1" applyAlignment="1">
      <alignment horizontal="right"/>
    </xf>
    <xf numFmtId="168" fontId="182" fillId="0" borderId="45" xfId="7" applyNumberFormat="1" applyFont="1" applyBorder="1"/>
    <xf numFmtId="168" fontId="182" fillId="0" borderId="93" xfId="7" applyNumberFormat="1" applyFont="1" applyBorder="1"/>
    <xf numFmtId="0" fontId="182" fillId="13" borderId="45" xfId="7" applyFont="1" applyFill="1" applyBorder="1" applyAlignment="1">
      <alignment horizontal="left"/>
    </xf>
    <xf numFmtId="168" fontId="0" fillId="29" borderId="45" xfId="7" applyNumberFormat="1" applyFont="1" applyFill="1" applyBorder="1"/>
    <xf numFmtId="168" fontId="0" fillId="13" borderId="45" xfId="7" applyNumberFormat="1" applyFont="1" applyFill="1" applyBorder="1"/>
    <xf numFmtId="168" fontId="0" fillId="0" borderId="48" xfId="7" applyNumberFormat="1" applyFont="1" applyBorder="1"/>
    <xf numFmtId="0" fontId="0" fillId="0" borderId="62" xfId="7" applyFont="1" applyBorder="1" applyAlignment="1">
      <alignment horizontal="left"/>
    </xf>
    <xf numFmtId="168" fontId="0" fillId="0" borderId="91" xfId="7" applyNumberFormat="1" applyFont="1" applyBorder="1"/>
    <xf numFmtId="168" fontId="182" fillId="0" borderId="5" xfId="7" applyNumberFormat="1" applyFont="1" applyBorder="1"/>
    <xf numFmtId="168" fontId="182" fillId="0" borderId="39" xfId="7" applyNumberFormat="1" applyFont="1" applyBorder="1"/>
    <xf numFmtId="168" fontId="0" fillId="0" borderId="39" xfId="0" applyNumberFormat="1" applyFont="1" applyBorder="1" applyAlignment="1">
      <alignment vertical="center" wrapText="1"/>
    </xf>
    <xf numFmtId="0" fontId="0" fillId="0" borderId="36" xfId="7" applyFont="1" applyBorder="1"/>
    <xf numFmtId="168" fontId="0" fillId="0" borderId="103" xfId="1" applyNumberFormat="1" applyFont="1" applyBorder="1"/>
    <xf numFmtId="0" fontId="0" fillId="0" borderId="70" xfId="7" applyFont="1" applyBorder="1" applyAlignment="1">
      <alignment horizontal="left"/>
    </xf>
    <xf numFmtId="168" fontId="0" fillId="0" borderId="77" xfId="7" applyNumberFormat="1" applyFont="1" applyBorder="1"/>
    <xf numFmtId="168" fontId="0" fillId="0" borderId="105" xfId="7" applyNumberFormat="1" applyFont="1" applyBorder="1"/>
    <xf numFmtId="168" fontId="0" fillId="0" borderId="105" xfId="0" applyNumberFormat="1" applyFont="1" applyBorder="1" applyAlignment="1">
      <alignment vertical="center" wrapText="1"/>
    </xf>
    <xf numFmtId="0" fontId="0" fillId="0" borderId="48" xfId="7" applyFont="1" applyBorder="1" applyAlignment="1">
      <alignment horizontal="left" indent="2"/>
    </xf>
    <xf numFmtId="168" fontId="0" fillId="0" borderId="49" xfId="8" applyNumberFormat="1" applyFont="1" applyBorder="1"/>
    <xf numFmtId="168" fontId="0" fillId="0" borderId="54" xfId="8" applyNumberFormat="1" applyFont="1" applyBorder="1"/>
    <xf numFmtId="0" fontId="0" fillId="0" borderId="70" xfId="7" applyFont="1" applyBorder="1"/>
    <xf numFmtId="0" fontId="0" fillId="0" borderId="116" xfId="7" applyFont="1" applyBorder="1"/>
    <xf numFmtId="168" fontId="0" fillId="0" borderId="103" xfId="7" applyNumberFormat="1" applyFont="1" applyBorder="1"/>
    <xf numFmtId="0" fontId="0" fillId="0" borderId="0" xfId="7" applyFont="1" applyFill="1" applyBorder="1" applyAlignment="1">
      <alignment horizontal="center" vertical="center"/>
    </xf>
    <xf numFmtId="0" fontId="0" fillId="0" borderId="0" xfId="7" applyFont="1" applyFill="1" applyBorder="1" applyAlignment="1">
      <alignment horizontal="center"/>
    </xf>
    <xf numFmtId="168" fontId="0" fillId="0" borderId="0" xfId="8" applyNumberFormat="1" applyFont="1" applyFill="1" applyBorder="1"/>
    <xf numFmtId="0" fontId="0" fillId="0" borderId="0" xfId="7" applyFont="1" applyFill="1" applyBorder="1" applyAlignment="1">
      <alignment horizontal="left"/>
    </xf>
    <xf numFmtId="168" fontId="182" fillId="0" borderId="0" xfId="7" applyNumberFormat="1" applyFont="1" applyFill="1" applyBorder="1"/>
    <xf numFmtId="168" fontId="0" fillId="0" borderId="0" xfId="0" applyNumberFormat="1" applyFont="1" applyFill="1" applyBorder="1" applyAlignment="1">
      <alignment vertical="center" wrapText="1"/>
    </xf>
    <xf numFmtId="0" fontId="0" fillId="0" borderId="0" xfId="7" applyFont="1" applyFill="1"/>
    <xf numFmtId="0" fontId="51" fillId="0" borderId="45" xfId="7" applyFont="1" applyBorder="1" applyAlignment="1">
      <alignment horizontal="left" indent="2"/>
    </xf>
    <xf numFmtId="9" fontId="0" fillId="0" borderId="89" xfId="2" applyFont="1" applyBorder="1"/>
    <xf numFmtId="0" fontId="216" fillId="2" borderId="37" xfId="7" applyFont="1" applyFill="1" applyBorder="1" applyAlignment="1">
      <alignment horizontal="left"/>
    </xf>
    <xf numFmtId="0" fontId="216" fillId="2" borderId="38" xfId="7" applyFont="1" applyFill="1" applyBorder="1" applyAlignment="1">
      <alignment horizontal="center"/>
    </xf>
    <xf numFmtId="0" fontId="216" fillId="2" borderId="37" xfId="7" applyFont="1" applyFill="1" applyBorder="1" applyAlignment="1">
      <alignment horizontal="center"/>
    </xf>
    <xf numFmtId="168" fontId="0" fillId="0" borderId="40" xfId="7" applyNumberFormat="1" applyFont="1" applyBorder="1"/>
    <xf numFmtId="0" fontId="0" fillId="0" borderId="109" xfId="7" applyFont="1" applyBorder="1"/>
    <xf numFmtId="165" fontId="0" fillId="0" borderId="102" xfId="1" applyFont="1" applyBorder="1" applyAlignment="1">
      <alignment horizontal="center"/>
    </xf>
    <xf numFmtId="165" fontId="0" fillId="0" borderId="108" xfId="1" applyFont="1" applyBorder="1" applyAlignment="1">
      <alignment horizontal="center"/>
    </xf>
    <xf numFmtId="165" fontId="0" fillId="0" borderId="103" xfId="1" applyFont="1" applyBorder="1" applyAlignment="1">
      <alignment horizontal="center"/>
    </xf>
    <xf numFmtId="165" fontId="0" fillId="0" borderId="72" xfId="1" applyFont="1" applyBorder="1" applyAlignment="1">
      <alignment horizontal="left"/>
    </xf>
    <xf numFmtId="168" fontId="0" fillId="20" borderId="63" xfId="1" applyNumberFormat="1" applyFont="1" applyFill="1" applyBorder="1" applyAlignment="1">
      <alignment horizontal="center"/>
    </xf>
    <xf numFmtId="168" fontId="0" fillId="0" borderId="73" xfId="1" applyNumberFormat="1" applyFont="1" applyBorder="1" applyAlignment="1">
      <alignment horizontal="center"/>
    </xf>
    <xf numFmtId="165" fontId="0" fillId="0" borderId="68" xfId="1" applyFont="1" applyBorder="1" applyAlignment="1">
      <alignment horizontal="left"/>
    </xf>
    <xf numFmtId="168" fontId="0" fillId="17" borderId="4" xfId="1" applyNumberFormat="1" applyFont="1" applyFill="1" applyBorder="1" applyAlignment="1">
      <alignment horizontal="center"/>
    </xf>
    <xf numFmtId="168" fontId="0" fillId="0" borderId="69" xfId="1" applyNumberFormat="1" applyFont="1" applyBorder="1" applyAlignment="1">
      <alignment horizontal="center"/>
    </xf>
    <xf numFmtId="168" fontId="0" fillId="20" borderId="4" xfId="1" applyNumberFormat="1" applyFont="1" applyFill="1" applyBorder="1" applyAlignment="1">
      <alignment horizontal="center"/>
    </xf>
    <xf numFmtId="168" fontId="0" fillId="0" borderId="62" xfId="1" applyNumberFormat="1" applyFont="1" applyBorder="1"/>
    <xf numFmtId="165" fontId="0" fillId="0" borderId="107" xfId="1" applyFont="1" applyBorder="1" applyAlignment="1">
      <alignment horizontal="left"/>
    </xf>
    <xf numFmtId="168" fontId="0" fillId="20" borderId="25" xfId="1" applyNumberFormat="1" applyFont="1" applyFill="1" applyBorder="1" applyAlignment="1">
      <alignment horizontal="center"/>
    </xf>
    <xf numFmtId="168" fontId="0" fillId="0" borderId="98" xfId="1" applyNumberFormat="1" applyFont="1" applyBorder="1" applyAlignment="1">
      <alignment horizontal="center"/>
    </xf>
    <xf numFmtId="0" fontId="0" fillId="0" borderId="108" xfId="7" applyFont="1" applyBorder="1"/>
    <xf numFmtId="165" fontId="0" fillId="0" borderId="36" xfId="1" applyFont="1" applyBorder="1" applyAlignment="1">
      <alignment horizontal="left"/>
    </xf>
    <xf numFmtId="168" fontId="0" fillId="0" borderId="53" xfId="1" applyNumberFormat="1" applyFont="1" applyBorder="1" applyAlignment="1">
      <alignment horizontal="center"/>
    </xf>
    <xf numFmtId="168" fontId="0" fillId="0" borderId="54" xfId="1" applyNumberFormat="1" applyFont="1" applyBorder="1" applyAlignment="1">
      <alignment horizontal="center"/>
    </xf>
    <xf numFmtId="0" fontId="216" fillId="2" borderId="42" xfId="7" applyFont="1" applyFill="1" applyBorder="1"/>
    <xf numFmtId="0" fontId="216" fillId="2" borderId="25" xfId="7" applyFont="1" applyFill="1" applyBorder="1" applyAlignment="1">
      <alignment horizontal="center"/>
    </xf>
    <xf numFmtId="0" fontId="216" fillId="2" borderId="52" xfId="7" applyFont="1" applyFill="1" applyBorder="1" applyAlignment="1">
      <alignment horizontal="right"/>
    </xf>
    <xf numFmtId="175" fontId="0" fillId="0" borderId="40" xfId="7" applyNumberFormat="1" applyFont="1" applyBorder="1"/>
    <xf numFmtId="0" fontId="0" fillId="0" borderId="0" xfId="7" applyFont="1" applyFill="1" applyBorder="1"/>
    <xf numFmtId="165" fontId="0" fillId="0" borderId="0" xfId="1" applyFont="1" applyBorder="1" applyAlignment="1">
      <alignment horizontal="center"/>
    </xf>
    <xf numFmtId="165" fontId="0" fillId="0" borderId="0" xfId="1" applyFont="1" applyBorder="1" applyAlignment="1">
      <alignment horizontal="left"/>
    </xf>
    <xf numFmtId="168" fontId="0" fillId="0" borderId="0" xfId="1" applyNumberFormat="1" applyFont="1" applyFill="1" applyBorder="1" applyAlignment="1">
      <alignment horizontal="center"/>
    </xf>
    <xf numFmtId="168" fontId="0" fillId="0" borderId="0" xfId="1" applyNumberFormat="1" applyFont="1" applyBorder="1" applyAlignment="1">
      <alignment horizontal="center"/>
    </xf>
    <xf numFmtId="175" fontId="0" fillId="0" borderId="109" xfId="1" applyNumberFormat="1" applyFont="1" applyBorder="1"/>
    <xf numFmtId="0" fontId="0" fillId="0" borderId="40" xfId="7" applyFont="1" applyBorder="1"/>
    <xf numFmtId="0" fontId="0" fillId="0" borderId="62" xfId="7" applyFont="1" applyBorder="1"/>
    <xf numFmtId="175" fontId="0" fillId="0" borderId="54" xfId="7" applyNumberFormat="1" applyFont="1" applyBorder="1"/>
    <xf numFmtId="0" fontId="216" fillId="2" borderId="66" xfId="7" applyFont="1" applyFill="1" applyBorder="1" applyAlignment="1">
      <alignment horizontal="center"/>
    </xf>
    <xf numFmtId="0" fontId="0" fillId="0" borderId="69" xfId="7" applyFont="1" applyBorder="1"/>
    <xf numFmtId="0" fontId="0" fillId="0" borderId="102" xfId="7" applyFont="1" applyBorder="1"/>
    <xf numFmtId="0" fontId="51" fillId="0" borderId="0" xfId="7" applyFont="1"/>
    <xf numFmtId="175" fontId="0" fillId="0" borderId="0" xfId="1" applyNumberFormat="1" applyFont="1"/>
    <xf numFmtId="168" fontId="0" fillId="10" borderId="0" xfId="1" applyNumberFormat="1" applyFont="1" applyFill="1"/>
    <xf numFmtId="0" fontId="50" fillId="0" borderId="0" xfId="7" applyFont="1"/>
    <xf numFmtId="0" fontId="0" fillId="0" borderId="0" xfId="0" applyFont="1" applyBorder="1"/>
    <xf numFmtId="168" fontId="0" fillId="0" borderId="60" xfId="7" applyNumberFormat="1" applyFont="1" applyBorder="1"/>
    <xf numFmtId="0" fontId="0" fillId="20" borderId="0" xfId="7" applyFont="1" applyFill="1"/>
    <xf numFmtId="0" fontId="187" fillId="0" borderId="35" xfId="7" applyFont="1" applyBorder="1" applyAlignment="1">
      <alignment horizontal="center"/>
    </xf>
    <xf numFmtId="0" fontId="187" fillId="0" borderId="53" xfId="7" applyFont="1" applyBorder="1" applyAlignment="1">
      <alignment horizontal="center"/>
    </xf>
    <xf numFmtId="0" fontId="49" fillId="19" borderId="36" xfId="7" applyFont="1" applyFill="1" applyBorder="1" applyAlignment="1">
      <alignment horizontal="center"/>
    </xf>
    <xf numFmtId="0" fontId="24" fillId="2" borderId="37" xfId="7" applyFont="1" applyFill="1" applyBorder="1" applyAlignment="1">
      <alignment horizontal="center"/>
    </xf>
    <xf numFmtId="168" fontId="45" fillId="0" borderId="118" xfId="1" applyNumberFormat="1" applyFont="1" applyBorder="1" applyAlignment="1">
      <alignment horizontal="center"/>
    </xf>
    <xf numFmtId="168" fontId="45" fillId="0" borderId="63" xfId="1" applyNumberFormat="1" applyFont="1" applyBorder="1" applyAlignment="1">
      <alignment horizontal="center"/>
    </xf>
    <xf numFmtId="168" fontId="45" fillId="0" borderId="73" xfId="1" applyNumberFormat="1" applyFont="1" applyBorder="1" applyAlignment="1">
      <alignment horizontal="center"/>
    </xf>
    <xf numFmtId="168" fontId="235" fillId="17" borderId="6" xfId="1" applyNumberFormat="1" applyFont="1" applyFill="1" applyBorder="1" applyAlignment="1">
      <alignment horizontal="center"/>
    </xf>
    <xf numFmtId="168" fontId="45" fillId="0" borderId="6" xfId="1" applyNumberFormat="1" applyFont="1" applyBorder="1" applyAlignment="1">
      <alignment horizontal="center"/>
    </xf>
    <xf numFmtId="168" fontId="45" fillId="0" borderId="4" xfId="1" applyNumberFormat="1" applyFont="1" applyBorder="1" applyAlignment="1">
      <alignment horizontal="center"/>
    </xf>
    <xf numFmtId="168" fontId="45" fillId="0" borderId="11" xfId="1" applyNumberFormat="1" applyFont="1" applyBorder="1" applyAlignment="1">
      <alignment horizontal="center"/>
    </xf>
    <xf numFmtId="168" fontId="45" fillId="0" borderId="25" xfId="1" applyNumberFormat="1" applyFont="1" applyBorder="1" applyAlignment="1">
      <alignment horizontal="center"/>
    </xf>
    <xf numFmtId="168" fontId="45" fillId="0" borderId="53" xfId="1" applyNumberFormat="1" applyFont="1" applyBorder="1" applyAlignment="1">
      <alignment horizontal="center"/>
    </xf>
    <xf numFmtId="168" fontId="45" fillId="0" borderId="103" xfId="1" applyNumberFormat="1" applyFont="1" applyBorder="1" applyAlignment="1">
      <alignment horizontal="center"/>
    </xf>
    <xf numFmtId="0" fontId="114" fillId="0" borderId="116" xfId="7" applyFont="1" applyBorder="1" applyAlignment="1">
      <alignment horizontal="left" indent="2"/>
    </xf>
    <xf numFmtId="168" fontId="239" fillId="19" borderId="4" xfId="1" applyNumberFormat="1" applyFont="1" applyFill="1" applyBorder="1"/>
    <xf numFmtId="165" fontId="54" fillId="0" borderId="71" xfId="1" applyFont="1" applyBorder="1" applyAlignment="1">
      <alignment horizontal="center"/>
    </xf>
    <xf numFmtId="165" fontId="54" fillId="0" borderId="50" xfId="7" applyNumberFormat="1" applyFont="1" applyBorder="1"/>
    <xf numFmtId="184" fontId="54" fillId="0" borderId="0" xfId="7" applyNumberFormat="1" applyFont="1" applyBorder="1" applyAlignment="1">
      <alignment horizontal="right"/>
    </xf>
    <xf numFmtId="184" fontId="54" fillId="0" borderId="46" xfId="7" applyNumberFormat="1" applyFont="1" applyBorder="1" applyAlignment="1">
      <alignment horizontal="right"/>
    </xf>
    <xf numFmtId="168" fontId="54" fillId="0" borderId="49" xfId="7" applyNumberFormat="1" applyFont="1" applyBorder="1"/>
    <xf numFmtId="168" fontId="54" fillId="0" borderId="50" xfId="7" applyNumberFormat="1" applyFont="1" applyBorder="1"/>
    <xf numFmtId="165" fontId="54" fillId="0" borderId="66" xfId="1" applyFont="1" applyBorder="1" applyAlignment="1">
      <alignment horizontal="center"/>
    </xf>
    <xf numFmtId="0" fontId="54" fillId="0" borderId="67" xfId="7" applyFont="1" applyBorder="1" applyAlignment="1">
      <alignment horizontal="center"/>
    </xf>
    <xf numFmtId="165" fontId="54" fillId="0" borderId="69" xfId="1" applyFont="1" applyBorder="1"/>
    <xf numFmtId="165" fontId="54" fillId="0" borderId="82" xfId="7" applyNumberFormat="1" applyFont="1" applyBorder="1"/>
    <xf numFmtId="180" fontId="67" fillId="0" borderId="0" xfId="1" applyNumberFormat="1" applyFont="1"/>
    <xf numFmtId="201" fontId="54" fillId="0" borderId="4" xfId="7" applyNumberFormat="1" applyFont="1" applyBorder="1" applyAlignment="1">
      <alignment horizontal="center"/>
    </xf>
    <xf numFmtId="2" fontId="54" fillId="0" borderId="4" xfId="7" applyNumberFormat="1" applyFont="1" applyFill="1" applyBorder="1" applyAlignment="1">
      <alignment horizontal="center"/>
    </xf>
    <xf numFmtId="2" fontId="54" fillId="0" borderId="4" xfId="7" applyNumberFormat="1" applyFont="1" applyBorder="1" applyAlignment="1">
      <alignment horizontal="center"/>
    </xf>
    <xf numFmtId="0" fontId="54" fillId="19" borderId="0" xfId="7" applyFont="1" applyFill="1"/>
    <xf numFmtId="0" fontId="54" fillId="14" borderId="0" xfId="7" applyFont="1" applyFill="1"/>
    <xf numFmtId="0" fontId="54" fillId="14" borderId="36" xfId="7" applyFont="1" applyFill="1" applyBorder="1"/>
    <xf numFmtId="0" fontId="114" fillId="14" borderId="65" xfId="7" applyFont="1" applyFill="1" applyBorder="1"/>
    <xf numFmtId="168" fontId="65" fillId="14" borderId="66" xfId="1" applyNumberFormat="1" applyFont="1" applyFill="1" applyBorder="1"/>
    <xf numFmtId="168" fontId="65" fillId="14" borderId="67" xfId="1" applyNumberFormat="1" applyFont="1" applyFill="1" applyBorder="1"/>
    <xf numFmtId="0" fontId="54" fillId="0" borderId="46" xfId="7" applyFont="1" applyBorder="1"/>
    <xf numFmtId="165" fontId="0" fillId="0" borderId="46" xfId="0" applyNumberFormat="1" applyBorder="1"/>
    <xf numFmtId="165" fontId="183" fillId="0" borderId="0" xfId="0" applyNumberFormat="1" applyFont="1" applyBorder="1"/>
    <xf numFmtId="168" fontId="183" fillId="0" borderId="0" xfId="0" applyNumberFormat="1" applyFont="1"/>
    <xf numFmtId="0" fontId="183" fillId="0" borderId="0" xfId="0" applyFont="1"/>
    <xf numFmtId="2" fontId="0" fillId="0" borderId="49" xfId="0" applyNumberFormat="1" applyBorder="1"/>
    <xf numFmtId="0" fontId="0" fillId="14" borderId="37" xfId="0" applyFill="1" applyBorder="1"/>
    <xf numFmtId="0" fontId="0" fillId="14" borderId="51" xfId="0" applyFill="1" applyBorder="1"/>
    <xf numFmtId="165" fontId="0" fillId="14" borderId="51" xfId="0" applyNumberFormat="1" applyFill="1" applyBorder="1"/>
    <xf numFmtId="168" fontId="183" fillId="0" borderId="0" xfId="0" applyNumberFormat="1" applyFont="1" applyBorder="1"/>
    <xf numFmtId="0" fontId="0" fillId="0" borderId="36" xfId="0" applyFill="1" applyBorder="1"/>
    <xf numFmtId="165" fontId="0" fillId="0" borderId="49" xfId="0" applyNumberFormat="1" applyBorder="1"/>
    <xf numFmtId="165" fontId="0" fillId="0" borderId="50" xfId="0" applyNumberFormat="1" applyBorder="1"/>
    <xf numFmtId="3" fontId="58" fillId="0" borderId="85" xfId="0" applyNumberFormat="1" applyFont="1" applyBorder="1" applyAlignment="1">
      <alignment horizontal="center" wrapText="1"/>
    </xf>
    <xf numFmtId="0" fontId="184" fillId="0" borderId="0" xfId="0" applyFont="1"/>
    <xf numFmtId="0" fontId="191" fillId="0" borderId="84" xfId="0" applyFont="1" applyBorder="1" applyAlignment="1">
      <alignment vertical="top" wrapText="1"/>
    </xf>
    <xf numFmtId="3" fontId="191" fillId="0" borderId="84" xfId="0" applyNumberFormat="1" applyFont="1" applyBorder="1" applyAlignment="1">
      <alignment horizontal="center" wrapText="1"/>
    </xf>
    <xf numFmtId="0" fontId="191" fillId="0" borderId="84" xfId="0" applyFont="1" applyBorder="1" applyAlignment="1">
      <alignment horizontal="center" wrapText="1"/>
    </xf>
    <xf numFmtId="4" fontId="184" fillId="0" borderId="0" xfId="0" applyNumberFormat="1" applyFont="1"/>
    <xf numFmtId="3" fontId="240" fillId="0" borderId="85" xfId="0" applyNumberFormat="1" applyFont="1" applyBorder="1" applyAlignment="1">
      <alignment horizontal="center" wrapText="1"/>
    </xf>
    <xf numFmtId="4" fontId="191" fillId="0" borderId="84" xfId="6" applyNumberFormat="1" applyFont="1" applyBorder="1" applyAlignment="1">
      <alignment wrapText="1"/>
    </xf>
    <xf numFmtId="191" fontId="184" fillId="0" borderId="0" xfId="0" applyNumberFormat="1" applyFont="1"/>
    <xf numFmtId="4" fontId="191" fillId="0" borderId="84" xfId="0" applyNumberFormat="1" applyFont="1" applyBorder="1" applyAlignment="1">
      <alignment horizontal="center" wrapText="1"/>
    </xf>
    <xf numFmtId="4" fontId="45" fillId="0" borderId="0" xfId="0" applyNumberFormat="1" applyFont="1"/>
    <xf numFmtId="0" fontId="184" fillId="0" borderId="83" xfId="0" applyFont="1" applyBorder="1" applyAlignment="1">
      <alignment horizontal="center" vertical="top" wrapText="1"/>
    </xf>
    <xf numFmtId="3" fontId="184" fillId="0" borderId="83" xfId="0" applyNumberFormat="1" applyFont="1" applyBorder="1" applyAlignment="1">
      <alignment horizontal="center" wrapText="1"/>
    </xf>
    <xf numFmtId="0" fontId="184" fillId="0" borderId="83" xfId="0" applyFont="1" applyBorder="1" applyAlignment="1">
      <alignment horizontal="center" wrapText="1"/>
    </xf>
    <xf numFmtId="4" fontId="184" fillId="0" borderId="83" xfId="0" applyNumberFormat="1" applyFont="1" applyBorder="1" applyAlignment="1">
      <alignment horizontal="center" wrapText="1"/>
    </xf>
    <xf numFmtId="0" fontId="184" fillId="0" borderId="84" xfId="0" applyFont="1" applyBorder="1" applyAlignment="1">
      <alignment horizontal="center" vertical="top" wrapText="1"/>
    </xf>
    <xf numFmtId="3" fontId="184" fillId="0" borderId="84" xfId="0" applyNumberFormat="1" applyFont="1" applyBorder="1" applyAlignment="1">
      <alignment horizontal="center" wrapText="1"/>
    </xf>
    <xf numFmtId="0" fontId="184" fillId="0" borderId="84" xfId="0" applyFont="1" applyBorder="1" applyAlignment="1">
      <alignment horizontal="center" wrapText="1"/>
    </xf>
    <xf numFmtId="4" fontId="184" fillId="0" borderId="84" xfId="0" applyNumberFormat="1" applyFont="1" applyBorder="1" applyAlignment="1">
      <alignment wrapText="1"/>
    </xf>
    <xf numFmtId="4" fontId="191" fillId="0" borderId="85" xfId="0" applyNumberFormat="1" applyFont="1" applyBorder="1" applyAlignment="1">
      <alignment horizontal="center" wrapText="1"/>
    </xf>
    <xf numFmtId="3" fontId="191" fillId="0" borderId="85" xfId="0" applyNumberFormat="1" applyFont="1" applyBorder="1" applyAlignment="1">
      <alignment horizontal="center" wrapText="1"/>
    </xf>
    <xf numFmtId="0" fontId="184" fillId="0" borderId="0" xfId="0" applyFont="1" applyAlignment="1">
      <alignment horizontal="center" vertical="top"/>
    </xf>
    <xf numFmtId="0" fontId="191" fillId="0" borderId="202" xfId="0" applyFont="1" applyBorder="1" applyAlignment="1">
      <alignment vertical="top" wrapText="1"/>
    </xf>
    <xf numFmtId="3" fontId="191" fillId="0" borderId="202" xfId="0" applyNumberFormat="1" applyFont="1" applyBorder="1" applyAlignment="1">
      <alignment horizontal="center" wrapText="1"/>
    </xf>
    <xf numFmtId="0" fontId="191" fillId="0" borderId="202" xfId="0" applyFont="1" applyBorder="1" applyAlignment="1">
      <alignment horizontal="center" wrapText="1"/>
    </xf>
    <xf numFmtId="4" fontId="191" fillId="0" borderId="202" xfId="6" applyNumberFormat="1" applyFont="1" applyBorder="1" applyAlignment="1">
      <alignment wrapText="1"/>
    </xf>
    <xf numFmtId="0" fontId="45" fillId="0" borderId="45" xfId="0" applyFont="1" applyBorder="1"/>
    <xf numFmtId="0" fontId="45" fillId="0" borderId="0" xfId="0" applyFont="1" applyBorder="1"/>
    <xf numFmtId="0" fontId="45" fillId="0" borderId="46" xfId="0" applyFont="1" applyBorder="1"/>
    <xf numFmtId="168" fontId="240" fillId="0" borderId="202" xfId="1" applyNumberFormat="1" applyFont="1" applyBorder="1" applyAlignment="1">
      <alignment horizontal="right" wrapText="1"/>
    </xf>
    <xf numFmtId="168" fontId="184" fillId="0" borderId="0" xfId="1" applyNumberFormat="1" applyFont="1"/>
    <xf numFmtId="1" fontId="45" fillId="0" borderId="0" xfId="0" applyNumberFormat="1" applyFont="1"/>
    <xf numFmtId="0" fontId="8" fillId="0" borderId="35" xfId="7" applyFont="1" applyBorder="1" applyAlignment="1">
      <alignment horizontal="center"/>
    </xf>
    <xf numFmtId="0" fontId="8" fillId="0" borderId="53" xfId="7" applyFont="1" applyBorder="1" applyAlignment="1">
      <alignment horizontal="center"/>
    </xf>
    <xf numFmtId="168" fontId="8" fillId="0" borderId="54" xfId="8" applyNumberFormat="1" applyFont="1" applyBorder="1" applyAlignment="1">
      <alignment horizontal="center"/>
    </xf>
    <xf numFmtId="168" fontId="45" fillId="0" borderId="0" xfId="1" applyNumberFormat="1" applyFont="1" applyBorder="1"/>
    <xf numFmtId="0" fontId="45" fillId="0" borderId="60" xfId="0" applyFont="1" applyBorder="1"/>
    <xf numFmtId="168" fontId="45" fillId="0" borderId="60" xfId="0" applyNumberFormat="1" applyFont="1" applyBorder="1"/>
    <xf numFmtId="3" fontId="45" fillId="0" borderId="0" xfId="0" applyNumberFormat="1" applyFont="1" applyBorder="1"/>
    <xf numFmtId="0" fontId="45" fillId="14" borderId="37" xfId="0" applyFont="1" applyFill="1" applyBorder="1"/>
    <xf numFmtId="0" fontId="45" fillId="14" borderId="51" xfId="0" applyFont="1" applyFill="1" applyBorder="1"/>
    <xf numFmtId="165" fontId="241" fillId="14" borderId="51" xfId="1" applyFont="1" applyFill="1" applyBorder="1" applyAlignment="1">
      <alignment horizontal="center"/>
    </xf>
    <xf numFmtId="165" fontId="241" fillId="14" borderId="52" xfId="1" applyFont="1" applyFill="1" applyBorder="1" applyAlignment="1">
      <alignment horizontal="center"/>
    </xf>
    <xf numFmtId="168" fontId="45" fillId="14" borderId="37" xfId="1" applyNumberFormat="1" applyFont="1" applyFill="1" applyBorder="1"/>
    <xf numFmtId="168" fontId="45" fillId="14" borderId="51" xfId="1" applyNumberFormat="1" applyFont="1" applyFill="1" applyBorder="1"/>
    <xf numFmtId="168" fontId="241" fillId="14" borderId="51" xfId="1" applyNumberFormat="1" applyFont="1" applyFill="1" applyBorder="1" applyAlignment="1">
      <alignment horizontal="center"/>
    </xf>
    <xf numFmtId="168" fontId="241" fillId="14" borderId="52" xfId="1" applyNumberFormat="1" applyFont="1" applyFill="1" applyBorder="1" applyAlignment="1">
      <alignment horizontal="center"/>
    </xf>
    <xf numFmtId="168" fontId="45" fillId="0" borderId="45" xfId="1" applyNumberFormat="1" applyFont="1" applyBorder="1"/>
    <xf numFmtId="168" fontId="45" fillId="0" borderId="60" xfId="1" applyNumberFormat="1" applyFont="1" applyBorder="1"/>
    <xf numFmtId="16" fontId="187" fillId="0" borderId="70" xfId="0" applyNumberFormat="1" applyFont="1" applyBorder="1"/>
    <xf numFmtId="168" fontId="187" fillId="0" borderId="71" xfId="7" applyNumberFormat="1" applyFont="1" applyBorder="1"/>
    <xf numFmtId="168" fontId="187" fillId="0" borderId="77" xfId="7" applyNumberFormat="1" applyFont="1" applyBorder="1"/>
    <xf numFmtId="168" fontId="187" fillId="0" borderId="105" xfId="7" applyNumberFormat="1" applyFont="1" applyBorder="1"/>
    <xf numFmtId="168" fontId="54" fillId="0" borderId="0" xfId="7" applyNumberFormat="1" applyFont="1" applyBorder="1" applyAlignment="1">
      <alignment horizontal="center"/>
    </xf>
    <xf numFmtId="168" fontId="237" fillId="0" borderId="63" xfId="7" applyNumberFormat="1" applyFont="1" applyBorder="1"/>
    <xf numFmtId="168" fontId="242" fillId="7" borderId="4" xfId="7" applyNumberFormat="1" applyFont="1" applyFill="1" applyBorder="1"/>
    <xf numFmtId="168" fontId="237" fillId="0" borderId="71" xfId="7" applyNumberFormat="1" applyFont="1" applyBorder="1"/>
    <xf numFmtId="0" fontId="65" fillId="14" borderId="0" xfId="0" applyFont="1" applyFill="1"/>
    <xf numFmtId="0" fontId="54" fillId="14" borderId="0" xfId="0" applyFont="1" applyFill="1"/>
    <xf numFmtId="0" fontId="129" fillId="14" borderId="0" xfId="0" applyFont="1" applyFill="1"/>
    <xf numFmtId="0" fontId="65" fillId="7" borderId="0" xfId="0" applyFont="1" applyFill="1"/>
    <xf numFmtId="0" fontId="88" fillId="7" borderId="0" xfId="0" applyFont="1" applyFill="1"/>
    <xf numFmtId="0" fontId="54" fillId="7" borderId="0" xfId="0" applyFont="1" applyFill="1"/>
    <xf numFmtId="0" fontId="129" fillId="7" borderId="0" xfId="0" applyFont="1" applyFill="1"/>
    <xf numFmtId="166" fontId="88" fillId="7" borderId="0" xfId="0" applyNumberFormat="1" applyFont="1" applyFill="1"/>
    <xf numFmtId="0" fontId="243" fillId="7" borderId="0" xfId="0" applyFont="1" applyFill="1"/>
    <xf numFmtId="166" fontId="243" fillId="7" borderId="0" xfId="0" applyNumberFormat="1" applyFont="1" applyFill="1"/>
    <xf numFmtId="0" fontId="244" fillId="7" borderId="0" xfId="0" applyFont="1" applyFill="1"/>
    <xf numFmtId="0" fontId="245" fillId="7" borderId="0" xfId="0" applyFont="1" applyFill="1"/>
    <xf numFmtId="0" fontId="246" fillId="7" borderId="0" xfId="0" applyFont="1" applyFill="1"/>
    <xf numFmtId="0" fontId="129" fillId="8" borderId="0" xfId="0" applyFont="1" applyFill="1"/>
    <xf numFmtId="0" fontId="49" fillId="7" borderId="37" xfId="0" applyFont="1" applyFill="1" applyBorder="1"/>
    <xf numFmtId="0" fontId="49" fillId="7" borderId="38" xfId="0" applyFont="1" applyFill="1" applyBorder="1" applyAlignment="1">
      <alignment horizontal="right"/>
    </xf>
    <xf numFmtId="0" fontId="187" fillId="7" borderId="48" xfId="0" applyFont="1" applyFill="1" applyBorder="1"/>
    <xf numFmtId="168" fontId="187" fillId="7" borderId="94" xfId="1" applyNumberFormat="1" applyFont="1" applyFill="1" applyBorder="1" applyAlignment="1">
      <alignment horizontal="left" indent="7"/>
    </xf>
    <xf numFmtId="0" fontId="49" fillId="7" borderId="38" xfId="0" applyFont="1" applyFill="1" applyBorder="1" applyAlignment="1">
      <alignment horizontal="left"/>
    </xf>
    <xf numFmtId="0" fontId="49" fillId="7" borderId="102" xfId="0" applyFont="1" applyFill="1" applyBorder="1"/>
    <xf numFmtId="168" fontId="49" fillId="7" borderId="103" xfId="1" applyNumberFormat="1" applyFont="1" applyFill="1" applyBorder="1"/>
    <xf numFmtId="0" fontId="49" fillId="7" borderId="65" xfId="0" applyFont="1" applyFill="1" applyBorder="1"/>
    <xf numFmtId="0" fontId="49" fillId="7" borderId="67" xfId="0" applyFont="1" applyFill="1" applyBorder="1" applyAlignment="1">
      <alignment horizontal="right"/>
    </xf>
    <xf numFmtId="0" fontId="0" fillId="7" borderId="70" xfId="0" applyFill="1" applyBorder="1"/>
    <xf numFmtId="168" fontId="0" fillId="7" borderId="82" xfId="1" applyNumberFormat="1" applyFont="1" applyFill="1" applyBorder="1" applyAlignment="1">
      <alignment horizontal="left" indent="5"/>
    </xf>
    <xf numFmtId="0" fontId="132" fillId="7" borderId="36" xfId="0" applyFont="1" applyFill="1" applyBorder="1" applyAlignment="1">
      <alignment vertical="center"/>
    </xf>
    <xf numFmtId="0" fontId="132" fillId="7" borderId="36" xfId="0" applyFont="1" applyFill="1" applyBorder="1" applyAlignment="1">
      <alignment horizontal="center" vertical="center"/>
    </xf>
    <xf numFmtId="0" fontId="132" fillId="7" borderId="35" xfId="0" applyFont="1" applyFill="1" applyBorder="1" applyAlignment="1">
      <alignment horizontal="center" vertical="center" wrapText="1"/>
    </xf>
    <xf numFmtId="0" fontId="132" fillId="7" borderId="137" xfId="0" applyFont="1" applyFill="1" applyBorder="1" applyAlignment="1">
      <alignment vertical="center"/>
    </xf>
    <xf numFmtId="0" fontId="132" fillId="7" borderId="100" xfId="0" applyFont="1" applyFill="1" applyBorder="1" applyAlignment="1">
      <alignment vertical="center"/>
    </xf>
    <xf numFmtId="168" fontId="132" fillId="7" borderId="101" xfId="1" applyNumberFormat="1" applyFont="1" applyFill="1" applyBorder="1" applyAlignment="1">
      <alignment vertical="center"/>
    </xf>
    <xf numFmtId="0" fontId="187" fillId="7" borderId="36" xfId="0" applyFont="1" applyFill="1" applyBorder="1" applyAlignment="1">
      <alignment horizontal="center"/>
    </xf>
    <xf numFmtId="0" fontId="187" fillId="7" borderId="35" xfId="0" applyFont="1" applyFill="1" applyBorder="1" applyAlignment="1">
      <alignment horizontal="center"/>
    </xf>
    <xf numFmtId="0" fontId="187" fillId="7" borderId="70" xfId="0" applyFont="1" applyFill="1" applyBorder="1"/>
    <xf numFmtId="168" fontId="187" fillId="7" borderId="82" xfId="1" applyNumberFormat="1" applyFont="1" applyFill="1" applyBorder="1"/>
    <xf numFmtId="0" fontId="49" fillId="7" borderId="70" xfId="0" applyFont="1" applyFill="1" applyBorder="1" applyAlignment="1">
      <alignment horizontal="center"/>
    </xf>
    <xf numFmtId="0" fontId="49" fillId="7" borderId="41" xfId="0" applyFont="1" applyFill="1" applyBorder="1" applyAlignment="1">
      <alignment horizontal="center"/>
    </xf>
    <xf numFmtId="0" fontId="49" fillId="7" borderId="71" xfId="0" applyFont="1" applyFill="1" applyBorder="1" applyAlignment="1">
      <alignment horizontal="center"/>
    </xf>
    <xf numFmtId="0" fontId="49" fillId="7" borderId="82" xfId="0" applyFont="1" applyFill="1" applyBorder="1" applyAlignment="1">
      <alignment horizontal="center"/>
    </xf>
    <xf numFmtId="168" fontId="49" fillId="7" borderId="102" xfId="0" applyNumberFormat="1" applyFont="1" applyFill="1" applyBorder="1"/>
    <xf numFmtId="168" fontId="49" fillId="7" borderId="35" xfId="0" applyNumberFormat="1" applyFont="1" applyFill="1" applyBorder="1"/>
    <xf numFmtId="212" fontId="247" fillId="0" borderId="0" xfId="16" applyNumberFormat="1" applyFont="1"/>
    <xf numFmtId="0" fontId="248" fillId="0" borderId="0" xfId="16" applyFont="1"/>
    <xf numFmtId="0" fontId="151" fillId="33" borderId="0" xfId="16" applyFont="1" applyFill="1"/>
    <xf numFmtId="0" fontId="151" fillId="34" borderId="0" xfId="16" applyFont="1" applyFill="1"/>
    <xf numFmtId="10" fontId="248" fillId="0" borderId="0" xfId="16" applyNumberFormat="1" applyFont="1"/>
    <xf numFmtId="0" fontId="247" fillId="0" borderId="133" xfId="16" applyFont="1" applyBorder="1"/>
    <xf numFmtId="10" fontId="247" fillId="0" borderId="133" xfId="16" applyNumberFormat="1" applyFont="1" applyBorder="1"/>
    <xf numFmtId="0" fontId="227" fillId="48" borderId="37" xfId="16" applyFont="1" applyFill="1" applyBorder="1"/>
    <xf numFmtId="0" fontId="227" fillId="39" borderId="51" xfId="16" applyFont="1" applyFill="1" applyBorder="1"/>
    <xf numFmtId="0" fontId="227" fillId="48" borderId="52" xfId="16" applyFont="1" applyFill="1" applyBorder="1"/>
    <xf numFmtId="0" fontId="142" fillId="0" borderId="45" xfId="16" applyFont="1" applyBorder="1"/>
    <xf numFmtId="0" fontId="142" fillId="0" borderId="0" xfId="16" applyFont="1" applyBorder="1"/>
    <xf numFmtId="0" fontId="142" fillId="0" borderId="46" xfId="16" applyFont="1" applyBorder="1"/>
    <xf numFmtId="10" fontId="142" fillId="0" borderId="46" xfId="16" applyNumberFormat="1" applyFont="1" applyBorder="1"/>
    <xf numFmtId="0" fontId="139" fillId="0" borderId="45" xfId="16" applyFont="1" applyBorder="1" applyAlignment="1">
      <alignment vertical="center"/>
    </xf>
    <xf numFmtId="0" fontId="139" fillId="0" borderId="0" xfId="16" applyFont="1" applyBorder="1"/>
    <xf numFmtId="10" fontId="139" fillId="0" borderId="46" xfId="16" applyNumberFormat="1" applyFont="1" applyBorder="1"/>
    <xf numFmtId="0" fontId="139" fillId="0" borderId="172" xfId="16" applyFont="1" applyBorder="1"/>
    <xf numFmtId="0" fontId="139" fillId="0" borderId="134" xfId="16" applyFont="1" applyBorder="1"/>
    <xf numFmtId="10" fontId="139" fillId="0" borderId="173" xfId="16" applyNumberFormat="1" applyFont="1" applyBorder="1"/>
    <xf numFmtId="213" fontId="142" fillId="0" borderId="46" xfId="16" applyNumberFormat="1" applyFont="1" applyBorder="1"/>
    <xf numFmtId="0" fontId="139" fillId="0" borderId="174" xfId="16" applyFont="1" applyBorder="1"/>
    <xf numFmtId="0" fontId="139" fillId="0" borderId="175" xfId="16" applyFont="1" applyBorder="1"/>
    <xf numFmtId="10" fontId="139" fillId="0" borderId="176" xfId="16" applyNumberFormat="1" applyFont="1" applyBorder="1"/>
    <xf numFmtId="171" fontId="248" fillId="0" borderId="0" xfId="16" applyNumberFormat="1" applyFont="1"/>
    <xf numFmtId="0" fontId="188" fillId="19" borderId="0" xfId="7" applyFont="1" applyFill="1"/>
    <xf numFmtId="0" fontId="188" fillId="7" borderId="0" xfId="7" applyFont="1" applyFill="1"/>
    <xf numFmtId="222" fontId="188" fillId="7" borderId="0" xfId="7" applyNumberFormat="1" applyFont="1" applyFill="1" applyAlignment="1">
      <alignment horizontal="left"/>
    </xf>
    <xf numFmtId="0" fontId="77" fillId="19" borderId="0" xfId="0" applyFont="1" applyFill="1"/>
    <xf numFmtId="0" fontId="48" fillId="19" borderId="0" xfId="0" applyFont="1" applyFill="1"/>
    <xf numFmtId="0" fontId="48" fillId="19" borderId="0" xfId="0" applyFont="1" applyFill="1" applyAlignment="1">
      <alignment horizontal="center"/>
    </xf>
    <xf numFmtId="0" fontId="249" fillId="19" borderId="0" xfId="0" applyFont="1" applyFill="1" applyAlignment="1">
      <alignment horizontal="center"/>
    </xf>
    <xf numFmtId="0" fontId="77" fillId="7" borderId="0" xfId="0" applyFont="1" applyFill="1"/>
    <xf numFmtId="0" fontId="48" fillId="7" borderId="0" xfId="0" applyFont="1" applyFill="1"/>
    <xf numFmtId="0" fontId="3" fillId="19" borderId="0" xfId="0" applyFont="1" applyFill="1"/>
    <xf numFmtId="166" fontId="3" fillId="19" borderId="0" xfId="0" applyNumberFormat="1" applyFont="1" applyFill="1"/>
    <xf numFmtId="166" fontId="41" fillId="19" borderId="0" xfId="0" applyNumberFormat="1" applyFont="1" applyFill="1"/>
    <xf numFmtId="0" fontId="42" fillId="19" borderId="0" xfId="0" applyFont="1" applyFill="1"/>
    <xf numFmtId="0" fontId="165" fillId="7" borderId="179" xfId="20" applyFill="1">
      <alignment horizontal="center" vertical="center"/>
    </xf>
    <xf numFmtId="0" fontId="30" fillId="8" borderId="0" xfId="0" applyFont="1" applyFill="1"/>
    <xf numFmtId="0" fontId="27" fillId="8" borderId="0" xfId="0" applyFont="1" applyFill="1"/>
    <xf numFmtId="166" fontId="3" fillId="8" borderId="0" xfId="0" applyNumberFormat="1" applyFont="1" applyFill="1"/>
    <xf numFmtId="166" fontId="41" fillId="8" borderId="0" xfId="0" applyNumberFormat="1" applyFont="1" applyFill="1"/>
    <xf numFmtId="14" fontId="97" fillId="0" borderId="9" xfId="11" applyNumberFormat="1" applyFont="1" applyBorder="1" applyAlignment="1" applyProtection="1">
      <alignment horizontal="center"/>
      <protection locked="0"/>
    </xf>
    <xf numFmtId="14" fontId="97" fillId="0" borderId="10" xfId="11" applyNumberFormat="1" applyFont="1" applyBorder="1" applyAlignment="1" applyProtection="1">
      <alignment horizontal="center"/>
      <protection locked="0"/>
    </xf>
    <xf numFmtId="14" fontId="89" fillId="30" borderId="0" xfId="11" applyNumberFormat="1" applyFont="1" applyFill="1" applyAlignment="1" applyProtection="1">
      <alignment horizontal="center"/>
      <protection locked="0"/>
    </xf>
    <xf numFmtId="14" fontId="89" fillId="31" borderId="27" xfId="11" applyNumberFormat="1" applyFont="1" applyFill="1" applyBorder="1" applyAlignment="1" applyProtection="1">
      <alignment horizontal="center" vertical="center" wrapText="1"/>
      <protection locked="0"/>
    </xf>
    <xf numFmtId="14" fontId="89" fillId="31" borderId="28" xfId="11" applyNumberFormat="1" applyFont="1" applyFill="1" applyBorder="1" applyAlignment="1" applyProtection="1">
      <alignment horizontal="center" vertical="center" wrapText="1"/>
      <protection locked="0"/>
    </xf>
    <xf numFmtId="0" fontId="217" fillId="3" borderId="0" xfId="7" applyFont="1" applyFill="1" applyAlignment="1">
      <alignment horizontal="left"/>
    </xf>
    <xf numFmtId="0" fontId="117" fillId="0" borderId="0" xfId="15" applyFont="1" applyAlignment="1">
      <alignment horizontal="center" vertical="center"/>
    </xf>
    <xf numFmtId="0" fontId="5" fillId="47" borderId="37" xfId="0" applyFont="1" applyFill="1" applyBorder="1" applyAlignment="1">
      <alignment horizontal="center"/>
    </xf>
    <xf numFmtId="0" fontId="0" fillId="47" borderId="51" xfId="0" applyFill="1" applyBorder="1" applyAlignment="1">
      <alignment horizontal="center"/>
    </xf>
    <xf numFmtId="0" fontId="0" fillId="47" borderId="51" xfId="0" applyFill="1" applyBorder="1" applyAlignment="1"/>
    <xf numFmtId="0" fontId="0" fillId="47" borderId="52" xfId="0" applyFill="1" applyBorder="1" applyAlignment="1"/>
    <xf numFmtId="0" fontId="151" fillId="36" borderId="155" xfId="19" applyFont="1" applyFill="1" applyBorder="1" applyAlignment="1">
      <alignment horizontal="center" vertical="center" textRotation="90"/>
    </xf>
    <xf numFmtId="0" fontId="0" fillId="0" borderId="157" xfId="0" applyBorder="1" applyAlignment="1">
      <alignment horizontal="center" vertical="center" textRotation="90"/>
    </xf>
    <xf numFmtId="0" fontId="0" fillId="0" borderId="159" xfId="0" applyBorder="1" applyAlignment="1">
      <alignment horizontal="center" vertical="center" textRotation="90"/>
    </xf>
    <xf numFmtId="0" fontId="213" fillId="36" borderId="155" xfId="19" applyFont="1" applyFill="1" applyBorder="1" applyAlignment="1">
      <alignment horizontal="center" vertical="center" textRotation="90"/>
    </xf>
    <xf numFmtId="0" fontId="135" fillId="0" borderId="157" xfId="0" applyFont="1" applyBorder="1" applyAlignment="1">
      <alignment horizontal="center" vertical="center" textRotation="90"/>
    </xf>
    <xf numFmtId="0" fontId="135" fillId="0" borderId="159" xfId="0" applyFont="1" applyBorder="1" applyAlignment="1">
      <alignment horizontal="center" vertical="center" textRotation="90"/>
    </xf>
    <xf numFmtId="216" fontId="227" fillId="2" borderId="65" xfId="0" applyNumberFormat="1" applyFont="1" applyFill="1" applyBorder="1" applyAlignment="1">
      <alignment horizontal="center"/>
    </xf>
    <xf numFmtId="216" fontId="227" fillId="2" borderId="67" xfId="0" applyNumberFormat="1" applyFont="1" applyFill="1" applyBorder="1" applyAlignment="1">
      <alignment horizontal="center"/>
    </xf>
    <xf numFmtId="0" fontId="227" fillId="2" borderId="68" xfId="0" applyFont="1" applyFill="1" applyBorder="1" applyAlignment="1">
      <alignment horizontal="center"/>
    </xf>
    <xf numFmtId="0" fontId="227" fillId="2" borderId="69" xfId="0" applyFont="1" applyFill="1" applyBorder="1" applyAlignment="1">
      <alignment horizontal="center"/>
    </xf>
    <xf numFmtId="0" fontId="126" fillId="28" borderId="37" xfId="0" applyFont="1" applyFill="1" applyBorder="1" applyAlignment="1">
      <alignment horizontal="center"/>
    </xf>
    <xf numFmtId="0" fontId="65" fillId="28" borderId="51" xfId="0" applyFont="1" applyFill="1" applyBorder="1" applyAlignment="1">
      <alignment horizontal="center"/>
    </xf>
    <xf numFmtId="0" fontId="65" fillId="28" borderId="53" xfId="0" applyFont="1" applyFill="1" applyBorder="1" applyAlignment="1">
      <alignment horizontal="center"/>
    </xf>
    <xf numFmtId="0" fontId="65" fillId="28" borderId="54" xfId="0" applyFont="1" applyFill="1" applyBorder="1" applyAlignment="1">
      <alignment horizontal="center"/>
    </xf>
    <xf numFmtId="0" fontId="196" fillId="2" borderId="42" xfId="0" applyFont="1" applyFill="1" applyBorder="1" applyAlignment="1">
      <alignment horizontal="center"/>
    </xf>
    <xf numFmtId="0" fontId="196" fillId="2" borderId="44" xfId="0" applyFont="1" applyFill="1" applyBorder="1" applyAlignment="1">
      <alignment horizontal="center"/>
    </xf>
    <xf numFmtId="0" fontId="196" fillId="2" borderId="40" xfId="0" applyFont="1" applyFill="1" applyBorder="1" applyAlignment="1">
      <alignment horizontal="center"/>
    </xf>
    <xf numFmtId="0" fontId="196" fillId="2" borderId="109" xfId="0" applyFont="1" applyFill="1" applyBorder="1" applyAlignment="1">
      <alignment horizontal="center"/>
    </xf>
    <xf numFmtId="0" fontId="196" fillId="2" borderId="68" xfId="0" applyFont="1" applyFill="1" applyBorder="1" applyAlignment="1">
      <alignment horizontal="center"/>
    </xf>
    <xf numFmtId="0" fontId="196" fillId="2" borderId="69" xfId="0" applyFont="1" applyFill="1" applyBorder="1" applyAlignment="1">
      <alignment horizontal="center"/>
    </xf>
    <xf numFmtId="216" fontId="196" fillId="2" borderId="65" xfId="0" applyNumberFormat="1" applyFont="1" applyFill="1" applyBorder="1" applyAlignment="1">
      <alignment horizontal="center"/>
    </xf>
    <xf numFmtId="216" fontId="196" fillId="0" borderId="67" xfId="0" applyNumberFormat="1" applyFont="1" applyBorder="1" applyAlignment="1">
      <alignment horizontal="center"/>
    </xf>
    <xf numFmtId="0" fontId="196" fillId="0" borderId="69" xfId="0" applyFont="1" applyBorder="1" applyAlignment="1">
      <alignment horizontal="center"/>
    </xf>
    <xf numFmtId="0" fontId="55" fillId="9" borderId="65" xfId="0" applyFont="1" applyFill="1" applyBorder="1" applyAlignment="1">
      <alignment horizontal="center"/>
    </xf>
    <xf numFmtId="0" fontId="55" fillId="9" borderId="66" xfId="0" applyFont="1" applyFill="1" applyBorder="1" applyAlignment="1">
      <alignment horizontal="center"/>
    </xf>
    <xf numFmtId="0" fontId="55" fillId="9" borderId="67" xfId="0" applyFont="1" applyFill="1" applyBorder="1" applyAlignment="1">
      <alignment horizontal="center"/>
    </xf>
    <xf numFmtId="0" fontId="199" fillId="2" borderId="68" xfId="0" applyFont="1" applyFill="1" applyBorder="1" applyAlignment="1">
      <alignment horizontal="left"/>
    </xf>
    <xf numFmtId="0" fontId="199" fillId="0" borderId="4" xfId="0" applyFont="1" applyBorder="1" applyAlignment="1">
      <alignment horizontal="left"/>
    </xf>
    <xf numFmtId="0" fontId="199" fillId="2" borderId="65" xfId="0" applyFont="1" applyFill="1" applyBorder="1" applyAlignment="1">
      <alignment horizontal="left"/>
    </xf>
    <xf numFmtId="0" fontId="199" fillId="0" borderId="66" xfId="0" applyFont="1" applyBorder="1" applyAlignment="1">
      <alignment horizontal="left"/>
    </xf>
    <xf numFmtId="0" fontId="210" fillId="0" borderId="0" xfId="0" applyFont="1" applyAlignment="1">
      <alignment horizontal="center"/>
    </xf>
    <xf numFmtId="0" fontId="49" fillId="0" borderId="0" xfId="7" applyFont="1" applyFill="1" applyBorder="1" applyAlignment="1">
      <alignment horizontal="center"/>
    </xf>
    <xf numFmtId="0" fontId="54" fillId="0" borderId="0" xfId="7" applyFont="1" applyFill="1" applyBorder="1" applyAlignment="1">
      <alignment horizontal="center"/>
    </xf>
    <xf numFmtId="0" fontId="65" fillId="0" borderId="0" xfId="7" applyFont="1" applyFill="1" applyBorder="1" applyAlignment="1">
      <alignment horizontal="center"/>
    </xf>
    <xf numFmtId="0" fontId="0" fillId="0" borderId="0" xfId="7" applyFont="1" applyFill="1" applyBorder="1" applyAlignment="1">
      <alignment horizontal="center"/>
    </xf>
    <xf numFmtId="0" fontId="0" fillId="0" borderId="0" xfId="0" applyFont="1" applyFill="1" applyBorder="1" applyAlignment="1">
      <alignment horizontal="center"/>
    </xf>
    <xf numFmtId="0" fontId="73" fillId="0" borderId="0" xfId="7" applyFont="1" applyFill="1" applyBorder="1" applyAlignment="1">
      <alignment horizontal="center"/>
    </xf>
    <xf numFmtId="0" fontId="54" fillId="0" borderId="0" xfId="0" applyFont="1" applyFill="1" applyBorder="1" applyAlignment="1">
      <alignment horizontal="center"/>
    </xf>
    <xf numFmtId="0" fontId="65" fillId="0" borderId="0" xfId="7" applyFont="1" applyFill="1" applyBorder="1" applyAlignment="1">
      <alignment horizontal="center" vertical="center"/>
    </xf>
    <xf numFmtId="0" fontId="49" fillId="0" borderId="0" xfId="0" applyFont="1" applyFill="1" applyBorder="1" applyAlignment="1">
      <alignment horizontal="center"/>
    </xf>
    <xf numFmtId="0" fontId="65" fillId="0" borderId="0" xfId="0" applyFont="1" applyFill="1" applyBorder="1" applyAlignment="1"/>
    <xf numFmtId="0" fontId="0" fillId="0" borderId="0" xfId="0" applyFill="1" applyBorder="1" applyAlignment="1"/>
    <xf numFmtId="0" fontId="24" fillId="2" borderId="36" xfId="7" applyFont="1" applyFill="1" applyBorder="1" applyAlignment="1">
      <alignment horizontal="center"/>
    </xf>
    <xf numFmtId="0" fontId="0" fillId="0" borderId="53" xfId="0" applyBorder="1" applyAlignment="1"/>
    <xf numFmtId="0" fontId="0" fillId="0" borderId="54" xfId="0" applyBorder="1" applyAlignment="1"/>
    <xf numFmtId="0" fontId="26" fillId="2" borderId="36" xfId="7" applyFont="1" applyFill="1" applyBorder="1" applyAlignment="1">
      <alignment horizontal="center"/>
    </xf>
    <xf numFmtId="0" fontId="26" fillId="2" borderId="53" xfId="7" applyFont="1" applyFill="1" applyBorder="1" applyAlignment="1">
      <alignment horizontal="center"/>
    </xf>
    <xf numFmtId="0" fontId="65" fillId="0" borderId="54" xfId="0" applyFont="1" applyBorder="1" applyAlignment="1"/>
    <xf numFmtId="0" fontId="73" fillId="2" borderId="36" xfId="7" applyFont="1" applyFill="1" applyBorder="1" applyAlignment="1">
      <alignment horizontal="center"/>
    </xf>
    <xf numFmtId="0" fontId="0" fillId="0" borderId="53" xfId="0" applyBorder="1" applyAlignment="1">
      <alignment horizontal="center"/>
    </xf>
    <xf numFmtId="0" fontId="0" fillId="0" borderId="54" xfId="0" applyBorder="1" applyAlignment="1">
      <alignment horizontal="center"/>
    </xf>
    <xf numFmtId="0" fontId="189" fillId="0" borderId="38" xfId="7" applyFont="1" applyBorder="1" applyAlignment="1">
      <alignment horizontal="center" vertical="center"/>
    </xf>
    <xf numFmtId="0" fontId="189" fillId="0" borderId="48" xfId="7" applyFont="1" applyBorder="1" applyAlignment="1">
      <alignment horizontal="center" vertical="center"/>
    </xf>
    <xf numFmtId="0" fontId="189" fillId="0" borderId="36" xfId="7" applyFont="1" applyBorder="1" applyAlignment="1">
      <alignment horizontal="center"/>
    </xf>
    <xf numFmtId="0" fontId="189" fillId="0" borderId="53" xfId="7" applyFont="1" applyBorder="1" applyAlignment="1">
      <alignment horizontal="center"/>
    </xf>
    <xf numFmtId="0" fontId="49" fillId="0" borderId="0" xfId="0" applyFont="1" applyFill="1" applyBorder="1" applyAlignment="1"/>
    <xf numFmtId="0" fontId="188" fillId="28" borderId="36" xfId="7" applyFont="1" applyFill="1" applyBorder="1" applyAlignment="1">
      <alignment horizontal="center"/>
    </xf>
    <xf numFmtId="0" fontId="188" fillId="28" borderId="53" xfId="7" applyFont="1" applyFill="1" applyBorder="1" applyAlignment="1">
      <alignment horizontal="center"/>
    </xf>
    <xf numFmtId="0" fontId="188" fillId="28" borderId="54" xfId="0" applyFont="1" applyFill="1" applyBorder="1" applyAlignment="1">
      <alignment horizontal="center"/>
    </xf>
    <xf numFmtId="0" fontId="78" fillId="9" borderId="36" xfId="7" applyFont="1" applyFill="1" applyBorder="1" applyAlignment="1">
      <alignment horizontal="center"/>
    </xf>
    <xf numFmtId="0" fontId="49" fillId="0" borderId="53" xfId="0" applyFont="1" applyBorder="1" applyAlignment="1">
      <alignment horizontal="center"/>
    </xf>
    <xf numFmtId="0" fontId="49" fillId="0" borderId="54" xfId="0" applyFont="1" applyBorder="1" applyAlignment="1">
      <alignment horizontal="center"/>
    </xf>
    <xf numFmtId="0" fontId="0" fillId="0" borderId="36" xfId="7" applyFont="1" applyBorder="1" applyAlignment="1">
      <alignment horizontal="center" vertical="center"/>
    </xf>
    <xf numFmtId="0" fontId="0" fillId="0" borderId="53" xfId="0" applyFont="1" applyBorder="1" applyAlignment="1">
      <alignment horizontal="center"/>
    </xf>
    <xf numFmtId="0" fontId="49" fillId="19" borderId="36" xfId="7" applyFont="1" applyFill="1" applyBorder="1" applyAlignment="1">
      <alignment horizontal="center"/>
    </xf>
    <xf numFmtId="168" fontId="187" fillId="0" borderId="49" xfId="1" applyNumberFormat="1" applyFont="1" applyBorder="1" applyAlignment="1">
      <alignment horizontal="center"/>
    </xf>
    <xf numFmtId="0" fontId="187" fillId="0" borderId="49" xfId="0" applyFont="1" applyBorder="1" applyAlignment="1">
      <alignment horizontal="center"/>
    </xf>
    <xf numFmtId="0" fontId="54" fillId="0" borderId="5" xfId="7" applyFont="1" applyFill="1" applyBorder="1" applyAlignment="1">
      <alignment horizontal="center"/>
    </xf>
    <xf numFmtId="0" fontId="54" fillId="0" borderId="109" xfId="0" applyFont="1" applyBorder="1" applyAlignment="1">
      <alignment horizontal="center"/>
    </xf>
    <xf numFmtId="0" fontId="54" fillId="0" borderId="102" xfId="7" applyFont="1" applyBorder="1" applyAlignment="1">
      <alignment horizontal="center"/>
    </xf>
    <xf numFmtId="0" fontId="54" fillId="0" borderId="108" xfId="0" applyFont="1" applyBorder="1" applyAlignment="1">
      <alignment horizontal="center"/>
    </xf>
    <xf numFmtId="0" fontId="54" fillId="0" borderId="129" xfId="0" applyFont="1" applyBorder="1" applyAlignment="1">
      <alignment horizontal="center"/>
    </xf>
    <xf numFmtId="0" fontId="54" fillId="0" borderId="66" xfId="7" applyFont="1" applyBorder="1" applyAlignment="1">
      <alignment horizontal="center"/>
    </xf>
    <xf numFmtId="0" fontId="54" fillId="0" borderId="66" xfId="0" applyFont="1" applyBorder="1" applyAlignment="1">
      <alignment horizontal="center"/>
    </xf>
    <xf numFmtId="0" fontId="146" fillId="9" borderId="48" xfId="7" applyFont="1" applyFill="1" applyBorder="1" applyAlignment="1">
      <alignment horizontal="left"/>
    </xf>
    <xf numFmtId="0" fontId="146" fillId="0" borderId="50" xfId="0" applyFont="1" applyBorder="1" applyAlignment="1">
      <alignment horizontal="left"/>
    </xf>
    <xf numFmtId="0" fontId="8" fillId="0" borderId="38" xfId="7" applyFont="1" applyBorder="1" applyAlignment="1">
      <alignment horizontal="center" vertical="center"/>
    </xf>
    <xf numFmtId="0" fontId="8" fillId="0" borderId="48" xfId="7" applyFont="1" applyBorder="1" applyAlignment="1">
      <alignment horizontal="center" vertical="center"/>
    </xf>
    <xf numFmtId="0" fontId="188" fillId="25" borderId="36" xfId="7" applyFont="1" applyFill="1" applyBorder="1" applyAlignment="1">
      <alignment horizontal="center"/>
    </xf>
    <xf numFmtId="0" fontId="188" fillId="25" borderId="53" xfId="7" applyFont="1" applyFill="1" applyBorder="1" applyAlignment="1">
      <alignment horizontal="center"/>
    </xf>
    <xf numFmtId="0" fontId="188" fillId="25" borderId="54" xfId="0" applyFont="1" applyFill="1" applyBorder="1" applyAlignment="1"/>
    <xf numFmtId="0" fontId="24" fillId="2" borderId="0" xfId="7" applyFont="1" applyFill="1" applyBorder="1" applyAlignment="1">
      <alignment horizontal="center"/>
    </xf>
    <xf numFmtId="0" fontId="24" fillId="0" borderId="0" xfId="0" applyFont="1" applyBorder="1" applyAlignment="1"/>
    <xf numFmtId="0" fontId="54" fillId="0" borderId="0" xfId="7" applyFont="1" applyBorder="1" applyAlignment="1">
      <alignment horizontal="center" vertical="center"/>
    </xf>
    <xf numFmtId="0" fontId="54" fillId="0" borderId="0" xfId="7" applyFont="1" applyBorder="1" applyAlignment="1">
      <alignment horizontal="center"/>
    </xf>
    <xf numFmtId="0" fontId="187" fillId="0" borderId="0" xfId="7" applyFont="1" applyFill="1" applyBorder="1" applyAlignment="1">
      <alignment horizontal="center"/>
    </xf>
    <xf numFmtId="0" fontId="187" fillId="0" borderId="0" xfId="0" applyFont="1" applyFill="1" applyBorder="1" applyAlignment="1"/>
    <xf numFmtId="0" fontId="54" fillId="0" borderId="0" xfId="0" applyFont="1" applyFill="1" applyBorder="1" applyAlignment="1"/>
    <xf numFmtId="0" fontId="93" fillId="0" borderId="5" xfId="7" applyFont="1" applyFill="1" applyBorder="1" applyAlignment="1">
      <alignment horizontal="center"/>
    </xf>
    <xf numFmtId="0" fontId="0" fillId="0" borderId="109" xfId="0" applyBorder="1" applyAlignment="1">
      <alignment horizontal="center"/>
    </xf>
    <xf numFmtId="0" fontId="93" fillId="5" borderId="36" xfId="7" applyFont="1" applyFill="1" applyBorder="1" applyAlignment="1">
      <alignment horizontal="center"/>
    </xf>
    <xf numFmtId="0" fontId="49" fillId="5" borderId="54" xfId="0" applyFont="1" applyFill="1" applyBorder="1" applyAlignment="1">
      <alignment horizontal="center"/>
    </xf>
    <xf numFmtId="0" fontId="49" fillId="5" borderId="53" xfId="0" applyFont="1" applyFill="1" applyBorder="1" applyAlignment="1">
      <alignment horizontal="center"/>
    </xf>
    <xf numFmtId="0" fontId="67" fillId="0" borderId="102" xfId="7" applyFont="1" applyBorder="1" applyAlignment="1">
      <alignment horizontal="center"/>
    </xf>
    <xf numFmtId="0" fontId="0" fillId="0" borderId="108" xfId="0" applyBorder="1" applyAlignment="1">
      <alignment horizontal="center"/>
    </xf>
    <xf numFmtId="168" fontId="67" fillId="0" borderId="108" xfId="1" applyNumberFormat="1" applyFont="1" applyBorder="1" applyAlignment="1">
      <alignment horizontal="center"/>
    </xf>
    <xf numFmtId="0" fontId="26" fillId="0" borderId="0" xfId="7" applyFont="1" applyFill="1" applyBorder="1" applyAlignment="1">
      <alignment horizontal="center"/>
    </xf>
    <xf numFmtId="0" fontId="0" fillId="0" borderId="0" xfId="0" applyFill="1" applyBorder="1" applyAlignment="1">
      <alignment horizontal="center"/>
    </xf>
    <xf numFmtId="0" fontId="77" fillId="9" borderId="36" xfId="7" applyFont="1" applyFill="1" applyBorder="1" applyAlignment="1">
      <alignment horizontal="left"/>
    </xf>
    <xf numFmtId="0" fontId="78" fillId="0" borderId="54" xfId="0" applyFont="1" applyBorder="1" applyAlignment="1">
      <alignment horizontal="left"/>
    </xf>
    <xf numFmtId="0" fontId="65" fillId="2" borderId="36" xfId="7" applyFont="1" applyFill="1" applyBorder="1" applyAlignment="1">
      <alignment horizontal="center"/>
    </xf>
    <xf numFmtId="0" fontId="65" fillId="2" borderId="53" xfId="7" applyFont="1" applyFill="1" applyBorder="1" applyAlignment="1">
      <alignment horizontal="center"/>
    </xf>
    <xf numFmtId="0" fontId="54" fillId="0" borderId="54" xfId="0" applyFont="1" applyBorder="1" applyAlignment="1"/>
    <xf numFmtId="0" fontId="65" fillId="2" borderId="37" xfId="7" applyFont="1" applyFill="1" applyBorder="1" applyAlignment="1">
      <alignment horizontal="center"/>
    </xf>
    <xf numFmtId="0" fontId="54" fillId="0" borderId="43" xfId="0" applyFont="1" applyBorder="1" applyAlignment="1">
      <alignment horizontal="center"/>
    </xf>
    <xf numFmtId="0" fontId="54" fillId="0" borderId="44" xfId="0" applyFont="1" applyBorder="1" applyAlignment="1">
      <alignment horizontal="center"/>
    </xf>
    <xf numFmtId="0" fontId="24" fillId="2" borderId="53" xfId="7" applyFont="1" applyFill="1" applyBorder="1" applyAlignment="1">
      <alignment horizontal="center"/>
    </xf>
    <xf numFmtId="0" fontId="216" fillId="0" borderId="54" xfId="0" applyFont="1" applyBorder="1" applyAlignment="1"/>
    <xf numFmtId="0" fontId="65" fillId="0" borderId="38" xfId="7" applyFont="1" applyBorder="1" applyAlignment="1">
      <alignment horizontal="center" vertical="center"/>
    </xf>
    <xf numFmtId="0" fontId="65" fillId="0" borderId="48" xfId="7" applyFont="1" applyBorder="1" applyAlignment="1">
      <alignment horizontal="center" vertical="center"/>
    </xf>
    <xf numFmtId="0" fontId="65" fillId="0" borderId="53" xfId="7" applyFont="1" applyBorder="1" applyAlignment="1">
      <alignment horizontal="center"/>
    </xf>
    <xf numFmtId="0" fontId="65" fillId="0" borderId="36" xfId="7" applyFont="1" applyBorder="1" applyAlignment="1">
      <alignment horizontal="center"/>
    </xf>
    <xf numFmtId="0" fontId="65" fillId="0" borderId="40" xfId="7" applyFont="1" applyBorder="1" applyAlignment="1">
      <alignment horizontal="center"/>
    </xf>
    <xf numFmtId="0" fontId="54" fillId="0" borderId="8" xfId="0" applyFont="1" applyBorder="1" applyAlignment="1">
      <alignment horizontal="center"/>
    </xf>
    <xf numFmtId="0" fontId="49" fillId="10" borderId="65" xfId="0" applyFont="1" applyFill="1" applyBorder="1" applyAlignment="1">
      <alignment horizontal="center"/>
    </xf>
    <xf numFmtId="0" fontId="49" fillId="10" borderId="66" xfId="0" applyFont="1" applyFill="1" applyBorder="1" applyAlignment="1">
      <alignment horizontal="center"/>
    </xf>
    <xf numFmtId="211" fontId="93" fillId="0" borderId="65" xfId="7" applyNumberFormat="1" applyFont="1" applyBorder="1" applyAlignment="1">
      <alignment vertical="center"/>
    </xf>
    <xf numFmtId="0" fontId="49" fillId="0" borderId="107" xfId="0" applyFont="1" applyBorder="1" applyAlignment="1">
      <alignment vertical="center"/>
    </xf>
    <xf numFmtId="0" fontId="49" fillId="0" borderId="70" xfId="0" applyFont="1" applyBorder="1" applyAlignment="1">
      <alignment vertical="center"/>
    </xf>
    <xf numFmtId="211" fontId="93" fillId="0" borderId="72" xfId="7" applyNumberFormat="1" applyFont="1" applyBorder="1" applyAlignment="1">
      <alignment vertical="center"/>
    </xf>
    <xf numFmtId="211" fontId="93" fillId="0" borderId="65" xfId="7" applyNumberFormat="1" applyFont="1" applyFill="1" applyBorder="1" applyAlignment="1">
      <alignment vertical="center"/>
    </xf>
    <xf numFmtId="0" fontId="49" fillId="0" borderId="70" xfId="0" applyFont="1" applyFill="1" applyBorder="1" applyAlignment="1">
      <alignment vertical="center"/>
    </xf>
    <xf numFmtId="0" fontId="211" fillId="27" borderId="37" xfId="0" applyFont="1" applyFill="1" applyBorder="1" applyAlignment="1">
      <alignment horizontal="center" vertical="center"/>
    </xf>
    <xf numFmtId="0" fontId="0" fillId="0" borderId="51" xfId="0" applyBorder="1" applyAlignment="1">
      <alignment horizontal="center" vertical="center"/>
    </xf>
    <xf numFmtId="0" fontId="0" fillId="0" borderId="45" xfId="0" applyBorder="1" applyAlignment="1">
      <alignment horizontal="center" vertical="center"/>
    </xf>
    <xf numFmtId="0" fontId="0" fillId="0" borderId="0" xfId="0" applyBorder="1" applyAlignment="1">
      <alignment horizontal="center" vertical="center"/>
    </xf>
    <xf numFmtId="0" fontId="0" fillId="0" borderId="48" xfId="0" applyBorder="1" applyAlignment="1">
      <alignment horizontal="center" vertical="center"/>
    </xf>
    <xf numFmtId="0" fontId="0" fillId="0" borderId="49" xfId="0" applyBorder="1" applyAlignment="1">
      <alignment horizontal="center" vertical="center"/>
    </xf>
    <xf numFmtId="0" fontId="158" fillId="28" borderId="37" xfId="0" applyFont="1" applyFill="1" applyBorder="1" applyAlignment="1">
      <alignment horizontal="center"/>
    </xf>
    <xf numFmtId="0" fontId="158" fillId="28" borderId="51" xfId="0" applyFont="1" applyFill="1" applyBorder="1" applyAlignment="1">
      <alignment horizontal="center"/>
    </xf>
    <xf numFmtId="0" fontId="158" fillId="28" borderId="52" xfId="0" applyFont="1" applyFill="1" applyBorder="1" applyAlignment="1">
      <alignment horizontal="center"/>
    </xf>
    <xf numFmtId="0" fontId="158" fillId="28" borderId="48" xfId="0" applyFont="1" applyFill="1" applyBorder="1" applyAlignment="1">
      <alignment horizontal="center"/>
    </xf>
    <xf numFmtId="0" fontId="158" fillId="28" borderId="49" xfId="0" applyFont="1" applyFill="1" applyBorder="1" applyAlignment="1">
      <alignment horizontal="center"/>
    </xf>
    <xf numFmtId="0" fontId="158" fillId="28" borderId="50" xfId="0" applyFont="1" applyFill="1" applyBorder="1" applyAlignment="1">
      <alignment horizontal="center"/>
    </xf>
    <xf numFmtId="0" fontId="211" fillId="27" borderId="51" xfId="0" applyFont="1" applyFill="1" applyBorder="1" applyAlignment="1">
      <alignment horizontal="center" vertical="center"/>
    </xf>
    <xf numFmtId="0" fontId="211" fillId="27" borderId="52" xfId="0" applyFont="1" applyFill="1" applyBorder="1" applyAlignment="1">
      <alignment horizontal="center" vertical="center"/>
    </xf>
    <xf numFmtId="0" fontId="211" fillId="27" borderId="45" xfId="0" applyFont="1" applyFill="1" applyBorder="1" applyAlignment="1">
      <alignment horizontal="center" vertical="center"/>
    </xf>
    <xf numFmtId="0" fontId="211" fillId="27" borderId="0" xfId="0" applyFont="1" applyFill="1" applyBorder="1" applyAlignment="1">
      <alignment horizontal="center" vertical="center"/>
    </xf>
    <xf numFmtId="0" fontId="211" fillId="27" borderId="46" xfId="0" applyFont="1" applyFill="1" applyBorder="1" applyAlignment="1">
      <alignment horizontal="center" vertical="center"/>
    </xf>
    <xf numFmtId="0" fontId="211" fillId="27" borderId="48" xfId="0" applyFont="1" applyFill="1" applyBorder="1" applyAlignment="1">
      <alignment horizontal="center" vertical="center"/>
    </xf>
    <xf numFmtId="0" fontId="211" fillId="27" borderId="49" xfId="0" applyFont="1" applyFill="1" applyBorder="1" applyAlignment="1">
      <alignment horizontal="center" vertical="center"/>
    </xf>
    <xf numFmtId="0" fontId="211" fillId="27" borderId="50" xfId="0" applyFont="1" applyFill="1" applyBorder="1" applyAlignment="1">
      <alignment horizontal="center" vertical="center"/>
    </xf>
    <xf numFmtId="0" fontId="184" fillId="0" borderId="36" xfId="0" applyFont="1" applyBorder="1" applyAlignment="1">
      <alignment horizontal="justify" vertical="center" wrapText="1"/>
    </xf>
    <xf numFmtId="0" fontId="184" fillId="0" borderId="54" xfId="0" applyFont="1" applyBorder="1" applyAlignment="1">
      <alignment horizontal="justify" vertical="center" wrapText="1"/>
    </xf>
    <xf numFmtId="0" fontId="59" fillId="9" borderId="36" xfId="0" applyFont="1" applyFill="1" applyBorder="1" applyAlignment="1">
      <alignment horizontal="justify" vertical="center" wrapText="1"/>
    </xf>
    <xf numFmtId="0" fontId="59" fillId="9" borderId="54" xfId="0" applyFont="1" applyFill="1" applyBorder="1" applyAlignment="1">
      <alignment horizontal="justify" vertical="center" wrapText="1"/>
    </xf>
    <xf numFmtId="3" fontId="184" fillId="0" borderId="38" xfId="0" applyNumberFormat="1" applyFont="1" applyBorder="1" applyAlignment="1">
      <alignment horizontal="justify" vertical="center" wrapText="1"/>
    </xf>
    <xf numFmtId="3" fontId="184" fillId="0" borderId="94" xfId="0" applyNumberFormat="1" applyFont="1" applyBorder="1" applyAlignment="1">
      <alignment horizontal="justify" vertical="center" wrapText="1"/>
    </xf>
    <xf numFmtId="0" fontId="185" fillId="0" borderId="38" xfId="0" applyFont="1" applyBorder="1" applyAlignment="1">
      <alignment horizontal="justify" vertical="center" wrapText="1"/>
    </xf>
    <xf numFmtId="0" fontId="185" fillId="0" borderId="94" xfId="0" applyFont="1" applyBorder="1" applyAlignment="1">
      <alignment horizontal="justify" vertical="center" wrapText="1"/>
    </xf>
    <xf numFmtId="0" fontId="184" fillId="0" borderId="38" xfId="0" applyFont="1" applyBorder="1" applyAlignment="1">
      <alignment horizontal="justify" vertical="center" wrapText="1"/>
    </xf>
    <xf numFmtId="0" fontId="184" fillId="0" borderId="94" xfId="0" applyFont="1" applyBorder="1" applyAlignment="1">
      <alignment horizontal="justify" vertical="center" wrapText="1"/>
    </xf>
    <xf numFmtId="16" fontId="184" fillId="0" borderId="38" xfId="0" applyNumberFormat="1" applyFont="1" applyBorder="1" applyAlignment="1">
      <alignment horizontal="justify" vertical="center" wrapText="1"/>
    </xf>
    <xf numFmtId="16" fontId="184" fillId="0" borderId="94" xfId="0" applyNumberFormat="1" applyFont="1" applyBorder="1" applyAlignment="1">
      <alignment horizontal="justify" vertical="center" wrapText="1"/>
    </xf>
    <xf numFmtId="0" fontId="184" fillId="0" borderId="93" xfId="0" applyFont="1" applyBorder="1" applyAlignment="1">
      <alignment horizontal="justify" vertical="center" wrapText="1"/>
    </xf>
    <xf numFmtId="17" fontId="184" fillId="0" borderId="38" xfId="0" applyNumberFormat="1" applyFont="1" applyBorder="1" applyAlignment="1">
      <alignment horizontal="justify" vertical="center" wrapText="1"/>
    </xf>
    <xf numFmtId="17" fontId="184" fillId="0" borderId="94" xfId="0" applyNumberFormat="1" applyFont="1" applyBorder="1" applyAlignment="1">
      <alignment horizontal="justify" vertical="center" wrapText="1"/>
    </xf>
    <xf numFmtId="0" fontId="59" fillId="0" borderId="38" xfId="0" applyFont="1" applyBorder="1" applyAlignment="1">
      <alignment horizontal="justify" vertical="center" wrapText="1"/>
    </xf>
    <xf numFmtId="0" fontId="59" fillId="0" borderId="94" xfId="0" applyFont="1" applyBorder="1" applyAlignment="1">
      <alignment horizontal="justify" vertical="center" wrapText="1"/>
    </xf>
    <xf numFmtId="0" fontId="184" fillId="0" borderId="36" xfId="0" applyFont="1" applyBorder="1" applyAlignment="1">
      <alignment vertical="center" wrapText="1"/>
    </xf>
    <xf numFmtId="0" fontId="184" fillId="0" borderId="54" xfId="0" applyFont="1" applyBorder="1" applyAlignment="1">
      <alignment vertical="center" wrapText="1"/>
    </xf>
    <xf numFmtId="0" fontId="59" fillId="9" borderId="36" xfId="0" applyFont="1" applyFill="1" applyBorder="1" applyAlignment="1">
      <alignment vertical="center" wrapText="1"/>
    </xf>
    <xf numFmtId="0" fontId="59" fillId="9" borderId="54" xfId="0" applyFont="1" applyFill="1" applyBorder="1" applyAlignment="1">
      <alignment vertical="center" wrapText="1"/>
    </xf>
    <xf numFmtId="3" fontId="184" fillId="0" borderId="38" xfId="0" applyNumberFormat="1" applyFont="1" applyBorder="1" applyAlignment="1">
      <alignment vertical="center" wrapText="1"/>
    </xf>
    <xf numFmtId="3" fontId="184" fillId="0" borderId="94" xfId="0" applyNumberFormat="1" applyFont="1" applyBorder="1" applyAlignment="1">
      <alignment vertical="center" wrapText="1"/>
    </xf>
    <xf numFmtId="3" fontId="185" fillId="0" borderId="38" xfId="0" applyNumberFormat="1" applyFont="1" applyBorder="1" applyAlignment="1">
      <alignment vertical="center" wrapText="1"/>
    </xf>
    <xf numFmtId="3" fontId="185" fillId="0" borderId="94" xfId="0" applyNumberFormat="1" applyFont="1" applyBorder="1" applyAlignment="1">
      <alignment vertical="center" wrapText="1"/>
    </xf>
    <xf numFmtId="0" fontId="184" fillId="0" borderId="38" xfId="0" applyFont="1" applyBorder="1" applyAlignment="1">
      <alignment vertical="center" wrapText="1"/>
    </xf>
    <xf numFmtId="0" fontId="184" fillId="0" borderId="94" xfId="0" applyFont="1" applyBorder="1" applyAlignment="1">
      <alignment vertical="center" wrapText="1"/>
    </xf>
    <xf numFmtId="16" fontId="184" fillId="0" borderId="38" xfId="0" applyNumberFormat="1" applyFont="1" applyBorder="1" applyAlignment="1">
      <alignment vertical="center" wrapText="1"/>
    </xf>
    <xf numFmtId="16" fontId="184" fillId="0" borderId="94" xfId="0" applyNumberFormat="1" applyFont="1" applyBorder="1" applyAlignment="1">
      <alignment vertical="center" wrapText="1"/>
    </xf>
    <xf numFmtId="0" fontId="184" fillId="0" borderId="93" xfId="0" applyFont="1" applyBorder="1" applyAlignment="1">
      <alignment vertical="center" wrapText="1"/>
    </xf>
    <xf numFmtId="17" fontId="184" fillId="0" borderId="38" xfId="0" applyNumberFormat="1" applyFont="1" applyBorder="1" applyAlignment="1">
      <alignment vertical="center" wrapText="1"/>
    </xf>
    <xf numFmtId="17" fontId="184" fillId="0" borderId="94" xfId="0" applyNumberFormat="1" applyFont="1" applyBorder="1" applyAlignment="1">
      <alignment vertical="center" wrapText="1"/>
    </xf>
    <xf numFmtId="0" fontId="184" fillId="0" borderId="38" xfId="0" applyFont="1" applyBorder="1" applyAlignment="1">
      <alignment vertical="top" wrapText="1"/>
    </xf>
    <xf numFmtId="0" fontId="184" fillId="0" borderId="94" xfId="0" applyFont="1" applyBorder="1" applyAlignment="1">
      <alignment vertical="top" wrapText="1"/>
    </xf>
    <xf numFmtId="0" fontId="131" fillId="7" borderId="4" xfId="0" applyFont="1" applyFill="1" applyBorder="1" applyAlignment="1">
      <alignment horizontal="center" vertical="center"/>
    </xf>
    <xf numFmtId="0" fontId="130" fillId="7" borderId="37" xfId="0" applyFont="1" applyFill="1" applyBorder="1" applyAlignment="1">
      <alignment horizontal="center"/>
    </xf>
    <xf numFmtId="0" fontId="130" fillId="7" borderId="51" xfId="0" applyFont="1" applyFill="1" applyBorder="1" applyAlignment="1">
      <alignment horizontal="center"/>
    </xf>
    <xf numFmtId="0" fontId="130" fillId="7" borderId="52" xfId="0" applyFont="1" applyFill="1" applyBorder="1" applyAlignment="1">
      <alignment horizontal="center"/>
    </xf>
    <xf numFmtId="0" fontId="131" fillId="7" borderId="37" xfId="0" applyFont="1" applyFill="1" applyBorder="1" applyAlignment="1">
      <alignment horizontal="center"/>
    </xf>
    <xf numFmtId="0" fontId="131" fillId="7" borderId="51" xfId="0" applyFont="1" applyFill="1" applyBorder="1" applyAlignment="1">
      <alignment horizontal="center"/>
    </xf>
    <xf numFmtId="0" fontId="131" fillId="7" borderId="52" xfId="0" applyFont="1" applyFill="1" applyBorder="1" applyAlignment="1">
      <alignment horizontal="center"/>
    </xf>
    <xf numFmtId="0" fontId="188" fillId="9" borderId="36" xfId="0" applyFont="1" applyFill="1" applyBorder="1" applyAlignment="1">
      <alignment horizontal="center"/>
    </xf>
    <xf numFmtId="0" fontId="188" fillId="9" borderId="53" xfId="0" applyFont="1" applyFill="1" applyBorder="1" applyAlignment="1">
      <alignment horizontal="center"/>
    </xf>
    <xf numFmtId="0" fontId="188" fillId="9" borderId="54" xfId="0" applyFont="1" applyFill="1" applyBorder="1" applyAlignment="1">
      <alignment horizontal="center"/>
    </xf>
    <xf numFmtId="0" fontId="155" fillId="38" borderId="169" xfId="0" applyFont="1" applyFill="1" applyBorder="1" applyAlignment="1">
      <alignment horizontal="center" vertical="center" wrapText="1"/>
    </xf>
    <xf numFmtId="0" fontId="155" fillId="38" borderId="164" xfId="0" applyFont="1" applyFill="1" applyBorder="1" applyAlignment="1">
      <alignment horizontal="center" vertical="center" wrapText="1"/>
    </xf>
    <xf numFmtId="0" fontId="155" fillId="38" borderId="166" xfId="0" applyFont="1" applyFill="1" applyBorder="1" applyAlignment="1">
      <alignment horizontal="center" vertical="center" wrapText="1"/>
    </xf>
    <xf numFmtId="0" fontId="155" fillId="38" borderId="170" xfId="0" applyFont="1" applyFill="1" applyBorder="1" applyAlignment="1">
      <alignment horizontal="center" vertical="center" wrapText="1"/>
    </xf>
    <xf numFmtId="0" fontId="155" fillId="38" borderId="0" xfId="0" applyFont="1" applyFill="1" applyBorder="1" applyAlignment="1">
      <alignment horizontal="center" vertical="center" wrapText="1"/>
    </xf>
    <xf numFmtId="0" fontId="155" fillId="38" borderId="167" xfId="0" applyFont="1" applyFill="1" applyBorder="1" applyAlignment="1">
      <alignment horizontal="center" vertical="center" wrapText="1"/>
    </xf>
    <xf numFmtId="0" fontId="132" fillId="19" borderId="36" xfId="7" applyFont="1" applyFill="1" applyBorder="1" applyAlignment="1">
      <alignment horizontal="center"/>
    </xf>
    <xf numFmtId="0" fontId="132" fillId="19" borderId="53" xfId="7" applyFont="1" applyFill="1" applyBorder="1" applyAlignment="1">
      <alignment horizontal="center"/>
    </xf>
    <xf numFmtId="0" fontId="132" fillId="19" borderId="54" xfId="7" applyFont="1" applyFill="1" applyBorder="1" applyAlignment="1">
      <alignment horizontal="center"/>
    </xf>
    <xf numFmtId="0" fontId="69" fillId="0" borderId="37" xfId="7" applyFont="1" applyBorder="1" applyAlignment="1">
      <alignment horizontal="center"/>
    </xf>
    <xf numFmtId="0" fontId="69" fillId="0" borderId="51" xfId="7" applyFont="1" applyBorder="1" applyAlignment="1">
      <alignment horizontal="center"/>
    </xf>
    <xf numFmtId="0" fontId="69" fillId="0" borderId="52" xfId="7" applyFont="1" applyBorder="1" applyAlignment="1">
      <alignment horizontal="center"/>
    </xf>
    <xf numFmtId="0" fontId="133" fillId="0" borderId="93" xfId="7" applyFont="1" applyBorder="1" applyAlignment="1">
      <alignment horizontal="center" vertical="center"/>
    </xf>
    <xf numFmtId="0" fontId="133" fillId="0" borderId="94" xfId="7" applyFont="1" applyBorder="1" applyAlignment="1">
      <alignment horizontal="center" vertical="center"/>
    </xf>
    <xf numFmtId="0" fontId="132" fillId="0" borderId="72" xfId="7" applyFont="1" applyBorder="1" applyAlignment="1">
      <alignment horizontal="center"/>
    </xf>
    <xf numFmtId="0" fontId="132" fillId="0" borderId="73" xfId="7" applyFont="1" applyBorder="1" applyAlignment="1">
      <alignment horizontal="center"/>
    </xf>
    <xf numFmtId="0" fontId="62" fillId="0" borderId="38" xfId="7" applyBorder="1" applyAlignment="1">
      <alignment horizontal="center" vertical="center"/>
    </xf>
    <xf numFmtId="0" fontId="62" fillId="0" borderId="48" xfId="7" applyBorder="1" applyAlignment="1">
      <alignment horizontal="center" vertical="center"/>
    </xf>
    <xf numFmtId="0" fontId="49" fillId="0" borderId="104" xfId="7" applyFont="1" applyBorder="1" applyAlignment="1">
      <alignment horizontal="center"/>
    </xf>
    <xf numFmtId="0" fontId="49" fillId="0" borderId="67" xfId="7" applyFont="1" applyBorder="1" applyAlignment="1">
      <alignment horizontal="center"/>
    </xf>
    <xf numFmtId="0" fontId="49" fillId="0" borderId="0" xfId="0" applyFont="1" applyBorder="1" applyAlignment="1">
      <alignment horizontal="left"/>
    </xf>
    <xf numFmtId="0" fontId="82" fillId="0" borderId="0" xfId="0" applyFont="1" applyAlignment="1">
      <alignment horizontal="center" vertical="center"/>
    </xf>
    <xf numFmtId="0" fontId="84" fillId="0" borderId="7" xfId="0" applyFont="1" applyBorder="1" applyAlignment="1">
      <alignment horizontal="center" vertical="top"/>
    </xf>
    <xf numFmtId="0" fontId="85" fillId="0" borderId="89" xfId="0" applyFont="1" applyBorder="1" applyAlignment="1">
      <alignment horizontal="center" vertical="center"/>
    </xf>
    <xf numFmtId="0" fontId="85" fillId="0" borderId="63" xfId="0" applyFont="1" applyBorder="1" applyAlignment="1">
      <alignment horizontal="center" vertical="center"/>
    </xf>
    <xf numFmtId="0" fontId="86" fillId="0" borderId="0" xfId="0" applyFont="1" applyAlignment="1">
      <alignment horizontal="justify" vertical="justify"/>
    </xf>
    <xf numFmtId="0" fontId="88" fillId="0" borderId="0" xfId="10" applyAlignment="1">
      <alignment horizontal="left" vertical="top" wrapText="1"/>
    </xf>
    <xf numFmtId="0" fontId="88" fillId="0" borderId="0" xfId="10"/>
  </cellXfs>
  <cellStyles count="22">
    <cellStyle name="Calculation 2" xfId="5" xr:uid="{F7C25331-FB8F-4BC2-9254-0D5661AE6A92}"/>
    <cellStyle name="Comma" xfId="1" builtinId="3"/>
    <cellStyle name="Comma 12" xfId="6" xr:uid="{B2F22275-81CD-4C40-99A9-2E19C2191C1C}"/>
    <cellStyle name="Comma 2" xfId="8" xr:uid="{F7619419-31A3-40BC-AB17-C394B4DDA71B}"/>
    <cellStyle name="Comma 3" xfId="13" xr:uid="{A781198C-B649-4D3C-9BE5-51CD1F7E720A}"/>
    <cellStyle name="Currency 2" xfId="14" xr:uid="{A5B975D1-3805-4420-BB26-72DDFD9A324E}"/>
    <cellStyle name="Hyperlink" xfId="3" builtinId="8"/>
    <cellStyle name="Hyperlink 2" xfId="21" xr:uid="{9CA5B3CE-151F-48CC-B50C-F2D73B02BA34}"/>
    <cellStyle name="Input 2" xfId="4" xr:uid="{68AA1BFA-9617-4194-9BE7-EB3A6CC7E1EA}"/>
    <cellStyle name="Normal" xfId="0" builtinId="0"/>
    <cellStyle name="Normal 2" xfId="7" xr:uid="{EB52516E-CDD2-4F0C-A142-FBDB4CB98F37}"/>
    <cellStyle name="Normal 3" xfId="10" xr:uid="{1028F332-AFF0-48CC-8013-2027EFBE1F0E}"/>
    <cellStyle name="Normal 3 4" xfId="19" xr:uid="{90A7D2C5-B6E9-4602-B294-7337937EBAFF}"/>
    <cellStyle name="Normal 4" xfId="11" xr:uid="{68A415B0-991F-4F7C-9E3F-1DF6A80521F3}"/>
    <cellStyle name="Normal 5" xfId="15" xr:uid="{9D13D785-24BF-4C8C-969C-41492784F34C}"/>
    <cellStyle name="Normal 6" xfId="16" xr:uid="{308C4E05-7C6B-4981-A4C6-A67061CCF79F}"/>
    <cellStyle name="Normal 7" xfId="17" xr:uid="{B4B9D327-7326-40B0-BADA-D9FC5BB8BB33}"/>
    <cellStyle name="Normal_CROCCO" xfId="12" xr:uid="{8664A0FF-237E-4B13-8812-67BD5CEF2CC4}"/>
    <cellStyle name="Percent" xfId="2" builtinId="5"/>
    <cellStyle name="Percent 2" xfId="9" xr:uid="{34EC1B0A-C987-4EBE-975E-4C56D4E2CCA8}"/>
    <cellStyle name="Percent 3" xfId="18" xr:uid="{006597A8-F367-461C-B5C5-D53A2E11C353}"/>
    <cellStyle name="Title_Cells" xfId="20" xr:uid="{AE8F30E0-C517-450B-B1AF-3834EB47718A}"/>
  </cellStyles>
  <dxfs count="18">
    <dxf>
      <fill>
        <patternFill>
          <bgColor rgb="FFFF0000"/>
        </patternFill>
      </fill>
    </dxf>
    <dxf>
      <fill>
        <patternFill>
          <bgColor rgb="FFFFFF00"/>
        </patternFill>
      </fill>
    </dxf>
    <dxf>
      <fill>
        <patternFill>
          <bgColor theme="9" tint="-0.24994659260841701"/>
        </patternFill>
      </fill>
    </dxf>
    <dxf>
      <fill>
        <patternFill>
          <bgColor rgb="FFFFFF00"/>
        </patternFill>
      </fill>
    </dxf>
    <dxf>
      <fill>
        <patternFill>
          <bgColor rgb="FFFF0000"/>
        </patternFill>
      </fill>
    </dxf>
    <dxf>
      <fill>
        <patternFill>
          <bgColor theme="9" tint="-0.24994659260841701"/>
        </patternFill>
      </fill>
    </dxf>
    <dxf>
      <fill>
        <patternFill>
          <bgColor rgb="FFFFFF00"/>
        </patternFill>
      </fill>
    </dxf>
    <dxf>
      <fill>
        <patternFill>
          <bgColor rgb="FFFF0000"/>
        </patternFill>
      </fill>
    </dxf>
    <dxf>
      <fill>
        <patternFill>
          <bgColor theme="9" tint="-0.24994659260841701"/>
        </patternFill>
      </fill>
    </dxf>
    <dxf>
      <fill>
        <patternFill>
          <bgColor rgb="FFFFFF00"/>
        </patternFill>
      </fill>
    </dxf>
    <dxf>
      <fill>
        <patternFill>
          <bgColor theme="9" tint="-0.24994659260841701"/>
        </patternFill>
      </fill>
    </dxf>
    <dxf>
      <fill>
        <patternFill>
          <bgColor rgb="FFFF0000"/>
        </patternFill>
      </fill>
    </dxf>
    <dxf>
      <fill>
        <patternFill>
          <bgColor rgb="FFFFFF00"/>
        </patternFill>
      </fill>
    </dxf>
    <dxf>
      <fill>
        <patternFill>
          <bgColor rgb="FFFF0000"/>
        </patternFill>
      </fill>
    </dxf>
    <dxf>
      <fill>
        <patternFill>
          <bgColor theme="9" tint="-0.24994659260841701"/>
        </patternFill>
      </fill>
    </dxf>
    <dxf>
      <fill>
        <patternFill>
          <bgColor rgb="FFFFFF00"/>
        </patternFill>
      </fill>
    </dxf>
    <dxf>
      <fill>
        <patternFill>
          <bgColor rgb="FFFF0000"/>
        </patternFill>
      </fill>
    </dxf>
    <dxf>
      <fill>
        <patternFill>
          <bgColor theme="9"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 /><Relationship Id="rId21" Type="http://schemas.openxmlformats.org/officeDocument/2006/relationships/worksheet" Target="worksheets/sheet21.xml" /><Relationship Id="rId34" Type="http://schemas.openxmlformats.org/officeDocument/2006/relationships/worksheet" Target="worksheets/sheet34.xml" /><Relationship Id="rId42" Type="http://schemas.openxmlformats.org/officeDocument/2006/relationships/worksheet" Target="worksheets/sheet42.xml" /><Relationship Id="rId47" Type="http://schemas.openxmlformats.org/officeDocument/2006/relationships/worksheet" Target="worksheets/sheet47.xml" /><Relationship Id="rId50" Type="http://schemas.openxmlformats.org/officeDocument/2006/relationships/worksheet" Target="worksheets/sheet50.xml" /><Relationship Id="rId55" Type="http://schemas.openxmlformats.org/officeDocument/2006/relationships/worksheet" Target="worksheets/sheet55.xml" /><Relationship Id="rId63" Type="http://schemas.openxmlformats.org/officeDocument/2006/relationships/worksheet" Target="worksheets/sheet63.xml" /><Relationship Id="rId68" Type="http://schemas.openxmlformats.org/officeDocument/2006/relationships/externalLink" Target="externalLinks/externalLink1.xml" /><Relationship Id="rId76" Type="http://schemas.openxmlformats.org/officeDocument/2006/relationships/externalLink" Target="externalLinks/externalLink9.xml" /><Relationship Id="rId84" Type="http://schemas.openxmlformats.org/officeDocument/2006/relationships/externalLink" Target="externalLinks/externalLink17.xml" /><Relationship Id="rId89" Type="http://schemas.openxmlformats.org/officeDocument/2006/relationships/externalLink" Target="externalLinks/externalLink22.xml" /><Relationship Id="rId97" Type="http://schemas.openxmlformats.org/officeDocument/2006/relationships/theme" Target="theme/theme1.xml" /><Relationship Id="rId7" Type="http://schemas.openxmlformats.org/officeDocument/2006/relationships/worksheet" Target="worksheets/sheet7.xml" /><Relationship Id="rId71" Type="http://schemas.openxmlformats.org/officeDocument/2006/relationships/externalLink" Target="externalLinks/externalLink4.xml" /><Relationship Id="rId92" Type="http://schemas.openxmlformats.org/officeDocument/2006/relationships/externalLink" Target="externalLinks/externalLink25.xml" /><Relationship Id="rId2" Type="http://schemas.openxmlformats.org/officeDocument/2006/relationships/worksheet" Target="worksheets/sheet2.xml" /><Relationship Id="rId16" Type="http://schemas.openxmlformats.org/officeDocument/2006/relationships/worksheet" Target="worksheets/sheet16.xml" /><Relationship Id="rId29" Type="http://schemas.openxmlformats.org/officeDocument/2006/relationships/worksheet" Target="worksheets/sheet29.xml" /><Relationship Id="rId11" Type="http://schemas.openxmlformats.org/officeDocument/2006/relationships/worksheet" Target="worksheets/sheet11.xml" /><Relationship Id="rId24" Type="http://schemas.openxmlformats.org/officeDocument/2006/relationships/worksheet" Target="worksheets/sheet24.xml" /><Relationship Id="rId32" Type="http://schemas.openxmlformats.org/officeDocument/2006/relationships/worksheet" Target="worksheets/sheet32.xml" /><Relationship Id="rId37" Type="http://schemas.openxmlformats.org/officeDocument/2006/relationships/worksheet" Target="worksheets/sheet37.xml" /><Relationship Id="rId40" Type="http://schemas.openxmlformats.org/officeDocument/2006/relationships/worksheet" Target="worksheets/sheet40.xml" /><Relationship Id="rId45" Type="http://schemas.openxmlformats.org/officeDocument/2006/relationships/worksheet" Target="worksheets/sheet45.xml" /><Relationship Id="rId53" Type="http://schemas.openxmlformats.org/officeDocument/2006/relationships/worksheet" Target="worksheets/sheet53.xml" /><Relationship Id="rId58" Type="http://schemas.openxmlformats.org/officeDocument/2006/relationships/worksheet" Target="worksheets/sheet58.xml" /><Relationship Id="rId66" Type="http://schemas.openxmlformats.org/officeDocument/2006/relationships/worksheet" Target="worksheets/sheet66.xml" /><Relationship Id="rId74" Type="http://schemas.openxmlformats.org/officeDocument/2006/relationships/externalLink" Target="externalLinks/externalLink7.xml" /><Relationship Id="rId79" Type="http://schemas.openxmlformats.org/officeDocument/2006/relationships/externalLink" Target="externalLinks/externalLink12.xml" /><Relationship Id="rId87" Type="http://schemas.openxmlformats.org/officeDocument/2006/relationships/externalLink" Target="externalLinks/externalLink20.xml" /><Relationship Id="rId5" Type="http://schemas.openxmlformats.org/officeDocument/2006/relationships/worksheet" Target="worksheets/sheet5.xml" /><Relationship Id="rId61" Type="http://schemas.openxmlformats.org/officeDocument/2006/relationships/worksheet" Target="worksheets/sheet61.xml" /><Relationship Id="rId82" Type="http://schemas.openxmlformats.org/officeDocument/2006/relationships/externalLink" Target="externalLinks/externalLink15.xml" /><Relationship Id="rId90" Type="http://schemas.openxmlformats.org/officeDocument/2006/relationships/externalLink" Target="externalLinks/externalLink23.xml" /><Relationship Id="rId95" Type="http://schemas.openxmlformats.org/officeDocument/2006/relationships/externalLink" Target="externalLinks/externalLink28.xml" /><Relationship Id="rId19" Type="http://schemas.openxmlformats.org/officeDocument/2006/relationships/worksheet" Target="worksheets/sheet19.xml" /><Relationship Id="rId14" Type="http://schemas.openxmlformats.org/officeDocument/2006/relationships/worksheet" Target="worksheets/sheet14.xml" /><Relationship Id="rId22" Type="http://schemas.openxmlformats.org/officeDocument/2006/relationships/worksheet" Target="worksheets/sheet22.xml" /><Relationship Id="rId27" Type="http://schemas.openxmlformats.org/officeDocument/2006/relationships/worksheet" Target="worksheets/sheet27.xml" /><Relationship Id="rId30" Type="http://schemas.openxmlformats.org/officeDocument/2006/relationships/worksheet" Target="worksheets/sheet30.xml" /><Relationship Id="rId35" Type="http://schemas.openxmlformats.org/officeDocument/2006/relationships/worksheet" Target="worksheets/sheet35.xml" /><Relationship Id="rId43" Type="http://schemas.openxmlformats.org/officeDocument/2006/relationships/worksheet" Target="worksheets/sheet43.xml" /><Relationship Id="rId48" Type="http://schemas.openxmlformats.org/officeDocument/2006/relationships/worksheet" Target="worksheets/sheet48.xml" /><Relationship Id="rId56" Type="http://schemas.openxmlformats.org/officeDocument/2006/relationships/worksheet" Target="worksheets/sheet56.xml" /><Relationship Id="rId64" Type="http://schemas.openxmlformats.org/officeDocument/2006/relationships/worksheet" Target="worksheets/sheet64.xml" /><Relationship Id="rId69" Type="http://schemas.openxmlformats.org/officeDocument/2006/relationships/externalLink" Target="externalLinks/externalLink2.xml" /><Relationship Id="rId77" Type="http://schemas.openxmlformats.org/officeDocument/2006/relationships/externalLink" Target="externalLinks/externalLink10.xml" /><Relationship Id="rId100" Type="http://schemas.openxmlformats.org/officeDocument/2006/relationships/calcChain" Target="calcChain.xml" /><Relationship Id="rId8" Type="http://schemas.openxmlformats.org/officeDocument/2006/relationships/worksheet" Target="worksheets/sheet8.xml" /><Relationship Id="rId51" Type="http://schemas.openxmlformats.org/officeDocument/2006/relationships/worksheet" Target="worksheets/sheet51.xml" /><Relationship Id="rId72" Type="http://schemas.openxmlformats.org/officeDocument/2006/relationships/externalLink" Target="externalLinks/externalLink5.xml" /><Relationship Id="rId80" Type="http://schemas.openxmlformats.org/officeDocument/2006/relationships/externalLink" Target="externalLinks/externalLink13.xml" /><Relationship Id="rId85" Type="http://schemas.openxmlformats.org/officeDocument/2006/relationships/externalLink" Target="externalLinks/externalLink18.xml" /><Relationship Id="rId93" Type="http://schemas.openxmlformats.org/officeDocument/2006/relationships/externalLink" Target="externalLinks/externalLink26.xml" /><Relationship Id="rId98" Type="http://schemas.openxmlformats.org/officeDocument/2006/relationships/styles" Target="styles.xml" /><Relationship Id="rId3" Type="http://schemas.openxmlformats.org/officeDocument/2006/relationships/worksheet" Target="worksheets/sheet3.xml" /><Relationship Id="rId12" Type="http://schemas.openxmlformats.org/officeDocument/2006/relationships/worksheet" Target="worksheets/sheet12.xml" /><Relationship Id="rId17" Type="http://schemas.openxmlformats.org/officeDocument/2006/relationships/worksheet" Target="worksheets/sheet17.xml" /><Relationship Id="rId25" Type="http://schemas.openxmlformats.org/officeDocument/2006/relationships/worksheet" Target="worksheets/sheet25.xml" /><Relationship Id="rId33" Type="http://schemas.openxmlformats.org/officeDocument/2006/relationships/worksheet" Target="worksheets/sheet33.xml" /><Relationship Id="rId38" Type="http://schemas.openxmlformats.org/officeDocument/2006/relationships/worksheet" Target="worksheets/sheet38.xml" /><Relationship Id="rId46" Type="http://schemas.openxmlformats.org/officeDocument/2006/relationships/worksheet" Target="worksheets/sheet46.xml" /><Relationship Id="rId59" Type="http://schemas.openxmlformats.org/officeDocument/2006/relationships/worksheet" Target="worksheets/sheet59.xml" /><Relationship Id="rId67" Type="http://schemas.openxmlformats.org/officeDocument/2006/relationships/worksheet" Target="worksheets/sheet67.xml" /><Relationship Id="rId20" Type="http://schemas.openxmlformats.org/officeDocument/2006/relationships/worksheet" Target="worksheets/sheet20.xml" /><Relationship Id="rId41" Type="http://schemas.openxmlformats.org/officeDocument/2006/relationships/worksheet" Target="worksheets/sheet41.xml" /><Relationship Id="rId54" Type="http://schemas.openxmlformats.org/officeDocument/2006/relationships/worksheet" Target="worksheets/sheet54.xml" /><Relationship Id="rId62" Type="http://schemas.openxmlformats.org/officeDocument/2006/relationships/worksheet" Target="worksheets/sheet62.xml" /><Relationship Id="rId70" Type="http://schemas.openxmlformats.org/officeDocument/2006/relationships/externalLink" Target="externalLinks/externalLink3.xml" /><Relationship Id="rId75" Type="http://schemas.openxmlformats.org/officeDocument/2006/relationships/externalLink" Target="externalLinks/externalLink8.xml" /><Relationship Id="rId83" Type="http://schemas.openxmlformats.org/officeDocument/2006/relationships/externalLink" Target="externalLinks/externalLink16.xml" /><Relationship Id="rId88" Type="http://schemas.openxmlformats.org/officeDocument/2006/relationships/externalLink" Target="externalLinks/externalLink21.xml" /><Relationship Id="rId91" Type="http://schemas.openxmlformats.org/officeDocument/2006/relationships/externalLink" Target="externalLinks/externalLink24.xml" /><Relationship Id="rId96" Type="http://schemas.openxmlformats.org/officeDocument/2006/relationships/externalLink" Target="externalLinks/externalLink29.xml" /><Relationship Id="rId1" Type="http://schemas.openxmlformats.org/officeDocument/2006/relationships/worksheet" Target="worksheets/sheet1.xml" /><Relationship Id="rId6" Type="http://schemas.openxmlformats.org/officeDocument/2006/relationships/worksheet" Target="worksheets/sheet6.xml" /><Relationship Id="rId15" Type="http://schemas.openxmlformats.org/officeDocument/2006/relationships/worksheet" Target="worksheets/sheet15.xml" /><Relationship Id="rId23" Type="http://schemas.openxmlformats.org/officeDocument/2006/relationships/worksheet" Target="worksheets/sheet23.xml" /><Relationship Id="rId28" Type="http://schemas.openxmlformats.org/officeDocument/2006/relationships/worksheet" Target="worksheets/sheet28.xml" /><Relationship Id="rId36" Type="http://schemas.openxmlformats.org/officeDocument/2006/relationships/worksheet" Target="worksheets/sheet36.xml" /><Relationship Id="rId49" Type="http://schemas.openxmlformats.org/officeDocument/2006/relationships/worksheet" Target="worksheets/sheet49.xml" /><Relationship Id="rId57" Type="http://schemas.openxmlformats.org/officeDocument/2006/relationships/worksheet" Target="worksheets/sheet57.xml" /><Relationship Id="rId10" Type="http://schemas.openxmlformats.org/officeDocument/2006/relationships/worksheet" Target="worksheets/sheet10.xml" /><Relationship Id="rId31" Type="http://schemas.openxmlformats.org/officeDocument/2006/relationships/worksheet" Target="worksheets/sheet31.xml" /><Relationship Id="rId44" Type="http://schemas.openxmlformats.org/officeDocument/2006/relationships/worksheet" Target="worksheets/sheet44.xml" /><Relationship Id="rId52" Type="http://schemas.openxmlformats.org/officeDocument/2006/relationships/worksheet" Target="worksheets/sheet52.xml" /><Relationship Id="rId60" Type="http://schemas.openxmlformats.org/officeDocument/2006/relationships/worksheet" Target="worksheets/sheet60.xml" /><Relationship Id="rId65" Type="http://schemas.openxmlformats.org/officeDocument/2006/relationships/worksheet" Target="worksheets/sheet65.xml" /><Relationship Id="rId73" Type="http://schemas.openxmlformats.org/officeDocument/2006/relationships/externalLink" Target="externalLinks/externalLink6.xml" /><Relationship Id="rId78" Type="http://schemas.openxmlformats.org/officeDocument/2006/relationships/externalLink" Target="externalLinks/externalLink11.xml" /><Relationship Id="rId81" Type="http://schemas.openxmlformats.org/officeDocument/2006/relationships/externalLink" Target="externalLinks/externalLink14.xml" /><Relationship Id="rId86" Type="http://schemas.openxmlformats.org/officeDocument/2006/relationships/externalLink" Target="externalLinks/externalLink19.xml" /><Relationship Id="rId94" Type="http://schemas.openxmlformats.org/officeDocument/2006/relationships/externalLink" Target="externalLinks/externalLink27.xml" /><Relationship Id="rId99" Type="http://schemas.openxmlformats.org/officeDocument/2006/relationships/sharedStrings" Target="sharedStrings.xml" /><Relationship Id="rId101" Type="http://schemas.microsoft.com/office/2006/relationships/vbaProject" Target="vbaProject.bin" /><Relationship Id="rId4" Type="http://schemas.openxmlformats.org/officeDocument/2006/relationships/worksheet" Target="worksheets/sheet4.xml" /><Relationship Id="rId9" Type="http://schemas.openxmlformats.org/officeDocument/2006/relationships/worksheet" Target="worksheets/sheet9.xml" /><Relationship Id="rId13" Type="http://schemas.openxmlformats.org/officeDocument/2006/relationships/worksheet" Target="worksheets/sheet13.xml" /><Relationship Id="rId18" Type="http://schemas.openxmlformats.org/officeDocument/2006/relationships/worksheet" Target="worksheets/sheet18.xml" /><Relationship Id="rId39" Type="http://schemas.openxmlformats.org/officeDocument/2006/relationships/worksheet" Target="worksheets/sheet39.xml" /></Relationships>
</file>

<file path=xl/charts/_rels/chart1.xml.rels><?xml version="1.0" encoding="UTF-8" standalone="yes"?>
<Relationships xmlns="http://schemas.openxmlformats.org/package/2006/relationships"><Relationship Id="rId2" Type="http://schemas.microsoft.com/office/2011/relationships/chartColorStyle" Target="colors1.xml" /><Relationship Id="rId1" Type="http://schemas.microsoft.com/office/2011/relationships/chartStyle" Target="style1.xml" /></Relationships>
</file>

<file path=xl/charts/_rels/chart2.xml.rels><?xml version="1.0" encoding="UTF-8" standalone="yes"?>
<Relationships xmlns="http://schemas.openxmlformats.org/package/2006/relationships"><Relationship Id="rId2" Type="http://schemas.microsoft.com/office/2011/relationships/chartColorStyle" Target="colors2.xml" /><Relationship Id="rId1" Type="http://schemas.microsoft.com/office/2011/relationships/chartStyle" Target="style2.xml" /></Relationships>
</file>

<file path=xl/charts/_rels/chart3.xml.rels><?xml version="1.0" encoding="UTF-8" standalone="yes"?>
<Relationships xmlns="http://schemas.openxmlformats.org/package/2006/relationships"><Relationship Id="rId2" Type="http://schemas.microsoft.com/office/2011/relationships/chartColorStyle" Target="colors3.xml" /><Relationship Id="rId1" Type="http://schemas.microsoft.com/office/2011/relationships/chartStyle" Target="style3.xml" /></Relationships>
</file>

<file path=xl/charts/_rels/chart4.xml.rels><?xml version="1.0" encoding="UTF-8" standalone="yes"?>
<Relationships xmlns="http://schemas.openxmlformats.org/package/2006/relationships"><Relationship Id="rId2" Type="http://schemas.microsoft.com/office/2011/relationships/chartColorStyle" Target="colors4.xml" /><Relationship Id="rId1" Type="http://schemas.microsoft.com/office/2011/relationships/chartStyle" Target="style4.xml" /></Relationships>
</file>

<file path=xl/charts/_rels/chart5.xml.rels><?xml version="1.0" encoding="UTF-8" standalone="yes"?>
<Relationships xmlns="http://schemas.openxmlformats.org/package/2006/relationships"><Relationship Id="rId2" Type="http://schemas.microsoft.com/office/2011/relationships/chartColorStyle" Target="colors5.xml" /><Relationship Id="rId1" Type="http://schemas.microsoft.com/office/2011/relationships/chartStyle" Target="style5.xml" /></Relationships>
</file>

<file path=xl/charts/_rels/chart6.xml.rels><?xml version="1.0" encoding="UTF-8" standalone="yes"?>
<Relationships xmlns="http://schemas.openxmlformats.org/package/2006/relationships"><Relationship Id="rId2" Type="http://schemas.microsoft.com/office/2011/relationships/chartColorStyle" Target="colors6.xml" /><Relationship Id="rId1" Type="http://schemas.microsoft.com/office/2011/relationships/chartStyle" Target="style6.xml" /></Relationships>
</file>

<file path=xl/charts/_rels/chart7.xml.rels><?xml version="1.0" encoding="UTF-8" standalone="yes"?>
<Relationships xmlns="http://schemas.openxmlformats.org/package/2006/relationships"><Relationship Id="rId2" Type="http://schemas.microsoft.com/office/2011/relationships/chartColorStyle" Target="colors7.xml" /><Relationship Id="rId1" Type="http://schemas.microsoft.com/office/2011/relationships/chartStyle" Target="style7.xml" /></Relationships>
</file>

<file path=xl/charts/_rels/chart8.xml.rels><?xml version="1.0" encoding="UTF-8" standalone="yes"?>
<Relationships xmlns="http://schemas.openxmlformats.org/package/2006/relationships"><Relationship Id="rId2" Type="http://schemas.microsoft.com/office/2011/relationships/chartColorStyle" Target="colors8.xml" /><Relationship Id="rId1" Type="http://schemas.microsoft.com/office/2011/relationships/chartStyle" Target="style8.xml" /></Relationships>
</file>

<file path=xl/charts/_rels/chart9.xml.rels><?xml version="1.0" encoding="UTF-8" standalone="yes"?>
<Relationships xmlns="http://schemas.openxmlformats.org/package/2006/relationships"><Relationship Id="rId2" Type="http://schemas.microsoft.com/office/2011/relationships/chartColorStyle" Target="colors9.xml" /><Relationship Id="rId1" Type="http://schemas.microsoft.com/office/2011/relationships/chartStyle" Target="style9.xml" /></Relationships>
</file>

<file path=xl/charts/_rels/chart10.xml.rels><?xml version="1.0" encoding="UTF-8" standalone="yes"?>
<Relationships xmlns="http://schemas.openxmlformats.org/package/2006/relationships"><Relationship Id="rId2" Type="http://schemas.microsoft.com/office/2011/relationships/chartColorStyle" Target="colors10.xml" /><Relationship Id="rId1" Type="http://schemas.microsoft.com/office/2011/relationships/chartStyle" Target="style10.xml" /></Relationships>
</file>

<file path=xl/charts/_rels/chart11.xml.rels><?xml version="1.0" encoding="UTF-8" standalone="yes"?>
<Relationships xmlns="http://schemas.openxmlformats.org/package/2006/relationships"><Relationship Id="rId2" Type="http://schemas.microsoft.com/office/2011/relationships/chartColorStyle" Target="colors11.xml" /><Relationship Id="rId1" Type="http://schemas.microsoft.com/office/2011/relationships/chartStyle" Target="style11.xml" /></Relationships>
</file>

<file path=xl/charts/_rels/chart12.xml.rels><?xml version="1.0" encoding="UTF-8" standalone="yes"?>
<Relationships xmlns="http://schemas.openxmlformats.org/package/2006/relationships"><Relationship Id="rId2" Type="http://schemas.microsoft.com/office/2011/relationships/chartColorStyle" Target="colors12.xml" /><Relationship Id="rId1" Type="http://schemas.microsoft.com/office/2011/relationships/chartStyle" Target="style12.xml" /></Relationships>
</file>

<file path=xl/charts/_rels/chart13.xml.rels><?xml version="1.0" encoding="UTF-8" standalone="yes"?>
<Relationships xmlns="http://schemas.openxmlformats.org/package/2006/relationships"><Relationship Id="rId2" Type="http://schemas.microsoft.com/office/2011/relationships/chartColorStyle" Target="colors13.xml" /><Relationship Id="rId1" Type="http://schemas.microsoft.com/office/2011/relationships/chartStyle" Target="style13.xml" /></Relationships>
</file>

<file path=xl/charts/_rels/chart14.xml.rels><?xml version="1.0" encoding="UTF-8" standalone="yes"?>
<Relationships xmlns="http://schemas.openxmlformats.org/package/2006/relationships"><Relationship Id="rId2" Type="http://schemas.microsoft.com/office/2011/relationships/chartColorStyle" Target="colors14.xml" /><Relationship Id="rId1" Type="http://schemas.microsoft.com/office/2011/relationships/chartStyle" Target="style14.xml" /></Relationships>
</file>

<file path=xl/charts/_rels/chart15.xml.rels><?xml version="1.0" encoding="UTF-8" standalone="yes"?>
<Relationships xmlns="http://schemas.openxmlformats.org/package/2006/relationships"><Relationship Id="rId2" Type="http://schemas.microsoft.com/office/2011/relationships/chartColorStyle" Target="colors15.xml" /><Relationship Id="rId1" Type="http://schemas.microsoft.com/office/2011/relationships/chartStyle" Target="style15.xml" /></Relationships>
</file>

<file path=xl/charts/_rels/chart16.xml.rels><?xml version="1.0" encoding="UTF-8" standalone="yes"?>
<Relationships xmlns="http://schemas.openxmlformats.org/package/2006/relationships"><Relationship Id="rId2" Type="http://schemas.microsoft.com/office/2011/relationships/chartColorStyle" Target="colors16.xml" /><Relationship Id="rId1" Type="http://schemas.microsoft.com/office/2011/relationships/chartStyle" Target="style16.xml" /></Relationships>
</file>

<file path=xl/charts/_rels/chart17.xml.rels><?xml version="1.0" encoding="UTF-8" standalone="yes"?>
<Relationships xmlns="http://schemas.openxmlformats.org/package/2006/relationships"><Relationship Id="rId2" Type="http://schemas.microsoft.com/office/2011/relationships/chartColorStyle" Target="colors17.xml" /><Relationship Id="rId1" Type="http://schemas.microsoft.com/office/2011/relationships/chartStyle" Target="style17.xml" /></Relationships>
</file>

<file path=xl/charts/_rels/chart18.xml.rels><?xml version="1.0" encoding="UTF-8" standalone="yes"?>
<Relationships xmlns="http://schemas.openxmlformats.org/package/2006/relationships"><Relationship Id="rId2" Type="http://schemas.microsoft.com/office/2011/relationships/chartColorStyle" Target="colors18.xml" /><Relationship Id="rId1" Type="http://schemas.microsoft.com/office/2011/relationships/chartStyle" Target="style18.xml" /></Relationships>
</file>

<file path=xl/charts/_rels/chart19.xml.rels><?xml version="1.0" encoding="UTF-8" standalone="yes"?>
<Relationships xmlns="http://schemas.openxmlformats.org/package/2006/relationships"><Relationship Id="rId2" Type="http://schemas.microsoft.com/office/2011/relationships/chartColorStyle" Target="colors19.xml" /><Relationship Id="rId1" Type="http://schemas.microsoft.com/office/2011/relationships/chartStyle" Target="style19.xml" /></Relationships>
</file>

<file path=xl/charts/_rels/chart20.xml.rels><?xml version="1.0" encoding="UTF-8" standalone="yes"?>
<Relationships xmlns="http://schemas.openxmlformats.org/package/2006/relationships"><Relationship Id="rId2" Type="http://schemas.microsoft.com/office/2011/relationships/chartColorStyle" Target="colors20.xml" /><Relationship Id="rId1" Type="http://schemas.microsoft.com/office/2011/relationships/chartStyle" Target="style20.xml" /></Relationships>
</file>

<file path=xl/charts/_rels/chart21.xml.rels><?xml version="1.0" encoding="UTF-8" standalone="yes"?>
<Relationships xmlns="http://schemas.openxmlformats.org/package/2006/relationships"><Relationship Id="rId2" Type="http://schemas.microsoft.com/office/2011/relationships/chartColorStyle" Target="colors21.xml" /><Relationship Id="rId1" Type="http://schemas.microsoft.com/office/2011/relationships/chartStyle" Target="style21.xml" /></Relationships>
</file>

<file path=xl/charts/_rels/chart22.xml.rels><?xml version="1.0" encoding="UTF-8" standalone="yes"?>
<Relationships xmlns="http://schemas.openxmlformats.org/package/2006/relationships"><Relationship Id="rId2" Type="http://schemas.microsoft.com/office/2011/relationships/chartColorStyle" Target="colors22.xml" /><Relationship Id="rId1" Type="http://schemas.microsoft.com/office/2011/relationships/chartStyle" Target="style22.xml" /></Relationships>
</file>

<file path=xl/charts/_rels/chart23.xml.rels><?xml version="1.0" encoding="UTF-8" standalone="yes"?>
<Relationships xmlns="http://schemas.openxmlformats.org/package/2006/relationships"><Relationship Id="rId2" Type="http://schemas.microsoft.com/office/2011/relationships/chartColorStyle" Target="colors23.xml" /><Relationship Id="rId1" Type="http://schemas.microsoft.com/office/2011/relationships/chartStyle" Target="style23.xml" /></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sng" strike="noStrike" kern="1200" spc="0" baseline="0">
                <a:solidFill>
                  <a:schemeClr val="tx1"/>
                </a:solidFill>
                <a:latin typeface="+mn-lt"/>
                <a:ea typeface="+mn-ea"/>
                <a:cs typeface="+mn-cs"/>
              </a:defRPr>
            </a:pPr>
            <a:r>
              <a:rPr lang="en-US" b="1" u="sng">
                <a:solidFill>
                  <a:schemeClr val="tx1"/>
                </a:solidFill>
              </a:rPr>
              <a:t> Urea</a:t>
            </a:r>
            <a:r>
              <a:rPr lang="en-US" b="1" u="sng" baseline="0">
                <a:solidFill>
                  <a:schemeClr val="tx1"/>
                </a:solidFill>
              </a:rPr>
              <a:t> Train  1-Project Cost Breakdown  </a:t>
            </a:r>
            <a:endParaRPr lang="en-US" b="1" u="sng">
              <a:solidFill>
                <a:schemeClr val="tx1"/>
              </a:solidFill>
            </a:endParaRPr>
          </a:p>
        </c:rich>
      </c:tx>
      <c:overlay val="0"/>
      <c:spPr>
        <a:noFill/>
        <a:ln>
          <a:noFill/>
        </a:ln>
        <a:effectLst/>
      </c:spPr>
      <c:txPr>
        <a:bodyPr rot="0" spcFirstLastPara="1" vertOverflow="ellipsis" vert="horz" wrap="square" anchor="ctr" anchorCtr="1"/>
        <a:lstStyle/>
        <a:p>
          <a:pPr>
            <a:defRPr sz="1400" b="1" i="0" u="sng"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46685390767785973"/>
          <c:y val="0.13105924802617802"/>
          <c:w val="0.50469887311965467"/>
          <c:h val="0.74398947908588631"/>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D05-48DC-9E9F-2CEAF54CF3A1}"/>
              </c:ext>
            </c:extLst>
          </c:dPt>
          <c:dPt>
            <c:idx val="1"/>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3-0D05-48DC-9E9F-2CEAF54CF3A1}"/>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0D05-48DC-9E9F-2CEAF54CF3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D05-48DC-9E9F-2CEAF54CF3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D05-48DC-9E9F-2CEAF54CF3A1}"/>
              </c:ext>
            </c:extLst>
          </c:dPt>
          <c:dPt>
            <c:idx val="5"/>
            <c:bubble3D val="0"/>
            <c:spPr>
              <a:solidFill>
                <a:srgbClr val="FF0000"/>
              </a:solidFill>
              <a:ln w="19050">
                <a:solidFill>
                  <a:schemeClr val="lt1"/>
                </a:solidFill>
              </a:ln>
              <a:effectLst/>
            </c:spPr>
            <c:extLst>
              <c:ext xmlns:c16="http://schemas.microsoft.com/office/drawing/2014/chart" uri="{C3380CC4-5D6E-409C-BE32-E72D297353CC}">
                <c16:uniqueId val="{0000000B-0D05-48DC-9E9F-2CEAF54CF3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D05-48DC-9E9F-2CEAF54CF3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D05-48DC-9E9F-2CEAF54CF3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3C0-4A9B-B74C-78F37B8397FA}"/>
              </c:ext>
            </c:extLst>
          </c:dPt>
          <c:dPt>
            <c:idx val="9"/>
            <c:bubble3D val="0"/>
            <c:spPr>
              <a:solidFill>
                <a:srgbClr val="00B0F0"/>
              </a:solidFill>
              <a:ln w="19050">
                <a:solidFill>
                  <a:schemeClr val="lt1"/>
                </a:solidFill>
              </a:ln>
              <a:effectLst/>
            </c:spPr>
            <c:extLst>
              <c:ext xmlns:c16="http://schemas.microsoft.com/office/drawing/2014/chart" uri="{C3380CC4-5D6E-409C-BE32-E72D297353CC}">
                <c16:uniqueId val="{00000013-7D94-45FE-89D6-4962549887CC}"/>
              </c:ext>
            </c:extLst>
          </c:dPt>
          <c:dLbls>
            <c:dLbl>
              <c:idx val="2"/>
              <c:layout>
                <c:manualLayout>
                  <c:x val="-1.8223841258918978E-2"/>
                  <c:y val="0.15315958903906429"/>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D05-48DC-9E9F-2CEAF54CF3A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NG"/>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 Data '!$C$3:$C$12</c:f>
              <c:strCache>
                <c:ptCount val="10"/>
                <c:pt idx="0">
                  <c:v>Cost of Land (Incluidng Permits and Approvals)</c:v>
                </c:pt>
                <c:pt idx="1">
                  <c:v>Land Development Cost  (Infrastructure and Buildings)</c:v>
                </c:pt>
                <c:pt idx="2">
                  <c:v>EPC - 1.5 MMPTA Fertiliser Process Plant </c:v>
                </c:pt>
                <c:pt idx="3">
                  <c:v>Outside Boundaries Infrastructure  </c:v>
                </c:pt>
                <c:pt idx="4">
                  <c:v>Pre-Operational Expenses</c:v>
                </c:pt>
                <c:pt idx="5">
                  <c:v>Other development costs</c:v>
                </c:pt>
                <c:pt idx="6">
                  <c:v>Working Capital</c:v>
                </c:pt>
                <c:pt idx="7">
                  <c:v>Total Capital Expenditure </c:v>
                </c:pt>
                <c:pt idx="8">
                  <c:v>Contingency</c:v>
                </c:pt>
                <c:pt idx="9">
                  <c:v>VAT</c:v>
                </c:pt>
              </c:strCache>
            </c:strRef>
          </c:cat>
          <c:val>
            <c:numRef>
              <c:f>'Graph Data '!$E$3:$E$12</c:f>
              <c:numCache>
                <c:formatCode>0.0%</c:formatCode>
                <c:ptCount val="10"/>
                <c:pt idx="0" formatCode="0.000%">
                  <c:v>0</c:v>
                </c:pt>
                <c:pt idx="1">
                  <c:v>1.1243765385208377E-2</c:v>
                </c:pt>
                <c:pt idx="2">
                  <c:v>0.61250297419352584</c:v>
                </c:pt>
                <c:pt idx="3">
                  <c:v>4.5509884484673954E-2</c:v>
                </c:pt>
                <c:pt idx="4">
                  <c:v>5.1350780387154862E-2</c:v>
                </c:pt>
                <c:pt idx="5">
                  <c:v>0.10942245018068592</c:v>
                </c:pt>
                <c:pt idx="6">
                  <c:v>6.3813565851544268E-2</c:v>
                </c:pt>
                <c:pt idx="8">
                  <c:v>3.6389137656741607E-2</c:v>
                </c:pt>
                <c:pt idx="9">
                  <c:v>6.9767441860465115E-2</c:v>
                </c:pt>
              </c:numCache>
            </c:numRef>
          </c:val>
          <c:extLst>
            <c:ext xmlns:c16="http://schemas.microsoft.com/office/drawing/2014/chart" uri="{C3380CC4-5D6E-409C-BE32-E72D297353CC}">
              <c16:uniqueId val="{00000000-0F39-475A-8820-FDE026D55F5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layout>
        <c:manualLayout>
          <c:xMode val="edge"/>
          <c:yMode val="edge"/>
          <c:x val="1.1862396204033215E-2"/>
          <c:y val="0.14215640101062132"/>
          <c:w val="0.36101225780941082"/>
          <c:h val="0.7969644565457355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Daytona" panose="020B0604030500040204" pitchFamily="34" charset="0"/>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sng" strike="noStrike" kern="1200" spc="0" baseline="0">
                <a:solidFill>
                  <a:schemeClr val="tx1">
                    <a:lumMod val="65000"/>
                    <a:lumOff val="35000"/>
                  </a:schemeClr>
                </a:solidFill>
                <a:latin typeface="+mn-lt"/>
                <a:ea typeface="+mn-ea"/>
                <a:cs typeface="+mn-cs"/>
              </a:defRPr>
            </a:pPr>
            <a:r>
              <a:rPr lang="en-US" sz="1800" b="1" u="sng">
                <a:solidFill>
                  <a:schemeClr val="tx1"/>
                </a:solidFill>
              </a:rPr>
              <a:t>Urea</a:t>
            </a:r>
            <a:r>
              <a:rPr lang="en-US" sz="1800" b="1" u="sng" baseline="0">
                <a:solidFill>
                  <a:schemeClr val="tx1"/>
                </a:solidFill>
              </a:rPr>
              <a:t> Train 2 Project Cost Breakdown  </a:t>
            </a:r>
            <a:endParaRPr lang="en-US" sz="1800" b="1" u="sng">
              <a:solidFill>
                <a:schemeClr val="tx1"/>
              </a:solidFill>
            </a:endParaRPr>
          </a:p>
        </c:rich>
      </c:tx>
      <c:overlay val="0"/>
      <c:spPr>
        <a:noFill/>
        <a:ln>
          <a:noFill/>
        </a:ln>
        <a:effectLst/>
      </c:spPr>
      <c:txPr>
        <a:bodyPr rot="0" spcFirstLastPara="1" vertOverflow="ellipsis" vert="horz" wrap="square" anchor="ctr" anchorCtr="1"/>
        <a:lstStyle/>
        <a:p>
          <a:pPr>
            <a:defRPr sz="1400" b="0" i="0" u="sng"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F1A-42B7-A141-39D3596DAB6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F1A-42B7-A141-39D3596DAB61}"/>
              </c:ext>
            </c:extLst>
          </c:dPt>
          <c:dPt>
            <c:idx val="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5-BF1A-42B7-A141-39D3596DAB6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F1A-42B7-A141-39D3596DAB6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F1A-42B7-A141-39D3596DAB6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F1A-42B7-A141-39D3596DAB6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F1A-42B7-A141-39D3596DAB61}"/>
              </c:ext>
            </c:extLst>
          </c:dPt>
          <c:dPt>
            <c:idx val="7"/>
            <c:bubble3D val="0"/>
            <c:explosion val="3"/>
            <c:spPr>
              <a:solidFill>
                <a:schemeClr val="accent2">
                  <a:lumMod val="60000"/>
                </a:schemeClr>
              </a:solidFill>
              <a:ln w="19050">
                <a:solidFill>
                  <a:schemeClr val="lt1"/>
                </a:solidFill>
              </a:ln>
              <a:effectLst/>
            </c:spPr>
            <c:extLst>
              <c:ext xmlns:c16="http://schemas.microsoft.com/office/drawing/2014/chart" uri="{C3380CC4-5D6E-409C-BE32-E72D297353CC}">
                <c16:uniqueId val="{0000000F-BF1A-42B7-A141-39D3596DAB6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AA8-4E9D-A7A5-15BA68BEBD1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C2E-486E-9E34-6D0E5004DF89}"/>
              </c:ext>
            </c:extLst>
          </c:dPt>
          <c:dLbls>
            <c:dLbl>
              <c:idx val="2"/>
              <c:layout>
                <c:manualLayout>
                  <c:x val="-1.513158048336323E-2"/>
                  <c:y val="8.0164619237025656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F1A-42B7-A141-39D3596DAB61}"/>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Daytona" panose="020B0604030500040204" pitchFamily="34" charset="0"/>
                    <a:ea typeface="+mn-ea"/>
                    <a:cs typeface="+mn-cs"/>
                  </a:defRPr>
                </a:pPr>
                <a:endParaRPr lang="en-NG"/>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 Data '!$C$24:$C$33</c:f>
              <c:strCache>
                <c:ptCount val="10"/>
                <c:pt idx="0">
                  <c:v>Cost of Land (Incluidng Permits and Approvals)</c:v>
                </c:pt>
                <c:pt idx="1">
                  <c:v>Land Development Cost  (Infrastructure and Buildings)</c:v>
                </c:pt>
                <c:pt idx="2">
                  <c:v>EPC - 1.5 MMPTA Fertiliser Process Plant </c:v>
                </c:pt>
                <c:pt idx="3">
                  <c:v>Outside Boundaries Infrastructure  </c:v>
                </c:pt>
                <c:pt idx="4">
                  <c:v>Pre-Operational Expenses</c:v>
                </c:pt>
                <c:pt idx="5">
                  <c:v>Other development costs</c:v>
                </c:pt>
                <c:pt idx="6">
                  <c:v>Working Capital</c:v>
                </c:pt>
                <c:pt idx="7">
                  <c:v>Total Capital Expenditure </c:v>
                </c:pt>
                <c:pt idx="8">
                  <c:v>Contingency</c:v>
                </c:pt>
                <c:pt idx="9">
                  <c:v>VAT</c:v>
                </c:pt>
              </c:strCache>
            </c:strRef>
          </c:cat>
          <c:val>
            <c:numRef>
              <c:f>'Graph Data '!$E$24:$E$33</c:f>
              <c:numCache>
                <c:formatCode>0.00%</c:formatCode>
                <c:ptCount val="10"/>
                <c:pt idx="0">
                  <c:v>0</c:v>
                </c:pt>
                <c:pt idx="1">
                  <c:v>3.6004674454820727E-3</c:v>
                </c:pt>
                <c:pt idx="2" formatCode="0%">
                  <c:v>0.64752045217037857</c:v>
                </c:pt>
                <c:pt idx="3" formatCode="0%">
                  <c:v>4.245198208004046E-2</c:v>
                </c:pt>
                <c:pt idx="4" formatCode="0%">
                  <c:v>4.7854015898178837E-2</c:v>
                </c:pt>
                <c:pt idx="5" formatCode="0%">
                  <c:v>8.840578116518566E-2</c:v>
                </c:pt>
                <c:pt idx="6" formatCode="0%">
                  <c:v>6.3746898826975665E-2</c:v>
                </c:pt>
                <c:pt idx="8" formatCode="0%">
                  <c:v>3.6652960553293631E-2</c:v>
                </c:pt>
                <c:pt idx="9" formatCode="0%">
                  <c:v>6.9767441860465101E-2</c:v>
                </c:pt>
              </c:numCache>
            </c:numRef>
          </c:val>
          <c:extLst>
            <c:ext xmlns:c16="http://schemas.microsoft.com/office/drawing/2014/chart" uri="{C3380CC4-5D6E-409C-BE32-E72D297353CC}">
              <c16:uniqueId val="{00000000-87F0-4628-9ED8-4AED166DB77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Daytona" panose="020B0604030500040204" pitchFamily="34" charset="0"/>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u="sng">
                <a:solidFill>
                  <a:schemeClr val="tx1"/>
                </a:solidFill>
              </a:rPr>
              <a:t>Methanol</a:t>
            </a:r>
            <a:r>
              <a:rPr lang="en-US" b="1" u="sng" baseline="0">
                <a:solidFill>
                  <a:schemeClr val="tx1"/>
                </a:solidFill>
              </a:rPr>
              <a:t> Train </a:t>
            </a:r>
            <a:endParaRPr lang="en-US" b="1" u="sng">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0763613366158685"/>
          <c:y val="0.16342327065083942"/>
          <c:w val="0.48683798246149462"/>
          <c:h val="0.70402860111593601"/>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4C1-4BCD-B14C-33842B2CE54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4C1-4BCD-B14C-33842B2CE549}"/>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5-54C1-4BCD-B14C-33842B2CE54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4C1-4BCD-B14C-33842B2CE54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4C1-4BCD-B14C-33842B2CE54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4C1-4BCD-B14C-33842B2CE54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4C1-4BCD-B14C-33842B2CE54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54C1-4BCD-B14C-33842B2CE549}"/>
              </c:ext>
            </c:extLst>
          </c:dPt>
          <c:dPt>
            <c:idx val="8"/>
            <c:bubble3D val="0"/>
            <c:spPr>
              <a:solidFill>
                <a:srgbClr val="FFFF00"/>
              </a:solidFill>
              <a:ln w="19050">
                <a:solidFill>
                  <a:schemeClr val="lt1"/>
                </a:solidFill>
              </a:ln>
              <a:effectLst/>
            </c:spPr>
            <c:extLst>
              <c:ext xmlns:c16="http://schemas.microsoft.com/office/drawing/2014/chart" uri="{C3380CC4-5D6E-409C-BE32-E72D297353CC}">
                <c16:uniqueId val="{00000011-060A-4018-AC7C-026E43866C4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709-4093-8187-7AA7D256D21A}"/>
              </c:ext>
            </c:extLst>
          </c:dPt>
          <c:dLbls>
            <c:dLbl>
              <c:idx val="2"/>
              <c:layout>
                <c:manualLayout>
                  <c:x val="6.1845433099147239E-3"/>
                  <c:y val="9.759277383681504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4C1-4BCD-B14C-33842B2CE549}"/>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Daytona" panose="020B0604030500040204" pitchFamily="34" charset="0"/>
                    <a:ea typeface="+mn-ea"/>
                    <a:cs typeface="+mn-cs"/>
                  </a:defRPr>
                </a:pPr>
                <a:endParaRPr lang="en-NG"/>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 Data '!$C$40:$C$49</c:f>
              <c:strCache>
                <c:ptCount val="10"/>
                <c:pt idx="0">
                  <c:v>Cost of Land (Incluidng Permits and Approvals)</c:v>
                </c:pt>
                <c:pt idx="1">
                  <c:v>Land Development Cost  (Infrastructure and Buildings)</c:v>
                </c:pt>
                <c:pt idx="2">
                  <c:v>EPC - 0.5 MMPTA Methanol Process Plant </c:v>
                </c:pt>
                <c:pt idx="3">
                  <c:v>Outside Boundaries Infrastructure  </c:v>
                </c:pt>
                <c:pt idx="4">
                  <c:v>Pre-Operational Expenses</c:v>
                </c:pt>
                <c:pt idx="5">
                  <c:v>Other development costs</c:v>
                </c:pt>
                <c:pt idx="6">
                  <c:v>Working Capital</c:v>
                </c:pt>
                <c:pt idx="7">
                  <c:v>Total Capital Expenditure </c:v>
                </c:pt>
                <c:pt idx="8">
                  <c:v>Contingency</c:v>
                </c:pt>
                <c:pt idx="9">
                  <c:v>VAT</c:v>
                </c:pt>
              </c:strCache>
            </c:strRef>
          </c:cat>
          <c:val>
            <c:numRef>
              <c:f>'Graph Data '!$E$40:$E$49</c:f>
              <c:numCache>
                <c:formatCode>0.0%</c:formatCode>
                <c:ptCount val="10"/>
                <c:pt idx="0" formatCode="0.00%">
                  <c:v>0</c:v>
                </c:pt>
                <c:pt idx="1">
                  <c:v>6.2597078729426806E-3</c:v>
                </c:pt>
                <c:pt idx="2">
                  <c:v>0.56695018420655419</c:v>
                </c:pt>
                <c:pt idx="3">
                  <c:v>5.6714122504442473E-2</c:v>
                </c:pt>
                <c:pt idx="4">
                  <c:v>8.9778978441958077E-2</c:v>
                </c:pt>
                <c:pt idx="5">
                  <c:v>9.150079500032568E-2</c:v>
                </c:pt>
                <c:pt idx="6">
                  <c:v>6.3700286482259311E-2</c:v>
                </c:pt>
                <c:pt idx="8">
                  <c:v>5.5328483631052361E-2</c:v>
                </c:pt>
                <c:pt idx="9">
                  <c:v>6.9767441860465115E-2</c:v>
                </c:pt>
              </c:numCache>
            </c:numRef>
          </c:val>
          <c:extLst>
            <c:ext xmlns:c16="http://schemas.microsoft.com/office/drawing/2014/chart" uri="{C3380CC4-5D6E-409C-BE32-E72D297353CC}">
              <c16:uniqueId val="{00000000-8026-42BC-A69D-B7C5B0F7CD01}"/>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layout>
        <c:manualLayout>
          <c:xMode val="edge"/>
          <c:yMode val="edge"/>
          <c:x val="1.3637103501597183E-2"/>
          <c:y val="0.12682762081210439"/>
          <c:w val="0.32991855412310822"/>
          <c:h val="0.8360501756850208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Daytona" panose="020B0604030500040204" pitchFamily="34" charset="0"/>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sng" strike="noStrike" kern="1200" spc="0" baseline="0">
                <a:solidFill>
                  <a:schemeClr val="tx1"/>
                </a:solidFill>
                <a:latin typeface="+mn-lt"/>
                <a:ea typeface="+mn-ea"/>
                <a:cs typeface="+mn-cs"/>
              </a:defRPr>
            </a:pPr>
            <a:r>
              <a:rPr lang="en-US" sz="1600" b="1" u="sng">
                <a:solidFill>
                  <a:schemeClr val="tx1"/>
                </a:solidFill>
              </a:rPr>
              <a:t>Capex</a:t>
            </a:r>
            <a:r>
              <a:rPr lang="en-US" sz="1600" b="1" u="sng" baseline="0">
                <a:solidFill>
                  <a:schemeClr val="tx1"/>
                </a:solidFill>
              </a:rPr>
              <a:t> Distribution By Train </a:t>
            </a:r>
            <a:endParaRPr lang="en-US" sz="1600" b="1" u="sng">
              <a:solidFill>
                <a:schemeClr val="tx1"/>
              </a:solidFill>
            </a:endParaRPr>
          </a:p>
        </c:rich>
      </c:tx>
      <c:overlay val="0"/>
      <c:spPr>
        <a:noFill/>
        <a:ln>
          <a:noFill/>
        </a:ln>
        <a:effectLst/>
      </c:spPr>
      <c:txPr>
        <a:bodyPr rot="0" spcFirstLastPara="1" vertOverflow="ellipsis" vert="horz" wrap="square" anchor="ctr" anchorCtr="1"/>
        <a:lstStyle/>
        <a:p>
          <a:pPr>
            <a:defRPr sz="1400" b="1" i="0" u="sng" strike="noStrike" kern="1200" spc="0" baseline="0">
              <a:solidFill>
                <a:schemeClr val="tx1"/>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explosion val="1"/>
          <c:dPt>
            <c:idx val="0"/>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1-B2B7-4975-AB55-3BC26DAB4003}"/>
              </c:ext>
            </c:extLst>
          </c:dPt>
          <c:dPt>
            <c:idx val="1"/>
            <c:bubble3D val="0"/>
            <c:spPr>
              <a:solidFill>
                <a:srgbClr val="FF0000"/>
              </a:solidFill>
              <a:ln w="25400">
                <a:solidFill>
                  <a:schemeClr val="lt1"/>
                </a:solidFill>
              </a:ln>
              <a:effectLst/>
              <a:sp3d contourW="25400">
                <a:contourClr>
                  <a:schemeClr val="lt1"/>
                </a:contourClr>
              </a:sp3d>
            </c:spPr>
            <c:extLst>
              <c:ext xmlns:c16="http://schemas.microsoft.com/office/drawing/2014/chart" uri="{C3380CC4-5D6E-409C-BE32-E72D297353CC}">
                <c16:uniqueId val="{00000003-B2B7-4975-AB55-3BC26DAB4003}"/>
              </c:ext>
            </c:extLst>
          </c:dPt>
          <c:dPt>
            <c:idx val="2"/>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5-B2B7-4975-AB55-3BC26DAB4003}"/>
              </c:ext>
            </c:extLst>
          </c:dPt>
          <c:dPt>
            <c:idx val="3"/>
            <c:bubble3D val="0"/>
            <c:spPr>
              <a:solidFill>
                <a:srgbClr val="FFFF00"/>
              </a:solidFill>
              <a:ln w="25400">
                <a:solidFill>
                  <a:schemeClr val="lt1"/>
                </a:solidFill>
              </a:ln>
              <a:effectLst/>
              <a:sp3d contourW="25400">
                <a:contourClr>
                  <a:schemeClr val="lt1"/>
                </a:contourClr>
              </a:sp3d>
            </c:spPr>
            <c:extLst>
              <c:ext xmlns:c16="http://schemas.microsoft.com/office/drawing/2014/chart" uri="{C3380CC4-5D6E-409C-BE32-E72D297353CC}">
                <c16:uniqueId val="{00000006-2EFC-4E2D-90E9-014D61375531}"/>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6FC-49C6-B67E-C9764FC40A8C}"/>
              </c:ext>
            </c:extLst>
          </c:dPt>
          <c:dLbls>
            <c:dLbl>
              <c:idx val="2"/>
              <c:layout>
                <c:manualLayout>
                  <c:x val="7.5557036733529684E-4"/>
                  <c:y val="-0.2577494409063815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B2B7-4975-AB55-3BC26DAB4003}"/>
                </c:ext>
              </c:extLst>
            </c:dLbl>
            <c:dLbl>
              <c:idx val="3"/>
              <c:layout>
                <c:manualLayout>
                  <c:x val="1.4623257111362751E-2"/>
                  <c:y val="-5.8938999412895682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EFC-4E2D-90E9-014D61375531}"/>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ysClr val="windowText" lastClr="000000"/>
                    </a:solidFill>
                    <a:latin typeface="Daytona" panose="020B0604030500040204" pitchFamily="34" charset="0"/>
                    <a:ea typeface="+mn-ea"/>
                    <a:cs typeface="+mn-cs"/>
                  </a:defRPr>
                </a:pPr>
                <a:endParaRPr lang="en-NG"/>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 Data '!$U$19:$U$23</c:f>
              <c:strCache>
                <c:ptCount val="5"/>
                <c:pt idx="0">
                  <c:v>Urea Train 1 </c:v>
                </c:pt>
                <c:pt idx="1">
                  <c:v>Urea Train 2</c:v>
                </c:pt>
                <c:pt idx="2">
                  <c:v>Methanol Train </c:v>
                </c:pt>
                <c:pt idx="3">
                  <c:v>Independent Power Plant (IPP)</c:v>
                </c:pt>
                <c:pt idx="4">
                  <c:v>Interest During Construction (IDC)</c:v>
                </c:pt>
              </c:strCache>
            </c:strRef>
          </c:cat>
          <c:val>
            <c:numRef>
              <c:f>'Graph Data '!$V$19:$V$23</c:f>
              <c:numCache>
                <c:formatCode>_-* #,##0_-;\-* #,##0_-;_-* "-"??_-;_-@_-</c:formatCode>
                <c:ptCount val="5"/>
                <c:pt idx="0">
                  <c:v>1419008619.7448981</c:v>
                </c:pt>
                <c:pt idx="1">
                  <c:v>891273160.66326511</c:v>
                </c:pt>
                <c:pt idx="2">
                  <c:v>1284980092.2448976</c:v>
                </c:pt>
                <c:pt idx="3">
                  <c:v>216000000</c:v>
                </c:pt>
                <c:pt idx="4">
                  <c:v>329189220.14716619</c:v>
                </c:pt>
              </c:numCache>
            </c:numRef>
          </c:val>
          <c:extLst>
            <c:ext xmlns:c16="http://schemas.microsoft.com/office/drawing/2014/chart" uri="{C3380CC4-5D6E-409C-BE32-E72D297353CC}">
              <c16:uniqueId val="{00000000-1108-43E2-87FE-4664C9785411}"/>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60000"/>
        <a:lumOff val="4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Daytona" panose="020B0604030500040204" pitchFamily="34" charset="0"/>
                <a:ea typeface="+mn-ea"/>
                <a:cs typeface="+mn-cs"/>
              </a:defRPr>
            </a:pPr>
            <a:r>
              <a:rPr lang="en-US" u="sng">
                <a:solidFill>
                  <a:schemeClr val="tx1"/>
                </a:solidFill>
                <a:latin typeface="Daytona" panose="020B0604030500040204" pitchFamily="34" charset="0"/>
              </a:rPr>
              <a:t>Margin</a:t>
            </a:r>
            <a:r>
              <a:rPr lang="en-US" u="sng" baseline="0">
                <a:solidFill>
                  <a:schemeClr val="tx1"/>
                </a:solidFill>
                <a:latin typeface="Daytona" panose="020B0604030500040204" pitchFamily="34" charset="0"/>
              </a:rPr>
              <a:t> Analysis -Urea Train (1&amp;2)</a:t>
            </a:r>
            <a:endParaRPr lang="en-US" u="sng">
              <a:solidFill>
                <a:schemeClr val="tx1"/>
              </a:solidFill>
              <a:latin typeface="Daytona" panose="020B0604030500040204" pitchFamily="34" charset="0"/>
            </a:endParaRPr>
          </a:p>
        </c:rich>
      </c:tx>
      <c:layout>
        <c:manualLayout>
          <c:xMode val="edge"/>
          <c:yMode val="edge"/>
          <c:x val="0.26679862331258181"/>
          <c:y val="3.45871162991785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Daytona" panose="020B0604030500040204" pitchFamily="34" charset="0"/>
              <a:ea typeface="+mn-ea"/>
              <a:cs typeface="+mn-cs"/>
            </a:defRPr>
          </a:pPr>
          <a:endParaRPr lang="en-US"/>
        </a:p>
      </c:txPr>
    </c:title>
    <c:autoTitleDeleted val="0"/>
    <c:plotArea>
      <c:layout>
        <c:manualLayout>
          <c:layoutTarget val="inner"/>
          <c:xMode val="edge"/>
          <c:yMode val="edge"/>
          <c:x val="0.16816880327975531"/>
          <c:y val="0.14306095979247732"/>
          <c:w val="0.80525332060765131"/>
          <c:h val="0.59860119625124686"/>
        </c:manualLayout>
      </c:layout>
      <c:barChart>
        <c:barDir val="col"/>
        <c:grouping val="clustered"/>
        <c:varyColors val="0"/>
        <c:ser>
          <c:idx val="0"/>
          <c:order val="0"/>
          <c:tx>
            <c:strRef>
              <c:f>'Graph Data '!$E$84</c:f>
              <c:strCache>
                <c:ptCount val="1"/>
                <c:pt idx="0">
                  <c:v> Gross Margin </c:v>
                </c:pt>
              </c:strCache>
            </c:strRef>
          </c:tx>
          <c:spPr>
            <a:solidFill>
              <a:schemeClr val="accent1"/>
            </a:solidFill>
            <a:ln>
              <a:noFill/>
            </a:ln>
            <a:effectLst/>
          </c:spPr>
          <c:invertIfNegative val="0"/>
          <c:cat>
            <c:numRef>
              <c:f>'Graph Data '!$F$83:$AV$83</c:f>
              <c:numCache>
                <c:formatCode>General</c:formatCode>
                <c:ptCount val="43"/>
                <c:pt idx="0">
                  <c:v>2027</c:v>
                </c:pt>
                <c:pt idx="1">
                  <c:v>2028</c:v>
                </c:pt>
                <c:pt idx="2">
                  <c:v>2029</c:v>
                </c:pt>
                <c:pt idx="3">
                  <c:v>2030</c:v>
                </c:pt>
                <c:pt idx="4">
                  <c:v>2031</c:v>
                </c:pt>
                <c:pt idx="5">
                  <c:v>2032</c:v>
                </c:pt>
                <c:pt idx="6">
                  <c:v>2033</c:v>
                </c:pt>
                <c:pt idx="7">
                  <c:v>2034</c:v>
                </c:pt>
                <c:pt idx="8">
                  <c:v>2035</c:v>
                </c:pt>
                <c:pt idx="9">
                  <c:v>2036</c:v>
                </c:pt>
                <c:pt idx="10">
                  <c:v>2037</c:v>
                </c:pt>
                <c:pt idx="11">
                  <c:v>2038</c:v>
                </c:pt>
                <c:pt idx="12">
                  <c:v>2039</c:v>
                </c:pt>
                <c:pt idx="13">
                  <c:v>2040</c:v>
                </c:pt>
                <c:pt idx="14">
                  <c:v>2041</c:v>
                </c:pt>
                <c:pt idx="15">
                  <c:v>2042</c:v>
                </c:pt>
                <c:pt idx="16">
                  <c:v>2043</c:v>
                </c:pt>
                <c:pt idx="17">
                  <c:v>2044</c:v>
                </c:pt>
                <c:pt idx="18">
                  <c:v>2045</c:v>
                </c:pt>
                <c:pt idx="19">
                  <c:v>2046</c:v>
                </c:pt>
                <c:pt idx="20">
                  <c:v>2047</c:v>
                </c:pt>
                <c:pt idx="21">
                  <c:v>2048</c:v>
                </c:pt>
                <c:pt idx="22">
                  <c:v>2049</c:v>
                </c:pt>
                <c:pt idx="23">
                  <c:v>2050</c:v>
                </c:pt>
                <c:pt idx="24">
                  <c:v>2051</c:v>
                </c:pt>
                <c:pt idx="25">
                  <c:v>2052</c:v>
                </c:pt>
                <c:pt idx="26">
                  <c:v>2053</c:v>
                </c:pt>
                <c:pt idx="27">
                  <c:v>2054</c:v>
                </c:pt>
                <c:pt idx="28">
                  <c:v>2055</c:v>
                </c:pt>
                <c:pt idx="29">
                  <c:v>2056</c:v>
                </c:pt>
                <c:pt idx="32">
                  <c:v>2057</c:v>
                </c:pt>
                <c:pt idx="33">
                  <c:v>2058</c:v>
                </c:pt>
                <c:pt idx="34">
                  <c:v>2059</c:v>
                </c:pt>
                <c:pt idx="35">
                  <c:v>2060</c:v>
                </c:pt>
                <c:pt idx="36">
                  <c:v>2061</c:v>
                </c:pt>
                <c:pt idx="37">
                  <c:v>2062</c:v>
                </c:pt>
                <c:pt idx="38">
                  <c:v>2063</c:v>
                </c:pt>
                <c:pt idx="39">
                  <c:v>2064</c:v>
                </c:pt>
                <c:pt idx="40">
                  <c:v>2065</c:v>
                </c:pt>
                <c:pt idx="41">
                  <c:v>2066</c:v>
                </c:pt>
                <c:pt idx="42">
                  <c:v>2067</c:v>
                </c:pt>
              </c:numCache>
            </c:numRef>
          </c:cat>
          <c:val>
            <c:numRef>
              <c:f>'Graph Data '!$F$84:$AV$84</c:f>
              <c:numCache>
                <c:formatCode>_-* #,##0_-;\-* #,##0_-;_-* "-"??_-;_-@_-</c:formatCode>
                <c:ptCount val="43"/>
                <c:pt idx="0">
                  <c:v>0</c:v>
                </c:pt>
                <c:pt idx="1">
                  <c:v>0</c:v>
                </c:pt>
                <c:pt idx="2">
                  <c:v>0</c:v>
                </c:pt>
                <c:pt idx="3">
                  <c:v>-225411585.37643507</c:v>
                </c:pt>
                <c:pt idx="4">
                  <c:v>-243323678.81525734</c:v>
                </c:pt>
                <c:pt idx="5">
                  <c:v>-250216061.98790997</c:v>
                </c:pt>
                <c:pt idx="6">
                  <c:v>-257695183.59808689</c:v>
                </c:pt>
                <c:pt idx="7">
                  <c:v>-264997782.77132106</c:v>
                </c:pt>
                <c:pt idx="8">
                  <c:v>-272646187.63812971</c:v>
                </c:pt>
                <c:pt idx="9">
                  <c:v>-280377712.28357452</c:v>
                </c:pt>
                <c:pt idx="10">
                  <c:v>-288758960.73966122</c:v>
                </c:pt>
                <c:pt idx="11">
                  <c:v>-296950856.74217033</c:v>
                </c:pt>
                <c:pt idx="12">
                  <c:v>-305527848.22467238</c:v>
                </c:pt>
                <c:pt idx="13">
                  <c:v>-314201255.31220824</c:v>
                </c:pt>
                <c:pt idx="14">
                  <c:v>-323594216.45957077</c:v>
                </c:pt>
                <c:pt idx="15">
                  <c:v>-332784312.81291527</c:v>
                </c:pt>
                <c:pt idx="16">
                  <c:v>-342403316.46766758</c:v>
                </c:pt>
                <c:pt idx="17">
                  <c:v>-352133985.2549057</c:v>
                </c:pt>
                <c:pt idx="18">
                  <c:v>-362661636.80299854</c:v>
                </c:pt>
                <c:pt idx="19">
                  <c:v>-372972235.59762186</c:v>
                </c:pt>
                <c:pt idx="20">
                  <c:v>-383760602.38719308</c:v>
                </c:pt>
                <c:pt idx="21">
                  <c:v>-394678111.10105628</c:v>
                </c:pt>
                <c:pt idx="22">
                  <c:v>-406478467.38470387</c:v>
                </c:pt>
                <c:pt idx="23">
                  <c:v>-418046924.07187122</c:v>
                </c:pt>
                <c:pt idx="24">
                  <c:v>-430147647.22755754</c:v>
                </c:pt>
                <c:pt idx="25">
                  <c:v>-442397527.08341146</c:v>
                </c:pt>
                <c:pt idx="26">
                  <c:v>-455625486.67015553</c:v>
                </c:pt>
                <c:pt idx="27">
                  <c:v>-468606069.87332213</c:v>
                </c:pt>
                <c:pt idx="28">
                  <c:v>-482179714.16450691</c:v>
                </c:pt>
                <c:pt idx="29">
                  <c:v>-496148938.8771069</c:v>
                </c:pt>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0-C08E-4FA5-859D-EB7E866752E0}"/>
            </c:ext>
          </c:extLst>
        </c:ser>
        <c:ser>
          <c:idx val="1"/>
          <c:order val="1"/>
          <c:tx>
            <c:strRef>
              <c:f>'Graph Data '!$E$85</c:f>
              <c:strCache>
                <c:ptCount val="1"/>
                <c:pt idx="0">
                  <c:v> Contribution Margin  </c:v>
                </c:pt>
              </c:strCache>
            </c:strRef>
          </c:tx>
          <c:spPr>
            <a:solidFill>
              <a:schemeClr val="accent2"/>
            </a:solidFill>
            <a:ln>
              <a:noFill/>
            </a:ln>
            <a:effectLst/>
          </c:spPr>
          <c:invertIfNegative val="0"/>
          <c:cat>
            <c:numRef>
              <c:f>'Graph Data '!$F$83:$AV$83</c:f>
              <c:numCache>
                <c:formatCode>General</c:formatCode>
                <c:ptCount val="43"/>
                <c:pt idx="0">
                  <c:v>2027</c:v>
                </c:pt>
                <c:pt idx="1">
                  <c:v>2028</c:v>
                </c:pt>
                <c:pt idx="2">
                  <c:v>2029</c:v>
                </c:pt>
                <c:pt idx="3">
                  <c:v>2030</c:v>
                </c:pt>
                <c:pt idx="4">
                  <c:v>2031</c:v>
                </c:pt>
                <c:pt idx="5">
                  <c:v>2032</c:v>
                </c:pt>
                <c:pt idx="6">
                  <c:v>2033</c:v>
                </c:pt>
                <c:pt idx="7">
                  <c:v>2034</c:v>
                </c:pt>
                <c:pt idx="8">
                  <c:v>2035</c:v>
                </c:pt>
                <c:pt idx="9">
                  <c:v>2036</c:v>
                </c:pt>
                <c:pt idx="10">
                  <c:v>2037</c:v>
                </c:pt>
                <c:pt idx="11">
                  <c:v>2038</c:v>
                </c:pt>
                <c:pt idx="12">
                  <c:v>2039</c:v>
                </c:pt>
                <c:pt idx="13">
                  <c:v>2040</c:v>
                </c:pt>
                <c:pt idx="14">
                  <c:v>2041</c:v>
                </c:pt>
                <c:pt idx="15">
                  <c:v>2042</c:v>
                </c:pt>
                <c:pt idx="16">
                  <c:v>2043</c:v>
                </c:pt>
                <c:pt idx="17">
                  <c:v>2044</c:v>
                </c:pt>
                <c:pt idx="18">
                  <c:v>2045</c:v>
                </c:pt>
                <c:pt idx="19">
                  <c:v>2046</c:v>
                </c:pt>
                <c:pt idx="20">
                  <c:v>2047</c:v>
                </c:pt>
                <c:pt idx="21">
                  <c:v>2048</c:v>
                </c:pt>
                <c:pt idx="22">
                  <c:v>2049</c:v>
                </c:pt>
                <c:pt idx="23">
                  <c:v>2050</c:v>
                </c:pt>
                <c:pt idx="24">
                  <c:v>2051</c:v>
                </c:pt>
                <c:pt idx="25">
                  <c:v>2052</c:v>
                </c:pt>
                <c:pt idx="26">
                  <c:v>2053</c:v>
                </c:pt>
                <c:pt idx="27">
                  <c:v>2054</c:v>
                </c:pt>
                <c:pt idx="28">
                  <c:v>2055</c:v>
                </c:pt>
                <c:pt idx="29">
                  <c:v>2056</c:v>
                </c:pt>
                <c:pt idx="32">
                  <c:v>2057</c:v>
                </c:pt>
                <c:pt idx="33">
                  <c:v>2058</c:v>
                </c:pt>
                <c:pt idx="34">
                  <c:v>2059</c:v>
                </c:pt>
                <c:pt idx="35">
                  <c:v>2060</c:v>
                </c:pt>
                <c:pt idx="36">
                  <c:v>2061</c:v>
                </c:pt>
                <c:pt idx="37">
                  <c:v>2062</c:v>
                </c:pt>
                <c:pt idx="38">
                  <c:v>2063</c:v>
                </c:pt>
                <c:pt idx="39">
                  <c:v>2064</c:v>
                </c:pt>
                <c:pt idx="40">
                  <c:v>2065</c:v>
                </c:pt>
                <c:pt idx="41">
                  <c:v>2066</c:v>
                </c:pt>
                <c:pt idx="42">
                  <c:v>2067</c:v>
                </c:pt>
              </c:numCache>
            </c:numRef>
          </c:cat>
          <c:val>
            <c:numRef>
              <c:f>'Graph Data '!$F$85:$AV$85</c:f>
              <c:numCache>
                <c:formatCode>_-* #,##0_-;\-* #,##0_-;_-* "-"??_-;_-@_-</c:formatCode>
                <c:ptCount val="43"/>
                <c:pt idx="0">
                  <c:v>0</c:v>
                </c:pt>
                <c:pt idx="1">
                  <c:v>0</c:v>
                </c:pt>
                <c:pt idx="2">
                  <c:v>0</c:v>
                </c:pt>
                <c:pt idx="3">
                  <c:v>-234859920.41113243</c:v>
                </c:pt>
                <c:pt idx="4">
                  <c:v>-253001362.77858603</c:v>
                </c:pt>
                <c:pt idx="5">
                  <c:v>-260109532.11690342</c:v>
                </c:pt>
                <c:pt idx="6">
                  <c:v>-267892813.45445779</c:v>
                </c:pt>
                <c:pt idx="7">
                  <c:v>-275422899.92509693</c:v>
                </c:pt>
                <c:pt idx="8">
                  <c:v>-283333121.11578125</c:v>
                </c:pt>
                <c:pt idx="9">
                  <c:v>-291303161.34508544</c:v>
                </c:pt>
                <c:pt idx="10">
                  <c:v>-300020533.09133637</c:v>
                </c:pt>
                <c:pt idx="11">
                  <c:v>-308463890.46923751</c:v>
                </c:pt>
                <c:pt idx="12">
                  <c:v>-317330266.9300493</c:v>
                </c:pt>
                <c:pt idx="13">
                  <c:v>-326267338.63790399</c:v>
                </c:pt>
                <c:pt idx="14">
                  <c:v>-336031780.41864479</c:v>
                </c:pt>
                <c:pt idx="15">
                  <c:v>-345499865.78254938</c:v>
                </c:pt>
                <c:pt idx="16">
                  <c:v>-355438756.74132943</c:v>
                </c:pt>
                <c:pt idx="17">
                  <c:v>-365460919.4005304</c:v>
                </c:pt>
                <c:pt idx="18">
                  <c:v>-376399167.18335277</c:v>
                </c:pt>
                <c:pt idx="19">
                  <c:v>-387017111.37243205</c:v>
                </c:pt>
                <c:pt idx="20">
                  <c:v>-398159117.29529256</c:v>
                </c:pt>
                <c:pt idx="21">
                  <c:v>-409398918.36627591</c:v>
                </c:pt>
                <c:pt idx="22">
                  <c:v>-421653148.85231179</c:v>
                </c:pt>
                <c:pt idx="23">
                  <c:v>-433561441.29087764</c:v>
                </c:pt>
                <c:pt idx="24">
                  <c:v>-446053155.17547005</c:v>
                </c:pt>
                <c:pt idx="25">
                  <c:v>-458659415.68772948</c:v>
                </c:pt>
                <c:pt idx="26">
                  <c:v>-472389137.91525298</c:v>
                </c:pt>
                <c:pt idx="27">
                  <c:v>-485745519.77809834</c:v>
                </c:pt>
                <c:pt idx="28">
                  <c:v>-499751494.65676248</c:v>
                </c:pt>
                <c:pt idx="29">
                  <c:v>-514164055.40463424</c:v>
                </c:pt>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1-C08E-4FA5-859D-EB7E866752E0}"/>
            </c:ext>
          </c:extLst>
        </c:ser>
        <c:dLbls>
          <c:showLegendKey val="0"/>
          <c:showVal val="0"/>
          <c:showCatName val="0"/>
          <c:showSerName val="0"/>
          <c:showPercent val="0"/>
          <c:showBubbleSize val="0"/>
        </c:dLbls>
        <c:gapWidth val="150"/>
        <c:axId val="842468592"/>
        <c:axId val="842462360"/>
      </c:barChart>
      <c:lineChart>
        <c:grouping val="standard"/>
        <c:varyColors val="0"/>
        <c:ser>
          <c:idx val="2"/>
          <c:order val="2"/>
          <c:tx>
            <c:strRef>
              <c:f>'Graph Data '!$E$86</c:f>
              <c:strCache>
                <c:ptCount val="1"/>
                <c:pt idx="0">
                  <c:v> Operating Margin  </c:v>
                </c:pt>
              </c:strCache>
            </c:strRef>
          </c:tx>
          <c:spPr>
            <a:ln w="28575" cap="rnd">
              <a:solidFill>
                <a:schemeClr val="accent3"/>
              </a:solidFill>
              <a:round/>
            </a:ln>
            <a:effectLst/>
          </c:spPr>
          <c:marker>
            <c:symbol val="none"/>
          </c:marker>
          <c:cat>
            <c:numRef>
              <c:f>'Graph Data '!$F$83:$AV$83</c:f>
              <c:numCache>
                <c:formatCode>General</c:formatCode>
                <c:ptCount val="43"/>
                <c:pt idx="0">
                  <c:v>2027</c:v>
                </c:pt>
                <c:pt idx="1">
                  <c:v>2028</c:v>
                </c:pt>
                <c:pt idx="2">
                  <c:v>2029</c:v>
                </c:pt>
                <c:pt idx="3">
                  <c:v>2030</c:v>
                </c:pt>
                <c:pt idx="4">
                  <c:v>2031</c:v>
                </c:pt>
                <c:pt idx="5">
                  <c:v>2032</c:v>
                </c:pt>
                <c:pt idx="6">
                  <c:v>2033</c:v>
                </c:pt>
                <c:pt idx="7">
                  <c:v>2034</c:v>
                </c:pt>
                <c:pt idx="8">
                  <c:v>2035</c:v>
                </c:pt>
                <c:pt idx="9">
                  <c:v>2036</c:v>
                </c:pt>
                <c:pt idx="10">
                  <c:v>2037</c:v>
                </c:pt>
                <c:pt idx="11">
                  <c:v>2038</c:v>
                </c:pt>
                <c:pt idx="12">
                  <c:v>2039</c:v>
                </c:pt>
                <c:pt idx="13">
                  <c:v>2040</c:v>
                </c:pt>
                <c:pt idx="14">
                  <c:v>2041</c:v>
                </c:pt>
                <c:pt idx="15">
                  <c:v>2042</c:v>
                </c:pt>
                <c:pt idx="16">
                  <c:v>2043</c:v>
                </c:pt>
                <c:pt idx="17">
                  <c:v>2044</c:v>
                </c:pt>
                <c:pt idx="18">
                  <c:v>2045</c:v>
                </c:pt>
                <c:pt idx="19">
                  <c:v>2046</c:v>
                </c:pt>
                <c:pt idx="20">
                  <c:v>2047</c:v>
                </c:pt>
                <c:pt idx="21">
                  <c:v>2048</c:v>
                </c:pt>
                <c:pt idx="22">
                  <c:v>2049</c:v>
                </c:pt>
                <c:pt idx="23">
                  <c:v>2050</c:v>
                </c:pt>
                <c:pt idx="24">
                  <c:v>2051</c:v>
                </c:pt>
                <c:pt idx="25">
                  <c:v>2052</c:v>
                </c:pt>
                <c:pt idx="26">
                  <c:v>2053</c:v>
                </c:pt>
                <c:pt idx="27">
                  <c:v>2054</c:v>
                </c:pt>
                <c:pt idx="28">
                  <c:v>2055</c:v>
                </c:pt>
                <c:pt idx="29">
                  <c:v>2056</c:v>
                </c:pt>
                <c:pt idx="32">
                  <c:v>2057</c:v>
                </c:pt>
                <c:pt idx="33">
                  <c:v>2058</c:v>
                </c:pt>
                <c:pt idx="34">
                  <c:v>2059</c:v>
                </c:pt>
                <c:pt idx="35">
                  <c:v>2060</c:v>
                </c:pt>
                <c:pt idx="36">
                  <c:v>2061</c:v>
                </c:pt>
                <c:pt idx="37">
                  <c:v>2062</c:v>
                </c:pt>
                <c:pt idx="38">
                  <c:v>2063</c:v>
                </c:pt>
                <c:pt idx="39">
                  <c:v>2064</c:v>
                </c:pt>
                <c:pt idx="40">
                  <c:v>2065</c:v>
                </c:pt>
                <c:pt idx="41">
                  <c:v>2066</c:v>
                </c:pt>
                <c:pt idx="42">
                  <c:v>2067</c:v>
                </c:pt>
              </c:numCache>
            </c:numRef>
          </c:cat>
          <c:val>
            <c:numRef>
              <c:f>'Graph Data '!$F$86:$AV$86</c:f>
              <c:numCache>
                <c:formatCode>_-* #,##0_-;\-* #,##0_-;_-* "-"??_-;_-@_-</c:formatCode>
                <c:ptCount val="43"/>
                <c:pt idx="0">
                  <c:v>0</c:v>
                </c:pt>
                <c:pt idx="1">
                  <c:v>-74453662.31968756</c:v>
                </c:pt>
                <c:pt idx="2">
                  <c:v>-157749937.51359648</c:v>
                </c:pt>
                <c:pt idx="3">
                  <c:v>-250909591.2945314</c:v>
                </c:pt>
                <c:pt idx="4">
                  <c:v>-269420176.09230316</c:v>
                </c:pt>
                <c:pt idx="5">
                  <c:v>-276876460.16098791</c:v>
                </c:pt>
                <c:pt idx="6">
                  <c:v>-285156355.1905219</c:v>
                </c:pt>
                <c:pt idx="7">
                  <c:v>-293052466.48048306</c:v>
                </c:pt>
                <c:pt idx="8">
                  <c:v>-301385797.26849663</c:v>
                </c:pt>
                <c:pt idx="9">
                  <c:v>-309738593.69163984</c:v>
                </c:pt>
                <c:pt idx="10">
                  <c:v>-319001997.96673512</c:v>
                </c:pt>
                <c:pt idx="11">
                  <c:v>-327847803.88953543</c:v>
                </c:pt>
                <c:pt idx="12">
                  <c:v>-337179394.27243435</c:v>
                </c:pt>
                <c:pt idx="13">
                  <c:v>-346537310.86601835</c:v>
                </c:pt>
                <c:pt idx="14">
                  <c:v>-356902121.76136744</c:v>
                </c:pt>
                <c:pt idx="15">
                  <c:v>-366812703.97997022</c:v>
                </c:pt>
                <c:pt idx="16">
                  <c:v>-377263103.05548835</c:v>
                </c:pt>
                <c:pt idx="17">
                  <c:v>-387747989.56003869</c:v>
                </c:pt>
                <c:pt idx="18">
                  <c:v>-399346350.16533053</c:v>
                </c:pt>
                <c:pt idx="19">
                  <c:v>-410450824.79140472</c:v>
                </c:pt>
                <c:pt idx="20">
                  <c:v>-422155239.83632058</c:v>
                </c:pt>
                <c:pt idx="21">
                  <c:v>-433903811.15571481</c:v>
                </c:pt>
                <c:pt idx="22">
                  <c:v>-446883843.36569989</c:v>
                </c:pt>
                <c:pt idx="23">
                  <c:v>-459327081.67700863</c:v>
                </c:pt>
                <c:pt idx="24">
                  <c:v>-472437170.93086815</c:v>
                </c:pt>
                <c:pt idx="25">
                  <c:v>-485602830.24712181</c:v>
                </c:pt>
                <c:pt idx="26">
                  <c:v>-500130579.90958732</c:v>
                </c:pt>
                <c:pt idx="27">
                  <c:v>-514075140.97974426</c:v>
                </c:pt>
                <c:pt idx="28">
                  <c:v>-528761026.76724792</c:v>
                </c:pt>
                <c:pt idx="29">
                  <c:v>-543869816.28577125</c:v>
                </c:pt>
                <c:pt idx="32">
                  <c:v>0</c:v>
                </c:pt>
                <c:pt idx="33">
                  <c:v>0</c:v>
                </c:pt>
                <c:pt idx="34">
                  <c:v>0</c:v>
                </c:pt>
                <c:pt idx="35">
                  <c:v>0</c:v>
                </c:pt>
                <c:pt idx="36">
                  <c:v>0</c:v>
                </c:pt>
                <c:pt idx="37">
                  <c:v>0</c:v>
                </c:pt>
                <c:pt idx="38">
                  <c:v>0</c:v>
                </c:pt>
                <c:pt idx="39">
                  <c:v>0</c:v>
                </c:pt>
                <c:pt idx="40">
                  <c:v>0</c:v>
                </c:pt>
                <c:pt idx="41">
                  <c:v>0</c:v>
                </c:pt>
                <c:pt idx="42">
                  <c:v>0</c:v>
                </c:pt>
              </c:numCache>
            </c:numRef>
          </c:val>
          <c:smooth val="0"/>
          <c:extLst>
            <c:ext xmlns:c16="http://schemas.microsoft.com/office/drawing/2014/chart" uri="{C3380CC4-5D6E-409C-BE32-E72D297353CC}">
              <c16:uniqueId val="{00000002-C08E-4FA5-859D-EB7E866752E0}"/>
            </c:ext>
          </c:extLst>
        </c:ser>
        <c:dLbls>
          <c:showLegendKey val="0"/>
          <c:showVal val="0"/>
          <c:showCatName val="0"/>
          <c:showSerName val="0"/>
          <c:showPercent val="0"/>
          <c:showBubbleSize val="0"/>
        </c:dLbls>
        <c:marker val="1"/>
        <c:smooth val="0"/>
        <c:axId val="842468592"/>
        <c:axId val="842462360"/>
      </c:lineChart>
      <c:catAx>
        <c:axId val="842468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842462360"/>
        <c:crosses val="autoZero"/>
        <c:auto val="1"/>
        <c:lblAlgn val="ctr"/>
        <c:lblOffset val="100"/>
        <c:noMultiLvlLbl val="0"/>
      </c:catAx>
      <c:valAx>
        <c:axId val="842462360"/>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crossAx val="842468592"/>
        <c:crosses val="autoZero"/>
        <c:crossBetween val="between"/>
      </c:valAx>
      <c:spPr>
        <a:noFill/>
        <a:ln>
          <a:noFill/>
        </a:ln>
        <a:effectLst/>
      </c:spPr>
    </c:plotArea>
    <c:legend>
      <c:legendPos val="b"/>
      <c:layout>
        <c:manualLayout>
          <c:xMode val="edge"/>
          <c:yMode val="edge"/>
          <c:x val="6.1877363470062119E-2"/>
          <c:y val="0.92015108033674775"/>
          <c:w val="0.87165372406961528"/>
          <c:h val="7.984891966325219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20000"/>
        <a:lumOff val="8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sng" strike="noStrike" kern="1200" spc="0" baseline="0">
                <a:solidFill>
                  <a:schemeClr val="tx1">
                    <a:lumMod val="65000"/>
                    <a:lumOff val="35000"/>
                  </a:schemeClr>
                </a:solidFill>
                <a:latin typeface="Daytona" panose="020B0604030500040204" pitchFamily="34" charset="0"/>
                <a:ea typeface="+mn-ea"/>
                <a:cs typeface="+mn-cs"/>
              </a:defRPr>
            </a:pPr>
            <a:r>
              <a:rPr lang="en-US" u="sng" baseline="0">
                <a:latin typeface="Daytona" panose="020B0604030500040204" pitchFamily="34" charset="0"/>
              </a:rPr>
              <a:t>-Urea Train 1 &amp; 2-Operating Margin </a:t>
            </a:r>
            <a:endParaRPr lang="en-US" u="sng">
              <a:latin typeface="Daytona" panose="020B0604030500040204" pitchFamily="34" charset="0"/>
            </a:endParaRPr>
          </a:p>
        </c:rich>
      </c:tx>
      <c:overlay val="0"/>
      <c:spPr>
        <a:noFill/>
        <a:ln>
          <a:noFill/>
        </a:ln>
        <a:effectLst/>
      </c:spPr>
      <c:txPr>
        <a:bodyPr rot="0" spcFirstLastPara="1" vertOverflow="ellipsis" vert="horz" wrap="square" anchor="ctr" anchorCtr="1"/>
        <a:lstStyle/>
        <a:p>
          <a:pPr>
            <a:defRPr sz="1400" b="0" i="0" u="sng" strike="noStrike" kern="1200" spc="0" baseline="0">
              <a:solidFill>
                <a:schemeClr val="tx1">
                  <a:lumMod val="65000"/>
                  <a:lumOff val="35000"/>
                </a:schemeClr>
              </a:solidFill>
              <a:latin typeface="Daytona" panose="020B0604030500040204" pitchFamily="34" charset="0"/>
              <a:ea typeface="+mn-ea"/>
              <a:cs typeface="+mn-cs"/>
            </a:defRPr>
          </a:pPr>
          <a:endParaRPr lang="en-US"/>
        </a:p>
      </c:txPr>
    </c:title>
    <c:autoTitleDeleted val="0"/>
    <c:plotArea>
      <c:layout/>
      <c:barChart>
        <c:barDir val="col"/>
        <c:grouping val="stacked"/>
        <c:varyColors val="0"/>
        <c:ser>
          <c:idx val="0"/>
          <c:order val="0"/>
          <c:tx>
            <c:strRef>
              <c:f>'Graph Data '!$E$91</c:f>
              <c:strCache>
                <c:ptCount val="1"/>
                <c:pt idx="0">
                  <c:v>Operating Cost </c:v>
                </c:pt>
              </c:strCache>
            </c:strRef>
          </c:tx>
          <c:spPr>
            <a:solidFill>
              <a:schemeClr val="accent1"/>
            </a:solidFill>
            <a:ln>
              <a:noFill/>
            </a:ln>
            <a:effectLst/>
          </c:spPr>
          <c:invertIfNegative val="0"/>
          <c:val>
            <c:numRef>
              <c:f>'Graph Data '!$F$91:$AV$91</c:f>
              <c:numCache>
                <c:formatCode>_-* #,##0_-;\-* #,##0_-;_-* "-"??_-;_-@_-</c:formatCode>
                <c:ptCount val="43"/>
                <c:pt idx="0">
                  <c:v>0</c:v>
                </c:pt>
                <c:pt idx="1">
                  <c:v>0</c:v>
                </c:pt>
                <c:pt idx="2">
                  <c:v>9064495.497197248</c:v>
                </c:pt>
                <c:pt idx="3">
                  <c:v>250909591.2945314</c:v>
                </c:pt>
                <c:pt idx="4">
                  <c:v>269420176.09230316</c:v>
                </c:pt>
                <c:pt idx="5">
                  <c:v>276876460.16098791</c:v>
                </c:pt>
                <c:pt idx="6">
                  <c:v>285156355.1905219</c:v>
                </c:pt>
                <c:pt idx="7">
                  <c:v>293052466.48048306</c:v>
                </c:pt>
                <c:pt idx="8">
                  <c:v>301385797.26849663</c:v>
                </c:pt>
                <c:pt idx="9">
                  <c:v>309738593.69163984</c:v>
                </c:pt>
                <c:pt idx="10">
                  <c:v>319001997.96673512</c:v>
                </c:pt>
                <c:pt idx="11">
                  <c:v>327847803.88953543</c:v>
                </c:pt>
                <c:pt idx="12">
                  <c:v>337179394.27243435</c:v>
                </c:pt>
                <c:pt idx="13">
                  <c:v>346537310.86601835</c:v>
                </c:pt>
                <c:pt idx="14">
                  <c:v>356902121.76136744</c:v>
                </c:pt>
                <c:pt idx="15">
                  <c:v>366812703.97997022</c:v>
                </c:pt>
                <c:pt idx="16">
                  <c:v>377263103.05548835</c:v>
                </c:pt>
                <c:pt idx="17">
                  <c:v>387747989.56003869</c:v>
                </c:pt>
                <c:pt idx="18">
                  <c:v>399346350.16533053</c:v>
                </c:pt>
                <c:pt idx="19">
                  <c:v>410450824.79140472</c:v>
                </c:pt>
                <c:pt idx="20">
                  <c:v>422155239.83632058</c:v>
                </c:pt>
                <c:pt idx="21">
                  <c:v>433903811.15571481</c:v>
                </c:pt>
                <c:pt idx="22">
                  <c:v>446883843.36569989</c:v>
                </c:pt>
                <c:pt idx="23">
                  <c:v>459327081.67700863</c:v>
                </c:pt>
                <c:pt idx="24">
                  <c:v>472437170.93086815</c:v>
                </c:pt>
                <c:pt idx="25">
                  <c:v>485602830.24712181</c:v>
                </c:pt>
                <c:pt idx="26">
                  <c:v>500130579.90958732</c:v>
                </c:pt>
                <c:pt idx="27">
                  <c:v>514075140.97974426</c:v>
                </c:pt>
                <c:pt idx="28">
                  <c:v>528761026.76724792</c:v>
                </c:pt>
                <c:pt idx="29">
                  <c:v>543869816.28577125</c:v>
                </c:pt>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0-5490-4EE0-8F5A-6067483CB2D4}"/>
            </c:ext>
          </c:extLst>
        </c:ser>
        <c:ser>
          <c:idx val="1"/>
          <c:order val="1"/>
          <c:tx>
            <c:strRef>
              <c:f>'Graph Data '!$E$92</c:f>
              <c:strCache>
                <c:ptCount val="1"/>
                <c:pt idx="0">
                  <c:v>Operarting Margin</c:v>
                </c:pt>
              </c:strCache>
            </c:strRef>
          </c:tx>
          <c:spPr>
            <a:solidFill>
              <a:schemeClr val="accent2"/>
            </a:solidFill>
            <a:ln>
              <a:noFill/>
            </a:ln>
            <a:effectLst/>
          </c:spPr>
          <c:invertIfNegative val="0"/>
          <c:val>
            <c:numRef>
              <c:f>'Graph Data '!$F$92:$AV$92</c:f>
              <c:numCache>
                <c:formatCode>_-* #,##0_-;\-* #,##0_-;_-* "-"??_-;_-@_-</c:formatCode>
                <c:ptCount val="43"/>
                <c:pt idx="0">
                  <c:v>0</c:v>
                </c:pt>
                <c:pt idx="1">
                  <c:v>-74453662.31968756</c:v>
                </c:pt>
                <c:pt idx="2">
                  <c:v>-157749937.51359648</c:v>
                </c:pt>
                <c:pt idx="3">
                  <c:v>-250909591.2945314</c:v>
                </c:pt>
                <c:pt idx="4">
                  <c:v>-269420176.09230316</c:v>
                </c:pt>
                <c:pt idx="5">
                  <c:v>-276876460.16098791</c:v>
                </c:pt>
                <c:pt idx="6">
                  <c:v>-285156355.1905219</c:v>
                </c:pt>
                <c:pt idx="7">
                  <c:v>-293052466.48048306</c:v>
                </c:pt>
                <c:pt idx="8">
                  <c:v>-301385797.26849663</c:v>
                </c:pt>
                <c:pt idx="9">
                  <c:v>-309738593.69163984</c:v>
                </c:pt>
                <c:pt idx="10">
                  <c:v>-319001997.96673512</c:v>
                </c:pt>
                <c:pt idx="11">
                  <c:v>-327847803.88953543</c:v>
                </c:pt>
                <c:pt idx="12">
                  <c:v>-337179394.27243435</c:v>
                </c:pt>
                <c:pt idx="13">
                  <c:v>-346537310.86601835</c:v>
                </c:pt>
                <c:pt idx="14">
                  <c:v>-356902121.76136744</c:v>
                </c:pt>
                <c:pt idx="15">
                  <c:v>-366812703.97997022</c:v>
                </c:pt>
                <c:pt idx="16">
                  <c:v>-377263103.05548835</c:v>
                </c:pt>
                <c:pt idx="17">
                  <c:v>-387747989.56003869</c:v>
                </c:pt>
                <c:pt idx="18">
                  <c:v>-399346350.16533053</c:v>
                </c:pt>
                <c:pt idx="19">
                  <c:v>-410450824.79140472</c:v>
                </c:pt>
                <c:pt idx="20">
                  <c:v>-422155239.83632058</c:v>
                </c:pt>
                <c:pt idx="21">
                  <c:v>-433903811.15571481</c:v>
                </c:pt>
                <c:pt idx="22">
                  <c:v>-446883843.36569989</c:v>
                </c:pt>
                <c:pt idx="23">
                  <c:v>-459327081.67700863</c:v>
                </c:pt>
                <c:pt idx="24">
                  <c:v>-472437170.93086815</c:v>
                </c:pt>
                <c:pt idx="25">
                  <c:v>-485602830.24712181</c:v>
                </c:pt>
                <c:pt idx="26">
                  <c:v>-500130579.90958732</c:v>
                </c:pt>
                <c:pt idx="27">
                  <c:v>-514075140.97974426</c:v>
                </c:pt>
                <c:pt idx="28">
                  <c:v>-528761026.76724792</c:v>
                </c:pt>
                <c:pt idx="29">
                  <c:v>-543869816.28577125</c:v>
                </c:pt>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1-5490-4EE0-8F5A-6067483CB2D4}"/>
            </c:ext>
          </c:extLst>
        </c:ser>
        <c:dLbls>
          <c:showLegendKey val="0"/>
          <c:showVal val="0"/>
          <c:showCatName val="0"/>
          <c:showSerName val="0"/>
          <c:showPercent val="0"/>
          <c:showBubbleSize val="0"/>
        </c:dLbls>
        <c:gapWidth val="150"/>
        <c:overlap val="100"/>
        <c:axId val="882263416"/>
        <c:axId val="882261776"/>
      </c:barChart>
      <c:catAx>
        <c:axId val="8822634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Year</a:t>
                </a:r>
                <a:r>
                  <a:rPr lang="en-US" b="1" baseline="0"/>
                  <a:t>s </a:t>
                </a:r>
                <a:endParaRPr lang="en-US" b="1"/>
              </a:p>
            </c:rich>
          </c:tx>
          <c:layout>
            <c:manualLayout>
              <c:xMode val="edge"/>
              <c:yMode val="edge"/>
              <c:x val="0.52331124234470694"/>
              <c:y val="0.765397710702828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crossAx val="882261776"/>
        <c:crosses val="autoZero"/>
        <c:auto val="1"/>
        <c:lblAlgn val="ctr"/>
        <c:lblOffset val="100"/>
        <c:noMultiLvlLbl val="0"/>
      </c:catAx>
      <c:valAx>
        <c:axId val="8822617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US$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NG"/>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crossAx val="882263416"/>
        <c:crosses val="autoZero"/>
        <c:crossBetween val="between"/>
      </c:valAx>
      <c:spPr>
        <a:noFill/>
        <a:ln>
          <a:noFill/>
        </a:ln>
        <a:effectLst/>
      </c:spPr>
    </c:plotArea>
    <c:legend>
      <c:legendPos val="b"/>
      <c:overlay val="0"/>
      <c:spPr>
        <a:solidFill>
          <a:schemeClr val="accent6">
            <a:lumMod val="40000"/>
            <a:lumOff val="60000"/>
          </a:schemeClr>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Daytona" panose="020B0604030500040204" pitchFamily="34" charset="0"/>
                <a:ea typeface="+mn-ea"/>
                <a:cs typeface="+mn-cs"/>
              </a:defRPr>
            </a:pPr>
            <a:r>
              <a:rPr lang="en-US" u="sng">
                <a:solidFill>
                  <a:sysClr val="windowText" lastClr="000000"/>
                </a:solidFill>
                <a:latin typeface="Daytona" panose="020B0604030500040204" pitchFamily="34" charset="0"/>
              </a:rPr>
              <a:t>Methanol</a:t>
            </a:r>
            <a:r>
              <a:rPr lang="en-US" u="sng" baseline="0">
                <a:solidFill>
                  <a:sysClr val="windowText" lastClr="000000"/>
                </a:solidFill>
                <a:latin typeface="Daytona" panose="020B0604030500040204" pitchFamily="34" charset="0"/>
              </a:rPr>
              <a:t> Operating </a:t>
            </a:r>
            <a:r>
              <a:rPr lang="en-US" u="sng">
                <a:solidFill>
                  <a:sysClr val="windowText" lastClr="000000"/>
                </a:solidFill>
                <a:latin typeface="Daytona" panose="020B0604030500040204" pitchFamily="34" charset="0"/>
              </a:rPr>
              <a:t> Margin</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Daytona" panose="020B0604030500040204" pitchFamily="34" charset="0"/>
              <a:ea typeface="+mn-ea"/>
              <a:cs typeface="+mn-cs"/>
            </a:defRPr>
          </a:pPr>
          <a:endParaRPr lang="en-NG"/>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'Graph Data '!$E$97</c:f>
              <c:strCache>
                <c:ptCount val="1"/>
                <c:pt idx="0">
                  <c:v> Operating Cost  </c:v>
                </c:pt>
              </c:strCache>
            </c:strRef>
          </c:tx>
          <c:spPr>
            <a:solidFill>
              <a:schemeClr val="accent1"/>
            </a:solidFill>
            <a:ln>
              <a:noFill/>
            </a:ln>
            <a:effectLst/>
            <a:sp3d/>
          </c:spPr>
          <c:invertIfNegative val="0"/>
          <c:val>
            <c:numRef>
              <c:f>'Graph Data '!$F$97:$AV$97</c:f>
              <c:numCache>
                <c:formatCode>_-* #,##0_-;\-* #,##0_-;_-* "-"??_-;_-@_-</c:formatCode>
                <c:ptCount val="43"/>
                <c:pt idx="0">
                  <c:v>0</c:v>
                </c:pt>
                <c:pt idx="1">
                  <c:v>0</c:v>
                </c:pt>
                <c:pt idx="2">
                  <c:v>0</c:v>
                </c:pt>
                <c:pt idx="3">
                  <c:v>139503884.98939732</c:v>
                </c:pt>
                <c:pt idx="4">
                  <c:v>143463625.23244584</c:v>
                </c:pt>
                <c:pt idx="5">
                  <c:v>147480002.57769656</c:v>
                </c:pt>
                <c:pt idx="6">
                  <c:v>151886961.35819811</c:v>
                </c:pt>
                <c:pt idx="7">
                  <c:v>156141259.459209</c:v>
                </c:pt>
                <c:pt idx="8">
                  <c:v>160613301.35115495</c:v>
                </c:pt>
                <c:pt idx="9">
                  <c:v>165115556.26114967</c:v>
                </c:pt>
                <c:pt idx="10">
                  <c:v>170049846.04031682</c:v>
                </c:pt>
                <c:pt idx="11">
                  <c:v>174818947.24798608</c:v>
                </c:pt>
                <c:pt idx="12">
                  <c:v>179830203.81499192</c:v>
                </c:pt>
                <c:pt idx="13">
                  <c:v>184877505.7818599</c:v>
                </c:pt>
                <c:pt idx="14">
                  <c:v>190402745.72125119</c:v>
                </c:pt>
                <c:pt idx="15">
                  <c:v>195749356.83407623</c:v>
                </c:pt>
                <c:pt idx="16">
                  <c:v>201365308.44664872</c:v>
                </c:pt>
                <c:pt idx="17">
                  <c:v>203581224.43540639</c:v>
                </c:pt>
                <c:pt idx="18">
                  <c:v>206219413.15450826</c:v>
                </c:pt>
                <c:pt idx="19">
                  <c:v>208558091.09652928</c:v>
                </c:pt>
                <c:pt idx="20">
                  <c:v>211086712.55548167</c:v>
                </c:pt>
                <c:pt idx="21">
                  <c:v>213553021.74919742</c:v>
                </c:pt>
                <c:pt idx="22">
                  <c:v>216488057.36386812</c:v>
                </c:pt>
                <c:pt idx="23">
                  <c:v>219094806.88974667</c:v>
                </c:pt>
                <c:pt idx="24">
                  <c:v>221911461.89916217</c:v>
                </c:pt>
                <c:pt idx="25">
                  <c:v>224660696.03778833</c:v>
                </c:pt>
                <c:pt idx="26">
                  <c:v>227926425.28157377</c:v>
                </c:pt>
                <c:pt idx="27">
                  <c:v>230832358.85722065</c:v>
                </c:pt>
                <c:pt idx="28">
                  <c:v>233970279.41758764</c:v>
                </c:pt>
                <c:pt idx="29">
                  <c:v>237194153.93913165</c:v>
                </c:pt>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0-8D51-4F97-B3A4-79D17D20AE32}"/>
            </c:ext>
          </c:extLst>
        </c:ser>
        <c:ser>
          <c:idx val="1"/>
          <c:order val="1"/>
          <c:tx>
            <c:strRef>
              <c:f>'Graph Data '!$E$98</c:f>
              <c:strCache>
                <c:ptCount val="1"/>
                <c:pt idx="0">
                  <c:v> Operarting Margin </c:v>
                </c:pt>
              </c:strCache>
            </c:strRef>
          </c:tx>
          <c:spPr>
            <a:solidFill>
              <a:schemeClr val="accent2"/>
            </a:solidFill>
            <a:ln>
              <a:noFill/>
            </a:ln>
            <a:effectLst/>
            <a:sp3d/>
          </c:spPr>
          <c:invertIfNegative val="0"/>
          <c:val>
            <c:numRef>
              <c:f>'Graph Data '!$F$98:$AV$98</c:f>
              <c:numCache>
                <c:formatCode>_-* #,##0_-;\-* #,##0_-;_-* "-"??_-;_-@_-</c:formatCode>
                <c:ptCount val="43"/>
                <c:pt idx="0">
                  <c:v>0</c:v>
                </c:pt>
                <c:pt idx="1">
                  <c:v>0</c:v>
                </c:pt>
                <c:pt idx="2">
                  <c:v>0</c:v>
                </c:pt>
                <c:pt idx="3">
                  <c:v>419891226.17279506</c:v>
                </c:pt>
                <c:pt idx="4">
                  <c:v>432731880.9799844</c:v>
                </c:pt>
                <c:pt idx="5">
                  <c:v>446030193.10394913</c:v>
                </c:pt>
                <c:pt idx="6">
                  <c:v>459419160.74465138</c:v>
                </c:pt>
                <c:pt idx="7">
                  <c:v>473534415.59136099</c:v>
                </c:pt>
                <c:pt idx="8">
                  <c:v>487970101.31319088</c:v>
                </c:pt>
                <c:pt idx="9">
                  <c:v>502957171.1545772</c:v>
                </c:pt>
                <c:pt idx="10">
                  <c:v>518054478.15963143</c:v>
                </c:pt>
                <c:pt idx="11">
                  <c:v>533962036.40528518</c:v>
                </c:pt>
                <c:pt idx="12">
                  <c:v>550233403.92067146</c:v>
                </c:pt>
                <c:pt idx="13">
                  <c:v>567123145.95314384</c:v>
                </c:pt>
                <c:pt idx="14">
                  <c:v>584145980.77700627</c:v>
                </c:pt>
                <c:pt idx="15">
                  <c:v>602072853.50615931</c:v>
                </c:pt>
                <c:pt idx="16">
                  <c:v>620412672.85977101</c:v>
                </c:pt>
                <c:pt idx="17">
                  <c:v>642888893.24891794</c:v>
                </c:pt>
                <c:pt idx="18">
                  <c:v>665631329.72415555</c:v>
                </c:pt>
                <c:pt idx="19">
                  <c:v>689489055.52032173</c:v>
                </c:pt>
                <c:pt idx="20">
                  <c:v>713925053.27452183</c:v>
                </c:pt>
                <c:pt idx="21">
                  <c:v>739251940.18809164</c:v>
                </c:pt>
                <c:pt idx="22">
                  <c:v>764885845.62247801</c:v>
                </c:pt>
                <c:pt idx="23">
                  <c:v>791765460.11370814</c:v>
                </c:pt>
                <c:pt idx="24">
                  <c:v>819300127.07792091</c:v>
                </c:pt>
                <c:pt idx="25">
                  <c:v>847834555.87013912</c:v>
                </c:pt>
                <c:pt idx="26">
                  <c:v>876726526.03836846</c:v>
                </c:pt>
                <c:pt idx="27">
                  <c:v>907010042.65031207</c:v>
                </c:pt>
                <c:pt idx="28">
                  <c:v>938035447.03473699</c:v>
                </c:pt>
                <c:pt idx="29">
                  <c:v>970000470.47591877</c:v>
                </c:pt>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1-8D51-4F97-B3A4-79D17D20AE32}"/>
            </c:ext>
          </c:extLst>
        </c:ser>
        <c:dLbls>
          <c:showLegendKey val="0"/>
          <c:showVal val="0"/>
          <c:showCatName val="0"/>
          <c:showSerName val="0"/>
          <c:showPercent val="0"/>
          <c:showBubbleSize val="0"/>
        </c:dLbls>
        <c:gapWidth val="150"/>
        <c:shape val="box"/>
        <c:axId val="868516208"/>
        <c:axId val="868515880"/>
        <c:axId val="0"/>
      </c:bar3DChart>
      <c:catAx>
        <c:axId val="8685162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a:t>
                </a:r>
                <a:r>
                  <a:rPr lang="en-US" baseline="0"/>
                  <a:t>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crossAx val="868515880"/>
        <c:crosses val="autoZero"/>
        <c:auto val="1"/>
        <c:lblAlgn val="ctr"/>
        <c:lblOffset val="100"/>
        <c:noMultiLvlLbl val="0"/>
      </c:catAx>
      <c:valAx>
        <c:axId val="8685158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USD</a:t>
                </a:r>
                <a:r>
                  <a:rPr lang="en-US" baseline="0"/>
                  <a:t> </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crossAx val="868516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Daytona" panose="020B0604030500040204" pitchFamily="34" charset="0"/>
                <a:ea typeface="+mn-ea"/>
                <a:cs typeface="+mn-cs"/>
              </a:defRPr>
            </a:pPr>
            <a:r>
              <a:rPr lang="en-US" b="1">
                <a:solidFill>
                  <a:sysClr val="windowText" lastClr="000000"/>
                </a:solidFill>
                <a:latin typeface="Daytona" panose="020B0604030500040204" pitchFamily="34" charset="0"/>
              </a:rPr>
              <a:t>Project</a:t>
            </a:r>
            <a:r>
              <a:rPr lang="en-US" b="1" baseline="0">
                <a:solidFill>
                  <a:sysClr val="windowText" lastClr="000000"/>
                </a:solidFill>
                <a:latin typeface="Daytona" panose="020B0604030500040204" pitchFamily="34" charset="0"/>
              </a:rPr>
              <a:t> </a:t>
            </a:r>
            <a:r>
              <a:rPr lang="en-US" b="1">
                <a:solidFill>
                  <a:sysClr val="windowText" lastClr="000000"/>
                </a:solidFill>
                <a:latin typeface="Daytona" panose="020B0604030500040204" pitchFamily="34" charset="0"/>
              </a:rPr>
              <a:t>Funding</a:t>
            </a:r>
            <a:r>
              <a:rPr lang="en-US" b="1" baseline="0">
                <a:solidFill>
                  <a:sysClr val="windowText" lastClr="000000"/>
                </a:solidFill>
                <a:latin typeface="Daytona" panose="020B0604030500040204" pitchFamily="34" charset="0"/>
              </a:rPr>
              <a:t> Mix </a:t>
            </a:r>
            <a:endParaRPr lang="en-US" b="1">
              <a:solidFill>
                <a:sysClr val="windowText" lastClr="000000"/>
              </a:solidFill>
              <a:latin typeface="Daytona" panose="020B0604030500040204" pitchFamily="34"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Daytona" panose="020B0604030500040204" pitchFamily="34" charset="0"/>
              <a:ea typeface="+mn-ea"/>
              <a:cs typeface="+mn-cs"/>
            </a:defRPr>
          </a:pPr>
          <a:endParaRPr lang="en-US"/>
        </a:p>
      </c:txPr>
    </c:title>
    <c:autoTitleDeleted val="0"/>
    <c:plotArea>
      <c:layout/>
      <c:pieChart>
        <c:varyColors val="1"/>
        <c:ser>
          <c:idx val="0"/>
          <c:order val="0"/>
          <c:dPt>
            <c:idx val="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01-E421-4CEA-AFD3-FBAF303566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421-4CEA-AFD3-FBAF303566C2}"/>
              </c:ext>
            </c:extLst>
          </c:dPt>
          <c:dLbls>
            <c:spPr>
              <a:noFill/>
              <a:ln>
                <a:noFill/>
              </a:ln>
              <a:effectLst/>
            </c:spPr>
            <c:txPr>
              <a:bodyPr rot="0" spcFirstLastPara="1" vertOverflow="ellipsis" vert="horz" wrap="square" lIns="38100" tIns="19050" rIns="38100" bIns="19050" anchor="ctr" anchorCtr="1">
                <a:spAutoFit/>
              </a:bodyPr>
              <a:lstStyle/>
              <a:p>
                <a:pPr>
                  <a:defRPr sz="1800" b="0" i="0" u="none" strike="noStrike" kern="1200" baseline="0">
                    <a:solidFill>
                      <a:schemeClr val="bg1"/>
                    </a:solidFill>
                    <a:latin typeface="+mn-lt"/>
                    <a:ea typeface="+mn-ea"/>
                    <a:cs typeface="+mn-cs"/>
                  </a:defRPr>
                </a:pPr>
                <a:endParaRPr lang="en-NG"/>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 Data '!$AW$131:$AW$132</c:f>
              <c:strCache>
                <c:ptCount val="2"/>
                <c:pt idx="0">
                  <c:v>Debt</c:v>
                </c:pt>
                <c:pt idx="1">
                  <c:v>Equity</c:v>
                </c:pt>
              </c:strCache>
            </c:strRef>
          </c:cat>
          <c:val>
            <c:numRef>
              <c:f>'Graph Data '!$AX$131:$AX$132</c:f>
              <c:numCache>
                <c:formatCode>0%</c:formatCode>
                <c:ptCount val="2"/>
                <c:pt idx="0">
                  <c:v>0.7</c:v>
                </c:pt>
                <c:pt idx="1">
                  <c:v>0.3</c:v>
                </c:pt>
              </c:numCache>
            </c:numRef>
          </c:val>
          <c:extLst>
            <c:ext xmlns:c16="http://schemas.microsoft.com/office/drawing/2014/chart" uri="{C3380CC4-5D6E-409C-BE32-E72D297353CC}">
              <c16:uniqueId val="{00000000-1D01-4449-B3A9-80DF8B85187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Daytona" panose="020B0604030500040204" pitchFamily="34" charset="0"/>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sng" strike="noStrike" kern="1200" spc="0" baseline="0">
                <a:solidFill>
                  <a:sysClr val="windowText" lastClr="000000"/>
                </a:solidFill>
                <a:latin typeface="+mn-lt"/>
                <a:ea typeface="+mn-ea"/>
                <a:cs typeface="+mn-cs"/>
              </a:defRPr>
            </a:pPr>
            <a:r>
              <a:rPr lang="en-US" b="1" u="sng">
                <a:solidFill>
                  <a:sysClr val="windowText" lastClr="000000"/>
                </a:solidFill>
              </a:rPr>
              <a:t>CFAD </a:t>
            </a:r>
            <a:r>
              <a:rPr lang="en-US" b="1" u="sng" baseline="0">
                <a:solidFill>
                  <a:sysClr val="windowText" lastClr="000000"/>
                </a:solidFill>
              </a:rPr>
              <a:t> Vs DSCR </a:t>
            </a:r>
            <a:endParaRPr lang="en-US" b="1" u="sng">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sng" strike="noStrike" kern="1200" spc="0" baseline="0">
              <a:solidFill>
                <a:sysClr val="windowText" lastClr="000000"/>
              </a:solidFill>
              <a:latin typeface="+mn-lt"/>
              <a:ea typeface="+mn-ea"/>
              <a:cs typeface="+mn-cs"/>
            </a:defRPr>
          </a:pPr>
          <a:endParaRPr lang="en-US"/>
        </a:p>
      </c:txPr>
    </c:title>
    <c:autoTitleDeleted val="0"/>
    <c:plotArea>
      <c:layout/>
      <c:areaChart>
        <c:grouping val="stacked"/>
        <c:varyColors val="0"/>
        <c:ser>
          <c:idx val="0"/>
          <c:order val="0"/>
          <c:tx>
            <c:strRef>
              <c:f>'Graph Data '!$E$102</c:f>
              <c:strCache>
                <c:ptCount val="1"/>
                <c:pt idx="0">
                  <c:v>CFAD </c:v>
                </c:pt>
              </c:strCache>
            </c:strRef>
          </c:tx>
          <c:spPr>
            <a:solidFill>
              <a:srgbClr val="002060"/>
            </a:solidFill>
            <a:ln>
              <a:noFill/>
            </a:ln>
            <a:effectLst/>
          </c:spPr>
          <c:val>
            <c:numRef>
              <c:f>'Graph Data '!$F$102:$AV$102</c:f>
              <c:numCache>
                <c:formatCode>_-* #,##0.00_-;\-* #,##0.00_-;_-* "-"??_-;_-@_-</c:formatCode>
                <c:ptCount val="43"/>
                <c:pt idx="0">
                  <c:v>0</c:v>
                </c:pt>
                <c:pt idx="1">
                  <c:v>-132913371.73613448</c:v>
                </c:pt>
                <c:pt idx="2">
                  <c:v>632979160.75820112</c:v>
                </c:pt>
                <c:pt idx="3">
                  <c:v>1113384145.8202512</c:v>
                </c:pt>
                <c:pt idx="4">
                  <c:v>1307343777.7768016</c:v>
                </c:pt>
                <c:pt idx="5">
                  <c:v>1264692907.9545906</c:v>
                </c:pt>
                <c:pt idx="6">
                  <c:v>1349315140.1386206</c:v>
                </c:pt>
                <c:pt idx="7">
                  <c:v>1425359922.7759254</c:v>
                </c:pt>
                <c:pt idx="8">
                  <c:v>1503447690.4102097</c:v>
                </c:pt>
                <c:pt idx="9">
                  <c:v>1324092719.1085794</c:v>
                </c:pt>
                <c:pt idx="10">
                  <c:v>1283070151.1751375</c:v>
                </c:pt>
                <c:pt idx="11">
                  <c:v>1361126777.7746472</c:v>
                </c:pt>
                <c:pt idx="12">
                  <c:v>1442257475.690588</c:v>
                </c:pt>
                <c:pt idx="13">
                  <c:v>1528178348.3972325</c:v>
                </c:pt>
                <c:pt idx="14">
                  <c:v>1616160258.3257608</c:v>
                </c:pt>
                <c:pt idx="15">
                  <c:v>1235546330.5832512</c:v>
                </c:pt>
                <c:pt idx="16">
                  <c:v>1172655466.6061137</c:v>
                </c:pt>
                <c:pt idx="17">
                  <c:v>1209196930.2893116</c:v>
                </c:pt>
                <c:pt idx="18">
                  <c:v>1245685425.722734</c:v>
                </c:pt>
                <c:pt idx="19">
                  <c:v>1285172638.6101649</c:v>
                </c:pt>
                <c:pt idx="22">
                  <c:v>1325847448.789845</c:v>
                </c:pt>
                <c:pt idx="23">
                  <c:v>1368791499.13083</c:v>
                </c:pt>
                <c:pt idx="24">
                  <c:v>1411363588.111443</c:v>
                </c:pt>
                <c:pt idx="25">
                  <c:v>1457366133.1732535</c:v>
                </c:pt>
                <c:pt idx="26">
                  <c:v>1504464392.6556954</c:v>
                </c:pt>
                <c:pt idx="27">
                  <c:v>1553913969.7623825</c:v>
                </c:pt>
                <c:pt idx="28">
                  <c:v>1602784955.700546</c:v>
                </c:pt>
                <c:pt idx="29">
                  <c:v>1655357824.3929558</c:v>
                </c:pt>
                <c:pt idx="30">
                  <c:v>1729891184.7949376</c:v>
                </c:pt>
                <c:pt idx="31">
                  <c:v>2140969646.930531</c:v>
                </c:pt>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0-7805-4EC1-8691-3648C6DAF389}"/>
            </c:ext>
          </c:extLst>
        </c:ser>
        <c:ser>
          <c:idx val="1"/>
          <c:order val="1"/>
          <c:tx>
            <c:strRef>
              <c:f>'Graph Data '!$E$103</c:f>
              <c:strCache>
                <c:ptCount val="1"/>
                <c:pt idx="0">
                  <c:v>DSCR</c:v>
                </c:pt>
              </c:strCache>
            </c:strRef>
          </c:tx>
          <c:spPr>
            <a:solidFill>
              <a:srgbClr val="FF0000"/>
            </a:solidFill>
            <a:ln>
              <a:noFill/>
            </a:ln>
            <a:effectLst/>
          </c:spPr>
          <c:val>
            <c:numRef>
              <c:f>'Graph Data '!$F$103:$AV$103</c:f>
              <c:numCache>
                <c:formatCode>_-* #,##0.00_-;\-* #,##0.00_-;_-* "-"??_-;_-@_-</c:formatCode>
                <c:ptCount val="43"/>
                <c:pt idx="0">
                  <c:v>0</c:v>
                </c:pt>
                <c:pt idx="1">
                  <c:v>0</c:v>
                </c:pt>
                <c:pt idx="2">
                  <c:v>0</c:v>
                </c:pt>
                <c:pt idx="3">
                  <c:v>712861464.64741492</c:v>
                </c:pt>
                <c:pt idx="4">
                  <c:v>670173413.88064456</c:v>
                </c:pt>
                <c:pt idx="5">
                  <c:v>626902193.02143204</c:v>
                </c:pt>
                <c:pt idx="6">
                  <c:v>585265126.60208225</c:v>
                </c:pt>
                <c:pt idx="7">
                  <c:v>542109261.58033359</c:v>
                </c:pt>
                <c:pt idx="8">
                  <c:v>499421210.81356329</c:v>
                </c:pt>
                <c:pt idx="9">
                  <c:v>456616526.02830452</c:v>
                </c:pt>
                <c:pt idx="10">
                  <c:v>0</c:v>
                </c:pt>
                <c:pt idx="11">
                  <c:v>0</c:v>
                </c:pt>
                <c:pt idx="12">
                  <c:v>0</c:v>
                </c:pt>
                <c:pt idx="13">
                  <c:v>0</c:v>
                </c:pt>
                <c:pt idx="14">
                  <c:v>0</c:v>
                </c:pt>
                <c:pt idx="15">
                  <c:v>0</c:v>
                </c:pt>
                <c:pt idx="16">
                  <c:v>0</c:v>
                </c:pt>
                <c:pt idx="17">
                  <c:v>0</c:v>
                </c:pt>
                <c:pt idx="18">
                  <c:v>0</c:v>
                </c:pt>
                <c:pt idx="19">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1-7805-4EC1-8691-3648C6DAF389}"/>
            </c:ext>
          </c:extLst>
        </c:ser>
        <c:dLbls>
          <c:showLegendKey val="0"/>
          <c:showVal val="0"/>
          <c:showCatName val="0"/>
          <c:showSerName val="0"/>
          <c:showPercent val="0"/>
          <c:showBubbleSize val="0"/>
        </c:dLbls>
        <c:axId val="651466968"/>
        <c:axId val="651467296"/>
      </c:areaChart>
      <c:catAx>
        <c:axId val="651466968"/>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Year</a:t>
                </a:r>
                <a:r>
                  <a:rPr lang="en-US" baseline="0">
                    <a:solidFill>
                      <a:sysClr val="windowText" lastClr="000000"/>
                    </a:solidFill>
                  </a:rPr>
                  <a:t> </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NG"/>
          </a:p>
        </c:txPr>
        <c:crossAx val="651467296"/>
        <c:crosses val="autoZero"/>
        <c:auto val="1"/>
        <c:lblAlgn val="ctr"/>
        <c:lblOffset val="100"/>
        <c:noMultiLvlLbl val="0"/>
      </c:catAx>
      <c:valAx>
        <c:axId val="651467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CFADS</a:t>
                </a:r>
                <a:r>
                  <a:rPr lang="en-US" baseline="0">
                    <a:solidFill>
                      <a:sysClr val="windowText" lastClr="000000"/>
                    </a:solidFill>
                  </a:rPr>
                  <a:t>  </a:t>
                </a:r>
                <a:endParaRPr lang="en-US">
                  <a:solidFill>
                    <a:sysClr val="windowText" lastClr="000000"/>
                  </a:solidFill>
                </a:endParaRPr>
              </a:p>
            </c:rich>
          </c:tx>
          <c:layout>
            <c:manualLayout>
              <c:xMode val="edge"/>
              <c:yMode val="edge"/>
              <c:x val="2.5680534155110426E-2"/>
              <c:y val="0.2097352769512269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_-* #,##0.00_-;\-* #,##0.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NG"/>
          </a:p>
        </c:txPr>
        <c:crossAx val="6514669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NG"/>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Urea</a:t>
            </a:r>
            <a:r>
              <a:rPr lang="en-US" b="1" baseline="0">
                <a:solidFill>
                  <a:sysClr val="windowText" lastClr="000000"/>
                </a:solidFill>
              </a:rPr>
              <a:t> and Methanol Production MTPA</a:t>
            </a:r>
            <a:endParaRPr lang="en-US" b="1">
              <a:solidFill>
                <a:sysClr val="windowText" lastClr="000000"/>
              </a:solidFill>
            </a:endParaRPr>
          </a:p>
        </c:rich>
      </c:tx>
      <c:layout>
        <c:manualLayout>
          <c:xMode val="edge"/>
          <c:yMode val="edge"/>
          <c:x val="0.35898894028782063"/>
          <c:y val="0"/>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7763417890850977"/>
          <c:y val="3.4233635361270914E-2"/>
          <c:w val="0.79963705844481536"/>
          <c:h val="0.66623107949985372"/>
        </c:manualLayout>
      </c:layout>
      <c:areaChart>
        <c:grouping val="stacked"/>
        <c:varyColors val="0"/>
        <c:ser>
          <c:idx val="0"/>
          <c:order val="0"/>
          <c:tx>
            <c:strRef>
              <c:f>'Graph Data '!$E$110</c:f>
              <c:strCache>
                <c:ptCount val="1"/>
                <c:pt idx="0">
                  <c:v>Urea (MTPA)</c:v>
                </c:pt>
              </c:strCache>
            </c:strRef>
          </c:tx>
          <c:spPr>
            <a:solidFill>
              <a:schemeClr val="accent5">
                <a:lumMod val="50000"/>
              </a:schemeClr>
            </a:solidFill>
            <a:ln>
              <a:solidFill>
                <a:srgbClr val="FF0000"/>
              </a:solidFill>
            </a:ln>
            <a:effectLst/>
          </c:spPr>
          <c:val>
            <c:numRef>
              <c:f>'Graph Data '!$F$110:$AV$110</c:f>
              <c:numCache>
                <c:formatCode>_-* #,##0_-;\-* #,##0_-;_-* "-"??_-;_-@_-</c:formatCode>
                <c:ptCount val="43"/>
                <c:pt idx="0">
                  <c:v>0</c:v>
                </c:pt>
                <c:pt idx="1">
                  <c:v>975000</c:v>
                </c:pt>
                <c:pt idx="2">
                  <c:v>1868750</c:v>
                </c:pt>
                <c:pt idx="3">
                  <c:v>2237500</c:v>
                </c:pt>
                <c:pt idx="4">
                  <c:v>2375000</c:v>
                </c:pt>
                <c:pt idx="5">
                  <c:v>2375000</c:v>
                </c:pt>
                <c:pt idx="6">
                  <c:v>2375000</c:v>
                </c:pt>
                <c:pt idx="7">
                  <c:v>2375000</c:v>
                </c:pt>
                <c:pt idx="8">
                  <c:v>2375000</c:v>
                </c:pt>
                <c:pt idx="9">
                  <c:v>2375000</c:v>
                </c:pt>
                <c:pt idx="10">
                  <c:v>2375000</c:v>
                </c:pt>
                <c:pt idx="11">
                  <c:v>2375000</c:v>
                </c:pt>
                <c:pt idx="12">
                  <c:v>2375000</c:v>
                </c:pt>
                <c:pt idx="13">
                  <c:v>2375000</c:v>
                </c:pt>
                <c:pt idx="14">
                  <c:v>2375000</c:v>
                </c:pt>
                <c:pt idx="15">
                  <c:v>2375000</c:v>
                </c:pt>
                <c:pt idx="16">
                  <c:v>2375000</c:v>
                </c:pt>
                <c:pt idx="17">
                  <c:v>2375000</c:v>
                </c:pt>
                <c:pt idx="18">
                  <c:v>2375000</c:v>
                </c:pt>
                <c:pt idx="19">
                  <c:v>2375000</c:v>
                </c:pt>
                <c:pt idx="20">
                  <c:v>2375000</c:v>
                </c:pt>
                <c:pt idx="21">
                  <c:v>2375000</c:v>
                </c:pt>
                <c:pt idx="22">
                  <c:v>2375000</c:v>
                </c:pt>
                <c:pt idx="23">
                  <c:v>2375000</c:v>
                </c:pt>
                <c:pt idx="24">
                  <c:v>2375000</c:v>
                </c:pt>
                <c:pt idx="25">
                  <c:v>2375000</c:v>
                </c:pt>
                <c:pt idx="26">
                  <c:v>2375000</c:v>
                </c:pt>
                <c:pt idx="27">
                  <c:v>2375000</c:v>
                </c:pt>
                <c:pt idx="28">
                  <c:v>2375000</c:v>
                </c:pt>
                <c:pt idx="29">
                  <c:v>2375000</c:v>
                </c:pt>
              </c:numCache>
            </c:numRef>
          </c:val>
          <c:extLst>
            <c:ext xmlns:c16="http://schemas.microsoft.com/office/drawing/2014/chart" uri="{C3380CC4-5D6E-409C-BE32-E72D297353CC}">
              <c16:uniqueId val="{00000000-72F0-4161-BD45-ED3F293C65A8}"/>
            </c:ext>
          </c:extLst>
        </c:ser>
        <c:ser>
          <c:idx val="1"/>
          <c:order val="1"/>
          <c:tx>
            <c:strRef>
              <c:f>'Graph Data '!$E$111</c:f>
              <c:strCache>
                <c:ptCount val="1"/>
                <c:pt idx="0">
                  <c:v>Methanol (MTPA)</c:v>
                </c:pt>
              </c:strCache>
            </c:strRef>
          </c:tx>
          <c:spPr>
            <a:solidFill>
              <a:schemeClr val="accent6">
                <a:lumMod val="40000"/>
                <a:lumOff val="60000"/>
              </a:schemeClr>
            </a:solidFill>
            <a:ln w="28575">
              <a:solidFill>
                <a:srgbClr val="FF0000"/>
              </a:solidFill>
              <a:prstDash val="dash"/>
            </a:ln>
            <a:effectLst/>
          </c:spPr>
          <c:val>
            <c:numRef>
              <c:f>'Graph Data '!$F$111:$AI$111</c:f>
              <c:numCache>
                <c:formatCode>_-* #,##0_-;\-* #,##0_-;_-* "-"??_-;_-@_-</c:formatCode>
                <c:ptCount val="30"/>
                <c:pt idx="0">
                  <c:v>0</c:v>
                </c:pt>
                <c:pt idx="1">
                  <c:v>650000</c:v>
                </c:pt>
                <c:pt idx="2">
                  <c:v>812500</c:v>
                </c:pt>
                <c:pt idx="3">
                  <c:v>950000</c:v>
                </c:pt>
                <c:pt idx="4">
                  <c:v>950000</c:v>
                </c:pt>
                <c:pt idx="5">
                  <c:v>950000</c:v>
                </c:pt>
                <c:pt idx="6">
                  <c:v>950000</c:v>
                </c:pt>
                <c:pt idx="7">
                  <c:v>950000</c:v>
                </c:pt>
                <c:pt idx="8">
                  <c:v>950000</c:v>
                </c:pt>
                <c:pt idx="9">
                  <c:v>950000</c:v>
                </c:pt>
                <c:pt idx="10">
                  <c:v>950000</c:v>
                </c:pt>
                <c:pt idx="11">
                  <c:v>950000</c:v>
                </c:pt>
                <c:pt idx="12">
                  <c:v>950000</c:v>
                </c:pt>
                <c:pt idx="13">
                  <c:v>950000</c:v>
                </c:pt>
                <c:pt idx="14">
                  <c:v>950000</c:v>
                </c:pt>
                <c:pt idx="15">
                  <c:v>950000</c:v>
                </c:pt>
                <c:pt idx="16">
                  <c:v>950000</c:v>
                </c:pt>
                <c:pt idx="17">
                  <c:v>950000</c:v>
                </c:pt>
                <c:pt idx="18">
                  <c:v>950000</c:v>
                </c:pt>
                <c:pt idx="19">
                  <c:v>950000</c:v>
                </c:pt>
                <c:pt idx="20">
                  <c:v>950000</c:v>
                </c:pt>
                <c:pt idx="21">
                  <c:v>950000</c:v>
                </c:pt>
                <c:pt idx="22">
                  <c:v>950000</c:v>
                </c:pt>
                <c:pt idx="23">
                  <c:v>950000</c:v>
                </c:pt>
                <c:pt idx="24">
                  <c:v>950000</c:v>
                </c:pt>
                <c:pt idx="25">
                  <c:v>950000</c:v>
                </c:pt>
                <c:pt idx="26">
                  <c:v>950000</c:v>
                </c:pt>
                <c:pt idx="27">
                  <c:v>950000</c:v>
                </c:pt>
                <c:pt idx="28">
                  <c:v>950000</c:v>
                </c:pt>
                <c:pt idx="29">
                  <c:v>950000</c:v>
                </c:pt>
              </c:numCache>
            </c:numRef>
          </c:val>
          <c:extLst>
            <c:ext xmlns:c16="http://schemas.microsoft.com/office/drawing/2014/chart" uri="{C3380CC4-5D6E-409C-BE32-E72D297353CC}">
              <c16:uniqueId val="{00000001-72F0-4161-BD45-ED3F293C65A8}"/>
            </c:ext>
          </c:extLst>
        </c:ser>
        <c:dLbls>
          <c:showLegendKey val="0"/>
          <c:showVal val="0"/>
          <c:showCatName val="0"/>
          <c:showSerName val="0"/>
          <c:showPercent val="0"/>
          <c:showBubbleSize val="0"/>
        </c:dLbls>
        <c:axId val="383832872"/>
        <c:axId val="383837464"/>
      </c:areaChart>
      <c:catAx>
        <c:axId val="383832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solidFill>
                      <a:sysClr val="windowText" lastClr="000000"/>
                    </a:solidFill>
                  </a:rPr>
                  <a:t>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title>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NG"/>
          </a:p>
        </c:txPr>
        <c:crossAx val="383837464"/>
        <c:crosses val="autoZero"/>
        <c:auto val="1"/>
        <c:lblAlgn val="ctr"/>
        <c:lblOffset val="100"/>
        <c:noMultiLvlLbl val="0"/>
      </c:catAx>
      <c:valAx>
        <c:axId val="3838374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r>
                  <a:rPr lang="en-US" sz="1050" b="1">
                    <a:solidFill>
                      <a:sysClr val="windowText" lastClr="000000"/>
                    </a:solidFill>
                  </a:rPr>
                  <a:t>Production</a:t>
                </a:r>
                <a:r>
                  <a:rPr lang="en-US" sz="1050" b="1" baseline="0">
                    <a:solidFill>
                      <a:sysClr val="windowText" lastClr="000000"/>
                    </a:solidFill>
                  </a:rPr>
                  <a:t> Mt</a:t>
                </a:r>
                <a:endParaRPr lang="en-US" sz="1050"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NG"/>
          </a:p>
        </c:txPr>
        <c:crossAx val="383832872"/>
        <c:crosses val="autoZero"/>
        <c:crossBetween val="midCat"/>
      </c:valAx>
      <c:spPr>
        <a:noFill/>
        <a:ln>
          <a:noFill/>
        </a:ln>
        <a:effectLst/>
      </c:spPr>
    </c:plotArea>
    <c:legend>
      <c:legendPos val="b"/>
      <c:layout>
        <c:manualLayout>
          <c:xMode val="edge"/>
          <c:yMode val="edge"/>
          <c:x val="0.37853125426638706"/>
          <c:y val="0.90969458824842464"/>
          <c:w val="0.27042775115578022"/>
          <c:h val="8.349082015487903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NG"/>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sng" strike="noStrike" kern="1200" spc="0" baseline="0">
                <a:solidFill>
                  <a:sysClr val="windowText" lastClr="000000"/>
                </a:solidFill>
                <a:latin typeface="+mn-lt"/>
                <a:ea typeface="+mn-ea"/>
                <a:cs typeface="+mn-cs"/>
              </a:defRPr>
            </a:pPr>
            <a:r>
              <a:rPr lang="en-US" b="1" u="sng">
                <a:solidFill>
                  <a:sysClr val="windowText" lastClr="000000"/>
                </a:solidFill>
              </a:rPr>
              <a:t>Urea</a:t>
            </a:r>
            <a:r>
              <a:rPr lang="en-US" b="1" u="sng" baseline="0">
                <a:solidFill>
                  <a:sysClr val="windowText" lastClr="000000"/>
                </a:solidFill>
              </a:rPr>
              <a:t> Local Vs Urea Export </a:t>
            </a:r>
            <a:endParaRPr lang="en-US" b="1" u="sng">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sng"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25373232983791816"/>
          <c:y val="0.1878499661658152"/>
          <c:w val="0.72007691018053266"/>
          <c:h val="0.63927540432840135"/>
        </c:manualLayout>
      </c:layout>
      <c:areaChart>
        <c:grouping val="stacked"/>
        <c:varyColors val="0"/>
        <c:ser>
          <c:idx val="0"/>
          <c:order val="0"/>
          <c:tx>
            <c:strRef>
              <c:f>'Graph Data '!$E$117</c:f>
              <c:strCache>
                <c:ptCount val="1"/>
                <c:pt idx="0">
                  <c:v> Urea -Local  </c:v>
                </c:pt>
              </c:strCache>
            </c:strRef>
          </c:tx>
          <c:spPr>
            <a:solidFill>
              <a:srgbClr val="002060"/>
            </a:solidFill>
            <a:ln>
              <a:noFill/>
            </a:ln>
            <a:effectLst/>
          </c:spPr>
          <c:val>
            <c:numRef>
              <c:f>'Graph Data '!$F$117:$AT$117</c:f>
              <c:numCache>
                <c:formatCode>_-* #,##0_-;\-* #,##0_-;_-* "-"??_-;_-@_-</c:formatCode>
                <c:ptCount val="41"/>
                <c:pt idx="0">
                  <c:v>0</c:v>
                </c:pt>
                <c:pt idx="1">
                  <c:v>305976828.83349055</c:v>
                </c:pt>
                <c:pt idx="2">
                  <c:v>630716387.73695922</c:v>
                </c:pt>
                <c:pt idx="3">
                  <c:v>812166252.80244792</c:v>
                </c:pt>
                <c:pt idx="4">
                  <c:v>910872660.46358657</c:v>
                </c:pt>
                <c:pt idx="5">
                  <c:v>969878716.42799211</c:v>
                </c:pt>
                <c:pt idx="6">
                  <c:v>1032707166.8846226</c:v>
                </c:pt>
                <c:pt idx="7">
                  <c:v>1099605625.3947546</c:v>
                </c:pt>
                <c:pt idx="8">
                  <c:v>1170837745.8514116</c:v>
                </c:pt>
                <c:pt idx="9">
                  <c:v>1246684261.5672145</c:v>
                </c:pt>
                <c:pt idx="10">
                  <c:v>1327444091.6740258</c:v>
                </c:pt>
                <c:pt idx="11">
                  <c:v>1413435519.1948299</c:v>
                </c:pt>
                <c:pt idx="12">
                  <c:v>1504997445.4307559</c:v>
                </c:pt>
                <c:pt idx="13">
                  <c:v>1602490725.6069088</c:v>
                </c:pt>
                <c:pt idx="14">
                  <c:v>1706299591.0409398</c:v>
                </c:pt>
                <c:pt idx="15">
                  <c:v>947077681.52561605</c:v>
                </c:pt>
                <c:pt idx="16">
                  <c:v>975490011.97138453</c:v>
                </c:pt>
                <c:pt idx="17">
                  <c:v>1004754712.3305261</c:v>
                </c:pt>
                <c:pt idx="18">
                  <c:v>1034897353.700442</c:v>
                </c:pt>
                <c:pt idx="19">
                  <c:v>1065944274.3114554</c:v>
                </c:pt>
                <c:pt idx="20">
                  <c:v>1097922602.5407991</c:v>
                </c:pt>
                <c:pt idx="21">
                  <c:v>1130860280.617023</c:v>
                </c:pt>
                <c:pt idx="22">
                  <c:v>1164786089.0355337</c:v>
                </c:pt>
                <c:pt idx="23">
                  <c:v>1199729671.7065997</c:v>
                </c:pt>
                <c:pt idx="24">
                  <c:v>1235721561.8577979</c:v>
                </c:pt>
                <c:pt idx="25">
                  <c:v>1272793208.7135317</c:v>
                </c:pt>
                <c:pt idx="26">
                  <c:v>1310977004.9749379</c:v>
                </c:pt>
                <c:pt idx="27">
                  <c:v>1350306315.124186</c:v>
                </c:pt>
                <c:pt idx="28">
                  <c:v>1390815504.5779116</c:v>
                </c:pt>
                <c:pt idx="29">
                  <c:v>1432539969.7152488</c:v>
                </c:pt>
              </c:numCache>
            </c:numRef>
          </c:val>
          <c:extLst>
            <c:ext xmlns:c16="http://schemas.microsoft.com/office/drawing/2014/chart" uri="{C3380CC4-5D6E-409C-BE32-E72D297353CC}">
              <c16:uniqueId val="{00000000-4BCC-4569-9620-2244067F78D0}"/>
            </c:ext>
          </c:extLst>
        </c:ser>
        <c:ser>
          <c:idx val="1"/>
          <c:order val="1"/>
          <c:tx>
            <c:strRef>
              <c:f>'Graph Data '!$E$118</c:f>
              <c:strCache>
                <c:ptCount val="1"/>
                <c:pt idx="0">
                  <c:v> Urea Export  </c:v>
                </c:pt>
              </c:strCache>
            </c:strRef>
          </c:tx>
          <c:spPr>
            <a:solidFill>
              <a:schemeClr val="accent6">
                <a:lumMod val="60000"/>
                <a:lumOff val="40000"/>
              </a:schemeClr>
            </a:solidFill>
            <a:ln w="28575">
              <a:solidFill>
                <a:srgbClr val="FF0000"/>
              </a:solidFill>
              <a:prstDash val="lgDash"/>
            </a:ln>
            <a:effectLst/>
          </c:spPr>
          <c:val>
            <c:numRef>
              <c:f>'Graph Data '!$F$118:$AT$118</c:f>
              <c:numCache>
                <c:formatCode>_-* #,##0_-;\-* #,##0_-;_-* "-"??_-;_-@_-</c:formatCode>
                <c:ptCount val="41"/>
                <c:pt idx="0">
                  <c:v>0</c:v>
                </c:pt>
                <c:pt idx="1">
                  <c:v>105395900.49160714</c:v>
                </c:pt>
                <c:pt idx="2">
                  <c:v>208069073.55384779</c:v>
                </c:pt>
                <c:pt idx="3">
                  <c:v>256599967.16470182</c:v>
                </c:pt>
                <c:pt idx="4">
                  <c:v>280539740.63760972</c:v>
                </c:pt>
                <c:pt idx="5">
                  <c:v>288955932.85673803</c:v>
                </c:pt>
                <c:pt idx="6">
                  <c:v>297624610.84244019</c:v>
                </c:pt>
                <c:pt idx="7">
                  <c:v>306553349.1677134</c:v>
                </c:pt>
                <c:pt idx="8">
                  <c:v>315749949.64274484</c:v>
                </c:pt>
                <c:pt idx="9">
                  <c:v>325222448.13202715</c:v>
                </c:pt>
                <c:pt idx="10">
                  <c:v>334979121.57598799</c:v>
                </c:pt>
                <c:pt idx="11">
                  <c:v>345028495.22326767</c:v>
                </c:pt>
                <c:pt idx="12">
                  <c:v>355379350.07996571</c:v>
                </c:pt>
                <c:pt idx="13">
                  <c:v>366040730.58236468</c:v>
                </c:pt>
                <c:pt idx="14">
                  <c:v>377021952.49983561</c:v>
                </c:pt>
                <c:pt idx="15">
                  <c:v>388332611.07483077</c:v>
                </c:pt>
                <c:pt idx="16">
                  <c:v>399982589.4070757</c:v>
                </c:pt>
                <c:pt idx="17">
                  <c:v>411982067.089288</c:v>
                </c:pt>
                <c:pt idx="18">
                  <c:v>424341529.10196662</c:v>
                </c:pt>
                <c:pt idx="19">
                  <c:v>437071774.97502565</c:v>
                </c:pt>
                <c:pt idx="20">
                  <c:v>450183928.22427654</c:v>
                </c:pt>
                <c:pt idx="21">
                  <c:v>463689446.07100475</c:v>
                </c:pt>
                <c:pt idx="22">
                  <c:v>477600129.45313495</c:v>
                </c:pt>
                <c:pt idx="23">
                  <c:v>491928133.33672905</c:v>
                </c:pt>
                <c:pt idx="24">
                  <c:v>506685977.33683085</c:v>
                </c:pt>
                <c:pt idx="25">
                  <c:v>521886556.65693581</c:v>
                </c:pt>
                <c:pt idx="26">
                  <c:v>537543153.35664392</c:v>
                </c:pt>
                <c:pt idx="27">
                  <c:v>553669447.95734334</c:v>
                </c:pt>
                <c:pt idx="28">
                  <c:v>570279531.39606357</c:v>
                </c:pt>
                <c:pt idx="29">
                  <c:v>587387917.33794546</c:v>
                </c:pt>
              </c:numCache>
            </c:numRef>
          </c:val>
          <c:extLst>
            <c:ext xmlns:c16="http://schemas.microsoft.com/office/drawing/2014/chart" uri="{C3380CC4-5D6E-409C-BE32-E72D297353CC}">
              <c16:uniqueId val="{00000001-4BCC-4569-9620-2244067F78D0}"/>
            </c:ext>
          </c:extLst>
        </c:ser>
        <c:dLbls>
          <c:showLegendKey val="0"/>
          <c:showVal val="0"/>
          <c:showCatName val="0"/>
          <c:showSerName val="0"/>
          <c:showPercent val="0"/>
          <c:showBubbleSize val="0"/>
        </c:dLbls>
        <c:axId val="672886480"/>
        <c:axId val="672889104"/>
      </c:areaChart>
      <c:catAx>
        <c:axId val="67288648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a:t>
                </a:r>
                <a:r>
                  <a:rPr lang="en-US" baseline="0"/>
                  <a:t>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NG"/>
          </a:p>
        </c:txPr>
        <c:crossAx val="672889104"/>
        <c:crosses val="autoZero"/>
        <c:auto val="1"/>
        <c:lblAlgn val="ctr"/>
        <c:lblOffset val="100"/>
        <c:noMultiLvlLbl val="0"/>
      </c:catAx>
      <c:valAx>
        <c:axId val="67288910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Production</a:t>
                </a:r>
                <a:r>
                  <a:rPr lang="en-US" baseline="0"/>
                  <a:t> Mt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NG"/>
          </a:p>
        </c:txPr>
        <c:crossAx val="672886480"/>
        <c:crosses val="autoZero"/>
        <c:crossBetween val="midCat"/>
      </c:valAx>
      <c:spPr>
        <a:noFill/>
        <a:ln>
          <a:noFill/>
        </a:ln>
        <a:effectLst/>
      </c:spPr>
    </c:plotArea>
    <c:legend>
      <c:legendPos val="b"/>
      <c:layout>
        <c:manualLayout>
          <c:xMode val="edge"/>
          <c:yMode val="edge"/>
          <c:x val="0.3221873434933592"/>
          <c:y val="0.9091643648868436"/>
          <c:w val="0.50043766182931415"/>
          <c:h val="7.1989400600705175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NG"/>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 </a:t>
            </a:r>
            <a:r>
              <a:rPr lang="en-US" sz="1600" b="1" u="sng">
                <a:solidFill>
                  <a:sysClr val="windowText" lastClr="000000"/>
                </a:solidFill>
              </a:rPr>
              <a:t>Methanol-Revenue US$  </a:t>
            </a:r>
            <a:endParaRPr lang="en-US" b="1" u="sng">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'Graph Data '!$E$123</c:f>
              <c:strCache>
                <c:ptCount val="1"/>
                <c:pt idx="0">
                  <c:v> Methanol  </c:v>
                </c:pt>
              </c:strCache>
            </c:strRef>
          </c:tx>
          <c:spPr>
            <a:solidFill>
              <a:schemeClr val="accent1"/>
            </a:solidFill>
            <a:ln>
              <a:noFill/>
            </a:ln>
            <a:effectLst/>
          </c:spPr>
          <c:invertIfNegative val="0"/>
          <c:val>
            <c:numRef>
              <c:f>'Graph Data '!$F$123:$AT$123</c:f>
              <c:numCache>
                <c:formatCode>_-* #,##0_-;\-* #,##0_-;_-* "-"??_-;_-@_-</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0-01FA-448D-9BCD-9731C5DF2397}"/>
            </c:ext>
          </c:extLst>
        </c:ser>
        <c:dLbls>
          <c:showLegendKey val="0"/>
          <c:showVal val="0"/>
          <c:showCatName val="0"/>
          <c:showSerName val="0"/>
          <c:showPercent val="0"/>
          <c:showBubbleSize val="0"/>
        </c:dLbls>
        <c:gapWidth val="219"/>
        <c:overlap val="-27"/>
        <c:axId val="687702008"/>
        <c:axId val="687704632"/>
      </c:barChart>
      <c:catAx>
        <c:axId val="687702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a:t>
                </a:r>
                <a:r>
                  <a:rPr lang="en-US" baseline="0"/>
                  <a:t>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NG"/>
          </a:p>
        </c:txPr>
        <c:crossAx val="687704632"/>
        <c:crosses val="autoZero"/>
        <c:auto val="1"/>
        <c:lblAlgn val="ctr"/>
        <c:lblOffset val="100"/>
        <c:noMultiLvlLbl val="0"/>
      </c:catAx>
      <c:valAx>
        <c:axId val="6877046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NG"/>
          </a:p>
        </c:txPr>
        <c:crossAx val="68770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Project</a:t>
            </a:r>
            <a:r>
              <a:rPr lang="en-US" b="1" baseline="0"/>
              <a:t> Funding Mix </a:t>
            </a:r>
            <a:endParaRPr lang="en-US" b="1"/>
          </a:p>
        </c:rich>
      </c:tx>
      <c:layout>
        <c:manualLayout>
          <c:xMode val="edge"/>
          <c:yMode val="edge"/>
          <c:x val="0.40526502800576258"/>
          <c:y val="2.484096242103540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417C-4521-9235-8A4188C4B3E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417C-4521-9235-8A4188C4B3E4}"/>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NG"/>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 Data '!$J$154:$J$155</c:f>
              <c:strCache>
                <c:ptCount val="2"/>
                <c:pt idx="0">
                  <c:v>Debt </c:v>
                </c:pt>
                <c:pt idx="1">
                  <c:v>Equity </c:v>
                </c:pt>
              </c:strCache>
            </c:strRef>
          </c:cat>
          <c:val>
            <c:numRef>
              <c:f>'Graph Data '!$K$154:$K$155</c:f>
              <c:numCache>
                <c:formatCode>0%</c:formatCode>
                <c:ptCount val="2"/>
                <c:pt idx="0">
                  <c:v>0.7</c:v>
                </c:pt>
                <c:pt idx="1">
                  <c:v>0.3</c:v>
                </c:pt>
              </c:numCache>
            </c:numRef>
          </c:val>
          <c:extLst>
            <c:ext xmlns:c16="http://schemas.microsoft.com/office/drawing/2014/chart" uri="{C3380CC4-5D6E-409C-BE32-E72D297353CC}">
              <c16:uniqueId val="{00000000-1460-4E32-BD07-7D61E451F87D}"/>
            </c:ext>
          </c:extLst>
        </c:ser>
        <c:dLbls>
          <c:dLblPos val="bestFit"/>
          <c:showLegendKey val="0"/>
          <c:showVal val="1"/>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Projections </a:t>
            </a:r>
            <a:endParaRPr lang="en-US"/>
          </a:p>
        </c:rich>
      </c:tx>
      <c:layout>
        <c:manualLayout>
          <c:xMode val="edge"/>
          <c:yMode val="edge"/>
          <c:x val="0.45069587261209021"/>
          <c:y val="2.49131961472821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200940507436569"/>
          <c:y val="0.16708333333333336"/>
          <c:w val="0.77151574803149603"/>
          <c:h val="0.61498432487605714"/>
        </c:manualLayout>
      </c:layout>
      <c:lineChart>
        <c:grouping val="stacked"/>
        <c:varyColors val="0"/>
        <c:ser>
          <c:idx val="0"/>
          <c:order val="0"/>
          <c:tx>
            <c:strRef>
              <c:f>'Graph Data '!$E$231</c:f>
              <c:strCache>
                <c:ptCount val="1"/>
                <c:pt idx="0">
                  <c:v> Urea Train 1  </c:v>
                </c:pt>
              </c:strCache>
            </c:strRef>
          </c:tx>
          <c:spPr>
            <a:ln w="28575" cap="rnd">
              <a:solidFill>
                <a:schemeClr val="accent1"/>
              </a:solidFill>
              <a:round/>
            </a:ln>
            <a:effectLst/>
          </c:spPr>
          <c:marker>
            <c:symbol val="none"/>
          </c:marker>
          <c:val>
            <c:numRef>
              <c:f>'Graph Data '!$F$231:$AI$231</c:f>
              <c:numCache>
                <c:formatCode>_-* #,##0_-;\-* #,##0_-;_-* "-"??_-;_-@_-</c:formatCode>
                <c:ptCount val="30"/>
                <c:pt idx="0">
                  <c:v>0</c:v>
                </c:pt>
                <c:pt idx="1">
                  <c:v>411372729.32509768</c:v>
                </c:pt>
                <c:pt idx="2">
                  <c:v>547033996.49400461</c:v>
                </c:pt>
                <c:pt idx="3">
                  <c:v>680666754.61595011</c:v>
                </c:pt>
                <c:pt idx="4">
                  <c:v>714847440.66071773</c:v>
                </c:pt>
                <c:pt idx="5">
                  <c:v>755300789.57083797</c:v>
                </c:pt>
                <c:pt idx="6">
                  <c:v>798199066.63623762</c:v>
                </c:pt>
                <c:pt idx="7">
                  <c:v>843695384.73748088</c:v>
                </c:pt>
                <c:pt idx="8">
                  <c:v>891952617.29649377</c:v>
                </c:pt>
                <c:pt idx="9">
                  <c:v>943144025.81954503</c:v>
                </c:pt>
                <c:pt idx="10">
                  <c:v>997453927.95000815</c:v>
                </c:pt>
                <c:pt idx="11">
                  <c:v>1055078408.6508585</c:v>
                </c:pt>
                <c:pt idx="12">
                  <c:v>1116226077.306433</c:v>
                </c:pt>
                <c:pt idx="13">
                  <c:v>1181118873.7135642</c:v>
                </c:pt>
                <c:pt idx="14">
                  <c:v>1249992926.1244652</c:v>
                </c:pt>
                <c:pt idx="15">
                  <c:v>801246175.56026816</c:v>
                </c:pt>
                <c:pt idx="16">
                  <c:v>825283560.82707608</c:v>
                </c:pt>
                <c:pt idx="17">
                  <c:v>850042067.65188849</c:v>
                </c:pt>
                <c:pt idx="18">
                  <c:v>875543329.68144512</c:v>
                </c:pt>
                <c:pt idx="19">
                  <c:v>901809629.57188857</c:v>
                </c:pt>
                <c:pt idx="20">
                  <c:v>928863918.45904529</c:v>
                </c:pt>
                <c:pt idx="21">
                  <c:v>956729836.01281667</c:v>
                </c:pt>
                <c:pt idx="22">
                  <c:v>985431731.09320116</c:v>
                </c:pt>
                <c:pt idx="23">
                  <c:v>1014994683.0259973</c:v>
                </c:pt>
                <c:pt idx="24">
                  <c:v>1045444523.5167772</c:v>
                </c:pt>
                <c:pt idx="25">
                  <c:v>1076807859.2222805</c:v>
                </c:pt>
                <c:pt idx="26">
                  <c:v>1109112094.9989491</c:v>
                </c:pt>
                <c:pt idx="27">
                  <c:v>1142385457.8489175</c:v>
                </c:pt>
                <c:pt idx="28">
                  <c:v>1176657021.5843849</c:v>
                </c:pt>
                <c:pt idx="29">
                  <c:v>1211956732.2319164</c:v>
                </c:pt>
              </c:numCache>
            </c:numRef>
          </c:val>
          <c:smooth val="0"/>
          <c:extLst>
            <c:ext xmlns:c16="http://schemas.microsoft.com/office/drawing/2014/chart" uri="{C3380CC4-5D6E-409C-BE32-E72D297353CC}">
              <c16:uniqueId val="{00000000-8171-4BE4-B449-3A7057194885}"/>
            </c:ext>
          </c:extLst>
        </c:ser>
        <c:ser>
          <c:idx val="1"/>
          <c:order val="1"/>
          <c:tx>
            <c:strRef>
              <c:f>'Graph Data '!$E$232</c:f>
              <c:strCache>
                <c:ptCount val="1"/>
                <c:pt idx="0">
                  <c:v> Urea Train 2  </c:v>
                </c:pt>
              </c:strCache>
            </c:strRef>
          </c:tx>
          <c:spPr>
            <a:ln w="28575" cap="rnd">
              <a:solidFill>
                <a:schemeClr val="accent2"/>
              </a:solidFill>
              <a:round/>
            </a:ln>
            <a:effectLst/>
          </c:spPr>
          <c:marker>
            <c:symbol val="none"/>
          </c:marker>
          <c:val>
            <c:numRef>
              <c:f>'Graph Data '!$F$232:$AI$232</c:f>
              <c:numCache>
                <c:formatCode>_-* #,##0_-;\-* #,##0_-;_-* "-"??_-;_-@_-</c:formatCode>
                <c:ptCount val="30"/>
                <c:pt idx="0">
                  <c:v>0</c:v>
                </c:pt>
                <c:pt idx="1">
                  <c:v>0</c:v>
                </c:pt>
                <c:pt idx="2">
                  <c:v>291751464.79680246</c:v>
                </c:pt>
                <c:pt idx="3">
                  <c:v>388099465.35119969</c:v>
                </c:pt>
                <c:pt idx="4">
                  <c:v>476564960.44047856</c:v>
                </c:pt>
                <c:pt idx="5">
                  <c:v>503533859.7138921</c:v>
                </c:pt>
                <c:pt idx="6">
                  <c:v>532132711.0908252</c:v>
                </c:pt>
                <c:pt idx="7">
                  <c:v>562463589.82498729</c:v>
                </c:pt>
                <c:pt idx="8">
                  <c:v>594635078.19766259</c:v>
                </c:pt>
                <c:pt idx="9">
                  <c:v>628762683.87969673</c:v>
                </c:pt>
                <c:pt idx="10">
                  <c:v>664969285.30000556</c:v>
                </c:pt>
                <c:pt idx="11">
                  <c:v>703385605.76723909</c:v>
                </c:pt>
                <c:pt idx="12">
                  <c:v>744150718.20428872</c:v>
                </c:pt>
                <c:pt idx="13">
                  <c:v>787412582.47570944</c:v>
                </c:pt>
                <c:pt idx="14">
                  <c:v>833328617.41631031</c:v>
                </c:pt>
                <c:pt idx="15">
                  <c:v>534164117.04017878</c:v>
                </c:pt>
                <c:pt idx="16">
                  <c:v>550189040.55138409</c:v>
                </c:pt>
                <c:pt idx="17">
                  <c:v>566694711.76792574</c:v>
                </c:pt>
                <c:pt idx="18">
                  <c:v>583695553.12096345</c:v>
                </c:pt>
                <c:pt idx="19">
                  <c:v>601206419.71459246</c:v>
                </c:pt>
                <c:pt idx="20">
                  <c:v>619242612.30603027</c:v>
                </c:pt>
                <c:pt idx="21">
                  <c:v>637819890.67521119</c:v>
                </c:pt>
                <c:pt idx="22">
                  <c:v>656954487.39546752</c:v>
                </c:pt>
                <c:pt idx="23">
                  <c:v>676663122.0173316</c:v>
                </c:pt>
                <c:pt idx="24">
                  <c:v>696963015.67785156</c:v>
                </c:pt>
                <c:pt idx="25">
                  <c:v>717871906.14818716</c:v>
                </c:pt>
                <c:pt idx="26">
                  <c:v>739408063.33263278</c:v>
                </c:pt>
                <c:pt idx="27">
                  <c:v>761590305.23261166</c:v>
                </c:pt>
                <c:pt idx="28">
                  <c:v>784438014.38959014</c:v>
                </c:pt>
                <c:pt idx="29">
                  <c:v>807971154.82127774</c:v>
                </c:pt>
              </c:numCache>
            </c:numRef>
          </c:val>
          <c:smooth val="0"/>
          <c:extLst>
            <c:ext xmlns:c16="http://schemas.microsoft.com/office/drawing/2014/chart" uri="{C3380CC4-5D6E-409C-BE32-E72D297353CC}">
              <c16:uniqueId val="{00000001-8171-4BE4-B449-3A7057194885}"/>
            </c:ext>
          </c:extLst>
        </c:ser>
        <c:ser>
          <c:idx val="2"/>
          <c:order val="2"/>
          <c:tx>
            <c:strRef>
              <c:f>'Graph Data '!$E$233</c:f>
              <c:strCache>
                <c:ptCount val="1"/>
                <c:pt idx="0">
                  <c:v> Methanol Train  </c:v>
                </c:pt>
              </c:strCache>
            </c:strRef>
          </c:tx>
          <c:spPr>
            <a:ln w="28575" cap="rnd">
              <a:solidFill>
                <a:schemeClr val="accent3"/>
              </a:solidFill>
              <a:round/>
            </a:ln>
            <a:effectLst/>
          </c:spPr>
          <c:marker>
            <c:symbol val="none"/>
          </c:marker>
          <c:val>
            <c:numRef>
              <c:f>'Graph Data '!$F$233:$AI$233</c:f>
              <c:numCache>
                <c:formatCode>_-* #,##0_-;\-* #,##0_-;_-* "-"??_-;_-@_-</c:formatCode>
                <c:ptCount val="30"/>
                <c:pt idx="0">
                  <c:v>0</c:v>
                </c:pt>
                <c:pt idx="1">
                  <c:v>363590293.33464235</c:v>
                </c:pt>
                <c:pt idx="2">
                  <c:v>468122502.66835201</c:v>
                </c:pt>
                <c:pt idx="3">
                  <c:v>563763530.90582466</c:v>
                </c:pt>
                <c:pt idx="4">
                  <c:v>580676436.83299935</c:v>
                </c:pt>
                <c:pt idx="5">
                  <c:v>598096729.93798935</c:v>
                </c:pt>
                <c:pt idx="6">
                  <c:v>616039631.83612907</c:v>
                </c:pt>
                <c:pt idx="7">
                  <c:v>634520820.79121304</c:v>
                </c:pt>
                <c:pt idx="8">
                  <c:v>653556445.41494942</c:v>
                </c:pt>
                <c:pt idx="9">
                  <c:v>673163138.77739775</c:v>
                </c:pt>
                <c:pt idx="10">
                  <c:v>693358032.94071972</c:v>
                </c:pt>
                <c:pt idx="11">
                  <c:v>714158773.92894137</c:v>
                </c:pt>
                <c:pt idx="12">
                  <c:v>735583537.1468097</c:v>
                </c:pt>
                <c:pt idx="13">
                  <c:v>757651043.26121402</c:v>
                </c:pt>
                <c:pt idx="14">
                  <c:v>780380574.55905044</c:v>
                </c:pt>
                <c:pt idx="15">
                  <c:v>803791991.79582202</c:v>
                </c:pt>
                <c:pt idx="16">
                  <c:v>827905751.54969668</c:v>
                </c:pt>
                <c:pt idx="17">
                  <c:v>852742924.09618759</c:v>
                </c:pt>
                <c:pt idx="18">
                  <c:v>878325211.81907332</c:v>
                </c:pt>
                <c:pt idx="19">
                  <c:v>904674968.17364562</c:v>
                </c:pt>
                <c:pt idx="20">
                  <c:v>931815217.21885502</c:v>
                </c:pt>
                <c:pt idx="21">
                  <c:v>959769673.73542082</c:v>
                </c:pt>
                <c:pt idx="22">
                  <c:v>988562763.94748342</c:v>
                </c:pt>
                <c:pt idx="23">
                  <c:v>1018219646.865908</c:v>
                </c:pt>
                <c:pt idx="24">
                  <c:v>1048766236.2718852</c:v>
                </c:pt>
                <c:pt idx="25">
                  <c:v>1080229223.3600419</c:v>
                </c:pt>
                <c:pt idx="26">
                  <c:v>1112636100.0608432</c:v>
                </c:pt>
                <c:pt idx="27">
                  <c:v>1146015183.0626683</c:v>
                </c:pt>
                <c:pt idx="28">
                  <c:v>1180395638.5545483</c:v>
                </c:pt>
                <c:pt idx="29">
                  <c:v>1215807507.711185</c:v>
                </c:pt>
              </c:numCache>
            </c:numRef>
          </c:val>
          <c:smooth val="0"/>
          <c:extLst>
            <c:ext xmlns:c16="http://schemas.microsoft.com/office/drawing/2014/chart" uri="{C3380CC4-5D6E-409C-BE32-E72D297353CC}">
              <c16:uniqueId val="{00000002-8171-4BE4-B449-3A7057194885}"/>
            </c:ext>
          </c:extLst>
        </c:ser>
        <c:dLbls>
          <c:showLegendKey val="0"/>
          <c:showVal val="0"/>
          <c:showCatName val="0"/>
          <c:showSerName val="0"/>
          <c:showPercent val="0"/>
          <c:showBubbleSize val="0"/>
        </c:dLbls>
        <c:smooth val="0"/>
        <c:axId val="818815424"/>
        <c:axId val="818815752"/>
      </c:lineChart>
      <c:catAx>
        <c:axId val="8188154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NG"/>
          </a:p>
        </c:txPr>
        <c:crossAx val="818815752"/>
        <c:crosses val="autoZero"/>
        <c:auto val="1"/>
        <c:lblAlgn val="ctr"/>
        <c:lblOffset val="100"/>
        <c:noMultiLvlLbl val="0"/>
      </c:catAx>
      <c:valAx>
        <c:axId val="818815752"/>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NG"/>
          </a:p>
        </c:txPr>
        <c:crossAx val="818815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NG"/>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Urea</a:t>
            </a:r>
            <a:r>
              <a:rPr lang="en-US" b="1" baseline="0">
                <a:solidFill>
                  <a:schemeClr val="tx1"/>
                </a:solidFill>
              </a:rPr>
              <a:t>, Ammonia and Methanol Production MTPA </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680395711639289E-2"/>
          <c:y val="0.10126144785858984"/>
          <c:w val="0.88348327712775165"/>
          <c:h val="0.73757417084320887"/>
        </c:manualLayout>
      </c:layout>
      <c:areaChart>
        <c:grouping val="stacked"/>
        <c:varyColors val="0"/>
        <c:ser>
          <c:idx val="0"/>
          <c:order val="0"/>
          <c:tx>
            <c:strRef>
              <c:f>'Graph Data '!$E$110</c:f>
              <c:strCache>
                <c:ptCount val="1"/>
                <c:pt idx="0">
                  <c:v>Urea (MTPA)</c:v>
                </c:pt>
              </c:strCache>
            </c:strRef>
          </c:tx>
          <c:spPr>
            <a:solidFill>
              <a:schemeClr val="accent5">
                <a:lumMod val="75000"/>
              </a:schemeClr>
            </a:solidFill>
            <a:ln>
              <a:solidFill>
                <a:srgbClr val="FF0000"/>
              </a:solidFill>
            </a:ln>
            <a:effectLst/>
          </c:spPr>
          <c:val>
            <c:numRef>
              <c:f>'Graph Data '!$F$110:$AI$110</c:f>
              <c:numCache>
                <c:formatCode>_-* #,##0_-;\-* #,##0_-;_-* "-"??_-;_-@_-</c:formatCode>
                <c:ptCount val="30"/>
                <c:pt idx="0">
                  <c:v>0</c:v>
                </c:pt>
                <c:pt idx="1">
                  <c:v>975000</c:v>
                </c:pt>
                <c:pt idx="2">
                  <c:v>1868750</c:v>
                </c:pt>
                <c:pt idx="3">
                  <c:v>2237500</c:v>
                </c:pt>
                <c:pt idx="4">
                  <c:v>2375000</c:v>
                </c:pt>
                <c:pt idx="5">
                  <c:v>2375000</c:v>
                </c:pt>
                <c:pt idx="6">
                  <c:v>2375000</c:v>
                </c:pt>
                <c:pt idx="7">
                  <c:v>2375000</c:v>
                </c:pt>
                <c:pt idx="8">
                  <c:v>2375000</c:v>
                </c:pt>
                <c:pt idx="9">
                  <c:v>2375000</c:v>
                </c:pt>
                <c:pt idx="10">
                  <c:v>2375000</c:v>
                </c:pt>
                <c:pt idx="11">
                  <c:v>2375000</c:v>
                </c:pt>
                <c:pt idx="12">
                  <c:v>2375000</c:v>
                </c:pt>
                <c:pt idx="13">
                  <c:v>2375000</c:v>
                </c:pt>
                <c:pt idx="14">
                  <c:v>2375000</c:v>
                </c:pt>
                <c:pt idx="15">
                  <c:v>2375000</c:v>
                </c:pt>
                <c:pt idx="16">
                  <c:v>2375000</c:v>
                </c:pt>
                <c:pt idx="17">
                  <c:v>2375000</c:v>
                </c:pt>
                <c:pt idx="18">
                  <c:v>2375000</c:v>
                </c:pt>
                <c:pt idx="19">
                  <c:v>2375000</c:v>
                </c:pt>
                <c:pt idx="20">
                  <c:v>2375000</c:v>
                </c:pt>
                <c:pt idx="21">
                  <c:v>2375000</c:v>
                </c:pt>
                <c:pt idx="22">
                  <c:v>2375000</c:v>
                </c:pt>
                <c:pt idx="23">
                  <c:v>2375000</c:v>
                </c:pt>
                <c:pt idx="24">
                  <c:v>2375000</c:v>
                </c:pt>
                <c:pt idx="25">
                  <c:v>2375000</c:v>
                </c:pt>
                <c:pt idx="26">
                  <c:v>2375000</c:v>
                </c:pt>
                <c:pt idx="27">
                  <c:v>2375000</c:v>
                </c:pt>
                <c:pt idx="28">
                  <c:v>2375000</c:v>
                </c:pt>
                <c:pt idx="29">
                  <c:v>2375000</c:v>
                </c:pt>
              </c:numCache>
            </c:numRef>
          </c:val>
          <c:extLst>
            <c:ext xmlns:c16="http://schemas.microsoft.com/office/drawing/2014/chart" uri="{C3380CC4-5D6E-409C-BE32-E72D297353CC}">
              <c16:uniqueId val="{00000000-AB95-47A3-A667-78DB6784C7C5}"/>
            </c:ext>
          </c:extLst>
        </c:ser>
        <c:ser>
          <c:idx val="1"/>
          <c:order val="1"/>
          <c:tx>
            <c:strRef>
              <c:f>'Graph Data '!$E$111</c:f>
              <c:strCache>
                <c:ptCount val="1"/>
                <c:pt idx="0">
                  <c:v>Methanol (MTPA)</c:v>
                </c:pt>
              </c:strCache>
            </c:strRef>
          </c:tx>
          <c:spPr>
            <a:solidFill>
              <a:schemeClr val="accent6">
                <a:lumMod val="40000"/>
                <a:lumOff val="60000"/>
              </a:schemeClr>
            </a:solidFill>
            <a:ln>
              <a:solidFill>
                <a:srgbClr val="FF0000"/>
              </a:solidFill>
            </a:ln>
            <a:effectLst/>
          </c:spPr>
          <c:val>
            <c:numRef>
              <c:f>'Graph Data '!$F$111:$AI$111</c:f>
              <c:numCache>
                <c:formatCode>_-* #,##0_-;\-* #,##0_-;_-* "-"??_-;_-@_-</c:formatCode>
                <c:ptCount val="30"/>
                <c:pt idx="0">
                  <c:v>0</c:v>
                </c:pt>
                <c:pt idx="1">
                  <c:v>650000</c:v>
                </c:pt>
                <c:pt idx="2">
                  <c:v>812500</c:v>
                </c:pt>
                <c:pt idx="3">
                  <c:v>950000</c:v>
                </c:pt>
                <c:pt idx="4">
                  <c:v>950000</c:v>
                </c:pt>
                <c:pt idx="5">
                  <c:v>950000</c:v>
                </c:pt>
                <c:pt idx="6">
                  <c:v>950000</c:v>
                </c:pt>
                <c:pt idx="7">
                  <c:v>950000</c:v>
                </c:pt>
                <c:pt idx="8">
                  <c:v>950000</c:v>
                </c:pt>
                <c:pt idx="9">
                  <c:v>950000</c:v>
                </c:pt>
                <c:pt idx="10">
                  <c:v>950000</c:v>
                </c:pt>
                <c:pt idx="11">
                  <c:v>950000</c:v>
                </c:pt>
                <c:pt idx="12">
                  <c:v>950000</c:v>
                </c:pt>
                <c:pt idx="13">
                  <c:v>950000</c:v>
                </c:pt>
                <c:pt idx="14">
                  <c:v>950000</c:v>
                </c:pt>
                <c:pt idx="15">
                  <c:v>950000</c:v>
                </c:pt>
                <c:pt idx="16">
                  <c:v>950000</c:v>
                </c:pt>
                <c:pt idx="17">
                  <c:v>950000</c:v>
                </c:pt>
                <c:pt idx="18">
                  <c:v>950000</c:v>
                </c:pt>
                <c:pt idx="19">
                  <c:v>950000</c:v>
                </c:pt>
                <c:pt idx="20">
                  <c:v>950000</c:v>
                </c:pt>
                <c:pt idx="21">
                  <c:v>950000</c:v>
                </c:pt>
                <c:pt idx="22">
                  <c:v>950000</c:v>
                </c:pt>
                <c:pt idx="23">
                  <c:v>950000</c:v>
                </c:pt>
                <c:pt idx="24">
                  <c:v>950000</c:v>
                </c:pt>
                <c:pt idx="25">
                  <c:v>950000</c:v>
                </c:pt>
                <c:pt idx="26">
                  <c:v>950000</c:v>
                </c:pt>
                <c:pt idx="27">
                  <c:v>950000</c:v>
                </c:pt>
                <c:pt idx="28">
                  <c:v>950000</c:v>
                </c:pt>
                <c:pt idx="29">
                  <c:v>950000</c:v>
                </c:pt>
              </c:numCache>
            </c:numRef>
          </c:val>
          <c:extLst>
            <c:ext xmlns:c16="http://schemas.microsoft.com/office/drawing/2014/chart" uri="{C3380CC4-5D6E-409C-BE32-E72D297353CC}">
              <c16:uniqueId val="{00000001-AB95-47A3-A667-78DB6784C7C5}"/>
            </c:ext>
          </c:extLst>
        </c:ser>
        <c:dLbls>
          <c:showLegendKey val="0"/>
          <c:showVal val="0"/>
          <c:showCatName val="0"/>
          <c:showSerName val="0"/>
          <c:showPercent val="0"/>
          <c:showBubbleSize val="0"/>
        </c:dLbls>
        <c:axId val="646976864"/>
        <c:axId val="646977848"/>
      </c:areaChart>
      <c:lineChart>
        <c:grouping val="standard"/>
        <c:varyColors val="0"/>
        <c:ser>
          <c:idx val="2"/>
          <c:order val="2"/>
          <c:tx>
            <c:strRef>
              <c:f>'Graph Data '!$E$112</c:f>
              <c:strCache>
                <c:ptCount val="1"/>
                <c:pt idx="0">
                  <c:v>Ammonia (MTPA)</c:v>
                </c:pt>
              </c:strCache>
            </c:strRef>
          </c:tx>
          <c:spPr>
            <a:ln w="28575" cap="rnd">
              <a:solidFill>
                <a:srgbClr val="FF0000"/>
              </a:solidFill>
              <a:round/>
            </a:ln>
            <a:effectLst/>
          </c:spPr>
          <c:marker>
            <c:symbol val="none"/>
          </c:marker>
          <c:val>
            <c:numRef>
              <c:f>'Graph Data '!$F$112:$AI$112</c:f>
              <c:numCache>
                <c:formatCode>_-* #,##0.00_-;\-* #,##0.00_-;_-* "-"??_-;_-@_-</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2-AB95-47A3-A667-78DB6784C7C5}"/>
            </c:ext>
          </c:extLst>
        </c:ser>
        <c:dLbls>
          <c:showLegendKey val="0"/>
          <c:showVal val="0"/>
          <c:showCatName val="0"/>
          <c:showSerName val="0"/>
          <c:showPercent val="0"/>
          <c:showBubbleSize val="0"/>
        </c:dLbls>
        <c:marker val="1"/>
        <c:smooth val="0"/>
        <c:axId val="646976864"/>
        <c:axId val="646977848"/>
      </c:lineChart>
      <c:catAx>
        <c:axId val="6469768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Years</a:t>
                </a:r>
                <a:r>
                  <a:rPr lang="en-US" baseline="0">
                    <a:solidFill>
                      <a:schemeClr val="tx1"/>
                    </a:solidFill>
                  </a:rPr>
                  <a:t> </a:t>
                </a:r>
                <a:endParaRPr lang="en-US">
                  <a:solidFill>
                    <a:schemeClr val="tx1"/>
                  </a:solidFill>
                </a:endParaRPr>
              </a:p>
            </c:rich>
          </c:tx>
          <c:layout>
            <c:manualLayout>
              <c:xMode val="edge"/>
              <c:yMode val="edge"/>
              <c:x val="0.52878270522413062"/>
              <c:y val="0.8962610763987327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NG"/>
          </a:p>
        </c:txPr>
        <c:crossAx val="646977848"/>
        <c:crosses val="autoZero"/>
        <c:auto val="1"/>
        <c:lblAlgn val="ctr"/>
        <c:lblOffset val="100"/>
        <c:noMultiLvlLbl val="0"/>
      </c:catAx>
      <c:valAx>
        <c:axId val="6469778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MTPA</a:t>
                </a:r>
              </a:p>
            </c:rich>
          </c:tx>
          <c:layout>
            <c:manualLayout>
              <c:xMode val="edge"/>
              <c:yMode val="edge"/>
              <c:x val="8.4280529636180587E-2"/>
              <c:y val="0.4031981824059218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NG"/>
          </a:p>
        </c:txPr>
        <c:crossAx val="646976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NG"/>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accent5">
          <a:lumMod val="20000"/>
          <a:lumOff val="80000"/>
        </a:schemeClr>
      </a:solidFill>
      <a:round/>
    </a:ln>
    <a:effectLst/>
  </c:spPr>
  <c:txPr>
    <a:bodyPr/>
    <a:lstStyle/>
    <a:p>
      <a:pPr>
        <a:defRPr/>
      </a:pPr>
      <a:endParaRPr lang="en-NG"/>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Urea</a:t>
            </a:r>
            <a:r>
              <a:rPr lang="en-US" b="1" baseline="0"/>
              <a:t> Local Sales and Export Sales </a:t>
            </a:r>
            <a:r>
              <a:rPr lang="en-US" b="1"/>
              <a:t> Title</a:t>
            </a:r>
          </a:p>
        </c:rich>
      </c:tx>
      <c:layout>
        <c:manualLayout>
          <c:xMode val="edge"/>
          <c:yMode val="edge"/>
          <c:x val="0.29127272996481868"/>
          <c:y val="3.701195942867523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NG"/>
        </a:p>
      </c:txPr>
    </c:title>
    <c:autoTitleDeleted val="0"/>
    <c:plotArea>
      <c:layout/>
      <c:areaChart>
        <c:grouping val="stacked"/>
        <c:varyColors val="0"/>
        <c:ser>
          <c:idx val="0"/>
          <c:order val="0"/>
          <c:tx>
            <c:strRef>
              <c:f>'Graph Data '!$E$117</c:f>
              <c:strCache>
                <c:ptCount val="1"/>
                <c:pt idx="0">
                  <c:v> Urea -Local  </c:v>
                </c:pt>
              </c:strCache>
            </c:strRef>
          </c:tx>
          <c:spPr>
            <a:solidFill>
              <a:schemeClr val="accent1"/>
            </a:solidFill>
            <a:ln>
              <a:noFill/>
            </a:ln>
            <a:effectLst/>
          </c:spPr>
          <c:val>
            <c:numRef>
              <c:f>'Graph Data '!$F$117:$AI$117</c:f>
              <c:numCache>
                <c:formatCode>_-* #,##0_-;\-* #,##0_-;_-* "-"??_-;_-@_-</c:formatCode>
                <c:ptCount val="30"/>
                <c:pt idx="0">
                  <c:v>0</c:v>
                </c:pt>
                <c:pt idx="1">
                  <c:v>305976828.83349055</c:v>
                </c:pt>
                <c:pt idx="2">
                  <c:v>630716387.73695922</c:v>
                </c:pt>
                <c:pt idx="3">
                  <c:v>812166252.80244792</c:v>
                </c:pt>
                <c:pt idx="4">
                  <c:v>910872660.46358657</c:v>
                </c:pt>
                <c:pt idx="5">
                  <c:v>969878716.42799211</c:v>
                </c:pt>
                <c:pt idx="6">
                  <c:v>1032707166.8846226</c:v>
                </c:pt>
                <c:pt idx="7">
                  <c:v>1099605625.3947546</c:v>
                </c:pt>
                <c:pt idx="8">
                  <c:v>1170837745.8514116</c:v>
                </c:pt>
                <c:pt idx="9">
                  <c:v>1246684261.5672145</c:v>
                </c:pt>
                <c:pt idx="10">
                  <c:v>1327444091.6740258</c:v>
                </c:pt>
                <c:pt idx="11">
                  <c:v>1413435519.1948299</c:v>
                </c:pt>
                <c:pt idx="12">
                  <c:v>1504997445.4307559</c:v>
                </c:pt>
                <c:pt idx="13">
                  <c:v>1602490725.6069088</c:v>
                </c:pt>
                <c:pt idx="14">
                  <c:v>1706299591.0409398</c:v>
                </c:pt>
                <c:pt idx="15">
                  <c:v>947077681.52561605</c:v>
                </c:pt>
                <c:pt idx="16">
                  <c:v>975490011.97138453</c:v>
                </c:pt>
                <c:pt idx="17">
                  <c:v>1004754712.3305261</c:v>
                </c:pt>
                <c:pt idx="18">
                  <c:v>1034897353.700442</c:v>
                </c:pt>
                <c:pt idx="19">
                  <c:v>1065944274.3114554</c:v>
                </c:pt>
                <c:pt idx="20">
                  <c:v>1097922602.5407991</c:v>
                </c:pt>
                <c:pt idx="21">
                  <c:v>1130860280.617023</c:v>
                </c:pt>
                <c:pt idx="22">
                  <c:v>1164786089.0355337</c:v>
                </c:pt>
                <c:pt idx="23">
                  <c:v>1199729671.7065997</c:v>
                </c:pt>
                <c:pt idx="24">
                  <c:v>1235721561.8577979</c:v>
                </c:pt>
                <c:pt idx="25">
                  <c:v>1272793208.7135317</c:v>
                </c:pt>
                <c:pt idx="26">
                  <c:v>1310977004.9749379</c:v>
                </c:pt>
                <c:pt idx="27">
                  <c:v>1350306315.124186</c:v>
                </c:pt>
                <c:pt idx="28">
                  <c:v>1390815504.5779116</c:v>
                </c:pt>
                <c:pt idx="29">
                  <c:v>1432539969.7152488</c:v>
                </c:pt>
              </c:numCache>
            </c:numRef>
          </c:val>
          <c:extLst>
            <c:ext xmlns:c16="http://schemas.microsoft.com/office/drawing/2014/chart" uri="{C3380CC4-5D6E-409C-BE32-E72D297353CC}">
              <c16:uniqueId val="{00000000-C207-4F0A-848F-04F1BEDD46C4}"/>
            </c:ext>
          </c:extLst>
        </c:ser>
        <c:ser>
          <c:idx val="1"/>
          <c:order val="1"/>
          <c:tx>
            <c:strRef>
              <c:f>'Graph Data '!$E$118</c:f>
              <c:strCache>
                <c:ptCount val="1"/>
                <c:pt idx="0">
                  <c:v> Urea Export  </c:v>
                </c:pt>
              </c:strCache>
            </c:strRef>
          </c:tx>
          <c:spPr>
            <a:solidFill>
              <a:schemeClr val="accent6">
                <a:lumMod val="60000"/>
                <a:lumOff val="40000"/>
              </a:schemeClr>
            </a:solidFill>
            <a:ln w="28575">
              <a:solidFill>
                <a:srgbClr val="FF0000"/>
              </a:solidFill>
            </a:ln>
            <a:effectLst/>
          </c:spPr>
          <c:val>
            <c:numRef>
              <c:f>'Graph Data '!$F$118:$AI$118</c:f>
              <c:numCache>
                <c:formatCode>_-* #,##0_-;\-* #,##0_-;_-* "-"??_-;_-@_-</c:formatCode>
                <c:ptCount val="30"/>
                <c:pt idx="0">
                  <c:v>0</c:v>
                </c:pt>
                <c:pt idx="1">
                  <c:v>105395900.49160714</c:v>
                </c:pt>
                <c:pt idx="2">
                  <c:v>208069073.55384779</c:v>
                </c:pt>
                <c:pt idx="3">
                  <c:v>256599967.16470182</c:v>
                </c:pt>
                <c:pt idx="4">
                  <c:v>280539740.63760972</c:v>
                </c:pt>
                <c:pt idx="5">
                  <c:v>288955932.85673803</c:v>
                </c:pt>
                <c:pt idx="6">
                  <c:v>297624610.84244019</c:v>
                </c:pt>
                <c:pt idx="7">
                  <c:v>306553349.1677134</c:v>
                </c:pt>
                <c:pt idx="8">
                  <c:v>315749949.64274484</c:v>
                </c:pt>
                <c:pt idx="9">
                  <c:v>325222448.13202715</c:v>
                </c:pt>
                <c:pt idx="10">
                  <c:v>334979121.57598799</c:v>
                </c:pt>
                <c:pt idx="11">
                  <c:v>345028495.22326767</c:v>
                </c:pt>
                <c:pt idx="12">
                  <c:v>355379350.07996571</c:v>
                </c:pt>
                <c:pt idx="13">
                  <c:v>366040730.58236468</c:v>
                </c:pt>
                <c:pt idx="14">
                  <c:v>377021952.49983561</c:v>
                </c:pt>
                <c:pt idx="15">
                  <c:v>388332611.07483077</c:v>
                </c:pt>
                <c:pt idx="16">
                  <c:v>399982589.4070757</c:v>
                </c:pt>
                <c:pt idx="17">
                  <c:v>411982067.089288</c:v>
                </c:pt>
                <c:pt idx="18">
                  <c:v>424341529.10196662</c:v>
                </c:pt>
                <c:pt idx="19">
                  <c:v>437071774.97502565</c:v>
                </c:pt>
                <c:pt idx="20">
                  <c:v>450183928.22427654</c:v>
                </c:pt>
                <c:pt idx="21">
                  <c:v>463689446.07100475</c:v>
                </c:pt>
                <c:pt idx="22">
                  <c:v>477600129.45313495</c:v>
                </c:pt>
                <c:pt idx="23">
                  <c:v>491928133.33672905</c:v>
                </c:pt>
                <c:pt idx="24">
                  <c:v>506685977.33683085</c:v>
                </c:pt>
                <c:pt idx="25">
                  <c:v>521886556.65693581</c:v>
                </c:pt>
                <c:pt idx="26">
                  <c:v>537543153.35664392</c:v>
                </c:pt>
                <c:pt idx="27">
                  <c:v>553669447.95734334</c:v>
                </c:pt>
                <c:pt idx="28">
                  <c:v>570279531.39606357</c:v>
                </c:pt>
                <c:pt idx="29">
                  <c:v>587387917.33794546</c:v>
                </c:pt>
              </c:numCache>
            </c:numRef>
          </c:val>
          <c:extLst>
            <c:ext xmlns:c16="http://schemas.microsoft.com/office/drawing/2014/chart" uri="{C3380CC4-5D6E-409C-BE32-E72D297353CC}">
              <c16:uniqueId val="{00000001-C207-4F0A-848F-04F1BEDD46C4}"/>
            </c:ext>
          </c:extLst>
        </c:ser>
        <c:dLbls>
          <c:showLegendKey val="0"/>
          <c:showVal val="0"/>
          <c:showCatName val="0"/>
          <c:showSerName val="0"/>
          <c:showPercent val="0"/>
          <c:showBubbleSize val="0"/>
        </c:dLbls>
        <c:axId val="979126920"/>
        <c:axId val="979125608"/>
      </c:areaChart>
      <c:catAx>
        <c:axId val="9791269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r>
                  <a:rPr lang="en-US" baseline="0"/>
                  <a:t>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NG"/>
          </a:p>
        </c:txPr>
        <c:crossAx val="979125608"/>
        <c:crosses val="autoZero"/>
        <c:auto val="1"/>
        <c:lblAlgn val="ctr"/>
        <c:lblOffset val="100"/>
        <c:noMultiLvlLbl val="0"/>
      </c:catAx>
      <c:valAx>
        <c:axId val="979125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b="1">
                    <a:solidFill>
                      <a:schemeClr val="tx1"/>
                    </a:solidFill>
                  </a:rPr>
                  <a:t>US$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NG"/>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NG"/>
          </a:p>
        </c:txPr>
        <c:crossAx val="979126920"/>
        <c:crosses val="autoZero"/>
        <c:crossBetween val="midCat"/>
      </c:valAx>
      <c:spPr>
        <a:noFill/>
        <a:ln>
          <a:noFill/>
        </a:ln>
        <a:effectLst/>
      </c:spPr>
    </c:plotArea>
    <c:legend>
      <c:legendPos val="b"/>
      <c:layout>
        <c:manualLayout>
          <c:xMode val="edge"/>
          <c:yMode val="edge"/>
          <c:x val="0.42093274622024357"/>
          <c:y val="0.93252991800053819"/>
          <c:w val="0.23866411283522346"/>
          <c:h val="5.1896759558138744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spc="0" baseline="0">
                <a:solidFill>
                  <a:schemeClr val="tx1">
                    <a:lumMod val="65000"/>
                    <a:lumOff val="35000"/>
                  </a:schemeClr>
                </a:solidFill>
                <a:latin typeface="+mn-lt"/>
                <a:ea typeface="+mn-ea"/>
                <a:cs typeface="+mn-cs"/>
              </a:defRPr>
            </a:pPr>
            <a:r>
              <a:rPr lang="en-US" sz="1800" b="1" u="sng"/>
              <a:t>Revenue</a:t>
            </a:r>
            <a:r>
              <a:rPr lang="en-US" sz="1800" b="1" u="sng" baseline="0"/>
              <a:t> Projection </a:t>
            </a:r>
            <a:endParaRPr lang="en-US" sz="1800" b="1" u="sng"/>
          </a:p>
        </c:rich>
      </c:tx>
      <c:overlay val="0"/>
      <c:spPr>
        <a:noFill/>
        <a:ln>
          <a:noFill/>
        </a:ln>
        <a:effectLst/>
      </c:spPr>
      <c:txPr>
        <a:bodyPr rot="0" spcFirstLastPara="1" vertOverflow="ellipsis" vert="horz" wrap="square" anchor="ctr" anchorCtr="1"/>
        <a:lstStyle/>
        <a:p>
          <a:pPr>
            <a:defRPr sz="1800" b="1" i="0" u="sng"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'Graph Data '!$E$231</c:f>
              <c:strCache>
                <c:ptCount val="1"/>
                <c:pt idx="0">
                  <c:v> Urea Train 1  </c:v>
                </c:pt>
              </c:strCache>
            </c:strRef>
          </c:tx>
          <c:spPr>
            <a:ln w="28575" cap="rnd">
              <a:solidFill>
                <a:schemeClr val="accent1"/>
              </a:solidFill>
              <a:round/>
            </a:ln>
            <a:effectLst/>
          </c:spPr>
          <c:marker>
            <c:symbol val="none"/>
          </c:marker>
          <c:val>
            <c:numRef>
              <c:f>'Graph Data '!$F$231:$AI$231</c:f>
              <c:numCache>
                <c:formatCode>_-* #,##0_-;\-* #,##0_-;_-* "-"??_-;_-@_-</c:formatCode>
                <c:ptCount val="30"/>
                <c:pt idx="0">
                  <c:v>0</c:v>
                </c:pt>
                <c:pt idx="1">
                  <c:v>411372729.32509768</c:v>
                </c:pt>
                <c:pt idx="2">
                  <c:v>547033996.49400461</c:v>
                </c:pt>
                <c:pt idx="3">
                  <c:v>680666754.61595011</c:v>
                </c:pt>
                <c:pt idx="4">
                  <c:v>714847440.66071773</c:v>
                </c:pt>
                <c:pt idx="5">
                  <c:v>755300789.57083797</c:v>
                </c:pt>
                <c:pt idx="6">
                  <c:v>798199066.63623762</c:v>
                </c:pt>
                <c:pt idx="7">
                  <c:v>843695384.73748088</c:v>
                </c:pt>
                <c:pt idx="8">
                  <c:v>891952617.29649377</c:v>
                </c:pt>
                <c:pt idx="9">
                  <c:v>943144025.81954503</c:v>
                </c:pt>
                <c:pt idx="10">
                  <c:v>997453927.95000815</c:v>
                </c:pt>
                <c:pt idx="11">
                  <c:v>1055078408.6508585</c:v>
                </c:pt>
                <c:pt idx="12">
                  <c:v>1116226077.306433</c:v>
                </c:pt>
                <c:pt idx="13">
                  <c:v>1181118873.7135642</c:v>
                </c:pt>
                <c:pt idx="14">
                  <c:v>1249992926.1244652</c:v>
                </c:pt>
                <c:pt idx="15">
                  <c:v>801246175.56026816</c:v>
                </c:pt>
                <c:pt idx="16">
                  <c:v>825283560.82707608</c:v>
                </c:pt>
                <c:pt idx="17">
                  <c:v>850042067.65188849</c:v>
                </c:pt>
                <c:pt idx="18">
                  <c:v>875543329.68144512</c:v>
                </c:pt>
                <c:pt idx="19">
                  <c:v>901809629.57188857</c:v>
                </c:pt>
                <c:pt idx="20">
                  <c:v>928863918.45904529</c:v>
                </c:pt>
                <c:pt idx="21">
                  <c:v>956729836.01281667</c:v>
                </c:pt>
                <c:pt idx="22">
                  <c:v>985431731.09320116</c:v>
                </c:pt>
                <c:pt idx="23">
                  <c:v>1014994683.0259973</c:v>
                </c:pt>
                <c:pt idx="24">
                  <c:v>1045444523.5167772</c:v>
                </c:pt>
                <c:pt idx="25">
                  <c:v>1076807859.2222805</c:v>
                </c:pt>
                <c:pt idx="26">
                  <c:v>1109112094.9989491</c:v>
                </c:pt>
                <c:pt idx="27">
                  <c:v>1142385457.8489175</c:v>
                </c:pt>
                <c:pt idx="28">
                  <c:v>1176657021.5843849</c:v>
                </c:pt>
                <c:pt idx="29">
                  <c:v>1211956732.2319164</c:v>
                </c:pt>
              </c:numCache>
            </c:numRef>
          </c:val>
          <c:smooth val="0"/>
          <c:extLst>
            <c:ext xmlns:c16="http://schemas.microsoft.com/office/drawing/2014/chart" uri="{C3380CC4-5D6E-409C-BE32-E72D297353CC}">
              <c16:uniqueId val="{00000000-18EA-411B-80E0-9A6B369B33CC}"/>
            </c:ext>
          </c:extLst>
        </c:ser>
        <c:ser>
          <c:idx val="1"/>
          <c:order val="1"/>
          <c:tx>
            <c:strRef>
              <c:f>'Graph Data '!$E$232</c:f>
              <c:strCache>
                <c:ptCount val="1"/>
                <c:pt idx="0">
                  <c:v> Urea Train 2  </c:v>
                </c:pt>
              </c:strCache>
            </c:strRef>
          </c:tx>
          <c:spPr>
            <a:ln w="28575" cap="rnd">
              <a:solidFill>
                <a:schemeClr val="accent2"/>
              </a:solidFill>
              <a:round/>
            </a:ln>
            <a:effectLst/>
          </c:spPr>
          <c:marker>
            <c:symbol val="none"/>
          </c:marker>
          <c:val>
            <c:numRef>
              <c:f>'Graph Data '!$F$232:$AI$232</c:f>
              <c:numCache>
                <c:formatCode>_-* #,##0_-;\-* #,##0_-;_-* "-"??_-;_-@_-</c:formatCode>
                <c:ptCount val="30"/>
                <c:pt idx="0">
                  <c:v>0</c:v>
                </c:pt>
                <c:pt idx="1">
                  <c:v>0</c:v>
                </c:pt>
                <c:pt idx="2">
                  <c:v>291751464.79680246</c:v>
                </c:pt>
                <c:pt idx="3">
                  <c:v>388099465.35119969</c:v>
                </c:pt>
                <c:pt idx="4">
                  <c:v>476564960.44047856</c:v>
                </c:pt>
                <c:pt idx="5">
                  <c:v>503533859.7138921</c:v>
                </c:pt>
                <c:pt idx="6">
                  <c:v>532132711.0908252</c:v>
                </c:pt>
                <c:pt idx="7">
                  <c:v>562463589.82498729</c:v>
                </c:pt>
                <c:pt idx="8">
                  <c:v>594635078.19766259</c:v>
                </c:pt>
                <c:pt idx="9">
                  <c:v>628762683.87969673</c:v>
                </c:pt>
                <c:pt idx="10">
                  <c:v>664969285.30000556</c:v>
                </c:pt>
                <c:pt idx="11">
                  <c:v>703385605.76723909</c:v>
                </c:pt>
                <c:pt idx="12">
                  <c:v>744150718.20428872</c:v>
                </c:pt>
                <c:pt idx="13">
                  <c:v>787412582.47570944</c:v>
                </c:pt>
                <c:pt idx="14">
                  <c:v>833328617.41631031</c:v>
                </c:pt>
                <c:pt idx="15">
                  <c:v>534164117.04017878</c:v>
                </c:pt>
                <c:pt idx="16">
                  <c:v>550189040.55138409</c:v>
                </c:pt>
                <c:pt idx="17">
                  <c:v>566694711.76792574</c:v>
                </c:pt>
                <c:pt idx="18">
                  <c:v>583695553.12096345</c:v>
                </c:pt>
                <c:pt idx="19">
                  <c:v>601206419.71459246</c:v>
                </c:pt>
                <c:pt idx="20">
                  <c:v>619242612.30603027</c:v>
                </c:pt>
                <c:pt idx="21">
                  <c:v>637819890.67521119</c:v>
                </c:pt>
                <c:pt idx="22">
                  <c:v>656954487.39546752</c:v>
                </c:pt>
                <c:pt idx="23">
                  <c:v>676663122.0173316</c:v>
                </c:pt>
                <c:pt idx="24">
                  <c:v>696963015.67785156</c:v>
                </c:pt>
                <c:pt idx="25">
                  <c:v>717871906.14818716</c:v>
                </c:pt>
                <c:pt idx="26">
                  <c:v>739408063.33263278</c:v>
                </c:pt>
                <c:pt idx="27">
                  <c:v>761590305.23261166</c:v>
                </c:pt>
                <c:pt idx="28">
                  <c:v>784438014.38959014</c:v>
                </c:pt>
                <c:pt idx="29">
                  <c:v>807971154.82127774</c:v>
                </c:pt>
              </c:numCache>
            </c:numRef>
          </c:val>
          <c:smooth val="0"/>
          <c:extLst>
            <c:ext xmlns:c16="http://schemas.microsoft.com/office/drawing/2014/chart" uri="{C3380CC4-5D6E-409C-BE32-E72D297353CC}">
              <c16:uniqueId val="{00000001-18EA-411B-80E0-9A6B369B33CC}"/>
            </c:ext>
          </c:extLst>
        </c:ser>
        <c:ser>
          <c:idx val="2"/>
          <c:order val="2"/>
          <c:tx>
            <c:strRef>
              <c:f>'Graph Data '!#REF!</c:f>
              <c:strCache>
                <c:ptCount val="1"/>
                <c:pt idx="0">
                  <c:v>#REF!</c:v>
                </c:pt>
              </c:strCache>
            </c:strRef>
          </c:tx>
          <c:spPr>
            <a:ln w="28575" cap="rnd">
              <a:solidFill>
                <a:schemeClr val="accent3"/>
              </a:solidFill>
              <a:round/>
            </a:ln>
            <a:effectLst/>
          </c:spPr>
          <c:marker>
            <c:symbol val="none"/>
          </c:marker>
          <c:val>
            <c:numRef>
              <c:f>'Graph Data '!#REF!</c:f>
              <c:numCache>
                <c:formatCode>General</c:formatCode>
                <c:ptCount val="1"/>
                <c:pt idx="0">
                  <c:v>1</c:v>
                </c:pt>
              </c:numCache>
            </c:numRef>
          </c:val>
          <c:smooth val="0"/>
          <c:extLst>
            <c:ext xmlns:c16="http://schemas.microsoft.com/office/drawing/2014/chart" uri="{C3380CC4-5D6E-409C-BE32-E72D297353CC}">
              <c16:uniqueId val="{00000002-18EA-411B-80E0-9A6B369B33CC}"/>
            </c:ext>
          </c:extLst>
        </c:ser>
        <c:dLbls>
          <c:showLegendKey val="0"/>
          <c:showVal val="0"/>
          <c:showCatName val="0"/>
          <c:showSerName val="0"/>
          <c:showPercent val="0"/>
          <c:showBubbleSize val="0"/>
        </c:dLbls>
        <c:marker val="1"/>
        <c:smooth val="0"/>
        <c:axId val="643530160"/>
        <c:axId val="643529504"/>
      </c:lineChart>
      <c:lineChart>
        <c:grouping val="standard"/>
        <c:varyColors val="0"/>
        <c:ser>
          <c:idx val="3"/>
          <c:order val="3"/>
          <c:tx>
            <c:strRef>
              <c:f>'Graph Data '!$E$233</c:f>
              <c:strCache>
                <c:ptCount val="1"/>
                <c:pt idx="0">
                  <c:v> Methanol Train  </c:v>
                </c:pt>
              </c:strCache>
            </c:strRef>
          </c:tx>
          <c:spPr>
            <a:ln w="28575" cap="rnd">
              <a:solidFill>
                <a:schemeClr val="accent4"/>
              </a:solidFill>
              <a:round/>
            </a:ln>
            <a:effectLst/>
          </c:spPr>
          <c:marker>
            <c:symbol val="none"/>
          </c:marker>
          <c:val>
            <c:numRef>
              <c:f>'Graph Data '!$F$233:$AI$233</c:f>
              <c:numCache>
                <c:formatCode>_-* #,##0_-;\-* #,##0_-;_-* "-"??_-;_-@_-</c:formatCode>
                <c:ptCount val="30"/>
                <c:pt idx="0">
                  <c:v>0</c:v>
                </c:pt>
                <c:pt idx="1">
                  <c:v>363590293.33464235</c:v>
                </c:pt>
                <c:pt idx="2">
                  <c:v>468122502.66835201</c:v>
                </c:pt>
                <c:pt idx="3">
                  <c:v>563763530.90582466</c:v>
                </c:pt>
                <c:pt idx="4">
                  <c:v>580676436.83299935</c:v>
                </c:pt>
                <c:pt idx="5">
                  <c:v>598096729.93798935</c:v>
                </c:pt>
                <c:pt idx="6">
                  <c:v>616039631.83612907</c:v>
                </c:pt>
                <c:pt idx="7">
                  <c:v>634520820.79121304</c:v>
                </c:pt>
                <c:pt idx="8">
                  <c:v>653556445.41494942</c:v>
                </c:pt>
                <c:pt idx="9">
                  <c:v>673163138.77739775</c:v>
                </c:pt>
                <c:pt idx="10">
                  <c:v>693358032.94071972</c:v>
                </c:pt>
                <c:pt idx="11">
                  <c:v>714158773.92894137</c:v>
                </c:pt>
                <c:pt idx="12">
                  <c:v>735583537.1468097</c:v>
                </c:pt>
                <c:pt idx="13">
                  <c:v>757651043.26121402</c:v>
                </c:pt>
                <c:pt idx="14">
                  <c:v>780380574.55905044</c:v>
                </c:pt>
                <c:pt idx="15">
                  <c:v>803791991.79582202</c:v>
                </c:pt>
                <c:pt idx="16">
                  <c:v>827905751.54969668</c:v>
                </c:pt>
                <c:pt idx="17">
                  <c:v>852742924.09618759</c:v>
                </c:pt>
                <c:pt idx="18">
                  <c:v>878325211.81907332</c:v>
                </c:pt>
                <c:pt idx="19">
                  <c:v>904674968.17364562</c:v>
                </c:pt>
                <c:pt idx="20">
                  <c:v>931815217.21885502</c:v>
                </c:pt>
                <c:pt idx="21">
                  <c:v>959769673.73542082</c:v>
                </c:pt>
                <c:pt idx="22">
                  <c:v>988562763.94748342</c:v>
                </c:pt>
                <c:pt idx="23">
                  <c:v>1018219646.865908</c:v>
                </c:pt>
                <c:pt idx="24">
                  <c:v>1048766236.2718852</c:v>
                </c:pt>
                <c:pt idx="25">
                  <c:v>1080229223.3600419</c:v>
                </c:pt>
                <c:pt idx="26">
                  <c:v>1112636100.0608432</c:v>
                </c:pt>
                <c:pt idx="27">
                  <c:v>1146015183.0626683</c:v>
                </c:pt>
                <c:pt idx="28">
                  <c:v>1180395638.5545483</c:v>
                </c:pt>
                <c:pt idx="29">
                  <c:v>1215807507.711185</c:v>
                </c:pt>
              </c:numCache>
            </c:numRef>
          </c:val>
          <c:smooth val="0"/>
          <c:extLst>
            <c:ext xmlns:c16="http://schemas.microsoft.com/office/drawing/2014/chart" uri="{C3380CC4-5D6E-409C-BE32-E72D297353CC}">
              <c16:uniqueId val="{00000003-18EA-411B-80E0-9A6B369B33CC}"/>
            </c:ext>
          </c:extLst>
        </c:ser>
        <c:dLbls>
          <c:showLegendKey val="0"/>
          <c:showVal val="0"/>
          <c:showCatName val="0"/>
          <c:showSerName val="0"/>
          <c:showPercent val="0"/>
          <c:showBubbleSize val="0"/>
        </c:dLbls>
        <c:marker val="1"/>
        <c:smooth val="0"/>
        <c:axId val="979140696"/>
        <c:axId val="979141680"/>
      </c:lineChart>
      <c:catAx>
        <c:axId val="64353016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r>
                  <a:rPr lang="en-US" baseline="0"/>
                  <a:t>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NG"/>
          </a:p>
        </c:txPr>
        <c:crossAx val="643529504"/>
        <c:crosses val="autoZero"/>
        <c:auto val="1"/>
        <c:lblAlgn val="ctr"/>
        <c:lblOffset val="100"/>
        <c:noMultiLvlLbl val="0"/>
      </c:catAx>
      <c:valAx>
        <c:axId val="64352950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title>
        <c:numFmt formatCode="_-* #,##0_-;\-* #,##0_-;_-* &quot;-&quot;??_-;_-@_-" sourceLinked="1"/>
        <c:majorTickMark val="out"/>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NG"/>
          </a:p>
        </c:txPr>
        <c:crossAx val="643530160"/>
        <c:crosses val="autoZero"/>
        <c:crossBetween val="between"/>
      </c:valAx>
      <c:valAx>
        <c:axId val="979141680"/>
        <c:scaling>
          <c:orientation val="minMax"/>
        </c:scaling>
        <c:delete val="1"/>
        <c:axPos val="r"/>
        <c:numFmt formatCode="_-* #,##0_-;\-* #,##0_-;_-* &quot;-&quot;??_-;_-@_-" sourceLinked="1"/>
        <c:majorTickMark val="out"/>
        <c:minorTickMark val="none"/>
        <c:tickLblPos val="nextTo"/>
        <c:crossAx val="979140696"/>
        <c:crosses val="max"/>
        <c:crossBetween val="between"/>
      </c:valAx>
      <c:catAx>
        <c:axId val="979140696"/>
        <c:scaling>
          <c:orientation val="minMax"/>
        </c:scaling>
        <c:delete val="1"/>
        <c:axPos val="t"/>
        <c:majorTickMark val="out"/>
        <c:minorTickMark val="none"/>
        <c:tickLblPos val="nextTo"/>
        <c:crossAx val="979141680"/>
        <c:crosses val="max"/>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Daytona" panose="020B0604030500040204" pitchFamily="34" charset="0"/>
                <a:ea typeface="+mn-ea"/>
                <a:cs typeface="+mn-cs"/>
              </a:defRPr>
            </a:pPr>
            <a:r>
              <a:rPr lang="en-US">
                <a:latin typeface="Daytona" panose="020B0604030500040204" pitchFamily="34" charset="0"/>
              </a:rPr>
              <a:t>Production</a:t>
            </a:r>
            <a:r>
              <a:rPr lang="en-US" baseline="0">
                <a:latin typeface="Daytona" panose="020B0604030500040204" pitchFamily="34" charset="0"/>
              </a:rPr>
              <a:t> Projections (MT)</a:t>
            </a:r>
            <a:endParaRPr lang="en-US">
              <a:latin typeface="Daytona" panose="020B060403050004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Daytona" panose="020B0604030500040204" pitchFamily="34" charset="0"/>
              <a:ea typeface="+mn-ea"/>
              <a:cs typeface="+mn-cs"/>
            </a:defRPr>
          </a:pPr>
          <a:endParaRPr lang="en-US"/>
        </a:p>
      </c:txPr>
    </c:title>
    <c:autoTitleDeleted val="0"/>
    <c:plotArea>
      <c:layout/>
      <c:barChart>
        <c:barDir val="col"/>
        <c:grouping val="clustered"/>
        <c:varyColors val="0"/>
        <c:ser>
          <c:idx val="0"/>
          <c:order val="0"/>
          <c:tx>
            <c:strRef>
              <c:f>'Graph Data '!$E$226</c:f>
              <c:strCache>
                <c:ptCount val="1"/>
                <c:pt idx="0">
                  <c:v> Urea Train 1  </c:v>
                </c:pt>
              </c:strCache>
            </c:strRef>
          </c:tx>
          <c:spPr>
            <a:solidFill>
              <a:schemeClr val="accent1"/>
            </a:solidFill>
            <a:ln>
              <a:noFill/>
            </a:ln>
            <a:effectLst/>
          </c:spPr>
          <c:invertIfNegative val="0"/>
          <c:val>
            <c:numRef>
              <c:f>'Graph Data '!$F$226:$T$226</c:f>
              <c:numCache>
                <c:formatCode>_-* #,##0.0_-;\-* #,##0.0_-;_-* "-"??_-;_-@_-</c:formatCode>
                <c:ptCount val="15"/>
                <c:pt idx="0">
                  <c:v>0</c:v>
                </c:pt>
                <c:pt idx="1">
                  <c:v>975000</c:v>
                </c:pt>
                <c:pt idx="2">
                  <c:v>1218750</c:v>
                </c:pt>
                <c:pt idx="3">
                  <c:v>1425000</c:v>
                </c:pt>
                <c:pt idx="4">
                  <c:v>1425000</c:v>
                </c:pt>
                <c:pt idx="5">
                  <c:v>1425000</c:v>
                </c:pt>
                <c:pt idx="6">
                  <c:v>1425000</c:v>
                </c:pt>
                <c:pt idx="7">
                  <c:v>1425000</c:v>
                </c:pt>
                <c:pt idx="8">
                  <c:v>1425000</c:v>
                </c:pt>
                <c:pt idx="9">
                  <c:v>1425000</c:v>
                </c:pt>
                <c:pt idx="10">
                  <c:v>1425000</c:v>
                </c:pt>
                <c:pt idx="11">
                  <c:v>1425000</c:v>
                </c:pt>
                <c:pt idx="12">
                  <c:v>1425000</c:v>
                </c:pt>
                <c:pt idx="13">
                  <c:v>1425000</c:v>
                </c:pt>
                <c:pt idx="14">
                  <c:v>1425000</c:v>
                </c:pt>
              </c:numCache>
            </c:numRef>
          </c:val>
          <c:extLst>
            <c:ext xmlns:c16="http://schemas.microsoft.com/office/drawing/2014/chart" uri="{C3380CC4-5D6E-409C-BE32-E72D297353CC}">
              <c16:uniqueId val="{00000000-A30E-489B-B1B2-A50F184D1CDA}"/>
            </c:ext>
          </c:extLst>
        </c:ser>
        <c:ser>
          <c:idx val="1"/>
          <c:order val="1"/>
          <c:tx>
            <c:strRef>
              <c:f>'Graph Data '!$E$227</c:f>
              <c:strCache>
                <c:ptCount val="1"/>
                <c:pt idx="0">
                  <c:v> Urea Train 2  </c:v>
                </c:pt>
              </c:strCache>
            </c:strRef>
          </c:tx>
          <c:spPr>
            <a:solidFill>
              <a:schemeClr val="accent2"/>
            </a:solidFill>
            <a:ln>
              <a:noFill/>
            </a:ln>
            <a:effectLst/>
          </c:spPr>
          <c:invertIfNegative val="0"/>
          <c:val>
            <c:numRef>
              <c:f>'Graph Data '!$F$227:$T$227</c:f>
              <c:numCache>
                <c:formatCode>_-* #,##0.0_-;\-* #,##0.0_-;_-* "-"??_-;_-@_-</c:formatCode>
                <c:ptCount val="15"/>
                <c:pt idx="0">
                  <c:v>0</c:v>
                </c:pt>
                <c:pt idx="1">
                  <c:v>0</c:v>
                </c:pt>
                <c:pt idx="2">
                  <c:v>650000</c:v>
                </c:pt>
                <c:pt idx="3">
                  <c:v>812500</c:v>
                </c:pt>
                <c:pt idx="4">
                  <c:v>950000</c:v>
                </c:pt>
                <c:pt idx="5">
                  <c:v>950000</c:v>
                </c:pt>
                <c:pt idx="6">
                  <c:v>950000</c:v>
                </c:pt>
                <c:pt idx="7">
                  <c:v>950000</c:v>
                </c:pt>
                <c:pt idx="8">
                  <c:v>950000</c:v>
                </c:pt>
                <c:pt idx="9">
                  <c:v>950000</c:v>
                </c:pt>
                <c:pt idx="10">
                  <c:v>950000</c:v>
                </c:pt>
                <c:pt idx="11">
                  <c:v>950000</c:v>
                </c:pt>
                <c:pt idx="12">
                  <c:v>950000</c:v>
                </c:pt>
                <c:pt idx="13">
                  <c:v>950000</c:v>
                </c:pt>
                <c:pt idx="14">
                  <c:v>950000</c:v>
                </c:pt>
              </c:numCache>
            </c:numRef>
          </c:val>
          <c:extLst>
            <c:ext xmlns:c16="http://schemas.microsoft.com/office/drawing/2014/chart" uri="{C3380CC4-5D6E-409C-BE32-E72D297353CC}">
              <c16:uniqueId val="{00000001-A30E-489B-B1B2-A50F184D1CDA}"/>
            </c:ext>
          </c:extLst>
        </c:ser>
        <c:ser>
          <c:idx val="2"/>
          <c:order val="2"/>
          <c:tx>
            <c:strRef>
              <c:f>'Graph Data '!$E$228</c:f>
              <c:strCache>
                <c:ptCount val="1"/>
                <c:pt idx="0">
                  <c:v> Methanol Train  </c:v>
                </c:pt>
              </c:strCache>
            </c:strRef>
          </c:tx>
          <c:spPr>
            <a:solidFill>
              <a:schemeClr val="accent3"/>
            </a:solidFill>
            <a:ln>
              <a:noFill/>
            </a:ln>
            <a:effectLst/>
          </c:spPr>
          <c:invertIfNegative val="0"/>
          <c:val>
            <c:numRef>
              <c:f>'Graph Data '!$F$228:$T$228</c:f>
              <c:numCache>
                <c:formatCode>_-* #,##0.0_-;\-* #,##0.0_-;_-* "-"??_-;_-@_-</c:formatCode>
                <c:ptCount val="15"/>
                <c:pt idx="0">
                  <c:v>0</c:v>
                </c:pt>
                <c:pt idx="1">
                  <c:v>650000</c:v>
                </c:pt>
                <c:pt idx="2">
                  <c:v>812500</c:v>
                </c:pt>
                <c:pt idx="3">
                  <c:v>950000</c:v>
                </c:pt>
                <c:pt idx="4">
                  <c:v>950000</c:v>
                </c:pt>
                <c:pt idx="5">
                  <c:v>950000</c:v>
                </c:pt>
                <c:pt idx="6">
                  <c:v>950000</c:v>
                </c:pt>
                <c:pt idx="7">
                  <c:v>950000</c:v>
                </c:pt>
                <c:pt idx="8">
                  <c:v>950000</c:v>
                </c:pt>
                <c:pt idx="9">
                  <c:v>950000</c:v>
                </c:pt>
                <c:pt idx="10">
                  <c:v>950000</c:v>
                </c:pt>
                <c:pt idx="11">
                  <c:v>950000</c:v>
                </c:pt>
                <c:pt idx="12">
                  <c:v>950000</c:v>
                </c:pt>
                <c:pt idx="13">
                  <c:v>950000</c:v>
                </c:pt>
                <c:pt idx="14">
                  <c:v>950000</c:v>
                </c:pt>
              </c:numCache>
            </c:numRef>
          </c:val>
          <c:extLst>
            <c:ext xmlns:c16="http://schemas.microsoft.com/office/drawing/2014/chart" uri="{C3380CC4-5D6E-409C-BE32-E72D297353CC}">
              <c16:uniqueId val="{00000002-A30E-489B-B1B2-A50F184D1CDA}"/>
            </c:ext>
          </c:extLst>
        </c:ser>
        <c:dLbls>
          <c:showLegendKey val="0"/>
          <c:showVal val="0"/>
          <c:showCatName val="0"/>
          <c:showSerName val="0"/>
          <c:showPercent val="0"/>
          <c:showBubbleSize val="0"/>
        </c:dLbls>
        <c:gapWidth val="219"/>
        <c:overlap val="-27"/>
        <c:axId val="423413896"/>
        <c:axId val="423409632"/>
      </c:barChart>
      <c:catAx>
        <c:axId val="423413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423409632"/>
        <c:crosses val="autoZero"/>
        <c:auto val="1"/>
        <c:lblAlgn val="ctr"/>
        <c:lblOffset val="100"/>
        <c:noMultiLvlLbl val="0"/>
      </c:catAx>
      <c:valAx>
        <c:axId val="423409632"/>
        <c:scaling>
          <c:orientation val="minMax"/>
        </c:scaling>
        <c:delete val="0"/>
        <c:axPos val="l"/>
        <c:majorGridlines>
          <c:spPr>
            <a:ln w="9525" cap="flat" cmpd="sng" algn="ctr">
              <a:solidFill>
                <a:schemeClr val="tx1">
                  <a:lumMod val="15000"/>
                  <a:lumOff val="85000"/>
                </a:schemeClr>
              </a:solidFill>
              <a:round/>
            </a:ln>
            <a:effectLst/>
          </c:spPr>
        </c:majorGridlines>
        <c:numFmt formatCode="_-* #,##0.0_-;\-* #,##0.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crossAx val="423413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Revenue</a:t>
            </a:r>
            <a:r>
              <a:rPr lang="en-US" sz="1800" b="1" baseline="0"/>
              <a:t> USD ($)</a:t>
            </a:r>
            <a:endParaRPr lang="en-US" sz="1800" b="1"/>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8681758530183726"/>
          <c:y val="0.16245370370370371"/>
          <c:w val="0.77151574803149603"/>
          <c:h val="0.61498432487605714"/>
        </c:manualLayout>
      </c:layout>
      <c:barChart>
        <c:barDir val="col"/>
        <c:grouping val="clustered"/>
        <c:varyColors val="0"/>
        <c:ser>
          <c:idx val="0"/>
          <c:order val="0"/>
          <c:tx>
            <c:strRef>
              <c:f>'Graph Data '!$E$231</c:f>
              <c:strCache>
                <c:ptCount val="1"/>
                <c:pt idx="0">
                  <c:v> Urea Train 1  </c:v>
                </c:pt>
              </c:strCache>
            </c:strRef>
          </c:tx>
          <c:spPr>
            <a:solidFill>
              <a:schemeClr val="accent1"/>
            </a:solidFill>
            <a:ln>
              <a:noFill/>
            </a:ln>
            <a:effectLst/>
          </c:spPr>
          <c:invertIfNegative val="0"/>
          <c:val>
            <c:numRef>
              <c:f>'Graph Data '!$F$231:$T$231</c:f>
              <c:numCache>
                <c:formatCode>_-* #,##0_-;\-* #,##0_-;_-* "-"??_-;_-@_-</c:formatCode>
                <c:ptCount val="15"/>
                <c:pt idx="0">
                  <c:v>0</c:v>
                </c:pt>
                <c:pt idx="1">
                  <c:v>411372729.32509768</c:v>
                </c:pt>
                <c:pt idx="2">
                  <c:v>547033996.49400461</c:v>
                </c:pt>
                <c:pt idx="3">
                  <c:v>680666754.61595011</c:v>
                </c:pt>
                <c:pt idx="4">
                  <c:v>714847440.66071773</c:v>
                </c:pt>
                <c:pt idx="5">
                  <c:v>755300789.57083797</c:v>
                </c:pt>
                <c:pt idx="6">
                  <c:v>798199066.63623762</c:v>
                </c:pt>
                <c:pt idx="7">
                  <c:v>843695384.73748088</c:v>
                </c:pt>
                <c:pt idx="8">
                  <c:v>891952617.29649377</c:v>
                </c:pt>
                <c:pt idx="9">
                  <c:v>943144025.81954503</c:v>
                </c:pt>
                <c:pt idx="10">
                  <c:v>997453927.95000815</c:v>
                </c:pt>
                <c:pt idx="11">
                  <c:v>1055078408.6508585</c:v>
                </c:pt>
                <c:pt idx="12">
                  <c:v>1116226077.306433</c:v>
                </c:pt>
                <c:pt idx="13">
                  <c:v>1181118873.7135642</c:v>
                </c:pt>
                <c:pt idx="14">
                  <c:v>1249992926.1244652</c:v>
                </c:pt>
              </c:numCache>
            </c:numRef>
          </c:val>
          <c:extLst>
            <c:ext xmlns:c16="http://schemas.microsoft.com/office/drawing/2014/chart" uri="{C3380CC4-5D6E-409C-BE32-E72D297353CC}">
              <c16:uniqueId val="{00000000-15CF-4DAF-BCA1-FB9FC8E83C42}"/>
            </c:ext>
          </c:extLst>
        </c:ser>
        <c:ser>
          <c:idx val="1"/>
          <c:order val="1"/>
          <c:tx>
            <c:strRef>
              <c:f>'Graph Data '!$E$232</c:f>
              <c:strCache>
                <c:ptCount val="1"/>
                <c:pt idx="0">
                  <c:v> Urea Train 2  </c:v>
                </c:pt>
              </c:strCache>
            </c:strRef>
          </c:tx>
          <c:spPr>
            <a:solidFill>
              <a:schemeClr val="accent2"/>
            </a:solidFill>
            <a:ln>
              <a:noFill/>
            </a:ln>
            <a:effectLst/>
          </c:spPr>
          <c:invertIfNegative val="0"/>
          <c:val>
            <c:numRef>
              <c:f>'Graph Data '!$F$232:$T$232</c:f>
              <c:numCache>
                <c:formatCode>_-* #,##0_-;\-* #,##0_-;_-* "-"??_-;_-@_-</c:formatCode>
                <c:ptCount val="15"/>
                <c:pt idx="0">
                  <c:v>0</c:v>
                </c:pt>
                <c:pt idx="1">
                  <c:v>0</c:v>
                </c:pt>
                <c:pt idx="2">
                  <c:v>291751464.79680246</c:v>
                </c:pt>
                <c:pt idx="3">
                  <c:v>388099465.35119969</c:v>
                </c:pt>
                <c:pt idx="4">
                  <c:v>476564960.44047856</c:v>
                </c:pt>
                <c:pt idx="5">
                  <c:v>503533859.7138921</c:v>
                </c:pt>
                <c:pt idx="6">
                  <c:v>532132711.0908252</c:v>
                </c:pt>
                <c:pt idx="7">
                  <c:v>562463589.82498729</c:v>
                </c:pt>
                <c:pt idx="8">
                  <c:v>594635078.19766259</c:v>
                </c:pt>
                <c:pt idx="9">
                  <c:v>628762683.87969673</c:v>
                </c:pt>
                <c:pt idx="10">
                  <c:v>664969285.30000556</c:v>
                </c:pt>
                <c:pt idx="11">
                  <c:v>703385605.76723909</c:v>
                </c:pt>
                <c:pt idx="12">
                  <c:v>744150718.20428872</c:v>
                </c:pt>
                <c:pt idx="13">
                  <c:v>787412582.47570944</c:v>
                </c:pt>
                <c:pt idx="14">
                  <c:v>833328617.41631031</c:v>
                </c:pt>
              </c:numCache>
            </c:numRef>
          </c:val>
          <c:extLst>
            <c:ext xmlns:c16="http://schemas.microsoft.com/office/drawing/2014/chart" uri="{C3380CC4-5D6E-409C-BE32-E72D297353CC}">
              <c16:uniqueId val="{00000001-15CF-4DAF-BCA1-FB9FC8E83C42}"/>
            </c:ext>
          </c:extLst>
        </c:ser>
        <c:ser>
          <c:idx val="2"/>
          <c:order val="2"/>
          <c:tx>
            <c:strRef>
              <c:f>'Graph Data '!$E$233</c:f>
              <c:strCache>
                <c:ptCount val="1"/>
                <c:pt idx="0">
                  <c:v> Methanol Train  </c:v>
                </c:pt>
              </c:strCache>
            </c:strRef>
          </c:tx>
          <c:spPr>
            <a:solidFill>
              <a:schemeClr val="accent3"/>
            </a:solidFill>
            <a:ln>
              <a:noFill/>
            </a:ln>
            <a:effectLst/>
          </c:spPr>
          <c:invertIfNegative val="0"/>
          <c:val>
            <c:numRef>
              <c:f>'Graph Data '!$F$233:$T$233</c:f>
              <c:numCache>
                <c:formatCode>_-* #,##0_-;\-* #,##0_-;_-* "-"??_-;_-@_-</c:formatCode>
                <c:ptCount val="15"/>
                <c:pt idx="0">
                  <c:v>0</c:v>
                </c:pt>
                <c:pt idx="1">
                  <c:v>363590293.33464235</c:v>
                </c:pt>
                <c:pt idx="2">
                  <c:v>468122502.66835201</c:v>
                </c:pt>
                <c:pt idx="3">
                  <c:v>563763530.90582466</c:v>
                </c:pt>
                <c:pt idx="4">
                  <c:v>580676436.83299935</c:v>
                </c:pt>
                <c:pt idx="5">
                  <c:v>598096729.93798935</c:v>
                </c:pt>
                <c:pt idx="6">
                  <c:v>616039631.83612907</c:v>
                </c:pt>
                <c:pt idx="7">
                  <c:v>634520820.79121304</c:v>
                </c:pt>
                <c:pt idx="8">
                  <c:v>653556445.41494942</c:v>
                </c:pt>
                <c:pt idx="9">
                  <c:v>673163138.77739775</c:v>
                </c:pt>
                <c:pt idx="10">
                  <c:v>693358032.94071972</c:v>
                </c:pt>
                <c:pt idx="11">
                  <c:v>714158773.92894137</c:v>
                </c:pt>
                <c:pt idx="12">
                  <c:v>735583537.1468097</c:v>
                </c:pt>
                <c:pt idx="13">
                  <c:v>757651043.26121402</c:v>
                </c:pt>
                <c:pt idx="14">
                  <c:v>780380574.55905044</c:v>
                </c:pt>
              </c:numCache>
            </c:numRef>
          </c:val>
          <c:extLst>
            <c:ext xmlns:c16="http://schemas.microsoft.com/office/drawing/2014/chart" uri="{C3380CC4-5D6E-409C-BE32-E72D297353CC}">
              <c16:uniqueId val="{00000002-15CF-4DAF-BCA1-FB9FC8E83C42}"/>
            </c:ext>
          </c:extLst>
        </c:ser>
        <c:dLbls>
          <c:showLegendKey val="0"/>
          <c:showVal val="0"/>
          <c:showCatName val="0"/>
          <c:showSerName val="0"/>
          <c:showPercent val="0"/>
          <c:showBubbleSize val="0"/>
        </c:dLbls>
        <c:gapWidth val="219"/>
        <c:overlap val="-27"/>
        <c:axId val="742895320"/>
        <c:axId val="742893680"/>
      </c:barChart>
      <c:catAx>
        <c:axId val="7428953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crossAx val="742893680"/>
        <c:crosses val="autoZero"/>
        <c:auto val="1"/>
        <c:lblAlgn val="ctr"/>
        <c:lblOffset val="100"/>
        <c:noMultiLvlLbl val="0"/>
      </c:catAx>
      <c:valAx>
        <c:axId val="742893680"/>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crossAx val="742895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Daytona" panose="020B0604030500040204" pitchFamily="34" charset="0"/>
                <a:ea typeface="+mn-ea"/>
                <a:cs typeface="+mn-cs"/>
              </a:defRPr>
            </a:pPr>
            <a:r>
              <a:rPr lang="en-US">
                <a:latin typeface="Daytona" panose="020B0604030500040204" pitchFamily="34" charset="0"/>
              </a:rPr>
              <a:t>Income</a:t>
            </a:r>
            <a:r>
              <a:rPr lang="en-US" baseline="0">
                <a:latin typeface="Daytona" panose="020B0604030500040204" pitchFamily="34" charset="0"/>
              </a:rPr>
              <a:t> Statement (USD)</a:t>
            </a:r>
            <a:endParaRPr lang="en-US">
              <a:latin typeface="Daytona" panose="020B060403050004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Daytona" panose="020B0604030500040204" pitchFamily="34" charset="0"/>
              <a:ea typeface="+mn-ea"/>
              <a:cs typeface="+mn-cs"/>
            </a:defRPr>
          </a:pPr>
          <a:endParaRPr lang="en-US"/>
        </a:p>
      </c:txPr>
    </c:title>
    <c:autoTitleDeleted val="0"/>
    <c:plotArea>
      <c:layout/>
      <c:barChart>
        <c:barDir val="col"/>
        <c:grouping val="clustered"/>
        <c:varyColors val="0"/>
        <c:ser>
          <c:idx val="0"/>
          <c:order val="0"/>
          <c:tx>
            <c:strRef>
              <c:f>IS!$H$46</c:f>
              <c:strCache>
                <c:ptCount val="1"/>
                <c:pt idx="0">
                  <c:v>Revenue (USD)</c:v>
                </c:pt>
              </c:strCache>
            </c:strRef>
          </c:tx>
          <c:spPr>
            <a:solidFill>
              <a:schemeClr val="accent1"/>
            </a:solidFill>
            <a:ln>
              <a:noFill/>
            </a:ln>
            <a:effectLst/>
          </c:spPr>
          <c:invertIfNegative val="0"/>
          <c:val>
            <c:numRef>
              <c:f>IS!$I$46:$W$46</c:f>
              <c:numCache>
                <c:formatCode>_-* #,##0_-;\-* #,##0_-;_-* "-"??_-;_-@_-</c:formatCode>
                <c:ptCount val="15"/>
                <c:pt idx="0">
                  <c:v>0</c:v>
                </c:pt>
                <c:pt idx="1">
                  <c:v>0</c:v>
                </c:pt>
                <c:pt idx="2">
                  <c:v>1015156499.1623566</c:v>
                </c:pt>
                <c:pt idx="3">
                  <c:v>1551313125.5927296</c:v>
                </c:pt>
                <c:pt idx="4">
                  <c:v>1726545204.911016</c:v>
                </c:pt>
                <c:pt idx="5">
                  <c:v>1837533804.8941593</c:v>
                </c:pt>
                <c:pt idx="6">
                  <c:v>1946371409.5631919</c:v>
                </c:pt>
                <c:pt idx="7">
                  <c:v>2040679795.3536811</c:v>
                </c:pt>
                <c:pt idx="8">
                  <c:v>2140144140.9091058</c:v>
                </c:pt>
                <c:pt idx="9">
                  <c:v>2245069848.4766393</c:v>
                </c:pt>
                <c:pt idx="10">
                  <c:v>2355781246.1907334</c:v>
                </c:pt>
                <c:pt idx="11">
                  <c:v>2472622788.3470387</c:v>
                </c:pt>
                <c:pt idx="12">
                  <c:v>2595960332.6575313</c:v>
                </c:pt>
                <c:pt idx="13">
                  <c:v>2726182499.4504876</c:v>
                </c:pt>
                <c:pt idx="14">
                  <c:v>2863702118.0998259</c:v>
                </c:pt>
              </c:numCache>
            </c:numRef>
          </c:val>
          <c:extLst>
            <c:ext xmlns:c16="http://schemas.microsoft.com/office/drawing/2014/chart" uri="{C3380CC4-5D6E-409C-BE32-E72D297353CC}">
              <c16:uniqueId val="{00000000-4979-425E-837C-D2F59CCA18D2}"/>
            </c:ext>
          </c:extLst>
        </c:ser>
        <c:ser>
          <c:idx val="1"/>
          <c:order val="1"/>
          <c:tx>
            <c:strRef>
              <c:f>IS!$H$47</c:f>
              <c:strCache>
                <c:ptCount val="1"/>
                <c:pt idx="0">
                  <c:v>Gross Profit (USD)</c:v>
                </c:pt>
              </c:strCache>
            </c:strRef>
          </c:tx>
          <c:spPr>
            <a:solidFill>
              <a:schemeClr val="accent2"/>
            </a:solidFill>
            <a:ln>
              <a:noFill/>
            </a:ln>
            <a:effectLst/>
          </c:spPr>
          <c:invertIfNegative val="0"/>
          <c:val>
            <c:numRef>
              <c:f>IS!$I$47:$W$47</c:f>
              <c:numCache>
                <c:formatCode>_-* #,##0_-;\-* #,##0_-;_-* "-"??_-;_-@_-</c:formatCode>
                <c:ptCount val="15"/>
                <c:pt idx="0">
                  <c:v>0</c:v>
                </c:pt>
                <c:pt idx="1">
                  <c:v>-144780637.06971791</c:v>
                </c:pt>
                <c:pt idx="2">
                  <c:v>748048635.85354424</c:v>
                </c:pt>
                <c:pt idx="3">
                  <c:v>1154245502.9572415</c:v>
                </c:pt>
                <c:pt idx="4">
                  <c:v>1306885923.0478511</c:v>
                </c:pt>
                <c:pt idx="5">
                  <c:v>1406337905.1259873</c:v>
                </c:pt>
                <c:pt idx="6">
                  <c:v>1502374335.0218873</c:v>
                </c:pt>
                <c:pt idx="7">
                  <c:v>1584464899.7328324</c:v>
                </c:pt>
                <c:pt idx="8">
                  <c:v>1671038014.1272502</c:v>
                </c:pt>
                <c:pt idx="9">
                  <c:v>1763038349.4560404</c:v>
                </c:pt>
                <c:pt idx="10">
                  <c:v>1859426355.8876488</c:v>
                </c:pt>
                <c:pt idx="11">
                  <c:v>1962578870.9780517</c:v>
                </c:pt>
                <c:pt idx="12">
                  <c:v>2071479165.9403839</c:v>
                </c:pt>
                <c:pt idx="13">
                  <c:v>2187218795.5194998</c:v>
                </c:pt>
                <c:pt idx="14">
                  <c:v>2308710157.7700872</c:v>
                </c:pt>
              </c:numCache>
            </c:numRef>
          </c:val>
          <c:extLst>
            <c:ext xmlns:c16="http://schemas.microsoft.com/office/drawing/2014/chart" uri="{C3380CC4-5D6E-409C-BE32-E72D297353CC}">
              <c16:uniqueId val="{00000001-4979-425E-837C-D2F59CCA18D2}"/>
            </c:ext>
          </c:extLst>
        </c:ser>
        <c:ser>
          <c:idx val="2"/>
          <c:order val="2"/>
          <c:tx>
            <c:strRef>
              <c:f>IS!$H$48</c:f>
              <c:strCache>
                <c:ptCount val="1"/>
                <c:pt idx="0">
                  <c:v>Operating Profit (USD)</c:v>
                </c:pt>
              </c:strCache>
            </c:strRef>
          </c:tx>
          <c:spPr>
            <a:solidFill>
              <a:schemeClr val="accent3"/>
            </a:solidFill>
            <a:ln>
              <a:noFill/>
            </a:ln>
            <a:effectLst/>
          </c:spPr>
          <c:invertIfNegative val="0"/>
          <c:val>
            <c:numRef>
              <c:f>IS!$I$48:$W$48</c:f>
              <c:numCache>
                <c:formatCode>_-* #,##0_-;\-* #,##0_-;_-* "-"??_-;_-@_-</c:formatCode>
                <c:ptCount val="15"/>
                <c:pt idx="0">
                  <c:v>0</c:v>
                </c:pt>
                <c:pt idx="1">
                  <c:v>-144780637.06971791</c:v>
                </c:pt>
                <c:pt idx="2">
                  <c:v>600175382.53925037</c:v>
                </c:pt>
                <c:pt idx="3">
                  <c:v>1006372249.6429477</c:v>
                </c:pt>
                <c:pt idx="4">
                  <c:v>1159012669.7335572</c:v>
                </c:pt>
                <c:pt idx="5">
                  <c:v>1258868677.0939729</c:v>
                </c:pt>
                <c:pt idx="6">
                  <c:v>1354095949.5067325</c:v>
                </c:pt>
                <c:pt idx="7">
                  <c:v>1436591646.4185386</c:v>
                </c:pt>
                <c:pt idx="8">
                  <c:v>1523164760.8129563</c:v>
                </c:pt>
                <c:pt idx="9">
                  <c:v>1615569121.424026</c:v>
                </c:pt>
                <c:pt idx="10">
                  <c:v>1711147970.372494</c:v>
                </c:pt>
                <c:pt idx="11">
                  <c:v>1814705617.6637578</c:v>
                </c:pt>
                <c:pt idx="12">
                  <c:v>1923605912.62609</c:v>
                </c:pt>
                <c:pt idx="13">
                  <c:v>2039749567.4874854</c:v>
                </c:pt>
                <c:pt idx="14">
                  <c:v>2160431772.2549324</c:v>
                </c:pt>
              </c:numCache>
            </c:numRef>
          </c:val>
          <c:extLst>
            <c:ext xmlns:c16="http://schemas.microsoft.com/office/drawing/2014/chart" uri="{C3380CC4-5D6E-409C-BE32-E72D297353CC}">
              <c16:uniqueId val="{00000002-4979-425E-837C-D2F59CCA18D2}"/>
            </c:ext>
          </c:extLst>
        </c:ser>
        <c:ser>
          <c:idx val="3"/>
          <c:order val="3"/>
          <c:tx>
            <c:strRef>
              <c:f>IS!$H$49</c:f>
              <c:strCache>
                <c:ptCount val="1"/>
                <c:pt idx="0">
                  <c:v>Net Profit (USD)</c:v>
                </c:pt>
              </c:strCache>
            </c:strRef>
          </c:tx>
          <c:spPr>
            <a:solidFill>
              <a:schemeClr val="accent4"/>
            </a:solidFill>
            <a:ln>
              <a:noFill/>
            </a:ln>
            <a:effectLst/>
          </c:spPr>
          <c:invertIfNegative val="0"/>
          <c:val>
            <c:numRef>
              <c:f>IS!$I$49:$W$49</c:f>
              <c:numCache>
                <c:formatCode>_(* #,##0.00_);_(* \(#,##0.00\);_(* "-"??_);_(@_)</c:formatCode>
                <c:ptCount val="15"/>
                <c:pt idx="0">
                  <c:v>0</c:v>
                </c:pt>
                <c:pt idx="1">
                  <c:v>-101346445.94880253</c:v>
                </c:pt>
                <c:pt idx="2">
                  <c:v>601103167.41262317</c:v>
                </c:pt>
                <c:pt idx="3">
                  <c:v>766476390.96728206</c:v>
                </c:pt>
                <c:pt idx="4">
                  <c:v>967451302.13697529</c:v>
                </c:pt>
                <c:pt idx="5">
                  <c:v>716202149.65850806</c:v>
                </c:pt>
                <c:pt idx="6">
                  <c:v>813388738.75065017</c:v>
                </c:pt>
                <c:pt idx="7">
                  <c:v>903724823.72212029</c:v>
                </c:pt>
                <c:pt idx="8">
                  <c:v>997181923.12643623</c:v>
                </c:pt>
                <c:pt idx="9">
                  <c:v>1095065507.5052567</c:v>
                </c:pt>
                <c:pt idx="10">
                  <c:v>1192395373.2546463</c:v>
                </c:pt>
                <c:pt idx="11">
                  <c:v>1270895496.5780845</c:v>
                </c:pt>
                <c:pt idx="12">
                  <c:v>1352765573.750109</c:v>
                </c:pt>
                <c:pt idx="13">
                  <c:v>1439017045.950619</c:v>
                </c:pt>
                <c:pt idx="14">
                  <c:v>1528799756.0469604</c:v>
                </c:pt>
              </c:numCache>
            </c:numRef>
          </c:val>
          <c:extLst>
            <c:ext xmlns:c16="http://schemas.microsoft.com/office/drawing/2014/chart" uri="{C3380CC4-5D6E-409C-BE32-E72D297353CC}">
              <c16:uniqueId val="{00000003-4979-425E-837C-D2F59CCA18D2}"/>
            </c:ext>
          </c:extLst>
        </c:ser>
        <c:dLbls>
          <c:showLegendKey val="0"/>
          <c:showVal val="0"/>
          <c:showCatName val="0"/>
          <c:showSerName val="0"/>
          <c:showPercent val="0"/>
          <c:showBubbleSize val="0"/>
        </c:dLbls>
        <c:gapWidth val="219"/>
        <c:axId val="653626304"/>
        <c:axId val="653623680"/>
      </c:barChart>
      <c:lineChart>
        <c:grouping val="standard"/>
        <c:varyColors val="0"/>
        <c:ser>
          <c:idx val="4"/>
          <c:order val="4"/>
          <c:tx>
            <c:strRef>
              <c:f>IS!$H$50</c:f>
              <c:strCache>
                <c:ptCount val="1"/>
                <c:pt idx="0">
                  <c:v>Gross Margin %</c:v>
                </c:pt>
              </c:strCache>
            </c:strRef>
          </c:tx>
          <c:spPr>
            <a:ln w="28575" cap="rnd">
              <a:solidFill>
                <a:schemeClr val="accent5"/>
              </a:solidFill>
              <a:round/>
            </a:ln>
            <a:effectLst/>
          </c:spPr>
          <c:marker>
            <c:symbol val="none"/>
          </c:marker>
          <c:val>
            <c:numRef>
              <c:f>IS!$I$50:$W$50</c:f>
              <c:numCache>
                <c:formatCode>0%</c:formatCode>
                <c:ptCount val="15"/>
                <c:pt idx="0">
                  <c:v>0</c:v>
                </c:pt>
                <c:pt idx="1">
                  <c:v>0</c:v>
                </c:pt>
                <c:pt idx="2">
                  <c:v>0.73688011303753365</c:v>
                </c:pt>
                <c:pt idx="3">
                  <c:v>0.74404418032383024</c:v>
                </c:pt>
                <c:pt idx="4">
                  <c:v>0.75693698568130241</c:v>
                </c:pt>
                <c:pt idx="5">
                  <c:v>0.76533988184614177</c:v>
                </c:pt>
                <c:pt idx="6">
                  <c:v>0.77188471205454712</c:v>
                </c:pt>
                <c:pt idx="7">
                  <c:v>0.77643974490285983</c:v>
                </c:pt>
                <c:pt idx="8">
                  <c:v>0.78080629345713826</c:v>
                </c:pt>
                <c:pt idx="9">
                  <c:v>0.78529331755638931</c:v>
                </c:pt>
                <c:pt idx="10">
                  <c:v>0.78930348855366605</c:v>
                </c:pt>
                <c:pt idx="11">
                  <c:v>0.7937235231460622</c:v>
                </c:pt>
                <c:pt idx="12">
                  <c:v>0.79796256509812435</c:v>
                </c:pt>
                <c:pt idx="13">
                  <c:v>0.80230094498822957</c:v>
                </c:pt>
                <c:pt idx="14">
                  <c:v>0.80619773375800807</c:v>
                </c:pt>
              </c:numCache>
            </c:numRef>
          </c:val>
          <c:smooth val="0"/>
          <c:extLst>
            <c:ext xmlns:c16="http://schemas.microsoft.com/office/drawing/2014/chart" uri="{C3380CC4-5D6E-409C-BE32-E72D297353CC}">
              <c16:uniqueId val="{00000004-4979-425E-837C-D2F59CCA18D2}"/>
            </c:ext>
          </c:extLst>
        </c:ser>
        <c:dLbls>
          <c:showLegendKey val="0"/>
          <c:showVal val="0"/>
          <c:showCatName val="0"/>
          <c:showSerName val="0"/>
          <c:showPercent val="0"/>
          <c:showBubbleSize val="0"/>
        </c:dLbls>
        <c:marker val="1"/>
        <c:smooth val="0"/>
        <c:axId val="724823824"/>
        <c:axId val="724823496"/>
      </c:lineChart>
      <c:catAx>
        <c:axId val="6536263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653623680"/>
        <c:crosses val="autoZero"/>
        <c:auto val="1"/>
        <c:lblAlgn val="ctr"/>
        <c:lblOffset val="100"/>
        <c:noMultiLvlLbl val="0"/>
      </c:catAx>
      <c:valAx>
        <c:axId val="653623680"/>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crossAx val="653626304"/>
        <c:crosses val="autoZero"/>
        <c:crossBetween val="between"/>
      </c:valAx>
      <c:valAx>
        <c:axId val="72482349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724823824"/>
        <c:crosses val="max"/>
        <c:crossBetween val="between"/>
      </c:valAx>
      <c:catAx>
        <c:axId val="724823824"/>
        <c:scaling>
          <c:orientation val="minMax"/>
        </c:scaling>
        <c:delete val="1"/>
        <c:axPos val="b"/>
        <c:majorTickMark val="out"/>
        <c:minorTickMark val="none"/>
        <c:tickLblPos val="nextTo"/>
        <c:crossAx val="724823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Daytona" panose="020B0604030500040204" pitchFamily="34" charset="0"/>
                <a:ea typeface="+mn-ea"/>
                <a:cs typeface="+mn-cs"/>
              </a:defRPr>
            </a:pPr>
            <a:r>
              <a:rPr lang="en-US" sz="1600" b="0">
                <a:latin typeface="Daytona" panose="020B0604030500040204" pitchFamily="34" charset="0"/>
              </a:rPr>
              <a:t>Profit</a:t>
            </a:r>
            <a:r>
              <a:rPr lang="en-US" sz="1600" b="0" baseline="0">
                <a:latin typeface="Daytona" panose="020B0604030500040204" pitchFamily="34" charset="0"/>
              </a:rPr>
              <a:t> Margin % 1-15 </a:t>
            </a:r>
            <a:endParaRPr lang="en-US" sz="1600" b="0">
              <a:latin typeface="Daytona" panose="020B0604030500040204" pitchFamily="34" charset="0"/>
            </a:endParaRPr>
          </a:p>
        </c:rich>
      </c:tx>
      <c:layout>
        <c:manualLayout>
          <c:xMode val="edge"/>
          <c:yMode val="edge"/>
          <c:x val="0.3201310330413033"/>
          <c:y val="2.1782606160189628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Daytona" panose="020B0604030500040204" pitchFamily="34" charset="0"/>
              <a:ea typeface="+mn-ea"/>
              <a:cs typeface="+mn-cs"/>
            </a:defRPr>
          </a:pPr>
          <a:endParaRPr lang="en-US"/>
        </a:p>
      </c:txPr>
    </c:title>
    <c:autoTitleDeleted val="0"/>
    <c:plotArea>
      <c:layout/>
      <c:barChart>
        <c:barDir val="col"/>
        <c:grouping val="clustered"/>
        <c:varyColors val="0"/>
        <c:ser>
          <c:idx val="0"/>
          <c:order val="0"/>
          <c:tx>
            <c:strRef>
              <c:f>IS!$H$50</c:f>
              <c:strCache>
                <c:ptCount val="1"/>
                <c:pt idx="0">
                  <c:v>Gross Margin %</c:v>
                </c:pt>
              </c:strCache>
            </c:strRef>
          </c:tx>
          <c:spPr>
            <a:solidFill>
              <a:schemeClr val="accent1"/>
            </a:solidFill>
            <a:ln>
              <a:noFill/>
            </a:ln>
            <a:effectLst/>
          </c:spPr>
          <c:invertIfNegative val="0"/>
          <c:val>
            <c:numRef>
              <c:f>IS!$I$50:$W$50</c:f>
              <c:numCache>
                <c:formatCode>0%</c:formatCode>
                <c:ptCount val="15"/>
                <c:pt idx="0">
                  <c:v>0</c:v>
                </c:pt>
                <c:pt idx="1">
                  <c:v>0</c:v>
                </c:pt>
                <c:pt idx="2">
                  <c:v>0.73688011303753365</c:v>
                </c:pt>
                <c:pt idx="3">
                  <c:v>0.74404418032383024</c:v>
                </c:pt>
                <c:pt idx="4">
                  <c:v>0.75693698568130241</c:v>
                </c:pt>
                <c:pt idx="5">
                  <c:v>0.76533988184614177</c:v>
                </c:pt>
                <c:pt idx="6">
                  <c:v>0.77188471205454712</c:v>
                </c:pt>
                <c:pt idx="7">
                  <c:v>0.77643974490285983</c:v>
                </c:pt>
                <c:pt idx="8">
                  <c:v>0.78080629345713826</c:v>
                </c:pt>
                <c:pt idx="9">
                  <c:v>0.78529331755638931</c:v>
                </c:pt>
                <c:pt idx="10">
                  <c:v>0.78930348855366605</c:v>
                </c:pt>
                <c:pt idx="11">
                  <c:v>0.7937235231460622</c:v>
                </c:pt>
                <c:pt idx="12">
                  <c:v>0.79796256509812435</c:v>
                </c:pt>
                <c:pt idx="13">
                  <c:v>0.80230094498822957</c:v>
                </c:pt>
                <c:pt idx="14">
                  <c:v>0.80619773375800807</c:v>
                </c:pt>
              </c:numCache>
            </c:numRef>
          </c:val>
          <c:extLst>
            <c:ext xmlns:c16="http://schemas.microsoft.com/office/drawing/2014/chart" uri="{C3380CC4-5D6E-409C-BE32-E72D297353CC}">
              <c16:uniqueId val="{00000000-DA1E-410A-86F5-AE168D1295F2}"/>
            </c:ext>
          </c:extLst>
        </c:ser>
        <c:ser>
          <c:idx val="1"/>
          <c:order val="1"/>
          <c:tx>
            <c:strRef>
              <c:f>IS!$H$51</c:f>
              <c:strCache>
                <c:ptCount val="1"/>
                <c:pt idx="0">
                  <c:v>Operating Margin%</c:v>
                </c:pt>
              </c:strCache>
            </c:strRef>
          </c:tx>
          <c:spPr>
            <a:solidFill>
              <a:schemeClr val="accent2"/>
            </a:solidFill>
            <a:ln>
              <a:noFill/>
            </a:ln>
            <a:effectLst/>
          </c:spPr>
          <c:invertIfNegative val="0"/>
          <c:val>
            <c:numRef>
              <c:f>IS!$I$51:$W$51</c:f>
              <c:numCache>
                <c:formatCode>0%</c:formatCode>
                <c:ptCount val="15"/>
                <c:pt idx="0">
                  <c:v>0</c:v>
                </c:pt>
                <c:pt idx="1">
                  <c:v>0</c:v>
                </c:pt>
                <c:pt idx="2">
                  <c:v>0.59121463836805199</c:v>
                </c:pt>
                <c:pt idx="3">
                  <c:v>0.64872283553871846</c:v>
                </c:pt>
                <c:pt idx="4">
                  <c:v>0.67129008058221751</c:v>
                </c:pt>
                <c:pt idx="5">
                  <c:v>0.68508599610034537</c:v>
                </c:pt>
                <c:pt idx="6">
                  <c:v>0.69570275377741042</c:v>
                </c:pt>
                <c:pt idx="7">
                  <c:v>0.70397700300137245</c:v>
                </c:pt>
                <c:pt idx="8">
                  <c:v>0.71171129630826435</c:v>
                </c:pt>
                <c:pt idx="9">
                  <c:v>0.71960750910277815</c:v>
                </c:pt>
                <c:pt idx="10">
                  <c:v>0.7263611479798463</c:v>
                </c:pt>
                <c:pt idx="11">
                  <c:v>0.73391931281070899</c:v>
                </c:pt>
                <c:pt idx="12">
                  <c:v>0.74099973271042241</c:v>
                </c:pt>
                <c:pt idx="13">
                  <c:v>0.74820727075264937</c:v>
                </c:pt>
                <c:pt idx="14">
                  <c:v>0.75441916901903894</c:v>
                </c:pt>
              </c:numCache>
            </c:numRef>
          </c:val>
          <c:extLst>
            <c:ext xmlns:c16="http://schemas.microsoft.com/office/drawing/2014/chart" uri="{C3380CC4-5D6E-409C-BE32-E72D297353CC}">
              <c16:uniqueId val="{00000001-DA1E-410A-86F5-AE168D1295F2}"/>
            </c:ext>
          </c:extLst>
        </c:ser>
        <c:ser>
          <c:idx val="2"/>
          <c:order val="2"/>
          <c:tx>
            <c:strRef>
              <c:f>IS!$H$52</c:f>
              <c:strCache>
                <c:ptCount val="1"/>
                <c:pt idx="0">
                  <c:v>Net Margin %</c:v>
                </c:pt>
              </c:strCache>
            </c:strRef>
          </c:tx>
          <c:spPr>
            <a:solidFill>
              <a:schemeClr val="accent3"/>
            </a:solidFill>
            <a:ln>
              <a:noFill/>
            </a:ln>
            <a:effectLst/>
          </c:spPr>
          <c:invertIfNegative val="0"/>
          <c:val>
            <c:numRef>
              <c:f>IS!$I$52:$W$52</c:f>
              <c:numCache>
                <c:formatCode>0%</c:formatCode>
                <c:ptCount val="15"/>
                <c:pt idx="0">
                  <c:v>0</c:v>
                </c:pt>
                <c:pt idx="1">
                  <c:v>0</c:v>
                </c:pt>
                <c:pt idx="2">
                  <c:v>0.59212857121893592</c:v>
                </c:pt>
                <c:pt idx="3">
                  <c:v>0.49408232182295553</c:v>
                </c:pt>
                <c:pt idx="4">
                  <c:v>0.56033939880933292</c:v>
                </c:pt>
                <c:pt idx="5">
                  <c:v>0.38976270681439834</c:v>
                </c:pt>
                <c:pt idx="6">
                  <c:v>0.41790006509250582</c:v>
                </c:pt>
                <c:pt idx="7">
                  <c:v>0.44285479073187517</c:v>
                </c:pt>
                <c:pt idx="8">
                  <c:v>0.46594147752255888</c:v>
                </c:pt>
                <c:pt idx="9">
                  <c:v>0.48776456030902471</c:v>
                </c:pt>
                <c:pt idx="10">
                  <c:v>0.5061570870312061</c:v>
                </c:pt>
                <c:pt idx="11">
                  <c:v>0.51398680889278903</c:v>
                </c:pt>
                <c:pt idx="12">
                  <c:v>0.52110410037169497</c:v>
                </c:pt>
                <c:pt idx="13">
                  <c:v>0.52785059189569272</c:v>
                </c:pt>
                <c:pt idx="14">
                  <c:v>0.53385432317987613</c:v>
                </c:pt>
              </c:numCache>
            </c:numRef>
          </c:val>
          <c:extLst>
            <c:ext xmlns:c16="http://schemas.microsoft.com/office/drawing/2014/chart" uri="{C3380CC4-5D6E-409C-BE32-E72D297353CC}">
              <c16:uniqueId val="{00000002-DA1E-410A-86F5-AE168D1295F2}"/>
            </c:ext>
          </c:extLst>
        </c:ser>
        <c:dLbls>
          <c:showLegendKey val="0"/>
          <c:showVal val="0"/>
          <c:showCatName val="0"/>
          <c:showSerName val="0"/>
          <c:showPercent val="0"/>
          <c:showBubbleSize val="0"/>
        </c:dLbls>
        <c:gapWidth val="219"/>
        <c:overlap val="-27"/>
        <c:axId val="380246648"/>
        <c:axId val="380245336"/>
      </c:barChart>
      <c:catAx>
        <c:axId val="380246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crossAx val="380245336"/>
        <c:crosses val="autoZero"/>
        <c:auto val="1"/>
        <c:lblAlgn val="ctr"/>
        <c:lblOffset val="100"/>
        <c:noMultiLvlLbl val="0"/>
      </c:catAx>
      <c:valAx>
        <c:axId val="3802453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crossAx val="380246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Daytona" panose="020B0604030500040204" pitchFamily="34" charset="0"/>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Balance</a:t>
            </a:r>
            <a:r>
              <a:rPr lang="en-US" baseline="0">
                <a:solidFill>
                  <a:sysClr val="windowText" lastClr="000000"/>
                </a:solidFill>
              </a:rPr>
              <a:t> Sheet USD ($)</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BS!$H$54</c:f>
              <c:strCache>
                <c:ptCount val="1"/>
                <c:pt idx="0">
                  <c:v>Fixed assets</c:v>
                </c:pt>
              </c:strCache>
            </c:strRef>
          </c:tx>
          <c:spPr>
            <a:solidFill>
              <a:schemeClr val="accent1"/>
            </a:solidFill>
            <a:ln>
              <a:noFill/>
            </a:ln>
            <a:effectLst/>
          </c:spPr>
          <c:invertIfNegative val="0"/>
          <c:val>
            <c:numRef>
              <c:f>BS!$I$54:$W$54</c:f>
              <c:numCache>
                <c:formatCode>_(* #,##0_);_(* \(#,##0\);_(* "-"??_);_(@_)</c:formatCode>
                <c:ptCount val="15"/>
                <c:pt idx="0">
                  <c:v>0</c:v>
                </c:pt>
                <c:pt idx="1">
                  <c:v>0</c:v>
                </c:pt>
                <c:pt idx="2">
                  <c:v>3992577839.4859338</c:v>
                </c:pt>
                <c:pt idx="3">
                  <c:v>3844704586.1716399</c:v>
                </c:pt>
                <c:pt idx="4">
                  <c:v>3696831332.8573461</c:v>
                </c:pt>
                <c:pt idx="5">
                  <c:v>3549362104.8253317</c:v>
                </c:pt>
                <c:pt idx="6">
                  <c:v>3401083719.3101768</c:v>
                </c:pt>
                <c:pt idx="7">
                  <c:v>3253210465.995883</c:v>
                </c:pt>
                <c:pt idx="8">
                  <c:v>3105337212.6815891</c:v>
                </c:pt>
                <c:pt idx="9">
                  <c:v>2957867984.6495748</c:v>
                </c:pt>
                <c:pt idx="10">
                  <c:v>2809589599.1344199</c:v>
                </c:pt>
                <c:pt idx="11">
                  <c:v>2661716345.8201261</c:v>
                </c:pt>
                <c:pt idx="12">
                  <c:v>2513843092.5058322</c:v>
                </c:pt>
                <c:pt idx="13">
                  <c:v>2366373864.4738178</c:v>
                </c:pt>
                <c:pt idx="14">
                  <c:v>2218095478.958663</c:v>
                </c:pt>
              </c:numCache>
            </c:numRef>
          </c:val>
          <c:extLst>
            <c:ext xmlns:c16="http://schemas.microsoft.com/office/drawing/2014/chart" uri="{C3380CC4-5D6E-409C-BE32-E72D297353CC}">
              <c16:uniqueId val="{00000000-0332-4E2D-BB88-6C3DAEAB7B83}"/>
            </c:ext>
          </c:extLst>
        </c:ser>
        <c:ser>
          <c:idx val="1"/>
          <c:order val="1"/>
          <c:tx>
            <c:strRef>
              <c:f>BS!$H$55</c:f>
              <c:strCache>
                <c:ptCount val="1"/>
                <c:pt idx="0">
                  <c:v>Current Assets</c:v>
                </c:pt>
              </c:strCache>
            </c:strRef>
          </c:tx>
          <c:spPr>
            <a:solidFill>
              <a:schemeClr val="accent2"/>
            </a:solidFill>
            <a:ln>
              <a:noFill/>
            </a:ln>
            <a:effectLst/>
          </c:spPr>
          <c:invertIfNegative val="0"/>
          <c:val>
            <c:numRef>
              <c:f>BS!$I$55:$W$55</c:f>
              <c:numCache>
                <c:formatCode>_(* #,##0_);_(* \(#,##0\);_(* "-"??_);_(@_)</c:formatCode>
                <c:ptCount val="15"/>
                <c:pt idx="0">
                  <c:v>0</c:v>
                </c:pt>
                <c:pt idx="1">
                  <c:v>-89479180.615219116</c:v>
                </c:pt>
                <c:pt idx="2">
                  <c:v>802497417.47113597</c:v>
                </c:pt>
                <c:pt idx="3">
                  <c:v>1158458300.2372808</c:v>
                </c:pt>
                <c:pt idx="4">
                  <c:v>1634247555.6815414</c:v>
                </c:pt>
                <c:pt idx="5">
                  <c:v>1863892683.1665518</c:v>
                </c:pt>
                <c:pt idx="6">
                  <c:v>2280690416.2418008</c:v>
                </c:pt>
                <c:pt idx="7">
                  <c:v>2736971516.8495197</c:v>
                </c:pt>
                <c:pt idx="8">
                  <c:v>3229849623.4686422</c:v>
                </c:pt>
                <c:pt idx="9">
                  <c:v>3536055838.265821</c:v>
                </c:pt>
                <c:pt idx="10">
                  <c:v>4150200648.9810524</c:v>
                </c:pt>
                <c:pt idx="11">
                  <c:v>4742599251.9445944</c:v>
                </c:pt>
                <c:pt idx="12">
                  <c:v>5318060802.9154253</c:v>
                </c:pt>
                <c:pt idx="13">
                  <c:v>5885121900.8009834</c:v>
                </c:pt>
                <c:pt idx="14">
                  <c:v>6441295612.6810894</c:v>
                </c:pt>
              </c:numCache>
            </c:numRef>
          </c:val>
          <c:extLst>
            <c:ext xmlns:c16="http://schemas.microsoft.com/office/drawing/2014/chart" uri="{C3380CC4-5D6E-409C-BE32-E72D297353CC}">
              <c16:uniqueId val="{00000001-0332-4E2D-BB88-6C3DAEAB7B83}"/>
            </c:ext>
          </c:extLst>
        </c:ser>
        <c:ser>
          <c:idx val="2"/>
          <c:order val="2"/>
          <c:tx>
            <c:strRef>
              <c:f>BS!$H$56</c:f>
              <c:strCache>
                <c:ptCount val="1"/>
                <c:pt idx="0">
                  <c:v>Cash</c:v>
                </c:pt>
              </c:strCache>
            </c:strRef>
          </c:tx>
          <c:spPr>
            <a:solidFill>
              <a:schemeClr val="accent3"/>
            </a:solidFill>
            <a:ln>
              <a:noFill/>
            </a:ln>
            <a:effectLst/>
          </c:spPr>
          <c:invertIfNegative val="0"/>
          <c:val>
            <c:numRef>
              <c:f>BS!$I$56:$W$56</c:f>
              <c:numCache>
                <c:formatCode>_(* #,##0_);_(* \(#,##0\);_(* "-"??_);_(@_)</c:formatCode>
                <c:ptCount val="15"/>
                <c:pt idx="0">
                  <c:v>0</c:v>
                </c:pt>
                <c:pt idx="1">
                  <c:v>-132913371.73613448</c:v>
                </c:pt>
                <c:pt idx="2">
                  <c:v>632979160.75820112</c:v>
                </c:pt>
                <c:pt idx="3">
                  <c:v>878476565.64138186</c:v>
                </c:pt>
                <c:pt idx="4">
                  <c:v>1288299890.1069081</c:v>
                </c:pt>
                <c:pt idx="5">
                  <c:v>1637966395.679565</c:v>
                </c:pt>
                <c:pt idx="6">
                  <c:v>2040726817.8025031</c:v>
                </c:pt>
                <c:pt idx="7">
                  <c:v>2485380857.1483808</c:v>
                </c:pt>
                <c:pt idx="8">
                  <c:v>2965996236.233273</c:v>
                </c:pt>
                <c:pt idx="9">
                  <c:v>3260022660.1744308</c:v>
                </c:pt>
                <c:pt idx="10">
                  <c:v>3859761865.2041125</c:v>
                </c:pt>
                <c:pt idx="11">
                  <c:v>4437755346.5319462</c:v>
                </c:pt>
                <c:pt idx="12">
                  <c:v>4998010898.8891544</c:v>
                </c:pt>
                <c:pt idx="13">
                  <c:v>5549935527.9177265</c:v>
                </c:pt>
                <c:pt idx="14">
                  <c:v>6088236447.4359055</c:v>
                </c:pt>
              </c:numCache>
            </c:numRef>
          </c:val>
          <c:extLst>
            <c:ext xmlns:c16="http://schemas.microsoft.com/office/drawing/2014/chart" uri="{C3380CC4-5D6E-409C-BE32-E72D297353CC}">
              <c16:uniqueId val="{00000002-0332-4E2D-BB88-6C3DAEAB7B83}"/>
            </c:ext>
          </c:extLst>
        </c:ser>
        <c:dLbls>
          <c:showLegendKey val="0"/>
          <c:showVal val="0"/>
          <c:showCatName val="0"/>
          <c:showSerName val="0"/>
          <c:showPercent val="0"/>
          <c:showBubbleSize val="0"/>
        </c:dLbls>
        <c:gapWidth val="219"/>
        <c:axId val="647962416"/>
        <c:axId val="647967336"/>
      </c:barChart>
      <c:lineChart>
        <c:grouping val="standard"/>
        <c:varyColors val="0"/>
        <c:ser>
          <c:idx val="3"/>
          <c:order val="3"/>
          <c:tx>
            <c:strRef>
              <c:f>BS!$H$57</c:f>
              <c:strCache>
                <c:ptCount val="1"/>
                <c:pt idx="0">
                  <c:v>Equity </c:v>
                </c:pt>
              </c:strCache>
            </c:strRef>
          </c:tx>
          <c:spPr>
            <a:ln w="28575" cap="rnd">
              <a:solidFill>
                <a:schemeClr val="accent4"/>
              </a:solidFill>
              <a:round/>
            </a:ln>
            <a:effectLst/>
          </c:spPr>
          <c:marker>
            <c:symbol val="none"/>
          </c:marker>
          <c:val>
            <c:numRef>
              <c:f>BS!$I$57:$W$57</c:f>
              <c:numCache>
                <c:formatCode>_(* #,##0_);_(* \(#,##0\);_(* "-"??_);_(@_)</c:formatCode>
                <c:ptCount val="15"/>
                <c:pt idx="0">
                  <c:v>715288869.70235205</c:v>
                </c:pt>
                <c:pt idx="1">
                  <c:v>1242135327.8400679</c:v>
                </c:pt>
                <c:pt idx="2">
                  <c:v>1242135327.8400679</c:v>
                </c:pt>
                <c:pt idx="3">
                  <c:v>1242135327.8400679</c:v>
                </c:pt>
                <c:pt idx="4">
                  <c:v>1242135327.8400679</c:v>
                </c:pt>
                <c:pt idx="5">
                  <c:v>1242135327.8400679</c:v>
                </c:pt>
                <c:pt idx="6">
                  <c:v>1242135327.8400679</c:v>
                </c:pt>
                <c:pt idx="7">
                  <c:v>1242135327.8400679</c:v>
                </c:pt>
                <c:pt idx="8">
                  <c:v>1242135327.8400679</c:v>
                </c:pt>
                <c:pt idx="9">
                  <c:v>1242135327.8400679</c:v>
                </c:pt>
                <c:pt idx="10">
                  <c:v>1242135327.8400679</c:v>
                </c:pt>
                <c:pt idx="11">
                  <c:v>1242135327.8400679</c:v>
                </c:pt>
                <c:pt idx="12">
                  <c:v>1242135327.8400679</c:v>
                </c:pt>
                <c:pt idx="13">
                  <c:v>1242135327.8400679</c:v>
                </c:pt>
                <c:pt idx="14">
                  <c:v>1242135327.8400679</c:v>
                </c:pt>
              </c:numCache>
            </c:numRef>
          </c:val>
          <c:smooth val="0"/>
          <c:extLst>
            <c:ext xmlns:c16="http://schemas.microsoft.com/office/drawing/2014/chart" uri="{C3380CC4-5D6E-409C-BE32-E72D297353CC}">
              <c16:uniqueId val="{00000003-0332-4E2D-BB88-6C3DAEAB7B83}"/>
            </c:ext>
          </c:extLst>
        </c:ser>
        <c:ser>
          <c:idx val="4"/>
          <c:order val="4"/>
          <c:tx>
            <c:strRef>
              <c:f>BS!$H$58</c:f>
              <c:strCache>
                <c:ptCount val="1"/>
                <c:pt idx="0">
                  <c:v>Financial Debt </c:v>
                </c:pt>
              </c:strCache>
            </c:strRef>
          </c:tx>
          <c:spPr>
            <a:ln w="28575" cap="rnd">
              <a:solidFill>
                <a:schemeClr val="accent5"/>
              </a:solidFill>
              <a:round/>
            </a:ln>
            <a:effectLst/>
          </c:spPr>
          <c:marker>
            <c:symbol val="none"/>
          </c:marker>
          <c:val>
            <c:numRef>
              <c:f>BS!$I$58:$W$58</c:f>
              <c:numCache>
                <c:formatCode>_(* #,##0_);_(* \(#,##0\);_(* "-"??_);_(@_)</c:formatCode>
                <c:ptCount val="15"/>
                <c:pt idx="0">
                  <c:v>0</c:v>
                </c:pt>
                <c:pt idx="1">
                  <c:v>1895542304.3210859</c:v>
                </c:pt>
                <c:pt idx="2">
                  <c:v>2898315764.9601583</c:v>
                </c:pt>
                <c:pt idx="3">
                  <c:v>2484270655.6801357</c:v>
                </c:pt>
                <c:pt idx="4">
                  <c:v>2070225546.4001131</c:v>
                </c:pt>
                <c:pt idx="5">
                  <c:v>1656180437.1200905</c:v>
                </c:pt>
                <c:pt idx="6">
                  <c:v>1242135327.8400679</c:v>
                </c:pt>
                <c:pt idx="7">
                  <c:v>828090218.56004524</c:v>
                </c:pt>
                <c:pt idx="8">
                  <c:v>414045109.28002262</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4-0332-4E2D-BB88-6C3DAEAB7B83}"/>
            </c:ext>
          </c:extLst>
        </c:ser>
        <c:dLbls>
          <c:showLegendKey val="0"/>
          <c:showVal val="0"/>
          <c:showCatName val="0"/>
          <c:showSerName val="0"/>
          <c:showPercent val="0"/>
          <c:showBubbleSize val="0"/>
        </c:dLbls>
        <c:marker val="1"/>
        <c:smooth val="0"/>
        <c:axId val="647962416"/>
        <c:axId val="647967336"/>
      </c:lineChart>
      <c:catAx>
        <c:axId val="64796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NG"/>
          </a:p>
        </c:txPr>
        <c:crossAx val="647967336"/>
        <c:crosses val="autoZero"/>
        <c:auto val="1"/>
        <c:lblAlgn val="ctr"/>
        <c:lblOffset val="100"/>
        <c:noMultiLvlLbl val="0"/>
      </c:catAx>
      <c:valAx>
        <c:axId val="6479673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NG"/>
          </a:p>
        </c:txPr>
        <c:crossAx val="647962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Cashflow</a:t>
            </a:r>
            <a:r>
              <a:rPr lang="en-US" b="1" baseline="0"/>
              <a:t> Statement USD ($) Year 1-15</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CF!$E$52</c:f>
              <c:strCache>
                <c:ptCount val="1"/>
                <c:pt idx="0">
                  <c:v>Cash flow from operations</c:v>
                </c:pt>
              </c:strCache>
            </c:strRef>
          </c:tx>
          <c:spPr>
            <a:solidFill>
              <a:schemeClr val="accent1"/>
            </a:solidFill>
            <a:ln>
              <a:noFill/>
            </a:ln>
            <a:effectLst/>
          </c:spPr>
          <c:invertIfNegative val="0"/>
          <c:val>
            <c:numRef>
              <c:f>CF!$F$52:$W$52</c:f>
              <c:numCache>
                <c:formatCode>General</c:formatCode>
                <c:ptCount val="18"/>
                <c:pt idx="3" formatCode="_-* #,##0_-;\-* #,##0_-;_-* &quot;-&quot;??_-;_-@_-">
                  <c:v>0</c:v>
                </c:pt>
                <c:pt idx="4" formatCode="_-* #,##0_-;\-* #,##0_-;_-* &quot;-&quot;??_-;_-@_-">
                  <c:v>-132913371.73613448</c:v>
                </c:pt>
                <c:pt idx="5" formatCode="_-* #,##0_-;\-* #,##0_-;_-* &quot;-&quot;??_-;_-@_-">
                  <c:v>632979160.75820267</c:v>
                </c:pt>
                <c:pt idx="6" formatCode="_-* #,##0_-;\-* #,##0_-;_-* &quot;-&quot;??_-;_-@_-">
                  <c:v>1098825625.1228125</c:v>
                </c:pt>
                <c:pt idx="7" formatCode="_-* #,##0_-;\-* #,##0_-;_-* &quot;-&quot;??_-;_-@_-">
                  <c:v>1287138816.7670498</c:v>
                </c:pt>
                <c:pt idx="8" formatCode="_-* #,##0_-;\-* #,##0_-;_-* &quot;-&quot;??_-;_-@_-">
                  <c:v>1235142969.2183952</c:v>
                </c:pt>
                <c:pt idx="9" formatCode="_-* #,##0_-;\-* #,##0_-;_-* &quot;-&quot;??_-;_-@_-">
                  <c:v>1311538698.7171669</c:v>
                </c:pt>
                <c:pt idx="10" formatCode="_-* #,##0_-;\-* #,##0_-;_-* &quot;-&quot;??_-;_-@_-">
                  <c:v>1378423205.9664679</c:v>
                </c:pt>
                <c:pt idx="11" formatCode="_-* #,##0_-;\-* #,##0_-;_-* &quot;-&quot;??_-;_-@_-">
                  <c:v>1446283930.695797</c:v>
                </c:pt>
                <c:pt idx="12" formatCode="_-* #,##0_-;\-* #,##0_-;_-* &quot;-&quot;??_-;_-@_-">
                  <c:v>1256061193.4168353</c:v>
                </c:pt>
                <c:pt idx="13" formatCode="_-* #,##0_-;\-* #,##0_-;_-* &quot;-&quot;??_-;_-@_-">
                  <c:v>1207884203.90569</c:v>
                </c:pt>
                <c:pt idx="14" formatCode="_-* #,##0_-;\-* #,##0_-;_-* &quot;-&quot;??_-;_-@_-">
                  <c:v>1272352254.8749526</c:v>
                </c:pt>
                <c:pt idx="15" formatCode="_-* #,##0_-;\-* #,##0_-;_-* &quot;-&quot;??_-;_-@_-">
                  <c:v>1340189102.7203531</c:v>
                </c:pt>
                <c:pt idx="16" formatCode="_-* #,##0_-;\-* #,##0_-;_-* &quot;-&quot;??_-;_-@_-">
                  <c:v>1413538180.374898</c:v>
                </c:pt>
                <c:pt idx="17" formatCode="_-* #,##0_-;\-* #,##0_-;_-* &quot;-&quot;??_-;_-@_-">
                  <c:v>1488162019.2188802</c:v>
                </c:pt>
              </c:numCache>
            </c:numRef>
          </c:val>
          <c:extLst>
            <c:ext xmlns:c16="http://schemas.microsoft.com/office/drawing/2014/chart" uri="{C3380CC4-5D6E-409C-BE32-E72D297353CC}">
              <c16:uniqueId val="{00000000-0EEC-4790-B7D2-964D37413051}"/>
            </c:ext>
          </c:extLst>
        </c:ser>
        <c:ser>
          <c:idx val="1"/>
          <c:order val="1"/>
          <c:tx>
            <c:strRef>
              <c:f>CF!$E$53</c:f>
              <c:strCache>
                <c:ptCount val="1"/>
                <c:pt idx="0">
                  <c:v>Cash flow available for senior debt</c:v>
                </c:pt>
              </c:strCache>
            </c:strRef>
          </c:tx>
          <c:spPr>
            <a:solidFill>
              <a:schemeClr val="accent2"/>
            </a:solidFill>
            <a:ln>
              <a:noFill/>
            </a:ln>
            <a:effectLst/>
          </c:spPr>
          <c:invertIfNegative val="0"/>
          <c:val>
            <c:numRef>
              <c:f>CF!$F$53:$W$53</c:f>
              <c:numCache>
                <c:formatCode>General</c:formatCode>
                <c:ptCount val="18"/>
                <c:pt idx="3" formatCode="_-* #,##0_-;\-* #,##0_-;_-* &quot;-&quot;??_-;_-@_-">
                  <c:v>0</c:v>
                </c:pt>
                <c:pt idx="4" formatCode="_-* #,##0_-;\-* #,##0_-;_-* &quot;-&quot;??_-;_-@_-">
                  <c:v>-132913371.73613448</c:v>
                </c:pt>
                <c:pt idx="5" formatCode="_-* #,##0_-;\-* #,##0_-;_-* &quot;-&quot;??_-;_-@_-">
                  <c:v>632979160.75820112</c:v>
                </c:pt>
                <c:pt idx="6" formatCode="_-* #,##0_-;\-* #,##0_-;_-* &quot;-&quot;??_-;_-@_-">
                  <c:v>1113384145.8202512</c:v>
                </c:pt>
                <c:pt idx="7" formatCode="_-* #,##0_-;\-* #,##0_-;_-* &quot;-&quot;??_-;_-@_-">
                  <c:v>1307343777.7768016</c:v>
                </c:pt>
                <c:pt idx="8" formatCode="_-* #,##0_-;\-* #,##0_-;_-* &quot;-&quot;??_-;_-@_-">
                  <c:v>1264692907.9545906</c:v>
                </c:pt>
                <c:pt idx="9" formatCode="_-* #,##0_-;\-* #,##0_-;_-* &quot;-&quot;??_-;_-@_-">
                  <c:v>1349315140.1386206</c:v>
                </c:pt>
                <c:pt idx="10" formatCode="_-* #,##0_-;\-* #,##0_-;_-* &quot;-&quot;??_-;_-@_-">
                  <c:v>1425359922.7759254</c:v>
                </c:pt>
                <c:pt idx="11" formatCode="_-* #,##0_-;\-* #,##0_-;_-* &quot;-&quot;??_-;_-@_-">
                  <c:v>1503447690.4102097</c:v>
                </c:pt>
                <c:pt idx="12" formatCode="_-* #,##0_-;\-* #,##0_-;_-* &quot;-&quot;??_-;_-@_-">
                  <c:v>1324092719.1085794</c:v>
                </c:pt>
                <c:pt idx="13" formatCode="_-* #,##0_-;\-* #,##0_-;_-* &quot;-&quot;??_-;_-@_-">
                  <c:v>1283070151.1751375</c:v>
                </c:pt>
                <c:pt idx="14" formatCode="_-* #,##0_-;\-* #,##0_-;_-* &quot;-&quot;??_-;_-@_-">
                  <c:v>1361126777.7746472</c:v>
                </c:pt>
                <c:pt idx="15" formatCode="_-* #,##0_-;\-* #,##0_-;_-* &quot;-&quot;??_-;_-@_-">
                  <c:v>1442257475.690588</c:v>
                </c:pt>
                <c:pt idx="16" formatCode="_-* #,##0_-;\-* #,##0_-;_-* &quot;-&quot;??_-;_-@_-">
                  <c:v>1528178348.3972325</c:v>
                </c:pt>
                <c:pt idx="17" formatCode="_-* #,##0_-;\-* #,##0_-;_-* &quot;-&quot;??_-;_-@_-">
                  <c:v>1616160258.3257608</c:v>
                </c:pt>
              </c:numCache>
            </c:numRef>
          </c:val>
          <c:extLst>
            <c:ext xmlns:c16="http://schemas.microsoft.com/office/drawing/2014/chart" uri="{C3380CC4-5D6E-409C-BE32-E72D297353CC}">
              <c16:uniqueId val="{00000001-0EEC-4790-B7D2-964D37413051}"/>
            </c:ext>
          </c:extLst>
        </c:ser>
        <c:ser>
          <c:idx val="2"/>
          <c:order val="2"/>
          <c:tx>
            <c:strRef>
              <c:f>CF!$E$54</c:f>
              <c:strCache>
                <c:ptCount val="1"/>
                <c:pt idx="0">
                  <c:v>Cash flow available after dividends</c:v>
                </c:pt>
              </c:strCache>
            </c:strRef>
          </c:tx>
          <c:spPr>
            <a:solidFill>
              <a:schemeClr val="accent3"/>
            </a:solidFill>
            <a:ln>
              <a:noFill/>
            </a:ln>
            <a:effectLst/>
          </c:spPr>
          <c:invertIfNegative val="0"/>
          <c:val>
            <c:numRef>
              <c:f>CF!$F$54:$W$54</c:f>
              <c:numCache>
                <c:formatCode>General</c:formatCode>
                <c:ptCount val="18"/>
                <c:pt idx="3" formatCode="_(* #,##0_);_(* \(#,##0\);_(* &quot;-&quot;??_);_(@_)">
                  <c:v>0</c:v>
                </c:pt>
                <c:pt idx="4" formatCode="_(* #,##0_);_(* \(#,##0\);_(* &quot;-&quot;??_);_(@_)">
                  <c:v>-132913371.73613448</c:v>
                </c:pt>
                <c:pt idx="5" formatCode="_(* #,##0_);_(* \(#,##0\);_(* &quot;-&quot;??_);_(@_)">
                  <c:v>632979160.75820112</c:v>
                </c:pt>
                <c:pt idx="6" formatCode="_(* #,##0_);_(* \(#,##0\);_(* &quot;-&quot;??_);_(@_)">
                  <c:v>245497404.88318071</c:v>
                </c:pt>
                <c:pt idx="7" formatCode="_(* #,##0_);_(* \(#,##0\);_(* &quot;-&quot;??_);_(@_)">
                  <c:v>409823324.46552622</c:v>
                </c:pt>
                <c:pt idx="8" formatCode="_(* #,##0_);_(* \(#,##0\);_(* &quot;-&quot;??_);_(@_)">
                  <c:v>349666505.57265675</c:v>
                </c:pt>
                <c:pt idx="9" formatCode="_(* #,##0_);_(* \(#,##0\);_(* &quot;-&quot;??_);_(@_)">
                  <c:v>402760422.1229381</c:v>
                </c:pt>
                <c:pt idx="10" formatCode="_(* #,##0_);_(* \(#,##0\);_(* &quot;-&quot;??_);_(@_)">
                  <c:v>444654039.34587759</c:v>
                </c:pt>
                <c:pt idx="11" formatCode="_(* #,##0_);_(* \(#,##0\);_(* &quot;-&quot;??_);_(@_)">
                  <c:v>480615379.08489227</c:v>
                </c:pt>
                <c:pt idx="12" formatCode="_(* #,##0_);_(* \(#,##0\);_(* &quot;-&quot;??_);_(@_)">
                  <c:v>294026423.94115806</c:v>
                </c:pt>
                <c:pt idx="13" formatCode="_(* #,##0_);_(* \(#,##0\);_(* &quot;-&quot;??_);_(@_)">
                  <c:v>599739205.0296818</c:v>
                </c:pt>
                <c:pt idx="14" formatCode="_(* #,##0_);_(* \(#,##0\);_(* &quot;-&quot;??_);_(@_)">
                  <c:v>577993481.32783329</c:v>
                </c:pt>
                <c:pt idx="15" formatCode="_(* #,##0_);_(* \(#,##0\);_(* &quot;-&quot;??_);_(@_)">
                  <c:v>560255552.35720789</c:v>
                </c:pt>
                <c:pt idx="16" formatCode="_(* #,##0_);_(* \(#,##0\);_(* &quot;-&quot;??_);_(@_)">
                  <c:v>551924629.02857232</c:v>
                </c:pt>
                <c:pt idx="17" formatCode="_(* #,##0_);_(* \(#,##0\);_(* &quot;-&quot;??_);_(@_)">
                  <c:v>538300919.5181787</c:v>
                </c:pt>
              </c:numCache>
            </c:numRef>
          </c:val>
          <c:extLst>
            <c:ext xmlns:c16="http://schemas.microsoft.com/office/drawing/2014/chart" uri="{C3380CC4-5D6E-409C-BE32-E72D297353CC}">
              <c16:uniqueId val="{00000002-0EEC-4790-B7D2-964D37413051}"/>
            </c:ext>
          </c:extLst>
        </c:ser>
        <c:ser>
          <c:idx val="3"/>
          <c:order val="3"/>
          <c:tx>
            <c:strRef>
              <c:f>CF!$E$55</c:f>
              <c:strCache>
                <c:ptCount val="1"/>
                <c:pt idx="0">
                  <c:v>Cash flow available for equity distributions</c:v>
                </c:pt>
              </c:strCache>
            </c:strRef>
          </c:tx>
          <c:spPr>
            <a:solidFill>
              <a:schemeClr val="accent4"/>
            </a:solidFill>
            <a:ln>
              <a:noFill/>
            </a:ln>
            <a:effectLst/>
          </c:spPr>
          <c:invertIfNegative val="0"/>
          <c:val>
            <c:numRef>
              <c:f>CF!$F$55:$W$55</c:f>
              <c:numCache>
                <c:formatCode>General</c:formatCode>
                <c:ptCount val="18"/>
                <c:pt idx="3" formatCode="_(* #,##0_);_(* \(#,##0\);_(* &quot;-&quot;??_);_(@_)">
                  <c:v>0</c:v>
                </c:pt>
                <c:pt idx="4" formatCode="_(* #,##0_);_(* \(#,##0\);_(* &quot;-&quot;??_);_(@_)">
                  <c:v>-132913371.73613448</c:v>
                </c:pt>
                <c:pt idx="5" formatCode="_(* #,##0_);_(* \(#,##0\);_(* &quot;-&quot;??_);_(@_)">
                  <c:v>632979160.75820112</c:v>
                </c:pt>
                <c:pt idx="6" formatCode="_(* #,##0_);_(* \(#,##0\);_(* &quot;-&quot;??_);_(@_)">
                  <c:v>400522681.1728363</c:v>
                </c:pt>
                <c:pt idx="7" formatCode="_(* #,##0_);_(* \(#,##0\);_(* &quot;-&quot;??_);_(@_)">
                  <c:v>637170363.89615703</c:v>
                </c:pt>
                <c:pt idx="8" formatCode="_(* #,##0_);_(* \(#,##0\);_(* &quot;-&quot;??_);_(@_)">
                  <c:v>637790714.93315852</c:v>
                </c:pt>
                <c:pt idx="9" formatCode="_(* #,##0_);_(* \(#,##0\);_(* &quot;-&quot;??_);_(@_)">
                  <c:v>764050013.53653836</c:v>
                </c:pt>
                <c:pt idx="10" formatCode="_(* #,##0_);_(* \(#,##0\);_(* &quot;-&quot;??_);_(@_)">
                  <c:v>883250661.19559181</c:v>
                </c:pt>
                <c:pt idx="11" formatCode="_(* #,##0_);_(* \(#,##0\);_(* &quot;-&quot;??_);_(@_)">
                  <c:v>1004026479.5966463</c:v>
                </c:pt>
                <c:pt idx="12" formatCode="_(* #,##0_);_(* \(#,##0\);_(* &quot;-&quot;??_);_(@_)">
                  <c:v>867476193.08027482</c:v>
                </c:pt>
                <c:pt idx="13" formatCode="_(* #,##0_);_(* \(#,##0\);_(* &quot;-&quot;??_);_(@_)">
                  <c:v>1283070151.1751375</c:v>
                </c:pt>
                <c:pt idx="14" formatCode="_(* #,##0_);_(* \(#,##0\);_(* &quot;-&quot;??_);_(@_)">
                  <c:v>1361126777.7746472</c:v>
                </c:pt>
                <c:pt idx="15" formatCode="_(* #,##0_);_(* \(#,##0\);_(* &quot;-&quot;??_);_(@_)">
                  <c:v>1442257475.690588</c:v>
                </c:pt>
                <c:pt idx="16" formatCode="_(* #,##0_);_(* \(#,##0\);_(* &quot;-&quot;??_);_(@_)">
                  <c:v>1528178348.3972325</c:v>
                </c:pt>
                <c:pt idx="17" formatCode="_(* #,##0_);_(* \(#,##0\);_(* &quot;-&quot;??_);_(@_)">
                  <c:v>1616160258.3257608</c:v>
                </c:pt>
              </c:numCache>
            </c:numRef>
          </c:val>
          <c:extLst>
            <c:ext xmlns:c16="http://schemas.microsoft.com/office/drawing/2014/chart" uri="{C3380CC4-5D6E-409C-BE32-E72D297353CC}">
              <c16:uniqueId val="{00000003-0EEC-4790-B7D2-964D37413051}"/>
            </c:ext>
          </c:extLst>
        </c:ser>
        <c:dLbls>
          <c:showLegendKey val="0"/>
          <c:showVal val="0"/>
          <c:showCatName val="0"/>
          <c:showSerName val="0"/>
          <c:showPercent val="0"/>
          <c:showBubbleSize val="0"/>
        </c:dLbls>
        <c:gapWidth val="219"/>
        <c:axId val="811430328"/>
        <c:axId val="811438200"/>
      </c:barChart>
      <c:lineChart>
        <c:grouping val="standard"/>
        <c:varyColors val="0"/>
        <c:ser>
          <c:idx val="4"/>
          <c:order val="4"/>
          <c:tx>
            <c:strRef>
              <c:f>CF!$E$56</c:f>
              <c:strCache>
                <c:ptCount val="1"/>
                <c:pt idx="0">
                  <c:v>Cash flow in period</c:v>
                </c:pt>
              </c:strCache>
            </c:strRef>
          </c:tx>
          <c:spPr>
            <a:ln w="28575" cap="rnd">
              <a:solidFill>
                <a:schemeClr val="accent5"/>
              </a:solidFill>
              <a:round/>
            </a:ln>
            <a:effectLst/>
          </c:spPr>
          <c:marker>
            <c:symbol val="none"/>
          </c:marker>
          <c:val>
            <c:numRef>
              <c:f>CF!$F$56:$W$56</c:f>
              <c:numCache>
                <c:formatCode>General</c:formatCode>
                <c:ptCount val="18"/>
                <c:pt idx="3" formatCode="_(* #,##0_);_(* \(#,##0\);_(* &quot;-&quot;??_);_(@_)">
                  <c:v>0</c:v>
                </c:pt>
                <c:pt idx="4" formatCode="_(* #,##0_);_(* \(#,##0\);_(* &quot;-&quot;??_);_(@_)">
                  <c:v>-132913371.73613448</c:v>
                </c:pt>
                <c:pt idx="5" formatCode="_(* #,##0_);_(* \(#,##0\);_(* &quot;-&quot;??_);_(@_)">
                  <c:v>632979160.75820112</c:v>
                </c:pt>
                <c:pt idx="6" formatCode="_(* #,##0_);_(* \(#,##0\);_(* &quot;-&quot;??_);_(@_)">
                  <c:v>245497404.88318071</c:v>
                </c:pt>
                <c:pt idx="7" formatCode="_(* #,##0_);_(* \(#,##0\);_(* &quot;-&quot;??_);_(@_)">
                  <c:v>409823324.46552622</c:v>
                </c:pt>
                <c:pt idx="8" formatCode="_(* #,##0_);_(* \(#,##0\);_(* &quot;-&quot;??_);_(@_)">
                  <c:v>349666505.57265675</c:v>
                </c:pt>
                <c:pt idx="9" formatCode="_(* #,##0_);_(* \(#,##0\);_(* &quot;-&quot;??_);_(@_)">
                  <c:v>402760422.1229381</c:v>
                </c:pt>
                <c:pt idx="10" formatCode="_(* #,##0_);_(* \(#,##0\);_(* &quot;-&quot;??_);_(@_)">
                  <c:v>444654039.34587759</c:v>
                </c:pt>
                <c:pt idx="11" formatCode="_(* #,##0_);_(* \(#,##0\);_(* &quot;-&quot;??_);_(@_)">
                  <c:v>480615379.08489227</c:v>
                </c:pt>
                <c:pt idx="12" formatCode="_(* #,##0_);_(* \(#,##0\);_(* &quot;-&quot;??_);_(@_)">
                  <c:v>294026423.94115806</c:v>
                </c:pt>
                <c:pt idx="13" formatCode="_(* #,##0_);_(* \(#,##0\);_(* &quot;-&quot;??_);_(@_)">
                  <c:v>599739205.0296818</c:v>
                </c:pt>
                <c:pt idx="14" formatCode="_(* #,##0_);_(* \(#,##0\);_(* &quot;-&quot;??_);_(@_)">
                  <c:v>577993481.32783329</c:v>
                </c:pt>
                <c:pt idx="15" formatCode="_(* #,##0_);_(* \(#,##0\);_(* &quot;-&quot;??_);_(@_)">
                  <c:v>560255552.35720789</c:v>
                </c:pt>
                <c:pt idx="16" formatCode="_(* #,##0_);_(* \(#,##0\);_(* &quot;-&quot;??_);_(@_)">
                  <c:v>551924629.02857232</c:v>
                </c:pt>
                <c:pt idx="17" formatCode="_(* #,##0_);_(* \(#,##0\);_(* &quot;-&quot;??_);_(@_)">
                  <c:v>538300919.5181787</c:v>
                </c:pt>
              </c:numCache>
            </c:numRef>
          </c:val>
          <c:smooth val="0"/>
          <c:extLst>
            <c:ext xmlns:c16="http://schemas.microsoft.com/office/drawing/2014/chart" uri="{C3380CC4-5D6E-409C-BE32-E72D297353CC}">
              <c16:uniqueId val="{00000004-0EEC-4790-B7D2-964D37413051}"/>
            </c:ext>
          </c:extLst>
        </c:ser>
        <c:dLbls>
          <c:showLegendKey val="0"/>
          <c:showVal val="0"/>
          <c:showCatName val="0"/>
          <c:showSerName val="0"/>
          <c:showPercent val="0"/>
          <c:showBubbleSize val="0"/>
        </c:dLbls>
        <c:marker val="1"/>
        <c:smooth val="0"/>
        <c:axId val="811430328"/>
        <c:axId val="811438200"/>
      </c:lineChart>
      <c:catAx>
        <c:axId val="8114303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811438200"/>
        <c:crosses val="autoZero"/>
        <c:auto val="1"/>
        <c:lblAlgn val="ctr"/>
        <c:lblOffset val="100"/>
        <c:noMultiLvlLbl val="0"/>
      </c:catAx>
      <c:valAx>
        <c:axId val="811438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crossAx val="811430328"/>
        <c:crosses val="autoZero"/>
        <c:crossBetween val="between"/>
        <c:dispUnits>
          <c:builtInUnit val="millions"/>
          <c:dispUnitsLbl>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Millions USD</a:t>
                  </a:r>
                </a:p>
              </c:rich>
            </c:tx>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NG"/>
              </a:p>
            </c:txPr>
          </c:dispUnitsLbl>
        </c:dispUnits>
      </c:valAx>
      <c:spPr>
        <a:noFill/>
        <a:ln>
          <a:noFill/>
        </a:ln>
        <a:effectLst/>
      </c:spPr>
    </c:plotArea>
    <c:legend>
      <c:legendPos val="b"/>
      <c:layout>
        <c:manualLayout>
          <c:xMode val="edge"/>
          <c:yMode val="edge"/>
          <c:x val="6.5605623800336216E-2"/>
          <c:y val="0.86807844825240377"/>
          <c:w val="0.85014638070903381"/>
          <c:h val="0.101320252027874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N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 /></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 /><Relationship Id="rId13" Type="http://schemas.openxmlformats.org/officeDocument/2006/relationships/image" Target="../media/image2.png" /><Relationship Id="rId18" Type="http://schemas.openxmlformats.org/officeDocument/2006/relationships/chart" Target="../charts/chart17.xml" /><Relationship Id="rId3" Type="http://schemas.openxmlformats.org/officeDocument/2006/relationships/chart" Target="../charts/chart3.xml" /><Relationship Id="rId7" Type="http://schemas.openxmlformats.org/officeDocument/2006/relationships/chart" Target="../charts/chart7.xml" /><Relationship Id="rId12" Type="http://schemas.openxmlformats.org/officeDocument/2006/relationships/chart" Target="../charts/chart12.xml" /><Relationship Id="rId17" Type="http://schemas.openxmlformats.org/officeDocument/2006/relationships/chart" Target="../charts/chart16.xml" /><Relationship Id="rId2" Type="http://schemas.openxmlformats.org/officeDocument/2006/relationships/chart" Target="../charts/chart2.xml" /><Relationship Id="rId16" Type="http://schemas.openxmlformats.org/officeDocument/2006/relationships/chart" Target="../charts/chart15.xml" /><Relationship Id="rId20" Type="http://schemas.openxmlformats.org/officeDocument/2006/relationships/chart" Target="../charts/chart19.xml" /><Relationship Id="rId1" Type="http://schemas.openxmlformats.org/officeDocument/2006/relationships/chart" Target="../charts/chart1.xml" /><Relationship Id="rId6" Type="http://schemas.openxmlformats.org/officeDocument/2006/relationships/chart" Target="../charts/chart6.xml" /><Relationship Id="rId11" Type="http://schemas.openxmlformats.org/officeDocument/2006/relationships/chart" Target="../charts/chart11.xml" /><Relationship Id="rId5" Type="http://schemas.openxmlformats.org/officeDocument/2006/relationships/chart" Target="../charts/chart5.xml" /><Relationship Id="rId15" Type="http://schemas.openxmlformats.org/officeDocument/2006/relationships/chart" Target="../charts/chart14.xml" /><Relationship Id="rId10" Type="http://schemas.openxmlformats.org/officeDocument/2006/relationships/chart" Target="../charts/chart10.xml" /><Relationship Id="rId19" Type="http://schemas.openxmlformats.org/officeDocument/2006/relationships/chart" Target="../charts/chart18.xml" /><Relationship Id="rId4" Type="http://schemas.openxmlformats.org/officeDocument/2006/relationships/chart" Target="../charts/chart4.xml" /><Relationship Id="rId9" Type="http://schemas.openxmlformats.org/officeDocument/2006/relationships/chart" Target="../charts/chart9.xml" /><Relationship Id="rId14" Type="http://schemas.openxmlformats.org/officeDocument/2006/relationships/chart" Target="../charts/chart13.xml" /></Relationships>
</file>

<file path=xl/drawings/_rels/drawing4.xml.rels><?xml version="1.0" encoding="UTF-8" standalone="yes"?>
<Relationships xmlns="http://schemas.openxmlformats.org/package/2006/relationships"><Relationship Id="rId1" Type="http://schemas.openxmlformats.org/officeDocument/2006/relationships/image" Target="../media/image3.emf" /></Relationships>
</file>

<file path=xl/drawings/_rels/drawing5.xml.rels><?xml version="1.0" encoding="UTF-8" standalone="yes"?>
<Relationships xmlns="http://schemas.openxmlformats.org/package/2006/relationships"><Relationship Id="rId2" Type="http://schemas.openxmlformats.org/officeDocument/2006/relationships/chart" Target="../charts/chart21.xml" /><Relationship Id="rId1" Type="http://schemas.openxmlformats.org/officeDocument/2006/relationships/chart" Target="../charts/chart20.xml" /></Relationships>
</file>

<file path=xl/drawings/_rels/drawing6.xml.rels><?xml version="1.0" encoding="UTF-8" standalone="yes"?>
<Relationships xmlns="http://schemas.openxmlformats.org/package/2006/relationships"><Relationship Id="rId1" Type="http://schemas.openxmlformats.org/officeDocument/2006/relationships/chart" Target="../charts/chart22.xml" /></Relationships>
</file>

<file path=xl/drawings/_rels/drawing7.xml.rels><?xml version="1.0" encoding="UTF-8" standalone="yes"?>
<Relationships xmlns="http://schemas.openxmlformats.org/package/2006/relationships"><Relationship Id="rId1" Type="http://schemas.openxmlformats.org/officeDocument/2006/relationships/chart" Target="../charts/chart23.xml" /></Relationships>
</file>

<file path=xl/drawings/_rels/drawing8.xml.rels><?xml version="1.0" encoding="UTF-8" standalone="yes"?>
<Relationships xmlns="http://schemas.openxmlformats.org/package/2006/relationships"><Relationship Id="rId3" Type="http://schemas.openxmlformats.org/officeDocument/2006/relationships/image" Target="../media/image7.emf" /><Relationship Id="rId2" Type="http://schemas.openxmlformats.org/officeDocument/2006/relationships/image" Target="../media/image6.emf" /><Relationship Id="rId1" Type="http://schemas.openxmlformats.org/officeDocument/2006/relationships/image" Target="../media/image5.emf" /><Relationship Id="rId4" Type="http://schemas.openxmlformats.org/officeDocument/2006/relationships/image" Target="../media/image8.emf" /></Relationships>
</file>

<file path=xl/drawings/_rels/drawing9.xml.rels><?xml version="1.0" encoding="UTF-8" standalone="yes"?>
<Relationships xmlns="http://schemas.openxmlformats.org/package/2006/relationships"><Relationship Id="rId3" Type="http://schemas.openxmlformats.org/officeDocument/2006/relationships/image" Target="../media/image3.emf" /><Relationship Id="rId2" Type="http://schemas.openxmlformats.org/officeDocument/2006/relationships/image" Target="../media/image10.emf" /><Relationship Id="rId1" Type="http://schemas.openxmlformats.org/officeDocument/2006/relationships/image" Target="../media/image9.emf" /></Relationships>
</file>

<file path=xl/drawings/_rels/drawing10.xml.rels><?xml version="1.0" encoding="UTF-8" standalone="yes"?>
<Relationships xmlns="http://schemas.openxmlformats.org/package/2006/relationships"><Relationship Id="rId2" Type="http://schemas.openxmlformats.org/officeDocument/2006/relationships/image" Target="../media/image12.emf" /><Relationship Id="rId1" Type="http://schemas.openxmlformats.org/officeDocument/2006/relationships/image" Target="../media/image11.png" /></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 /></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 /></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83820</xdr:colOff>
          <xdr:row>215</xdr:row>
          <xdr:rowOff>38100</xdr:rowOff>
        </xdr:from>
        <xdr:to>
          <xdr:col>3</xdr:col>
          <xdr:colOff>1059180</xdr:colOff>
          <xdr:row>217</xdr:row>
          <xdr:rowOff>106680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D00-00000128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36576" tIns="32004" rIns="36576" bIns="32004" anchor="ctr" upright="1"/>
            <a:lstStyle/>
            <a:p>
              <a:pPr algn="ctr" rtl="0">
                <a:defRPr sz="1000"/>
              </a:pPr>
              <a:r>
                <a:rPr lang="en-NG" sz="1000" b="0" i="0" u="none" strike="noStrike" baseline="0">
                  <a:solidFill>
                    <a:srgbClr val="000000"/>
                  </a:solidFill>
                  <a:latin typeface="Calibri"/>
                  <a:ea typeface="Calibri"/>
                  <a:cs typeface="Calibri"/>
                </a:rPr>
                <a:t>Run IDC Macro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83820</xdr:colOff>
          <xdr:row>2</xdr:row>
          <xdr:rowOff>45720</xdr:rowOff>
        </xdr:from>
        <xdr:to>
          <xdr:col>3</xdr:col>
          <xdr:colOff>998220</xdr:colOff>
          <xdr:row>4</xdr:row>
          <xdr:rowOff>106680</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D00-00000C28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36576" tIns="32004" rIns="36576" bIns="32004" anchor="ctr" upright="1"/>
            <a:lstStyle/>
            <a:p>
              <a:pPr algn="ctr" rtl="0">
                <a:defRPr sz="1000"/>
              </a:pPr>
              <a:r>
                <a:rPr lang="en-NG" sz="1000" b="1" i="0" u="none" strike="noStrike" baseline="0">
                  <a:solidFill>
                    <a:srgbClr val="800080"/>
                  </a:solidFill>
                  <a:latin typeface="Calibri"/>
                  <a:ea typeface="Calibri"/>
                  <a:cs typeface="Calibri"/>
                </a:rPr>
                <a:t>Funding Macro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434340</xdr:colOff>
      <xdr:row>2</xdr:row>
      <xdr:rowOff>0</xdr:rowOff>
    </xdr:from>
    <xdr:to>
      <xdr:col>18</xdr:col>
      <xdr:colOff>433919</xdr:colOff>
      <xdr:row>10</xdr:row>
      <xdr:rowOff>167321</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stretch>
          <a:fillRect/>
        </a:stretch>
      </xdr:blipFill>
      <xdr:spPr>
        <a:xfrm>
          <a:off x="10401300" y="373380"/>
          <a:ext cx="6095579" cy="2552381"/>
        </a:xfrm>
        <a:prstGeom prst="rect">
          <a:avLst/>
        </a:prstGeom>
        <a:ln w="28575">
          <a:solidFill>
            <a:schemeClr val="tx1"/>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752334</xdr:colOff>
      <xdr:row>43</xdr:row>
      <xdr:rowOff>100731</xdr:rowOff>
    </xdr:from>
    <xdr:to>
      <xdr:col>18</xdr:col>
      <xdr:colOff>1118094</xdr:colOff>
      <xdr:row>67</xdr:row>
      <xdr:rowOff>162434</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380071</xdr:colOff>
      <xdr:row>43</xdr:row>
      <xdr:rowOff>83633</xdr:rowOff>
    </xdr:from>
    <xdr:to>
      <xdr:col>22</xdr:col>
      <xdr:colOff>1905000</xdr:colOff>
      <xdr:row>69</xdr:row>
      <xdr:rowOff>37171</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538975</xdr:colOff>
      <xdr:row>40</xdr:row>
      <xdr:rowOff>20631</xdr:rowOff>
    </xdr:from>
    <xdr:to>
      <xdr:col>13</xdr:col>
      <xdr:colOff>378955</xdr:colOff>
      <xdr:row>74</xdr:row>
      <xdr:rowOff>148682</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194216</xdr:colOff>
      <xdr:row>5</xdr:row>
      <xdr:rowOff>92927</xdr:rowOff>
    </xdr:from>
    <xdr:to>
      <xdr:col>36</xdr:col>
      <xdr:colOff>836341</xdr:colOff>
      <xdr:row>25</xdr:row>
      <xdr:rowOff>103893</xdr:rowOff>
    </xdr:to>
    <xdr:graphicFrame macro="">
      <xdr:nvGraphicFramePr>
        <xdr:cNvPr id="6" name="Chart 5">
          <a:extLst>
            <a:ext uri="{FF2B5EF4-FFF2-40B4-BE49-F238E27FC236}">
              <a16:creationId xmlns:a16="http://schemas.microsoft.com/office/drawing/2014/main" id="{00000000-0008-0000-1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51</xdr:col>
      <xdr:colOff>446979</xdr:colOff>
      <xdr:row>120</xdr:row>
      <xdr:rowOff>38565</xdr:rowOff>
    </xdr:from>
    <xdr:to>
      <xdr:col>60</xdr:col>
      <xdr:colOff>485450</xdr:colOff>
      <xdr:row>136</xdr:row>
      <xdr:rowOff>49994</xdr:rowOff>
    </xdr:to>
    <xdr:graphicFrame macro="">
      <xdr:nvGraphicFramePr>
        <xdr:cNvPr id="7" name="Chart 6">
          <a:extLst>
            <a:ext uri="{FF2B5EF4-FFF2-40B4-BE49-F238E27FC236}">
              <a16:creationId xmlns:a16="http://schemas.microsoft.com/office/drawing/2014/main" id="{00000000-0008-0000-1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49</xdr:col>
      <xdr:colOff>42189</xdr:colOff>
      <xdr:row>70</xdr:row>
      <xdr:rowOff>37171</xdr:rowOff>
    </xdr:from>
    <xdr:to>
      <xdr:col>57</xdr:col>
      <xdr:colOff>604025</xdr:colOff>
      <xdr:row>86</xdr:row>
      <xdr:rowOff>144315</xdr:rowOff>
    </xdr:to>
    <xdr:graphicFrame macro="">
      <xdr:nvGraphicFramePr>
        <xdr:cNvPr id="8" name="Chart 7">
          <a:extLst>
            <a:ext uri="{FF2B5EF4-FFF2-40B4-BE49-F238E27FC236}">
              <a16:creationId xmlns:a16="http://schemas.microsoft.com/office/drawing/2014/main" id="{00000000-0008-0000-1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51</xdr:col>
      <xdr:colOff>278780</xdr:colOff>
      <xdr:row>93</xdr:row>
      <xdr:rowOff>133350</xdr:rowOff>
    </xdr:from>
    <xdr:to>
      <xdr:col>60</xdr:col>
      <xdr:colOff>320040</xdr:colOff>
      <xdr:row>112</xdr:row>
      <xdr:rowOff>27878</xdr:rowOff>
    </xdr:to>
    <xdr:graphicFrame macro="">
      <xdr:nvGraphicFramePr>
        <xdr:cNvPr id="9" name="Chart 8">
          <a:extLst>
            <a:ext uri="{FF2B5EF4-FFF2-40B4-BE49-F238E27FC236}">
              <a16:creationId xmlns:a16="http://schemas.microsoft.com/office/drawing/2014/main" id="{00000000-0008-0000-1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62</xdr:col>
      <xdr:colOff>146451</xdr:colOff>
      <xdr:row>122</xdr:row>
      <xdr:rowOff>83541</xdr:rowOff>
    </xdr:from>
    <xdr:to>
      <xdr:col>72</xdr:col>
      <xdr:colOff>381000</xdr:colOff>
      <xdr:row>143</xdr:row>
      <xdr:rowOff>9292</xdr:rowOff>
    </xdr:to>
    <xdr:graphicFrame macro="">
      <xdr:nvGraphicFramePr>
        <xdr:cNvPr id="10" name="Chart 9">
          <a:extLst>
            <a:ext uri="{FF2B5EF4-FFF2-40B4-BE49-F238E27FC236}">
              <a16:creationId xmlns:a16="http://schemas.microsoft.com/office/drawing/2014/main" id="{00000000-0008-0000-1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61</xdr:col>
      <xdr:colOff>66162</xdr:colOff>
      <xdr:row>98</xdr:row>
      <xdr:rowOff>50274</xdr:rowOff>
    </xdr:from>
    <xdr:to>
      <xdr:col>71</xdr:col>
      <xdr:colOff>501804</xdr:colOff>
      <xdr:row>118</xdr:row>
      <xdr:rowOff>130097</xdr:rowOff>
    </xdr:to>
    <xdr:graphicFrame macro="">
      <xdr:nvGraphicFramePr>
        <xdr:cNvPr id="11" name="Chart 10">
          <a:extLst>
            <a:ext uri="{FF2B5EF4-FFF2-40B4-BE49-F238E27FC236}">
              <a16:creationId xmlns:a16="http://schemas.microsoft.com/office/drawing/2014/main" id="{00000000-0008-0000-1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32</xdr:col>
      <xdr:colOff>1077949</xdr:colOff>
      <xdr:row>147</xdr:row>
      <xdr:rowOff>110581</xdr:rowOff>
    </xdr:from>
    <xdr:to>
      <xdr:col>38</xdr:col>
      <xdr:colOff>297365</xdr:colOff>
      <xdr:row>164</xdr:row>
      <xdr:rowOff>195146</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27</xdr:col>
      <xdr:colOff>1263805</xdr:colOff>
      <xdr:row>155</xdr:row>
      <xdr:rowOff>231387</xdr:rowOff>
    </xdr:from>
    <xdr:to>
      <xdr:col>32</xdr:col>
      <xdr:colOff>743415</xdr:colOff>
      <xdr:row>173</xdr:row>
      <xdr:rowOff>37171</xdr:rowOff>
    </xdr:to>
    <xdr:graphicFrame macro="">
      <xdr:nvGraphicFramePr>
        <xdr:cNvPr id="12" name="Chart 11">
          <a:extLst>
            <a:ext uri="{FF2B5EF4-FFF2-40B4-BE49-F238E27FC236}">
              <a16:creationId xmlns:a16="http://schemas.microsoft.com/office/drawing/2014/main" id="{00000000-0008-0000-10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585439</xdr:colOff>
      <xdr:row>127</xdr:row>
      <xdr:rowOff>129167</xdr:rowOff>
    </xdr:from>
    <xdr:to>
      <xdr:col>50</xdr:col>
      <xdr:colOff>232317</xdr:colOff>
      <xdr:row>144</xdr:row>
      <xdr:rowOff>139389</xdr:rowOff>
    </xdr:to>
    <xdr:graphicFrame macro="">
      <xdr:nvGraphicFramePr>
        <xdr:cNvPr id="13" name="Chart 12">
          <a:extLst>
            <a:ext uri="{FF2B5EF4-FFF2-40B4-BE49-F238E27FC236}">
              <a16:creationId xmlns:a16="http://schemas.microsoft.com/office/drawing/2014/main" id="{00000000-0008-0000-10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408877</xdr:colOff>
      <xdr:row>177</xdr:row>
      <xdr:rowOff>120806</xdr:rowOff>
    </xdr:from>
    <xdr:to>
      <xdr:col>3</xdr:col>
      <xdr:colOff>1795872</xdr:colOff>
      <xdr:row>196</xdr:row>
      <xdr:rowOff>197827</xdr:rowOff>
    </xdr:to>
    <xdr:pic>
      <xdr:nvPicPr>
        <xdr:cNvPr id="14" name="Picture 13">
          <a:extLst>
            <a:ext uri="{FF2B5EF4-FFF2-40B4-BE49-F238E27FC236}">
              <a16:creationId xmlns:a16="http://schemas.microsoft.com/office/drawing/2014/main" id="{00000000-0008-0000-1000-00000E000000}"/>
            </a:ext>
          </a:extLst>
        </xdr:cNvPr>
        <xdr:cNvPicPr/>
      </xdr:nvPicPr>
      <xdr:blipFill>
        <a:blip xmlns:r="http://schemas.openxmlformats.org/officeDocument/2006/relationships" r:embed="rId13"/>
        <a:stretch>
          <a:fillRect/>
        </a:stretch>
      </xdr:blipFill>
      <xdr:spPr>
        <a:xfrm>
          <a:off x="408877" y="36055611"/>
          <a:ext cx="5838190" cy="4351655"/>
        </a:xfrm>
        <a:prstGeom prst="rect">
          <a:avLst/>
        </a:prstGeom>
        <a:ln w="12700">
          <a:solidFill>
            <a:schemeClr val="tx1"/>
          </a:solidFill>
        </a:ln>
      </xdr:spPr>
    </xdr:pic>
    <xdr:clientData/>
  </xdr:twoCellAnchor>
  <xdr:twoCellAnchor>
    <xdr:from>
      <xdr:col>8</xdr:col>
      <xdr:colOff>817754</xdr:colOff>
      <xdr:row>158</xdr:row>
      <xdr:rowOff>212803</xdr:rowOff>
    </xdr:from>
    <xdr:to>
      <xdr:col>13</xdr:col>
      <xdr:colOff>195145</xdr:colOff>
      <xdr:row>171</xdr:row>
      <xdr:rowOff>176561</xdr:rowOff>
    </xdr:to>
    <xdr:graphicFrame macro="">
      <xdr:nvGraphicFramePr>
        <xdr:cNvPr id="15" name="Chart 14">
          <a:extLst>
            <a:ext uri="{FF2B5EF4-FFF2-40B4-BE49-F238E27FC236}">
              <a16:creationId xmlns:a16="http://schemas.microsoft.com/office/drawing/2014/main" id="{00000000-0008-0000-10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24</xdr:col>
      <xdr:colOff>1551877</xdr:colOff>
      <xdr:row>238</xdr:row>
      <xdr:rowOff>27878</xdr:rowOff>
    </xdr:from>
    <xdr:to>
      <xdr:col>30</xdr:col>
      <xdr:colOff>167268</xdr:colOff>
      <xdr:row>257</xdr:row>
      <xdr:rowOff>65049</xdr:rowOff>
    </xdr:to>
    <xdr:graphicFrame macro="">
      <xdr:nvGraphicFramePr>
        <xdr:cNvPr id="17" name="Chart 16">
          <a:extLst>
            <a:ext uri="{FF2B5EF4-FFF2-40B4-BE49-F238E27FC236}">
              <a16:creationId xmlns:a16="http://schemas.microsoft.com/office/drawing/2014/main" id="{00000000-0008-0000-10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35</xdr:col>
      <xdr:colOff>46463</xdr:colOff>
      <xdr:row>140</xdr:row>
      <xdr:rowOff>17657</xdr:rowOff>
    </xdr:from>
    <xdr:to>
      <xdr:col>41</xdr:col>
      <xdr:colOff>483219</xdr:colOff>
      <xdr:row>157</xdr:row>
      <xdr:rowOff>130098</xdr:rowOff>
    </xdr:to>
    <xdr:graphicFrame macro="">
      <xdr:nvGraphicFramePr>
        <xdr:cNvPr id="16" name="Chart 15">
          <a:extLst>
            <a:ext uri="{FF2B5EF4-FFF2-40B4-BE49-F238E27FC236}">
              <a16:creationId xmlns:a16="http://schemas.microsoft.com/office/drawing/2014/main" id="{00000000-0008-0000-10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33</xdr:col>
      <xdr:colOff>446048</xdr:colOff>
      <xdr:row>155</xdr:row>
      <xdr:rowOff>157047</xdr:rowOff>
    </xdr:from>
    <xdr:to>
      <xdr:col>39</xdr:col>
      <xdr:colOff>761999</xdr:colOff>
      <xdr:row>173</xdr:row>
      <xdr:rowOff>37171</xdr:rowOff>
    </xdr:to>
    <xdr:graphicFrame macro="">
      <xdr:nvGraphicFramePr>
        <xdr:cNvPr id="18" name="Chart 17">
          <a:extLst>
            <a:ext uri="{FF2B5EF4-FFF2-40B4-BE49-F238E27FC236}">
              <a16:creationId xmlns:a16="http://schemas.microsoft.com/office/drawing/2014/main" id="{00000000-0008-0000-1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30</xdr:col>
      <xdr:colOff>1161583</xdr:colOff>
      <xdr:row>237</xdr:row>
      <xdr:rowOff>64119</xdr:rowOff>
    </xdr:from>
    <xdr:to>
      <xdr:col>37</xdr:col>
      <xdr:colOff>139389</xdr:colOff>
      <xdr:row>258</xdr:row>
      <xdr:rowOff>46464</xdr:rowOff>
    </xdr:to>
    <xdr:graphicFrame macro="">
      <xdr:nvGraphicFramePr>
        <xdr:cNvPr id="19" name="Chart 18">
          <a:extLst>
            <a:ext uri="{FF2B5EF4-FFF2-40B4-BE49-F238E27FC236}">
              <a16:creationId xmlns:a16="http://schemas.microsoft.com/office/drawing/2014/main" id="{00000000-0008-0000-10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22</xdr:col>
      <xdr:colOff>1152291</xdr:colOff>
      <xdr:row>242</xdr:row>
      <xdr:rowOff>184923</xdr:rowOff>
    </xdr:from>
    <xdr:to>
      <xdr:col>26</xdr:col>
      <xdr:colOff>436755</xdr:colOff>
      <xdr:row>262</xdr:row>
      <xdr:rowOff>176562</xdr:rowOff>
    </xdr:to>
    <xdr:graphicFrame macro="">
      <xdr:nvGraphicFramePr>
        <xdr:cNvPr id="21" name="Chart 20">
          <a:extLst>
            <a:ext uri="{FF2B5EF4-FFF2-40B4-BE49-F238E27FC236}">
              <a16:creationId xmlns:a16="http://schemas.microsoft.com/office/drawing/2014/main" id="{00000000-0008-0000-10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16</xdr:col>
      <xdr:colOff>111512</xdr:colOff>
      <xdr:row>236</xdr:row>
      <xdr:rowOff>166339</xdr:rowOff>
    </xdr:from>
    <xdr:to>
      <xdr:col>20</xdr:col>
      <xdr:colOff>2676293</xdr:colOff>
      <xdr:row>259</xdr:row>
      <xdr:rowOff>148683</xdr:rowOff>
    </xdr:to>
    <xdr:graphicFrame macro="">
      <xdr:nvGraphicFramePr>
        <xdr:cNvPr id="22" name="Chart 21">
          <a:extLst>
            <a:ext uri="{FF2B5EF4-FFF2-40B4-BE49-F238E27FC236}">
              <a16:creationId xmlns:a16="http://schemas.microsoft.com/office/drawing/2014/main" id="{00000000-0008-0000-10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25</xdr:col>
          <xdr:colOff>228600</xdr:colOff>
          <xdr:row>1</xdr:row>
          <xdr:rowOff>76200</xdr:rowOff>
        </xdr:from>
        <xdr:to>
          <xdr:col>32</xdr:col>
          <xdr:colOff>259080</xdr:colOff>
          <xdr:row>29</xdr:row>
          <xdr:rowOff>53340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a:extLst>
                <a:ext uri="{84589F7E-364E-4C9E-8A38-B11213B215E9}">
                  <a14:cameraTool cellRange="'Sens WIP'!$F$9:$G$44" spid="_x0000_s74973"/>
                </a:ext>
              </a:extLst>
            </xdr:cNvPicPr>
          </xdr:nvPicPr>
          <xdr:blipFill>
            <a:blip xmlns:r="http://schemas.openxmlformats.org/officeDocument/2006/relationships" r:embed="rId1"/>
            <a:srcRect/>
            <a:stretch>
              <a:fillRect/>
            </a:stretch>
          </xdr:blipFill>
          <xdr:spPr bwMode="auto">
            <a:xfrm>
              <a:off x="30601920" y="259080"/>
              <a:ext cx="4297680" cy="614172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25</xdr:col>
      <xdr:colOff>62204</xdr:colOff>
      <xdr:row>53</xdr:row>
      <xdr:rowOff>125185</xdr:rowOff>
    </xdr:from>
    <xdr:to>
      <xdr:col>32</xdr:col>
      <xdr:colOff>256592</xdr:colOff>
      <xdr:row>79</xdr:row>
      <xdr:rowOff>116632</xdr:rowOff>
    </xdr:to>
    <xdr:graphicFrame macro="">
      <xdr:nvGraphicFramePr>
        <xdr:cNvPr id="2" name="Chart 1">
          <a:extLst>
            <a:ext uri="{FF2B5EF4-FFF2-40B4-BE49-F238E27FC236}">
              <a16:creationId xmlns:a16="http://schemas.microsoft.com/office/drawing/2014/main" id="{00000000-0008-0000-3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723122</xdr:colOff>
      <xdr:row>56</xdr:row>
      <xdr:rowOff>775</xdr:rowOff>
    </xdr:from>
    <xdr:to>
      <xdr:col>22</xdr:col>
      <xdr:colOff>357674</xdr:colOff>
      <xdr:row>83</xdr:row>
      <xdr:rowOff>38877</xdr:rowOff>
    </xdr:to>
    <xdr:graphicFrame macro="">
      <xdr:nvGraphicFramePr>
        <xdr:cNvPr id="4" name="Chart 3">
          <a:extLst>
            <a:ext uri="{FF2B5EF4-FFF2-40B4-BE49-F238E27FC236}">
              <a16:creationId xmlns:a16="http://schemas.microsoft.com/office/drawing/2014/main" id="{00000000-0008-0000-3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22</xdr:col>
      <xdr:colOff>197304</xdr:colOff>
      <xdr:row>65</xdr:row>
      <xdr:rowOff>33335</xdr:rowOff>
    </xdr:from>
    <xdr:to>
      <xdr:col>27</xdr:col>
      <xdr:colOff>714376</xdr:colOff>
      <xdr:row>87</xdr:row>
      <xdr:rowOff>40819</xdr:rowOff>
    </xdr:to>
    <xdr:graphicFrame macro="">
      <xdr:nvGraphicFramePr>
        <xdr:cNvPr id="2" name="Chart 1">
          <a:extLst>
            <a:ext uri="{FF2B5EF4-FFF2-40B4-BE49-F238E27FC236}">
              <a16:creationId xmlns:a16="http://schemas.microsoft.com/office/drawing/2014/main" id="{00000000-0008-0000-3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17</xdr:col>
      <xdr:colOff>426720</xdr:colOff>
      <xdr:row>58</xdr:row>
      <xdr:rowOff>102870</xdr:rowOff>
    </xdr:from>
    <xdr:to>
      <xdr:col>25</xdr:col>
      <xdr:colOff>861060</xdr:colOff>
      <xdr:row>90</xdr:row>
      <xdr:rowOff>0</xdr:rowOff>
    </xdr:to>
    <xdr:graphicFrame macro="">
      <xdr:nvGraphicFramePr>
        <xdr:cNvPr id="2" name="Chart 1">
          <a:extLst>
            <a:ext uri="{FF2B5EF4-FFF2-40B4-BE49-F238E27FC236}">
              <a16:creationId xmlns:a16="http://schemas.microsoft.com/office/drawing/2014/main" id="{00000000-0008-0000-3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0</xdr:colOff>
      <xdr:row>517</xdr:row>
      <xdr:rowOff>0</xdr:rowOff>
    </xdr:from>
    <xdr:to>
      <xdr:col>16</xdr:col>
      <xdr:colOff>137160</xdr:colOff>
      <xdr:row>551</xdr:row>
      <xdr:rowOff>99060</xdr:rowOff>
    </xdr:to>
    <xdr:pic>
      <xdr:nvPicPr>
        <xdr:cNvPr id="11" name="Picture 10">
          <a:extLst>
            <a:ext uri="{FF2B5EF4-FFF2-40B4-BE49-F238E27FC236}">
              <a16:creationId xmlns:a16="http://schemas.microsoft.com/office/drawing/2014/main" id="{00000000-0008-0000-19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52060" y="94404180"/>
          <a:ext cx="4015740" cy="63169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219018</xdr:colOff>
      <xdr:row>7</xdr:row>
      <xdr:rowOff>7620</xdr:rowOff>
    </xdr:from>
    <xdr:to>
      <xdr:col>21</xdr:col>
      <xdr:colOff>594359</xdr:colOff>
      <xdr:row>33</xdr:row>
      <xdr:rowOff>0</xdr:rowOff>
    </xdr:to>
    <xdr:pic>
      <xdr:nvPicPr>
        <xdr:cNvPr id="25" name="Picture 24">
          <a:extLst>
            <a:ext uri="{FF2B5EF4-FFF2-40B4-BE49-F238E27FC236}">
              <a16:creationId xmlns:a16="http://schemas.microsoft.com/office/drawing/2014/main" id="{00000000-0008-0000-1900-00001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41098" y="1127760"/>
          <a:ext cx="3644321" cy="4747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160020</xdr:colOff>
      <xdr:row>6</xdr:row>
      <xdr:rowOff>129540</xdr:rowOff>
    </xdr:from>
    <xdr:to>
      <xdr:col>15</xdr:col>
      <xdr:colOff>7620</xdr:colOff>
      <xdr:row>32</xdr:row>
      <xdr:rowOff>175260</xdr:rowOff>
    </xdr:to>
    <xdr:pic>
      <xdr:nvPicPr>
        <xdr:cNvPr id="33" name="Picture 32">
          <a:extLst>
            <a:ext uri="{FF2B5EF4-FFF2-40B4-BE49-F238E27FC236}">
              <a16:creationId xmlns:a16="http://schemas.microsoft.com/office/drawing/2014/main" id="{00000000-0008-0000-1900-00002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349240" y="1059180"/>
          <a:ext cx="3680460" cy="4808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6</xdr:row>
      <xdr:rowOff>182880</xdr:rowOff>
    </xdr:from>
    <xdr:to>
      <xdr:col>8</xdr:col>
      <xdr:colOff>15240</xdr:colOff>
      <xdr:row>33</xdr:row>
      <xdr:rowOff>7620</xdr:rowOff>
    </xdr:to>
    <xdr:pic>
      <xdr:nvPicPr>
        <xdr:cNvPr id="35" name="Picture 34">
          <a:extLst>
            <a:ext uri="{FF2B5EF4-FFF2-40B4-BE49-F238E27FC236}">
              <a16:creationId xmlns:a16="http://schemas.microsoft.com/office/drawing/2014/main" id="{00000000-0008-0000-1900-000023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19200" y="1112520"/>
          <a:ext cx="3985260" cy="4770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15</xdr:col>
      <xdr:colOff>205740</xdr:colOff>
      <xdr:row>6</xdr:row>
      <xdr:rowOff>175260</xdr:rowOff>
    </xdr:from>
    <xdr:to>
      <xdr:col>22</xdr:col>
      <xdr:colOff>0</xdr:colOff>
      <xdr:row>40</xdr:row>
      <xdr:rowOff>0</xdr:rowOff>
    </xdr:to>
    <xdr:pic>
      <xdr:nvPicPr>
        <xdr:cNvPr id="18" name="Picture 17">
          <a:extLst>
            <a:ext uri="{FF2B5EF4-FFF2-40B4-BE49-F238E27FC236}">
              <a16:creationId xmlns:a16="http://schemas.microsoft.com/office/drawing/2014/main" id="{00000000-0008-0000-1A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104900"/>
          <a:ext cx="3672840" cy="605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38100</xdr:colOff>
      <xdr:row>7</xdr:row>
      <xdr:rowOff>15240</xdr:rowOff>
    </xdr:from>
    <xdr:to>
      <xdr:col>8</xdr:col>
      <xdr:colOff>0</xdr:colOff>
      <xdr:row>39</xdr:row>
      <xdr:rowOff>144780</xdr:rowOff>
    </xdr:to>
    <xdr:pic>
      <xdr:nvPicPr>
        <xdr:cNvPr id="21" name="Picture 20">
          <a:extLst>
            <a:ext uri="{FF2B5EF4-FFF2-40B4-BE49-F238E27FC236}">
              <a16:creationId xmlns:a16="http://schemas.microsoft.com/office/drawing/2014/main" id="{00000000-0008-0000-1A00-00001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57300" y="1135380"/>
          <a:ext cx="3619500" cy="59817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8</xdr:col>
          <xdr:colOff>152400</xdr:colOff>
          <xdr:row>7</xdr:row>
          <xdr:rowOff>15240</xdr:rowOff>
        </xdr:from>
        <xdr:to>
          <xdr:col>15</xdr:col>
          <xdr:colOff>45720</xdr:colOff>
          <xdr:row>39</xdr:row>
          <xdr:rowOff>167640</xdr:rowOff>
        </xdr:to>
        <xdr:pic>
          <xdr:nvPicPr>
            <xdr:cNvPr id="24" name="Picture 23">
              <a:extLst>
                <a:ext uri="{FF2B5EF4-FFF2-40B4-BE49-F238E27FC236}">
                  <a16:creationId xmlns:a16="http://schemas.microsoft.com/office/drawing/2014/main" id="{00000000-0008-0000-1A00-000018000000}"/>
                </a:ext>
              </a:extLst>
            </xdr:cNvPr>
            <xdr:cNvPicPr>
              <a:picLocks noChangeAspect="1" noChangeArrowheads="1"/>
              <a:extLst>
                <a:ext uri="{84589F7E-364E-4C9E-8A38-B11213B215E9}">
                  <a14:cameraTool cellRange="'Sens WIP'!$F$9:$G$44" spid="_x0000_s14337"/>
                </a:ext>
              </a:extLst>
            </xdr:cNvPicPr>
          </xdr:nvPicPr>
          <xdr:blipFill>
            <a:blip xmlns:r="http://schemas.openxmlformats.org/officeDocument/2006/relationships" r:embed="rId3"/>
            <a:srcRect/>
            <a:stretch>
              <a:fillRect/>
            </a:stretch>
          </xdr:blipFill>
          <xdr:spPr bwMode="auto">
            <a:xfrm>
              <a:off x="5029200" y="1135380"/>
              <a:ext cx="3726180" cy="600456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4</xdr:col>
      <xdr:colOff>0</xdr:colOff>
      <xdr:row>3</xdr:row>
      <xdr:rowOff>0</xdr:rowOff>
    </xdr:from>
    <xdr:to>
      <xdr:col>13</xdr:col>
      <xdr:colOff>351790</xdr:colOff>
      <xdr:row>25</xdr:row>
      <xdr:rowOff>31115</xdr:rowOff>
    </xdr:to>
    <xdr:pic>
      <xdr:nvPicPr>
        <xdr:cNvPr id="2" name="Picture 1" descr="A table with numbers and text&#10;&#10;Description automatically generated">
          <a:extLst>
            <a:ext uri="{FF2B5EF4-FFF2-40B4-BE49-F238E27FC236}">
              <a16:creationId xmlns:a16="http://schemas.microsoft.com/office/drawing/2014/main" id="{00000000-0008-0000-2800-000002000000}"/>
            </a:ext>
          </a:extLst>
        </xdr:cNvPr>
        <xdr:cNvPicPr/>
      </xdr:nvPicPr>
      <xdr:blipFill>
        <a:blip xmlns:r="http://schemas.openxmlformats.org/officeDocument/2006/relationships" r:embed="rId1"/>
        <a:stretch>
          <a:fillRect/>
        </a:stretch>
      </xdr:blipFill>
      <xdr:spPr>
        <a:xfrm>
          <a:off x="2438400" y="548640"/>
          <a:ext cx="5838190" cy="4054475"/>
        </a:xfrm>
        <a:prstGeom prst="rect">
          <a:avLst/>
        </a:prstGeom>
        <a:ln w="12700">
          <a:solidFill>
            <a:schemeClr val="tx1"/>
          </a:solidFill>
        </a:ln>
      </xdr:spPr>
    </xdr:pic>
    <xdr:clientData/>
  </xdr:twoCellAnchor>
  <xdr:twoCellAnchor editAs="oneCell">
    <xdr:from>
      <xdr:col>4</xdr:col>
      <xdr:colOff>0</xdr:colOff>
      <xdr:row>3</xdr:row>
      <xdr:rowOff>0</xdr:rowOff>
    </xdr:from>
    <xdr:to>
      <xdr:col>13</xdr:col>
      <xdr:colOff>373380</xdr:colOff>
      <xdr:row>25</xdr:row>
      <xdr:rowOff>53340</xdr:rowOff>
    </xdr:to>
    <xdr:pic>
      <xdr:nvPicPr>
        <xdr:cNvPr id="3" name="Picture 2">
          <a:extLst>
            <a:ext uri="{FF2B5EF4-FFF2-40B4-BE49-F238E27FC236}">
              <a16:creationId xmlns:a16="http://schemas.microsoft.com/office/drawing/2014/main" id="{00000000-0008-0000-2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48640"/>
          <a:ext cx="5859780" cy="407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117662</xdr:colOff>
      <xdr:row>46</xdr:row>
      <xdr:rowOff>72138</xdr:rowOff>
    </xdr:from>
    <xdr:to>
      <xdr:col>1</xdr:col>
      <xdr:colOff>1238251</xdr:colOff>
      <xdr:row>46</xdr:row>
      <xdr:rowOff>908531</xdr:rowOff>
    </xdr:to>
    <xdr:pic>
      <xdr:nvPicPr>
        <xdr:cNvPr id="2" name="Picture 1">
          <a:extLst>
            <a:ext uri="{FF2B5EF4-FFF2-40B4-BE49-F238E27FC236}">
              <a16:creationId xmlns:a16="http://schemas.microsoft.com/office/drawing/2014/main" id="{00000000-0008-0000-3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xdr:blipFill>
      <xdr:spPr bwMode="auto">
        <a:xfrm>
          <a:off x="117662" y="10343898"/>
          <a:ext cx="2187389" cy="836393"/>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p/Desktop/GGNP/Final%20OBC%20and%20Financial%20Model/Updated%20Ref%20OBC/GGNP%20ECO-TOURISM%20MODEL%2012082024%200-Update.xlsm" TargetMode="External" /></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FCTWNB%20-CUPERO%20WATER%20FM%2021022022-Kassim%20(1).xlsm" TargetMode="External" /></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Hp/Desktop/OBC%20Financial%20Model/Final%20FM/Final%20and%20Final/Final/BPE%20-OBC%20Gashaka%20-Gumti%20National%20Park%20Draft%2008042024%20final.xlsm" TargetMode="External" /></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Hp/Desktop/BPE/Financial%20Model/BPE%20-OBC%20Gashaka%20-Gumti%20National%20Park%20Draft%20240124.xlsm" TargetMode="External" /></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Hp/Desktop/Fertilizer%20Project/Final%20Model/Final%20Reports/New%20Model%20with%20Urea/ABUJA/Final%20Report/NGPIS%20FERTLIZER%20AND%20METHANOL%20UREA%20%20NH%20-Abuja%2027072024-Shared%20with%20Client.xlsm" TargetMode="External" /></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KASSIM%20YAKUBU/Desktop/update%20EGH/Project%20%20Eghudu%20%20%20Financial%20Model%20-with%20charts%2029092021.xlsm" TargetMode="External" /></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kyakubu/Documents/Copy%20of%20Elixir%20FM%20Final%20170913.xlsm" TargetMode="External" /></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OLOPADE/former%20desktop/recovered%20files/Lagos-Ibadan/Lag-Ib%20preliminary%20simulation%20200613.xls" TargetMode="External" /></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Hp/Desktop/OBC%20Financial%20Model/Kuramo%20Financial%20Model%20010316%2012noon22.xlsm" TargetMode="External" /></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Admin/Desktop/Hydropolis/Hydropolis%20%20Financial%20%20Model-16072021kkkkkk.xlsm" TargetMode="External" /></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F:/Kas/TIB/The%20Infrastructure%20Towers%20Financial%20Model%20-%20Final%20151214%20(003).xlsm" TargetMode="External" /></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kyakubu/Desktop/Business%20Plan%20-Guidance%20and%20Counselling-05102021finalk.xlsx" TargetMode="External" /></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Users/tibplc-Project/AppData/Local/Microsoft/Windows/Temporary%20Internet%20Files/Content.Outlook/NXKNSHXU/TIB/Lag-Ib%20Express/Elixir%20FM%20Final.xlsm" TargetMode="External" /></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Users/UDBN%20PLC/AppData/Local/Microsoft/Windows/Temporary%20Internet%20Files/Content.Outlook/0J6TVD89/TIB/Lagos%20Rail%20-%20Red%20Line/Lagos%20Rail%20Model%20-%20300713-3pm.xls" TargetMode="External" /></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Users/Hp/Desktop/Fertilizer%20Project/Fertilizer%20Model-Financial%20Model%2014112021-Final.xlsx" TargetMode="External" /></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Users/Admin/Desktop/Aso-Hills%20-Caraway%20Dallas%20Financial%20Model.xlsm" TargetMode="External" /></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Users/Hp/Downloads/Warri-Effurun%20Project%20FM%20Equity%20IRR%20-120218-no%20tax%20holiday%20(1).xlsm" TargetMode="External" /></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Users/Hp/Desktop/OBC%20Financial%20Model/Final%20FM/Final%20and%20Final/Final/National%20Park%20Service%20(NPS)%20Headquarters%20OBC%2001042024-Final.xlsm" TargetMode="External" /></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d.docs.live.net/Users/roluyede/Desktop/Power%20Things/AL220512%20-%20ENCON%20IPP%20Financial%20Model%20xlsm.xlsm" TargetMode="External" /></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Users/Hp/Desktop/WEIR%20CAPACITY/Hotel%20Project/Gashaka%20Gumti%20Eco-Tourism%20Financial%20Model%2013062024.xlsm" TargetMode="External" /></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Users/kyakubu/Desktop/Aquaculture%20Final%20-%2008062021kkk%20(3).xlsm" TargetMode="External" /></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Users/ofafowora/Documents/Cargo-Agro%20Allied%20Terminal/Financial%20Model/Cargo%20Abuja&amp;Lagos%20Model%20020718.xlsx" TargetMode="External" /></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G:/Copy%20of%20The%20Infrastructure%20Towers%20Financial%20Model%20-%20Final%20September%202015.xlsm" TargetMode="External" /></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Users/kyakubu/Downloads/Aquaculture%20Final%20-%2027042021kkk%20(2).xlsm" TargetMode="External" /></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Users/Admin/Downloads/Aquaculture%20Final%20-17032021k.xlsm" TargetMode="External" /></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Users/Hp/Desktop/BPE/Financial%20Model/GGNP%20Eco-Tourism%20Project%20FinModel%20-%20v2%2018-10-23%20(4).xlsb" TargetMode="External" /></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Users/Hp/Desktop/BPE/BPE/ANI%20DOCS/Gashaka-Gumti/GGNP%20Eco-Tourism%20Project%20FinModel%20-%20v2%2018-10-23%20(1).xlsb" TargetMode="External" /></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H:/WINNT/Profiles/rkendall/Desktop/PPI.XLS" TargetMode="External" /></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C:\Users\Hp\Downloads\ctryprem.xlsx" TargetMode="External" /></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ENTS"/>
      <sheetName val="FINANCIAL STATEMENTS (2)"/>
      <sheetName val="VALUATION (20Years) "/>
      <sheetName val="Comparative Analysis "/>
      <sheetName val="CofCapital"/>
      <sheetName val="otc 1 year "/>
      <sheetName val="CHART ANALYSIS"/>
      <sheetName val="ExpMod (2)"/>
      <sheetName val="OUTPUT SHEET"/>
      <sheetName val="Cost of Capital "/>
      <sheetName val="SCENARIO ANALYSIS"/>
      <sheetName val="ASSUMPTION SHEET"/>
      <sheetName val="Sheet1"/>
      <sheetName val="Project Development Cost "/>
      <sheetName val="Share profit "/>
      <sheetName val="VFM&amp;PSC "/>
      <sheetName val="VALUATION"/>
      <sheetName val="VALUATION (25Years)"/>
      <sheetName val="REVENUE"/>
      <sheetName val="FINANCIAL STATEMENTS"/>
      <sheetName val="Cost of Sales "/>
      <sheetName val="Administration Cost "/>
      <sheetName val="CAPEX"/>
      <sheetName val="DRAWDOWN"/>
      <sheetName val="DEBT"/>
      <sheetName val="HOTEL OVERDRAFT FACILITY"/>
      <sheetName val="Asset Replacement Reserve "/>
      <sheetName val="Apartment Buyers Rev Sharing"/>
      <sheetName val="DEPRECIATION"/>
      <sheetName val="FLAGS"/>
      <sheetName val="PP Model Assumptions "/>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ow r="20">
          <cell r="E20">
            <v>0</v>
          </cell>
        </row>
        <row r="21">
          <cell r="E21">
            <v>0</v>
          </cell>
        </row>
        <row r="22">
          <cell r="E22">
            <v>0</v>
          </cell>
        </row>
        <row r="23">
          <cell r="E23">
            <v>0</v>
          </cell>
        </row>
        <row r="24">
          <cell r="E24">
            <v>0</v>
          </cell>
        </row>
        <row r="26">
          <cell r="E26">
            <v>0</v>
          </cell>
        </row>
        <row r="27">
          <cell r="E27">
            <v>0</v>
          </cell>
        </row>
        <row r="40">
          <cell r="E40">
            <v>0.153963644067797</v>
          </cell>
        </row>
        <row r="45">
          <cell r="G45">
            <v>8.4269093220339097E-2</v>
          </cell>
        </row>
        <row r="46">
          <cell r="G46">
            <v>3.7999999999999999E-2</v>
          </cell>
        </row>
      </sheetData>
      <sheetData sheetId="9" refreshError="1"/>
      <sheetData sheetId="10" refreshError="1"/>
      <sheetData sheetId="11">
        <row r="5">
          <cell r="E5"/>
        </row>
        <row r="6">
          <cell r="E6">
            <v>3879347826.086957</v>
          </cell>
        </row>
        <row r="7">
          <cell r="E7">
            <v>3879347826.086957</v>
          </cell>
        </row>
        <row r="8">
          <cell r="E8">
            <v>6360869565.217392</v>
          </cell>
        </row>
        <row r="9">
          <cell r="E9">
            <v>2289130434.7826085</v>
          </cell>
        </row>
        <row r="10">
          <cell r="E10">
            <v>1526086956.521739</v>
          </cell>
        </row>
        <row r="11">
          <cell r="E11">
            <v>1141304347.826087</v>
          </cell>
        </row>
        <row r="12">
          <cell r="E12">
            <v>870755072.58097827</v>
          </cell>
        </row>
        <row r="13">
          <cell r="E13">
            <v>505281851.37090576</v>
          </cell>
        </row>
        <row r="14">
          <cell r="E14">
            <v>20452123880.473625</v>
          </cell>
        </row>
        <row r="15">
          <cell r="E15">
            <v>1022606194.0236813</v>
          </cell>
        </row>
        <row r="16">
          <cell r="E16">
            <v>1533909291.0355217</v>
          </cell>
        </row>
        <row r="17">
          <cell r="E17">
            <v>2669269529.9661617</v>
          </cell>
        </row>
        <row r="18">
          <cell r="E18">
            <v>25677908895.498993</v>
          </cell>
        </row>
        <row r="38">
          <cell r="E38">
            <v>0.3</v>
          </cell>
          <cell r="F38">
            <v>7703372668.6496973</v>
          </cell>
        </row>
        <row r="39">
          <cell r="E39">
            <v>0.7</v>
          </cell>
          <cell r="F39">
            <v>17974536226.849293</v>
          </cell>
        </row>
        <row r="40">
          <cell r="E40"/>
        </row>
        <row r="44">
          <cell r="E44">
            <v>2026</v>
          </cell>
        </row>
        <row r="45">
          <cell r="E45">
            <v>3</v>
          </cell>
        </row>
        <row r="46">
          <cell r="E46">
            <v>2028</v>
          </cell>
        </row>
        <row r="47">
          <cell r="E47">
            <v>30</v>
          </cell>
        </row>
        <row r="51">
          <cell r="E51"/>
        </row>
        <row r="52">
          <cell r="E52">
            <v>149794.23868312757</v>
          </cell>
        </row>
        <row r="66">
          <cell r="E66">
            <v>20</v>
          </cell>
        </row>
        <row r="67">
          <cell r="E67">
            <v>20</v>
          </cell>
        </row>
        <row r="72">
          <cell r="E72">
            <v>667663.04347826086</v>
          </cell>
        </row>
        <row r="74">
          <cell r="E74">
            <v>0.2</v>
          </cell>
        </row>
        <row r="75">
          <cell r="E75">
            <v>0.5</v>
          </cell>
        </row>
        <row r="76">
          <cell r="E76">
            <v>0.6</v>
          </cell>
        </row>
        <row r="77">
          <cell r="E77">
            <v>2</v>
          </cell>
        </row>
        <row r="78">
          <cell r="E78">
            <v>300</v>
          </cell>
        </row>
        <row r="80">
          <cell r="E80">
            <v>2027</v>
          </cell>
        </row>
        <row r="81">
          <cell r="E81">
            <v>2028</v>
          </cell>
        </row>
        <row r="82">
          <cell r="E82">
            <v>0.1</v>
          </cell>
        </row>
        <row r="88">
          <cell r="E88">
            <v>80</v>
          </cell>
        </row>
        <row r="92">
          <cell r="E92">
            <v>0.2</v>
          </cell>
        </row>
        <row r="93">
          <cell r="E93">
            <v>0.5</v>
          </cell>
        </row>
        <row r="94">
          <cell r="E94">
            <v>0.6</v>
          </cell>
        </row>
        <row r="95">
          <cell r="E95">
            <v>300</v>
          </cell>
        </row>
        <row r="96">
          <cell r="E96">
            <v>2029</v>
          </cell>
        </row>
        <row r="99">
          <cell r="E99">
            <v>220108.69565217389</v>
          </cell>
        </row>
        <row r="100">
          <cell r="E100">
            <v>220108.69565217389</v>
          </cell>
        </row>
        <row r="101">
          <cell r="E101">
            <v>0.15</v>
          </cell>
        </row>
        <row r="102">
          <cell r="E102">
            <v>2</v>
          </cell>
        </row>
        <row r="103">
          <cell r="E103">
            <v>0.1</v>
          </cell>
        </row>
        <row r="109">
          <cell r="E109"/>
        </row>
        <row r="131">
          <cell r="E131">
            <v>1500</v>
          </cell>
        </row>
        <row r="132">
          <cell r="E132">
            <v>0.09</v>
          </cell>
        </row>
        <row r="133">
          <cell r="E133">
            <v>0.32</v>
          </cell>
        </row>
        <row r="135">
          <cell r="E135">
            <v>5</v>
          </cell>
        </row>
        <row r="141">
          <cell r="E141">
            <v>0.02</v>
          </cell>
        </row>
        <row r="142">
          <cell r="E142">
            <v>0.05</v>
          </cell>
        </row>
        <row r="145">
          <cell r="E145">
            <v>0.1</v>
          </cell>
        </row>
        <row r="150">
          <cell r="E150">
            <v>20</v>
          </cell>
        </row>
        <row r="151">
          <cell r="E151">
            <v>5</v>
          </cell>
        </row>
        <row r="152">
          <cell r="E152">
            <v>5</v>
          </cell>
        </row>
        <row r="153">
          <cell r="E153">
            <v>5</v>
          </cell>
        </row>
        <row r="154">
          <cell r="E154">
            <v>0</v>
          </cell>
        </row>
        <row r="155">
          <cell r="E155">
            <v>0</v>
          </cell>
        </row>
        <row r="157">
          <cell r="E157">
            <v>0</v>
          </cell>
        </row>
        <row r="181">
          <cell r="E181">
            <v>0.01</v>
          </cell>
        </row>
        <row r="182">
          <cell r="E182">
            <v>0.05</v>
          </cell>
        </row>
        <row r="184">
          <cell r="E184">
            <v>30000</v>
          </cell>
        </row>
        <row r="185">
          <cell r="E185">
            <v>7.0000000000000007E-2</v>
          </cell>
        </row>
        <row r="193">
          <cell r="E193">
            <v>0.08</v>
          </cell>
        </row>
        <row r="194">
          <cell r="E194">
            <v>0</v>
          </cell>
        </row>
        <row r="195">
          <cell r="E195">
            <v>0.08</v>
          </cell>
        </row>
        <row r="196">
          <cell r="E196">
            <v>10</v>
          </cell>
        </row>
        <row r="197">
          <cell r="E197">
            <v>3</v>
          </cell>
        </row>
        <row r="198">
          <cell r="E198">
            <v>7</v>
          </cell>
        </row>
        <row r="199">
          <cell r="E199">
            <v>2</v>
          </cell>
        </row>
        <row r="200">
          <cell r="E200">
            <v>14</v>
          </cell>
        </row>
        <row r="201">
          <cell r="E201">
            <v>17974536226.849293</v>
          </cell>
        </row>
        <row r="202">
          <cell r="E202">
            <v>1.4999999999999999E-2</v>
          </cell>
        </row>
        <row r="203">
          <cell r="E203">
            <v>0.01</v>
          </cell>
        </row>
        <row r="204">
          <cell r="E204">
            <v>2</v>
          </cell>
        </row>
        <row r="205">
          <cell r="E205">
            <v>3</v>
          </cell>
        </row>
        <row r="206">
          <cell r="E206">
            <v>0</v>
          </cell>
        </row>
        <row r="210">
          <cell r="E210">
            <v>0.1875</v>
          </cell>
        </row>
        <row r="211">
          <cell r="E211">
            <v>0.08</v>
          </cell>
        </row>
        <row r="212">
          <cell r="E212">
            <v>0.26750000000000002</v>
          </cell>
        </row>
        <row r="213">
          <cell r="E213">
            <v>10</v>
          </cell>
        </row>
        <row r="214">
          <cell r="E214">
            <v>2</v>
          </cell>
        </row>
        <row r="215">
          <cell r="E215">
            <v>8</v>
          </cell>
        </row>
        <row r="216">
          <cell r="E216">
            <v>2</v>
          </cell>
        </row>
        <row r="217">
          <cell r="E217">
            <v>16</v>
          </cell>
        </row>
        <row r="218">
          <cell r="E218">
            <v>0</v>
          </cell>
        </row>
        <row r="219">
          <cell r="E219">
            <v>0.01</v>
          </cell>
        </row>
        <row r="220">
          <cell r="E220">
            <v>0.01</v>
          </cell>
        </row>
        <row r="223">
          <cell r="E223">
            <v>0</v>
          </cell>
        </row>
        <row r="227">
          <cell r="E227">
            <v>17974536226.849293</v>
          </cell>
        </row>
        <row r="228">
          <cell r="E228">
            <v>0.02</v>
          </cell>
        </row>
        <row r="230">
          <cell r="E230">
            <v>0.25</v>
          </cell>
        </row>
        <row r="232">
          <cell r="E232">
            <v>2031</v>
          </cell>
        </row>
        <row r="233">
          <cell r="E233">
            <v>0.1875</v>
          </cell>
        </row>
        <row r="234">
          <cell r="E234">
            <v>0.03</v>
          </cell>
        </row>
        <row r="235">
          <cell r="E235">
            <v>0.2175</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5"/>
      <sheetName val="Chart Analysis"/>
      <sheetName val="Economic Impact Analysis"/>
      <sheetName val="Ecomomic Analysis "/>
      <sheetName val="Output"/>
      <sheetName val="PSC "/>
      <sheetName val="Assumption Sheet"/>
      <sheetName val="Payback"/>
      <sheetName val="Financial Statements"/>
      <sheetName val="Guaranteed Revenue to FCTWB "/>
      <sheetName val="NUGUS fx"/>
      <sheetName val="Capex"/>
      <sheetName val="Drawdown"/>
      <sheetName val="Opex Sheet "/>
      <sheetName val="Debt"/>
      <sheetName val="Meter Sales "/>
      <sheetName val="Depreciation"/>
      <sheetName val="Flags"/>
      <sheetName val="Capital Expenditure 1"/>
      <sheetName val="Production "/>
      <sheetName val="Revenue Sheet"/>
      <sheetName val="Meter Analysis "/>
      <sheetName val="Standby Liq Facility Cash Backg"/>
      <sheetName val="Valuation"/>
      <sheetName val="Sheet1"/>
    </sheetNames>
    <sheetDataSet>
      <sheetData sheetId="0"/>
      <sheetData sheetId="1"/>
      <sheetData sheetId="2"/>
      <sheetData sheetId="3"/>
      <sheetData sheetId="4">
        <row r="14">
          <cell r="E14">
            <v>0.25</v>
          </cell>
        </row>
        <row r="28">
          <cell r="E28">
            <v>0.1</v>
          </cell>
        </row>
        <row r="29">
          <cell r="E29">
            <v>0</v>
          </cell>
        </row>
        <row r="30">
          <cell r="E30">
            <v>0.32</v>
          </cell>
        </row>
        <row r="31">
          <cell r="E31">
            <v>0.25</v>
          </cell>
        </row>
        <row r="33">
          <cell r="E33">
            <v>0</v>
          </cell>
        </row>
        <row r="34">
          <cell r="E34">
            <v>0.8</v>
          </cell>
        </row>
        <row r="36">
          <cell r="E36">
            <v>411</v>
          </cell>
        </row>
        <row r="39">
          <cell r="E39">
            <v>0.3447122154879374</v>
          </cell>
        </row>
      </sheetData>
      <sheetData sheetId="5"/>
      <sheetData sheetId="6">
        <row r="45">
          <cell r="E45">
            <v>15000</v>
          </cell>
        </row>
        <row r="46">
          <cell r="E46">
            <v>245700</v>
          </cell>
        </row>
        <row r="47">
          <cell r="E47">
            <v>3685500000</v>
          </cell>
        </row>
        <row r="51">
          <cell r="E51">
            <v>4376250000</v>
          </cell>
        </row>
        <row r="53">
          <cell r="E53">
            <v>0</v>
          </cell>
        </row>
        <row r="54">
          <cell r="E54">
            <v>245700</v>
          </cell>
        </row>
        <row r="57">
          <cell r="E57">
            <v>0</v>
          </cell>
        </row>
        <row r="59">
          <cell r="E59">
            <v>4376250000</v>
          </cell>
        </row>
        <row r="60">
          <cell r="E60">
            <v>94500000</v>
          </cell>
        </row>
        <row r="61">
          <cell r="E61">
            <v>75600000</v>
          </cell>
        </row>
        <row r="62">
          <cell r="E62">
            <v>252000000</v>
          </cell>
        </row>
        <row r="63">
          <cell r="E63">
            <v>83700000</v>
          </cell>
        </row>
        <row r="67">
          <cell r="E67">
            <v>94500000</v>
          </cell>
        </row>
        <row r="68">
          <cell r="E68">
            <v>673200000</v>
          </cell>
        </row>
        <row r="70">
          <cell r="E70">
            <v>5471550000</v>
          </cell>
        </row>
        <row r="71">
          <cell r="E71">
            <v>311014756.3712486</v>
          </cell>
        </row>
        <row r="72">
          <cell r="E72">
            <v>5782564756.3712482</v>
          </cell>
        </row>
        <row r="77">
          <cell r="E77">
            <v>0.24319913664983445</v>
          </cell>
        </row>
        <row r="80">
          <cell r="E80" t="str">
            <v>NO</v>
          </cell>
        </row>
        <row r="83">
          <cell r="E83">
            <v>365</v>
          </cell>
        </row>
        <row r="84">
          <cell r="E84">
            <v>2023</v>
          </cell>
        </row>
        <row r="85">
          <cell r="E85">
            <v>15</v>
          </cell>
        </row>
        <row r="86">
          <cell r="E86">
            <v>180</v>
          </cell>
        </row>
        <row r="87">
          <cell r="E87">
            <v>2037</v>
          </cell>
        </row>
        <row r="88">
          <cell r="E88">
            <v>1</v>
          </cell>
        </row>
        <row r="89">
          <cell r="E89">
            <v>3</v>
          </cell>
        </row>
        <row r="91">
          <cell r="E91">
            <v>177</v>
          </cell>
        </row>
        <row r="93">
          <cell r="E93">
            <v>4</v>
          </cell>
        </row>
        <row r="96">
          <cell r="E96">
            <v>411</v>
          </cell>
        </row>
        <row r="97">
          <cell r="E97">
            <v>580</v>
          </cell>
        </row>
        <row r="98">
          <cell r="E98">
            <v>450</v>
          </cell>
        </row>
        <row r="99">
          <cell r="E99">
            <v>450</v>
          </cell>
        </row>
        <row r="102">
          <cell r="E102">
            <v>3</v>
          </cell>
        </row>
        <row r="106">
          <cell r="E106">
            <v>0.09</v>
          </cell>
        </row>
        <row r="110">
          <cell r="E110">
            <v>150</v>
          </cell>
        </row>
        <row r="111">
          <cell r="E111">
            <v>5</v>
          </cell>
        </row>
        <row r="112">
          <cell r="E112">
            <v>0.25</v>
          </cell>
        </row>
        <row r="113">
          <cell r="E113">
            <v>0.9</v>
          </cell>
        </row>
        <row r="114">
          <cell r="E114">
            <v>9.9999999999999978E-2</v>
          </cell>
        </row>
        <row r="122">
          <cell r="E122">
            <v>15000</v>
          </cell>
        </row>
        <row r="123">
          <cell r="E123">
            <v>30000</v>
          </cell>
        </row>
        <row r="124">
          <cell r="E124">
            <v>30000</v>
          </cell>
        </row>
        <row r="125">
          <cell r="E125">
            <v>30000</v>
          </cell>
        </row>
        <row r="126">
          <cell r="E126">
            <v>30000</v>
          </cell>
        </row>
        <row r="127">
          <cell r="E127">
            <v>45000</v>
          </cell>
        </row>
        <row r="128">
          <cell r="E128">
            <v>45000</v>
          </cell>
        </row>
        <row r="129">
          <cell r="E129">
            <v>45000</v>
          </cell>
        </row>
        <row r="130">
          <cell r="E130">
            <v>60000</v>
          </cell>
        </row>
        <row r="131">
          <cell r="E131">
            <v>60000</v>
          </cell>
        </row>
        <row r="132">
          <cell r="E132">
            <v>60000</v>
          </cell>
        </row>
        <row r="140">
          <cell r="E140">
            <v>10</v>
          </cell>
        </row>
        <row r="144">
          <cell r="E144">
            <v>0.01</v>
          </cell>
        </row>
        <row r="145">
          <cell r="E145">
            <v>1.4999999999999999E-2</v>
          </cell>
        </row>
        <row r="146">
          <cell r="E146">
            <v>0.02</v>
          </cell>
        </row>
        <row r="158">
          <cell r="E158">
            <v>546</v>
          </cell>
        </row>
        <row r="159">
          <cell r="E159">
            <v>245700</v>
          </cell>
        </row>
        <row r="160">
          <cell r="E160">
            <v>0.3</v>
          </cell>
        </row>
        <row r="161">
          <cell r="E161">
            <v>0.2</v>
          </cell>
        </row>
        <row r="162">
          <cell r="E162">
            <v>0.3</v>
          </cell>
        </row>
        <row r="163">
          <cell r="E163">
            <v>0.1</v>
          </cell>
        </row>
        <row r="164">
          <cell r="E164">
            <v>0.1</v>
          </cell>
        </row>
        <row r="168">
          <cell r="E168">
            <v>0.8</v>
          </cell>
        </row>
        <row r="169">
          <cell r="E169">
            <v>0.19999999999999996</v>
          </cell>
        </row>
        <row r="173">
          <cell r="E173">
            <v>0.5</v>
          </cell>
        </row>
        <row r="174">
          <cell r="E174">
            <v>0.5</v>
          </cell>
        </row>
        <row r="181">
          <cell r="E181">
            <v>1395</v>
          </cell>
        </row>
        <row r="182">
          <cell r="E182">
            <v>3150</v>
          </cell>
        </row>
        <row r="183">
          <cell r="E183">
            <v>5100</v>
          </cell>
        </row>
        <row r="184">
          <cell r="E184">
            <v>1575</v>
          </cell>
        </row>
        <row r="194">
          <cell r="E194">
            <v>368.55</v>
          </cell>
        </row>
        <row r="195">
          <cell r="E195">
            <v>165847.5</v>
          </cell>
        </row>
        <row r="201">
          <cell r="E201">
            <v>3500000</v>
          </cell>
        </row>
        <row r="203">
          <cell r="E203">
            <v>10</v>
          </cell>
        </row>
        <row r="204">
          <cell r="E204">
            <v>350000</v>
          </cell>
        </row>
        <row r="206">
          <cell r="E206">
            <v>875000000</v>
          </cell>
        </row>
        <row r="207">
          <cell r="E207">
            <v>250</v>
          </cell>
        </row>
        <row r="222">
          <cell r="E222">
            <v>0.05</v>
          </cell>
        </row>
        <row r="226">
          <cell r="E226">
            <v>8000</v>
          </cell>
        </row>
        <row r="228">
          <cell r="E228">
            <v>20000</v>
          </cell>
        </row>
        <row r="231">
          <cell r="E231">
            <v>0.8</v>
          </cell>
        </row>
        <row r="232">
          <cell r="E232">
            <v>207360000</v>
          </cell>
        </row>
        <row r="247">
          <cell r="E247">
            <v>0.115</v>
          </cell>
        </row>
        <row r="252">
          <cell r="E252">
            <v>8</v>
          </cell>
        </row>
        <row r="253">
          <cell r="E253">
            <v>2</v>
          </cell>
        </row>
        <row r="254">
          <cell r="E254">
            <v>16</v>
          </cell>
        </row>
        <row r="256">
          <cell r="E256">
            <v>5.0000000000000001E-3</v>
          </cell>
        </row>
        <row r="258">
          <cell r="E258">
            <v>2</v>
          </cell>
        </row>
        <row r="284">
          <cell r="E284">
            <v>50</v>
          </cell>
        </row>
        <row r="285">
          <cell r="E285">
            <v>50</v>
          </cell>
        </row>
        <row r="287">
          <cell r="E287">
            <v>5</v>
          </cell>
        </row>
        <row r="288">
          <cell r="E288">
            <v>0</v>
          </cell>
        </row>
        <row r="289">
          <cell r="E289">
            <v>0</v>
          </cell>
        </row>
        <row r="290">
          <cell r="E290">
            <v>0</v>
          </cell>
        </row>
        <row r="308">
          <cell r="E308">
            <v>0.1</v>
          </cell>
        </row>
        <row r="309">
          <cell r="E309">
            <v>-5.7142857142857147E-4</v>
          </cell>
        </row>
        <row r="310">
          <cell r="E310">
            <v>0.05</v>
          </cell>
        </row>
        <row r="311">
          <cell r="E311">
            <v>88.5</v>
          </cell>
        </row>
        <row r="312">
          <cell r="E312">
            <v>0.01</v>
          </cell>
        </row>
        <row r="313">
          <cell r="E313">
            <v>0.15</v>
          </cell>
        </row>
        <row r="317">
          <cell r="E317">
            <v>80</v>
          </cell>
        </row>
        <row r="320">
          <cell r="E320">
            <v>80</v>
          </cell>
        </row>
        <row r="324">
          <cell r="E324">
            <v>0.25</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102">
          <cell r="C102">
            <v>35268781361.629974</v>
          </cell>
        </row>
      </sheetData>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fCapital"/>
      <sheetName val="CONTENTS"/>
      <sheetName val="Cargo throughput"/>
      <sheetName val="CHART ANALYSIS"/>
      <sheetName val="OUTPUT SHEET"/>
      <sheetName val="SCENARIO ANALYSIS"/>
      <sheetName val="VFM&amp;PSC "/>
      <sheetName val="ASSUMPTION SHEET"/>
      <sheetName val="VALUATION"/>
      <sheetName val="FINANCIAL STATEMENTS"/>
      <sheetName val="CAPEX"/>
      <sheetName val="DRAWDOWN"/>
      <sheetName val="DEBT"/>
      <sheetName val="REVENUE&amp;OPEX"/>
      <sheetName val="Construction Cost "/>
      <sheetName val="DEPRECIATION"/>
      <sheetName val="FLAGS"/>
    </sheetNames>
    <sheetDataSet>
      <sheetData sheetId="0" refreshError="1"/>
      <sheetData sheetId="1" refreshError="1"/>
      <sheetData sheetId="2" refreshError="1"/>
      <sheetData sheetId="3" refreshError="1"/>
      <sheetData sheetId="4">
        <row r="43">
          <cell r="E43">
            <v>0</v>
          </cell>
        </row>
        <row r="49">
          <cell r="E49">
            <v>0</v>
          </cell>
        </row>
        <row r="50">
          <cell r="E50">
            <v>0</v>
          </cell>
        </row>
        <row r="51">
          <cell r="E51">
            <v>0</v>
          </cell>
        </row>
        <row r="52">
          <cell r="E52">
            <v>0</v>
          </cell>
        </row>
        <row r="53">
          <cell r="E53">
            <v>0</v>
          </cell>
        </row>
      </sheetData>
      <sheetData sheetId="5" refreshError="1"/>
      <sheetData sheetId="6" refreshError="1"/>
      <sheetData sheetId="7">
        <row r="4">
          <cell r="E4" t="str">
            <v>Rangers</v>
          </cell>
        </row>
        <row r="7">
          <cell r="E7">
            <v>168912836.527125</v>
          </cell>
        </row>
        <row r="8">
          <cell r="E8">
            <v>101347701.91627499</v>
          </cell>
        </row>
        <row r="9">
          <cell r="E9">
            <v>67565134.610850006</v>
          </cell>
        </row>
        <row r="27">
          <cell r="E27">
            <v>24</v>
          </cell>
        </row>
        <row r="29">
          <cell r="E29">
            <v>30</v>
          </cell>
        </row>
        <row r="30">
          <cell r="E30">
            <v>2027</v>
          </cell>
        </row>
        <row r="40">
          <cell r="E40">
            <v>2027</v>
          </cell>
        </row>
        <row r="41">
          <cell r="E41">
            <v>150</v>
          </cell>
        </row>
        <row r="42">
          <cell r="E42">
            <v>4</v>
          </cell>
        </row>
        <row r="43">
          <cell r="E43">
            <v>0.5</v>
          </cell>
        </row>
        <row r="44">
          <cell r="E44">
            <v>0.05</v>
          </cell>
        </row>
        <row r="45">
          <cell r="E45">
            <v>0.8</v>
          </cell>
        </row>
        <row r="46">
          <cell r="E46">
            <v>0.12</v>
          </cell>
        </row>
        <row r="62">
          <cell r="E62">
            <v>300000</v>
          </cell>
        </row>
        <row r="64">
          <cell r="E64">
            <v>0.01</v>
          </cell>
        </row>
        <row r="65">
          <cell r="E65">
            <v>0.05</v>
          </cell>
        </row>
        <row r="66">
          <cell r="E66">
            <v>0.05</v>
          </cell>
        </row>
        <row r="71">
          <cell r="G71">
            <v>20</v>
          </cell>
          <cell r="H71">
            <v>5000</v>
          </cell>
        </row>
        <row r="72">
          <cell r="G72">
            <v>60</v>
          </cell>
          <cell r="H72">
            <v>2500</v>
          </cell>
        </row>
        <row r="73">
          <cell r="G73">
            <v>120</v>
          </cell>
          <cell r="H73">
            <v>1500</v>
          </cell>
        </row>
        <row r="76">
          <cell r="E76">
            <v>2</v>
          </cell>
        </row>
        <row r="77">
          <cell r="E77">
            <v>360</v>
          </cell>
        </row>
        <row r="78">
          <cell r="E78">
            <v>0.05</v>
          </cell>
        </row>
        <row r="80">
          <cell r="E80">
            <v>2027</v>
          </cell>
        </row>
        <row r="81">
          <cell r="E81">
            <v>0.3</v>
          </cell>
        </row>
        <row r="82">
          <cell r="E82">
            <v>0.05</v>
          </cell>
        </row>
        <row r="85">
          <cell r="E85">
            <v>0.03</v>
          </cell>
        </row>
        <row r="86">
          <cell r="E86">
            <v>0.05</v>
          </cell>
        </row>
        <row r="87">
          <cell r="E87">
            <v>0.05</v>
          </cell>
        </row>
        <row r="94">
          <cell r="E94">
            <v>2026</v>
          </cell>
        </row>
        <row r="95">
          <cell r="E95">
            <v>10</v>
          </cell>
        </row>
        <row r="96">
          <cell r="E96">
            <v>30</v>
          </cell>
        </row>
        <row r="97">
          <cell r="E97">
            <v>1000</v>
          </cell>
        </row>
        <row r="98">
          <cell r="E98">
            <v>2500</v>
          </cell>
        </row>
        <row r="102">
          <cell r="E102">
            <v>260</v>
          </cell>
        </row>
        <row r="104">
          <cell r="E104">
            <v>364</v>
          </cell>
        </row>
        <row r="106">
          <cell r="E106">
            <v>50</v>
          </cell>
        </row>
        <row r="107">
          <cell r="E107">
            <v>400</v>
          </cell>
        </row>
        <row r="108">
          <cell r="E108">
            <v>0.05</v>
          </cell>
        </row>
        <row r="110">
          <cell r="E110">
            <v>0.12</v>
          </cell>
        </row>
        <row r="111">
          <cell r="E111">
            <v>2</v>
          </cell>
        </row>
        <row r="113">
          <cell r="E113">
            <v>0.01</v>
          </cell>
        </row>
        <row r="114">
          <cell r="E114">
            <v>0.03</v>
          </cell>
        </row>
        <row r="115">
          <cell r="E115">
            <v>0.1</v>
          </cell>
        </row>
        <row r="116">
          <cell r="E116">
            <v>0.05</v>
          </cell>
        </row>
        <row r="117">
          <cell r="E117">
            <v>0.05</v>
          </cell>
        </row>
        <row r="118">
          <cell r="E118">
            <v>0.05</v>
          </cell>
        </row>
        <row r="122">
          <cell r="E122">
            <v>2026</v>
          </cell>
        </row>
        <row r="123">
          <cell r="E123">
            <v>10</v>
          </cell>
        </row>
        <row r="124">
          <cell r="E124">
            <v>5</v>
          </cell>
        </row>
        <row r="126">
          <cell r="E126">
            <v>5000</v>
          </cell>
        </row>
        <row r="127">
          <cell r="E127">
            <v>10000</v>
          </cell>
        </row>
        <row r="128">
          <cell r="E128">
            <v>2</v>
          </cell>
        </row>
        <row r="129">
          <cell r="E129">
            <v>360</v>
          </cell>
        </row>
        <row r="130">
          <cell r="E130">
            <v>0.15</v>
          </cell>
        </row>
        <row r="132">
          <cell r="E132">
            <v>0.6</v>
          </cell>
        </row>
        <row r="133">
          <cell r="E133">
            <v>0.05</v>
          </cell>
        </row>
        <row r="134">
          <cell r="E134">
            <v>0.8</v>
          </cell>
        </row>
        <row r="137">
          <cell r="E137">
            <v>0.05</v>
          </cell>
        </row>
        <row r="138">
          <cell r="E138">
            <v>0.05</v>
          </cell>
        </row>
        <row r="139">
          <cell r="E139">
            <v>0.03</v>
          </cell>
        </row>
        <row r="140">
          <cell r="E140">
            <v>0.05</v>
          </cell>
        </row>
        <row r="141">
          <cell r="E141">
            <v>0.02</v>
          </cell>
        </row>
        <row r="142">
          <cell r="E142">
            <v>0.03</v>
          </cell>
        </row>
        <row r="143">
          <cell r="E143">
            <v>0.02</v>
          </cell>
        </row>
        <row r="147">
          <cell r="E147">
            <v>0.01</v>
          </cell>
        </row>
        <row r="149">
          <cell r="E149">
            <v>0.02</v>
          </cell>
        </row>
        <row r="165">
          <cell r="E165">
            <v>0.12</v>
          </cell>
        </row>
        <row r="179">
          <cell r="I179">
            <v>0</v>
          </cell>
        </row>
        <row r="182">
          <cell r="I182">
            <v>0</v>
          </cell>
        </row>
      </sheetData>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SC "/>
      <sheetName val="CONTENTS"/>
      <sheetName val="Cargo throughput"/>
      <sheetName val="CHART ANALYSIS"/>
      <sheetName val="OUTPUT SHEET"/>
      <sheetName val="SCENARIO ANALYSIS"/>
      <sheetName val="ASSUMPTION SHEET"/>
      <sheetName val="VALUATION"/>
      <sheetName val="FINANCIAL STATEMENTS"/>
      <sheetName val="CAPEX"/>
      <sheetName val="DRAWDOWN"/>
      <sheetName val="DEBT"/>
      <sheetName val="REVENUE&amp;OPEX"/>
      <sheetName val="Construction Cost "/>
      <sheetName val="DEPRECIATION"/>
      <sheetName val="FLAGS"/>
    </sheetNames>
    <sheetDataSet>
      <sheetData sheetId="0" refreshError="1"/>
      <sheetData sheetId="1" refreshError="1"/>
      <sheetData sheetId="2" refreshError="1"/>
      <sheetData sheetId="3" refreshError="1"/>
      <sheetData sheetId="4">
        <row r="18">
          <cell r="E18">
            <v>0</v>
          </cell>
        </row>
        <row r="19">
          <cell r="E19">
            <v>0</v>
          </cell>
        </row>
        <row r="20">
          <cell r="E20">
            <v>0</v>
          </cell>
        </row>
        <row r="21">
          <cell r="E21">
            <v>0</v>
          </cell>
        </row>
        <row r="22">
          <cell r="E22">
            <v>0</v>
          </cell>
        </row>
        <row r="36">
          <cell r="E36">
            <v>0.2</v>
          </cell>
        </row>
        <row r="41">
          <cell r="G41">
            <v>3.7999999999999999E-2</v>
          </cell>
        </row>
      </sheetData>
      <sheetData sheetId="5" refreshError="1"/>
      <sheetData sheetId="6">
        <row r="4">
          <cell r="E4" t="str">
            <v>Hostel</v>
          </cell>
        </row>
        <row r="7">
          <cell r="E7">
            <v>27471789.050000001</v>
          </cell>
        </row>
        <row r="8">
          <cell r="E8">
            <v>16483073.43</v>
          </cell>
        </row>
        <row r="10">
          <cell r="E10">
            <v>54943578.100000009</v>
          </cell>
        </row>
        <row r="11">
          <cell r="E11"/>
        </row>
        <row r="12">
          <cell r="E12">
            <v>54943578.100000009</v>
          </cell>
        </row>
        <row r="18">
          <cell r="E18">
            <v>0.3</v>
          </cell>
          <cell r="F18">
            <v>16483073.430000002</v>
          </cell>
        </row>
        <row r="19">
          <cell r="E19">
            <v>0.7</v>
          </cell>
          <cell r="F19">
            <v>38460504.670000002</v>
          </cell>
        </row>
        <row r="24">
          <cell r="E24">
            <v>2024</v>
          </cell>
        </row>
        <row r="25">
          <cell r="E25">
            <v>2</v>
          </cell>
        </row>
        <row r="27">
          <cell r="E27">
            <v>24</v>
          </cell>
        </row>
        <row r="28">
          <cell r="E28">
            <v>2025</v>
          </cell>
        </row>
        <row r="29">
          <cell r="E29">
            <v>30</v>
          </cell>
        </row>
        <row r="30">
          <cell r="E30">
            <v>2026</v>
          </cell>
        </row>
        <row r="31">
          <cell r="E31"/>
        </row>
        <row r="42">
          <cell r="E42">
            <v>2026</v>
          </cell>
        </row>
        <row r="43">
          <cell r="E43">
            <v>150</v>
          </cell>
        </row>
        <row r="44">
          <cell r="E44">
            <v>4</v>
          </cell>
        </row>
        <row r="45">
          <cell r="E45">
            <v>0.5</v>
          </cell>
        </row>
        <row r="46">
          <cell r="E46">
            <v>0.05</v>
          </cell>
        </row>
        <row r="47">
          <cell r="E47">
            <v>0.8</v>
          </cell>
        </row>
        <row r="48">
          <cell r="E48">
            <v>0.12</v>
          </cell>
        </row>
        <row r="64">
          <cell r="E64">
            <v>300000</v>
          </cell>
        </row>
        <row r="66">
          <cell r="E66">
            <v>0.01</v>
          </cell>
        </row>
        <row r="69">
          <cell r="E69">
            <v>0.05</v>
          </cell>
        </row>
        <row r="70">
          <cell r="E70"/>
        </row>
        <row r="76">
          <cell r="G76">
            <v>20</v>
          </cell>
          <cell r="H76">
            <v>5000</v>
          </cell>
        </row>
        <row r="77">
          <cell r="G77">
            <v>60</v>
          </cell>
          <cell r="H77">
            <v>2500</v>
          </cell>
        </row>
        <row r="78">
          <cell r="G78">
            <v>120</v>
          </cell>
          <cell r="H78">
            <v>1500</v>
          </cell>
        </row>
        <row r="81">
          <cell r="E81">
            <v>2</v>
          </cell>
        </row>
        <row r="82">
          <cell r="E82">
            <v>360</v>
          </cell>
        </row>
        <row r="83">
          <cell r="E83">
            <v>0.05</v>
          </cell>
        </row>
        <row r="85">
          <cell r="E85">
            <v>2026</v>
          </cell>
        </row>
        <row r="86">
          <cell r="E86">
            <v>0.4</v>
          </cell>
        </row>
        <row r="87">
          <cell r="E87">
            <v>0.05</v>
          </cell>
        </row>
        <row r="88">
          <cell r="E88">
            <v>0.6</v>
          </cell>
        </row>
        <row r="90">
          <cell r="E90">
            <v>0.03</v>
          </cell>
        </row>
        <row r="91">
          <cell r="E91">
            <v>0.05</v>
          </cell>
        </row>
        <row r="92">
          <cell r="E92">
            <v>0.05</v>
          </cell>
        </row>
        <row r="93">
          <cell r="E93">
            <v>0.01</v>
          </cell>
        </row>
        <row r="99">
          <cell r="E99">
            <v>2025</v>
          </cell>
        </row>
        <row r="100">
          <cell r="E100">
            <v>10</v>
          </cell>
        </row>
        <row r="101">
          <cell r="E101">
            <v>50</v>
          </cell>
        </row>
        <row r="102">
          <cell r="E102">
            <v>1000</v>
          </cell>
        </row>
        <row r="103">
          <cell r="E103">
            <v>5000</v>
          </cell>
        </row>
        <row r="107">
          <cell r="E107">
            <v>260</v>
          </cell>
        </row>
        <row r="109">
          <cell r="E109">
            <v>364</v>
          </cell>
        </row>
        <row r="111">
          <cell r="E111">
            <v>50</v>
          </cell>
        </row>
        <row r="112">
          <cell r="E112">
            <v>400</v>
          </cell>
        </row>
        <row r="113">
          <cell r="E113">
            <v>0.05</v>
          </cell>
        </row>
        <row r="115">
          <cell r="E115">
            <v>0.12</v>
          </cell>
        </row>
        <row r="116">
          <cell r="E116">
            <v>2</v>
          </cell>
        </row>
        <row r="118">
          <cell r="E118">
            <v>0.01</v>
          </cell>
        </row>
        <row r="119">
          <cell r="E119">
            <v>0.03</v>
          </cell>
        </row>
        <row r="120">
          <cell r="E120">
            <v>0.1</v>
          </cell>
        </row>
        <row r="121">
          <cell r="E121">
            <v>0.05</v>
          </cell>
        </row>
        <row r="122">
          <cell r="E122">
            <v>0.05</v>
          </cell>
        </row>
        <row r="123">
          <cell r="E123">
            <v>0.05</v>
          </cell>
        </row>
        <row r="127">
          <cell r="E127">
            <v>2025</v>
          </cell>
        </row>
        <row r="128">
          <cell r="E128">
            <v>10</v>
          </cell>
        </row>
        <row r="129">
          <cell r="E129">
            <v>5</v>
          </cell>
        </row>
        <row r="131">
          <cell r="E131">
            <v>2000</v>
          </cell>
        </row>
        <row r="132">
          <cell r="E132">
            <v>5000</v>
          </cell>
        </row>
        <row r="133">
          <cell r="E133">
            <v>2</v>
          </cell>
        </row>
        <row r="134">
          <cell r="E134">
            <v>360</v>
          </cell>
        </row>
        <row r="135">
          <cell r="E135">
            <v>0.05</v>
          </cell>
        </row>
        <row r="137">
          <cell r="E137">
            <v>0.45</v>
          </cell>
        </row>
        <row r="138">
          <cell r="E138">
            <v>0.05</v>
          </cell>
        </row>
        <row r="139">
          <cell r="E139">
            <v>0.8</v>
          </cell>
        </row>
        <row r="142">
          <cell r="E142">
            <v>0.05</v>
          </cell>
        </row>
        <row r="143">
          <cell r="E143">
            <v>0.05</v>
          </cell>
        </row>
        <row r="144">
          <cell r="E144">
            <v>0.02</v>
          </cell>
        </row>
        <row r="145">
          <cell r="E145">
            <v>7.0000000000000007E-2</v>
          </cell>
        </row>
        <row r="146">
          <cell r="E146">
            <v>0.05</v>
          </cell>
        </row>
        <row r="147">
          <cell r="E147">
            <v>0.03</v>
          </cell>
        </row>
        <row r="148">
          <cell r="E148">
            <v>0.05</v>
          </cell>
        </row>
        <row r="152">
          <cell r="E152">
            <v>0.01</v>
          </cell>
        </row>
        <row r="155">
          <cell r="E155">
            <v>0.02</v>
          </cell>
        </row>
        <row r="159">
          <cell r="G159">
            <v>12</v>
          </cell>
        </row>
        <row r="192">
          <cell r="E192">
            <v>1200</v>
          </cell>
        </row>
        <row r="194">
          <cell r="E194">
            <v>0.32</v>
          </cell>
        </row>
        <row r="199">
          <cell r="E199">
            <v>0.02</v>
          </cell>
        </row>
        <row r="202">
          <cell r="E202">
            <v>0.16</v>
          </cell>
        </row>
        <row r="203">
          <cell r="E203">
            <v>0.12</v>
          </cell>
        </row>
        <row r="206">
          <cell r="E206">
            <v>50</v>
          </cell>
        </row>
        <row r="207">
          <cell r="E207">
            <v>30</v>
          </cell>
        </row>
        <row r="208">
          <cell r="E208">
            <v>30</v>
          </cell>
        </row>
        <row r="214">
          <cell r="I214">
            <v>0</v>
          </cell>
        </row>
        <row r="217">
          <cell r="I217">
            <v>0</v>
          </cell>
        </row>
        <row r="220">
          <cell r="I220">
            <v>0</v>
          </cell>
        </row>
        <row r="230">
          <cell r="E230">
            <v>0.15</v>
          </cell>
        </row>
        <row r="231">
          <cell r="E231">
            <v>0.09</v>
          </cell>
        </row>
        <row r="232">
          <cell r="E232">
            <v>0.24</v>
          </cell>
        </row>
        <row r="233">
          <cell r="E233">
            <v>10</v>
          </cell>
        </row>
        <row r="234">
          <cell r="E234">
            <v>3</v>
          </cell>
        </row>
        <row r="235">
          <cell r="E235">
            <v>7</v>
          </cell>
        </row>
        <row r="236">
          <cell r="E236">
            <v>2</v>
          </cell>
        </row>
        <row r="237">
          <cell r="E237">
            <v>14</v>
          </cell>
        </row>
        <row r="238">
          <cell r="E238">
            <v>38460504.670000002</v>
          </cell>
        </row>
        <row r="239">
          <cell r="E239">
            <v>1.4999999999999999E-2</v>
          </cell>
        </row>
        <row r="240">
          <cell r="E240">
            <v>0.01</v>
          </cell>
        </row>
        <row r="241">
          <cell r="E241">
            <v>2</v>
          </cell>
        </row>
        <row r="242">
          <cell r="E242">
            <v>3</v>
          </cell>
        </row>
        <row r="243">
          <cell r="E243">
            <v>0</v>
          </cell>
        </row>
        <row r="247">
          <cell r="E247">
            <v>0.02</v>
          </cell>
        </row>
        <row r="248">
          <cell r="E248">
            <v>0.05</v>
          </cell>
        </row>
        <row r="249">
          <cell r="E249">
            <v>7.0000000000000007E-2</v>
          </cell>
        </row>
        <row r="250">
          <cell r="E250">
            <v>10</v>
          </cell>
        </row>
        <row r="251">
          <cell r="E251">
            <v>2</v>
          </cell>
        </row>
        <row r="252">
          <cell r="E252">
            <v>8</v>
          </cell>
        </row>
        <row r="253">
          <cell r="E253">
            <v>2</v>
          </cell>
        </row>
        <row r="254">
          <cell r="E254">
            <v>16</v>
          </cell>
        </row>
        <row r="255">
          <cell r="E255">
            <v>0</v>
          </cell>
        </row>
        <row r="256">
          <cell r="E256">
            <v>0.01</v>
          </cell>
        </row>
        <row r="257">
          <cell r="E257">
            <v>0.01</v>
          </cell>
        </row>
        <row r="260">
          <cell r="E260">
            <v>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x Monthly"/>
      <sheetName val="Country Lookup"/>
      <sheetName val="Sheet4"/>
      <sheetName val="CONTENTS"/>
      <sheetName val="Assumption "/>
      <sheetName val="Option 2 Ammonia "/>
      <sheetName val="option 1 Ammonia "/>
      <sheetName val="Ammonia Cost"/>
      <sheetName val="Input "/>
      <sheetName val="Project Cost Monthly"/>
      <sheetName val="Sens WIP"/>
      <sheetName val="comparatives"/>
      <sheetName val="Graph Data "/>
      <sheetName val="Capex Phasing Urea"/>
      <sheetName val="Capex Phasing Methanol"/>
      <sheetName val="Summary"/>
      <sheetName val="Rev &amp; Receivables"/>
      <sheetName val="Raw Material "/>
      <sheetName val="Scenario 2"/>
      <sheetName val="Scenario "/>
      <sheetName val="Product Costing Sheet"/>
      <sheetName val="CofCapital"/>
      <sheetName val="staff Cost "/>
      <sheetName val="YIELD"/>
      <sheetName val="Sheet3"/>
      <sheetName val="Sheet8"/>
      <sheetName val="Power "/>
      <sheetName val="Power Plant "/>
      <sheetName val="Sheet5"/>
      <sheetName val="Land "/>
      <sheetName val="SUMMARY SHEET "/>
      <sheetName val="Ratios (2)"/>
      <sheetName val="Fixed Assets"/>
      <sheetName val="Methanol Margin Sheet "/>
      <sheetName val="Debt Schedule"/>
      <sheetName val="Sheet6"/>
      <sheetName val="Sheet7"/>
      <sheetName val="O&amp;M Costs"/>
      <sheetName val="Returns"/>
      <sheetName val="Revenue Analysis 1 Pager "/>
      <sheetName val="Sheet1"/>
      <sheetName val="Urea support infra kano "/>
      <sheetName val="Methanol Support infra option 2"/>
      <sheetName val="BS"/>
      <sheetName val="CF"/>
      <sheetName val="IS"/>
      <sheetName val="Valuation"/>
      <sheetName val="Capex "/>
      <sheetName val="Notes"/>
      <sheetName val="Ratios"/>
      <sheetName val="Dividend"/>
      <sheetName val="Sheet2"/>
      <sheetName val="Methanol Data "/>
      <sheetName val="Urea Data  "/>
      <sheetName val="Taxation"/>
      <sheetName val="Reserve Accounts"/>
      <sheetName val="Drop down list"/>
      <sheetName val="Timing &amp; Flags"/>
      <sheetName val="Overview"/>
      <sheetName val="Data 2"/>
      <sheetName val="Casting "/>
      <sheetName val="Data"/>
      <sheetName val="Checks"/>
      <sheetName val="Valuation "/>
    </sheetNames>
    <sheetDataSet>
      <sheetData sheetId="0" refreshError="1"/>
      <sheetData sheetId="1" refreshError="1"/>
      <sheetData sheetId="2" refreshError="1"/>
      <sheetData sheetId="3"/>
      <sheetData sheetId="4">
        <row r="15">
          <cell r="J15">
            <v>46023</v>
          </cell>
        </row>
        <row r="18">
          <cell r="J18">
            <v>12</v>
          </cell>
        </row>
        <row r="19">
          <cell r="J19">
            <v>365</v>
          </cell>
        </row>
        <row r="20">
          <cell r="J20">
            <v>4</v>
          </cell>
        </row>
        <row r="27">
          <cell r="J27">
            <v>1</v>
          </cell>
        </row>
        <row r="29">
          <cell r="J29">
            <v>1</v>
          </cell>
        </row>
        <row r="51">
          <cell r="J51">
            <v>1500</v>
          </cell>
        </row>
        <row r="105">
          <cell r="J105">
            <v>2</v>
          </cell>
        </row>
        <row r="107">
          <cell r="J107" t="str">
            <v xml:space="preserve">Yes </v>
          </cell>
        </row>
        <row r="164">
          <cell r="J164">
            <v>35.243533579999998</v>
          </cell>
        </row>
        <row r="201">
          <cell r="J201">
            <v>1</v>
          </cell>
        </row>
        <row r="224">
          <cell r="J224">
            <v>2.42</v>
          </cell>
        </row>
        <row r="225">
          <cell r="J225">
            <v>0.9</v>
          </cell>
        </row>
        <row r="372">
          <cell r="M372">
            <v>111730.35147222225</v>
          </cell>
        </row>
        <row r="423">
          <cell r="J423">
            <v>0.32999999999999996</v>
          </cell>
        </row>
      </sheetData>
      <sheetData sheetId="5" refreshError="1"/>
      <sheetData sheetId="6" refreshError="1"/>
      <sheetData sheetId="7" refreshError="1"/>
      <sheetData sheetId="8">
        <row r="10">
          <cell r="F10">
            <v>1500</v>
          </cell>
        </row>
        <row r="12">
          <cell r="F12">
            <v>0.1</v>
          </cell>
        </row>
        <row r="15">
          <cell r="F15">
            <v>365</v>
          </cell>
        </row>
        <row r="16">
          <cell r="F16">
            <v>12</v>
          </cell>
        </row>
        <row r="17">
          <cell r="F17">
            <v>24</v>
          </cell>
        </row>
        <row r="22">
          <cell r="F22">
            <v>0.95</v>
          </cell>
        </row>
        <row r="23">
          <cell r="F23">
            <v>0.95</v>
          </cell>
        </row>
        <row r="26">
          <cell r="F26">
            <v>1000000</v>
          </cell>
        </row>
        <row r="27">
          <cell r="F27">
            <v>1000000</v>
          </cell>
        </row>
        <row r="31">
          <cell r="F31">
            <v>3500000</v>
          </cell>
        </row>
        <row r="34">
          <cell r="F34">
            <v>46023</v>
          </cell>
        </row>
        <row r="35">
          <cell r="F35">
            <v>12</v>
          </cell>
        </row>
        <row r="36">
          <cell r="F36">
            <v>30</v>
          </cell>
        </row>
        <row r="46">
          <cell r="F46">
            <v>46023</v>
          </cell>
        </row>
        <row r="47">
          <cell r="F47">
            <v>36</v>
          </cell>
        </row>
        <row r="48">
          <cell r="F48">
            <v>47118</v>
          </cell>
        </row>
        <row r="51">
          <cell r="F51">
            <v>46753</v>
          </cell>
        </row>
        <row r="55">
          <cell r="F55">
            <v>47119</v>
          </cell>
        </row>
        <row r="56">
          <cell r="F56">
            <v>27</v>
          </cell>
        </row>
        <row r="57">
          <cell r="F57">
            <v>56979</v>
          </cell>
        </row>
        <row r="152">
          <cell r="F152">
            <v>450</v>
          </cell>
        </row>
        <row r="191">
          <cell r="F191">
            <v>5.0000000000000001E-3</v>
          </cell>
        </row>
        <row r="378">
          <cell r="E378">
            <v>0.3</v>
          </cell>
        </row>
        <row r="379">
          <cell r="E379">
            <v>0.03</v>
          </cell>
        </row>
        <row r="380">
          <cell r="E380">
            <v>7.4999999999999997E-2</v>
          </cell>
        </row>
        <row r="408">
          <cell r="E408">
            <v>1</v>
          </cell>
        </row>
        <row r="409">
          <cell r="E409">
            <v>1</v>
          </cell>
        </row>
        <row r="412">
          <cell r="E412">
            <v>1</v>
          </cell>
        </row>
        <row r="413">
          <cell r="E413">
            <v>1</v>
          </cell>
        </row>
        <row r="414">
          <cell r="E414">
            <v>1</v>
          </cell>
        </row>
        <row r="415">
          <cell r="E415">
            <v>1</v>
          </cell>
        </row>
      </sheetData>
      <sheetData sheetId="9" refreshError="1"/>
      <sheetData sheetId="10">
        <row r="53">
          <cell r="D53">
            <v>4</v>
          </cell>
        </row>
      </sheetData>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ow r="89">
          <cell r="B89" t="str">
            <v>Revenue &amp; OPEX</v>
          </cell>
        </row>
        <row r="90">
          <cell r="B90" t="str">
            <v>Salaries</v>
          </cell>
        </row>
        <row r="91">
          <cell r="B91" t="str">
            <v>Maintenance</v>
          </cell>
        </row>
      </sheetData>
      <sheetData sheetId="58" refreshError="1"/>
      <sheetData sheetId="59" refreshError="1"/>
      <sheetData sheetId="60" refreshError="1"/>
      <sheetData sheetId="61" refreshError="1"/>
      <sheetData sheetId="62" refreshError="1"/>
      <sheetData sheetId="6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ffing"/>
      <sheetName val="Existing Capex"/>
      <sheetName val="Payroll"/>
      <sheetName val="STB"/>
      <sheetName val="Marketing Budget"/>
      <sheetName val="Revenue Generation "/>
      <sheetName val="Operational Expenses"/>
      <sheetName val="Costing Sheet "/>
      <sheetName val="Gasoline Margin Sheet "/>
      <sheetName val="Income Statement By  Kerosene"/>
      <sheetName val="Income Statement By  Jet Fuel"/>
      <sheetName val="Income Statement By  Diesel "/>
      <sheetName val="gas 1"/>
      <sheetName val="Summary "/>
      <sheetName val="Income Statement By  Gasoline "/>
      <sheetName val="Income Statement By Category"/>
      <sheetName val="Profoma F.S"/>
      <sheetName val="Fin Statements"/>
      <sheetName val="O&amp;M"/>
      <sheetName val="Tax Computation "/>
      <sheetName val="Schedule "/>
      <sheetName val="Capital expenditure"/>
      <sheetName val="Output"/>
      <sheetName val="CAPEX"/>
      <sheetName val="Assumption Sheet"/>
      <sheetName val="Labour Cost "/>
      <sheetName val="METER COST"/>
      <sheetName val="Ratio Analysis "/>
      <sheetName val="Shedule of Material Assumptions"/>
      <sheetName val="Revenue Sheet"/>
      <sheetName val="Contents"/>
      <sheetName val="Valuation"/>
      <sheetName val="Drawdown"/>
      <sheetName val="Debt Sheet"/>
      <sheetName val="Depreciation"/>
      <sheetName val="Flags "/>
      <sheetName val="Chart Analysis 1"/>
      <sheetName val="Chat Analysis 2"/>
      <sheetName val="Chart Analysis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
          <cell r="E3">
            <v>2022</v>
          </cell>
        </row>
      </sheetData>
      <sheetData sheetId="18">
        <row r="40">
          <cell r="F40">
            <v>0</v>
          </cell>
        </row>
      </sheetData>
      <sheetData sheetId="19"/>
      <sheetData sheetId="20"/>
      <sheetData sheetId="21"/>
      <sheetData sheetId="22">
        <row r="48">
          <cell r="D48">
            <v>0</v>
          </cell>
        </row>
        <row r="50">
          <cell r="D50">
            <v>0</v>
          </cell>
        </row>
        <row r="51">
          <cell r="D51">
            <v>0</v>
          </cell>
        </row>
        <row r="52">
          <cell r="D52">
            <v>0</v>
          </cell>
        </row>
        <row r="53">
          <cell r="D53">
            <v>0</v>
          </cell>
        </row>
        <row r="54">
          <cell r="D54">
            <v>0</v>
          </cell>
        </row>
        <row r="55">
          <cell r="D55">
            <v>0</v>
          </cell>
        </row>
        <row r="56">
          <cell r="D56">
            <v>0</v>
          </cell>
        </row>
        <row r="57">
          <cell r="D57">
            <v>0</v>
          </cell>
        </row>
        <row r="58">
          <cell r="D58">
            <v>0</v>
          </cell>
        </row>
        <row r="59">
          <cell r="D59">
            <v>0</v>
          </cell>
        </row>
        <row r="60">
          <cell r="D60">
            <v>0</v>
          </cell>
        </row>
        <row r="61">
          <cell r="D61">
            <v>0</v>
          </cell>
        </row>
        <row r="62">
          <cell r="D62">
            <v>0</v>
          </cell>
        </row>
        <row r="63">
          <cell r="D63">
            <v>0</v>
          </cell>
        </row>
        <row r="64">
          <cell r="D64">
            <v>0</v>
          </cell>
        </row>
        <row r="65">
          <cell r="D65">
            <v>0</v>
          </cell>
        </row>
      </sheetData>
      <sheetData sheetId="23"/>
      <sheetData sheetId="24">
        <row r="10">
          <cell r="D10">
            <v>10000000</v>
          </cell>
        </row>
        <row r="11">
          <cell r="D11">
            <v>445000000</v>
          </cell>
        </row>
        <row r="12">
          <cell r="D12">
            <v>90000000</v>
          </cell>
        </row>
        <row r="13">
          <cell r="D13">
            <v>10000000</v>
          </cell>
        </row>
        <row r="14">
          <cell r="D14">
            <v>15000000</v>
          </cell>
        </row>
        <row r="16">
          <cell r="D16">
            <v>147000000</v>
          </cell>
        </row>
        <row r="19">
          <cell r="D19">
            <v>0</v>
          </cell>
        </row>
        <row r="20">
          <cell r="D20">
            <v>0</v>
          </cell>
        </row>
        <row r="26">
          <cell r="D26">
            <v>1016496554.5651273</v>
          </cell>
        </row>
        <row r="35">
          <cell r="D35">
            <v>44562</v>
          </cell>
        </row>
        <row r="36">
          <cell r="D36">
            <v>2022</v>
          </cell>
        </row>
        <row r="37">
          <cell r="D37">
            <v>3</v>
          </cell>
        </row>
        <row r="38">
          <cell r="D38">
            <v>2025</v>
          </cell>
        </row>
        <row r="39">
          <cell r="D39">
            <v>25</v>
          </cell>
        </row>
        <row r="40">
          <cell r="D40">
            <v>12</v>
          </cell>
        </row>
        <row r="41">
          <cell r="D41">
            <v>365</v>
          </cell>
        </row>
        <row r="44">
          <cell r="D44">
            <v>0.5</v>
          </cell>
        </row>
        <row r="45">
          <cell r="D45">
            <v>0.25</v>
          </cell>
        </row>
        <row r="46">
          <cell r="D46">
            <v>0.1</v>
          </cell>
        </row>
        <row r="47">
          <cell r="D47">
            <v>5</v>
          </cell>
        </row>
        <row r="48">
          <cell r="D48">
            <v>0.66669999999999996</v>
          </cell>
        </row>
        <row r="49">
          <cell r="D49">
            <v>0.02</v>
          </cell>
        </row>
        <row r="50">
          <cell r="D50">
            <v>0.3</v>
          </cell>
        </row>
        <row r="53">
          <cell r="D53">
            <v>7.4999999999999997E-2</v>
          </cell>
        </row>
        <row r="58">
          <cell r="D58">
            <v>411</v>
          </cell>
        </row>
        <row r="60">
          <cell r="D60">
            <v>0.05</v>
          </cell>
        </row>
        <row r="64">
          <cell r="D64">
            <v>330</v>
          </cell>
        </row>
        <row r="66">
          <cell r="D66">
            <v>0.1</v>
          </cell>
        </row>
        <row r="67">
          <cell r="D67">
            <v>0.03</v>
          </cell>
        </row>
        <row r="68">
          <cell r="D68">
            <v>0.02</v>
          </cell>
        </row>
        <row r="69">
          <cell r="D69">
            <v>0.03</v>
          </cell>
        </row>
        <row r="70">
          <cell r="D70">
            <v>0.05</v>
          </cell>
        </row>
        <row r="71">
          <cell r="D71">
            <v>0.05</v>
          </cell>
        </row>
        <row r="75">
          <cell r="D75">
            <v>5</v>
          </cell>
        </row>
        <row r="93">
          <cell r="D93">
            <v>7</v>
          </cell>
        </row>
        <row r="94">
          <cell r="D94">
            <v>7.5</v>
          </cell>
        </row>
        <row r="95">
          <cell r="D95">
            <v>8</v>
          </cell>
        </row>
        <row r="121">
          <cell r="D121">
            <v>60</v>
          </cell>
        </row>
        <row r="122">
          <cell r="D122">
            <v>60</v>
          </cell>
        </row>
        <row r="123">
          <cell r="D123">
            <v>30</v>
          </cell>
        </row>
        <row r="124">
          <cell r="D124">
            <v>30</v>
          </cell>
        </row>
        <row r="131">
          <cell r="E131">
            <v>100000</v>
          </cell>
        </row>
        <row r="132">
          <cell r="E132">
            <v>17000000</v>
          </cell>
        </row>
        <row r="136">
          <cell r="E136">
            <v>82.050947526891733</v>
          </cell>
        </row>
        <row r="137">
          <cell r="E137">
            <v>0.6</v>
          </cell>
        </row>
        <row r="138">
          <cell r="E138">
            <v>0.4</v>
          </cell>
        </row>
        <row r="140">
          <cell r="E140">
            <v>1000</v>
          </cell>
        </row>
        <row r="141">
          <cell r="E141">
            <v>170</v>
          </cell>
        </row>
        <row r="142">
          <cell r="E142">
            <v>0.5</v>
          </cell>
        </row>
        <row r="143">
          <cell r="E143">
            <v>0.9</v>
          </cell>
        </row>
        <row r="147">
          <cell r="D147">
            <v>0.43</v>
          </cell>
        </row>
        <row r="148">
          <cell r="D148">
            <v>0.23</v>
          </cell>
        </row>
        <row r="149">
          <cell r="D149">
            <v>0.09</v>
          </cell>
        </row>
        <row r="150">
          <cell r="D150">
            <v>0.05</v>
          </cell>
        </row>
        <row r="151">
          <cell r="D151">
            <v>0.04</v>
          </cell>
        </row>
        <row r="152">
          <cell r="D152">
            <v>0.03</v>
          </cell>
        </row>
        <row r="153">
          <cell r="D153">
            <v>0.04</v>
          </cell>
        </row>
        <row r="154">
          <cell r="D154">
            <v>0.03</v>
          </cell>
        </row>
        <row r="155">
          <cell r="D155">
            <v>0.02</v>
          </cell>
        </row>
        <row r="156">
          <cell r="D156">
            <v>0.02</v>
          </cell>
        </row>
        <row r="157">
          <cell r="D157">
            <v>0.01</v>
          </cell>
        </row>
        <row r="158">
          <cell r="D158">
            <v>0.01</v>
          </cell>
        </row>
        <row r="163">
          <cell r="E163">
            <v>0.57299999999999995</v>
          </cell>
        </row>
        <row r="164">
          <cell r="E164">
            <v>0.63</v>
          </cell>
        </row>
        <row r="165">
          <cell r="E165">
            <v>0.57999999999999996</v>
          </cell>
        </row>
        <row r="166">
          <cell r="E166">
            <v>0.57999999999999996</v>
          </cell>
        </row>
        <row r="167">
          <cell r="E167">
            <v>6.5000000000000002E-2</v>
          </cell>
        </row>
        <row r="168">
          <cell r="E168">
            <v>0.6</v>
          </cell>
        </row>
        <row r="169">
          <cell r="E169">
            <v>0.71</v>
          </cell>
        </row>
        <row r="170">
          <cell r="E170">
            <v>0.5</v>
          </cell>
        </row>
        <row r="171">
          <cell r="E171">
            <v>0.06</v>
          </cell>
        </row>
        <row r="172">
          <cell r="E172">
            <v>0.78459136526822726</v>
          </cell>
        </row>
        <row r="173">
          <cell r="E173">
            <v>0.5</v>
          </cell>
        </row>
        <row r="174">
          <cell r="E174">
            <v>0.5</v>
          </cell>
        </row>
        <row r="177">
          <cell r="E177">
            <v>0.57299999999999995</v>
          </cell>
        </row>
        <row r="178">
          <cell r="E178">
            <v>0.63</v>
          </cell>
        </row>
        <row r="179">
          <cell r="E179">
            <v>0.57999999999999996</v>
          </cell>
        </row>
        <row r="180">
          <cell r="E180">
            <v>0.57999999999999996</v>
          </cell>
        </row>
        <row r="181">
          <cell r="E181">
            <v>6.5000000000000002E-2</v>
          </cell>
        </row>
        <row r="182">
          <cell r="E182">
            <v>0.6</v>
          </cell>
        </row>
        <row r="183">
          <cell r="E183">
            <v>0.71</v>
          </cell>
        </row>
        <row r="184">
          <cell r="E184">
            <v>0.5</v>
          </cell>
        </row>
        <row r="185">
          <cell r="E185">
            <v>0.06</v>
          </cell>
        </row>
        <row r="186">
          <cell r="E186">
            <v>0.78459136526822726</v>
          </cell>
        </row>
        <row r="187">
          <cell r="E187">
            <v>0.5</v>
          </cell>
        </row>
        <row r="188">
          <cell r="E188">
            <v>0.5</v>
          </cell>
        </row>
        <row r="193">
          <cell r="D193">
            <v>100</v>
          </cell>
        </row>
        <row r="194">
          <cell r="D194">
            <v>50</v>
          </cell>
        </row>
        <row r="195">
          <cell r="D195">
            <v>15</v>
          </cell>
        </row>
        <row r="196">
          <cell r="D196">
            <v>5</v>
          </cell>
        </row>
        <row r="197">
          <cell r="D197">
            <v>50</v>
          </cell>
        </row>
        <row r="198">
          <cell r="D198">
            <v>5</v>
          </cell>
        </row>
        <row r="199">
          <cell r="D199">
            <v>6</v>
          </cell>
        </row>
        <row r="200">
          <cell r="D200">
            <v>0</v>
          </cell>
        </row>
        <row r="201">
          <cell r="D201">
            <v>0</v>
          </cell>
        </row>
        <row r="202">
          <cell r="D202">
            <v>0</v>
          </cell>
        </row>
        <row r="203">
          <cell r="D203">
            <v>0</v>
          </cell>
        </row>
        <row r="204">
          <cell r="D204">
            <v>0</v>
          </cell>
        </row>
        <row r="205">
          <cell r="D205">
            <v>0</v>
          </cell>
        </row>
        <row r="206">
          <cell r="D206">
            <v>0</v>
          </cell>
        </row>
        <row r="250">
          <cell r="D250">
            <v>5</v>
          </cell>
        </row>
        <row r="299">
          <cell r="D299">
            <v>14</v>
          </cell>
        </row>
        <row r="300">
          <cell r="D300">
            <v>2</v>
          </cell>
        </row>
        <row r="301">
          <cell r="D301">
            <v>864022071.3803581</v>
          </cell>
        </row>
        <row r="302">
          <cell r="D302">
            <v>1.2500000000000001E-2</v>
          </cell>
        </row>
        <row r="303">
          <cell r="D303">
            <v>5.0000000000000001E-3</v>
          </cell>
        </row>
        <row r="314">
          <cell r="D314">
            <v>16</v>
          </cell>
        </row>
        <row r="315">
          <cell r="D315">
            <v>2</v>
          </cell>
        </row>
        <row r="318">
          <cell r="D318">
            <v>1.2500000000000001E-2</v>
          </cell>
        </row>
        <row r="326">
          <cell r="D326">
            <v>0.22000000000000003</v>
          </cell>
        </row>
        <row r="327">
          <cell r="D327">
            <v>3</v>
          </cell>
        </row>
        <row r="328">
          <cell r="D328">
            <v>1</v>
          </cell>
        </row>
        <row r="329">
          <cell r="D329">
            <v>2</v>
          </cell>
        </row>
        <row r="330">
          <cell r="D330">
            <v>4</v>
          </cell>
        </row>
        <row r="331">
          <cell r="D331">
            <v>2</v>
          </cell>
        </row>
        <row r="332">
          <cell r="D332">
            <v>0</v>
          </cell>
        </row>
        <row r="333">
          <cell r="D333">
            <v>1.2500000000000001E-2</v>
          </cell>
        </row>
        <row r="339">
          <cell r="D339">
            <v>0.14000000000000001</v>
          </cell>
        </row>
        <row r="340">
          <cell r="D340">
            <v>0.08</v>
          </cell>
        </row>
        <row r="341">
          <cell r="D341">
            <v>0.22000000000000003</v>
          </cell>
        </row>
        <row r="342">
          <cell r="D342">
            <v>5</v>
          </cell>
        </row>
        <row r="343">
          <cell r="D343">
            <v>4</v>
          </cell>
        </row>
        <row r="346">
          <cell r="D346">
            <v>2</v>
          </cell>
        </row>
        <row r="347">
          <cell r="D347">
            <v>0</v>
          </cell>
        </row>
        <row r="349">
          <cell r="D349">
            <v>1.2500000000000001E-2</v>
          </cell>
        </row>
        <row r="350">
          <cell r="D350">
            <v>5.0000000000000001E-3</v>
          </cell>
        </row>
        <row r="355">
          <cell r="D355">
            <v>0.14000000000000001</v>
          </cell>
        </row>
        <row r="356">
          <cell r="D356">
            <v>0.08</v>
          </cell>
        </row>
        <row r="357">
          <cell r="D357">
            <v>0.22000000000000003</v>
          </cell>
        </row>
        <row r="358">
          <cell r="D358">
            <v>5</v>
          </cell>
        </row>
        <row r="359">
          <cell r="D359">
            <v>3</v>
          </cell>
        </row>
        <row r="364">
          <cell r="D364">
            <v>1.2500000000000001E-2</v>
          </cell>
        </row>
        <row r="365">
          <cell r="D365">
            <v>5.0000000000000001E-3</v>
          </cell>
        </row>
        <row r="368">
          <cell r="D368">
            <v>1</v>
          </cell>
        </row>
        <row r="369">
          <cell r="D369">
            <v>3</v>
          </cell>
        </row>
        <row r="370">
          <cell r="D370">
            <v>5</v>
          </cell>
        </row>
        <row r="371">
          <cell r="D371">
            <v>7</v>
          </cell>
        </row>
        <row r="372">
          <cell r="D372">
            <v>1</v>
          </cell>
        </row>
        <row r="373">
          <cell r="D373">
            <v>3</v>
          </cell>
        </row>
        <row r="374">
          <cell r="D374">
            <v>5</v>
          </cell>
        </row>
        <row r="375">
          <cell r="D375">
            <v>7</v>
          </cell>
        </row>
      </sheetData>
      <sheetData sheetId="25"/>
      <sheetData sheetId="26"/>
      <sheetData sheetId="27"/>
      <sheetData sheetId="28"/>
      <sheetData sheetId="29"/>
      <sheetData sheetId="30"/>
      <sheetData sheetId="31"/>
      <sheetData sheetId="32"/>
      <sheetData sheetId="33"/>
      <sheetData sheetId="34"/>
      <sheetData sheetId="35">
        <row r="50">
          <cell r="C50" t="str">
            <v>End of Loan Period Flag for valuation</v>
          </cell>
          <cell r="E50">
            <v>1</v>
          </cell>
          <cell r="F50">
            <v>1</v>
          </cell>
          <cell r="G50">
            <v>1</v>
          </cell>
          <cell r="H50">
            <v>1</v>
          </cell>
          <cell r="I50">
            <v>1</v>
          </cell>
          <cell r="J50">
            <v>1</v>
          </cell>
          <cell r="K50">
            <v>1</v>
          </cell>
          <cell r="L50">
            <v>1</v>
          </cell>
          <cell r="M50">
            <v>1</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row>
      </sheetData>
      <sheetData sheetId="36"/>
      <sheetData sheetId="37"/>
      <sheetData sheetId="38"/>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ents"/>
      <sheetName val="Scenario Summary"/>
      <sheetName val="Output"/>
      <sheetName val="Valuation"/>
      <sheetName val="Assumption Sheet"/>
      <sheetName val="Fin Statements"/>
      <sheetName val="CAPEX"/>
      <sheetName val="Drawdown"/>
      <sheetName val="Debt Sheet"/>
      <sheetName val="Maintenance"/>
      <sheetName val="Traffic Data"/>
      <sheetName val="Sheet2 (2)"/>
      <sheetName val="Tariffs"/>
      <sheetName val="Revenue Sheet"/>
      <sheetName val="Depreciation"/>
      <sheetName val="OPEX"/>
      <sheetName val="Economic Impact Analysis"/>
      <sheetName val="Flags &amp; Switches"/>
    </sheetNames>
    <sheetDataSet>
      <sheetData sheetId="0"/>
      <sheetData sheetId="1"/>
      <sheetData sheetId="2">
        <row r="24">
          <cell r="D24">
            <v>5.0000000000000001E-3</v>
          </cell>
        </row>
        <row r="25">
          <cell r="D25">
            <v>4000000000</v>
          </cell>
        </row>
        <row r="26">
          <cell r="D26">
            <v>0.01</v>
          </cell>
        </row>
        <row r="27">
          <cell r="D27">
            <v>0.01</v>
          </cell>
        </row>
        <row r="30">
          <cell r="D30">
            <v>2016</v>
          </cell>
        </row>
        <row r="31">
          <cell r="D31">
            <v>2015</v>
          </cell>
        </row>
        <row r="32">
          <cell r="D32">
            <v>2016</v>
          </cell>
        </row>
        <row r="33">
          <cell r="D33">
            <v>2016</v>
          </cell>
        </row>
        <row r="36">
          <cell r="D36">
            <v>0</v>
          </cell>
        </row>
        <row r="37">
          <cell r="D37">
            <v>0</v>
          </cell>
        </row>
        <row r="92">
          <cell r="E92">
            <v>5.0000000000000001E-3</v>
          </cell>
        </row>
        <row r="93">
          <cell r="E93">
            <v>0.74616534062102446</v>
          </cell>
        </row>
        <row r="94">
          <cell r="D94">
            <v>50000000000</v>
          </cell>
          <cell r="E94">
            <v>0.24883465937897559</v>
          </cell>
        </row>
        <row r="99">
          <cell r="D99">
            <v>0</v>
          </cell>
        </row>
        <row r="100">
          <cell r="D100">
            <v>0.2</v>
          </cell>
        </row>
      </sheetData>
      <sheetData sheetId="3"/>
      <sheetData sheetId="4">
        <row r="14">
          <cell r="C14">
            <v>200936638508.42386</v>
          </cell>
        </row>
        <row r="34">
          <cell r="C34">
            <v>41518</v>
          </cell>
        </row>
        <row r="36">
          <cell r="C36">
            <v>3</v>
          </cell>
        </row>
        <row r="37">
          <cell r="C37">
            <v>2016</v>
          </cell>
        </row>
        <row r="43">
          <cell r="C43">
            <v>12</v>
          </cell>
        </row>
        <row r="44">
          <cell r="C44">
            <v>365</v>
          </cell>
        </row>
        <row r="51">
          <cell r="C51">
            <v>51200</v>
          </cell>
          <cell r="D51">
            <v>18200</v>
          </cell>
          <cell r="E51">
            <v>31690</v>
          </cell>
          <cell r="F51">
            <v>0</v>
          </cell>
        </row>
        <row r="52">
          <cell r="C52">
            <v>8400</v>
          </cell>
          <cell r="D52">
            <v>5120</v>
          </cell>
          <cell r="E52">
            <v>4860</v>
          </cell>
          <cell r="F52">
            <v>0</v>
          </cell>
        </row>
        <row r="53">
          <cell r="C53">
            <v>6400</v>
          </cell>
          <cell r="D53">
            <v>2500</v>
          </cell>
          <cell r="E53">
            <v>2060</v>
          </cell>
          <cell r="F53">
            <v>0</v>
          </cell>
        </row>
        <row r="54">
          <cell r="C54">
            <v>392</v>
          </cell>
          <cell r="D54">
            <v>210</v>
          </cell>
          <cell r="E54">
            <v>182</v>
          </cell>
          <cell r="F54">
            <v>0</v>
          </cell>
        </row>
        <row r="55">
          <cell r="C55">
            <v>4400</v>
          </cell>
          <cell r="D55">
            <v>1520</v>
          </cell>
          <cell r="E55">
            <v>1520</v>
          </cell>
          <cell r="F55">
            <v>0</v>
          </cell>
        </row>
        <row r="56">
          <cell r="C56">
            <v>3020</v>
          </cell>
          <cell r="D56">
            <v>1200</v>
          </cell>
          <cell r="E56">
            <v>850</v>
          </cell>
          <cell r="F56">
            <v>0</v>
          </cell>
        </row>
        <row r="62">
          <cell r="C62">
            <v>53890</v>
          </cell>
          <cell r="D62">
            <v>19370</v>
          </cell>
          <cell r="E62">
            <v>32000</v>
          </cell>
          <cell r="F62">
            <v>0</v>
          </cell>
        </row>
        <row r="63">
          <cell r="C63">
            <v>8400</v>
          </cell>
          <cell r="D63">
            <v>5120</v>
          </cell>
          <cell r="E63">
            <v>4860</v>
          </cell>
          <cell r="F63">
            <v>0</v>
          </cell>
        </row>
        <row r="64">
          <cell r="C64">
            <v>6400</v>
          </cell>
          <cell r="D64">
            <v>2500</v>
          </cell>
          <cell r="E64">
            <v>2060</v>
          </cell>
          <cell r="F64">
            <v>0</v>
          </cell>
        </row>
        <row r="65">
          <cell r="C65">
            <v>392</v>
          </cell>
          <cell r="D65">
            <v>210</v>
          </cell>
          <cell r="E65">
            <v>182</v>
          </cell>
          <cell r="F65">
            <v>0</v>
          </cell>
        </row>
        <row r="66">
          <cell r="C66">
            <v>4400</v>
          </cell>
          <cell r="D66">
            <v>1520</v>
          </cell>
          <cell r="E66">
            <v>1520</v>
          </cell>
          <cell r="F66">
            <v>0</v>
          </cell>
        </row>
        <row r="67">
          <cell r="C67">
            <v>3020</v>
          </cell>
          <cell r="D67">
            <v>1200</v>
          </cell>
          <cell r="E67">
            <v>850</v>
          </cell>
          <cell r="F67">
            <v>0</v>
          </cell>
        </row>
        <row r="72">
          <cell r="C72">
            <v>0.02</v>
          </cell>
        </row>
        <row r="73">
          <cell r="C73">
            <v>0.02</v>
          </cell>
        </row>
        <row r="74">
          <cell r="C74">
            <v>0.01</v>
          </cell>
        </row>
        <row r="75">
          <cell r="C75">
            <v>15</v>
          </cell>
        </row>
        <row r="80">
          <cell r="C80">
            <v>0.95</v>
          </cell>
        </row>
        <row r="81">
          <cell r="C81">
            <v>0</v>
          </cell>
        </row>
        <row r="82">
          <cell r="C82">
            <v>1</v>
          </cell>
        </row>
        <row r="83">
          <cell r="C83">
            <v>0.67</v>
          </cell>
        </row>
        <row r="85">
          <cell r="C85">
            <v>160</v>
          </cell>
        </row>
        <row r="86">
          <cell r="C86">
            <v>0.05</v>
          </cell>
        </row>
        <row r="87">
          <cell r="C87">
            <v>0.08</v>
          </cell>
        </row>
        <row r="88">
          <cell r="C88">
            <v>2.5000000000000001E-3</v>
          </cell>
        </row>
        <row r="90">
          <cell r="C90">
            <v>0.08</v>
          </cell>
        </row>
        <row r="91">
          <cell r="C91">
            <v>7.0000000000000007E-2</v>
          </cell>
        </row>
        <row r="92">
          <cell r="C92">
            <v>0.1</v>
          </cell>
        </row>
        <row r="94">
          <cell r="C94">
            <v>0.05</v>
          </cell>
        </row>
        <row r="95">
          <cell r="C95">
            <v>0.12</v>
          </cell>
        </row>
        <row r="96">
          <cell r="C96">
            <v>0.12</v>
          </cell>
        </row>
        <row r="97">
          <cell r="C97">
            <v>0.05</v>
          </cell>
        </row>
        <row r="98">
          <cell r="C98">
            <v>2</v>
          </cell>
        </row>
        <row r="99">
          <cell r="C99">
            <v>0.05</v>
          </cell>
        </row>
        <row r="100">
          <cell r="C100">
            <v>0.1</v>
          </cell>
        </row>
        <row r="101">
          <cell r="C101">
            <v>0.05</v>
          </cell>
        </row>
        <row r="105">
          <cell r="C105">
            <v>5.0000000000000001E-3</v>
          </cell>
        </row>
        <row r="113">
          <cell r="C113">
            <v>30</v>
          </cell>
        </row>
        <row r="114">
          <cell r="C114">
            <v>30</v>
          </cell>
        </row>
        <row r="115">
          <cell r="C115">
            <v>10</v>
          </cell>
        </row>
        <row r="116">
          <cell r="C116">
            <v>5</v>
          </cell>
        </row>
        <row r="117">
          <cell r="C117">
            <v>0</v>
          </cell>
        </row>
        <row r="118">
          <cell r="C118">
            <v>0</v>
          </cell>
        </row>
        <row r="119">
          <cell r="C119">
            <v>0</v>
          </cell>
        </row>
        <row r="120">
          <cell r="C120">
            <v>0</v>
          </cell>
        </row>
        <row r="143">
          <cell r="C143">
            <v>127</v>
          </cell>
        </row>
        <row r="198">
          <cell r="G198">
            <v>423480000</v>
          </cell>
        </row>
        <row r="231">
          <cell r="G231">
            <v>136740000</v>
          </cell>
        </row>
        <row r="246">
          <cell r="F246">
            <v>175950000</v>
          </cell>
        </row>
        <row r="251">
          <cell r="D251">
            <v>10000000</v>
          </cell>
        </row>
        <row r="252">
          <cell r="D252">
            <v>15000000</v>
          </cell>
        </row>
        <row r="253">
          <cell r="D253">
            <v>1000000</v>
          </cell>
        </row>
        <row r="254">
          <cell r="D254">
            <v>2000000</v>
          </cell>
        </row>
        <row r="259">
          <cell r="C259">
            <v>1</v>
          </cell>
        </row>
        <row r="260">
          <cell r="C260">
            <v>3</v>
          </cell>
        </row>
        <row r="261">
          <cell r="C261">
            <v>5</v>
          </cell>
        </row>
        <row r="262">
          <cell r="C262">
            <v>1</v>
          </cell>
        </row>
        <row r="267">
          <cell r="C267">
            <v>500000</v>
          </cell>
          <cell r="E267">
            <v>317500000</v>
          </cell>
        </row>
        <row r="268">
          <cell r="E268">
            <v>0.04</v>
          </cell>
        </row>
        <row r="277">
          <cell r="C277">
            <v>0.12</v>
          </cell>
        </row>
        <row r="279">
          <cell r="C279">
            <v>0.16999999999999998</v>
          </cell>
        </row>
        <row r="282">
          <cell r="C282">
            <v>7</v>
          </cell>
        </row>
        <row r="283">
          <cell r="C283">
            <v>14</v>
          </cell>
        </row>
        <row r="284">
          <cell r="C284">
            <v>2</v>
          </cell>
        </row>
        <row r="286">
          <cell r="C286">
            <v>1.2500000000000001E-2</v>
          </cell>
        </row>
        <row r="292">
          <cell r="C292">
            <v>0.12</v>
          </cell>
        </row>
        <row r="293">
          <cell r="C293">
            <v>0.06</v>
          </cell>
        </row>
        <row r="294">
          <cell r="C294">
            <v>0.18</v>
          </cell>
        </row>
        <row r="299">
          <cell r="C299">
            <v>2</v>
          </cell>
        </row>
        <row r="303">
          <cell r="C303">
            <v>5.0000000000000001E-3</v>
          </cell>
        </row>
        <row r="308">
          <cell r="C308">
            <v>0.15</v>
          </cell>
        </row>
        <row r="309">
          <cell r="C309">
            <v>0.02</v>
          </cell>
        </row>
        <row r="310">
          <cell r="C310">
            <v>0.16999999999999998</v>
          </cell>
        </row>
        <row r="311">
          <cell r="C311">
            <v>8</v>
          </cell>
        </row>
        <row r="312">
          <cell r="C312">
            <v>3</v>
          </cell>
        </row>
        <row r="313">
          <cell r="C313">
            <v>5</v>
          </cell>
        </row>
        <row r="315">
          <cell r="C315">
            <v>2</v>
          </cell>
        </row>
        <row r="316">
          <cell r="C316">
            <v>29986391063.17635</v>
          </cell>
        </row>
        <row r="317">
          <cell r="C317">
            <v>1.2500000000000001E-2</v>
          </cell>
        </row>
        <row r="318">
          <cell r="C318">
            <v>5.0000000000000001E-3</v>
          </cell>
        </row>
        <row r="323">
          <cell r="C323">
            <v>0.15</v>
          </cell>
        </row>
        <row r="324">
          <cell r="C324">
            <v>0.02</v>
          </cell>
        </row>
        <row r="325">
          <cell r="C325">
            <v>0.16999999999999998</v>
          </cell>
        </row>
        <row r="326">
          <cell r="C326">
            <v>7</v>
          </cell>
        </row>
        <row r="327">
          <cell r="C327">
            <v>3</v>
          </cell>
        </row>
        <row r="328">
          <cell r="C328">
            <v>4</v>
          </cell>
        </row>
        <row r="330">
          <cell r="C330">
            <v>2</v>
          </cell>
        </row>
        <row r="331">
          <cell r="C331">
            <v>29986391063.17635</v>
          </cell>
        </row>
        <row r="333">
          <cell r="C333">
            <v>1.2500000000000001E-2</v>
          </cell>
        </row>
        <row r="334">
          <cell r="C334">
            <v>5.0000000000000001E-3</v>
          </cell>
        </row>
        <row r="339">
          <cell r="C339">
            <v>0.15</v>
          </cell>
        </row>
        <row r="340">
          <cell r="C340">
            <v>0.02</v>
          </cell>
        </row>
        <row r="341">
          <cell r="C341">
            <v>0.16999999999999998</v>
          </cell>
        </row>
        <row r="342">
          <cell r="C342">
            <v>7</v>
          </cell>
        </row>
        <row r="343">
          <cell r="C343">
            <v>3</v>
          </cell>
        </row>
        <row r="344">
          <cell r="C344">
            <v>4</v>
          </cell>
        </row>
        <row r="346">
          <cell r="C346">
            <v>2</v>
          </cell>
        </row>
        <row r="347">
          <cell r="C347">
            <v>29986391063.17635</v>
          </cell>
        </row>
        <row r="348">
          <cell r="C348">
            <v>1.2500000000000001E-2</v>
          </cell>
        </row>
        <row r="349">
          <cell r="C349">
            <v>5.0000000000000001E-3</v>
          </cell>
        </row>
        <row r="352">
          <cell r="C352">
            <v>3</v>
          </cell>
        </row>
        <row r="353">
          <cell r="C353">
            <v>2</v>
          </cell>
        </row>
      </sheetData>
      <sheetData sheetId="5"/>
      <sheetData sheetId="6"/>
      <sheetData sheetId="7"/>
      <sheetData sheetId="8"/>
      <sheetData sheetId="9"/>
      <sheetData sheetId="10"/>
      <sheetData sheetId="11"/>
      <sheetData sheetId="12"/>
      <sheetData sheetId="13">
        <row r="4">
          <cell r="C4" t="str">
            <v>Induced Traffic Switch</v>
          </cell>
          <cell r="D4">
            <v>1</v>
          </cell>
          <cell r="E4">
            <v>1</v>
          </cell>
          <cell r="F4">
            <v>1</v>
          </cell>
          <cell r="G4">
            <v>1</v>
          </cell>
          <cell r="H4">
            <v>1.02</v>
          </cell>
          <cell r="I4">
            <v>1.0404</v>
          </cell>
          <cell r="J4">
            <v>1.0612079999999999</v>
          </cell>
          <cell r="K4">
            <v>1.08243216</v>
          </cell>
          <cell r="L4">
            <v>1.1040808032</v>
          </cell>
          <cell r="M4">
            <v>1.1261624192640001</v>
          </cell>
          <cell r="N4">
            <v>1.1486856676492798</v>
          </cell>
          <cell r="O4">
            <v>1.1716593810022655</v>
          </cell>
          <cell r="P4">
            <v>1.1950925686223108</v>
          </cell>
          <cell r="Q4">
            <v>1.2189944199947571</v>
          </cell>
          <cell r="R4">
            <v>1.243374308394652</v>
          </cell>
          <cell r="S4">
            <v>1.1268250301319698</v>
          </cell>
          <cell r="T4">
            <v>1.1380932804332895</v>
          </cell>
          <cell r="U4">
            <v>1.1494742132376226</v>
          </cell>
          <cell r="V4">
            <v>1.1609689553699984</v>
          </cell>
          <cell r="W4">
            <v>1.1725786449236988</v>
          </cell>
          <cell r="X4">
            <v>1.1843044313729358</v>
          </cell>
          <cell r="Y4">
            <v>1.1961474756866652</v>
          </cell>
          <cell r="Z4">
            <v>1.2081089504435316</v>
          </cell>
          <cell r="AA4">
            <v>1.220190039947967</v>
          </cell>
          <cell r="AB4">
            <v>1.2323919403474466</v>
          </cell>
          <cell r="AC4">
            <v>1.2447158597509214</v>
          </cell>
          <cell r="AD4">
            <v>1.2571630183484304</v>
          </cell>
          <cell r="AE4">
            <v>1.269734648531915</v>
          </cell>
          <cell r="AF4">
            <v>1.2824319950172343</v>
          </cell>
          <cell r="AG4">
            <v>1.2952563149674066</v>
          </cell>
          <cell r="AH4">
            <v>1.3082088781170802</v>
          </cell>
        </row>
      </sheetData>
      <sheetData sheetId="14"/>
      <sheetData sheetId="15"/>
      <sheetData sheetId="16"/>
      <sheetData sheetId="17">
        <row r="34">
          <cell r="C34" t="str">
            <v>General Infl Rate</v>
          </cell>
          <cell r="D34"/>
          <cell r="E34">
            <v>1</v>
          </cell>
          <cell r="F34">
            <v>1.08</v>
          </cell>
          <cell r="G34">
            <v>1.1664000000000001</v>
          </cell>
          <cell r="H34">
            <v>1.2597120000000002</v>
          </cell>
          <cell r="I34">
            <v>1.3604889600000003</v>
          </cell>
          <cell r="J34">
            <v>1.4693280768000003</v>
          </cell>
          <cell r="K34">
            <v>1.5868743229440005</v>
          </cell>
          <cell r="L34">
            <v>1.7138242687795207</v>
          </cell>
          <cell r="M34">
            <v>1.8509302102818823</v>
          </cell>
          <cell r="N34">
            <v>1.9990046271044331</v>
          </cell>
          <cell r="O34">
            <v>2.1589249972727877</v>
          </cell>
          <cell r="P34">
            <v>2.3316389970546108</v>
          </cell>
          <cell r="Q34">
            <v>2.5181701168189798</v>
          </cell>
          <cell r="R34">
            <v>2.7196237261644982</v>
          </cell>
          <cell r="S34">
            <v>2.9371936242576586</v>
          </cell>
          <cell r="T34">
            <v>3.1721691141982715</v>
          </cell>
          <cell r="U34">
            <v>3.4259426433341331</v>
          </cell>
          <cell r="V34">
            <v>3.7000180548008639</v>
          </cell>
          <cell r="W34">
            <v>3.9960194991849334</v>
          </cell>
          <cell r="X34">
            <v>4.3157010591197285</v>
          </cell>
          <cell r="Y34">
            <v>4.6609571438493065</v>
          </cell>
          <cell r="Z34">
            <v>5.0338337153572512</v>
          </cell>
          <cell r="AA34">
            <v>5.4365404125858321</v>
          </cell>
          <cell r="AB34">
            <v>5.8714636455926987</v>
          </cell>
          <cell r="AC34">
            <v>6.3411807372401148</v>
          </cell>
          <cell r="AD34">
            <v>6.8484751962193249</v>
          </cell>
          <cell r="AE34">
            <v>7.3963532119168702</v>
          </cell>
          <cell r="AF34">
            <v>7.9880614688702201</v>
          </cell>
          <cell r="AG34">
            <v>8.6271063863798378</v>
          </cell>
          <cell r="AH34">
            <v>9.3172748972902255</v>
          </cell>
          <cell r="AI34">
            <v>10.062656889073445</v>
          </cell>
        </row>
        <row r="37">
          <cell r="C37" t="str">
            <v>Services Infl Rate</v>
          </cell>
          <cell r="D37"/>
          <cell r="E37">
            <v>1</v>
          </cell>
          <cell r="F37">
            <v>1.05</v>
          </cell>
          <cell r="G37">
            <v>1.1025</v>
          </cell>
          <cell r="H37">
            <v>1.1576250000000001</v>
          </cell>
          <cell r="I37">
            <v>1.21550625</v>
          </cell>
          <cell r="J37">
            <v>1.2762815625000001</v>
          </cell>
          <cell r="K37">
            <v>1.340095640625</v>
          </cell>
          <cell r="L37">
            <v>1.4071004226562502</v>
          </cell>
          <cell r="M37">
            <v>1.4774554437890626</v>
          </cell>
          <cell r="N37">
            <v>1.5513282159785158</v>
          </cell>
          <cell r="O37">
            <v>1.6288946267774416</v>
          </cell>
          <cell r="P37">
            <v>1.7103393581163138</v>
          </cell>
          <cell r="Q37">
            <v>1.7958563260221292</v>
          </cell>
          <cell r="R37">
            <v>1.885649142323236</v>
          </cell>
          <cell r="S37">
            <v>1.9799315994393973</v>
          </cell>
          <cell r="T37">
            <v>2.0789281794113679</v>
          </cell>
          <cell r="U37">
            <v>2.182874588381936</v>
          </cell>
          <cell r="V37">
            <v>2.2920183178010332</v>
          </cell>
          <cell r="W37">
            <v>2.4066192336910848</v>
          </cell>
          <cell r="X37">
            <v>2.526950195375639</v>
          </cell>
          <cell r="Y37">
            <v>2.6532977051444209</v>
          </cell>
          <cell r="Z37">
            <v>2.7859625904016418</v>
          </cell>
          <cell r="AA37">
            <v>2.9252607199217238</v>
          </cell>
          <cell r="AB37">
            <v>3.0715237559178106</v>
          </cell>
          <cell r="AC37">
            <v>3.2250999437137007</v>
          </cell>
          <cell r="AD37">
            <v>3.3863549408993858</v>
          </cell>
          <cell r="AE37">
            <v>3.5556726879443552</v>
          </cell>
          <cell r="AF37">
            <v>3.7334563223415733</v>
          </cell>
          <cell r="AG37">
            <v>3.9201291384586514</v>
          </cell>
          <cell r="AH37">
            <v>4.1161355953815848</v>
          </cell>
          <cell r="AI37">
            <v>4.3219423751506625</v>
          </cell>
        </row>
        <row r="38">
          <cell r="C38" t="str">
            <v>Salaries Infl rate</v>
          </cell>
          <cell r="D38"/>
          <cell r="E38">
            <v>1</v>
          </cell>
          <cell r="F38">
            <v>1.05</v>
          </cell>
          <cell r="G38">
            <v>1.1025</v>
          </cell>
          <cell r="H38">
            <v>1.1576250000000001</v>
          </cell>
          <cell r="I38">
            <v>1.21550625</v>
          </cell>
          <cell r="J38">
            <v>1.2762815625000001</v>
          </cell>
          <cell r="K38">
            <v>1.340095640625</v>
          </cell>
          <cell r="L38">
            <v>1.4071004226562502</v>
          </cell>
          <cell r="M38">
            <v>1.4774554437890626</v>
          </cell>
          <cell r="N38">
            <v>1.5513282159785158</v>
          </cell>
          <cell r="O38">
            <v>1.6288946267774416</v>
          </cell>
          <cell r="P38">
            <v>1.7103393581163138</v>
          </cell>
          <cell r="Q38">
            <v>1.7958563260221292</v>
          </cell>
          <cell r="R38">
            <v>1.885649142323236</v>
          </cell>
          <cell r="S38">
            <v>1.9799315994393973</v>
          </cell>
          <cell r="T38">
            <v>2.0789281794113679</v>
          </cell>
          <cell r="U38">
            <v>2.182874588381936</v>
          </cell>
          <cell r="V38">
            <v>2.2920183178010332</v>
          </cell>
          <cell r="W38">
            <v>2.4066192336910848</v>
          </cell>
          <cell r="X38">
            <v>2.526950195375639</v>
          </cell>
          <cell r="Y38">
            <v>2.6532977051444209</v>
          </cell>
          <cell r="Z38">
            <v>2.7859625904016418</v>
          </cell>
          <cell r="AA38">
            <v>2.9252607199217238</v>
          </cell>
          <cell r="AB38">
            <v>3.0715237559178106</v>
          </cell>
          <cell r="AC38">
            <v>3.2250999437137007</v>
          </cell>
          <cell r="AD38">
            <v>3.3863549408993858</v>
          </cell>
          <cell r="AE38">
            <v>3.5556726879443552</v>
          </cell>
          <cell r="AF38">
            <v>3.7334563223415733</v>
          </cell>
          <cell r="AG38">
            <v>3.9201291384586514</v>
          </cell>
          <cell r="AH38">
            <v>4.1161355953815848</v>
          </cell>
          <cell r="AI38">
            <v>4.3219423751506625</v>
          </cell>
        </row>
        <row r="49">
          <cell r="C49" t="str">
            <v>Routine Maintenance</v>
          </cell>
          <cell r="D49"/>
          <cell r="E49">
            <v>0</v>
          </cell>
          <cell r="F49">
            <v>0</v>
          </cell>
          <cell r="G49">
            <v>0</v>
          </cell>
          <cell r="H49">
            <v>1</v>
          </cell>
          <cell r="I49">
            <v>1</v>
          </cell>
          <cell r="J49">
            <v>1</v>
          </cell>
          <cell r="K49">
            <v>1</v>
          </cell>
          <cell r="L49">
            <v>1</v>
          </cell>
          <cell r="M49">
            <v>1</v>
          </cell>
          <cell r="N49">
            <v>1</v>
          </cell>
          <cell r="O49">
            <v>1</v>
          </cell>
          <cell r="P49">
            <v>1</v>
          </cell>
          <cell r="Q49">
            <v>1</v>
          </cell>
          <cell r="R49">
            <v>1</v>
          </cell>
          <cell r="S49">
            <v>1</v>
          </cell>
          <cell r="T49">
            <v>1</v>
          </cell>
          <cell r="U49">
            <v>1</v>
          </cell>
          <cell r="V49">
            <v>1</v>
          </cell>
          <cell r="W49">
            <v>1</v>
          </cell>
          <cell r="X49">
            <v>1</v>
          </cell>
          <cell r="Y49">
            <v>1</v>
          </cell>
          <cell r="Z49">
            <v>1</v>
          </cell>
          <cell r="AA49">
            <v>1</v>
          </cell>
          <cell r="AB49">
            <v>1</v>
          </cell>
          <cell r="AC49">
            <v>1</v>
          </cell>
          <cell r="AD49">
            <v>1</v>
          </cell>
          <cell r="AE49">
            <v>1</v>
          </cell>
          <cell r="AF49">
            <v>1</v>
          </cell>
          <cell r="AG49">
            <v>1</v>
          </cell>
          <cell r="AH49">
            <v>1</v>
          </cell>
          <cell r="AI49">
            <v>1</v>
          </cell>
        </row>
        <row r="51">
          <cell r="C51" t="str">
            <v>Recurrent Maintenance</v>
          </cell>
          <cell r="D51"/>
          <cell r="E51">
            <v>0</v>
          </cell>
          <cell r="F51">
            <v>0</v>
          </cell>
          <cell r="G51">
            <v>0</v>
          </cell>
          <cell r="H51">
            <v>0</v>
          </cell>
          <cell r="I51">
            <v>0</v>
          </cell>
          <cell r="J51">
            <v>1</v>
          </cell>
          <cell r="K51">
            <v>0</v>
          </cell>
          <cell r="L51">
            <v>0</v>
          </cell>
          <cell r="M51">
            <v>1</v>
          </cell>
          <cell r="N51">
            <v>0</v>
          </cell>
          <cell r="O51">
            <v>0</v>
          </cell>
          <cell r="P51">
            <v>1</v>
          </cell>
          <cell r="Q51">
            <v>0</v>
          </cell>
          <cell r="R51">
            <v>0</v>
          </cell>
          <cell r="S51">
            <v>1</v>
          </cell>
          <cell r="T51">
            <v>0</v>
          </cell>
          <cell r="U51">
            <v>0</v>
          </cell>
          <cell r="V51">
            <v>1</v>
          </cell>
          <cell r="W51">
            <v>0</v>
          </cell>
          <cell r="X51">
            <v>0</v>
          </cell>
          <cell r="Y51">
            <v>1</v>
          </cell>
          <cell r="Z51">
            <v>0</v>
          </cell>
          <cell r="AA51">
            <v>0</v>
          </cell>
          <cell r="AB51">
            <v>1</v>
          </cell>
          <cell r="AC51">
            <v>0</v>
          </cell>
          <cell r="AD51">
            <v>0</v>
          </cell>
          <cell r="AE51">
            <v>1</v>
          </cell>
          <cell r="AF51">
            <v>0</v>
          </cell>
          <cell r="AG51">
            <v>0</v>
          </cell>
          <cell r="AH51">
            <v>1</v>
          </cell>
          <cell r="AI51">
            <v>0</v>
          </cell>
        </row>
        <row r="53">
          <cell r="C53" t="str">
            <v>Periodic Maintenance</v>
          </cell>
          <cell r="D53"/>
          <cell r="E53">
            <v>0</v>
          </cell>
          <cell r="F53">
            <v>0</v>
          </cell>
          <cell r="G53">
            <v>0</v>
          </cell>
          <cell r="H53">
            <v>0</v>
          </cell>
          <cell r="I53">
            <v>0</v>
          </cell>
          <cell r="J53">
            <v>0</v>
          </cell>
          <cell r="K53">
            <v>0</v>
          </cell>
          <cell r="L53">
            <v>1</v>
          </cell>
          <cell r="M53">
            <v>0</v>
          </cell>
          <cell r="N53">
            <v>0</v>
          </cell>
          <cell r="O53">
            <v>0</v>
          </cell>
          <cell r="P53">
            <v>0</v>
          </cell>
          <cell r="Q53">
            <v>1</v>
          </cell>
          <cell r="R53">
            <v>0</v>
          </cell>
          <cell r="S53">
            <v>0</v>
          </cell>
          <cell r="T53">
            <v>0</v>
          </cell>
          <cell r="U53">
            <v>0</v>
          </cell>
          <cell r="V53">
            <v>1</v>
          </cell>
          <cell r="W53">
            <v>0</v>
          </cell>
          <cell r="X53">
            <v>0</v>
          </cell>
          <cell r="Y53">
            <v>0</v>
          </cell>
          <cell r="Z53">
            <v>0</v>
          </cell>
          <cell r="AA53">
            <v>1</v>
          </cell>
          <cell r="AB53">
            <v>0</v>
          </cell>
          <cell r="AC53">
            <v>0</v>
          </cell>
          <cell r="AD53">
            <v>0</v>
          </cell>
          <cell r="AE53">
            <v>0</v>
          </cell>
          <cell r="AF53">
            <v>1</v>
          </cell>
          <cell r="AG53">
            <v>0</v>
          </cell>
          <cell r="AH53">
            <v>0</v>
          </cell>
          <cell r="AI53">
            <v>0</v>
          </cell>
        </row>
        <row r="55">
          <cell r="C55" t="str">
            <v>Emergency Maintenance</v>
          </cell>
          <cell r="D55"/>
          <cell r="E55">
            <v>0</v>
          </cell>
          <cell r="F55">
            <v>0</v>
          </cell>
          <cell r="G55">
            <v>0</v>
          </cell>
          <cell r="H55">
            <v>1</v>
          </cell>
          <cell r="I55">
            <v>1</v>
          </cell>
          <cell r="J55">
            <v>1</v>
          </cell>
          <cell r="K55">
            <v>1</v>
          </cell>
          <cell r="L55">
            <v>1</v>
          </cell>
          <cell r="M55">
            <v>1</v>
          </cell>
          <cell r="N55">
            <v>1</v>
          </cell>
          <cell r="O55">
            <v>1</v>
          </cell>
          <cell r="P55">
            <v>1</v>
          </cell>
          <cell r="Q55">
            <v>1</v>
          </cell>
          <cell r="R55">
            <v>1</v>
          </cell>
          <cell r="S55">
            <v>1</v>
          </cell>
          <cell r="T55">
            <v>1</v>
          </cell>
          <cell r="U55">
            <v>1</v>
          </cell>
          <cell r="V55">
            <v>1</v>
          </cell>
          <cell r="W55">
            <v>1</v>
          </cell>
          <cell r="X55">
            <v>1</v>
          </cell>
          <cell r="Y55">
            <v>1</v>
          </cell>
          <cell r="Z55">
            <v>1</v>
          </cell>
          <cell r="AA55">
            <v>1</v>
          </cell>
          <cell r="AB55">
            <v>1</v>
          </cell>
          <cell r="AC55">
            <v>1</v>
          </cell>
          <cell r="AD55">
            <v>1</v>
          </cell>
          <cell r="AE55">
            <v>1</v>
          </cell>
          <cell r="AF55">
            <v>1</v>
          </cell>
          <cell r="AG55">
            <v>1</v>
          </cell>
          <cell r="AH55">
            <v>1</v>
          </cell>
          <cell r="AI55">
            <v>1</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 Map"/>
      <sheetName val="Summary Output"/>
      <sheetName val="Assumptions"/>
      <sheetName val="Traffic forecast"/>
      <sheetName val="Capex"/>
      <sheetName val="Depreciation"/>
      <sheetName val="Maintenance Cost"/>
      <sheetName val="Operating Cost"/>
      <sheetName val="Income"/>
      <sheetName val="Debt finance"/>
      <sheetName val="Financial Statements"/>
      <sheetName val="Sheet2"/>
    </sheetNames>
    <sheetDataSet>
      <sheetData sheetId="0"/>
      <sheetData sheetId="1">
        <row r="47">
          <cell r="D47">
            <v>100</v>
          </cell>
        </row>
        <row r="48">
          <cell r="D48">
            <v>200</v>
          </cell>
          <cell r="F48">
            <v>53333.333333333336</v>
          </cell>
        </row>
        <row r="49">
          <cell r="D49">
            <v>400</v>
          </cell>
          <cell r="F49">
            <v>4333.333333333333</v>
          </cell>
        </row>
        <row r="50">
          <cell r="D50">
            <v>500</v>
          </cell>
          <cell r="F50">
            <v>2000</v>
          </cell>
        </row>
        <row r="51">
          <cell r="D51">
            <v>500</v>
          </cell>
          <cell r="F51">
            <v>233.33333333333334</v>
          </cell>
        </row>
        <row r="52">
          <cell r="D52">
            <v>20</v>
          </cell>
          <cell r="F52">
            <v>1333.3333333333333</v>
          </cell>
        </row>
      </sheetData>
      <sheetData sheetId="2">
        <row r="5">
          <cell r="E5">
            <v>126</v>
          </cell>
        </row>
        <row r="63">
          <cell r="E63">
            <v>5.0000000000000001E-3</v>
          </cell>
        </row>
        <row r="93">
          <cell r="E93">
            <v>2015</v>
          </cell>
        </row>
        <row r="109">
          <cell r="E109">
            <v>0.05</v>
          </cell>
        </row>
        <row r="110">
          <cell r="E110">
            <v>3</v>
          </cell>
        </row>
        <row r="166">
          <cell r="D166" t="str">
            <v>Mini-Buses / Jeeps</v>
          </cell>
          <cell r="G166">
            <v>0.02</v>
          </cell>
          <cell r="H166">
            <v>0.02</v>
          </cell>
        </row>
        <row r="167">
          <cell r="G167">
            <v>0.02</v>
          </cell>
          <cell r="H167">
            <v>0.02</v>
          </cell>
        </row>
        <row r="168">
          <cell r="G168">
            <v>0.02</v>
          </cell>
          <cell r="H168">
            <v>0.02</v>
          </cell>
        </row>
        <row r="169">
          <cell r="G169">
            <v>0.02</v>
          </cell>
          <cell r="H169">
            <v>0.02</v>
          </cell>
        </row>
        <row r="170">
          <cell r="G170">
            <v>0.02</v>
          </cell>
          <cell r="H170">
            <v>0.02</v>
          </cell>
        </row>
        <row r="173">
          <cell r="E173">
            <v>6</v>
          </cell>
        </row>
        <row r="174">
          <cell r="E174">
            <v>0.1</v>
          </cell>
        </row>
        <row r="175">
          <cell r="E175">
            <v>5.0000000000000001E-3</v>
          </cell>
        </row>
        <row r="177">
          <cell r="E177">
            <v>3</v>
          </cell>
        </row>
      </sheetData>
      <sheetData sheetId="3"/>
      <sheetData sheetId="4"/>
      <sheetData sheetId="5"/>
      <sheetData sheetId="6"/>
      <sheetData sheetId="7"/>
      <sheetData sheetId="8"/>
      <sheetData sheetId="9"/>
      <sheetData sheetId="10"/>
      <sheetData sheetId="1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Sheet1"/>
      <sheetName val="Cost estimation"/>
      <sheetName val=" Revenue Projections"/>
      <sheetName val="Content Sheet"/>
      <sheetName val="Chart Analysis"/>
      <sheetName val="Output Sheet "/>
      <sheetName val="Assumption Sheet"/>
      <sheetName val="Valuation"/>
      <sheetName val="Financial Statements"/>
      <sheetName val="Capex"/>
      <sheetName val="Drawdown "/>
      <sheetName val="Debt"/>
      <sheetName val="Revenue "/>
      <sheetName val="Lagos State Equity Valuation"/>
      <sheetName val="Depreciation"/>
      <sheetName val="Offplan Sales"/>
      <sheetName val="Flags"/>
    </sheetNames>
    <sheetDataSet>
      <sheetData sheetId="0"/>
      <sheetData sheetId="1"/>
      <sheetData sheetId="2"/>
      <sheetData sheetId="3"/>
      <sheetData sheetId="4"/>
      <sheetData sheetId="5"/>
      <sheetData sheetId="6">
        <row r="16">
          <cell r="E16">
            <v>0</v>
          </cell>
        </row>
        <row r="17">
          <cell r="E17">
            <v>0</v>
          </cell>
        </row>
        <row r="18">
          <cell r="E18">
            <v>0</v>
          </cell>
        </row>
        <row r="19">
          <cell r="E19">
            <v>0</v>
          </cell>
        </row>
        <row r="20">
          <cell r="E20">
            <v>0</v>
          </cell>
        </row>
        <row r="21">
          <cell r="E21">
            <v>0</v>
          </cell>
        </row>
        <row r="22">
          <cell r="E22">
            <v>0</v>
          </cell>
        </row>
        <row r="23">
          <cell r="E23">
            <v>0</v>
          </cell>
        </row>
        <row r="26">
          <cell r="E26">
            <v>0</v>
          </cell>
        </row>
        <row r="40">
          <cell r="E40">
            <v>0.16</v>
          </cell>
        </row>
        <row r="44">
          <cell r="G44">
            <v>0.04</v>
          </cell>
        </row>
      </sheetData>
      <sheetData sheetId="7">
        <row r="5">
          <cell r="E5">
            <v>2000000000</v>
          </cell>
        </row>
        <row r="6">
          <cell r="E6">
            <v>4760000000</v>
          </cell>
        </row>
        <row r="7">
          <cell r="E7">
            <v>186591196000</v>
          </cell>
        </row>
        <row r="8">
          <cell r="E8">
            <v>193351196000</v>
          </cell>
        </row>
        <row r="10">
          <cell r="E10">
            <v>9667559800</v>
          </cell>
        </row>
        <row r="12">
          <cell r="E12">
            <v>5800535880</v>
          </cell>
        </row>
        <row r="13">
          <cell r="E13">
            <v>212686315600</v>
          </cell>
        </row>
        <row r="14">
          <cell r="E14">
            <v>39816724255.868477</v>
          </cell>
        </row>
        <row r="15">
          <cell r="E15">
            <v>252503039855.86847</v>
          </cell>
        </row>
        <row r="22">
          <cell r="E22">
            <v>46647799000</v>
          </cell>
        </row>
        <row r="32">
          <cell r="E32">
            <v>0.3</v>
          </cell>
          <cell r="F32">
            <v>75750911956.760544</v>
          </cell>
        </row>
        <row r="33">
          <cell r="E33">
            <v>0.7</v>
          </cell>
          <cell r="F33">
            <v>176752127899.10791</v>
          </cell>
        </row>
        <row r="34">
          <cell r="E34"/>
        </row>
        <row r="38">
          <cell r="E38">
            <v>2016</v>
          </cell>
        </row>
        <row r="39">
          <cell r="E39">
            <v>5</v>
          </cell>
        </row>
        <row r="40">
          <cell r="E40">
            <v>2020</v>
          </cell>
        </row>
        <row r="41">
          <cell r="E41"/>
        </row>
        <row r="47">
          <cell r="E47">
            <v>600</v>
          </cell>
        </row>
        <row r="49">
          <cell r="E49">
            <v>100000</v>
          </cell>
        </row>
        <row r="52">
          <cell r="E52">
            <v>3</v>
          </cell>
        </row>
        <row r="54">
          <cell r="E54">
            <v>600</v>
          </cell>
        </row>
        <row r="56">
          <cell r="E56">
            <v>60000</v>
          </cell>
        </row>
        <row r="61">
          <cell r="E61">
            <v>300</v>
          </cell>
        </row>
        <row r="63">
          <cell r="E63">
            <v>40000</v>
          </cell>
        </row>
        <row r="66">
          <cell r="E66">
            <v>365</v>
          </cell>
        </row>
        <row r="68">
          <cell r="E68">
            <v>0.7</v>
          </cell>
        </row>
        <row r="69">
          <cell r="E69">
            <v>0.05</v>
          </cell>
        </row>
        <row r="70">
          <cell r="E70">
            <v>3</v>
          </cell>
        </row>
        <row r="71">
          <cell r="E71">
            <v>2021</v>
          </cell>
        </row>
        <row r="72">
          <cell r="E72">
            <v>0.2</v>
          </cell>
        </row>
        <row r="73">
          <cell r="E73">
            <v>0.5</v>
          </cell>
        </row>
        <row r="74">
          <cell r="E74">
            <v>0.1</v>
          </cell>
        </row>
        <row r="75">
          <cell r="E75">
            <v>0.03</v>
          </cell>
        </row>
        <row r="80">
          <cell r="E80">
            <v>69324</v>
          </cell>
        </row>
        <row r="81">
          <cell r="E81">
            <v>0.4</v>
          </cell>
        </row>
        <row r="83">
          <cell r="E83">
            <v>27729.600000000002</v>
          </cell>
        </row>
        <row r="84">
          <cell r="E84">
            <v>41594.400000000001</v>
          </cell>
        </row>
        <row r="86">
          <cell r="E86">
            <v>1600000</v>
          </cell>
        </row>
        <row r="88">
          <cell r="E88">
            <v>140000</v>
          </cell>
        </row>
        <row r="89">
          <cell r="E89">
            <v>2</v>
          </cell>
        </row>
        <row r="90">
          <cell r="E90">
            <v>0.05</v>
          </cell>
        </row>
        <row r="92">
          <cell r="E92">
            <v>0.85</v>
          </cell>
        </row>
        <row r="100">
          <cell r="E100">
            <v>31968</v>
          </cell>
        </row>
        <row r="101">
          <cell r="E101">
            <v>0.4</v>
          </cell>
        </row>
        <row r="103">
          <cell r="E103">
            <v>12787.2</v>
          </cell>
        </row>
        <row r="104">
          <cell r="E104">
            <v>19180.8</v>
          </cell>
        </row>
        <row r="105">
          <cell r="E105">
            <v>1400000</v>
          </cell>
        </row>
        <row r="108">
          <cell r="E108">
            <v>110000</v>
          </cell>
        </row>
        <row r="109">
          <cell r="E109">
            <v>2</v>
          </cell>
        </row>
        <row r="110">
          <cell r="E110">
            <v>0.05</v>
          </cell>
        </row>
        <row r="112">
          <cell r="E112">
            <v>0.6</v>
          </cell>
        </row>
        <row r="118">
          <cell r="F118">
            <v>100000</v>
          </cell>
          <cell r="G118">
            <v>150</v>
          </cell>
        </row>
        <row r="119">
          <cell r="F119">
            <v>150000</v>
          </cell>
          <cell r="G119">
            <v>120</v>
          </cell>
        </row>
        <row r="120">
          <cell r="F120">
            <v>300000</v>
          </cell>
          <cell r="G120">
            <v>60</v>
          </cell>
        </row>
        <row r="121">
          <cell r="F121">
            <v>1000000</v>
          </cell>
          <cell r="G121">
            <v>50</v>
          </cell>
        </row>
        <row r="122">
          <cell r="F122">
            <v>8000000</v>
          </cell>
          <cell r="G122">
            <v>30</v>
          </cell>
        </row>
        <row r="123">
          <cell r="F123">
            <v>15000000</v>
          </cell>
          <cell r="G123">
            <v>4</v>
          </cell>
        </row>
        <row r="124">
          <cell r="G124">
            <v>0.08</v>
          </cell>
        </row>
        <row r="125">
          <cell r="G125">
            <v>0.4</v>
          </cell>
        </row>
        <row r="126">
          <cell r="G126">
            <v>2021</v>
          </cell>
        </row>
        <row r="130">
          <cell r="E130">
            <v>80000000</v>
          </cell>
          <cell r="G130">
            <v>80</v>
          </cell>
        </row>
        <row r="131">
          <cell r="E131">
            <v>140000000</v>
          </cell>
          <cell r="G131">
            <v>150</v>
          </cell>
        </row>
        <row r="132">
          <cell r="E132">
            <v>170000000</v>
          </cell>
          <cell r="G132">
            <v>250</v>
          </cell>
        </row>
        <row r="133">
          <cell r="E133">
            <v>600000000</v>
          </cell>
          <cell r="G133">
            <v>35</v>
          </cell>
        </row>
        <row r="134">
          <cell r="E134">
            <v>800000000</v>
          </cell>
          <cell r="G134">
            <v>30</v>
          </cell>
        </row>
        <row r="135">
          <cell r="E135">
            <v>1000000000</v>
          </cell>
          <cell r="G135">
            <v>25</v>
          </cell>
        </row>
        <row r="147">
          <cell r="E147">
            <v>1</v>
          </cell>
        </row>
        <row r="148">
          <cell r="E148">
            <v>3000000000</v>
          </cell>
        </row>
        <row r="150">
          <cell r="E150">
            <v>2025</v>
          </cell>
        </row>
        <row r="153">
          <cell r="E153">
            <v>364</v>
          </cell>
        </row>
        <row r="154">
          <cell r="E154">
            <v>0.05</v>
          </cell>
        </row>
        <row r="155">
          <cell r="E155">
            <v>2</v>
          </cell>
        </row>
        <row r="156">
          <cell r="E156">
            <v>2021</v>
          </cell>
        </row>
        <row r="159">
          <cell r="E159">
            <v>3000</v>
          </cell>
        </row>
        <row r="160">
          <cell r="E160">
            <v>5</v>
          </cell>
        </row>
        <row r="161">
          <cell r="E161">
            <v>500</v>
          </cell>
        </row>
        <row r="164">
          <cell r="E164">
            <v>100</v>
          </cell>
        </row>
        <row r="165">
          <cell r="E165">
            <v>500</v>
          </cell>
        </row>
        <row r="168">
          <cell r="E168">
            <v>800</v>
          </cell>
        </row>
        <row r="169">
          <cell r="E169">
            <v>1000</v>
          </cell>
        </row>
        <row r="176">
          <cell r="E176">
            <v>2000</v>
          </cell>
        </row>
        <row r="177">
          <cell r="E177">
            <v>10000</v>
          </cell>
        </row>
        <row r="178">
          <cell r="E178">
            <v>1238.0952380952381</v>
          </cell>
        </row>
        <row r="181">
          <cell r="E181">
            <v>200</v>
          </cell>
        </row>
        <row r="182">
          <cell r="E182">
            <v>0.32</v>
          </cell>
        </row>
        <row r="185">
          <cell r="E185">
            <v>0.02</v>
          </cell>
        </row>
        <row r="186">
          <cell r="E186">
            <v>0.25</v>
          </cell>
        </row>
        <row r="187">
          <cell r="E187">
            <v>0.25</v>
          </cell>
        </row>
        <row r="190">
          <cell r="E190">
            <v>50</v>
          </cell>
        </row>
        <row r="193">
          <cell r="E193">
            <v>0</v>
          </cell>
        </row>
        <row r="212">
          <cell r="E212">
            <v>7.0000000000000007E-2</v>
          </cell>
        </row>
        <row r="218">
          <cell r="E218">
            <v>0.02</v>
          </cell>
        </row>
        <row r="219">
          <cell r="E219">
            <v>0.05</v>
          </cell>
        </row>
        <row r="220">
          <cell r="E220">
            <v>7.0000000000000007E-2</v>
          </cell>
        </row>
        <row r="221">
          <cell r="E221">
            <v>12</v>
          </cell>
        </row>
        <row r="222">
          <cell r="E222">
            <v>5</v>
          </cell>
        </row>
        <row r="223">
          <cell r="E223">
            <v>7</v>
          </cell>
        </row>
        <row r="224">
          <cell r="E224">
            <v>2</v>
          </cell>
        </row>
        <row r="225">
          <cell r="E225">
            <v>14</v>
          </cell>
        </row>
        <row r="227">
          <cell r="E227">
            <v>1.4999999999999999E-2</v>
          </cell>
        </row>
        <row r="228">
          <cell r="E228">
            <v>0.01</v>
          </cell>
        </row>
        <row r="229">
          <cell r="E229">
            <v>1</v>
          </cell>
        </row>
        <row r="230">
          <cell r="E230">
            <v>5</v>
          </cell>
        </row>
        <row r="231">
          <cell r="E231">
            <v>0</v>
          </cell>
        </row>
        <row r="251">
          <cell r="E251">
            <v>176752127899.10791</v>
          </cell>
        </row>
      </sheetData>
      <sheetData sheetId="8"/>
      <sheetData sheetId="9"/>
      <sheetData sheetId="10"/>
      <sheetData sheetId="11"/>
      <sheetData sheetId="12">
        <row r="47">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row>
      </sheetData>
      <sheetData sheetId="13"/>
      <sheetData sheetId="14">
        <row r="14">
          <cell r="D14">
            <v>1.4999999999999999E-2</v>
          </cell>
        </row>
      </sheetData>
      <sheetData sheetId="15"/>
      <sheetData sheetId="16"/>
      <sheetData sheetId="17">
        <row r="27">
          <cell r="E27">
            <v>1</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2"/>
      <sheetName val="Revenue Price List (2)"/>
      <sheetName val="Phase 3"/>
      <sheetName val="Phase 2"/>
      <sheetName val="Phase 1"/>
      <sheetName val="Infrastructure Cost "/>
      <sheetName val="Exc Sum"/>
      <sheetName val="COVER PAGE"/>
      <sheetName val="Sheet1"/>
      <sheetName val="Cost estimation"/>
      <sheetName val=" Revenue Projections"/>
      <sheetName val="Output Sheet "/>
      <sheetName val="Utility "/>
      <sheetName val="Cost Comparison "/>
      <sheetName val="Revenue Lease "/>
      <sheetName val="Sheet3"/>
      <sheetName val="Price Comparison"/>
      <sheetName val="OPEX"/>
      <sheetName val="Content Sheet"/>
      <sheetName val="Chart Analysis"/>
      <sheetName val="Capex"/>
      <sheetName val="Drawdown "/>
      <sheetName val="Revenue Price List"/>
      <sheetName val="C1"/>
      <sheetName val="Sheet2"/>
      <sheetName val="Valuation"/>
      <sheetName val="Debt"/>
      <sheetName val="Financial Statement"/>
      <sheetName val="Assumption Sheet"/>
      <sheetName val="NNPC Equity Valuaton"/>
      <sheetName val="Depreciation"/>
      <sheetName val="Revenue Land "/>
      <sheetName val="Revenue Sales "/>
      <sheetName val="Cost of Capital "/>
      <sheetName val="Sheet4"/>
      <sheetName val="Offplan Sales"/>
      <sheetName val="REFRENCE"/>
      <sheetName val="Flags"/>
      <sheetName val="Market  Valuation Method  "/>
      <sheetName val="Asset Valuation "/>
      <sheetName val="Mixed Used 1"/>
      <sheetName val="Mixed Used 2"/>
      <sheetName val="Mixed Used 4"/>
      <sheetName val="Mixed Used 3"/>
      <sheetName val="Payback Period"/>
      <sheetName val="Price Justification "/>
      <sheetName val="C3"/>
      <sheetName val="C1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17">
          <cell r="D17">
            <v>0</v>
          </cell>
        </row>
        <row r="18">
          <cell r="D18">
            <v>0</v>
          </cell>
        </row>
        <row r="19">
          <cell r="D19">
            <v>0</v>
          </cell>
        </row>
        <row r="20">
          <cell r="D20">
            <v>0</v>
          </cell>
        </row>
        <row r="23">
          <cell r="D23">
            <v>0</v>
          </cell>
        </row>
        <row r="24">
          <cell r="D24">
            <v>0</v>
          </cell>
        </row>
        <row r="25">
          <cell r="D25">
            <v>0</v>
          </cell>
        </row>
        <row r="28">
          <cell r="D28">
            <v>0</v>
          </cell>
        </row>
        <row r="29">
          <cell r="D29">
            <v>0</v>
          </cell>
        </row>
        <row r="32">
          <cell r="D32">
            <v>0</v>
          </cell>
        </row>
        <row r="33">
          <cell r="D33">
            <v>0</v>
          </cell>
        </row>
        <row r="34">
          <cell r="D34">
            <v>0</v>
          </cell>
        </row>
        <row r="70">
          <cell r="F70" t="str">
            <v>Option 1</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row r="28">
          <cell r="E28">
            <v>164633389444.45258</v>
          </cell>
        </row>
        <row r="32">
          <cell r="F32">
            <v>12000000000</v>
          </cell>
        </row>
        <row r="33">
          <cell r="F33">
            <v>17476062380.000004</v>
          </cell>
        </row>
        <row r="34">
          <cell r="F34">
            <v>648710000</v>
          </cell>
        </row>
        <row r="35">
          <cell r="F35">
            <v>11093817000</v>
          </cell>
        </row>
        <row r="36">
          <cell r="F36">
            <v>5007662883.5833359</v>
          </cell>
        </row>
        <row r="37">
          <cell r="F37">
            <v>12089429000</v>
          </cell>
        </row>
        <row r="38">
          <cell r="F38">
            <v>5227260467.333334</v>
          </cell>
        </row>
        <row r="39">
          <cell r="F39">
            <v>38706927678.300003</v>
          </cell>
        </row>
        <row r="40">
          <cell r="F40">
            <v>45878310618.666664</v>
          </cell>
        </row>
        <row r="44">
          <cell r="F44">
            <v>3703204500.6970835</v>
          </cell>
        </row>
        <row r="45">
          <cell r="F45">
            <v>1185025440.2230666</v>
          </cell>
        </row>
        <row r="46">
          <cell r="F46">
            <v>7406409001.3941669</v>
          </cell>
        </row>
        <row r="49">
          <cell r="F49">
            <v>200000000</v>
          </cell>
        </row>
        <row r="50">
          <cell r="F50">
            <v>4010570474.254941</v>
          </cell>
        </row>
        <row r="58">
          <cell r="F58">
            <v>21010957690.537502</v>
          </cell>
        </row>
        <row r="59">
          <cell r="F59">
            <v>12817202499.195347</v>
          </cell>
        </row>
        <row r="60">
          <cell r="F60">
            <v>40390142923.996002</v>
          </cell>
        </row>
        <row r="62">
          <cell r="F62">
            <v>1855457577.8432214</v>
          </cell>
        </row>
        <row r="63">
          <cell r="F63">
            <v>593746424.90983081</v>
          </cell>
        </row>
        <row r="64">
          <cell r="F64">
            <v>3710915155.6864429</v>
          </cell>
        </row>
        <row r="67">
          <cell r="F67">
            <v>150000000</v>
          </cell>
        </row>
        <row r="68">
          <cell r="F68">
            <v>2009460556.8042088</v>
          </cell>
        </row>
        <row r="76">
          <cell r="F76">
            <v>4325813099.7150002</v>
          </cell>
        </row>
        <row r="77">
          <cell r="F77">
            <v>2507370131.1297073</v>
          </cell>
        </row>
        <row r="78">
          <cell r="F78">
            <v>5699690165.2447987</v>
          </cell>
        </row>
        <row r="81">
          <cell r="F81">
            <v>313321834.90223765</v>
          </cell>
        </row>
        <row r="82">
          <cell r="F82">
            <v>100262987.16871606</v>
          </cell>
        </row>
        <row r="83">
          <cell r="F83">
            <v>626643669.80447531</v>
          </cell>
        </row>
        <row r="86">
          <cell r="F86">
            <v>150000000</v>
          </cell>
        </row>
        <row r="87">
          <cell r="F87">
            <v>339327547.19912338</v>
          </cell>
        </row>
        <row r="101">
          <cell r="F101">
            <v>261233701708.58917</v>
          </cell>
        </row>
        <row r="106">
          <cell r="E106">
            <v>0.5</v>
          </cell>
        </row>
        <row r="107">
          <cell r="E107">
            <v>0.5</v>
          </cell>
        </row>
        <row r="109">
          <cell r="E109">
            <v>0.5</v>
          </cell>
        </row>
        <row r="110">
          <cell r="E110">
            <v>0.5</v>
          </cell>
        </row>
        <row r="113">
          <cell r="E113">
            <v>0.9</v>
          </cell>
        </row>
        <row r="117">
          <cell r="E117">
            <v>0.8</v>
          </cell>
          <cell r="F117">
            <v>0.2</v>
          </cell>
        </row>
        <row r="120">
          <cell r="E120">
            <v>1</v>
          </cell>
        </row>
        <row r="123">
          <cell r="E123">
            <v>12</v>
          </cell>
        </row>
        <row r="124">
          <cell r="E124">
            <v>12</v>
          </cell>
        </row>
        <row r="231">
          <cell r="I231">
            <v>26150000000</v>
          </cell>
        </row>
        <row r="232">
          <cell r="I232">
            <v>2945000000</v>
          </cell>
        </row>
        <row r="233">
          <cell r="I233">
            <v>28506000000</v>
          </cell>
        </row>
        <row r="234">
          <cell r="I234">
            <v>7362000000</v>
          </cell>
        </row>
        <row r="235">
          <cell r="I235">
            <v>9147000000</v>
          </cell>
        </row>
        <row r="236">
          <cell r="I236">
            <v>8255000000</v>
          </cell>
        </row>
        <row r="241">
          <cell r="I241">
            <v>13579000000</v>
          </cell>
        </row>
        <row r="245">
          <cell r="E245">
            <v>0.63021496984376102</v>
          </cell>
        </row>
        <row r="246">
          <cell r="E246">
            <v>0.31595419078448395</v>
          </cell>
        </row>
        <row r="247">
          <cell r="E247">
            <v>5.3830839371755132E-2</v>
          </cell>
        </row>
        <row r="456">
          <cell r="E456">
            <v>3430</v>
          </cell>
        </row>
        <row r="457">
          <cell r="E457">
            <v>2570</v>
          </cell>
        </row>
        <row r="458">
          <cell r="E458">
            <v>4165</v>
          </cell>
        </row>
        <row r="461">
          <cell r="E461">
            <v>3330</v>
          </cell>
        </row>
        <row r="462">
          <cell r="E462">
            <v>2470</v>
          </cell>
        </row>
        <row r="463">
          <cell r="E463">
            <v>4065.0000000000005</v>
          </cell>
        </row>
        <row r="466">
          <cell r="E466">
            <v>1920</v>
          </cell>
        </row>
        <row r="467">
          <cell r="E467">
            <v>1075</v>
          </cell>
        </row>
        <row r="468">
          <cell r="E468">
            <v>2685</v>
          </cell>
        </row>
        <row r="471">
          <cell r="E471">
            <v>4350</v>
          </cell>
        </row>
        <row r="472">
          <cell r="E472">
            <v>3320</v>
          </cell>
        </row>
        <row r="473">
          <cell r="E473">
            <v>3735</v>
          </cell>
        </row>
        <row r="476">
          <cell r="E476">
            <v>4350</v>
          </cell>
        </row>
        <row r="477">
          <cell r="E477">
            <v>3320</v>
          </cell>
        </row>
        <row r="478">
          <cell r="E478">
            <v>4525</v>
          </cell>
        </row>
        <row r="481">
          <cell r="E481">
            <v>3735</v>
          </cell>
        </row>
        <row r="482">
          <cell r="E482">
            <v>2870</v>
          </cell>
        </row>
        <row r="552">
          <cell r="E552">
            <v>500</v>
          </cell>
        </row>
        <row r="560">
          <cell r="E560">
            <v>0.1</v>
          </cell>
        </row>
        <row r="561">
          <cell r="E561">
            <v>0.125</v>
          </cell>
        </row>
        <row r="574">
          <cell r="E574">
            <v>2</v>
          </cell>
        </row>
        <row r="575">
          <cell r="E575">
            <v>16</v>
          </cell>
        </row>
        <row r="579">
          <cell r="E579">
            <v>1</v>
          </cell>
        </row>
        <row r="580">
          <cell r="E580">
            <v>2</v>
          </cell>
        </row>
        <row r="581">
          <cell r="E581">
            <v>0</v>
          </cell>
        </row>
        <row r="586">
          <cell r="E586">
            <v>0.17980000000000002</v>
          </cell>
        </row>
        <row r="589">
          <cell r="E589">
            <v>7</v>
          </cell>
        </row>
        <row r="591">
          <cell r="E591">
            <v>14</v>
          </cell>
        </row>
        <row r="599">
          <cell r="E599">
            <v>182863591196.01242</v>
          </cell>
        </row>
      </sheetData>
      <sheetData sheetId="29" refreshError="1"/>
      <sheetData sheetId="30" refreshError="1"/>
      <sheetData sheetId="31" refreshError="1">
        <row r="71">
          <cell r="D71">
            <v>2418450</v>
          </cell>
        </row>
      </sheetData>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ENTS"/>
      <sheetName val="CHART ANALYSIS"/>
      <sheetName val="OUTPUT SHEET"/>
      <sheetName val="SCENARIO ANALYSIS"/>
      <sheetName val="ASSUMPTION SHEET"/>
      <sheetName val="VALUATION"/>
      <sheetName val="FINANCIAL STATEMENTS"/>
      <sheetName val="CAPEX"/>
      <sheetName val="DRAWDOWN"/>
      <sheetName val="DEBT"/>
      <sheetName val="REVENUE"/>
      <sheetName val="HOTEL OVERDRAFT FACILITY"/>
      <sheetName val="APARTMENT SALES"/>
      <sheetName val="FFE RESERVE"/>
      <sheetName val="DEPRECIATION"/>
      <sheetName val="FLAGS"/>
      <sheetName val="Apartment owners cash Share"/>
    </sheetNames>
    <sheetDataSet>
      <sheetData sheetId="0"/>
      <sheetData sheetId="1"/>
      <sheetData sheetId="2">
        <row r="23">
          <cell r="E23">
            <v>0</v>
          </cell>
        </row>
        <row r="25">
          <cell r="E25">
            <v>0</v>
          </cell>
        </row>
        <row r="26">
          <cell r="E26">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UGUS fx"/>
      <sheetName val="Output Sheet "/>
      <sheetName val="Assumption "/>
      <sheetName val="Capex "/>
      <sheetName val="Drawdown "/>
      <sheetName val="Financal Statement"/>
      <sheetName val="Debt"/>
      <sheetName val="Valuation"/>
      <sheetName val="Opex"/>
      <sheetName val="Revenue "/>
      <sheetName val="Depreciation"/>
      <sheetName val="Flag"/>
      <sheetName val="resources"/>
    </sheetNames>
    <sheetDataSet>
      <sheetData sheetId="0"/>
      <sheetData sheetId="1">
        <row r="15">
          <cell r="C15">
            <v>0.25</v>
          </cell>
        </row>
      </sheetData>
      <sheetData sheetId="2">
        <row r="10">
          <cell r="E10">
            <v>15000000</v>
          </cell>
        </row>
        <row r="11">
          <cell r="E11">
            <v>7000000</v>
          </cell>
        </row>
        <row r="12">
          <cell r="E12">
            <v>360000</v>
          </cell>
        </row>
        <row r="13">
          <cell r="E13">
            <v>9600000</v>
          </cell>
        </row>
        <row r="14">
          <cell r="E14">
            <v>1000000</v>
          </cell>
        </row>
        <row r="17">
          <cell r="E17">
            <v>1000000</v>
          </cell>
        </row>
        <row r="21">
          <cell r="E21">
            <v>37220000</v>
          </cell>
        </row>
        <row r="23">
          <cell r="E23">
            <v>7444000</v>
          </cell>
        </row>
        <row r="25">
          <cell r="E25">
            <v>44664000</v>
          </cell>
        </row>
        <row r="33">
          <cell r="E33">
            <v>0.56293339474424908</v>
          </cell>
          <cell r="F33">
            <v>25142857.142857142</v>
          </cell>
        </row>
        <row r="34">
          <cell r="E34">
            <v>0.43706660525575092</v>
          </cell>
        </row>
        <row r="39">
          <cell r="F39">
            <v>1</v>
          </cell>
        </row>
        <row r="40">
          <cell r="F40">
            <v>1</v>
          </cell>
        </row>
        <row r="41">
          <cell r="F41">
            <v>5</v>
          </cell>
        </row>
        <row r="49">
          <cell r="F49">
            <v>100</v>
          </cell>
        </row>
        <row r="50">
          <cell r="F50">
            <v>150</v>
          </cell>
        </row>
        <row r="51">
          <cell r="F51">
            <v>200</v>
          </cell>
        </row>
        <row r="52">
          <cell r="F52">
            <v>200</v>
          </cell>
        </row>
        <row r="53">
          <cell r="F53">
            <v>1000</v>
          </cell>
        </row>
        <row r="55">
          <cell r="F55">
            <v>400</v>
          </cell>
        </row>
        <row r="56">
          <cell r="F56">
            <v>700</v>
          </cell>
        </row>
        <row r="57">
          <cell r="F57">
            <v>1000</v>
          </cell>
        </row>
        <row r="59">
          <cell r="F59">
            <v>600</v>
          </cell>
        </row>
        <row r="60">
          <cell r="F60">
            <v>1050</v>
          </cell>
        </row>
        <row r="61">
          <cell r="F61">
            <v>1500</v>
          </cell>
        </row>
        <row r="69">
          <cell r="F69">
            <v>240</v>
          </cell>
        </row>
        <row r="72">
          <cell r="F72">
            <v>0.1</v>
          </cell>
        </row>
        <row r="73">
          <cell r="F73">
            <v>0.15</v>
          </cell>
        </row>
        <row r="74">
          <cell r="F74">
            <v>0.2</v>
          </cell>
        </row>
        <row r="75">
          <cell r="F75">
            <v>0.3</v>
          </cell>
        </row>
        <row r="76">
          <cell r="F76">
            <v>0.45</v>
          </cell>
        </row>
        <row r="94">
          <cell r="F94">
            <v>2</v>
          </cell>
        </row>
        <row r="95">
          <cell r="F95">
            <v>3.0000000000000001E-3</v>
          </cell>
        </row>
        <row r="112">
          <cell r="E112">
            <v>5</v>
          </cell>
        </row>
        <row r="113">
          <cell r="E113">
            <v>5</v>
          </cell>
        </row>
        <row r="114">
          <cell r="E114">
            <v>5</v>
          </cell>
        </row>
        <row r="115">
          <cell r="E115">
            <v>4</v>
          </cell>
        </row>
        <row r="116">
          <cell r="E116">
            <v>4</v>
          </cell>
        </row>
        <row r="117">
          <cell r="E117">
            <v>0</v>
          </cell>
        </row>
        <row r="118">
          <cell r="E118">
            <v>0</v>
          </cell>
        </row>
        <row r="119">
          <cell r="E119">
            <v>0</v>
          </cell>
        </row>
        <row r="120">
          <cell r="E120">
            <v>0</v>
          </cell>
        </row>
        <row r="121">
          <cell r="E121">
            <v>0</v>
          </cell>
        </row>
        <row r="151">
          <cell r="E151">
            <v>0.26</v>
          </cell>
        </row>
      </sheetData>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ents"/>
      <sheetName val="Scenario Summary"/>
      <sheetName val="Output"/>
      <sheetName val="Valuation"/>
      <sheetName val="Assumption Sheet"/>
      <sheetName val="Fin Statements"/>
      <sheetName val="CAPEX"/>
      <sheetName val="Drawdown"/>
      <sheetName val="Debt Sheet"/>
      <sheetName val="Maintenance"/>
      <sheetName val="Traffic Data"/>
      <sheetName val="Sheet2 (2)"/>
      <sheetName val="Tariffs"/>
      <sheetName val="Revenue Sheet"/>
      <sheetName val="Depreciation"/>
      <sheetName val="OPEX"/>
      <sheetName val="Economic Impact Analysis"/>
      <sheetName val="Flags &amp; Switches"/>
    </sheetNames>
    <sheetDataSet>
      <sheetData sheetId="0"/>
      <sheetData sheetId="1"/>
      <sheetData sheetId="2"/>
      <sheetData sheetId="3"/>
      <sheetData sheetId="4">
        <row r="34">
          <cell r="C34">
            <v>41518</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ents"/>
      <sheetName val="Scenario Summary"/>
      <sheetName val="Output"/>
      <sheetName val="Valuation"/>
      <sheetName val="Assumption Sheet"/>
      <sheetName val="Financial Statements"/>
      <sheetName val="CAPEX"/>
      <sheetName val="Opex"/>
      <sheetName val="Drawdown Schedule"/>
      <sheetName val="Debt Sheet MI"/>
      <sheetName val="Debt Sheet FI"/>
      <sheetName val="Revenue &amp; Demand"/>
      <sheetName val="Non-Pass Revenue"/>
      <sheetName val="Depreciation"/>
      <sheetName val="Opex Service Level"/>
      <sheetName val="Coach Kms"/>
      <sheetName val="BaseData LAMATA"/>
      <sheetName val="Tariff Pricing"/>
      <sheetName val="Flags"/>
      <sheetName val="Sheet1"/>
    </sheetNames>
    <sheetDataSet>
      <sheetData sheetId="0"/>
      <sheetData sheetId="1"/>
      <sheetData sheetId="2">
        <row r="58">
          <cell r="D58">
            <v>0.1</v>
          </cell>
        </row>
        <row r="59">
          <cell r="D59">
            <v>0.6</v>
          </cell>
        </row>
        <row r="60">
          <cell r="D60">
            <v>0.10000000000000006</v>
          </cell>
        </row>
      </sheetData>
      <sheetData sheetId="3"/>
      <sheetData sheetId="4">
        <row r="9">
          <cell r="C9">
            <v>2014</v>
          </cell>
        </row>
        <row r="88">
          <cell r="C88">
            <v>50</v>
          </cell>
        </row>
        <row r="89">
          <cell r="C89">
            <v>50</v>
          </cell>
        </row>
        <row r="90">
          <cell r="C90">
            <v>35</v>
          </cell>
        </row>
        <row r="91">
          <cell r="C91">
            <v>0</v>
          </cell>
        </row>
        <row r="92">
          <cell r="C92">
            <v>0</v>
          </cell>
        </row>
        <row r="93">
          <cell r="C93">
            <v>0</v>
          </cell>
        </row>
        <row r="94">
          <cell r="C94">
            <v>15</v>
          </cell>
        </row>
        <row r="159">
          <cell r="C159">
            <v>250000000</v>
          </cell>
        </row>
        <row r="191">
          <cell r="E191">
            <v>0.10545172431140183</v>
          </cell>
        </row>
        <row r="195">
          <cell r="C195">
            <v>0.1</v>
          </cell>
        </row>
        <row r="201">
          <cell r="C201">
            <v>9.5</v>
          </cell>
        </row>
        <row r="203">
          <cell r="C203">
            <v>1</v>
          </cell>
        </row>
        <row r="205">
          <cell r="C205">
            <v>2</v>
          </cell>
        </row>
        <row r="206">
          <cell r="C206">
            <v>91389735.295056581</v>
          </cell>
        </row>
        <row r="207">
          <cell r="C207">
            <v>0.01</v>
          </cell>
        </row>
        <row r="208">
          <cell r="C208">
            <v>5.0000000000000001E-3</v>
          </cell>
        </row>
        <row r="214">
          <cell r="C214">
            <v>9.999999999999995E-3</v>
          </cell>
        </row>
        <row r="219">
          <cell r="C219">
            <v>14</v>
          </cell>
        </row>
        <row r="221">
          <cell r="C221">
            <v>548338411.77033937</v>
          </cell>
        </row>
        <row r="223">
          <cell r="C223">
            <v>0.01</v>
          </cell>
        </row>
        <row r="224">
          <cell r="C224">
            <v>5.0000000000000001E-3</v>
          </cell>
        </row>
        <row r="230">
          <cell r="C230">
            <v>9.0000000000000011E-2</v>
          </cell>
        </row>
        <row r="232">
          <cell r="C232">
            <v>10</v>
          </cell>
        </row>
        <row r="233">
          <cell r="C233">
            <v>3</v>
          </cell>
        </row>
        <row r="235">
          <cell r="C235">
            <v>14</v>
          </cell>
        </row>
        <row r="237">
          <cell r="C237">
            <v>91389735.295056626</v>
          </cell>
        </row>
        <row r="238">
          <cell r="C238">
            <v>0.01</v>
          </cell>
        </row>
        <row r="239">
          <cell r="C239">
            <v>5.0000000000000001E-3</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Sheet5"/>
      <sheetName val="Capacity Utilisation "/>
      <sheetName val="Sheet4"/>
      <sheetName val="Schedule "/>
      <sheetName val="Volumes and Sales "/>
      <sheetName val="FLAG2"/>
      <sheetName val="Assumption "/>
      <sheetName val="Input"/>
      <sheetName val="Notes"/>
      <sheetName val="Debt"/>
      <sheetName val="Capex "/>
      <sheetName val="TOC"/>
      <sheetName val="Cover Page"/>
      <sheetName val="Drawdown "/>
      <sheetName val="Output"/>
      <sheetName val="Financial Statement 2"/>
      <sheetName val="Sheet7"/>
      <sheetName val="Revenue "/>
      <sheetName val="Val 2 "/>
      <sheetName val="Sheet1"/>
      <sheetName val="Calculation "/>
      <sheetName val="Accurals"/>
      <sheetName val="Fixed Asset"/>
      <sheetName val="Deprecition "/>
      <sheetName val="Production Cost"/>
      <sheetName val="Volume 2"/>
      <sheetName val="Sheet6"/>
      <sheetName val="Charts and Graphs"/>
      <sheetName val="Hist.Financial Stat. "/>
      <sheetName val="Annual FS"/>
      <sheetName val="Power Cost "/>
      <sheetName val="Valuation"/>
      <sheetName val="Revenue Sheet  "/>
      <sheetName val="Direct Cost "/>
      <sheetName val="Comps"/>
      <sheetName val="Retain Earnings "/>
      <sheetName val="Tax "/>
      <sheetName val="Trade Receivables "/>
      <sheetName val="Finance Cost "/>
      <sheetName val="Inventory "/>
      <sheetName val="Sheet2"/>
    </sheetNames>
    <sheetDataSet>
      <sheetData sheetId="0"/>
      <sheetData sheetId="1"/>
      <sheetData sheetId="2">
        <row r="21">
          <cell r="R21">
            <v>360</v>
          </cell>
        </row>
      </sheetData>
      <sheetData sheetId="3"/>
      <sheetData sheetId="4"/>
      <sheetData sheetId="5"/>
      <sheetData sheetId="6"/>
      <sheetData sheetId="7">
        <row r="7">
          <cell r="D7">
            <v>230000000</v>
          </cell>
        </row>
        <row r="8">
          <cell r="D8">
            <v>344370000</v>
          </cell>
        </row>
        <row r="9">
          <cell r="D9">
            <v>1220770800</v>
          </cell>
        </row>
        <row r="18">
          <cell r="D18">
            <v>0.5</v>
          </cell>
          <cell r="E18">
            <v>897570400</v>
          </cell>
        </row>
        <row r="19">
          <cell r="D19">
            <v>0.5</v>
          </cell>
          <cell r="E19">
            <v>897570400</v>
          </cell>
        </row>
        <row r="32">
          <cell r="E32">
            <v>365</v>
          </cell>
        </row>
        <row r="41">
          <cell r="E41">
            <v>0.65</v>
          </cell>
        </row>
        <row r="42">
          <cell r="E42">
            <v>460</v>
          </cell>
        </row>
        <row r="58">
          <cell r="E58">
            <v>14000</v>
          </cell>
        </row>
        <row r="138">
          <cell r="E138">
            <v>30</v>
          </cell>
        </row>
        <row r="139">
          <cell r="E139">
            <v>30</v>
          </cell>
        </row>
        <row r="140">
          <cell r="E140">
            <v>90</v>
          </cell>
        </row>
        <row r="141">
          <cell r="E141">
            <v>0.8</v>
          </cell>
        </row>
        <row r="142">
          <cell r="E142">
            <v>0.2</v>
          </cell>
        </row>
        <row r="149">
          <cell r="D149">
            <v>10</v>
          </cell>
        </row>
        <row r="150">
          <cell r="D150">
            <v>10</v>
          </cell>
        </row>
        <row r="151">
          <cell r="D151">
            <v>25</v>
          </cell>
        </row>
        <row r="152">
          <cell r="D152">
            <v>5</v>
          </cell>
        </row>
        <row r="154">
          <cell r="D154">
            <v>0</v>
          </cell>
        </row>
        <row r="157">
          <cell r="D157">
            <v>0</v>
          </cell>
        </row>
        <row r="158">
          <cell r="D158">
            <v>0</v>
          </cell>
        </row>
        <row r="185">
          <cell r="D185">
            <v>1</v>
          </cell>
        </row>
        <row r="187">
          <cell r="D187">
            <v>0.125</v>
          </cell>
        </row>
        <row r="188">
          <cell r="D188">
            <v>5.5E-2</v>
          </cell>
        </row>
        <row r="189">
          <cell r="D189">
            <v>0.18</v>
          </cell>
        </row>
        <row r="191">
          <cell r="D191">
            <v>1</v>
          </cell>
        </row>
        <row r="195">
          <cell r="D195">
            <v>897570400</v>
          </cell>
        </row>
        <row r="196">
          <cell r="D196">
            <v>0.01</v>
          </cell>
        </row>
        <row r="197">
          <cell r="D197">
            <v>1.4999999999999999E-2</v>
          </cell>
        </row>
        <row r="202">
          <cell r="D202">
            <v>0</v>
          </cell>
        </row>
        <row r="208">
          <cell r="D208">
            <v>0</v>
          </cell>
        </row>
      </sheetData>
      <sheetData sheetId="8"/>
      <sheetData sheetId="9"/>
      <sheetData sheetId="10"/>
      <sheetData sheetId="11"/>
      <sheetData sheetId="12"/>
      <sheetData sheetId="13"/>
      <sheetData sheetId="14"/>
      <sheetData sheetId="15">
        <row r="16">
          <cell r="C16">
            <v>0.25</v>
          </cell>
        </row>
      </sheetData>
      <sheetData sheetId="16"/>
      <sheetData sheetId="17"/>
      <sheetData sheetId="18"/>
      <sheetData sheetId="19"/>
      <sheetData sheetId="20"/>
      <sheetData sheetId="21">
        <row r="61">
          <cell r="N61"/>
        </row>
      </sheetData>
      <sheetData sheetId="22"/>
      <sheetData sheetId="23"/>
      <sheetData sheetId="24"/>
      <sheetData sheetId="25"/>
      <sheetData sheetId="26"/>
      <sheetData sheetId="27"/>
      <sheetData sheetId="28"/>
      <sheetData sheetId="29">
        <row r="143">
          <cell r="H143">
            <v>10.214195397543634</v>
          </cell>
        </row>
      </sheetData>
      <sheetData sheetId="30"/>
      <sheetData sheetId="31"/>
      <sheetData sheetId="32"/>
      <sheetData sheetId="33"/>
      <sheetData sheetId="34">
        <row r="7">
          <cell r="H7">
            <v>644580.6</v>
          </cell>
        </row>
      </sheetData>
      <sheetData sheetId="35"/>
      <sheetData sheetId="36"/>
      <sheetData sheetId="37"/>
      <sheetData sheetId="38"/>
      <sheetData sheetId="39">
        <row r="9">
          <cell r="H9">
            <v>0</v>
          </cell>
        </row>
      </sheetData>
      <sheetData sheetId="40"/>
      <sheetData sheetId="4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
      <sheetName val="Contents"/>
      <sheetName val="Chart Analysis"/>
      <sheetName val="Sheet4"/>
      <sheetName val="Output Sheet"/>
      <sheetName val="Assumption Sheet"/>
      <sheetName val="Sales"/>
      <sheetName val="VALUATION "/>
      <sheetName val="Revenue"/>
      <sheetName val="CAPEX"/>
      <sheetName val="Drawdown"/>
      <sheetName val="Debt"/>
      <sheetName val="FINANCIAL STATEMENTS"/>
      <sheetName val="Mkt &amp; Advert Cost"/>
      <sheetName val="DEPRECIATION"/>
      <sheetName val="Flags"/>
      <sheetName val="Price Justification"/>
    </sheetNames>
    <sheetDataSet>
      <sheetData sheetId="0" refreshError="1"/>
      <sheetData sheetId="1" refreshError="1"/>
      <sheetData sheetId="2" refreshError="1"/>
      <sheetData sheetId="3" refreshError="1"/>
      <sheetData sheetId="4" refreshError="1">
        <row r="20">
          <cell r="D20">
            <v>0</v>
          </cell>
        </row>
        <row r="27">
          <cell r="D27">
            <v>0.2</v>
          </cell>
        </row>
      </sheetData>
      <sheetData sheetId="5" refreshError="1">
        <row r="9">
          <cell r="D9">
            <v>20891833691.102188</v>
          </cell>
        </row>
        <row r="10">
          <cell r="D10">
            <v>1044591684.5551095</v>
          </cell>
        </row>
        <row r="20">
          <cell r="D20">
            <v>6816436600.9803867</v>
          </cell>
        </row>
        <row r="21">
          <cell r="D21">
            <v>13828877536.467573</v>
          </cell>
        </row>
        <row r="22">
          <cell r="D22">
            <v>6620432266.4735909</v>
          </cell>
          <cell r="E22">
            <v>0.24281133435325261</v>
          </cell>
        </row>
        <row r="44">
          <cell r="D44">
            <v>1.5</v>
          </cell>
        </row>
        <row r="45">
          <cell r="D45">
            <v>18</v>
          </cell>
        </row>
        <row r="50">
          <cell r="D50">
            <v>10000</v>
          </cell>
        </row>
        <row r="51">
          <cell r="D51">
            <v>222</v>
          </cell>
        </row>
        <row r="52">
          <cell r="D52">
            <v>2220000</v>
          </cell>
        </row>
        <row r="55">
          <cell r="D55">
            <v>870760.66680000001</v>
          </cell>
        </row>
        <row r="95">
          <cell r="F95">
            <v>967511.85200000007</v>
          </cell>
          <cell r="G95">
            <v>480</v>
          </cell>
        </row>
        <row r="114">
          <cell r="F114">
            <v>1117361.6430000002</v>
          </cell>
        </row>
        <row r="121">
          <cell r="D121">
            <v>32161.907700000003</v>
          </cell>
        </row>
        <row r="122">
          <cell r="D122">
            <v>262743.78779999999</v>
          </cell>
        </row>
        <row r="123">
          <cell r="D123">
            <v>575854.97129999998</v>
          </cell>
        </row>
        <row r="124">
          <cell r="D124">
            <v>870760.66680000001</v>
          </cell>
          <cell r="E124">
            <v>432</v>
          </cell>
        </row>
        <row r="126">
          <cell r="D126">
            <v>80290.777999999991</v>
          </cell>
        </row>
        <row r="130">
          <cell r="D130">
            <v>951051.44479999994</v>
          </cell>
        </row>
        <row r="138">
          <cell r="D138">
            <v>96751.185199999978</v>
          </cell>
          <cell r="E138">
            <v>47.999999999999986</v>
          </cell>
        </row>
        <row r="149">
          <cell r="D149">
            <v>0.1</v>
          </cell>
          <cell r="E149">
            <v>35458.106158343558</v>
          </cell>
          <cell r="F149">
            <v>0.2</v>
          </cell>
        </row>
        <row r="150">
          <cell r="D150">
            <v>0.1</v>
          </cell>
          <cell r="E150">
            <v>44322.632697929446</v>
          </cell>
          <cell r="F150">
            <v>0.2</v>
          </cell>
        </row>
        <row r="151">
          <cell r="D151">
            <v>0.1</v>
          </cell>
          <cell r="E151">
            <v>62051.685777101222</v>
          </cell>
          <cell r="F151">
            <v>0.2</v>
          </cell>
        </row>
        <row r="152">
          <cell r="D152">
            <v>0.1</v>
          </cell>
          <cell r="E152">
            <v>48097.389134906509</v>
          </cell>
          <cell r="F152">
            <v>0.2</v>
          </cell>
        </row>
        <row r="154">
          <cell r="D154">
            <v>0.05</v>
          </cell>
        </row>
        <row r="165">
          <cell r="D165">
            <v>0.05</v>
          </cell>
        </row>
        <row r="171">
          <cell r="D171">
            <v>0.9</v>
          </cell>
        </row>
        <row r="172">
          <cell r="D172">
            <v>9.9999999999999978E-2</v>
          </cell>
        </row>
        <row r="176">
          <cell r="D176">
            <v>0.5</v>
          </cell>
        </row>
        <row r="195">
          <cell r="D195">
            <v>0.9</v>
          </cell>
          <cell r="E195">
            <v>0.1</v>
          </cell>
        </row>
        <row r="210">
          <cell r="D210">
            <v>0.85</v>
          </cell>
        </row>
        <row r="212">
          <cell r="D212">
            <v>1</v>
          </cell>
        </row>
        <row r="221">
          <cell r="D221">
            <v>2</v>
          </cell>
        </row>
        <row r="225">
          <cell r="D225">
            <v>2</v>
          </cell>
        </row>
        <row r="226">
          <cell r="D226">
            <v>3</v>
          </cell>
        </row>
        <row r="231">
          <cell r="D231">
            <v>0</v>
          </cell>
        </row>
        <row r="239">
          <cell r="D239">
            <v>4</v>
          </cell>
        </row>
        <row r="240">
          <cell r="D240">
            <v>2</v>
          </cell>
        </row>
        <row r="242">
          <cell r="D242">
            <v>1.2500000000000001E-2</v>
          </cell>
        </row>
        <row r="248">
          <cell r="D248">
            <v>0</v>
          </cell>
        </row>
        <row r="251">
          <cell r="D251">
            <v>0.05</v>
          </cell>
        </row>
        <row r="252">
          <cell r="D252">
            <v>0.19</v>
          </cell>
        </row>
        <row r="255">
          <cell r="D255">
            <v>3</v>
          </cell>
        </row>
        <row r="256">
          <cell r="D256">
            <v>6</v>
          </cell>
        </row>
        <row r="257">
          <cell r="D257">
            <v>2</v>
          </cell>
        </row>
        <row r="259">
          <cell r="D259">
            <v>1.2500000000000001E-2</v>
          </cell>
        </row>
        <row r="260">
          <cell r="D260">
            <v>5.0000000000000001E-3</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4">
          <cell r="D14" t="str">
            <v>Loan 2</v>
          </cell>
          <cell r="F14">
            <v>0</v>
          </cell>
          <cell r="G14">
            <v>0</v>
          </cell>
          <cell r="H14">
            <v>0</v>
          </cell>
          <cell r="I14">
            <v>0</v>
          </cell>
          <cell r="J14">
            <v>0</v>
          </cell>
          <cell r="K14">
            <v>0</v>
          </cell>
          <cell r="L14">
            <v>1</v>
          </cell>
          <cell r="M14">
            <v>1</v>
          </cell>
          <cell r="N14">
            <v>1</v>
          </cell>
          <cell r="O14">
            <v>1</v>
          </cell>
          <cell r="P14">
            <v>0</v>
          </cell>
          <cell r="Q14">
            <v>0</v>
          </cell>
          <cell r="R14">
            <v>0</v>
          </cell>
          <cell r="S14">
            <v>0</v>
          </cell>
          <cell r="T14">
            <v>0</v>
          </cell>
          <cell r="U14">
            <v>0</v>
          </cell>
          <cell r="V14">
            <v>0</v>
          </cell>
          <cell r="W14">
            <v>0</v>
          </cell>
          <cell r="X14">
            <v>0</v>
          </cell>
          <cell r="Y14">
            <v>0</v>
          </cell>
          <cell r="Z14">
            <v>0</v>
          </cell>
          <cell r="AA14">
            <v>0</v>
          </cell>
          <cell r="AB14">
            <v>0</v>
          </cell>
          <cell r="AC14">
            <v>0</v>
          </cell>
        </row>
        <row r="16">
          <cell r="D16" t="str">
            <v>Loan 3</v>
          </cell>
          <cell r="F16">
            <v>0</v>
          </cell>
          <cell r="G16">
            <v>0</v>
          </cell>
          <cell r="H16">
            <v>0</v>
          </cell>
          <cell r="I16">
            <v>0</v>
          </cell>
          <cell r="J16">
            <v>1</v>
          </cell>
          <cell r="K16">
            <v>1</v>
          </cell>
          <cell r="L16">
            <v>1</v>
          </cell>
          <cell r="M16">
            <v>1</v>
          </cell>
          <cell r="N16">
            <v>1</v>
          </cell>
          <cell r="O16">
            <v>1</v>
          </cell>
          <cell r="P16">
            <v>0</v>
          </cell>
          <cell r="Q16">
            <v>0</v>
          </cell>
          <cell r="R16">
            <v>0</v>
          </cell>
          <cell r="S16">
            <v>0</v>
          </cell>
          <cell r="T16">
            <v>0</v>
          </cell>
          <cell r="U16">
            <v>0</v>
          </cell>
          <cell r="V16">
            <v>0</v>
          </cell>
          <cell r="W16">
            <v>0</v>
          </cell>
          <cell r="X16">
            <v>0</v>
          </cell>
          <cell r="Y16">
            <v>0</v>
          </cell>
          <cell r="Z16">
            <v>0</v>
          </cell>
          <cell r="AA16">
            <v>0</v>
          </cell>
          <cell r="AB16">
            <v>0</v>
          </cell>
          <cell r="AC16">
            <v>0</v>
          </cell>
        </row>
        <row r="20">
          <cell r="D20" t="str">
            <v>Loan Ending Flag</v>
          </cell>
          <cell r="F20">
            <v>1</v>
          </cell>
          <cell r="G20">
            <v>1</v>
          </cell>
          <cell r="H20">
            <v>1</v>
          </cell>
          <cell r="I20">
            <v>1</v>
          </cell>
          <cell r="J20">
            <v>1</v>
          </cell>
          <cell r="K20">
            <v>1</v>
          </cell>
          <cell r="L20">
            <v>1</v>
          </cell>
          <cell r="M20">
            <v>1</v>
          </cell>
          <cell r="N20">
            <v>1</v>
          </cell>
          <cell r="O20">
            <v>1</v>
          </cell>
          <cell r="P20">
            <v>1</v>
          </cell>
          <cell r="Q20">
            <v>1</v>
          </cell>
          <cell r="R20">
            <v>1</v>
          </cell>
          <cell r="S20">
            <v>1</v>
          </cell>
          <cell r="T20">
            <v>0</v>
          </cell>
          <cell r="U20">
            <v>0</v>
          </cell>
          <cell r="V20">
            <v>0</v>
          </cell>
          <cell r="W20">
            <v>0</v>
          </cell>
          <cell r="X20">
            <v>0</v>
          </cell>
          <cell r="Y20">
            <v>0</v>
          </cell>
          <cell r="Z20">
            <v>0</v>
          </cell>
          <cell r="AA20">
            <v>0</v>
          </cell>
          <cell r="AB20">
            <v>0</v>
          </cell>
          <cell r="AC20">
            <v>0</v>
          </cell>
        </row>
      </sheetData>
      <sheetData sheetId="16"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
      <sheetName val="Sheet5"/>
      <sheetName val="Chart Analysis"/>
      <sheetName val="Scenario Summary"/>
      <sheetName val="Output"/>
      <sheetName val="Assumption Sheet"/>
      <sheetName val="Financial Statements"/>
      <sheetName val="Valuation"/>
      <sheetName val="Capex"/>
      <sheetName val="Drawdown"/>
      <sheetName val="Opex Sheet "/>
      <sheetName val="Debt"/>
      <sheetName val="Standby Liq Facility Cash Backg"/>
      <sheetName val="Revenue Sheet"/>
      <sheetName val="Depreciation"/>
      <sheetName val="Flags"/>
    </sheetNames>
    <sheetDataSet>
      <sheetData sheetId="0"/>
      <sheetData sheetId="1"/>
      <sheetData sheetId="2"/>
      <sheetData sheetId="3"/>
      <sheetData sheetId="4"/>
      <sheetData sheetId="5">
        <row r="11">
          <cell r="J11">
            <v>1.5</v>
          </cell>
        </row>
      </sheetData>
      <sheetData sheetId="6">
        <row r="26">
          <cell r="G26">
            <v>0</v>
          </cell>
        </row>
      </sheetData>
      <sheetData sheetId="7"/>
      <sheetData sheetId="8"/>
      <sheetData sheetId="9"/>
      <sheetData sheetId="10"/>
      <sheetData sheetId="11"/>
      <sheetData sheetId="12"/>
      <sheetData sheetId="13">
        <row r="43">
          <cell r="G43"/>
        </row>
      </sheetData>
      <sheetData sheetId="14"/>
      <sheetData sheetId="15"/>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UTPUT SHEET"/>
      <sheetName val="CofCapital"/>
      <sheetName val="CONTENTS"/>
      <sheetName val="VFM&amp;PSC"/>
      <sheetName val="CHART ANALYSIS"/>
      <sheetName val="Cost of Capital "/>
      <sheetName val="SCENARIO ANALYSIS"/>
      <sheetName val="ASSUMPTION SHEET"/>
      <sheetName val="REVENUE"/>
      <sheetName val="VALUATION"/>
      <sheetName val="FINANCIAL STATEMENTS"/>
      <sheetName val="Cost of Sales "/>
      <sheetName val="Administration Cost "/>
      <sheetName val="CAPEX"/>
      <sheetName val="DRAWDOWN"/>
      <sheetName val="DEBT"/>
      <sheetName val="HOTEL OVERDRAFT FACILITY"/>
      <sheetName val="FFE RESERVE"/>
      <sheetName val="Apartment Buyers Rev Sharing"/>
      <sheetName val="DEPRECIATION"/>
      <sheetName val="FLAGS"/>
    </sheetNames>
    <sheetDataSet>
      <sheetData sheetId="0"/>
      <sheetData sheetId="1" refreshError="1"/>
      <sheetData sheetId="2" refreshError="1"/>
      <sheetData sheetId="3" refreshError="1"/>
      <sheetData sheetId="4" refreshError="1"/>
      <sheetData sheetId="5" refreshError="1"/>
      <sheetData sheetId="6" refreshError="1"/>
      <sheetData sheetId="7">
        <row r="5">
          <cell r="E5">
            <v>1890139953.9094653</v>
          </cell>
        </row>
        <row r="6">
          <cell r="E6">
            <v>1200000000</v>
          </cell>
        </row>
        <row r="7">
          <cell r="E7">
            <v>800000000</v>
          </cell>
        </row>
        <row r="8">
          <cell r="E8">
            <v>100000000</v>
          </cell>
        </row>
        <row r="10">
          <cell r="E10">
            <v>50000000</v>
          </cell>
        </row>
      </sheetData>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ummary"/>
      <sheetName val="Sensitivities"/>
      <sheetName val="Returns"/>
      <sheetName val="Ratios"/>
      <sheetName val="Graphs"/>
      <sheetName val="Input"/>
      <sheetName val="BS"/>
      <sheetName val="IS"/>
      <sheetName val="CF"/>
      <sheetName val="Report"/>
      <sheetName val="Project Cost - Monthly"/>
      <sheetName val="Fixed Assets - Annual"/>
      <sheetName val="Reserve Accounts"/>
      <sheetName val="Debt Schedule"/>
      <sheetName val="Revenue &amp; Receivables"/>
      <sheetName val="Operation &amp; Maintenance Costs"/>
      <sheetName val="Dividends"/>
      <sheetName val="Taxation"/>
      <sheetName val="Checks"/>
      <sheetName val="Template"/>
      <sheetName val="Timing &amp; Flags"/>
    </sheetNames>
    <sheetDataSet>
      <sheetData sheetId="0"/>
      <sheetData sheetId="1"/>
      <sheetData sheetId="2"/>
      <sheetData sheetId="3"/>
      <sheetData sheetId="4"/>
      <sheetData sheetId="5"/>
      <sheetData sheetId="6">
        <row r="11">
          <cell r="E11">
            <v>1E-3</v>
          </cell>
        </row>
        <row r="27">
          <cell r="E27">
            <v>12</v>
          </cell>
        </row>
        <row r="28">
          <cell r="E28">
            <v>365</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ENTS"/>
      <sheetName val="External Works"/>
      <sheetName val="Capex Line Items"/>
      <sheetName val="Revenue Assumptions "/>
      <sheetName val="Hotel"/>
      <sheetName val="OUTPUT SHEET"/>
      <sheetName val="ASSUMPTION SHEET"/>
      <sheetName val="REVENUE"/>
      <sheetName val="Revenue Projections"/>
      <sheetName val="CAPEX"/>
      <sheetName val="CHART ANALYSIS"/>
      <sheetName val="SCENARIO ANALYSIS"/>
      <sheetName val="Sheet2"/>
      <sheetName val="DRAWDOWN"/>
      <sheetName val="Cost of Capital "/>
      <sheetName val="VALUATION"/>
      <sheetName val="FINANCIAL STATEMENTS"/>
      <sheetName val="Administration Cost "/>
      <sheetName val="DEBT"/>
      <sheetName val="HOTEL OVERDRAFT FACILITY"/>
      <sheetName val="FFE RESERVE"/>
      <sheetName val="DEPRECIATION"/>
      <sheetName val="FLAGS"/>
    </sheetNames>
    <sheetDataSet>
      <sheetData sheetId="0"/>
      <sheetData sheetId="1"/>
      <sheetData sheetId="2"/>
      <sheetData sheetId="3"/>
      <sheetData sheetId="4"/>
      <sheetData sheetId="5"/>
      <sheetData sheetId="6">
        <row r="42">
          <cell r="E42">
            <v>2028</v>
          </cell>
        </row>
        <row r="105">
          <cell r="E105">
            <v>0.08</v>
          </cell>
        </row>
        <row r="106">
          <cell r="E106">
            <v>2028</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5 Biomass"/>
      <sheetName val="Production Cost "/>
      <sheetName val="Opex "/>
      <sheetName val="Sheet1"/>
      <sheetName val="Financial Statement "/>
      <sheetName val="Output"/>
      <sheetName val="Assumption "/>
      <sheetName val="Working Capital "/>
      <sheetName val="Overdraft Calculations"/>
      <sheetName val="Overdraft "/>
      <sheetName val="Capex "/>
      <sheetName val="Capital Exp"/>
      <sheetName val="Drawdown "/>
      <sheetName val="Depreciation"/>
      <sheetName val="Debt"/>
      <sheetName val="Flag "/>
      <sheetName val="Revenue"/>
      <sheetName val="General Administration "/>
      <sheetName val="Valuation"/>
      <sheetName val="Biomass "/>
    </sheetNames>
    <sheetDataSet>
      <sheetData sheetId="0"/>
      <sheetData sheetId="1"/>
      <sheetData sheetId="2"/>
      <sheetData sheetId="3"/>
      <sheetData sheetId="4"/>
      <sheetData sheetId="5"/>
      <sheetData sheetId="6">
        <row r="317">
          <cell r="D317">
            <v>0.09</v>
          </cell>
        </row>
        <row r="336">
          <cell r="D336">
            <v>0.03</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 Sheet"/>
      <sheetName val="Capex"/>
      <sheetName val="Drawdown"/>
      <sheetName val="Revenue"/>
      <sheetName val="FFE Reserve"/>
      <sheetName val="Debt"/>
      <sheetName val="Depreciation"/>
      <sheetName val="Financial Statement"/>
      <sheetName val="Valuation"/>
      <sheetName val="Flags"/>
      <sheetName val="Construction Cost Validation "/>
    </sheetNames>
    <sheetDataSet>
      <sheetData sheetId="0">
        <row r="124">
          <cell r="E124">
            <v>1</v>
          </cell>
        </row>
      </sheetData>
      <sheetData sheetId="1"/>
      <sheetData sheetId="2"/>
      <sheetData sheetId="3"/>
      <sheetData sheetId="4"/>
      <sheetData sheetId="5"/>
      <sheetData sheetId="6"/>
      <sheetData sheetId="7"/>
      <sheetData sheetId="8"/>
      <sheetData sheetId="9"/>
      <sheetData sheetId="10"/>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ENTS"/>
      <sheetName val="CHART ANALYSIS"/>
      <sheetName val="OUTPUT SHEET"/>
      <sheetName val="SCENARIO ANALYSIS"/>
      <sheetName val="ASSUMPTION SHEET"/>
      <sheetName val="VALUATION"/>
      <sheetName val="FINANCIAL STATEMENTS"/>
      <sheetName val="CAPEX"/>
      <sheetName val="DRAWDOWN"/>
      <sheetName val="DEBT"/>
      <sheetName val="REVENUE"/>
      <sheetName val="HOTEL OVERDRAFT FACILITY"/>
      <sheetName val="APARTMENT SALES"/>
      <sheetName val="FFE RESERVE"/>
      <sheetName val="DEPRECIATION"/>
      <sheetName val="FLAGS"/>
    </sheetNames>
    <sheetDataSet>
      <sheetData sheetId="0"/>
      <sheetData sheetId="1"/>
      <sheetData sheetId="2"/>
      <sheetData sheetId="3"/>
      <sheetData sheetId="4">
        <row r="33">
          <cell r="E33">
            <v>2015</v>
          </cell>
        </row>
      </sheetData>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5 Biomass"/>
      <sheetName val="Production Cost "/>
      <sheetName val="Opex "/>
      <sheetName val="Sheet1"/>
      <sheetName val="Financial Statement "/>
      <sheetName val="Output"/>
      <sheetName val="Assumption "/>
      <sheetName val="Working Capital "/>
      <sheetName val="Overdraft Calculations"/>
      <sheetName val="Overdraft "/>
      <sheetName val="Capex "/>
      <sheetName val="Capital Exp"/>
      <sheetName val="Drawdown "/>
      <sheetName val="Depreciation"/>
      <sheetName val="Debt"/>
      <sheetName val="Flag "/>
      <sheetName val="Revenue"/>
      <sheetName val="General Administration "/>
      <sheetName val="Valuation"/>
      <sheetName val="Biomass "/>
    </sheetNames>
    <sheetDataSet>
      <sheetData sheetId="0" refreshError="1"/>
      <sheetData sheetId="1" refreshError="1"/>
      <sheetData sheetId="2" refreshError="1"/>
      <sheetData sheetId="3" refreshError="1"/>
      <sheetData sheetId="4" refreshError="1"/>
      <sheetData sheetId="5" refreshError="1"/>
      <sheetData sheetId="6" refreshError="1">
        <row r="7">
          <cell r="D7">
            <v>3930160880</v>
          </cell>
        </row>
        <row r="33">
          <cell r="E33">
            <v>2022</v>
          </cell>
        </row>
        <row r="40">
          <cell r="E40">
            <v>0.32</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5 Biomass"/>
      <sheetName val="Production Cost "/>
      <sheetName val="Opex "/>
      <sheetName val="Sheet1"/>
      <sheetName val="Financial Statement "/>
      <sheetName val="Output"/>
      <sheetName val="Assumption "/>
      <sheetName val="Working Capital "/>
      <sheetName val="Overdraft Calculations"/>
      <sheetName val="Overdraft "/>
      <sheetName val="Capex "/>
      <sheetName val="Drawdown "/>
      <sheetName val="Depreciation"/>
      <sheetName val="Debt"/>
      <sheetName val="Flag "/>
      <sheetName val="Revenue"/>
      <sheetName val="General Administration "/>
      <sheetName val="Valuation"/>
      <sheetName val="Biomass "/>
    </sheetNames>
    <sheetDataSet>
      <sheetData sheetId="0"/>
      <sheetData sheetId="1"/>
      <sheetData sheetId="2"/>
      <sheetData sheetId="3"/>
      <sheetData sheetId="4">
        <row r="42">
          <cell r="U42">
            <v>0</v>
          </cell>
        </row>
      </sheetData>
      <sheetData sheetId="5">
        <row r="41">
          <cell r="D41">
            <v>0.16</v>
          </cell>
        </row>
      </sheetData>
      <sheetData sheetId="6"/>
      <sheetData sheetId="7"/>
      <sheetData sheetId="8"/>
      <sheetData sheetId="9"/>
      <sheetData sheetId="10"/>
      <sheetData sheetId="11"/>
      <sheetData sheetId="12"/>
      <sheetData sheetId="13">
        <row r="121">
          <cell r="L121">
            <v>0</v>
          </cell>
        </row>
      </sheetData>
      <sheetData sheetId="14">
        <row r="10">
          <cell r="U10">
            <v>1</v>
          </cell>
        </row>
      </sheetData>
      <sheetData sheetId="15"/>
      <sheetData sheetId="16"/>
      <sheetData sheetId="17"/>
      <sheetData sheetId="18"/>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ummary"/>
      <sheetName val="Input"/>
      <sheetName val="Time"/>
      <sheetName val="CofCapital"/>
      <sheetName val="FinStat-A"/>
      <sheetName val="Cost&amp;Funding"/>
      <sheetName val="RevMo"/>
      <sheetName val="ExpMod"/>
      <sheetName val="VfM&amp;PSC"/>
      <sheetName val="AssetsSchedule"/>
      <sheetName val="Financing"/>
      <sheetName val="Tax&amp;CapAllow"/>
      <sheetName val="Ratios"/>
      <sheetName val="Val"/>
      <sheetName val="Checks"/>
    </sheetNames>
    <sheetDataSet>
      <sheetData sheetId="0" refreshError="1"/>
      <sheetData sheetId="1" refreshError="1"/>
      <sheetData sheetId="2">
        <row r="4">
          <cell r="J4" t="str">
            <v>Best Case</v>
          </cell>
          <cell r="K4" t="str">
            <v>Base Case</v>
          </cell>
          <cell r="L4" t="str">
            <v>Worst Case</v>
          </cell>
        </row>
      </sheetData>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ummary"/>
      <sheetName val="Input"/>
      <sheetName val="Time"/>
      <sheetName val="CofCapital"/>
      <sheetName val="FinStat-A"/>
      <sheetName val="Cost&amp;Funding"/>
      <sheetName val="RevMo"/>
      <sheetName val="ExpMod"/>
      <sheetName val="VfM&amp;PSC"/>
      <sheetName val="AssetsSchedule"/>
      <sheetName val="Financing"/>
      <sheetName val="Tax&amp;CapAllow"/>
      <sheetName val="Ratios"/>
      <sheetName val="Val"/>
      <sheetName val="Checks"/>
    </sheetNames>
    <sheetDataSet>
      <sheetData sheetId="0" refreshError="1"/>
      <sheetData sheetId="1" refreshError="1"/>
      <sheetData sheetId="2">
        <row r="4">
          <cell r="J4" t="str">
            <v>Best Case</v>
          </cell>
          <cell r="K4" t="str">
            <v>Base Case</v>
          </cell>
          <cell r="L4" t="str">
            <v>Worst Case</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PI-ALL"/>
    </sheetNames>
    <sheetDataSet>
      <sheetData sheetId="0">
        <row r="3">
          <cell r="I3">
            <v>24473</v>
          </cell>
          <cell r="J3">
            <v>33.4</v>
          </cell>
        </row>
        <row r="4">
          <cell r="I4" t="e">
            <v>#VALUE!</v>
          </cell>
          <cell r="J4">
            <v>0</v>
          </cell>
        </row>
        <row r="5">
          <cell r="I5">
            <v>24504</v>
          </cell>
          <cell r="J5">
            <v>33.200000000000003</v>
          </cell>
        </row>
        <row r="6">
          <cell r="I6" t="e">
            <v>#VALUE!</v>
          </cell>
          <cell r="J6">
            <v>0</v>
          </cell>
        </row>
        <row r="7">
          <cell r="I7">
            <v>24532</v>
          </cell>
          <cell r="J7">
            <v>33.200000000000003</v>
          </cell>
        </row>
        <row r="8">
          <cell r="I8" t="e">
            <v>#VALUE!</v>
          </cell>
          <cell r="J8">
            <v>0</v>
          </cell>
        </row>
        <row r="9">
          <cell r="I9">
            <v>24563</v>
          </cell>
          <cell r="J9">
            <v>33.200000000000003</v>
          </cell>
        </row>
        <row r="10">
          <cell r="I10" t="e">
            <v>#VALUE!</v>
          </cell>
          <cell r="J10">
            <v>0</v>
          </cell>
        </row>
        <row r="11">
          <cell r="I11">
            <v>24593</v>
          </cell>
          <cell r="J11">
            <v>33.299999999999997</v>
          </cell>
        </row>
        <row r="12">
          <cell r="I12" t="e">
            <v>#VALUE!</v>
          </cell>
          <cell r="J12">
            <v>0</v>
          </cell>
        </row>
        <row r="13">
          <cell r="I13">
            <v>24624</v>
          </cell>
          <cell r="J13">
            <v>33.4</v>
          </cell>
        </row>
        <row r="14">
          <cell r="I14" t="e">
            <v>#VALUE!</v>
          </cell>
          <cell r="J14">
            <v>0</v>
          </cell>
        </row>
        <row r="15">
          <cell r="I15">
            <v>24654</v>
          </cell>
          <cell r="J15">
            <v>33.4</v>
          </cell>
        </row>
        <row r="16">
          <cell r="I16" t="e">
            <v>#VALUE!</v>
          </cell>
          <cell r="J16">
            <v>0</v>
          </cell>
        </row>
        <row r="17">
          <cell r="I17">
            <v>24685</v>
          </cell>
          <cell r="J17">
            <v>33.4</v>
          </cell>
        </row>
        <row r="18">
          <cell r="I18" t="e">
            <v>#VALUE!</v>
          </cell>
          <cell r="J18">
            <v>0</v>
          </cell>
        </row>
        <row r="19">
          <cell r="I19">
            <v>24716</v>
          </cell>
          <cell r="J19">
            <v>33.5</v>
          </cell>
        </row>
        <row r="20">
          <cell r="I20" t="e">
            <v>#VALUE!</v>
          </cell>
          <cell r="J20">
            <v>0</v>
          </cell>
        </row>
        <row r="21">
          <cell r="I21">
            <v>24746</v>
          </cell>
          <cell r="J21">
            <v>33.5</v>
          </cell>
        </row>
        <row r="22">
          <cell r="I22" t="e">
            <v>#VALUE!</v>
          </cell>
          <cell r="J22">
            <v>0</v>
          </cell>
        </row>
        <row r="23">
          <cell r="I23">
            <v>24777</v>
          </cell>
          <cell r="J23">
            <v>33.6</v>
          </cell>
        </row>
        <row r="24">
          <cell r="I24" t="e">
            <v>#VALUE!</v>
          </cell>
          <cell r="J24">
            <v>0</v>
          </cell>
        </row>
        <row r="25">
          <cell r="I25">
            <v>24807</v>
          </cell>
          <cell r="J25">
            <v>33.700000000000003</v>
          </cell>
        </row>
        <row r="26">
          <cell r="I26" t="e">
            <v>#VALUE!</v>
          </cell>
          <cell r="J26">
            <v>0</v>
          </cell>
        </row>
        <row r="27">
          <cell r="I27">
            <v>24838</v>
          </cell>
          <cell r="J27">
            <v>0</v>
          </cell>
        </row>
        <row r="28">
          <cell r="I28" t="e">
            <v>#VALUE!</v>
          </cell>
          <cell r="J28">
            <v>0</v>
          </cell>
        </row>
        <row r="29">
          <cell r="I29">
            <v>24838</v>
          </cell>
          <cell r="J29">
            <v>33.700000000000003</v>
          </cell>
        </row>
        <row r="30">
          <cell r="I30" t="e">
            <v>#VALUE!</v>
          </cell>
          <cell r="J30">
            <v>0</v>
          </cell>
        </row>
        <row r="31">
          <cell r="I31">
            <v>24869</v>
          </cell>
          <cell r="J31">
            <v>33.9</v>
          </cell>
        </row>
        <row r="32">
          <cell r="I32" t="e">
            <v>#VALUE!</v>
          </cell>
          <cell r="J32">
            <v>0</v>
          </cell>
        </row>
        <row r="33">
          <cell r="I33">
            <v>24898</v>
          </cell>
          <cell r="J33">
            <v>34</v>
          </cell>
        </row>
        <row r="34">
          <cell r="I34" t="e">
            <v>#VALUE!</v>
          </cell>
          <cell r="J34">
            <v>0</v>
          </cell>
        </row>
        <row r="35">
          <cell r="I35">
            <v>24929</v>
          </cell>
          <cell r="J35">
            <v>34.1</v>
          </cell>
        </row>
        <row r="36">
          <cell r="I36" t="e">
            <v>#VALUE!</v>
          </cell>
          <cell r="J36">
            <v>0</v>
          </cell>
        </row>
        <row r="37">
          <cell r="I37">
            <v>24959</v>
          </cell>
          <cell r="J37">
            <v>34.1</v>
          </cell>
        </row>
        <row r="38">
          <cell r="I38" t="e">
            <v>#VALUE!</v>
          </cell>
          <cell r="J38">
            <v>0</v>
          </cell>
        </row>
        <row r="39">
          <cell r="I39">
            <v>24990</v>
          </cell>
          <cell r="J39">
            <v>34.200000000000003</v>
          </cell>
        </row>
        <row r="40">
          <cell r="I40" t="e">
            <v>#VALUE!</v>
          </cell>
          <cell r="J40">
            <v>0</v>
          </cell>
        </row>
        <row r="41">
          <cell r="I41">
            <v>25020</v>
          </cell>
          <cell r="J41">
            <v>34.299999999999997</v>
          </cell>
        </row>
        <row r="42">
          <cell r="I42" t="e">
            <v>#VALUE!</v>
          </cell>
          <cell r="J42">
            <v>0</v>
          </cell>
        </row>
        <row r="43">
          <cell r="I43">
            <v>25051</v>
          </cell>
          <cell r="J43">
            <v>34.299999999999997</v>
          </cell>
        </row>
        <row r="44">
          <cell r="I44" t="e">
            <v>#VALUE!</v>
          </cell>
          <cell r="J44">
            <v>0</v>
          </cell>
        </row>
        <row r="45">
          <cell r="I45">
            <v>25082</v>
          </cell>
          <cell r="J45">
            <v>34.4</v>
          </cell>
        </row>
        <row r="46">
          <cell r="I46" t="e">
            <v>#VALUE!</v>
          </cell>
          <cell r="J46">
            <v>0</v>
          </cell>
        </row>
        <row r="47">
          <cell r="I47">
            <v>25112</v>
          </cell>
          <cell r="J47">
            <v>34.5</v>
          </cell>
        </row>
        <row r="48">
          <cell r="I48" t="e">
            <v>#VALUE!</v>
          </cell>
          <cell r="J48">
            <v>0</v>
          </cell>
        </row>
        <row r="49">
          <cell r="I49">
            <v>25143</v>
          </cell>
          <cell r="J49">
            <v>34.700000000000003</v>
          </cell>
        </row>
        <row r="50">
          <cell r="I50" t="e">
            <v>#VALUE!</v>
          </cell>
          <cell r="J50">
            <v>0</v>
          </cell>
        </row>
        <row r="51">
          <cell r="I51">
            <v>25173</v>
          </cell>
          <cell r="J51">
            <v>34.700000000000003</v>
          </cell>
        </row>
        <row r="52">
          <cell r="I52" t="e">
            <v>#VALUE!</v>
          </cell>
          <cell r="J52">
            <v>0</v>
          </cell>
        </row>
        <row r="53">
          <cell r="I53">
            <v>25204</v>
          </cell>
          <cell r="J53">
            <v>0</v>
          </cell>
        </row>
        <row r="54">
          <cell r="I54" t="e">
            <v>#VALUE!</v>
          </cell>
          <cell r="J54">
            <v>0</v>
          </cell>
        </row>
        <row r="55">
          <cell r="I55">
            <v>25204</v>
          </cell>
          <cell r="J55">
            <v>34.799999999999997</v>
          </cell>
        </row>
        <row r="56">
          <cell r="I56" t="e">
            <v>#VALUE!</v>
          </cell>
          <cell r="J56">
            <v>0</v>
          </cell>
        </row>
        <row r="57">
          <cell r="I57">
            <v>25235</v>
          </cell>
          <cell r="J57">
            <v>34.9</v>
          </cell>
        </row>
        <row r="58">
          <cell r="I58" t="e">
            <v>#VALUE!</v>
          </cell>
          <cell r="J58">
            <v>0</v>
          </cell>
        </row>
        <row r="59">
          <cell r="I59">
            <v>25263</v>
          </cell>
          <cell r="J59">
            <v>35.1</v>
          </cell>
        </row>
        <row r="60">
          <cell r="I60" t="e">
            <v>#VALUE!</v>
          </cell>
          <cell r="J60">
            <v>0</v>
          </cell>
        </row>
        <row r="61">
          <cell r="I61">
            <v>25294</v>
          </cell>
          <cell r="J61">
            <v>35.200000000000003</v>
          </cell>
        </row>
        <row r="62">
          <cell r="I62" t="e">
            <v>#VALUE!</v>
          </cell>
          <cell r="J62">
            <v>0</v>
          </cell>
        </row>
        <row r="63">
          <cell r="I63">
            <v>25324</v>
          </cell>
          <cell r="J63">
            <v>35.5</v>
          </cell>
        </row>
        <row r="64">
          <cell r="I64" t="e">
            <v>#VALUE!</v>
          </cell>
          <cell r="J64">
            <v>0</v>
          </cell>
        </row>
        <row r="65">
          <cell r="I65">
            <v>25355</v>
          </cell>
          <cell r="J65">
            <v>35.6</v>
          </cell>
        </row>
        <row r="66">
          <cell r="I66" t="e">
            <v>#VALUE!</v>
          </cell>
          <cell r="J66">
            <v>0</v>
          </cell>
        </row>
        <row r="67">
          <cell r="I67">
            <v>25385</v>
          </cell>
          <cell r="J67">
            <v>35.6</v>
          </cell>
        </row>
        <row r="68">
          <cell r="I68" t="e">
            <v>#VALUE!</v>
          </cell>
          <cell r="J68">
            <v>0</v>
          </cell>
        </row>
        <row r="69">
          <cell r="I69">
            <v>25416</v>
          </cell>
          <cell r="J69">
            <v>35.700000000000003</v>
          </cell>
        </row>
        <row r="70">
          <cell r="I70" t="e">
            <v>#VALUE!</v>
          </cell>
          <cell r="J70">
            <v>0</v>
          </cell>
        </row>
        <row r="71">
          <cell r="I71">
            <v>25447</v>
          </cell>
          <cell r="J71">
            <v>35.799999999999997</v>
          </cell>
        </row>
        <row r="72">
          <cell r="I72" t="e">
            <v>#VALUE!</v>
          </cell>
          <cell r="J72">
            <v>0</v>
          </cell>
        </row>
        <row r="73">
          <cell r="I73">
            <v>25477</v>
          </cell>
          <cell r="J73">
            <v>36</v>
          </cell>
        </row>
        <row r="74">
          <cell r="I74" t="e">
            <v>#VALUE!</v>
          </cell>
          <cell r="J74">
            <v>0</v>
          </cell>
        </row>
        <row r="75">
          <cell r="I75">
            <v>25508</v>
          </cell>
          <cell r="J75">
            <v>36.299999999999997</v>
          </cell>
        </row>
        <row r="76">
          <cell r="I76" t="e">
            <v>#VALUE!</v>
          </cell>
          <cell r="J76">
            <v>0</v>
          </cell>
        </row>
        <row r="77">
          <cell r="I77">
            <v>25538</v>
          </cell>
          <cell r="J77">
            <v>36.4</v>
          </cell>
        </row>
        <row r="78">
          <cell r="I78" t="e">
            <v>#VALUE!</v>
          </cell>
          <cell r="J78">
            <v>0</v>
          </cell>
        </row>
        <row r="79">
          <cell r="I79">
            <v>25569</v>
          </cell>
          <cell r="J79">
            <v>0</v>
          </cell>
        </row>
        <row r="80">
          <cell r="I80" t="e">
            <v>#VALUE!</v>
          </cell>
          <cell r="J80">
            <v>0</v>
          </cell>
        </row>
        <row r="81">
          <cell r="I81">
            <v>25569</v>
          </cell>
          <cell r="J81">
            <v>36.5</v>
          </cell>
        </row>
        <row r="82">
          <cell r="I82" t="e">
            <v>#VALUE!</v>
          </cell>
          <cell r="J82">
            <v>0</v>
          </cell>
        </row>
        <row r="83">
          <cell r="I83">
            <v>25600</v>
          </cell>
          <cell r="J83">
            <v>36.6</v>
          </cell>
        </row>
        <row r="84">
          <cell r="I84" t="e">
            <v>#VALUE!</v>
          </cell>
          <cell r="J84">
            <v>0</v>
          </cell>
        </row>
        <row r="85">
          <cell r="I85">
            <v>25628</v>
          </cell>
          <cell r="J85">
            <v>36.700000000000003</v>
          </cell>
        </row>
        <row r="86">
          <cell r="I86" t="e">
            <v>#VALUE!</v>
          </cell>
          <cell r="J86">
            <v>0</v>
          </cell>
        </row>
        <row r="87">
          <cell r="I87">
            <v>25659</v>
          </cell>
          <cell r="J87">
            <v>36.700000000000003</v>
          </cell>
        </row>
        <row r="88">
          <cell r="I88" t="e">
            <v>#VALUE!</v>
          </cell>
          <cell r="J88">
            <v>0</v>
          </cell>
        </row>
        <row r="89">
          <cell r="I89">
            <v>25689</v>
          </cell>
          <cell r="J89">
            <v>36.700000000000003</v>
          </cell>
        </row>
        <row r="90">
          <cell r="I90" t="e">
            <v>#VALUE!</v>
          </cell>
          <cell r="J90">
            <v>0</v>
          </cell>
        </row>
        <row r="91">
          <cell r="I91">
            <v>25720</v>
          </cell>
          <cell r="J91">
            <v>36.799999999999997</v>
          </cell>
        </row>
        <row r="92">
          <cell r="I92" t="e">
            <v>#VALUE!</v>
          </cell>
          <cell r="J92">
            <v>0</v>
          </cell>
        </row>
        <row r="93">
          <cell r="I93">
            <v>25750</v>
          </cell>
          <cell r="J93">
            <v>36.9</v>
          </cell>
        </row>
        <row r="94">
          <cell r="I94" t="e">
            <v>#VALUE!</v>
          </cell>
          <cell r="J94">
            <v>0</v>
          </cell>
        </row>
        <row r="95">
          <cell r="I95">
            <v>25781</v>
          </cell>
          <cell r="J95">
            <v>36.9</v>
          </cell>
        </row>
        <row r="96">
          <cell r="I96" t="e">
            <v>#VALUE!</v>
          </cell>
          <cell r="J96">
            <v>0</v>
          </cell>
        </row>
        <row r="97">
          <cell r="I97">
            <v>25812</v>
          </cell>
          <cell r="J97">
            <v>37.1</v>
          </cell>
        </row>
        <row r="98">
          <cell r="I98" t="e">
            <v>#VALUE!</v>
          </cell>
          <cell r="J98">
            <v>0</v>
          </cell>
        </row>
        <row r="99">
          <cell r="I99">
            <v>25842</v>
          </cell>
          <cell r="J99">
            <v>37.200000000000003</v>
          </cell>
        </row>
        <row r="100">
          <cell r="I100" t="e">
            <v>#VALUE!</v>
          </cell>
          <cell r="J100">
            <v>0</v>
          </cell>
        </row>
        <row r="101">
          <cell r="I101">
            <v>25873</v>
          </cell>
          <cell r="J101">
            <v>37.299999999999997</v>
          </cell>
        </row>
        <row r="102">
          <cell r="I102" t="e">
            <v>#VALUE!</v>
          </cell>
          <cell r="J102">
            <v>0</v>
          </cell>
        </row>
        <row r="103">
          <cell r="I103">
            <v>25903</v>
          </cell>
          <cell r="J103">
            <v>37.200000000000003</v>
          </cell>
        </row>
        <row r="104">
          <cell r="I104" t="e">
            <v>#VALUE!</v>
          </cell>
          <cell r="J104">
            <v>0</v>
          </cell>
        </row>
        <row r="105">
          <cell r="I105">
            <v>25934</v>
          </cell>
          <cell r="J105">
            <v>0</v>
          </cell>
        </row>
        <row r="106">
          <cell r="I106" t="e">
            <v>#VALUE!</v>
          </cell>
          <cell r="J106">
            <v>0</v>
          </cell>
        </row>
        <row r="107">
          <cell r="I107">
            <v>25934</v>
          </cell>
          <cell r="J107">
            <v>37.4</v>
          </cell>
        </row>
        <row r="108">
          <cell r="I108" t="e">
            <v>#VALUE!</v>
          </cell>
          <cell r="J108">
            <v>0</v>
          </cell>
        </row>
        <row r="109">
          <cell r="I109">
            <v>25965</v>
          </cell>
          <cell r="J109">
            <v>37.6</v>
          </cell>
        </row>
        <row r="110">
          <cell r="I110" t="e">
            <v>#VALUE!</v>
          </cell>
          <cell r="J110">
            <v>0</v>
          </cell>
        </row>
        <row r="111">
          <cell r="I111">
            <v>25993</v>
          </cell>
          <cell r="J111">
            <v>37.700000000000003</v>
          </cell>
        </row>
        <row r="112">
          <cell r="I112" t="e">
            <v>#VALUE!</v>
          </cell>
          <cell r="J112">
            <v>0</v>
          </cell>
        </row>
        <row r="113">
          <cell r="I113">
            <v>26024</v>
          </cell>
          <cell r="J113">
            <v>37.9</v>
          </cell>
        </row>
        <row r="114">
          <cell r="I114" t="e">
            <v>#VALUE!</v>
          </cell>
          <cell r="J114">
            <v>0</v>
          </cell>
        </row>
        <row r="115">
          <cell r="I115">
            <v>26054</v>
          </cell>
          <cell r="J115">
            <v>38</v>
          </cell>
        </row>
        <row r="116">
          <cell r="I116" t="e">
            <v>#VALUE!</v>
          </cell>
          <cell r="J116">
            <v>0</v>
          </cell>
        </row>
        <row r="117">
          <cell r="I117">
            <v>26085</v>
          </cell>
          <cell r="J117">
            <v>38.1</v>
          </cell>
        </row>
        <row r="118">
          <cell r="I118" t="e">
            <v>#VALUE!</v>
          </cell>
          <cell r="J118">
            <v>0</v>
          </cell>
        </row>
        <row r="119">
          <cell r="I119">
            <v>26115</v>
          </cell>
          <cell r="J119">
            <v>38.200000000000003</v>
          </cell>
        </row>
        <row r="120">
          <cell r="I120" t="e">
            <v>#VALUE!</v>
          </cell>
          <cell r="J120">
            <v>0</v>
          </cell>
        </row>
        <row r="121">
          <cell r="I121">
            <v>26146</v>
          </cell>
          <cell r="J121">
            <v>38.4</v>
          </cell>
        </row>
        <row r="122">
          <cell r="I122" t="e">
            <v>#VALUE!</v>
          </cell>
          <cell r="J122">
            <v>0</v>
          </cell>
        </row>
        <row r="123">
          <cell r="I123">
            <v>26177</v>
          </cell>
          <cell r="J123">
            <v>38.299999999999997</v>
          </cell>
        </row>
        <row r="124">
          <cell r="I124" t="e">
            <v>#VALUE!</v>
          </cell>
          <cell r="J124">
            <v>0</v>
          </cell>
        </row>
        <row r="125">
          <cell r="I125">
            <v>26207</v>
          </cell>
          <cell r="J125">
            <v>38.4</v>
          </cell>
        </row>
        <row r="126">
          <cell r="I126" t="e">
            <v>#VALUE!</v>
          </cell>
          <cell r="J126">
            <v>0</v>
          </cell>
        </row>
        <row r="127">
          <cell r="I127">
            <v>26238</v>
          </cell>
          <cell r="J127">
            <v>38.5</v>
          </cell>
        </row>
        <row r="128">
          <cell r="I128" t="e">
            <v>#VALUE!</v>
          </cell>
          <cell r="J128">
            <v>0</v>
          </cell>
        </row>
        <row r="129">
          <cell r="I129">
            <v>26268</v>
          </cell>
          <cell r="J129">
            <v>38.799999999999997</v>
          </cell>
        </row>
        <row r="130">
          <cell r="I130" t="e">
            <v>#VALUE!</v>
          </cell>
          <cell r="J130">
            <v>0</v>
          </cell>
        </row>
        <row r="131">
          <cell r="I131">
            <v>26299</v>
          </cell>
          <cell r="J131">
            <v>0</v>
          </cell>
        </row>
        <row r="132">
          <cell r="I132" t="e">
            <v>#VALUE!</v>
          </cell>
          <cell r="J132">
            <v>0</v>
          </cell>
        </row>
        <row r="133">
          <cell r="I133">
            <v>26299</v>
          </cell>
          <cell r="J133">
            <v>38.9</v>
          </cell>
        </row>
        <row r="134">
          <cell r="I134" t="e">
            <v>#VALUE!</v>
          </cell>
          <cell r="J134">
            <v>0</v>
          </cell>
        </row>
        <row r="135">
          <cell r="I135">
            <v>26330</v>
          </cell>
          <cell r="J135">
            <v>39.200000000000003</v>
          </cell>
        </row>
        <row r="136">
          <cell r="I136" t="e">
            <v>#VALUE!</v>
          </cell>
          <cell r="J136">
            <v>0</v>
          </cell>
        </row>
        <row r="137">
          <cell r="I137">
            <v>26359</v>
          </cell>
          <cell r="J137">
            <v>39.200000000000003</v>
          </cell>
        </row>
        <row r="138">
          <cell r="I138" t="e">
            <v>#VALUE!</v>
          </cell>
          <cell r="J138">
            <v>0</v>
          </cell>
        </row>
        <row r="139">
          <cell r="I139">
            <v>26390</v>
          </cell>
          <cell r="J139">
            <v>39.299999999999997</v>
          </cell>
        </row>
        <row r="140">
          <cell r="I140" t="e">
            <v>#VALUE!</v>
          </cell>
          <cell r="J140">
            <v>0</v>
          </cell>
        </row>
        <row r="141">
          <cell r="I141">
            <v>26420</v>
          </cell>
          <cell r="J141">
            <v>39.5</v>
          </cell>
        </row>
        <row r="142">
          <cell r="I142" t="e">
            <v>#VALUE!</v>
          </cell>
          <cell r="J142">
            <v>0</v>
          </cell>
        </row>
        <row r="143">
          <cell r="I143">
            <v>26451</v>
          </cell>
          <cell r="J143">
            <v>39.6</v>
          </cell>
        </row>
        <row r="144">
          <cell r="I144" t="e">
            <v>#VALUE!</v>
          </cell>
          <cell r="J144">
            <v>0</v>
          </cell>
        </row>
        <row r="145">
          <cell r="I145">
            <v>26481</v>
          </cell>
          <cell r="J145">
            <v>39.799999999999997</v>
          </cell>
        </row>
        <row r="146">
          <cell r="I146" t="e">
            <v>#VALUE!</v>
          </cell>
          <cell r="J146">
            <v>0</v>
          </cell>
        </row>
        <row r="147">
          <cell r="I147">
            <v>26512</v>
          </cell>
          <cell r="J147">
            <v>40</v>
          </cell>
        </row>
        <row r="148">
          <cell r="I148" t="e">
            <v>#VALUE!</v>
          </cell>
          <cell r="J148">
            <v>0</v>
          </cell>
        </row>
        <row r="149">
          <cell r="I149">
            <v>26543</v>
          </cell>
          <cell r="J149">
            <v>40.1</v>
          </cell>
        </row>
        <row r="150">
          <cell r="I150" t="e">
            <v>#VALUE!</v>
          </cell>
          <cell r="J150">
            <v>0</v>
          </cell>
        </row>
        <row r="151">
          <cell r="I151">
            <v>26573</v>
          </cell>
          <cell r="J151">
            <v>40.200000000000003</v>
          </cell>
        </row>
        <row r="152">
          <cell r="I152" t="e">
            <v>#VALUE!</v>
          </cell>
          <cell r="J152">
            <v>0</v>
          </cell>
        </row>
        <row r="153">
          <cell r="I153">
            <v>26604</v>
          </cell>
          <cell r="J153">
            <v>40.6</v>
          </cell>
        </row>
        <row r="154">
          <cell r="I154" t="e">
            <v>#VALUE!</v>
          </cell>
          <cell r="J154">
            <v>0</v>
          </cell>
        </row>
        <row r="155">
          <cell r="I155">
            <v>26634</v>
          </cell>
          <cell r="J155">
            <v>41.2</v>
          </cell>
        </row>
        <row r="156">
          <cell r="I156" t="e">
            <v>#VALUE!</v>
          </cell>
          <cell r="J156">
            <v>0</v>
          </cell>
        </row>
        <row r="157">
          <cell r="I157">
            <v>26665</v>
          </cell>
          <cell r="J157">
            <v>0</v>
          </cell>
        </row>
        <row r="158">
          <cell r="I158" t="e">
            <v>#VALUE!</v>
          </cell>
          <cell r="J158">
            <v>0</v>
          </cell>
        </row>
        <row r="159">
          <cell r="I159">
            <v>26665</v>
          </cell>
          <cell r="J159">
            <v>41.6</v>
          </cell>
        </row>
        <row r="160">
          <cell r="I160" t="e">
            <v>#VALUE!</v>
          </cell>
          <cell r="J160">
            <v>0</v>
          </cell>
        </row>
        <row r="161">
          <cell r="I161">
            <v>26696</v>
          </cell>
          <cell r="J161">
            <v>42.4</v>
          </cell>
        </row>
        <row r="162">
          <cell r="I162" t="e">
            <v>#VALUE!</v>
          </cell>
          <cell r="J162">
            <v>0</v>
          </cell>
        </row>
        <row r="163">
          <cell r="I163">
            <v>26724</v>
          </cell>
          <cell r="J163">
            <v>43.4</v>
          </cell>
        </row>
        <row r="164">
          <cell r="I164" t="e">
            <v>#VALUE!</v>
          </cell>
          <cell r="J164">
            <v>0</v>
          </cell>
        </row>
        <row r="165">
          <cell r="I165">
            <v>26755</v>
          </cell>
          <cell r="J165">
            <v>43.6</v>
          </cell>
        </row>
        <row r="166">
          <cell r="I166" t="e">
            <v>#VALUE!</v>
          </cell>
          <cell r="J166">
            <v>0</v>
          </cell>
        </row>
        <row r="167">
          <cell r="I167">
            <v>26785</v>
          </cell>
          <cell r="J167">
            <v>44.4</v>
          </cell>
        </row>
        <row r="168">
          <cell r="I168" t="e">
            <v>#VALUE!</v>
          </cell>
          <cell r="J168">
            <v>0</v>
          </cell>
        </row>
        <row r="169">
          <cell r="I169">
            <v>26816</v>
          </cell>
          <cell r="J169">
            <v>45.3</v>
          </cell>
        </row>
        <row r="170">
          <cell r="I170" t="e">
            <v>#VALUE!</v>
          </cell>
          <cell r="J170">
            <v>0</v>
          </cell>
        </row>
        <row r="171">
          <cell r="I171">
            <v>26846</v>
          </cell>
          <cell r="J171">
            <v>44.6</v>
          </cell>
        </row>
        <row r="172">
          <cell r="I172" t="e">
            <v>#VALUE!</v>
          </cell>
          <cell r="J172">
            <v>0</v>
          </cell>
        </row>
        <row r="173">
          <cell r="I173">
            <v>26877</v>
          </cell>
          <cell r="J173">
            <v>47.4</v>
          </cell>
        </row>
        <row r="174">
          <cell r="I174" t="e">
            <v>#VALUE!</v>
          </cell>
          <cell r="J174">
            <v>0</v>
          </cell>
        </row>
        <row r="175">
          <cell r="I175">
            <v>26908</v>
          </cell>
          <cell r="J175">
            <v>46.6</v>
          </cell>
        </row>
        <row r="176">
          <cell r="I176" t="e">
            <v>#VALUE!</v>
          </cell>
          <cell r="J176">
            <v>0</v>
          </cell>
        </row>
        <row r="177">
          <cell r="I177">
            <v>26938</v>
          </cell>
          <cell r="J177">
            <v>46.5</v>
          </cell>
        </row>
        <row r="178">
          <cell r="I178" t="e">
            <v>#VALUE!</v>
          </cell>
          <cell r="J178">
            <v>0</v>
          </cell>
        </row>
        <row r="179">
          <cell r="I179">
            <v>26969</v>
          </cell>
          <cell r="J179">
            <v>46.8</v>
          </cell>
        </row>
        <row r="180">
          <cell r="I180" t="e">
            <v>#VALUE!</v>
          </cell>
          <cell r="J180">
            <v>0</v>
          </cell>
        </row>
        <row r="181">
          <cell r="I181">
            <v>26999</v>
          </cell>
          <cell r="J181">
            <v>47.5</v>
          </cell>
        </row>
        <row r="182">
          <cell r="I182" t="e">
            <v>#VALUE!</v>
          </cell>
          <cell r="J182">
            <v>0</v>
          </cell>
        </row>
        <row r="183">
          <cell r="I183">
            <v>27030</v>
          </cell>
          <cell r="J183">
            <v>0</v>
          </cell>
        </row>
        <row r="184">
          <cell r="I184" t="e">
            <v>#VALUE!</v>
          </cell>
          <cell r="J184">
            <v>0</v>
          </cell>
        </row>
        <row r="185">
          <cell r="I185">
            <v>27030</v>
          </cell>
          <cell r="J185">
            <v>49.1</v>
          </cell>
        </row>
        <row r="186">
          <cell r="I186" t="e">
            <v>#VALUE!</v>
          </cell>
          <cell r="J186">
            <v>0</v>
          </cell>
        </row>
        <row r="187">
          <cell r="I187">
            <v>27061</v>
          </cell>
          <cell r="J187">
            <v>49.9</v>
          </cell>
        </row>
        <row r="188">
          <cell r="I188" t="e">
            <v>#VALUE!</v>
          </cell>
          <cell r="J188">
            <v>0</v>
          </cell>
        </row>
        <row r="189">
          <cell r="I189">
            <v>27089</v>
          </cell>
          <cell r="J189">
            <v>50.6</v>
          </cell>
        </row>
        <row r="190">
          <cell r="I190" t="e">
            <v>#VALUE!</v>
          </cell>
          <cell r="J190">
            <v>0</v>
          </cell>
        </row>
        <row r="191">
          <cell r="I191">
            <v>27120</v>
          </cell>
          <cell r="J191">
            <v>51</v>
          </cell>
        </row>
        <row r="192">
          <cell r="I192" t="e">
            <v>#VALUE!</v>
          </cell>
          <cell r="J192">
            <v>0</v>
          </cell>
        </row>
        <row r="193">
          <cell r="I193">
            <v>27150</v>
          </cell>
          <cell r="J193">
            <v>51.6</v>
          </cell>
        </row>
        <row r="194">
          <cell r="I194" t="e">
            <v>#VALUE!</v>
          </cell>
          <cell r="J194">
            <v>0</v>
          </cell>
        </row>
        <row r="195">
          <cell r="I195">
            <v>27181</v>
          </cell>
          <cell r="J195">
            <v>51.9</v>
          </cell>
        </row>
        <row r="196">
          <cell r="I196" t="e">
            <v>#VALUE!</v>
          </cell>
          <cell r="J196">
            <v>0</v>
          </cell>
        </row>
        <row r="197">
          <cell r="I197">
            <v>27211</v>
          </cell>
          <cell r="J197">
            <v>53.8</v>
          </cell>
        </row>
        <row r="198">
          <cell r="I198" t="e">
            <v>#VALUE!</v>
          </cell>
          <cell r="J198">
            <v>0</v>
          </cell>
        </row>
        <row r="199">
          <cell r="I199">
            <v>27242</v>
          </cell>
          <cell r="J199">
            <v>55.9</v>
          </cell>
        </row>
        <row r="200">
          <cell r="I200" t="e">
            <v>#VALUE!</v>
          </cell>
          <cell r="J200">
            <v>0</v>
          </cell>
        </row>
        <row r="201">
          <cell r="I201">
            <v>27273</v>
          </cell>
          <cell r="J201">
            <v>55.8</v>
          </cell>
        </row>
        <row r="202">
          <cell r="I202" t="e">
            <v>#VALUE!</v>
          </cell>
          <cell r="J202">
            <v>0</v>
          </cell>
        </row>
        <row r="203">
          <cell r="I203">
            <v>27303</v>
          </cell>
          <cell r="J203">
            <v>57</v>
          </cell>
        </row>
        <row r="204">
          <cell r="I204" t="e">
            <v>#VALUE!</v>
          </cell>
          <cell r="J204">
            <v>0</v>
          </cell>
        </row>
        <row r="205">
          <cell r="I205">
            <v>27334</v>
          </cell>
          <cell r="J205">
            <v>57.7</v>
          </cell>
        </row>
        <row r="206">
          <cell r="I206" t="e">
            <v>#VALUE!</v>
          </cell>
          <cell r="J206">
            <v>0</v>
          </cell>
        </row>
        <row r="207">
          <cell r="I207">
            <v>27364</v>
          </cell>
          <cell r="J207">
            <v>57.5</v>
          </cell>
        </row>
        <row r="208">
          <cell r="I208" t="e">
            <v>#VALUE!</v>
          </cell>
          <cell r="J208">
            <v>0</v>
          </cell>
        </row>
        <row r="209">
          <cell r="I209">
            <v>27395</v>
          </cell>
          <cell r="J209">
            <v>0</v>
          </cell>
        </row>
        <row r="210">
          <cell r="I210" t="e">
            <v>#VALUE!</v>
          </cell>
          <cell r="J210">
            <v>0</v>
          </cell>
        </row>
        <row r="211">
          <cell r="I211">
            <v>4750</v>
          </cell>
          <cell r="J211">
            <v>12.1</v>
          </cell>
        </row>
        <row r="212">
          <cell r="I212" t="e">
            <v>#VALUE!</v>
          </cell>
          <cell r="J212">
            <v>0</v>
          </cell>
        </row>
        <row r="213">
          <cell r="I213">
            <v>4781</v>
          </cell>
          <cell r="J213">
            <v>12</v>
          </cell>
        </row>
        <row r="214">
          <cell r="I214" t="e">
            <v>#VALUE!</v>
          </cell>
          <cell r="J214">
            <v>0</v>
          </cell>
        </row>
        <row r="215">
          <cell r="I215">
            <v>4809</v>
          </cell>
          <cell r="J215">
            <v>12</v>
          </cell>
        </row>
        <row r="216">
          <cell r="I216" t="e">
            <v>#VALUE!</v>
          </cell>
          <cell r="J216">
            <v>0</v>
          </cell>
        </row>
        <row r="217">
          <cell r="I217">
            <v>4840</v>
          </cell>
          <cell r="J217">
            <v>12</v>
          </cell>
        </row>
        <row r="218">
          <cell r="I218" t="e">
            <v>#VALUE!</v>
          </cell>
          <cell r="J218">
            <v>0</v>
          </cell>
        </row>
        <row r="219">
          <cell r="I219">
            <v>4870</v>
          </cell>
          <cell r="J219">
            <v>11.9</v>
          </cell>
        </row>
        <row r="220">
          <cell r="I220" t="e">
            <v>#VALUE!</v>
          </cell>
          <cell r="J220">
            <v>0</v>
          </cell>
        </row>
        <row r="221">
          <cell r="I221">
            <v>4901</v>
          </cell>
          <cell r="J221">
            <v>11.9</v>
          </cell>
        </row>
        <row r="222">
          <cell r="I222" t="e">
            <v>#VALUE!</v>
          </cell>
          <cell r="J222">
            <v>0</v>
          </cell>
        </row>
        <row r="223">
          <cell r="I223">
            <v>4931</v>
          </cell>
          <cell r="J223">
            <v>12</v>
          </cell>
        </row>
        <row r="224">
          <cell r="I224" t="e">
            <v>#VALUE!</v>
          </cell>
          <cell r="J224">
            <v>0</v>
          </cell>
        </row>
        <row r="225">
          <cell r="I225">
            <v>4962</v>
          </cell>
          <cell r="J225">
            <v>12</v>
          </cell>
        </row>
        <row r="226">
          <cell r="I226" t="e">
            <v>#VALUE!</v>
          </cell>
          <cell r="J226">
            <v>0</v>
          </cell>
        </row>
        <row r="227">
          <cell r="I227">
            <v>4993</v>
          </cell>
          <cell r="J227">
            <v>12.2</v>
          </cell>
        </row>
        <row r="228">
          <cell r="I228" t="e">
            <v>#VALUE!</v>
          </cell>
          <cell r="J228">
            <v>0</v>
          </cell>
        </row>
        <row r="229">
          <cell r="I229">
            <v>5023</v>
          </cell>
          <cell r="J229">
            <v>12.2</v>
          </cell>
        </row>
        <row r="230">
          <cell r="I230" t="e">
            <v>#VALUE!</v>
          </cell>
          <cell r="J230">
            <v>0</v>
          </cell>
        </row>
        <row r="231">
          <cell r="I231">
            <v>5054</v>
          </cell>
          <cell r="J231">
            <v>12.1</v>
          </cell>
        </row>
        <row r="232">
          <cell r="I232" t="e">
            <v>#VALUE!</v>
          </cell>
          <cell r="J232">
            <v>0</v>
          </cell>
        </row>
        <row r="233">
          <cell r="I233">
            <v>5084</v>
          </cell>
          <cell r="J233">
            <v>11.9</v>
          </cell>
        </row>
        <row r="234">
          <cell r="I234" t="e">
            <v>#VALUE!</v>
          </cell>
          <cell r="J234">
            <v>0</v>
          </cell>
        </row>
        <row r="235">
          <cell r="I235">
            <v>5115</v>
          </cell>
          <cell r="J235">
            <v>12</v>
          </cell>
        </row>
        <row r="236">
          <cell r="I236" t="e">
            <v>#VALUE!</v>
          </cell>
          <cell r="J236">
            <v>0</v>
          </cell>
        </row>
        <row r="237">
          <cell r="I237">
            <v>5115</v>
          </cell>
          <cell r="J237">
            <v>11.8</v>
          </cell>
        </row>
        <row r="238">
          <cell r="I238" t="e">
            <v>#VALUE!</v>
          </cell>
          <cell r="J238">
            <v>0</v>
          </cell>
        </row>
        <row r="239">
          <cell r="I239">
            <v>5146</v>
          </cell>
          <cell r="J239">
            <v>11.8</v>
          </cell>
        </row>
        <row r="240">
          <cell r="I240" t="e">
            <v>#VALUE!</v>
          </cell>
          <cell r="J240">
            <v>0</v>
          </cell>
        </row>
        <row r="241">
          <cell r="I241">
            <v>5174</v>
          </cell>
          <cell r="J241">
            <v>11.7</v>
          </cell>
        </row>
        <row r="242">
          <cell r="I242" t="e">
            <v>#VALUE!</v>
          </cell>
          <cell r="J242">
            <v>0</v>
          </cell>
        </row>
        <row r="243">
          <cell r="I243">
            <v>5205</v>
          </cell>
          <cell r="J243">
            <v>11.7</v>
          </cell>
        </row>
        <row r="244">
          <cell r="I244" t="e">
            <v>#VALUE!</v>
          </cell>
          <cell r="J244">
            <v>0</v>
          </cell>
        </row>
        <row r="245">
          <cell r="I245">
            <v>5235</v>
          </cell>
          <cell r="J245">
            <v>11.6</v>
          </cell>
        </row>
        <row r="246">
          <cell r="I246" t="e">
            <v>#VALUE!</v>
          </cell>
          <cell r="J246">
            <v>0</v>
          </cell>
        </row>
        <row r="247">
          <cell r="I247">
            <v>5266</v>
          </cell>
          <cell r="J247">
            <v>11.6</v>
          </cell>
        </row>
        <row r="248">
          <cell r="I248" t="e">
            <v>#VALUE!</v>
          </cell>
          <cell r="J248">
            <v>0</v>
          </cell>
        </row>
        <row r="249">
          <cell r="I249">
            <v>5296</v>
          </cell>
          <cell r="J249">
            <v>11.6</v>
          </cell>
        </row>
        <row r="250">
          <cell r="I250" t="e">
            <v>#VALUE!</v>
          </cell>
          <cell r="J250">
            <v>0</v>
          </cell>
        </row>
        <row r="251">
          <cell r="I251">
            <v>5327</v>
          </cell>
          <cell r="J251">
            <v>12</v>
          </cell>
        </row>
        <row r="252">
          <cell r="I252" t="e">
            <v>#VALUE!</v>
          </cell>
          <cell r="J252">
            <v>0</v>
          </cell>
        </row>
        <row r="253">
          <cell r="I253">
            <v>5358</v>
          </cell>
          <cell r="J253">
            <v>12.1</v>
          </cell>
        </row>
        <row r="254">
          <cell r="I254" t="e">
            <v>#VALUE!</v>
          </cell>
          <cell r="J254">
            <v>0</v>
          </cell>
        </row>
        <row r="255">
          <cell r="I255">
            <v>5388</v>
          </cell>
          <cell r="J255">
            <v>11.7</v>
          </cell>
        </row>
        <row r="256">
          <cell r="I256" t="e">
            <v>#VALUE!</v>
          </cell>
          <cell r="J256">
            <v>0</v>
          </cell>
        </row>
        <row r="257">
          <cell r="I257">
            <v>5419</v>
          </cell>
          <cell r="J257">
            <v>11.7</v>
          </cell>
        </row>
        <row r="258">
          <cell r="I258" t="e">
            <v>#VALUE!</v>
          </cell>
          <cell r="J258">
            <v>0</v>
          </cell>
        </row>
        <row r="259">
          <cell r="I259">
            <v>5449</v>
          </cell>
          <cell r="J259">
            <v>11.6</v>
          </cell>
        </row>
        <row r="260">
          <cell r="I260" t="e">
            <v>#VALUE!</v>
          </cell>
          <cell r="J260">
            <v>0</v>
          </cell>
        </row>
        <row r="261">
          <cell r="I261">
            <v>5480</v>
          </cell>
          <cell r="J261">
            <v>11.8</v>
          </cell>
        </row>
        <row r="262">
          <cell r="I262" t="e">
            <v>#VALUE!</v>
          </cell>
          <cell r="J262">
            <v>0</v>
          </cell>
        </row>
        <row r="263">
          <cell r="I263">
            <v>5480</v>
          </cell>
          <cell r="J263">
            <v>11.8</v>
          </cell>
        </row>
        <row r="264">
          <cell r="I264" t="e">
            <v>#VALUE!</v>
          </cell>
          <cell r="J264">
            <v>0</v>
          </cell>
        </row>
        <row r="265">
          <cell r="I265">
            <v>5511</v>
          </cell>
          <cell r="J265">
            <v>11.8</v>
          </cell>
        </row>
        <row r="266">
          <cell r="I266" t="e">
            <v>#VALUE!</v>
          </cell>
          <cell r="J266">
            <v>0</v>
          </cell>
        </row>
        <row r="267">
          <cell r="I267">
            <v>5539</v>
          </cell>
          <cell r="J267">
            <v>11.8</v>
          </cell>
        </row>
        <row r="268">
          <cell r="I268" t="e">
            <v>#VALUE!</v>
          </cell>
          <cell r="J268">
            <v>0</v>
          </cell>
        </row>
        <row r="269">
          <cell r="I269">
            <v>5570</v>
          </cell>
          <cell r="J269">
            <v>11.8</v>
          </cell>
        </row>
        <row r="270">
          <cell r="I270" t="e">
            <v>#VALUE!</v>
          </cell>
          <cell r="J270">
            <v>0</v>
          </cell>
        </row>
        <row r="271">
          <cell r="I271">
            <v>5600</v>
          </cell>
          <cell r="J271">
            <v>11.9</v>
          </cell>
        </row>
        <row r="272">
          <cell r="I272" t="e">
            <v>#VALUE!</v>
          </cell>
          <cell r="J272">
            <v>0</v>
          </cell>
        </row>
        <row r="273">
          <cell r="I273">
            <v>5631</v>
          </cell>
          <cell r="J273">
            <v>11.8</v>
          </cell>
        </row>
        <row r="274">
          <cell r="I274" t="e">
            <v>#VALUE!</v>
          </cell>
          <cell r="J274">
            <v>0</v>
          </cell>
        </row>
        <row r="275">
          <cell r="I275">
            <v>5661</v>
          </cell>
          <cell r="J275">
            <v>11.9</v>
          </cell>
        </row>
        <row r="276">
          <cell r="I276" t="e">
            <v>#VALUE!</v>
          </cell>
          <cell r="J276">
            <v>0</v>
          </cell>
        </row>
        <row r="277">
          <cell r="I277">
            <v>5692</v>
          </cell>
          <cell r="J277">
            <v>11.8</v>
          </cell>
        </row>
        <row r="278">
          <cell r="I278" t="e">
            <v>#VALUE!</v>
          </cell>
          <cell r="J278">
            <v>0</v>
          </cell>
        </row>
        <row r="279">
          <cell r="I279">
            <v>5723</v>
          </cell>
          <cell r="J279">
            <v>11.8</v>
          </cell>
        </row>
        <row r="280">
          <cell r="I280" t="e">
            <v>#VALUE!</v>
          </cell>
          <cell r="J280">
            <v>0</v>
          </cell>
        </row>
        <row r="281">
          <cell r="I281">
            <v>5753</v>
          </cell>
          <cell r="J281">
            <v>12.1</v>
          </cell>
        </row>
        <row r="282">
          <cell r="I282" t="e">
            <v>#VALUE!</v>
          </cell>
          <cell r="J282">
            <v>0</v>
          </cell>
        </row>
        <row r="283">
          <cell r="I283">
            <v>5784</v>
          </cell>
          <cell r="J283">
            <v>12.3</v>
          </cell>
        </row>
        <row r="284">
          <cell r="I284" t="e">
            <v>#VALUE!</v>
          </cell>
          <cell r="J284">
            <v>0</v>
          </cell>
        </row>
        <row r="285">
          <cell r="I285">
            <v>5814</v>
          </cell>
          <cell r="J285">
            <v>12.8</v>
          </cell>
        </row>
        <row r="286">
          <cell r="I286" t="e">
            <v>#VALUE!</v>
          </cell>
          <cell r="J286">
            <v>0</v>
          </cell>
        </row>
        <row r="287">
          <cell r="I287">
            <v>5845</v>
          </cell>
          <cell r="J287">
            <v>12</v>
          </cell>
        </row>
        <row r="288">
          <cell r="I288" t="e">
            <v>#VALUE!</v>
          </cell>
          <cell r="J288">
            <v>0</v>
          </cell>
        </row>
        <row r="289">
          <cell r="I289">
            <v>5845</v>
          </cell>
          <cell r="J289">
            <v>13.3</v>
          </cell>
        </row>
        <row r="290">
          <cell r="I290" t="e">
            <v>#VALUE!</v>
          </cell>
          <cell r="J290">
            <v>0</v>
          </cell>
        </row>
        <row r="291">
          <cell r="I291">
            <v>5876</v>
          </cell>
          <cell r="J291">
            <v>13.5</v>
          </cell>
        </row>
        <row r="292">
          <cell r="I292" t="e">
            <v>#VALUE!</v>
          </cell>
          <cell r="J292">
            <v>0</v>
          </cell>
        </row>
        <row r="293">
          <cell r="I293">
            <v>5905</v>
          </cell>
          <cell r="J293">
            <v>13.9</v>
          </cell>
        </row>
        <row r="294">
          <cell r="I294" t="e">
            <v>#VALUE!</v>
          </cell>
          <cell r="J294">
            <v>0</v>
          </cell>
        </row>
        <row r="295">
          <cell r="I295">
            <v>5936</v>
          </cell>
          <cell r="J295">
            <v>14.1</v>
          </cell>
        </row>
        <row r="296">
          <cell r="I296" t="e">
            <v>#VALUE!</v>
          </cell>
          <cell r="J296">
            <v>0</v>
          </cell>
        </row>
        <row r="297">
          <cell r="I297">
            <v>5966</v>
          </cell>
          <cell r="J297">
            <v>14.2</v>
          </cell>
        </row>
        <row r="298">
          <cell r="I298" t="e">
            <v>#VALUE!</v>
          </cell>
          <cell r="J298">
            <v>0</v>
          </cell>
        </row>
        <row r="299">
          <cell r="I299">
            <v>5997</v>
          </cell>
          <cell r="J299">
            <v>14.3</v>
          </cell>
        </row>
        <row r="300">
          <cell r="I300" t="e">
            <v>#VALUE!</v>
          </cell>
          <cell r="J300">
            <v>0</v>
          </cell>
        </row>
        <row r="301">
          <cell r="I301">
            <v>6027</v>
          </cell>
          <cell r="J301">
            <v>14.4</v>
          </cell>
        </row>
        <row r="302">
          <cell r="I302" t="e">
            <v>#VALUE!</v>
          </cell>
          <cell r="J302">
            <v>0</v>
          </cell>
        </row>
        <row r="303">
          <cell r="I303">
            <v>6058</v>
          </cell>
          <cell r="J303">
            <v>14.7</v>
          </cell>
        </row>
        <row r="304">
          <cell r="I304" t="e">
            <v>#VALUE!</v>
          </cell>
          <cell r="J304">
            <v>0</v>
          </cell>
        </row>
        <row r="305">
          <cell r="I305">
            <v>6089</v>
          </cell>
          <cell r="J305">
            <v>15</v>
          </cell>
        </row>
        <row r="306">
          <cell r="I306" t="e">
            <v>#VALUE!</v>
          </cell>
          <cell r="J306">
            <v>0</v>
          </cell>
        </row>
        <row r="307">
          <cell r="I307">
            <v>6119</v>
          </cell>
          <cell r="J307">
            <v>15.7</v>
          </cell>
        </row>
        <row r="308">
          <cell r="I308" t="e">
            <v>#VALUE!</v>
          </cell>
          <cell r="J308">
            <v>0</v>
          </cell>
        </row>
        <row r="309">
          <cell r="I309">
            <v>6150</v>
          </cell>
          <cell r="J309">
            <v>16.8</v>
          </cell>
        </row>
        <row r="310">
          <cell r="I310" t="e">
            <v>#VALUE!</v>
          </cell>
          <cell r="J310">
            <v>0</v>
          </cell>
        </row>
        <row r="311">
          <cell r="I311">
            <v>6180</v>
          </cell>
          <cell r="J311">
            <v>17.100000000000001</v>
          </cell>
        </row>
        <row r="312">
          <cell r="I312" t="e">
            <v>#VALUE!</v>
          </cell>
          <cell r="J312">
            <v>0</v>
          </cell>
        </row>
        <row r="313">
          <cell r="I313">
            <v>6211</v>
          </cell>
          <cell r="J313">
            <v>14.7</v>
          </cell>
        </row>
        <row r="314">
          <cell r="I314" t="e">
            <v>#VALUE!</v>
          </cell>
          <cell r="J314">
            <v>0</v>
          </cell>
        </row>
        <row r="315">
          <cell r="I315">
            <v>6211</v>
          </cell>
          <cell r="J315">
            <v>17.600000000000001</v>
          </cell>
        </row>
        <row r="316">
          <cell r="I316" t="e">
            <v>#VALUE!</v>
          </cell>
          <cell r="J316">
            <v>0</v>
          </cell>
        </row>
        <row r="317">
          <cell r="I317">
            <v>6242</v>
          </cell>
          <cell r="J317">
            <v>18</v>
          </cell>
        </row>
        <row r="318">
          <cell r="I318" t="e">
            <v>#VALUE!</v>
          </cell>
          <cell r="J318">
            <v>0</v>
          </cell>
        </row>
        <row r="319">
          <cell r="I319">
            <v>6270</v>
          </cell>
          <cell r="J319">
            <v>18.5</v>
          </cell>
        </row>
        <row r="320">
          <cell r="I320" t="e">
            <v>#VALUE!</v>
          </cell>
          <cell r="J320">
            <v>0</v>
          </cell>
        </row>
        <row r="321">
          <cell r="I321">
            <v>6301</v>
          </cell>
          <cell r="J321">
            <v>19.7</v>
          </cell>
        </row>
        <row r="322">
          <cell r="I322" t="e">
            <v>#VALUE!</v>
          </cell>
          <cell r="J322">
            <v>0</v>
          </cell>
        </row>
        <row r="323">
          <cell r="I323">
            <v>6331</v>
          </cell>
          <cell r="J323">
            <v>20.8</v>
          </cell>
        </row>
        <row r="324">
          <cell r="I324" t="e">
            <v>#VALUE!</v>
          </cell>
          <cell r="J324">
            <v>0</v>
          </cell>
        </row>
        <row r="325">
          <cell r="I325">
            <v>6362</v>
          </cell>
          <cell r="J325">
            <v>21</v>
          </cell>
        </row>
        <row r="326">
          <cell r="I326" t="e">
            <v>#VALUE!</v>
          </cell>
          <cell r="J326">
            <v>0</v>
          </cell>
        </row>
        <row r="327">
          <cell r="I327">
            <v>6392</v>
          </cell>
          <cell r="J327">
            <v>21.2</v>
          </cell>
        </row>
        <row r="328">
          <cell r="I328" t="e">
            <v>#VALUE!</v>
          </cell>
          <cell r="J328">
            <v>0</v>
          </cell>
        </row>
        <row r="329">
          <cell r="I329">
            <v>6423</v>
          </cell>
          <cell r="J329">
            <v>21.5</v>
          </cell>
        </row>
        <row r="330">
          <cell r="I330" t="e">
            <v>#VALUE!</v>
          </cell>
          <cell r="J330">
            <v>0</v>
          </cell>
        </row>
        <row r="331">
          <cell r="I331">
            <v>6454</v>
          </cell>
          <cell r="J331">
            <v>21.3</v>
          </cell>
        </row>
        <row r="332">
          <cell r="I332" t="e">
            <v>#VALUE!</v>
          </cell>
          <cell r="J332">
            <v>0</v>
          </cell>
        </row>
        <row r="333">
          <cell r="I333">
            <v>6484</v>
          </cell>
          <cell r="J333">
            <v>21.1</v>
          </cell>
        </row>
        <row r="334">
          <cell r="I334" t="e">
            <v>#VALUE!</v>
          </cell>
          <cell r="J334">
            <v>0</v>
          </cell>
        </row>
        <row r="335">
          <cell r="I335">
            <v>6515</v>
          </cell>
          <cell r="J335">
            <v>21.2</v>
          </cell>
        </row>
        <row r="336">
          <cell r="I336" t="e">
            <v>#VALUE!</v>
          </cell>
          <cell r="J336">
            <v>0</v>
          </cell>
        </row>
        <row r="337">
          <cell r="I337">
            <v>6545</v>
          </cell>
          <cell r="J337">
            <v>21.2</v>
          </cell>
        </row>
        <row r="338">
          <cell r="I338" t="e">
            <v>#VALUE!</v>
          </cell>
          <cell r="J338">
            <v>0</v>
          </cell>
        </row>
        <row r="339">
          <cell r="I339">
            <v>6576</v>
          </cell>
          <cell r="J339">
            <v>20.2</v>
          </cell>
        </row>
        <row r="340">
          <cell r="I340" t="e">
            <v>#VALUE!</v>
          </cell>
          <cell r="J340">
            <v>0</v>
          </cell>
        </row>
        <row r="341">
          <cell r="I341">
            <v>6576</v>
          </cell>
          <cell r="J341">
            <v>21.6</v>
          </cell>
        </row>
        <row r="342">
          <cell r="I342" t="e">
            <v>#VALUE!</v>
          </cell>
          <cell r="J342">
            <v>0</v>
          </cell>
        </row>
        <row r="343">
          <cell r="I343">
            <v>6607</v>
          </cell>
          <cell r="J343">
            <v>21.1</v>
          </cell>
        </row>
        <row r="344">
          <cell r="I344" t="e">
            <v>#VALUE!</v>
          </cell>
          <cell r="J344">
            <v>0</v>
          </cell>
        </row>
        <row r="345">
          <cell r="I345">
            <v>6635</v>
          </cell>
          <cell r="J345">
            <v>21.8</v>
          </cell>
        </row>
        <row r="346">
          <cell r="I346" t="e">
            <v>#VALUE!</v>
          </cell>
          <cell r="J346">
            <v>0</v>
          </cell>
        </row>
        <row r="347">
          <cell r="I347">
            <v>6666</v>
          </cell>
          <cell r="J347">
            <v>22.1</v>
          </cell>
        </row>
        <row r="348">
          <cell r="I348" t="e">
            <v>#VALUE!</v>
          </cell>
          <cell r="J348">
            <v>0</v>
          </cell>
        </row>
        <row r="349">
          <cell r="I349">
            <v>6696</v>
          </cell>
          <cell r="J349">
            <v>22.1</v>
          </cell>
        </row>
        <row r="350">
          <cell r="I350" t="e">
            <v>#VALUE!</v>
          </cell>
          <cell r="J350">
            <v>0</v>
          </cell>
        </row>
        <row r="351">
          <cell r="I351">
            <v>6727</v>
          </cell>
          <cell r="J351">
            <v>22.2</v>
          </cell>
        </row>
        <row r="352">
          <cell r="I352" t="e">
            <v>#VALUE!</v>
          </cell>
          <cell r="J352">
            <v>0</v>
          </cell>
        </row>
        <row r="353">
          <cell r="I353">
            <v>6757</v>
          </cell>
          <cell r="J353">
            <v>22.7</v>
          </cell>
        </row>
        <row r="354">
          <cell r="I354" t="e">
            <v>#VALUE!</v>
          </cell>
          <cell r="J354">
            <v>0</v>
          </cell>
        </row>
        <row r="355">
          <cell r="I355">
            <v>6788</v>
          </cell>
          <cell r="J355">
            <v>23.2</v>
          </cell>
        </row>
        <row r="356">
          <cell r="I356" t="e">
            <v>#VALUE!</v>
          </cell>
          <cell r="J356">
            <v>0</v>
          </cell>
        </row>
        <row r="357">
          <cell r="I357">
            <v>6819</v>
          </cell>
          <cell r="J357">
            <v>23.7</v>
          </cell>
        </row>
        <row r="358">
          <cell r="I358" t="e">
            <v>#VALUE!</v>
          </cell>
          <cell r="J358">
            <v>0</v>
          </cell>
        </row>
        <row r="359">
          <cell r="I359">
            <v>6849</v>
          </cell>
          <cell r="J359">
            <v>23.5</v>
          </cell>
        </row>
        <row r="360">
          <cell r="I360" t="e">
            <v>#VALUE!</v>
          </cell>
          <cell r="J360">
            <v>0</v>
          </cell>
        </row>
        <row r="361">
          <cell r="I361">
            <v>6880</v>
          </cell>
          <cell r="J361">
            <v>23.5</v>
          </cell>
        </row>
        <row r="362">
          <cell r="I362" t="e">
            <v>#VALUE!</v>
          </cell>
          <cell r="J362">
            <v>0</v>
          </cell>
        </row>
        <row r="363">
          <cell r="I363">
            <v>6910</v>
          </cell>
          <cell r="J363">
            <v>23.5</v>
          </cell>
        </row>
        <row r="364">
          <cell r="I364" t="e">
            <v>#VALUE!</v>
          </cell>
          <cell r="J364">
            <v>0</v>
          </cell>
        </row>
        <row r="365">
          <cell r="I365">
            <v>6941</v>
          </cell>
          <cell r="J365">
            <v>22.6</v>
          </cell>
        </row>
        <row r="366">
          <cell r="I366" t="e">
            <v>#VALUE!</v>
          </cell>
          <cell r="J366">
            <v>0</v>
          </cell>
        </row>
        <row r="367">
          <cell r="I367">
            <v>6941</v>
          </cell>
          <cell r="J367">
            <v>23.2</v>
          </cell>
        </row>
        <row r="368">
          <cell r="I368" t="e">
            <v>#VALUE!</v>
          </cell>
          <cell r="J368">
            <v>0</v>
          </cell>
        </row>
        <row r="369">
          <cell r="I369">
            <v>6972</v>
          </cell>
          <cell r="J369">
            <v>22.4</v>
          </cell>
        </row>
        <row r="370">
          <cell r="I370" t="e">
            <v>#VALUE!</v>
          </cell>
          <cell r="J370">
            <v>0</v>
          </cell>
        </row>
        <row r="371">
          <cell r="I371">
            <v>7000</v>
          </cell>
          <cell r="J371">
            <v>22.6</v>
          </cell>
        </row>
        <row r="372">
          <cell r="I372" t="e">
            <v>#VALUE!</v>
          </cell>
          <cell r="J372">
            <v>0</v>
          </cell>
        </row>
        <row r="373">
          <cell r="I373">
            <v>7031</v>
          </cell>
          <cell r="J373">
            <v>22.9</v>
          </cell>
        </row>
        <row r="374">
          <cell r="I374" t="e">
            <v>#VALUE!</v>
          </cell>
          <cell r="J374">
            <v>0</v>
          </cell>
        </row>
        <row r="375">
          <cell r="I375">
            <v>7061</v>
          </cell>
          <cell r="J375">
            <v>23.3</v>
          </cell>
        </row>
        <row r="376">
          <cell r="I376" t="e">
            <v>#VALUE!</v>
          </cell>
          <cell r="J376">
            <v>0</v>
          </cell>
        </row>
        <row r="377">
          <cell r="I377">
            <v>7092</v>
          </cell>
          <cell r="J377">
            <v>23.4</v>
          </cell>
        </row>
        <row r="378">
          <cell r="I378" t="e">
            <v>#VALUE!</v>
          </cell>
          <cell r="J378">
            <v>0</v>
          </cell>
        </row>
        <row r="379">
          <cell r="I379">
            <v>7122</v>
          </cell>
          <cell r="J379">
            <v>24.3</v>
          </cell>
        </row>
        <row r="380">
          <cell r="I380" t="e">
            <v>#VALUE!</v>
          </cell>
          <cell r="J380">
            <v>0</v>
          </cell>
        </row>
        <row r="381">
          <cell r="I381">
            <v>7153</v>
          </cell>
          <cell r="J381">
            <v>24.9</v>
          </cell>
        </row>
        <row r="382">
          <cell r="I382" t="e">
            <v>#VALUE!</v>
          </cell>
          <cell r="J382">
            <v>0</v>
          </cell>
        </row>
        <row r="383">
          <cell r="I383">
            <v>7184</v>
          </cell>
          <cell r="J383">
            <v>24.3</v>
          </cell>
        </row>
        <row r="384">
          <cell r="I384" t="e">
            <v>#VALUE!</v>
          </cell>
          <cell r="J384">
            <v>0</v>
          </cell>
        </row>
        <row r="385">
          <cell r="I385">
            <v>7214</v>
          </cell>
          <cell r="J385">
            <v>24.4</v>
          </cell>
        </row>
        <row r="386">
          <cell r="I386" t="e">
            <v>#VALUE!</v>
          </cell>
          <cell r="J386">
            <v>0</v>
          </cell>
        </row>
        <row r="387">
          <cell r="I387">
            <v>7245</v>
          </cell>
          <cell r="J387">
            <v>24.9</v>
          </cell>
        </row>
        <row r="388">
          <cell r="I388" t="e">
            <v>#VALUE!</v>
          </cell>
          <cell r="J388">
            <v>0</v>
          </cell>
        </row>
        <row r="389">
          <cell r="I389">
            <v>7275</v>
          </cell>
          <cell r="J389">
            <v>26</v>
          </cell>
        </row>
        <row r="390">
          <cell r="I390" t="e">
            <v>#VALUE!</v>
          </cell>
          <cell r="J390">
            <v>0</v>
          </cell>
        </row>
        <row r="391">
          <cell r="I391">
            <v>7306</v>
          </cell>
          <cell r="J391">
            <v>23.9</v>
          </cell>
        </row>
        <row r="392">
          <cell r="I392" t="e">
            <v>#VALUE!</v>
          </cell>
          <cell r="J392">
            <v>0</v>
          </cell>
        </row>
        <row r="393">
          <cell r="I393">
            <v>7306</v>
          </cell>
          <cell r="J393">
            <v>27.2</v>
          </cell>
        </row>
        <row r="394">
          <cell r="I394" t="e">
            <v>#VALUE!</v>
          </cell>
          <cell r="J394">
            <v>0</v>
          </cell>
        </row>
        <row r="395">
          <cell r="I395">
            <v>7337</v>
          </cell>
          <cell r="J395">
            <v>27.1</v>
          </cell>
        </row>
        <row r="396">
          <cell r="I396" t="e">
            <v>#VALUE!</v>
          </cell>
          <cell r="J396">
            <v>0</v>
          </cell>
        </row>
        <row r="397">
          <cell r="I397">
            <v>7366</v>
          </cell>
          <cell r="J397">
            <v>27.3</v>
          </cell>
        </row>
        <row r="398">
          <cell r="I398" t="e">
            <v>#VALUE!</v>
          </cell>
          <cell r="J398">
            <v>0</v>
          </cell>
        </row>
        <row r="399">
          <cell r="I399">
            <v>7397</v>
          </cell>
          <cell r="J399">
            <v>28.5</v>
          </cell>
        </row>
        <row r="400">
          <cell r="I400" t="e">
            <v>#VALUE!</v>
          </cell>
          <cell r="J400">
            <v>0</v>
          </cell>
        </row>
        <row r="401">
          <cell r="I401">
            <v>7427</v>
          </cell>
          <cell r="J401">
            <v>28.8</v>
          </cell>
        </row>
        <row r="402">
          <cell r="I402" t="e">
            <v>#VALUE!</v>
          </cell>
          <cell r="J402">
            <v>0</v>
          </cell>
        </row>
        <row r="403">
          <cell r="I403">
            <v>7458</v>
          </cell>
          <cell r="J403">
            <v>28.7</v>
          </cell>
        </row>
        <row r="404">
          <cell r="I404" t="e">
            <v>#VALUE!</v>
          </cell>
          <cell r="J404">
            <v>0</v>
          </cell>
        </row>
        <row r="405">
          <cell r="I405">
            <v>7488</v>
          </cell>
          <cell r="J405">
            <v>28.6</v>
          </cell>
        </row>
        <row r="406">
          <cell r="I406" t="e">
            <v>#VALUE!</v>
          </cell>
          <cell r="J406">
            <v>0</v>
          </cell>
        </row>
        <row r="407">
          <cell r="I407">
            <v>7519</v>
          </cell>
          <cell r="J407">
            <v>27.8</v>
          </cell>
        </row>
        <row r="408">
          <cell r="I408" t="e">
            <v>#VALUE!</v>
          </cell>
          <cell r="J408">
            <v>0</v>
          </cell>
        </row>
        <row r="409">
          <cell r="I409">
            <v>7550</v>
          </cell>
          <cell r="J409">
            <v>26.8</v>
          </cell>
        </row>
        <row r="410">
          <cell r="I410" t="e">
            <v>#VALUE!</v>
          </cell>
          <cell r="J410">
            <v>0</v>
          </cell>
        </row>
        <row r="411">
          <cell r="I411">
            <v>7580</v>
          </cell>
          <cell r="J411">
            <v>24.9</v>
          </cell>
        </row>
        <row r="412">
          <cell r="I412" t="e">
            <v>#VALUE!</v>
          </cell>
          <cell r="J412">
            <v>0</v>
          </cell>
        </row>
        <row r="413">
          <cell r="I413">
            <v>7611</v>
          </cell>
          <cell r="J413">
            <v>23</v>
          </cell>
        </row>
        <row r="414">
          <cell r="I414" t="e">
            <v>#VALUE!</v>
          </cell>
          <cell r="J414">
            <v>0</v>
          </cell>
        </row>
        <row r="415">
          <cell r="I415">
            <v>7641</v>
          </cell>
          <cell r="J415">
            <v>20.8</v>
          </cell>
        </row>
        <row r="416">
          <cell r="I416" t="e">
            <v>#VALUE!</v>
          </cell>
          <cell r="J416">
            <v>0</v>
          </cell>
        </row>
        <row r="417">
          <cell r="I417">
            <v>7672</v>
          </cell>
          <cell r="J417">
            <v>26.6</v>
          </cell>
        </row>
        <row r="418">
          <cell r="I418" t="e">
            <v>#VALUE!</v>
          </cell>
          <cell r="J418">
            <v>0</v>
          </cell>
        </row>
        <row r="419">
          <cell r="I419">
            <v>7672</v>
          </cell>
          <cell r="J419">
            <v>19.600000000000001</v>
          </cell>
        </row>
        <row r="420">
          <cell r="I420" t="e">
            <v>#VALUE!</v>
          </cell>
          <cell r="J420">
            <v>0</v>
          </cell>
        </row>
        <row r="421">
          <cell r="I421">
            <v>7703</v>
          </cell>
          <cell r="J421">
            <v>18.100000000000001</v>
          </cell>
        </row>
        <row r="422">
          <cell r="I422" t="e">
            <v>#VALUE!</v>
          </cell>
          <cell r="J422">
            <v>0</v>
          </cell>
        </row>
        <row r="423">
          <cell r="I423">
            <v>7731</v>
          </cell>
          <cell r="J423">
            <v>17.7</v>
          </cell>
        </row>
        <row r="424">
          <cell r="I424" t="e">
            <v>#VALUE!</v>
          </cell>
          <cell r="J424">
            <v>0</v>
          </cell>
        </row>
        <row r="425">
          <cell r="I425">
            <v>7762</v>
          </cell>
          <cell r="J425">
            <v>17</v>
          </cell>
        </row>
        <row r="426">
          <cell r="I426" t="e">
            <v>#VALUE!</v>
          </cell>
          <cell r="J426">
            <v>0</v>
          </cell>
        </row>
        <row r="427">
          <cell r="I427">
            <v>7792</v>
          </cell>
          <cell r="J427">
            <v>16.600000000000001</v>
          </cell>
        </row>
        <row r="428">
          <cell r="I428" t="e">
            <v>#VALUE!</v>
          </cell>
          <cell r="J428">
            <v>0</v>
          </cell>
        </row>
        <row r="429">
          <cell r="I429">
            <v>7823</v>
          </cell>
          <cell r="J429">
            <v>16.100000000000001</v>
          </cell>
        </row>
        <row r="430">
          <cell r="I430" t="e">
            <v>#VALUE!</v>
          </cell>
          <cell r="J430">
            <v>0</v>
          </cell>
        </row>
        <row r="431">
          <cell r="I431">
            <v>7853</v>
          </cell>
          <cell r="J431">
            <v>16.100000000000001</v>
          </cell>
        </row>
        <row r="432">
          <cell r="I432" t="e">
            <v>#VALUE!</v>
          </cell>
          <cell r="J432">
            <v>0</v>
          </cell>
        </row>
        <row r="433">
          <cell r="I433">
            <v>7884</v>
          </cell>
          <cell r="J433">
            <v>16.100000000000001</v>
          </cell>
        </row>
        <row r="434">
          <cell r="I434" t="e">
            <v>#VALUE!</v>
          </cell>
          <cell r="J434">
            <v>0</v>
          </cell>
        </row>
        <row r="435">
          <cell r="I435">
            <v>7915</v>
          </cell>
          <cell r="J435">
            <v>16.100000000000001</v>
          </cell>
        </row>
        <row r="436">
          <cell r="I436" t="e">
            <v>#VALUE!</v>
          </cell>
          <cell r="J436">
            <v>0</v>
          </cell>
        </row>
        <row r="437">
          <cell r="I437">
            <v>7945</v>
          </cell>
          <cell r="J437">
            <v>16.2</v>
          </cell>
        </row>
        <row r="438">
          <cell r="I438" t="e">
            <v>#VALUE!</v>
          </cell>
          <cell r="J438">
            <v>0</v>
          </cell>
        </row>
        <row r="439">
          <cell r="I439">
            <v>7976</v>
          </cell>
          <cell r="J439">
            <v>16.2</v>
          </cell>
        </row>
        <row r="440">
          <cell r="I440" t="e">
            <v>#VALUE!</v>
          </cell>
          <cell r="J440">
            <v>0</v>
          </cell>
        </row>
        <row r="441">
          <cell r="I441">
            <v>8006</v>
          </cell>
          <cell r="J441">
            <v>16</v>
          </cell>
        </row>
        <row r="442">
          <cell r="I442" t="e">
            <v>#VALUE!</v>
          </cell>
          <cell r="J442">
            <v>0</v>
          </cell>
        </row>
        <row r="443">
          <cell r="I443">
            <v>8037</v>
          </cell>
          <cell r="J443">
            <v>16.8</v>
          </cell>
        </row>
        <row r="444">
          <cell r="I444" t="e">
            <v>#VALUE!</v>
          </cell>
          <cell r="J444">
            <v>0</v>
          </cell>
        </row>
        <row r="445">
          <cell r="I445">
            <v>8037</v>
          </cell>
          <cell r="J445">
            <v>15.7</v>
          </cell>
        </row>
        <row r="446">
          <cell r="I446" t="e">
            <v>#VALUE!</v>
          </cell>
          <cell r="J446">
            <v>0</v>
          </cell>
        </row>
        <row r="447">
          <cell r="I447">
            <v>8068</v>
          </cell>
          <cell r="J447">
            <v>16</v>
          </cell>
        </row>
        <row r="448">
          <cell r="I448" t="e">
            <v>#VALUE!</v>
          </cell>
          <cell r="J448">
            <v>0</v>
          </cell>
        </row>
        <row r="449">
          <cell r="I449">
            <v>8096</v>
          </cell>
          <cell r="J449">
            <v>16</v>
          </cell>
        </row>
        <row r="450">
          <cell r="I450" t="e">
            <v>#VALUE!</v>
          </cell>
          <cell r="J450">
            <v>0</v>
          </cell>
        </row>
        <row r="451">
          <cell r="I451">
            <v>8127</v>
          </cell>
          <cell r="J451">
            <v>16.100000000000001</v>
          </cell>
        </row>
        <row r="452">
          <cell r="I452" t="e">
            <v>#VALUE!</v>
          </cell>
          <cell r="J452">
            <v>0</v>
          </cell>
        </row>
        <row r="453">
          <cell r="I453">
            <v>8157</v>
          </cell>
          <cell r="J453">
            <v>16.600000000000001</v>
          </cell>
        </row>
        <row r="454">
          <cell r="I454" t="e">
            <v>#VALUE!</v>
          </cell>
          <cell r="J454">
            <v>0</v>
          </cell>
        </row>
        <row r="455">
          <cell r="I455">
            <v>8188</v>
          </cell>
          <cell r="J455">
            <v>16.600000000000001</v>
          </cell>
        </row>
        <row r="456">
          <cell r="I456" t="e">
            <v>#VALUE!</v>
          </cell>
          <cell r="J456">
            <v>0</v>
          </cell>
        </row>
        <row r="457">
          <cell r="I457">
            <v>8218</v>
          </cell>
          <cell r="J457">
            <v>17.100000000000001</v>
          </cell>
        </row>
        <row r="458">
          <cell r="I458" t="e">
            <v>#VALUE!</v>
          </cell>
          <cell r="J458">
            <v>0</v>
          </cell>
        </row>
        <row r="459">
          <cell r="I459">
            <v>8249</v>
          </cell>
          <cell r="J459">
            <v>17</v>
          </cell>
        </row>
        <row r="460">
          <cell r="I460" t="e">
            <v>#VALUE!</v>
          </cell>
          <cell r="J460">
            <v>0</v>
          </cell>
        </row>
        <row r="461">
          <cell r="I461">
            <v>8280</v>
          </cell>
          <cell r="J461">
            <v>17.100000000000001</v>
          </cell>
        </row>
        <row r="462">
          <cell r="I462" t="e">
            <v>#VALUE!</v>
          </cell>
          <cell r="J462">
            <v>0</v>
          </cell>
        </row>
        <row r="463">
          <cell r="I463">
            <v>8310</v>
          </cell>
          <cell r="J463">
            <v>17.2</v>
          </cell>
        </row>
        <row r="464">
          <cell r="I464" t="e">
            <v>#VALUE!</v>
          </cell>
          <cell r="J464">
            <v>0</v>
          </cell>
        </row>
        <row r="465">
          <cell r="I465">
            <v>8341</v>
          </cell>
          <cell r="J465">
            <v>17.3</v>
          </cell>
        </row>
        <row r="466">
          <cell r="I466" t="e">
            <v>#VALUE!</v>
          </cell>
          <cell r="J466">
            <v>0</v>
          </cell>
        </row>
        <row r="467">
          <cell r="I467">
            <v>8371</v>
          </cell>
          <cell r="J467">
            <v>17.3</v>
          </cell>
        </row>
        <row r="468">
          <cell r="I468" t="e">
            <v>#VALUE!</v>
          </cell>
          <cell r="J468">
            <v>0</v>
          </cell>
        </row>
        <row r="469">
          <cell r="I469">
            <v>8402</v>
          </cell>
          <cell r="J469">
            <v>16.7</v>
          </cell>
        </row>
        <row r="470">
          <cell r="I470" t="e">
            <v>#VALUE!</v>
          </cell>
          <cell r="J470">
            <v>0</v>
          </cell>
        </row>
        <row r="471">
          <cell r="I471">
            <v>8402</v>
          </cell>
          <cell r="J471">
            <v>17.600000000000001</v>
          </cell>
        </row>
        <row r="472">
          <cell r="I472" t="e">
            <v>#VALUE!</v>
          </cell>
          <cell r="J472">
            <v>0</v>
          </cell>
        </row>
        <row r="473">
          <cell r="I473">
            <v>8433</v>
          </cell>
          <cell r="J473">
            <v>17.8</v>
          </cell>
        </row>
        <row r="474">
          <cell r="I474" t="e">
            <v>#VALUE!</v>
          </cell>
          <cell r="J474">
            <v>0</v>
          </cell>
        </row>
        <row r="475">
          <cell r="I475">
            <v>8461</v>
          </cell>
          <cell r="J475">
            <v>18</v>
          </cell>
        </row>
        <row r="476">
          <cell r="I476" t="e">
            <v>#VALUE!</v>
          </cell>
          <cell r="J476">
            <v>0</v>
          </cell>
        </row>
        <row r="477">
          <cell r="I477">
            <v>8492</v>
          </cell>
          <cell r="J477">
            <v>17.899999999999999</v>
          </cell>
        </row>
        <row r="478">
          <cell r="I478" t="e">
            <v>#VALUE!</v>
          </cell>
          <cell r="J478">
            <v>0</v>
          </cell>
        </row>
        <row r="479">
          <cell r="I479">
            <v>8522</v>
          </cell>
          <cell r="J479">
            <v>17.5</v>
          </cell>
        </row>
        <row r="480">
          <cell r="I480" t="e">
            <v>#VALUE!</v>
          </cell>
          <cell r="J480">
            <v>0</v>
          </cell>
        </row>
        <row r="481">
          <cell r="I481">
            <v>8553</v>
          </cell>
          <cell r="J481">
            <v>17.3</v>
          </cell>
        </row>
        <row r="482">
          <cell r="I482" t="e">
            <v>#VALUE!</v>
          </cell>
          <cell r="J482">
            <v>0</v>
          </cell>
        </row>
        <row r="483">
          <cell r="I483">
            <v>8583</v>
          </cell>
          <cell r="J483">
            <v>17</v>
          </cell>
        </row>
        <row r="484">
          <cell r="I484" t="e">
            <v>#VALUE!</v>
          </cell>
          <cell r="J484">
            <v>0</v>
          </cell>
        </row>
        <row r="485">
          <cell r="I485">
            <v>8614</v>
          </cell>
          <cell r="J485">
            <v>16.899999999999999</v>
          </cell>
        </row>
        <row r="486">
          <cell r="I486" t="e">
            <v>#VALUE!</v>
          </cell>
          <cell r="J486">
            <v>0</v>
          </cell>
        </row>
        <row r="487">
          <cell r="I487">
            <v>8645</v>
          </cell>
          <cell r="J487">
            <v>17.2</v>
          </cell>
        </row>
        <row r="488">
          <cell r="I488" t="e">
            <v>#VALUE!</v>
          </cell>
          <cell r="J488">
            <v>0</v>
          </cell>
        </row>
        <row r="489">
          <cell r="I489">
            <v>8675</v>
          </cell>
          <cell r="J489">
            <v>17.100000000000001</v>
          </cell>
        </row>
        <row r="490">
          <cell r="I490" t="e">
            <v>#VALUE!</v>
          </cell>
          <cell r="J490">
            <v>0</v>
          </cell>
        </row>
        <row r="491">
          <cell r="I491">
            <v>8706</v>
          </cell>
          <cell r="J491">
            <v>17</v>
          </cell>
        </row>
        <row r="492">
          <cell r="I492" t="e">
            <v>#VALUE!</v>
          </cell>
          <cell r="J492">
            <v>0</v>
          </cell>
        </row>
        <row r="493">
          <cell r="I493">
            <v>8736</v>
          </cell>
          <cell r="J493">
            <v>16.899999999999999</v>
          </cell>
        </row>
        <row r="494">
          <cell r="I494" t="e">
            <v>#VALUE!</v>
          </cell>
          <cell r="J494">
            <v>0</v>
          </cell>
        </row>
        <row r="495">
          <cell r="I495">
            <v>8767</v>
          </cell>
          <cell r="J495">
            <v>17.3</v>
          </cell>
        </row>
        <row r="496">
          <cell r="I496" t="e">
            <v>#VALUE!</v>
          </cell>
          <cell r="J496">
            <v>0</v>
          </cell>
        </row>
        <row r="497">
          <cell r="I497">
            <v>8767</v>
          </cell>
          <cell r="J497">
            <v>17.2</v>
          </cell>
        </row>
        <row r="498">
          <cell r="I498" t="e">
            <v>#VALUE!</v>
          </cell>
          <cell r="J498">
            <v>0</v>
          </cell>
        </row>
        <row r="499">
          <cell r="I499">
            <v>8798</v>
          </cell>
          <cell r="J499">
            <v>17.2</v>
          </cell>
        </row>
        <row r="500">
          <cell r="I500" t="e">
            <v>#VALUE!</v>
          </cell>
          <cell r="J500">
            <v>0</v>
          </cell>
        </row>
        <row r="501">
          <cell r="I501">
            <v>8827</v>
          </cell>
          <cell r="J501">
            <v>17</v>
          </cell>
        </row>
        <row r="502">
          <cell r="I502" t="e">
            <v>#VALUE!</v>
          </cell>
          <cell r="J502">
            <v>0</v>
          </cell>
        </row>
        <row r="503">
          <cell r="I503">
            <v>8858</v>
          </cell>
          <cell r="J503">
            <v>16.7</v>
          </cell>
        </row>
        <row r="504">
          <cell r="I504" t="e">
            <v>#VALUE!</v>
          </cell>
          <cell r="J504">
            <v>0</v>
          </cell>
        </row>
        <row r="505">
          <cell r="I505">
            <v>8888</v>
          </cell>
          <cell r="J505">
            <v>16.5</v>
          </cell>
        </row>
        <row r="506">
          <cell r="I506" t="e">
            <v>#VALUE!</v>
          </cell>
          <cell r="J506">
            <v>0</v>
          </cell>
        </row>
        <row r="507">
          <cell r="I507">
            <v>8919</v>
          </cell>
          <cell r="J507">
            <v>16.399999999999999</v>
          </cell>
        </row>
        <row r="508">
          <cell r="I508" t="e">
            <v>#VALUE!</v>
          </cell>
          <cell r="J508">
            <v>0</v>
          </cell>
        </row>
        <row r="509">
          <cell r="I509">
            <v>8949</v>
          </cell>
          <cell r="J509">
            <v>16.5</v>
          </cell>
        </row>
        <row r="510">
          <cell r="I510" t="e">
            <v>#VALUE!</v>
          </cell>
          <cell r="J510">
            <v>0</v>
          </cell>
        </row>
        <row r="511">
          <cell r="I511">
            <v>8980</v>
          </cell>
          <cell r="J511">
            <v>16.7</v>
          </cell>
        </row>
        <row r="512">
          <cell r="I512" t="e">
            <v>#VALUE!</v>
          </cell>
          <cell r="J512">
            <v>0</v>
          </cell>
        </row>
        <row r="513">
          <cell r="I513">
            <v>9011</v>
          </cell>
          <cell r="J513">
            <v>16.7</v>
          </cell>
        </row>
        <row r="514">
          <cell r="I514" t="e">
            <v>#VALUE!</v>
          </cell>
          <cell r="J514">
            <v>0</v>
          </cell>
        </row>
        <row r="515">
          <cell r="I515">
            <v>9041</v>
          </cell>
          <cell r="J515">
            <v>16.899999999999999</v>
          </cell>
        </row>
        <row r="516">
          <cell r="I516" t="e">
            <v>#VALUE!</v>
          </cell>
          <cell r="J516">
            <v>0</v>
          </cell>
        </row>
        <row r="517">
          <cell r="I517">
            <v>9072</v>
          </cell>
          <cell r="J517">
            <v>17.100000000000001</v>
          </cell>
        </row>
        <row r="518">
          <cell r="I518" t="e">
            <v>#VALUE!</v>
          </cell>
          <cell r="J518">
            <v>0</v>
          </cell>
        </row>
        <row r="519">
          <cell r="I519">
            <v>9102</v>
          </cell>
          <cell r="J519">
            <v>17.5</v>
          </cell>
        </row>
        <row r="520">
          <cell r="I520" t="e">
            <v>#VALUE!</v>
          </cell>
          <cell r="J520">
            <v>0</v>
          </cell>
        </row>
        <row r="521">
          <cell r="I521">
            <v>9133</v>
          </cell>
          <cell r="J521">
            <v>16.899999999999999</v>
          </cell>
        </row>
        <row r="522">
          <cell r="I522" t="e">
            <v>#VALUE!</v>
          </cell>
          <cell r="J522">
            <v>0</v>
          </cell>
        </row>
        <row r="523">
          <cell r="I523">
            <v>9133</v>
          </cell>
          <cell r="J523">
            <v>17.7</v>
          </cell>
        </row>
        <row r="524">
          <cell r="I524" t="e">
            <v>#VALUE!</v>
          </cell>
          <cell r="J524">
            <v>0</v>
          </cell>
        </row>
        <row r="525">
          <cell r="I525">
            <v>9164</v>
          </cell>
          <cell r="J525">
            <v>17.899999999999999</v>
          </cell>
        </row>
        <row r="526">
          <cell r="I526" t="e">
            <v>#VALUE!</v>
          </cell>
          <cell r="J526">
            <v>0</v>
          </cell>
        </row>
        <row r="527">
          <cell r="I527">
            <v>9192</v>
          </cell>
          <cell r="J527">
            <v>17.899999999999999</v>
          </cell>
        </row>
        <row r="528">
          <cell r="I528" t="e">
            <v>#VALUE!</v>
          </cell>
          <cell r="J528">
            <v>0</v>
          </cell>
        </row>
        <row r="529">
          <cell r="I529">
            <v>9223</v>
          </cell>
          <cell r="J529">
            <v>17.5</v>
          </cell>
        </row>
        <row r="530">
          <cell r="I530" t="e">
            <v>#VALUE!</v>
          </cell>
          <cell r="J530">
            <v>0</v>
          </cell>
        </row>
        <row r="531">
          <cell r="I531">
            <v>9253</v>
          </cell>
          <cell r="J531">
            <v>17.5</v>
          </cell>
        </row>
        <row r="532">
          <cell r="I532" t="e">
            <v>#VALUE!</v>
          </cell>
          <cell r="J532">
            <v>0</v>
          </cell>
        </row>
        <row r="533">
          <cell r="I533">
            <v>9284</v>
          </cell>
          <cell r="J533">
            <v>17.7</v>
          </cell>
        </row>
        <row r="534">
          <cell r="I534" t="e">
            <v>#VALUE!</v>
          </cell>
          <cell r="J534">
            <v>0</v>
          </cell>
        </row>
        <row r="535">
          <cell r="I535">
            <v>9314</v>
          </cell>
          <cell r="J535">
            <v>18</v>
          </cell>
        </row>
        <row r="536">
          <cell r="I536" t="e">
            <v>#VALUE!</v>
          </cell>
          <cell r="J536">
            <v>0</v>
          </cell>
        </row>
        <row r="537">
          <cell r="I537">
            <v>9345</v>
          </cell>
          <cell r="J537">
            <v>17.899999999999999</v>
          </cell>
        </row>
        <row r="538">
          <cell r="I538" t="e">
            <v>#VALUE!</v>
          </cell>
          <cell r="J538">
            <v>0</v>
          </cell>
        </row>
        <row r="539">
          <cell r="I539">
            <v>9376</v>
          </cell>
          <cell r="J539">
            <v>17.8</v>
          </cell>
        </row>
        <row r="540">
          <cell r="I540" t="e">
            <v>#VALUE!</v>
          </cell>
          <cell r="J540">
            <v>0</v>
          </cell>
        </row>
        <row r="541">
          <cell r="I541">
            <v>9406</v>
          </cell>
          <cell r="J541">
            <v>17.8</v>
          </cell>
        </row>
        <row r="542">
          <cell r="I542" t="e">
            <v>#VALUE!</v>
          </cell>
          <cell r="J542">
            <v>0</v>
          </cell>
        </row>
        <row r="543">
          <cell r="I543">
            <v>9437</v>
          </cell>
          <cell r="J543">
            <v>18</v>
          </cell>
        </row>
        <row r="544">
          <cell r="I544" t="e">
            <v>#VALUE!</v>
          </cell>
          <cell r="J544">
            <v>0</v>
          </cell>
        </row>
        <row r="545">
          <cell r="I545">
            <v>9467</v>
          </cell>
          <cell r="J545">
            <v>17.8</v>
          </cell>
        </row>
        <row r="546">
          <cell r="I546" t="e">
            <v>#VALUE!</v>
          </cell>
          <cell r="J546">
            <v>0</v>
          </cell>
        </row>
        <row r="547">
          <cell r="I547">
            <v>9498</v>
          </cell>
          <cell r="J547">
            <v>17.8</v>
          </cell>
        </row>
        <row r="548">
          <cell r="I548" t="e">
            <v>#VALUE!</v>
          </cell>
          <cell r="J548">
            <v>0</v>
          </cell>
        </row>
        <row r="549">
          <cell r="I549">
            <v>9498</v>
          </cell>
          <cell r="J549">
            <v>17.8</v>
          </cell>
        </row>
        <row r="550">
          <cell r="I550" t="e">
            <v>#VALUE!</v>
          </cell>
          <cell r="J550">
            <v>0</v>
          </cell>
        </row>
        <row r="551">
          <cell r="I551">
            <v>9529</v>
          </cell>
          <cell r="J551">
            <v>17.600000000000001</v>
          </cell>
        </row>
        <row r="552">
          <cell r="I552" t="e">
            <v>#VALUE!</v>
          </cell>
          <cell r="J552">
            <v>0</v>
          </cell>
        </row>
        <row r="553">
          <cell r="I553">
            <v>9557</v>
          </cell>
          <cell r="J553">
            <v>17.3</v>
          </cell>
        </row>
        <row r="554">
          <cell r="I554" t="e">
            <v>#VALUE!</v>
          </cell>
          <cell r="J554">
            <v>0</v>
          </cell>
        </row>
        <row r="555">
          <cell r="I555">
            <v>9588</v>
          </cell>
          <cell r="J555">
            <v>17.3</v>
          </cell>
        </row>
        <row r="556">
          <cell r="I556" t="e">
            <v>#VALUE!</v>
          </cell>
          <cell r="J556">
            <v>0</v>
          </cell>
        </row>
        <row r="557">
          <cell r="I557">
            <v>9618</v>
          </cell>
          <cell r="J557">
            <v>17.3</v>
          </cell>
        </row>
        <row r="558">
          <cell r="I558" t="e">
            <v>#VALUE!</v>
          </cell>
          <cell r="J558">
            <v>0</v>
          </cell>
        </row>
        <row r="559">
          <cell r="I559">
            <v>9649</v>
          </cell>
          <cell r="J559">
            <v>17.3</v>
          </cell>
        </row>
        <row r="560">
          <cell r="I560" t="e">
            <v>#VALUE!</v>
          </cell>
          <cell r="J560">
            <v>0</v>
          </cell>
        </row>
        <row r="561">
          <cell r="I561">
            <v>9679</v>
          </cell>
          <cell r="J561">
            <v>17.100000000000001</v>
          </cell>
        </row>
        <row r="562">
          <cell r="I562" t="e">
            <v>#VALUE!</v>
          </cell>
          <cell r="J562">
            <v>0</v>
          </cell>
        </row>
        <row r="563">
          <cell r="I563">
            <v>9710</v>
          </cell>
          <cell r="J563">
            <v>17.100000000000001</v>
          </cell>
        </row>
        <row r="564">
          <cell r="I564" t="e">
            <v>#VALUE!</v>
          </cell>
          <cell r="J564">
            <v>0</v>
          </cell>
        </row>
        <row r="565">
          <cell r="I565">
            <v>9741</v>
          </cell>
          <cell r="J565">
            <v>17.2</v>
          </cell>
        </row>
        <row r="566">
          <cell r="I566" t="e">
            <v>#VALUE!</v>
          </cell>
          <cell r="J566">
            <v>0</v>
          </cell>
        </row>
        <row r="567">
          <cell r="I567">
            <v>9771</v>
          </cell>
          <cell r="J567">
            <v>17.100000000000001</v>
          </cell>
        </row>
        <row r="568">
          <cell r="I568" t="e">
            <v>#VALUE!</v>
          </cell>
          <cell r="J568">
            <v>0</v>
          </cell>
        </row>
        <row r="569">
          <cell r="I569">
            <v>9802</v>
          </cell>
          <cell r="J569">
            <v>17</v>
          </cell>
        </row>
        <row r="570">
          <cell r="I570" t="e">
            <v>#VALUE!</v>
          </cell>
          <cell r="J570">
            <v>0</v>
          </cell>
        </row>
        <row r="571">
          <cell r="I571">
            <v>9832</v>
          </cell>
          <cell r="J571">
            <v>16.899999999999999</v>
          </cell>
        </row>
        <row r="572">
          <cell r="I572" t="e">
            <v>#VALUE!</v>
          </cell>
          <cell r="J572">
            <v>0</v>
          </cell>
        </row>
        <row r="573">
          <cell r="I573">
            <v>9863</v>
          </cell>
          <cell r="J573">
            <v>17.2</v>
          </cell>
        </row>
        <row r="574">
          <cell r="I574" t="e">
            <v>#VALUE!</v>
          </cell>
          <cell r="J574">
            <v>0</v>
          </cell>
        </row>
        <row r="575">
          <cell r="I575">
            <v>9863</v>
          </cell>
          <cell r="J575">
            <v>16.399999999999999</v>
          </cell>
        </row>
        <row r="576">
          <cell r="I576" t="e">
            <v>#VALUE!</v>
          </cell>
          <cell r="J576">
            <v>0</v>
          </cell>
        </row>
        <row r="577">
          <cell r="I577">
            <v>9894</v>
          </cell>
          <cell r="J577">
            <v>16.600000000000001</v>
          </cell>
        </row>
        <row r="578">
          <cell r="I578" t="e">
            <v>#VALUE!</v>
          </cell>
          <cell r="J578">
            <v>0</v>
          </cell>
        </row>
        <row r="579">
          <cell r="I579">
            <v>9922</v>
          </cell>
          <cell r="J579">
            <v>16.5</v>
          </cell>
        </row>
        <row r="580">
          <cell r="I580" t="e">
            <v>#VALUE!</v>
          </cell>
          <cell r="J580">
            <v>0</v>
          </cell>
        </row>
        <row r="581">
          <cell r="I581">
            <v>9953</v>
          </cell>
          <cell r="J581">
            <v>16.3</v>
          </cell>
        </row>
        <row r="582">
          <cell r="I582" t="e">
            <v>#VALUE!</v>
          </cell>
          <cell r="J582">
            <v>0</v>
          </cell>
        </row>
        <row r="583">
          <cell r="I583">
            <v>9983</v>
          </cell>
          <cell r="J583">
            <v>16.2</v>
          </cell>
        </row>
        <row r="584">
          <cell r="I584" t="e">
            <v>#VALUE!</v>
          </cell>
          <cell r="J584">
            <v>0</v>
          </cell>
        </row>
        <row r="585">
          <cell r="I585">
            <v>10014</v>
          </cell>
          <cell r="J585">
            <v>16.2</v>
          </cell>
        </row>
        <row r="586">
          <cell r="I586" t="e">
            <v>#VALUE!</v>
          </cell>
          <cell r="J586">
            <v>0</v>
          </cell>
        </row>
        <row r="587">
          <cell r="I587">
            <v>10044</v>
          </cell>
          <cell r="J587">
            <v>16.2</v>
          </cell>
        </row>
        <row r="588">
          <cell r="I588" t="e">
            <v>#VALUE!</v>
          </cell>
          <cell r="J588">
            <v>0</v>
          </cell>
        </row>
        <row r="589">
          <cell r="I589">
            <v>10075</v>
          </cell>
          <cell r="J589">
            <v>16.399999999999999</v>
          </cell>
        </row>
        <row r="590">
          <cell r="I590" t="e">
            <v>#VALUE!</v>
          </cell>
          <cell r="J590">
            <v>0</v>
          </cell>
        </row>
        <row r="591">
          <cell r="I591">
            <v>10106</v>
          </cell>
          <cell r="J591">
            <v>16.600000000000001</v>
          </cell>
        </row>
        <row r="592">
          <cell r="I592" t="e">
            <v>#VALUE!</v>
          </cell>
          <cell r="J592">
            <v>0</v>
          </cell>
        </row>
        <row r="593">
          <cell r="I593">
            <v>10136</v>
          </cell>
          <cell r="J593">
            <v>16.7</v>
          </cell>
        </row>
        <row r="594">
          <cell r="I594" t="e">
            <v>#VALUE!</v>
          </cell>
          <cell r="J594">
            <v>0</v>
          </cell>
        </row>
        <row r="595">
          <cell r="I595">
            <v>10167</v>
          </cell>
          <cell r="J595">
            <v>16.600000000000001</v>
          </cell>
        </row>
        <row r="596">
          <cell r="I596" t="e">
            <v>#VALUE!</v>
          </cell>
          <cell r="J596">
            <v>0</v>
          </cell>
        </row>
        <row r="597">
          <cell r="I597">
            <v>10197</v>
          </cell>
          <cell r="J597">
            <v>16.600000000000001</v>
          </cell>
        </row>
        <row r="598">
          <cell r="I598" t="e">
            <v>#VALUE!</v>
          </cell>
          <cell r="J598">
            <v>0</v>
          </cell>
        </row>
        <row r="599">
          <cell r="I599">
            <v>10228</v>
          </cell>
          <cell r="J599">
            <v>16.5</v>
          </cell>
        </row>
        <row r="600">
          <cell r="I600" t="e">
            <v>#VALUE!</v>
          </cell>
          <cell r="J600">
            <v>0</v>
          </cell>
        </row>
        <row r="601">
          <cell r="I601">
            <v>10228</v>
          </cell>
          <cell r="J601">
            <v>16.600000000000001</v>
          </cell>
        </row>
        <row r="602">
          <cell r="I602" t="e">
            <v>#VALUE!</v>
          </cell>
          <cell r="J602">
            <v>0</v>
          </cell>
        </row>
        <row r="603">
          <cell r="I603">
            <v>10259</v>
          </cell>
          <cell r="J603">
            <v>16.5</v>
          </cell>
        </row>
        <row r="604">
          <cell r="I604" t="e">
            <v>#VALUE!</v>
          </cell>
          <cell r="J604">
            <v>0</v>
          </cell>
        </row>
        <row r="605">
          <cell r="I605">
            <v>10288</v>
          </cell>
          <cell r="J605">
            <v>16.5</v>
          </cell>
        </row>
        <row r="606">
          <cell r="I606" t="e">
            <v>#VALUE!</v>
          </cell>
          <cell r="J606">
            <v>0</v>
          </cell>
        </row>
        <row r="607">
          <cell r="I607">
            <v>10319</v>
          </cell>
          <cell r="J607">
            <v>16.7</v>
          </cell>
        </row>
        <row r="608">
          <cell r="I608" t="e">
            <v>#VALUE!</v>
          </cell>
          <cell r="J608">
            <v>0</v>
          </cell>
        </row>
        <row r="609">
          <cell r="I609">
            <v>10349</v>
          </cell>
          <cell r="J609">
            <v>16.8</v>
          </cell>
        </row>
        <row r="610">
          <cell r="I610" t="e">
            <v>#VALUE!</v>
          </cell>
          <cell r="J610">
            <v>0</v>
          </cell>
        </row>
        <row r="611">
          <cell r="I611">
            <v>10380</v>
          </cell>
          <cell r="J611">
            <v>16.7</v>
          </cell>
        </row>
        <row r="612">
          <cell r="I612" t="e">
            <v>#VALUE!</v>
          </cell>
          <cell r="J612">
            <v>0</v>
          </cell>
        </row>
        <row r="613">
          <cell r="I613">
            <v>10410</v>
          </cell>
          <cell r="J613">
            <v>16.8</v>
          </cell>
        </row>
        <row r="614">
          <cell r="I614" t="e">
            <v>#VALUE!</v>
          </cell>
          <cell r="J614">
            <v>0</v>
          </cell>
        </row>
        <row r="615">
          <cell r="I615">
            <v>10441</v>
          </cell>
          <cell r="J615">
            <v>16.8</v>
          </cell>
        </row>
        <row r="616">
          <cell r="I616" t="e">
            <v>#VALUE!</v>
          </cell>
          <cell r="J616">
            <v>0</v>
          </cell>
        </row>
        <row r="617">
          <cell r="I617">
            <v>10472</v>
          </cell>
          <cell r="J617">
            <v>17</v>
          </cell>
        </row>
        <row r="618">
          <cell r="I618" t="e">
            <v>#VALUE!</v>
          </cell>
          <cell r="J618">
            <v>0</v>
          </cell>
        </row>
        <row r="619">
          <cell r="I619">
            <v>10502</v>
          </cell>
          <cell r="J619">
            <v>16.7</v>
          </cell>
        </row>
        <row r="620">
          <cell r="I620" t="e">
            <v>#VALUE!</v>
          </cell>
          <cell r="J620">
            <v>0</v>
          </cell>
        </row>
        <row r="621">
          <cell r="I621">
            <v>10533</v>
          </cell>
          <cell r="J621">
            <v>16.5</v>
          </cell>
        </row>
        <row r="622">
          <cell r="I622" t="e">
            <v>#VALUE!</v>
          </cell>
          <cell r="J622">
            <v>0</v>
          </cell>
        </row>
        <row r="623">
          <cell r="I623">
            <v>10563</v>
          </cell>
          <cell r="J623">
            <v>16.5</v>
          </cell>
        </row>
        <row r="624">
          <cell r="I624" t="e">
            <v>#VALUE!</v>
          </cell>
          <cell r="J624">
            <v>0</v>
          </cell>
        </row>
        <row r="625">
          <cell r="I625">
            <v>10594</v>
          </cell>
          <cell r="J625">
            <v>16.7</v>
          </cell>
        </row>
        <row r="626">
          <cell r="I626" t="e">
            <v>#VALUE!</v>
          </cell>
          <cell r="J626">
            <v>0</v>
          </cell>
        </row>
        <row r="627">
          <cell r="I627">
            <v>10594</v>
          </cell>
          <cell r="J627">
            <v>16.5</v>
          </cell>
        </row>
        <row r="628">
          <cell r="I628" t="e">
            <v>#VALUE!</v>
          </cell>
          <cell r="J628">
            <v>0</v>
          </cell>
        </row>
        <row r="629">
          <cell r="I629">
            <v>10625</v>
          </cell>
          <cell r="J629">
            <v>16.399999999999999</v>
          </cell>
        </row>
        <row r="630">
          <cell r="I630" t="e">
            <v>#VALUE!</v>
          </cell>
          <cell r="J630">
            <v>0</v>
          </cell>
        </row>
        <row r="631">
          <cell r="I631">
            <v>10653</v>
          </cell>
          <cell r="J631">
            <v>16.600000000000001</v>
          </cell>
        </row>
        <row r="632">
          <cell r="I632" t="e">
            <v>#VALUE!</v>
          </cell>
          <cell r="J632">
            <v>0</v>
          </cell>
        </row>
        <row r="633">
          <cell r="I633">
            <v>10684</v>
          </cell>
          <cell r="J633">
            <v>16.5</v>
          </cell>
        </row>
        <row r="634">
          <cell r="I634" t="e">
            <v>#VALUE!</v>
          </cell>
          <cell r="J634">
            <v>0</v>
          </cell>
        </row>
        <row r="635">
          <cell r="I635">
            <v>10714</v>
          </cell>
          <cell r="J635">
            <v>16.3</v>
          </cell>
        </row>
        <row r="636">
          <cell r="I636" t="e">
            <v>#VALUE!</v>
          </cell>
          <cell r="J636">
            <v>0</v>
          </cell>
        </row>
        <row r="637">
          <cell r="I637">
            <v>10745</v>
          </cell>
          <cell r="J637">
            <v>16.399999999999999</v>
          </cell>
        </row>
        <row r="638">
          <cell r="I638" t="e">
            <v>#VALUE!</v>
          </cell>
          <cell r="J638">
            <v>0</v>
          </cell>
        </row>
        <row r="639">
          <cell r="I639">
            <v>10775</v>
          </cell>
          <cell r="J639">
            <v>16.600000000000001</v>
          </cell>
        </row>
        <row r="640">
          <cell r="I640" t="e">
            <v>#VALUE!</v>
          </cell>
          <cell r="J640">
            <v>0</v>
          </cell>
        </row>
        <row r="641">
          <cell r="I641">
            <v>10806</v>
          </cell>
          <cell r="J641">
            <v>16.600000000000001</v>
          </cell>
        </row>
        <row r="642">
          <cell r="I642" t="e">
            <v>#VALUE!</v>
          </cell>
          <cell r="J642">
            <v>0</v>
          </cell>
        </row>
        <row r="643">
          <cell r="I643">
            <v>10837</v>
          </cell>
          <cell r="J643">
            <v>16.600000000000001</v>
          </cell>
        </row>
        <row r="644">
          <cell r="I644" t="e">
            <v>#VALUE!</v>
          </cell>
          <cell r="J644">
            <v>0</v>
          </cell>
        </row>
        <row r="645">
          <cell r="I645">
            <v>10867</v>
          </cell>
          <cell r="J645">
            <v>16.399999999999999</v>
          </cell>
        </row>
        <row r="646">
          <cell r="I646" t="e">
            <v>#VALUE!</v>
          </cell>
          <cell r="J646">
            <v>0</v>
          </cell>
        </row>
        <row r="647">
          <cell r="I647">
            <v>10898</v>
          </cell>
          <cell r="J647">
            <v>16.100000000000001</v>
          </cell>
        </row>
        <row r="648">
          <cell r="I648" t="e">
            <v>#VALUE!</v>
          </cell>
          <cell r="J648">
            <v>0</v>
          </cell>
        </row>
        <row r="649">
          <cell r="I649">
            <v>10928</v>
          </cell>
          <cell r="J649">
            <v>16.100000000000001</v>
          </cell>
        </row>
        <row r="650">
          <cell r="I650" t="e">
            <v>#VALUE!</v>
          </cell>
          <cell r="J650">
            <v>0</v>
          </cell>
        </row>
        <row r="651">
          <cell r="I651">
            <v>10959</v>
          </cell>
          <cell r="J651">
            <v>16.399999999999999</v>
          </cell>
        </row>
        <row r="652">
          <cell r="I652" t="e">
            <v>#VALUE!</v>
          </cell>
          <cell r="J652">
            <v>0</v>
          </cell>
        </row>
        <row r="653">
          <cell r="I653">
            <v>10959</v>
          </cell>
          <cell r="J653">
            <v>15.9</v>
          </cell>
        </row>
        <row r="654">
          <cell r="I654" t="e">
            <v>#VALUE!</v>
          </cell>
          <cell r="J654">
            <v>0</v>
          </cell>
        </row>
        <row r="655">
          <cell r="I655">
            <v>10990</v>
          </cell>
          <cell r="J655">
            <v>15.7</v>
          </cell>
        </row>
        <row r="656">
          <cell r="I656" t="e">
            <v>#VALUE!</v>
          </cell>
          <cell r="J656">
            <v>0</v>
          </cell>
        </row>
        <row r="657">
          <cell r="I657">
            <v>11018</v>
          </cell>
          <cell r="J657">
            <v>15.5</v>
          </cell>
        </row>
        <row r="658">
          <cell r="I658" t="e">
            <v>#VALUE!</v>
          </cell>
          <cell r="J658">
            <v>0</v>
          </cell>
        </row>
        <row r="659">
          <cell r="I659">
            <v>11049</v>
          </cell>
          <cell r="J659">
            <v>15.5</v>
          </cell>
        </row>
        <row r="660">
          <cell r="I660" t="e">
            <v>#VALUE!</v>
          </cell>
          <cell r="J660">
            <v>0</v>
          </cell>
        </row>
        <row r="661">
          <cell r="I661">
            <v>11079</v>
          </cell>
          <cell r="J661">
            <v>15.3</v>
          </cell>
        </row>
        <row r="662">
          <cell r="I662" t="e">
            <v>#VALUE!</v>
          </cell>
          <cell r="J662">
            <v>0</v>
          </cell>
        </row>
        <row r="663">
          <cell r="I663">
            <v>11110</v>
          </cell>
          <cell r="J663">
            <v>15</v>
          </cell>
        </row>
        <row r="664">
          <cell r="I664" t="e">
            <v>#VALUE!</v>
          </cell>
          <cell r="J664">
            <v>0</v>
          </cell>
        </row>
        <row r="665">
          <cell r="I665">
            <v>11140</v>
          </cell>
          <cell r="J665">
            <v>14.5</v>
          </cell>
        </row>
        <row r="666">
          <cell r="I666" t="e">
            <v>#VALUE!</v>
          </cell>
          <cell r="J666">
            <v>0</v>
          </cell>
        </row>
        <row r="667">
          <cell r="I667">
            <v>11171</v>
          </cell>
          <cell r="J667">
            <v>14.5</v>
          </cell>
        </row>
        <row r="668">
          <cell r="I668" t="e">
            <v>#VALUE!</v>
          </cell>
          <cell r="J668">
            <v>0</v>
          </cell>
        </row>
        <row r="669">
          <cell r="I669">
            <v>11202</v>
          </cell>
          <cell r="J669">
            <v>14.5</v>
          </cell>
        </row>
        <row r="670">
          <cell r="I670" t="e">
            <v>#VALUE!</v>
          </cell>
          <cell r="J670">
            <v>0</v>
          </cell>
        </row>
        <row r="671">
          <cell r="I671">
            <v>11232</v>
          </cell>
          <cell r="J671">
            <v>14.3</v>
          </cell>
        </row>
        <row r="672">
          <cell r="I672" t="e">
            <v>#VALUE!</v>
          </cell>
          <cell r="J672">
            <v>0</v>
          </cell>
        </row>
        <row r="673">
          <cell r="I673">
            <v>11263</v>
          </cell>
          <cell r="J673">
            <v>14</v>
          </cell>
        </row>
        <row r="674">
          <cell r="I674" t="e">
            <v>#VALUE!</v>
          </cell>
          <cell r="J674">
            <v>0</v>
          </cell>
        </row>
        <row r="675">
          <cell r="I675">
            <v>11293</v>
          </cell>
          <cell r="J675">
            <v>13.7</v>
          </cell>
        </row>
        <row r="676">
          <cell r="I676" t="e">
            <v>#VALUE!</v>
          </cell>
          <cell r="J676">
            <v>0</v>
          </cell>
        </row>
        <row r="677">
          <cell r="I677">
            <v>11324</v>
          </cell>
          <cell r="J677">
            <v>14.9</v>
          </cell>
        </row>
        <row r="678">
          <cell r="I678" t="e">
            <v>#VALUE!</v>
          </cell>
          <cell r="J678">
            <v>0</v>
          </cell>
        </row>
        <row r="679">
          <cell r="I679">
            <v>11324</v>
          </cell>
          <cell r="J679">
            <v>13.5</v>
          </cell>
        </row>
        <row r="680">
          <cell r="I680" t="e">
            <v>#VALUE!</v>
          </cell>
          <cell r="J680">
            <v>0</v>
          </cell>
        </row>
        <row r="681">
          <cell r="I681">
            <v>11355</v>
          </cell>
          <cell r="J681">
            <v>13.2</v>
          </cell>
        </row>
        <row r="682">
          <cell r="I682" t="e">
            <v>#VALUE!</v>
          </cell>
          <cell r="J682">
            <v>0</v>
          </cell>
        </row>
        <row r="683">
          <cell r="I683">
            <v>11383</v>
          </cell>
          <cell r="J683">
            <v>13.1</v>
          </cell>
        </row>
        <row r="684">
          <cell r="I684" t="e">
            <v>#VALUE!</v>
          </cell>
          <cell r="J684">
            <v>0</v>
          </cell>
        </row>
        <row r="685">
          <cell r="I685">
            <v>11414</v>
          </cell>
          <cell r="J685">
            <v>12.9</v>
          </cell>
        </row>
        <row r="686">
          <cell r="I686" t="e">
            <v>#VALUE!</v>
          </cell>
          <cell r="J686">
            <v>0</v>
          </cell>
        </row>
        <row r="687">
          <cell r="I687">
            <v>11444</v>
          </cell>
          <cell r="J687">
            <v>12.6</v>
          </cell>
        </row>
        <row r="688">
          <cell r="I688" t="e">
            <v>#VALUE!</v>
          </cell>
          <cell r="J688">
            <v>0</v>
          </cell>
        </row>
        <row r="689">
          <cell r="I689">
            <v>11475</v>
          </cell>
          <cell r="J689">
            <v>12.4</v>
          </cell>
        </row>
        <row r="690">
          <cell r="I690" t="e">
            <v>#VALUE!</v>
          </cell>
          <cell r="J690">
            <v>0</v>
          </cell>
        </row>
        <row r="691">
          <cell r="I691">
            <v>11505</v>
          </cell>
          <cell r="J691">
            <v>12.4</v>
          </cell>
        </row>
        <row r="692">
          <cell r="I692" t="e">
            <v>#VALUE!</v>
          </cell>
          <cell r="J692">
            <v>0</v>
          </cell>
        </row>
        <row r="693">
          <cell r="I693">
            <v>11536</v>
          </cell>
          <cell r="J693">
            <v>12.4</v>
          </cell>
        </row>
        <row r="694">
          <cell r="I694" t="e">
            <v>#VALUE!</v>
          </cell>
          <cell r="J694">
            <v>0</v>
          </cell>
        </row>
        <row r="695">
          <cell r="I695">
            <v>11567</v>
          </cell>
          <cell r="J695">
            <v>12.3</v>
          </cell>
        </row>
        <row r="696">
          <cell r="I696" t="e">
            <v>#VALUE!</v>
          </cell>
          <cell r="J696">
            <v>0</v>
          </cell>
        </row>
        <row r="697">
          <cell r="I697">
            <v>11597</v>
          </cell>
          <cell r="J697">
            <v>12.1</v>
          </cell>
        </row>
        <row r="698">
          <cell r="I698" t="e">
            <v>#VALUE!</v>
          </cell>
          <cell r="J698">
            <v>0</v>
          </cell>
        </row>
        <row r="699">
          <cell r="I699">
            <v>11628</v>
          </cell>
          <cell r="J699">
            <v>12.1</v>
          </cell>
        </row>
        <row r="700">
          <cell r="I700" t="e">
            <v>#VALUE!</v>
          </cell>
          <cell r="J700">
            <v>0</v>
          </cell>
        </row>
        <row r="701">
          <cell r="I701">
            <v>11658</v>
          </cell>
          <cell r="J701">
            <v>11.8</v>
          </cell>
        </row>
        <row r="702">
          <cell r="I702" t="e">
            <v>#VALUE!</v>
          </cell>
          <cell r="J702">
            <v>0</v>
          </cell>
        </row>
        <row r="703">
          <cell r="I703">
            <v>11689</v>
          </cell>
          <cell r="J703">
            <v>12.6</v>
          </cell>
        </row>
        <row r="704">
          <cell r="I704" t="e">
            <v>#VALUE!</v>
          </cell>
          <cell r="J704">
            <v>0</v>
          </cell>
        </row>
        <row r="705">
          <cell r="I705">
            <v>11689</v>
          </cell>
          <cell r="J705">
            <v>11.6</v>
          </cell>
        </row>
        <row r="706">
          <cell r="I706" t="e">
            <v>#VALUE!</v>
          </cell>
          <cell r="J706">
            <v>0</v>
          </cell>
        </row>
        <row r="707">
          <cell r="I707">
            <v>11720</v>
          </cell>
          <cell r="J707">
            <v>11.4</v>
          </cell>
        </row>
        <row r="708">
          <cell r="I708" t="e">
            <v>#VALUE!</v>
          </cell>
          <cell r="J708">
            <v>0</v>
          </cell>
        </row>
        <row r="709">
          <cell r="I709">
            <v>11749</v>
          </cell>
          <cell r="J709">
            <v>11.4</v>
          </cell>
        </row>
        <row r="710">
          <cell r="I710" t="e">
            <v>#VALUE!</v>
          </cell>
          <cell r="J710">
            <v>0</v>
          </cell>
        </row>
        <row r="711">
          <cell r="I711">
            <v>11780</v>
          </cell>
          <cell r="J711">
            <v>11.3</v>
          </cell>
        </row>
        <row r="712">
          <cell r="I712" t="e">
            <v>#VALUE!</v>
          </cell>
          <cell r="J712">
            <v>0</v>
          </cell>
        </row>
        <row r="713">
          <cell r="I713">
            <v>11810</v>
          </cell>
          <cell r="J713">
            <v>11.1</v>
          </cell>
        </row>
        <row r="714">
          <cell r="I714" t="e">
            <v>#VALUE!</v>
          </cell>
          <cell r="J714">
            <v>0</v>
          </cell>
        </row>
        <row r="715">
          <cell r="I715">
            <v>11841</v>
          </cell>
          <cell r="J715">
            <v>11</v>
          </cell>
        </row>
        <row r="716">
          <cell r="I716" t="e">
            <v>#VALUE!</v>
          </cell>
          <cell r="J716">
            <v>0</v>
          </cell>
        </row>
        <row r="717">
          <cell r="I717">
            <v>11871</v>
          </cell>
          <cell r="J717">
            <v>11.1</v>
          </cell>
        </row>
        <row r="718">
          <cell r="I718" t="e">
            <v>#VALUE!</v>
          </cell>
          <cell r="J718">
            <v>0</v>
          </cell>
        </row>
        <row r="719">
          <cell r="I719">
            <v>11902</v>
          </cell>
          <cell r="J719">
            <v>11.2</v>
          </cell>
        </row>
        <row r="720">
          <cell r="I720" t="e">
            <v>#VALUE!</v>
          </cell>
          <cell r="J720">
            <v>0</v>
          </cell>
        </row>
        <row r="721">
          <cell r="I721">
            <v>11933</v>
          </cell>
          <cell r="J721">
            <v>11.3</v>
          </cell>
        </row>
        <row r="722">
          <cell r="I722" t="e">
            <v>#VALUE!</v>
          </cell>
          <cell r="J722">
            <v>0</v>
          </cell>
        </row>
        <row r="723">
          <cell r="I723">
            <v>11963</v>
          </cell>
          <cell r="J723">
            <v>11.1</v>
          </cell>
        </row>
        <row r="724">
          <cell r="I724" t="e">
            <v>#VALUE!</v>
          </cell>
          <cell r="J724">
            <v>0</v>
          </cell>
        </row>
        <row r="725">
          <cell r="I725">
            <v>11994</v>
          </cell>
          <cell r="J725">
            <v>11</v>
          </cell>
        </row>
        <row r="726">
          <cell r="I726" t="e">
            <v>#VALUE!</v>
          </cell>
          <cell r="J726">
            <v>0</v>
          </cell>
        </row>
        <row r="727">
          <cell r="I727">
            <v>12024</v>
          </cell>
          <cell r="J727">
            <v>10.8</v>
          </cell>
        </row>
        <row r="728">
          <cell r="I728" t="e">
            <v>#VALUE!</v>
          </cell>
          <cell r="J728">
            <v>0</v>
          </cell>
        </row>
        <row r="729">
          <cell r="I729">
            <v>12055</v>
          </cell>
          <cell r="J729">
            <v>11.2</v>
          </cell>
        </row>
        <row r="730">
          <cell r="I730" t="e">
            <v>#VALUE!</v>
          </cell>
          <cell r="J730">
            <v>0</v>
          </cell>
        </row>
        <row r="731">
          <cell r="I731">
            <v>12055</v>
          </cell>
          <cell r="J731">
            <v>10.5</v>
          </cell>
        </row>
        <row r="732">
          <cell r="I732" t="e">
            <v>#VALUE!</v>
          </cell>
          <cell r="J732">
            <v>0</v>
          </cell>
        </row>
        <row r="733">
          <cell r="I733">
            <v>12086</v>
          </cell>
          <cell r="J733">
            <v>10.3</v>
          </cell>
        </row>
        <row r="734">
          <cell r="I734" t="e">
            <v>#VALUE!</v>
          </cell>
          <cell r="J734">
            <v>0</v>
          </cell>
        </row>
        <row r="735">
          <cell r="I735">
            <v>12114</v>
          </cell>
          <cell r="J735">
            <v>10.4</v>
          </cell>
        </row>
        <row r="736">
          <cell r="I736" t="e">
            <v>#VALUE!</v>
          </cell>
          <cell r="J736">
            <v>0</v>
          </cell>
        </row>
        <row r="737">
          <cell r="I737">
            <v>12145</v>
          </cell>
          <cell r="J737">
            <v>10.4</v>
          </cell>
        </row>
        <row r="738">
          <cell r="I738" t="e">
            <v>#VALUE!</v>
          </cell>
          <cell r="J738">
            <v>0</v>
          </cell>
        </row>
        <row r="739">
          <cell r="I739">
            <v>12175</v>
          </cell>
          <cell r="J739">
            <v>10.8</v>
          </cell>
        </row>
        <row r="740">
          <cell r="I740" t="e">
            <v>#VALUE!</v>
          </cell>
          <cell r="J740">
            <v>0</v>
          </cell>
        </row>
        <row r="741">
          <cell r="I741">
            <v>12206</v>
          </cell>
          <cell r="J741">
            <v>11.2</v>
          </cell>
        </row>
        <row r="742">
          <cell r="I742" t="e">
            <v>#VALUE!</v>
          </cell>
          <cell r="J742">
            <v>0</v>
          </cell>
        </row>
        <row r="743">
          <cell r="I743">
            <v>12236</v>
          </cell>
          <cell r="J743">
            <v>11.9</v>
          </cell>
        </row>
        <row r="744">
          <cell r="I744" t="e">
            <v>#VALUE!</v>
          </cell>
          <cell r="J744">
            <v>0</v>
          </cell>
        </row>
        <row r="745">
          <cell r="I745">
            <v>12267</v>
          </cell>
          <cell r="J745">
            <v>12</v>
          </cell>
        </row>
        <row r="746">
          <cell r="I746" t="e">
            <v>#VALUE!</v>
          </cell>
          <cell r="J746">
            <v>0</v>
          </cell>
        </row>
        <row r="747">
          <cell r="I747">
            <v>12298</v>
          </cell>
          <cell r="J747">
            <v>12.2</v>
          </cell>
        </row>
        <row r="748">
          <cell r="I748" t="e">
            <v>#VALUE!</v>
          </cell>
          <cell r="J748">
            <v>0</v>
          </cell>
        </row>
        <row r="749">
          <cell r="I749">
            <v>12328</v>
          </cell>
          <cell r="J749">
            <v>12.3</v>
          </cell>
        </row>
        <row r="750">
          <cell r="I750" t="e">
            <v>#VALUE!</v>
          </cell>
          <cell r="J750">
            <v>0</v>
          </cell>
        </row>
        <row r="751">
          <cell r="I751">
            <v>12359</v>
          </cell>
          <cell r="J751">
            <v>12.3</v>
          </cell>
        </row>
        <row r="752">
          <cell r="I752" t="e">
            <v>#VALUE!</v>
          </cell>
          <cell r="J752">
            <v>0</v>
          </cell>
        </row>
        <row r="753">
          <cell r="I753">
            <v>12389</v>
          </cell>
          <cell r="J753">
            <v>12.2</v>
          </cell>
        </row>
        <row r="754">
          <cell r="I754" t="e">
            <v>#VALUE!</v>
          </cell>
          <cell r="J754">
            <v>0</v>
          </cell>
        </row>
        <row r="755">
          <cell r="I755">
            <v>12420</v>
          </cell>
          <cell r="J755">
            <v>11.4</v>
          </cell>
        </row>
        <row r="756">
          <cell r="I756" t="e">
            <v>#VALUE!</v>
          </cell>
          <cell r="J756">
            <v>0</v>
          </cell>
        </row>
        <row r="757">
          <cell r="I757">
            <v>12420</v>
          </cell>
          <cell r="J757">
            <v>12.4</v>
          </cell>
        </row>
        <row r="758">
          <cell r="I758" t="e">
            <v>#VALUE!</v>
          </cell>
          <cell r="J758">
            <v>0</v>
          </cell>
        </row>
        <row r="759">
          <cell r="I759">
            <v>12451</v>
          </cell>
          <cell r="J759">
            <v>12.7</v>
          </cell>
        </row>
        <row r="760">
          <cell r="I760" t="e">
            <v>#VALUE!</v>
          </cell>
          <cell r="J760">
            <v>0</v>
          </cell>
        </row>
        <row r="761">
          <cell r="I761">
            <v>12479</v>
          </cell>
          <cell r="J761">
            <v>12.7</v>
          </cell>
        </row>
        <row r="762">
          <cell r="I762" t="e">
            <v>#VALUE!</v>
          </cell>
          <cell r="J762">
            <v>0</v>
          </cell>
        </row>
        <row r="763">
          <cell r="I763">
            <v>12510</v>
          </cell>
          <cell r="J763">
            <v>12.7</v>
          </cell>
        </row>
        <row r="764">
          <cell r="I764" t="e">
            <v>#VALUE!</v>
          </cell>
          <cell r="J764">
            <v>0</v>
          </cell>
        </row>
        <row r="765">
          <cell r="I765">
            <v>12540</v>
          </cell>
          <cell r="J765">
            <v>12.7</v>
          </cell>
        </row>
        <row r="766">
          <cell r="I766" t="e">
            <v>#VALUE!</v>
          </cell>
          <cell r="J766">
            <v>0</v>
          </cell>
        </row>
        <row r="767">
          <cell r="I767">
            <v>12571</v>
          </cell>
          <cell r="J767">
            <v>12.9</v>
          </cell>
        </row>
        <row r="768">
          <cell r="I768" t="e">
            <v>#VALUE!</v>
          </cell>
          <cell r="J768">
            <v>0</v>
          </cell>
        </row>
        <row r="769">
          <cell r="I769">
            <v>12601</v>
          </cell>
          <cell r="J769">
            <v>12.9</v>
          </cell>
        </row>
        <row r="770">
          <cell r="I770" t="e">
            <v>#VALUE!</v>
          </cell>
          <cell r="J770">
            <v>0</v>
          </cell>
        </row>
        <row r="771">
          <cell r="I771">
            <v>12632</v>
          </cell>
          <cell r="J771">
            <v>13.2</v>
          </cell>
        </row>
        <row r="772">
          <cell r="I772" t="e">
            <v>#VALUE!</v>
          </cell>
          <cell r="J772">
            <v>0</v>
          </cell>
        </row>
        <row r="773">
          <cell r="I773">
            <v>12663</v>
          </cell>
          <cell r="J773">
            <v>13.4</v>
          </cell>
        </row>
        <row r="774">
          <cell r="I774" t="e">
            <v>#VALUE!</v>
          </cell>
          <cell r="J774">
            <v>0</v>
          </cell>
        </row>
        <row r="775">
          <cell r="I775">
            <v>12693</v>
          </cell>
          <cell r="J775">
            <v>13.2</v>
          </cell>
        </row>
        <row r="776">
          <cell r="I776" t="e">
            <v>#VALUE!</v>
          </cell>
          <cell r="J776">
            <v>0</v>
          </cell>
        </row>
        <row r="777">
          <cell r="I777">
            <v>12724</v>
          </cell>
          <cell r="J777">
            <v>13.2</v>
          </cell>
        </row>
        <row r="778">
          <cell r="I778" t="e">
            <v>#VALUE!</v>
          </cell>
          <cell r="J778">
            <v>0</v>
          </cell>
        </row>
        <row r="779">
          <cell r="I779">
            <v>12754</v>
          </cell>
          <cell r="J779">
            <v>13.3</v>
          </cell>
        </row>
        <row r="780">
          <cell r="I780" t="e">
            <v>#VALUE!</v>
          </cell>
          <cell r="J780">
            <v>0</v>
          </cell>
        </row>
        <row r="781">
          <cell r="I781">
            <v>12785</v>
          </cell>
          <cell r="J781">
            <v>12.9</v>
          </cell>
        </row>
        <row r="782">
          <cell r="I782" t="e">
            <v>#VALUE!</v>
          </cell>
          <cell r="J782">
            <v>0</v>
          </cell>
        </row>
        <row r="783">
          <cell r="I783">
            <v>12785</v>
          </cell>
          <cell r="J783">
            <v>13.6</v>
          </cell>
        </row>
        <row r="784">
          <cell r="I784" t="e">
            <v>#VALUE!</v>
          </cell>
          <cell r="J784">
            <v>0</v>
          </cell>
        </row>
        <row r="785">
          <cell r="I785">
            <v>12816</v>
          </cell>
          <cell r="J785">
            <v>13.7</v>
          </cell>
        </row>
        <row r="786">
          <cell r="I786" t="e">
            <v>#VALUE!</v>
          </cell>
          <cell r="J786">
            <v>0</v>
          </cell>
        </row>
        <row r="787">
          <cell r="I787">
            <v>12844</v>
          </cell>
          <cell r="J787">
            <v>13.7</v>
          </cell>
        </row>
        <row r="788">
          <cell r="I788" t="e">
            <v>#VALUE!</v>
          </cell>
          <cell r="J788">
            <v>0</v>
          </cell>
        </row>
        <row r="789">
          <cell r="I789">
            <v>12875</v>
          </cell>
          <cell r="J789">
            <v>13.8</v>
          </cell>
        </row>
        <row r="790">
          <cell r="I790" t="e">
            <v>#VALUE!</v>
          </cell>
          <cell r="J790">
            <v>0</v>
          </cell>
        </row>
        <row r="791">
          <cell r="I791">
            <v>12905</v>
          </cell>
          <cell r="J791">
            <v>13.8</v>
          </cell>
        </row>
        <row r="792">
          <cell r="I792" t="e">
            <v>#VALUE!</v>
          </cell>
          <cell r="J792">
            <v>0</v>
          </cell>
        </row>
        <row r="793">
          <cell r="I793">
            <v>12936</v>
          </cell>
          <cell r="J793">
            <v>13.8</v>
          </cell>
        </row>
        <row r="794">
          <cell r="I794" t="e">
            <v>#VALUE!</v>
          </cell>
          <cell r="J794">
            <v>0</v>
          </cell>
        </row>
        <row r="795">
          <cell r="I795">
            <v>12966</v>
          </cell>
          <cell r="J795">
            <v>13.7</v>
          </cell>
        </row>
        <row r="796">
          <cell r="I796" t="e">
            <v>#VALUE!</v>
          </cell>
          <cell r="J796">
            <v>0</v>
          </cell>
        </row>
        <row r="797">
          <cell r="I797">
            <v>12997</v>
          </cell>
          <cell r="J797">
            <v>13.9</v>
          </cell>
        </row>
        <row r="798">
          <cell r="I798" t="e">
            <v>#VALUE!</v>
          </cell>
          <cell r="J798">
            <v>0</v>
          </cell>
        </row>
        <row r="799">
          <cell r="I799">
            <v>13028</v>
          </cell>
          <cell r="J799">
            <v>13.9</v>
          </cell>
        </row>
        <row r="800">
          <cell r="I800" t="e">
            <v>#VALUE!</v>
          </cell>
          <cell r="J800">
            <v>0</v>
          </cell>
        </row>
        <row r="801">
          <cell r="I801">
            <v>13058</v>
          </cell>
          <cell r="J801">
            <v>13.9</v>
          </cell>
        </row>
        <row r="802">
          <cell r="I802" t="e">
            <v>#VALUE!</v>
          </cell>
          <cell r="J802">
            <v>0</v>
          </cell>
        </row>
        <row r="803">
          <cell r="I803">
            <v>13089</v>
          </cell>
          <cell r="J803">
            <v>13.9</v>
          </cell>
        </row>
        <row r="804">
          <cell r="I804" t="e">
            <v>#VALUE!</v>
          </cell>
          <cell r="J804">
            <v>0</v>
          </cell>
        </row>
        <row r="805">
          <cell r="I805">
            <v>13119</v>
          </cell>
          <cell r="J805">
            <v>14</v>
          </cell>
        </row>
        <row r="806">
          <cell r="I806" t="e">
            <v>#VALUE!</v>
          </cell>
          <cell r="J806">
            <v>0</v>
          </cell>
        </row>
        <row r="807">
          <cell r="I807">
            <v>13150</v>
          </cell>
          <cell r="J807">
            <v>13.8</v>
          </cell>
        </row>
        <row r="808">
          <cell r="I808" t="e">
            <v>#VALUE!</v>
          </cell>
          <cell r="J808">
            <v>0</v>
          </cell>
        </row>
        <row r="809">
          <cell r="I809">
            <v>13150</v>
          </cell>
          <cell r="J809">
            <v>13.9</v>
          </cell>
        </row>
        <row r="810">
          <cell r="I810" t="e">
            <v>#VALUE!</v>
          </cell>
          <cell r="J810">
            <v>0</v>
          </cell>
        </row>
        <row r="811">
          <cell r="I811">
            <v>13181</v>
          </cell>
          <cell r="J811">
            <v>13.9</v>
          </cell>
        </row>
        <row r="812">
          <cell r="I812" t="e">
            <v>#VALUE!</v>
          </cell>
          <cell r="J812">
            <v>0</v>
          </cell>
        </row>
        <row r="813">
          <cell r="I813">
            <v>13210</v>
          </cell>
          <cell r="J813">
            <v>13.7</v>
          </cell>
        </row>
        <row r="814">
          <cell r="I814" t="e">
            <v>#VALUE!</v>
          </cell>
          <cell r="J814">
            <v>0</v>
          </cell>
        </row>
        <row r="815">
          <cell r="I815">
            <v>13241</v>
          </cell>
          <cell r="J815">
            <v>13.7</v>
          </cell>
        </row>
        <row r="816">
          <cell r="I816" t="e">
            <v>#VALUE!</v>
          </cell>
          <cell r="J816">
            <v>0</v>
          </cell>
        </row>
        <row r="817">
          <cell r="I817">
            <v>13271</v>
          </cell>
          <cell r="J817">
            <v>13.5</v>
          </cell>
        </row>
        <row r="818">
          <cell r="I818" t="e">
            <v>#VALUE!</v>
          </cell>
          <cell r="J818">
            <v>0</v>
          </cell>
        </row>
        <row r="819">
          <cell r="I819">
            <v>13302</v>
          </cell>
          <cell r="J819">
            <v>13.7</v>
          </cell>
        </row>
        <row r="820">
          <cell r="I820" t="e">
            <v>#VALUE!</v>
          </cell>
          <cell r="J820">
            <v>0</v>
          </cell>
        </row>
        <row r="821">
          <cell r="I821">
            <v>13332</v>
          </cell>
          <cell r="J821">
            <v>13.9</v>
          </cell>
        </row>
        <row r="822">
          <cell r="I822" t="e">
            <v>#VALUE!</v>
          </cell>
          <cell r="J822">
            <v>0</v>
          </cell>
        </row>
        <row r="823">
          <cell r="I823">
            <v>13363</v>
          </cell>
          <cell r="J823">
            <v>14</v>
          </cell>
        </row>
        <row r="824">
          <cell r="I824" t="e">
            <v>#VALUE!</v>
          </cell>
          <cell r="J824">
            <v>0</v>
          </cell>
        </row>
        <row r="825">
          <cell r="I825">
            <v>13394</v>
          </cell>
          <cell r="J825">
            <v>14</v>
          </cell>
        </row>
        <row r="826">
          <cell r="I826" t="e">
            <v>#VALUE!</v>
          </cell>
          <cell r="J826">
            <v>0</v>
          </cell>
        </row>
        <row r="827">
          <cell r="I827">
            <v>13424</v>
          </cell>
          <cell r="J827">
            <v>14</v>
          </cell>
        </row>
        <row r="828">
          <cell r="I828" t="e">
            <v>#VALUE!</v>
          </cell>
          <cell r="J828">
            <v>0</v>
          </cell>
        </row>
        <row r="829">
          <cell r="I829">
            <v>13455</v>
          </cell>
          <cell r="J829">
            <v>14.2</v>
          </cell>
        </row>
        <row r="830">
          <cell r="I830" t="e">
            <v>#VALUE!</v>
          </cell>
          <cell r="J830">
            <v>0</v>
          </cell>
        </row>
        <row r="831">
          <cell r="I831">
            <v>13485</v>
          </cell>
          <cell r="J831">
            <v>14.5</v>
          </cell>
        </row>
        <row r="832">
          <cell r="I832" t="e">
            <v>#VALUE!</v>
          </cell>
          <cell r="J832">
            <v>0</v>
          </cell>
        </row>
        <row r="833">
          <cell r="I833">
            <v>13516</v>
          </cell>
          <cell r="J833">
            <v>13.9</v>
          </cell>
        </row>
        <row r="834">
          <cell r="I834" t="e">
            <v>#VALUE!</v>
          </cell>
          <cell r="J834">
            <v>0</v>
          </cell>
        </row>
        <row r="835">
          <cell r="I835">
            <v>13516</v>
          </cell>
          <cell r="J835">
            <v>14.8</v>
          </cell>
        </row>
        <row r="836">
          <cell r="I836" t="e">
            <v>#VALUE!</v>
          </cell>
          <cell r="J836">
            <v>0</v>
          </cell>
        </row>
        <row r="837">
          <cell r="I837">
            <v>13547</v>
          </cell>
          <cell r="J837">
            <v>14.9</v>
          </cell>
        </row>
        <row r="838">
          <cell r="I838" t="e">
            <v>#VALUE!</v>
          </cell>
          <cell r="J838">
            <v>0</v>
          </cell>
        </row>
        <row r="839">
          <cell r="I839">
            <v>13575</v>
          </cell>
          <cell r="J839">
            <v>15.1</v>
          </cell>
        </row>
        <row r="840">
          <cell r="I840" t="e">
            <v>#VALUE!</v>
          </cell>
          <cell r="J840">
            <v>0</v>
          </cell>
        </row>
        <row r="841">
          <cell r="I841">
            <v>13606</v>
          </cell>
          <cell r="J841">
            <v>15.2</v>
          </cell>
        </row>
        <row r="842">
          <cell r="I842" t="e">
            <v>#VALUE!</v>
          </cell>
          <cell r="J842">
            <v>0</v>
          </cell>
        </row>
        <row r="843">
          <cell r="I843">
            <v>13636</v>
          </cell>
          <cell r="J843">
            <v>15.1</v>
          </cell>
        </row>
        <row r="844">
          <cell r="I844" t="e">
            <v>#VALUE!</v>
          </cell>
          <cell r="J844">
            <v>0</v>
          </cell>
        </row>
        <row r="845">
          <cell r="I845">
            <v>13667</v>
          </cell>
          <cell r="J845">
            <v>15</v>
          </cell>
        </row>
        <row r="846">
          <cell r="I846" t="e">
            <v>#VALUE!</v>
          </cell>
          <cell r="J846">
            <v>0</v>
          </cell>
        </row>
        <row r="847">
          <cell r="I847">
            <v>13697</v>
          </cell>
          <cell r="J847">
            <v>15.2</v>
          </cell>
        </row>
        <row r="848">
          <cell r="I848" t="e">
            <v>#VALUE!</v>
          </cell>
          <cell r="J848">
            <v>0</v>
          </cell>
        </row>
        <row r="849">
          <cell r="I849">
            <v>13728</v>
          </cell>
          <cell r="J849">
            <v>15.1</v>
          </cell>
        </row>
        <row r="850">
          <cell r="I850" t="e">
            <v>#VALUE!</v>
          </cell>
          <cell r="J850">
            <v>0</v>
          </cell>
        </row>
        <row r="851">
          <cell r="I851">
            <v>13759</v>
          </cell>
          <cell r="J851">
            <v>15.1</v>
          </cell>
        </row>
        <row r="852">
          <cell r="I852" t="e">
            <v>#VALUE!</v>
          </cell>
          <cell r="J852">
            <v>0</v>
          </cell>
        </row>
        <row r="853">
          <cell r="I853">
            <v>13789</v>
          </cell>
          <cell r="J853">
            <v>14.7</v>
          </cell>
        </row>
        <row r="854">
          <cell r="I854" t="e">
            <v>#VALUE!</v>
          </cell>
          <cell r="J854">
            <v>0</v>
          </cell>
        </row>
        <row r="855">
          <cell r="I855">
            <v>13820</v>
          </cell>
          <cell r="J855">
            <v>14.4</v>
          </cell>
        </row>
        <row r="856">
          <cell r="I856" t="e">
            <v>#VALUE!</v>
          </cell>
          <cell r="J856">
            <v>0</v>
          </cell>
        </row>
        <row r="857">
          <cell r="I857">
            <v>13850</v>
          </cell>
          <cell r="J857">
            <v>14.1</v>
          </cell>
        </row>
        <row r="858">
          <cell r="I858" t="e">
            <v>#VALUE!</v>
          </cell>
          <cell r="J858">
            <v>0</v>
          </cell>
        </row>
        <row r="859">
          <cell r="I859">
            <v>13881</v>
          </cell>
          <cell r="J859">
            <v>14.9</v>
          </cell>
        </row>
        <row r="860">
          <cell r="I860" t="e">
            <v>#VALUE!</v>
          </cell>
          <cell r="J860">
            <v>0</v>
          </cell>
        </row>
        <row r="861">
          <cell r="I861">
            <v>13881</v>
          </cell>
          <cell r="J861">
            <v>14</v>
          </cell>
        </row>
        <row r="862">
          <cell r="I862" t="e">
            <v>#VALUE!</v>
          </cell>
          <cell r="J862">
            <v>0</v>
          </cell>
        </row>
        <row r="863">
          <cell r="I863">
            <v>13912</v>
          </cell>
          <cell r="J863">
            <v>13.8</v>
          </cell>
        </row>
        <row r="864">
          <cell r="I864" t="e">
            <v>#VALUE!</v>
          </cell>
          <cell r="J864">
            <v>0</v>
          </cell>
        </row>
        <row r="865">
          <cell r="I865">
            <v>13940</v>
          </cell>
          <cell r="J865">
            <v>13.7</v>
          </cell>
        </row>
        <row r="866">
          <cell r="I866" t="e">
            <v>#VALUE!</v>
          </cell>
          <cell r="J866">
            <v>0</v>
          </cell>
        </row>
        <row r="867">
          <cell r="I867">
            <v>13971</v>
          </cell>
          <cell r="J867">
            <v>13.5</v>
          </cell>
        </row>
        <row r="868">
          <cell r="I868" t="e">
            <v>#VALUE!</v>
          </cell>
          <cell r="J868">
            <v>0</v>
          </cell>
        </row>
        <row r="869">
          <cell r="I869">
            <v>14001</v>
          </cell>
          <cell r="J869">
            <v>13.5</v>
          </cell>
        </row>
        <row r="870">
          <cell r="I870" t="e">
            <v>#VALUE!</v>
          </cell>
          <cell r="J870">
            <v>0</v>
          </cell>
        </row>
        <row r="871">
          <cell r="I871">
            <v>14032</v>
          </cell>
          <cell r="J871">
            <v>13.5</v>
          </cell>
        </row>
        <row r="872">
          <cell r="I872" t="e">
            <v>#VALUE!</v>
          </cell>
          <cell r="J872">
            <v>0</v>
          </cell>
        </row>
        <row r="873">
          <cell r="I873">
            <v>14062</v>
          </cell>
          <cell r="J873">
            <v>13.6</v>
          </cell>
        </row>
        <row r="874">
          <cell r="I874" t="e">
            <v>#VALUE!</v>
          </cell>
          <cell r="J874">
            <v>0</v>
          </cell>
        </row>
        <row r="875">
          <cell r="I875">
            <v>14093</v>
          </cell>
          <cell r="J875">
            <v>13.4</v>
          </cell>
        </row>
        <row r="876">
          <cell r="I876" t="e">
            <v>#VALUE!</v>
          </cell>
          <cell r="J876">
            <v>0</v>
          </cell>
        </row>
        <row r="877">
          <cell r="I877">
            <v>14124</v>
          </cell>
          <cell r="J877">
            <v>13.5</v>
          </cell>
        </row>
        <row r="878">
          <cell r="I878" t="e">
            <v>#VALUE!</v>
          </cell>
          <cell r="J878">
            <v>0</v>
          </cell>
        </row>
        <row r="879">
          <cell r="I879">
            <v>14154</v>
          </cell>
          <cell r="J879">
            <v>13.4</v>
          </cell>
        </row>
        <row r="880">
          <cell r="I880" t="e">
            <v>#VALUE!</v>
          </cell>
          <cell r="J880">
            <v>0</v>
          </cell>
        </row>
        <row r="881">
          <cell r="I881">
            <v>14185</v>
          </cell>
          <cell r="J881">
            <v>13.4</v>
          </cell>
        </row>
        <row r="882">
          <cell r="I882" t="e">
            <v>#VALUE!</v>
          </cell>
          <cell r="J882">
            <v>0</v>
          </cell>
        </row>
        <row r="883">
          <cell r="I883">
            <v>14215</v>
          </cell>
          <cell r="J883">
            <v>13.3</v>
          </cell>
        </row>
        <row r="884">
          <cell r="I884" t="e">
            <v>#VALUE!</v>
          </cell>
          <cell r="J884">
            <v>0</v>
          </cell>
        </row>
        <row r="885">
          <cell r="I885">
            <v>14246</v>
          </cell>
          <cell r="J885">
            <v>13.5</v>
          </cell>
        </row>
        <row r="886">
          <cell r="I886" t="e">
            <v>#VALUE!</v>
          </cell>
          <cell r="J886">
            <v>0</v>
          </cell>
        </row>
        <row r="887">
          <cell r="I887">
            <v>14246</v>
          </cell>
          <cell r="J887">
            <v>13.3</v>
          </cell>
        </row>
        <row r="888">
          <cell r="I888" t="e">
            <v>#VALUE!</v>
          </cell>
          <cell r="J888">
            <v>0</v>
          </cell>
        </row>
        <row r="889">
          <cell r="I889">
            <v>14277</v>
          </cell>
          <cell r="J889">
            <v>13.3</v>
          </cell>
        </row>
        <row r="890">
          <cell r="I890" t="e">
            <v>#VALUE!</v>
          </cell>
          <cell r="J890">
            <v>0</v>
          </cell>
        </row>
        <row r="891">
          <cell r="I891">
            <v>14305</v>
          </cell>
          <cell r="J891">
            <v>13.2</v>
          </cell>
        </row>
        <row r="892">
          <cell r="I892" t="e">
            <v>#VALUE!</v>
          </cell>
          <cell r="J892">
            <v>0</v>
          </cell>
        </row>
        <row r="893">
          <cell r="I893">
            <v>14336</v>
          </cell>
          <cell r="J893">
            <v>13.1</v>
          </cell>
        </row>
        <row r="894">
          <cell r="I894" t="e">
            <v>#VALUE!</v>
          </cell>
          <cell r="J894">
            <v>0</v>
          </cell>
        </row>
        <row r="895">
          <cell r="I895">
            <v>14366</v>
          </cell>
          <cell r="J895">
            <v>13.1</v>
          </cell>
        </row>
        <row r="896">
          <cell r="I896" t="e">
            <v>#VALUE!</v>
          </cell>
          <cell r="J896">
            <v>0</v>
          </cell>
        </row>
        <row r="897">
          <cell r="I897">
            <v>14397</v>
          </cell>
          <cell r="J897">
            <v>13</v>
          </cell>
        </row>
        <row r="898">
          <cell r="I898" t="e">
            <v>#VALUE!</v>
          </cell>
          <cell r="J898">
            <v>0</v>
          </cell>
        </row>
        <row r="899">
          <cell r="I899">
            <v>14427</v>
          </cell>
          <cell r="J899">
            <v>13</v>
          </cell>
        </row>
        <row r="900">
          <cell r="I900" t="e">
            <v>#VALUE!</v>
          </cell>
          <cell r="J900">
            <v>0</v>
          </cell>
        </row>
        <row r="901">
          <cell r="I901">
            <v>14458</v>
          </cell>
          <cell r="J901">
            <v>12.9</v>
          </cell>
        </row>
        <row r="902">
          <cell r="I902" t="e">
            <v>#VALUE!</v>
          </cell>
          <cell r="J902">
            <v>0</v>
          </cell>
        </row>
        <row r="903">
          <cell r="I903">
            <v>14489</v>
          </cell>
          <cell r="J903">
            <v>13.6</v>
          </cell>
        </row>
        <row r="904">
          <cell r="I904" t="e">
            <v>#VALUE!</v>
          </cell>
          <cell r="J904">
            <v>0</v>
          </cell>
        </row>
        <row r="905">
          <cell r="I905">
            <v>14519</v>
          </cell>
          <cell r="J905">
            <v>13.7</v>
          </cell>
        </row>
        <row r="906">
          <cell r="I906" t="e">
            <v>#VALUE!</v>
          </cell>
          <cell r="J906">
            <v>0</v>
          </cell>
        </row>
        <row r="907">
          <cell r="I907">
            <v>14550</v>
          </cell>
          <cell r="J907">
            <v>13.6</v>
          </cell>
        </row>
        <row r="908">
          <cell r="I908" t="e">
            <v>#VALUE!</v>
          </cell>
          <cell r="J908">
            <v>0</v>
          </cell>
        </row>
        <row r="909">
          <cell r="I909">
            <v>14580</v>
          </cell>
          <cell r="J909">
            <v>13.7</v>
          </cell>
        </row>
        <row r="910">
          <cell r="I910" t="e">
            <v>#VALUE!</v>
          </cell>
          <cell r="J910">
            <v>0</v>
          </cell>
        </row>
        <row r="911">
          <cell r="I911">
            <v>14611</v>
          </cell>
          <cell r="J911">
            <v>13.3</v>
          </cell>
        </row>
        <row r="912">
          <cell r="I912" t="e">
            <v>#VALUE!</v>
          </cell>
          <cell r="J912">
            <v>0</v>
          </cell>
        </row>
        <row r="913">
          <cell r="I913">
            <v>14611</v>
          </cell>
          <cell r="J913">
            <v>13.7</v>
          </cell>
        </row>
        <row r="914">
          <cell r="I914" t="e">
            <v>#VALUE!</v>
          </cell>
          <cell r="J914">
            <v>0</v>
          </cell>
        </row>
        <row r="915">
          <cell r="I915">
            <v>14642</v>
          </cell>
          <cell r="J915">
            <v>13.6</v>
          </cell>
        </row>
        <row r="916">
          <cell r="I916" t="e">
            <v>#VALUE!</v>
          </cell>
          <cell r="J916">
            <v>0</v>
          </cell>
        </row>
        <row r="917">
          <cell r="I917">
            <v>14671</v>
          </cell>
          <cell r="J917">
            <v>13.5</v>
          </cell>
        </row>
        <row r="918">
          <cell r="I918" t="e">
            <v>#VALUE!</v>
          </cell>
          <cell r="J918">
            <v>0</v>
          </cell>
        </row>
        <row r="919">
          <cell r="I919">
            <v>14702</v>
          </cell>
          <cell r="J919">
            <v>13.5</v>
          </cell>
        </row>
        <row r="920">
          <cell r="I920" t="e">
            <v>#VALUE!</v>
          </cell>
          <cell r="J920">
            <v>0</v>
          </cell>
        </row>
        <row r="921">
          <cell r="I921">
            <v>14732</v>
          </cell>
          <cell r="J921">
            <v>13.5</v>
          </cell>
        </row>
        <row r="922">
          <cell r="I922" t="e">
            <v>#VALUE!</v>
          </cell>
          <cell r="J922">
            <v>0</v>
          </cell>
        </row>
        <row r="923">
          <cell r="I923">
            <v>14763</v>
          </cell>
          <cell r="J923">
            <v>13.4</v>
          </cell>
        </row>
        <row r="924">
          <cell r="I924" t="e">
            <v>#VALUE!</v>
          </cell>
          <cell r="J924">
            <v>0</v>
          </cell>
        </row>
        <row r="925">
          <cell r="I925">
            <v>14793</v>
          </cell>
          <cell r="J925">
            <v>13.4</v>
          </cell>
        </row>
        <row r="926">
          <cell r="I926" t="e">
            <v>#VALUE!</v>
          </cell>
          <cell r="J926">
            <v>0</v>
          </cell>
        </row>
        <row r="927">
          <cell r="I927">
            <v>14824</v>
          </cell>
          <cell r="J927">
            <v>13.4</v>
          </cell>
        </row>
        <row r="928">
          <cell r="I928" t="e">
            <v>#VALUE!</v>
          </cell>
          <cell r="J928">
            <v>0</v>
          </cell>
        </row>
        <row r="929">
          <cell r="I929">
            <v>14855</v>
          </cell>
          <cell r="J929">
            <v>13.4</v>
          </cell>
        </row>
        <row r="930">
          <cell r="I930" t="e">
            <v>#VALUE!</v>
          </cell>
          <cell r="J930">
            <v>0</v>
          </cell>
        </row>
        <row r="931">
          <cell r="I931">
            <v>14885</v>
          </cell>
          <cell r="J931">
            <v>13.6</v>
          </cell>
        </row>
        <row r="932">
          <cell r="I932" t="e">
            <v>#VALUE!</v>
          </cell>
          <cell r="J932">
            <v>0</v>
          </cell>
        </row>
        <row r="933">
          <cell r="I933">
            <v>14916</v>
          </cell>
          <cell r="J933">
            <v>13.7</v>
          </cell>
        </row>
        <row r="934">
          <cell r="I934" t="e">
            <v>#VALUE!</v>
          </cell>
          <cell r="J934">
            <v>0</v>
          </cell>
        </row>
        <row r="935">
          <cell r="I935">
            <v>14946</v>
          </cell>
          <cell r="J935">
            <v>13.8</v>
          </cell>
        </row>
        <row r="936">
          <cell r="I936" t="e">
            <v>#VALUE!</v>
          </cell>
          <cell r="J936">
            <v>0</v>
          </cell>
        </row>
        <row r="937">
          <cell r="I937">
            <v>14977</v>
          </cell>
          <cell r="J937">
            <v>13.5</v>
          </cell>
        </row>
        <row r="938">
          <cell r="I938" t="e">
            <v>#VALUE!</v>
          </cell>
          <cell r="J938">
            <v>0</v>
          </cell>
        </row>
        <row r="939">
          <cell r="I939">
            <v>14977</v>
          </cell>
          <cell r="J939">
            <v>13.9</v>
          </cell>
        </row>
        <row r="940">
          <cell r="I940" t="e">
            <v>#VALUE!</v>
          </cell>
          <cell r="J940">
            <v>0</v>
          </cell>
        </row>
        <row r="941">
          <cell r="I941">
            <v>15008</v>
          </cell>
          <cell r="J941">
            <v>13.9</v>
          </cell>
        </row>
        <row r="942">
          <cell r="I942" t="e">
            <v>#VALUE!</v>
          </cell>
          <cell r="J942">
            <v>0</v>
          </cell>
        </row>
        <row r="943">
          <cell r="I943">
            <v>15036</v>
          </cell>
          <cell r="J943">
            <v>14</v>
          </cell>
        </row>
        <row r="944">
          <cell r="I944" t="e">
            <v>#VALUE!</v>
          </cell>
          <cell r="J944">
            <v>0</v>
          </cell>
        </row>
        <row r="945">
          <cell r="I945">
            <v>15067</v>
          </cell>
          <cell r="J945">
            <v>14.4</v>
          </cell>
        </row>
        <row r="946">
          <cell r="I946" t="e">
            <v>#VALUE!</v>
          </cell>
          <cell r="J946">
            <v>0</v>
          </cell>
        </row>
        <row r="947">
          <cell r="I947">
            <v>15097</v>
          </cell>
          <cell r="J947">
            <v>14.6</v>
          </cell>
        </row>
        <row r="948">
          <cell r="I948" t="e">
            <v>#VALUE!</v>
          </cell>
          <cell r="J948">
            <v>0</v>
          </cell>
        </row>
        <row r="949">
          <cell r="I949">
            <v>15128</v>
          </cell>
          <cell r="J949">
            <v>15</v>
          </cell>
        </row>
        <row r="950">
          <cell r="I950" t="e">
            <v>#VALUE!</v>
          </cell>
          <cell r="J950">
            <v>0</v>
          </cell>
        </row>
        <row r="951">
          <cell r="I951">
            <v>15158</v>
          </cell>
          <cell r="J951">
            <v>15.3</v>
          </cell>
        </row>
        <row r="952">
          <cell r="I952" t="e">
            <v>#VALUE!</v>
          </cell>
          <cell r="J952">
            <v>0</v>
          </cell>
        </row>
        <row r="953">
          <cell r="I953">
            <v>15189</v>
          </cell>
          <cell r="J953">
            <v>15.6</v>
          </cell>
        </row>
        <row r="954">
          <cell r="I954" t="e">
            <v>#VALUE!</v>
          </cell>
          <cell r="J954">
            <v>0</v>
          </cell>
        </row>
        <row r="955">
          <cell r="I955">
            <v>15220</v>
          </cell>
          <cell r="J955">
            <v>15.8</v>
          </cell>
        </row>
        <row r="956">
          <cell r="I956" t="e">
            <v>#VALUE!</v>
          </cell>
          <cell r="J956">
            <v>0</v>
          </cell>
        </row>
        <row r="957">
          <cell r="I957">
            <v>15250</v>
          </cell>
          <cell r="J957">
            <v>15.9</v>
          </cell>
        </row>
        <row r="958">
          <cell r="I958" t="e">
            <v>#VALUE!</v>
          </cell>
          <cell r="J958">
            <v>0</v>
          </cell>
        </row>
        <row r="959">
          <cell r="I959">
            <v>15281</v>
          </cell>
          <cell r="J959">
            <v>15.9</v>
          </cell>
        </row>
        <row r="960">
          <cell r="I960" t="e">
            <v>#VALUE!</v>
          </cell>
          <cell r="J960">
            <v>0</v>
          </cell>
        </row>
        <row r="961">
          <cell r="I961">
            <v>15311</v>
          </cell>
          <cell r="J961">
            <v>16.2</v>
          </cell>
        </row>
        <row r="962">
          <cell r="I962" t="e">
            <v>#VALUE!</v>
          </cell>
          <cell r="J962">
            <v>0</v>
          </cell>
        </row>
        <row r="963">
          <cell r="I963">
            <v>15342</v>
          </cell>
          <cell r="J963">
            <v>15.1</v>
          </cell>
        </row>
        <row r="964">
          <cell r="I964" t="e">
            <v>#VALUE!</v>
          </cell>
          <cell r="J964">
            <v>0</v>
          </cell>
        </row>
        <row r="965">
          <cell r="I965">
            <v>15342</v>
          </cell>
          <cell r="J965">
            <v>16.5</v>
          </cell>
        </row>
        <row r="966">
          <cell r="I966" t="e">
            <v>#VALUE!</v>
          </cell>
          <cell r="J966">
            <v>0</v>
          </cell>
        </row>
        <row r="967">
          <cell r="I967">
            <v>15373</v>
          </cell>
          <cell r="J967">
            <v>16.7</v>
          </cell>
        </row>
        <row r="968">
          <cell r="I968" t="e">
            <v>#VALUE!</v>
          </cell>
          <cell r="J968">
            <v>0</v>
          </cell>
        </row>
        <row r="969">
          <cell r="I969">
            <v>15401</v>
          </cell>
          <cell r="J969">
            <v>16.8</v>
          </cell>
        </row>
        <row r="970">
          <cell r="I970" t="e">
            <v>#VALUE!</v>
          </cell>
          <cell r="J970">
            <v>0</v>
          </cell>
        </row>
        <row r="971">
          <cell r="I971">
            <v>15432</v>
          </cell>
          <cell r="J971">
            <v>17</v>
          </cell>
        </row>
        <row r="972">
          <cell r="I972" t="e">
            <v>#VALUE!</v>
          </cell>
          <cell r="J972">
            <v>0</v>
          </cell>
        </row>
        <row r="973">
          <cell r="I973">
            <v>15462</v>
          </cell>
          <cell r="J973">
            <v>17</v>
          </cell>
        </row>
        <row r="974">
          <cell r="I974" t="e">
            <v>#VALUE!</v>
          </cell>
          <cell r="J974">
            <v>0</v>
          </cell>
        </row>
        <row r="975">
          <cell r="I975">
            <v>15493</v>
          </cell>
          <cell r="J975">
            <v>17</v>
          </cell>
        </row>
        <row r="976">
          <cell r="I976" t="e">
            <v>#VALUE!</v>
          </cell>
          <cell r="J976">
            <v>0</v>
          </cell>
        </row>
        <row r="977">
          <cell r="I977">
            <v>15523</v>
          </cell>
          <cell r="J977">
            <v>17</v>
          </cell>
        </row>
        <row r="978">
          <cell r="I978" t="e">
            <v>#VALUE!</v>
          </cell>
          <cell r="J978">
            <v>0</v>
          </cell>
        </row>
        <row r="979">
          <cell r="I979">
            <v>15554</v>
          </cell>
          <cell r="J979">
            <v>17.100000000000001</v>
          </cell>
        </row>
        <row r="980">
          <cell r="I980" t="e">
            <v>#VALUE!</v>
          </cell>
          <cell r="J980">
            <v>0</v>
          </cell>
        </row>
        <row r="981">
          <cell r="I981">
            <v>15585</v>
          </cell>
          <cell r="J981">
            <v>17.2</v>
          </cell>
        </row>
        <row r="982">
          <cell r="I982" t="e">
            <v>#VALUE!</v>
          </cell>
          <cell r="J982">
            <v>0</v>
          </cell>
        </row>
        <row r="983">
          <cell r="I983">
            <v>15615</v>
          </cell>
          <cell r="J983">
            <v>17.2</v>
          </cell>
        </row>
        <row r="984">
          <cell r="I984" t="e">
            <v>#VALUE!</v>
          </cell>
          <cell r="J984">
            <v>0</v>
          </cell>
        </row>
        <row r="985">
          <cell r="I985">
            <v>15646</v>
          </cell>
          <cell r="J985">
            <v>17.3</v>
          </cell>
        </row>
        <row r="986">
          <cell r="I986" t="e">
            <v>#VALUE!</v>
          </cell>
          <cell r="J986">
            <v>0</v>
          </cell>
        </row>
        <row r="987">
          <cell r="I987">
            <v>15676</v>
          </cell>
          <cell r="J987">
            <v>17.399999999999999</v>
          </cell>
        </row>
        <row r="988">
          <cell r="I988" t="e">
            <v>#VALUE!</v>
          </cell>
          <cell r="J988">
            <v>0</v>
          </cell>
        </row>
        <row r="989">
          <cell r="I989">
            <v>15707</v>
          </cell>
          <cell r="J989">
            <v>17</v>
          </cell>
        </row>
        <row r="990">
          <cell r="I990" t="e">
            <v>#VALUE!</v>
          </cell>
          <cell r="J990">
            <v>0</v>
          </cell>
        </row>
        <row r="991">
          <cell r="I991">
            <v>15707</v>
          </cell>
          <cell r="J991">
            <v>17.5</v>
          </cell>
        </row>
        <row r="992">
          <cell r="I992" t="e">
            <v>#VALUE!</v>
          </cell>
          <cell r="J992">
            <v>0</v>
          </cell>
        </row>
        <row r="993">
          <cell r="I993">
            <v>15738</v>
          </cell>
          <cell r="J993">
            <v>17.7</v>
          </cell>
        </row>
        <row r="994">
          <cell r="I994" t="e">
            <v>#VALUE!</v>
          </cell>
          <cell r="J994">
            <v>0</v>
          </cell>
        </row>
        <row r="995">
          <cell r="I995">
            <v>15766</v>
          </cell>
          <cell r="J995">
            <v>17.8</v>
          </cell>
        </row>
        <row r="996">
          <cell r="I996" t="e">
            <v>#VALUE!</v>
          </cell>
          <cell r="J996">
            <v>0</v>
          </cell>
        </row>
        <row r="997">
          <cell r="I997">
            <v>15797</v>
          </cell>
          <cell r="J997">
            <v>17.899999999999999</v>
          </cell>
        </row>
        <row r="998">
          <cell r="I998" t="e">
            <v>#VALUE!</v>
          </cell>
          <cell r="J998">
            <v>0</v>
          </cell>
        </row>
        <row r="999">
          <cell r="I999">
            <v>15827</v>
          </cell>
          <cell r="J999">
            <v>17.899999999999999</v>
          </cell>
        </row>
        <row r="1000">
          <cell r="I1000" t="e">
            <v>#VALUE!</v>
          </cell>
          <cell r="J1000">
            <v>0</v>
          </cell>
        </row>
        <row r="1001">
          <cell r="I1001">
            <v>15858</v>
          </cell>
          <cell r="J1001">
            <v>17.899999999999999</v>
          </cell>
        </row>
        <row r="1002">
          <cell r="I1002" t="e">
            <v>#VALUE!</v>
          </cell>
          <cell r="J1002">
            <v>0</v>
          </cell>
        </row>
        <row r="1003">
          <cell r="I1003">
            <v>15888</v>
          </cell>
          <cell r="J1003">
            <v>17.8</v>
          </cell>
        </row>
        <row r="1004">
          <cell r="I1004" t="e">
            <v>#VALUE!</v>
          </cell>
          <cell r="J1004">
            <v>0</v>
          </cell>
        </row>
        <row r="1005">
          <cell r="I1005">
            <v>15919</v>
          </cell>
          <cell r="J1005">
            <v>17.8</v>
          </cell>
        </row>
        <row r="1006">
          <cell r="I1006" t="e">
            <v>#VALUE!</v>
          </cell>
          <cell r="J1006">
            <v>0</v>
          </cell>
        </row>
        <row r="1007">
          <cell r="I1007">
            <v>15950</v>
          </cell>
          <cell r="J1007">
            <v>17.8</v>
          </cell>
        </row>
        <row r="1008">
          <cell r="I1008" t="e">
            <v>#VALUE!</v>
          </cell>
          <cell r="J1008">
            <v>0</v>
          </cell>
        </row>
        <row r="1009">
          <cell r="I1009">
            <v>15980</v>
          </cell>
          <cell r="J1009">
            <v>17.8</v>
          </cell>
        </row>
        <row r="1010">
          <cell r="I1010" t="e">
            <v>#VALUE!</v>
          </cell>
          <cell r="J1010">
            <v>0</v>
          </cell>
        </row>
        <row r="1011">
          <cell r="I1011">
            <v>16011</v>
          </cell>
          <cell r="J1011">
            <v>17.7</v>
          </cell>
        </row>
        <row r="1012">
          <cell r="I1012" t="e">
            <v>#VALUE!</v>
          </cell>
          <cell r="J1012">
            <v>0</v>
          </cell>
        </row>
        <row r="1013">
          <cell r="I1013">
            <v>16041</v>
          </cell>
          <cell r="J1013">
            <v>17.8</v>
          </cell>
        </row>
        <row r="1014">
          <cell r="I1014" t="e">
            <v>#VALUE!</v>
          </cell>
          <cell r="J1014">
            <v>0</v>
          </cell>
        </row>
        <row r="1015">
          <cell r="I1015">
            <v>16072</v>
          </cell>
          <cell r="J1015">
            <v>17.8</v>
          </cell>
        </row>
        <row r="1016">
          <cell r="I1016" t="e">
            <v>#VALUE!</v>
          </cell>
          <cell r="J1016">
            <v>0</v>
          </cell>
        </row>
        <row r="1017">
          <cell r="I1017">
            <v>16072</v>
          </cell>
          <cell r="J1017">
            <v>17.8</v>
          </cell>
        </row>
        <row r="1018">
          <cell r="I1018" t="e">
            <v>#VALUE!</v>
          </cell>
          <cell r="J1018">
            <v>0</v>
          </cell>
        </row>
        <row r="1019">
          <cell r="I1019">
            <v>16103</v>
          </cell>
          <cell r="J1019">
            <v>17.8</v>
          </cell>
        </row>
        <row r="1020">
          <cell r="I1020" t="e">
            <v>#VALUE!</v>
          </cell>
          <cell r="J1020">
            <v>0</v>
          </cell>
        </row>
        <row r="1021">
          <cell r="I1021">
            <v>16132</v>
          </cell>
          <cell r="J1021">
            <v>17.899999999999999</v>
          </cell>
        </row>
        <row r="1022">
          <cell r="I1022" t="e">
            <v>#VALUE!</v>
          </cell>
          <cell r="J1022">
            <v>0</v>
          </cell>
        </row>
        <row r="1023">
          <cell r="I1023">
            <v>16163</v>
          </cell>
          <cell r="J1023">
            <v>17.899999999999999</v>
          </cell>
        </row>
        <row r="1024">
          <cell r="I1024" t="e">
            <v>#VALUE!</v>
          </cell>
          <cell r="J1024">
            <v>0</v>
          </cell>
        </row>
        <row r="1025">
          <cell r="I1025">
            <v>16193</v>
          </cell>
          <cell r="J1025">
            <v>17.899999999999999</v>
          </cell>
        </row>
        <row r="1026">
          <cell r="I1026" t="e">
            <v>#VALUE!</v>
          </cell>
          <cell r="J1026">
            <v>0</v>
          </cell>
        </row>
        <row r="1027">
          <cell r="I1027">
            <v>16224</v>
          </cell>
          <cell r="J1027">
            <v>18</v>
          </cell>
        </row>
        <row r="1028">
          <cell r="I1028" t="e">
            <v>#VALUE!</v>
          </cell>
          <cell r="J1028">
            <v>0</v>
          </cell>
        </row>
        <row r="1029">
          <cell r="I1029">
            <v>16254</v>
          </cell>
          <cell r="J1029">
            <v>17.899999999999999</v>
          </cell>
        </row>
        <row r="1030">
          <cell r="I1030" t="e">
            <v>#VALUE!</v>
          </cell>
          <cell r="J1030">
            <v>0</v>
          </cell>
        </row>
        <row r="1031">
          <cell r="I1031">
            <v>16285</v>
          </cell>
          <cell r="J1031">
            <v>17.899999999999999</v>
          </cell>
        </row>
        <row r="1032">
          <cell r="I1032" t="e">
            <v>#VALUE!</v>
          </cell>
          <cell r="J1032">
            <v>0</v>
          </cell>
        </row>
        <row r="1033">
          <cell r="I1033">
            <v>16316</v>
          </cell>
          <cell r="J1033">
            <v>17.899999999999999</v>
          </cell>
        </row>
        <row r="1034">
          <cell r="I1034" t="e">
            <v>#VALUE!</v>
          </cell>
          <cell r="J1034">
            <v>0</v>
          </cell>
        </row>
        <row r="1035">
          <cell r="I1035">
            <v>16346</v>
          </cell>
          <cell r="J1035">
            <v>17.899999999999999</v>
          </cell>
        </row>
        <row r="1036">
          <cell r="I1036" t="e">
            <v>#VALUE!</v>
          </cell>
          <cell r="J1036">
            <v>0</v>
          </cell>
        </row>
        <row r="1037">
          <cell r="I1037">
            <v>16377</v>
          </cell>
          <cell r="J1037">
            <v>18</v>
          </cell>
        </row>
        <row r="1038">
          <cell r="I1038" t="e">
            <v>#VALUE!</v>
          </cell>
          <cell r="J1038">
            <v>0</v>
          </cell>
        </row>
        <row r="1039">
          <cell r="I1039">
            <v>16407</v>
          </cell>
          <cell r="J1039">
            <v>18</v>
          </cell>
        </row>
        <row r="1040">
          <cell r="I1040" t="e">
            <v>#VALUE!</v>
          </cell>
          <cell r="J1040">
            <v>0</v>
          </cell>
        </row>
        <row r="1041">
          <cell r="I1041">
            <v>16438</v>
          </cell>
          <cell r="J1041">
            <v>17.899999999999999</v>
          </cell>
        </row>
        <row r="1042">
          <cell r="I1042" t="e">
            <v>#VALUE!</v>
          </cell>
          <cell r="J1042">
            <v>0</v>
          </cell>
        </row>
        <row r="1043">
          <cell r="I1043">
            <v>16438</v>
          </cell>
          <cell r="J1043">
            <v>18.100000000000001</v>
          </cell>
        </row>
        <row r="1044">
          <cell r="I1044" t="e">
            <v>#VALUE!</v>
          </cell>
          <cell r="J1044">
            <v>0</v>
          </cell>
        </row>
        <row r="1045">
          <cell r="I1045">
            <v>16469</v>
          </cell>
          <cell r="J1045">
            <v>18.100000000000001</v>
          </cell>
        </row>
        <row r="1046">
          <cell r="I1046" t="e">
            <v>#VALUE!</v>
          </cell>
          <cell r="J1046">
            <v>0</v>
          </cell>
        </row>
        <row r="1047">
          <cell r="I1047">
            <v>16497</v>
          </cell>
          <cell r="J1047">
            <v>18.100000000000001</v>
          </cell>
        </row>
        <row r="1048">
          <cell r="I1048" t="e">
            <v>#VALUE!</v>
          </cell>
          <cell r="J1048">
            <v>0</v>
          </cell>
        </row>
        <row r="1049">
          <cell r="I1049">
            <v>16528</v>
          </cell>
          <cell r="J1049">
            <v>18.2</v>
          </cell>
        </row>
        <row r="1050">
          <cell r="I1050" t="e">
            <v>#VALUE!</v>
          </cell>
          <cell r="J1050">
            <v>0</v>
          </cell>
        </row>
        <row r="1051">
          <cell r="I1051">
            <v>16558</v>
          </cell>
          <cell r="J1051">
            <v>18.3</v>
          </cell>
        </row>
        <row r="1052">
          <cell r="I1052" t="e">
            <v>#VALUE!</v>
          </cell>
          <cell r="J1052">
            <v>0</v>
          </cell>
        </row>
        <row r="1053">
          <cell r="I1053">
            <v>16589</v>
          </cell>
          <cell r="J1053">
            <v>18.3</v>
          </cell>
        </row>
        <row r="1054">
          <cell r="I1054" t="e">
            <v>#VALUE!</v>
          </cell>
          <cell r="J1054">
            <v>0</v>
          </cell>
        </row>
        <row r="1055">
          <cell r="I1055">
            <v>16619</v>
          </cell>
          <cell r="J1055">
            <v>18.3</v>
          </cell>
        </row>
        <row r="1056">
          <cell r="I1056" t="e">
            <v>#VALUE!</v>
          </cell>
          <cell r="J1056">
            <v>0</v>
          </cell>
        </row>
        <row r="1057">
          <cell r="I1057">
            <v>16650</v>
          </cell>
          <cell r="J1057">
            <v>18.2</v>
          </cell>
        </row>
        <row r="1058">
          <cell r="I1058" t="e">
            <v>#VALUE!</v>
          </cell>
          <cell r="J1058">
            <v>0</v>
          </cell>
        </row>
        <row r="1059">
          <cell r="I1059">
            <v>16681</v>
          </cell>
          <cell r="J1059">
            <v>18.100000000000001</v>
          </cell>
        </row>
        <row r="1060">
          <cell r="I1060" t="e">
            <v>#VALUE!</v>
          </cell>
          <cell r="J1060">
            <v>0</v>
          </cell>
        </row>
        <row r="1061">
          <cell r="I1061">
            <v>16711</v>
          </cell>
          <cell r="J1061">
            <v>18.2</v>
          </cell>
        </row>
        <row r="1062">
          <cell r="I1062" t="e">
            <v>#VALUE!</v>
          </cell>
          <cell r="J1062">
            <v>0</v>
          </cell>
        </row>
        <row r="1063">
          <cell r="I1063">
            <v>16742</v>
          </cell>
          <cell r="J1063">
            <v>18.399999999999999</v>
          </cell>
        </row>
        <row r="1064">
          <cell r="I1064" t="e">
            <v>#VALUE!</v>
          </cell>
          <cell r="J1064">
            <v>0</v>
          </cell>
        </row>
        <row r="1065">
          <cell r="I1065">
            <v>16772</v>
          </cell>
          <cell r="J1065">
            <v>18.399999999999999</v>
          </cell>
        </row>
        <row r="1066">
          <cell r="I1066" t="e">
            <v>#VALUE!</v>
          </cell>
          <cell r="J1066">
            <v>0</v>
          </cell>
        </row>
        <row r="1067">
          <cell r="I1067">
            <v>16803</v>
          </cell>
          <cell r="J1067">
            <v>18.2</v>
          </cell>
        </row>
        <row r="1068">
          <cell r="I1068" t="e">
            <v>#VALUE!</v>
          </cell>
          <cell r="J1068">
            <v>0</v>
          </cell>
        </row>
        <row r="1069">
          <cell r="I1069">
            <v>16803</v>
          </cell>
          <cell r="J1069">
            <v>18.399999999999999</v>
          </cell>
        </row>
        <row r="1070">
          <cell r="I1070" t="e">
            <v>#VALUE!</v>
          </cell>
          <cell r="J1070">
            <v>0</v>
          </cell>
        </row>
        <row r="1071">
          <cell r="I1071">
            <v>16834</v>
          </cell>
          <cell r="J1071">
            <v>18.5</v>
          </cell>
        </row>
        <row r="1072">
          <cell r="I1072" t="e">
            <v>#VALUE!</v>
          </cell>
          <cell r="J1072">
            <v>0</v>
          </cell>
        </row>
        <row r="1073">
          <cell r="I1073">
            <v>16862</v>
          </cell>
          <cell r="J1073">
            <v>18.8</v>
          </cell>
        </row>
        <row r="1074">
          <cell r="I1074" t="e">
            <v>#VALUE!</v>
          </cell>
          <cell r="J1074">
            <v>0</v>
          </cell>
        </row>
        <row r="1075">
          <cell r="I1075">
            <v>16893</v>
          </cell>
          <cell r="J1075">
            <v>19</v>
          </cell>
        </row>
        <row r="1076">
          <cell r="I1076" t="e">
            <v>#VALUE!</v>
          </cell>
          <cell r="J1076">
            <v>0</v>
          </cell>
        </row>
        <row r="1077">
          <cell r="I1077">
            <v>16923</v>
          </cell>
          <cell r="J1077">
            <v>19.100000000000001</v>
          </cell>
        </row>
        <row r="1078">
          <cell r="I1078" t="e">
            <v>#VALUE!</v>
          </cell>
          <cell r="J1078">
            <v>0</v>
          </cell>
        </row>
        <row r="1079">
          <cell r="I1079">
            <v>16954</v>
          </cell>
          <cell r="J1079">
            <v>19.399999999999999</v>
          </cell>
        </row>
        <row r="1080">
          <cell r="I1080" t="e">
            <v>#VALUE!</v>
          </cell>
          <cell r="J1080">
            <v>0</v>
          </cell>
        </row>
        <row r="1081">
          <cell r="I1081">
            <v>16984</v>
          </cell>
          <cell r="J1081">
            <v>21.5</v>
          </cell>
        </row>
        <row r="1082">
          <cell r="I1082" t="e">
            <v>#VALUE!</v>
          </cell>
          <cell r="J1082">
            <v>0</v>
          </cell>
        </row>
        <row r="1083">
          <cell r="I1083">
            <v>17015</v>
          </cell>
          <cell r="J1083">
            <v>22.2</v>
          </cell>
        </row>
        <row r="1084">
          <cell r="I1084" t="e">
            <v>#VALUE!</v>
          </cell>
          <cell r="J1084">
            <v>0</v>
          </cell>
        </row>
        <row r="1085">
          <cell r="I1085">
            <v>17046</v>
          </cell>
          <cell r="J1085">
            <v>21.4</v>
          </cell>
        </row>
        <row r="1086">
          <cell r="I1086" t="e">
            <v>#VALUE!</v>
          </cell>
          <cell r="J1086">
            <v>0</v>
          </cell>
        </row>
        <row r="1087">
          <cell r="I1087">
            <v>17076</v>
          </cell>
          <cell r="J1087">
            <v>23.1</v>
          </cell>
        </row>
        <row r="1088">
          <cell r="I1088" t="e">
            <v>#VALUE!</v>
          </cell>
          <cell r="J1088">
            <v>0</v>
          </cell>
        </row>
        <row r="1089">
          <cell r="I1089">
            <v>17107</v>
          </cell>
          <cell r="J1089">
            <v>24.1</v>
          </cell>
        </row>
        <row r="1090">
          <cell r="I1090" t="e">
            <v>#VALUE!</v>
          </cell>
          <cell r="J1090">
            <v>0</v>
          </cell>
        </row>
        <row r="1091">
          <cell r="I1091">
            <v>17137</v>
          </cell>
          <cell r="J1091">
            <v>24.3</v>
          </cell>
        </row>
        <row r="1092">
          <cell r="I1092" t="e">
            <v>#VALUE!</v>
          </cell>
          <cell r="J1092">
            <v>0</v>
          </cell>
        </row>
        <row r="1093">
          <cell r="I1093">
            <v>17168</v>
          </cell>
          <cell r="J1093">
            <v>20.8</v>
          </cell>
        </row>
        <row r="1094">
          <cell r="I1094" t="e">
            <v>#VALUE!</v>
          </cell>
          <cell r="J1094">
            <v>0</v>
          </cell>
        </row>
        <row r="1095">
          <cell r="I1095">
            <v>17168</v>
          </cell>
          <cell r="J1095">
            <v>24.5</v>
          </cell>
        </row>
        <row r="1096">
          <cell r="I1096" t="e">
            <v>#VALUE!</v>
          </cell>
          <cell r="J1096">
            <v>0</v>
          </cell>
        </row>
        <row r="1097">
          <cell r="I1097">
            <v>17199</v>
          </cell>
          <cell r="J1097">
            <v>24.7</v>
          </cell>
        </row>
        <row r="1098">
          <cell r="I1098" t="e">
            <v>#VALUE!</v>
          </cell>
          <cell r="J1098">
            <v>0</v>
          </cell>
        </row>
        <row r="1099">
          <cell r="I1099">
            <v>17227</v>
          </cell>
          <cell r="J1099">
            <v>25.3</v>
          </cell>
        </row>
        <row r="1100">
          <cell r="I1100" t="e">
            <v>#VALUE!</v>
          </cell>
          <cell r="J1100">
            <v>0</v>
          </cell>
        </row>
        <row r="1101">
          <cell r="I1101">
            <v>17258</v>
          </cell>
          <cell r="J1101">
            <v>25.1</v>
          </cell>
        </row>
        <row r="1102">
          <cell r="I1102" t="e">
            <v>#VALUE!</v>
          </cell>
          <cell r="J1102">
            <v>0</v>
          </cell>
        </row>
        <row r="1103">
          <cell r="I1103">
            <v>17288</v>
          </cell>
          <cell r="J1103">
            <v>25</v>
          </cell>
        </row>
        <row r="1104">
          <cell r="I1104" t="e">
            <v>#VALUE!</v>
          </cell>
          <cell r="J1104">
            <v>0</v>
          </cell>
        </row>
        <row r="1105">
          <cell r="I1105">
            <v>17319</v>
          </cell>
          <cell r="J1105">
            <v>25</v>
          </cell>
        </row>
        <row r="1106">
          <cell r="I1106" t="e">
            <v>#VALUE!</v>
          </cell>
          <cell r="J1106">
            <v>0</v>
          </cell>
        </row>
        <row r="1107">
          <cell r="I1107">
            <v>17349</v>
          </cell>
          <cell r="J1107">
            <v>25.3</v>
          </cell>
        </row>
        <row r="1108">
          <cell r="I1108" t="e">
            <v>#VALUE!</v>
          </cell>
          <cell r="J1108">
            <v>0</v>
          </cell>
        </row>
        <row r="1109">
          <cell r="I1109">
            <v>17380</v>
          </cell>
          <cell r="J1109">
            <v>25.6</v>
          </cell>
        </row>
        <row r="1110">
          <cell r="I1110" t="e">
            <v>#VALUE!</v>
          </cell>
          <cell r="J1110">
            <v>0</v>
          </cell>
        </row>
        <row r="1111">
          <cell r="I1111">
            <v>17411</v>
          </cell>
          <cell r="J1111">
            <v>26.1</v>
          </cell>
        </row>
        <row r="1112">
          <cell r="I1112" t="e">
            <v>#VALUE!</v>
          </cell>
          <cell r="J1112">
            <v>0</v>
          </cell>
        </row>
        <row r="1113">
          <cell r="I1113">
            <v>17441</v>
          </cell>
          <cell r="J1113">
            <v>26.4</v>
          </cell>
        </row>
        <row r="1114">
          <cell r="I1114" t="e">
            <v>#VALUE!</v>
          </cell>
          <cell r="J1114">
            <v>0</v>
          </cell>
        </row>
        <row r="1115">
          <cell r="I1115">
            <v>17472</v>
          </cell>
          <cell r="J1115">
            <v>26.7</v>
          </cell>
        </row>
        <row r="1116">
          <cell r="I1116" t="e">
            <v>#VALUE!</v>
          </cell>
          <cell r="J1116">
            <v>0</v>
          </cell>
        </row>
        <row r="1117">
          <cell r="I1117">
            <v>17502</v>
          </cell>
          <cell r="J1117">
            <v>27.2</v>
          </cell>
        </row>
        <row r="1118">
          <cell r="I1118" t="e">
            <v>#VALUE!</v>
          </cell>
          <cell r="J1118">
            <v>0</v>
          </cell>
        </row>
        <row r="1119">
          <cell r="I1119">
            <v>17533</v>
          </cell>
          <cell r="J1119">
            <v>25.6</v>
          </cell>
        </row>
        <row r="1120">
          <cell r="I1120" t="e">
            <v>#VALUE!</v>
          </cell>
          <cell r="J1120">
            <v>0</v>
          </cell>
        </row>
        <row r="1121">
          <cell r="I1121">
            <v>17533</v>
          </cell>
          <cell r="J1121">
            <v>27.7</v>
          </cell>
        </row>
        <row r="1122">
          <cell r="I1122" t="e">
            <v>#VALUE!</v>
          </cell>
          <cell r="J1122">
            <v>0</v>
          </cell>
        </row>
        <row r="1123">
          <cell r="I1123">
            <v>17564</v>
          </cell>
          <cell r="J1123">
            <v>27.2</v>
          </cell>
        </row>
        <row r="1124">
          <cell r="I1124" t="e">
            <v>#VALUE!</v>
          </cell>
          <cell r="J1124">
            <v>0</v>
          </cell>
        </row>
        <row r="1125">
          <cell r="I1125">
            <v>17593</v>
          </cell>
          <cell r="J1125">
            <v>27.2</v>
          </cell>
        </row>
        <row r="1126">
          <cell r="I1126" t="e">
            <v>#VALUE!</v>
          </cell>
          <cell r="J1126">
            <v>0</v>
          </cell>
        </row>
        <row r="1127">
          <cell r="I1127">
            <v>17624</v>
          </cell>
          <cell r="J1127">
            <v>27.4</v>
          </cell>
        </row>
        <row r="1128">
          <cell r="I1128" t="e">
            <v>#VALUE!</v>
          </cell>
          <cell r="J1128">
            <v>0</v>
          </cell>
        </row>
        <row r="1129">
          <cell r="I1129">
            <v>17654</v>
          </cell>
          <cell r="J1129">
            <v>27.5</v>
          </cell>
        </row>
        <row r="1130">
          <cell r="I1130" t="e">
            <v>#VALUE!</v>
          </cell>
          <cell r="J1130">
            <v>0</v>
          </cell>
        </row>
        <row r="1131">
          <cell r="I1131">
            <v>17685</v>
          </cell>
          <cell r="J1131">
            <v>27.7</v>
          </cell>
        </row>
        <row r="1132">
          <cell r="I1132" t="e">
            <v>#VALUE!</v>
          </cell>
          <cell r="J1132">
            <v>0</v>
          </cell>
        </row>
        <row r="1133">
          <cell r="I1133">
            <v>17715</v>
          </cell>
          <cell r="J1133">
            <v>28</v>
          </cell>
        </row>
        <row r="1134">
          <cell r="I1134" t="e">
            <v>#VALUE!</v>
          </cell>
          <cell r="J1134">
            <v>0</v>
          </cell>
        </row>
        <row r="1135">
          <cell r="I1135">
            <v>17746</v>
          </cell>
          <cell r="J1135">
            <v>28.2</v>
          </cell>
        </row>
        <row r="1136">
          <cell r="I1136" t="e">
            <v>#VALUE!</v>
          </cell>
          <cell r="J1136">
            <v>0</v>
          </cell>
        </row>
        <row r="1137">
          <cell r="I1137">
            <v>17777</v>
          </cell>
          <cell r="J1137">
            <v>28.1</v>
          </cell>
        </row>
        <row r="1138">
          <cell r="I1138" t="e">
            <v>#VALUE!</v>
          </cell>
          <cell r="J1138">
            <v>0</v>
          </cell>
        </row>
        <row r="1139">
          <cell r="I1139">
            <v>17807</v>
          </cell>
          <cell r="J1139">
            <v>27.8</v>
          </cell>
        </row>
        <row r="1140">
          <cell r="I1140" t="e">
            <v>#VALUE!</v>
          </cell>
          <cell r="J1140">
            <v>0</v>
          </cell>
        </row>
        <row r="1141">
          <cell r="I1141">
            <v>17838</v>
          </cell>
          <cell r="J1141">
            <v>27.8</v>
          </cell>
        </row>
        <row r="1142">
          <cell r="I1142" t="e">
            <v>#VALUE!</v>
          </cell>
          <cell r="J1142">
            <v>0</v>
          </cell>
        </row>
        <row r="1143">
          <cell r="I1143">
            <v>17868</v>
          </cell>
          <cell r="J1143">
            <v>27.6</v>
          </cell>
        </row>
        <row r="1144">
          <cell r="I1144" t="e">
            <v>#VALUE!</v>
          </cell>
          <cell r="J1144">
            <v>0</v>
          </cell>
        </row>
        <row r="1145">
          <cell r="I1145">
            <v>17899</v>
          </cell>
          <cell r="J1145">
            <v>27.7</v>
          </cell>
        </row>
        <row r="1146">
          <cell r="I1146" t="e">
            <v>#VALUE!</v>
          </cell>
          <cell r="J1146">
            <v>0</v>
          </cell>
        </row>
        <row r="1147">
          <cell r="I1147">
            <v>17899</v>
          </cell>
          <cell r="J1147">
            <v>27.3</v>
          </cell>
        </row>
        <row r="1148">
          <cell r="I1148" t="e">
            <v>#VALUE!</v>
          </cell>
          <cell r="J1148">
            <v>0</v>
          </cell>
        </row>
        <row r="1149">
          <cell r="I1149">
            <v>17930</v>
          </cell>
          <cell r="J1149">
            <v>26.8</v>
          </cell>
        </row>
        <row r="1150">
          <cell r="I1150" t="e">
            <v>#VALUE!</v>
          </cell>
          <cell r="J1150">
            <v>0</v>
          </cell>
        </row>
        <row r="1151">
          <cell r="I1151">
            <v>17958</v>
          </cell>
          <cell r="J1151">
            <v>26.8</v>
          </cell>
        </row>
        <row r="1152">
          <cell r="I1152" t="e">
            <v>#VALUE!</v>
          </cell>
          <cell r="J1152">
            <v>0</v>
          </cell>
        </row>
        <row r="1153">
          <cell r="I1153">
            <v>17989</v>
          </cell>
          <cell r="J1153">
            <v>26.5</v>
          </cell>
        </row>
        <row r="1154">
          <cell r="I1154" t="e">
            <v>#VALUE!</v>
          </cell>
          <cell r="J1154">
            <v>0</v>
          </cell>
        </row>
        <row r="1155">
          <cell r="I1155">
            <v>18019</v>
          </cell>
          <cell r="J1155">
            <v>26.3</v>
          </cell>
        </row>
        <row r="1156">
          <cell r="I1156" t="e">
            <v>#VALUE!</v>
          </cell>
          <cell r="J1156">
            <v>0</v>
          </cell>
        </row>
        <row r="1157">
          <cell r="I1157">
            <v>18050</v>
          </cell>
          <cell r="J1157">
            <v>26</v>
          </cell>
        </row>
        <row r="1158">
          <cell r="I1158" t="e">
            <v>#VALUE!</v>
          </cell>
          <cell r="J1158">
            <v>0</v>
          </cell>
        </row>
        <row r="1159">
          <cell r="I1159">
            <v>18080</v>
          </cell>
          <cell r="J1159">
            <v>26</v>
          </cell>
        </row>
        <row r="1160">
          <cell r="I1160" t="e">
            <v>#VALUE!</v>
          </cell>
          <cell r="J1160">
            <v>0</v>
          </cell>
        </row>
        <row r="1161">
          <cell r="I1161">
            <v>18111</v>
          </cell>
          <cell r="J1161">
            <v>26</v>
          </cell>
        </row>
        <row r="1162">
          <cell r="I1162" t="e">
            <v>#VALUE!</v>
          </cell>
          <cell r="J1162">
            <v>0</v>
          </cell>
        </row>
        <row r="1163">
          <cell r="I1163">
            <v>18142</v>
          </cell>
          <cell r="J1163">
            <v>26.1</v>
          </cell>
        </row>
        <row r="1164">
          <cell r="I1164" t="e">
            <v>#VALUE!</v>
          </cell>
          <cell r="J1164">
            <v>0</v>
          </cell>
        </row>
        <row r="1165">
          <cell r="I1165">
            <v>18172</v>
          </cell>
          <cell r="J1165">
            <v>26</v>
          </cell>
        </row>
        <row r="1166">
          <cell r="I1166" t="e">
            <v>#VALUE!</v>
          </cell>
          <cell r="J1166">
            <v>0</v>
          </cell>
        </row>
        <row r="1167">
          <cell r="I1167">
            <v>18203</v>
          </cell>
          <cell r="J1167">
            <v>26</v>
          </cell>
        </row>
        <row r="1168">
          <cell r="I1168" t="e">
            <v>#VALUE!</v>
          </cell>
          <cell r="J1168">
            <v>0</v>
          </cell>
        </row>
        <row r="1169">
          <cell r="I1169">
            <v>18233</v>
          </cell>
          <cell r="J1169">
            <v>25.9</v>
          </cell>
        </row>
        <row r="1170">
          <cell r="I1170" t="e">
            <v>#VALUE!</v>
          </cell>
          <cell r="J1170">
            <v>0</v>
          </cell>
        </row>
        <row r="1171">
          <cell r="I1171">
            <v>18264</v>
          </cell>
          <cell r="J1171">
            <v>26.3</v>
          </cell>
        </row>
        <row r="1172">
          <cell r="I1172" t="e">
            <v>#VALUE!</v>
          </cell>
          <cell r="J1172">
            <v>0</v>
          </cell>
        </row>
        <row r="1173">
          <cell r="I1173">
            <v>18264</v>
          </cell>
          <cell r="J1173">
            <v>25.9</v>
          </cell>
        </row>
        <row r="1174">
          <cell r="I1174" t="e">
            <v>#VALUE!</v>
          </cell>
          <cell r="J1174">
            <v>0</v>
          </cell>
        </row>
        <row r="1175">
          <cell r="I1175">
            <v>18295</v>
          </cell>
          <cell r="J1175">
            <v>26.1</v>
          </cell>
        </row>
        <row r="1176">
          <cell r="I1176" t="e">
            <v>#VALUE!</v>
          </cell>
          <cell r="J1176">
            <v>0</v>
          </cell>
        </row>
        <row r="1177">
          <cell r="I1177">
            <v>18323</v>
          </cell>
          <cell r="J1177">
            <v>26.1</v>
          </cell>
        </row>
        <row r="1178">
          <cell r="I1178" t="e">
            <v>#VALUE!</v>
          </cell>
          <cell r="J1178">
            <v>0</v>
          </cell>
        </row>
        <row r="1179">
          <cell r="I1179">
            <v>18354</v>
          </cell>
          <cell r="J1179">
            <v>26.1</v>
          </cell>
        </row>
        <row r="1180">
          <cell r="I1180" t="e">
            <v>#VALUE!</v>
          </cell>
          <cell r="J1180">
            <v>0</v>
          </cell>
        </row>
        <row r="1181">
          <cell r="I1181">
            <v>18384</v>
          </cell>
          <cell r="J1181">
            <v>26.4</v>
          </cell>
        </row>
        <row r="1182">
          <cell r="I1182" t="e">
            <v>#VALUE!</v>
          </cell>
          <cell r="J1182">
            <v>0</v>
          </cell>
        </row>
        <row r="1183">
          <cell r="I1183">
            <v>18415</v>
          </cell>
          <cell r="J1183">
            <v>26.6</v>
          </cell>
        </row>
        <row r="1184">
          <cell r="I1184" t="e">
            <v>#VALUE!</v>
          </cell>
          <cell r="J1184">
            <v>0</v>
          </cell>
        </row>
        <row r="1185">
          <cell r="I1185">
            <v>18445</v>
          </cell>
          <cell r="J1185">
            <v>27.3</v>
          </cell>
        </row>
        <row r="1186">
          <cell r="I1186" t="e">
            <v>#VALUE!</v>
          </cell>
          <cell r="J1186">
            <v>0</v>
          </cell>
        </row>
        <row r="1187">
          <cell r="I1187">
            <v>18476</v>
          </cell>
          <cell r="J1187">
            <v>27.9</v>
          </cell>
        </row>
        <row r="1188">
          <cell r="I1188" t="e">
            <v>#VALUE!</v>
          </cell>
          <cell r="J1188">
            <v>0</v>
          </cell>
        </row>
        <row r="1189">
          <cell r="I1189">
            <v>18507</v>
          </cell>
          <cell r="J1189">
            <v>28.4</v>
          </cell>
        </row>
        <row r="1190">
          <cell r="I1190" t="e">
            <v>#VALUE!</v>
          </cell>
          <cell r="J1190">
            <v>0</v>
          </cell>
        </row>
        <row r="1191">
          <cell r="I1191">
            <v>18537</v>
          </cell>
          <cell r="J1191">
            <v>28.6</v>
          </cell>
        </row>
        <row r="1192">
          <cell r="I1192" t="e">
            <v>#VALUE!</v>
          </cell>
          <cell r="J1192">
            <v>0</v>
          </cell>
        </row>
        <row r="1193">
          <cell r="I1193">
            <v>18568</v>
          </cell>
          <cell r="J1193">
            <v>29</v>
          </cell>
        </row>
        <row r="1194">
          <cell r="I1194" t="e">
            <v>#VALUE!</v>
          </cell>
          <cell r="J1194">
            <v>0</v>
          </cell>
        </row>
        <row r="1195">
          <cell r="I1195">
            <v>18598</v>
          </cell>
          <cell r="J1195">
            <v>29.7</v>
          </cell>
        </row>
        <row r="1196">
          <cell r="I1196" t="e">
            <v>#VALUE!</v>
          </cell>
          <cell r="J1196">
            <v>0</v>
          </cell>
        </row>
        <row r="1197">
          <cell r="I1197">
            <v>18629</v>
          </cell>
          <cell r="J1197">
            <v>27.3</v>
          </cell>
        </row>
        <row r="1198">
          <cell r="I1198" t="e">
            <v>#VALUE!</v>
          </cell>
          <cell r="J1198">
            <v>0</v>
          </cell>
        </row>
        <row r="1199">
          <cell r="I1199">
            <v>18629</v>
          </cell>
          <cell r="J1199">
            <v>30.5</v>
          </cell>
        </row>
        <row r="1200">
          <cell r="I1200" t="e">
            <v>#VALUE!</v>
          </cell>
          <cell r="J1200">
            <v>0</v>
          </cell>
        </row>
        <row r="1201">
          <cell r="I1201">
            <v>18660</v>
          </cell>
          <cell r="J1201">
            <v>30.9</v>
          </cell>
        </row>
        <row r="1202">
          <cell r="I1202" t="e">
            <v>#VALUE!</v>
          </cell>
          <cell r="J1202">
            <v>0</v>
          </cell>
        </row>
        <row r="1203">
          <cell r="I1203">
            <v>18688</v>
          </cell>
          <cell r="J1203">
            <v>30.9</v>
          </cell>
        </row>
        <row r="1204">
          <cell r="I1204" t="e">
            <v>#VALUE!</v>
          </cell>
          <cell r="J1204">
            <v>0</v>
          </cell>
        </row>
        <row r="1205">
          <cell r="I1205">
            <v>18719</v>
          </cell>
          <cell r="J1205">
            <v>30.8</v>
          </cell>
        </row>
        <row r="1206">
          <cell r="I1206" t="e">
            <v>#VALUE!</v>
          </cell>
          <cell r="J1206">
            <v>0</v>
          </cell>
        </row>
        <row r="1207">
          <cell r="I1207">
            <v>18749</v>
          </cell>
          <cell r="J1207">
            <v>30.7</v>
          </cell>
        </row>
        <row r="1208">
          <cell r="I1208" t="e">
            <v>#VALUE!</v>
          </cell>
          <cell r="J1208">
            <v>0</v>
          </cell>
        </row>
        <row r="1209">
          <cell r="I1209">
            <v>18780</v>
          </cell>
          <cell r="J1209">
            <v>30.5</v>
          </cell>
        </row>
        <row r="1210">
          <cell r="I1210" t="e">
            <v>#VALUE!</v>
          </cell>
          <cell r="J1210">
            <v>0</v>
          </cell>
        </row>
        <row r="1211">
          <cell r="I1211">
            <v>18810</v>
          </cell>
          <cell r="J1211">
            <v>30.3</v>
          </cell>
        </row>
        <row r="1212">
          <cell r="I1212" t="e">
            <v>#VALUE!</v>
          </cell>
          <cell r="J1212">
            <v>0</v>
          </cell>
        </row>
        <row r="1213">
          <cell r="I1213">
            <v>18841</v>
          </cell>
          <cell r="J1213">
            <v>30.1</v>
          </cell>
        </row>
        <row r="1214">
          <cell r="I1214" t="e">
            <v>#VALUE!</v>
          </cell>
          <cell r="J1214">
            <v>0</v>
          </cell>
        </row>
        <row r="1215">
          <cell r="I1215">
            <v>18872</v>
          </cell>
          <cell r="J1215">
            <v>30.1</v>
          </cell>
        </row>
        <row r="1216">
          <cell r="I1216" t="e">
            <v>#VALUE!</v>
          </cell>
          <cell r="J1216">
            <v>0</v>
          </cell>
        </row>
        <row r="1217">
          <cell r="I1217">
            <v>18902</v>
          </cell>
          <cell r="J1217">
            <v>30.1</v>
          </cell>
        </row>
        <row r="1218">
          <cell r="I1218" t="e">
            <v>#VALUE!</v>
          </cell>
          <cell r="J1218">
            <v>0</v>
          </cell>
        </row>
        <row r="1219">
          <cell r="I1219">
            <v>18933</v>
          </cell>
          <cell r="J1219">
            <v>30.1</v>
          </cell>
        </row>
        <row r="1220">
          <cell r="I1220" t="e">
            <v>#VALUE!</v>
          </cell>
          <cell r="J1220">
            <v>0</v>
          </cell>
        </row>
        <row r="1221">
          <cell r="I1221">
            <v>18963</v>
          </cell>
          <cell r="J1221">
            <v>30.1</v>
          </cell>
        </row>
        <row r="1222">
          <cell r="I1222" t="e">
            <v>#VALUE!</v>
          </cell>
          <cell r="J1222">
            <v>0</v>
          </cell>
        </row>
        <row r="1223">
          <cell r="I1223">
            <v>18994</v>
          </cell>
          <cell r="J1223">
            <v>30.4</v>
          </cell>
        </row>
        <row r="1224">
          <cell r="I1224" t="e">
            <v>#VALUE!</v>
          </cell>
          <cell r="J1224">
            <v>0</v>
          </cell>
        </row>
        <row r="1225">
          <cell r="I1225">
            <v>18994</v>
          </cell>
          <cell r="J1225">
            <v>30</v>
          </cell>
        </row>
        <row r="1226">
          <cell r="I1226" t="e">
            <v>#VALUE!</v>
          </cell>
          <cell r="J1226">
            <v>0</v>
          </cell>
        </row>
        <row r="1227">
          <cell r="I1227">
            <v>19025</v>
          </cell>
          <cell r="J1227">
            <v>29.8</v>
          </cell>
        </row>
        <row r="1228">
          <cell r="I1228" t="e">
            <v>#VALUE!</v>
          </cell>
          <cell r="J1228">
            <v>0</v>
          </cell>
        </row>
        <row r="1229">
          <cell r="I1229">
            <v>19054</v>
          </cell>
          <cell r="J1229">
            <v>29.8</v>
          </cell>
        </row>
        <row r="1230">
          <cell r="I1230" t="e">
            <v>#VALUE!</v>
          </cell>
          <cell r="J1230">
            <v>0</v>
          </cell>
        </row>
        <row r="1231">
          <cell r="I1231">
            <v>19085</v>
          </cell>
          <cell r="J1231">
            <v>29.6</v>
          </cell>
        </row>
        <row r="1232">
          <cell r="I1232" t="e">
            <v>#VALUE!</v>
          </cell>
          <cell r="J1232">
            <v>0</v>
          </cell>
        </row>
        <row r="1233">
          <cell r="I1233">
            <v>19115</v>
          </cell>
          <cell r="J1233">
            <v>29.6</v>
          </cell>
        </row>
        <row r="1234">
          <cell r="I1234" t="e">
            <v>#VALUE!</v>
          </cell>
          <cell r="J1234">
            <v>0</v>
          </cell>
        </row>
        <row r="1235">
          <cell r="I1235">
            <v>19146</v>
          </cell>
          <cell r="J1235">
            <v>29.5</v>
          </cell>
        </row>
        <row r="1236">
          <cell r="I1236" t="e">
            <v>#VALUE!</v>
          </cell>
          <cell r="J1236">
            <v>0</v>
          </cell>
        </row>
        <row r="1237">
          <cell r="I1237">
            <v>19176</v>
          </cell>
          <cell r="J1237">
            <v>29.6</v>
          </cell>
        </row>
        <row r="1238">
          <cell r="I1238" t="e">
            <v>#VALUE!</v>
          </cell>
          <cell r="J1238">
            <v>0</v>
          </cell>
        </row>
        <row r="1239">
          <cell r="I1239">
            <v>19207</v>
          </cell>
          <cell r="J1239">
            <v>29.8</v>
          </cell>
        </row>
        <row r="1240">
          <cell r="I1240" t="e">
            <v>#VALUE!</v>
          </cell>
          <cell r="J1240">
            <v>0</v>
          </cell>
        </row>
        <row r="1241">
          <cell r="I1241">
            <v>19238</v>
          </cell>
          <cell r="J1241">
            <v>29.6</v>
          </cell>
        </row>
        <row r="1242">
          <cell r="I1242" t="e">
            <v>#VALUE!</v>
          </cell>
          <cell r="J1242">
            <v>0</v>
          </cell>
        </row>
        <row r="1243">
          <cell r="I1243">
            <v>19268</v>
          </cell>
          <cell r="J1243">
            <v>29.5</v>
          </cell>
        </row>
        <row r="1244">
          <cell r="I1244" t="e">
            <v>#VALUE!</v>
          </cell>
          <cell r="J1244">
            <v>0</v>
          </cell>
        </row>
        <row r="1245">
          <cell r="I1245">
            <v>19299</v>
          </cell>
          <cell r="J1245">
            <v>29.3</v>
          </cell>
        </row>
        <row r="1246">
          <cell r="I1246" t="e">
            <v>#VALUE!</v>
          </cell>
          <cell r="J1246">
            <v>0</v>
          </cell>
        </row>
        <row r="1247">
          <cell r="I1247">
            <v>19329</v>
          </cell>
          <cell r="J1247">
            <v>29.1</v>
          </cell>
        </row>
        <row r="1248">
          <cell r="I1248" t="e">
            <v>#VALUE!</v>
          </cell>
          <cell r="J1248">
            <v>0</v>
          </cell>
        </row>
        <row r="1249">
          <cell r="I1249">
            <v>19360</v>
          </cell>
          <cell r="J1249">
            <v>29.6</v>
          </cell>
        </row>
        <row r="1250">
          <cell r="I1250" t="e">
            <v>#VALUE!</v>
          </cell>
          <cell r="J1250">
            <v>0</v>
          </cell>
        </row>
        <row r="1251">
          <cell r="I1251">
            <v>19360</v>
          </cell>
          <cell r="J1251">
            <v>29.1</v>
          </cell>
        </row>
        <row r="1252">
          <cell r="I1252" t="e">
            <v>#VALUE!</v>
          </cell>
          <cell r="J1252">
            <v>0</v>
          </cell>
        </row>
        <row r="1253">
          <cell r="I1253">
            <v>19391</v>
          </cell>
          <cell r="J1253">
            <v>29.1</v>
          </cell>
        </row>
        <row r="1254">
          <cell r="I1254" t="e">
            <v>#VALUE!</v>
          </cell>
          <cell r="J1254">
            <v>0</v>
          </cell>
        </row>
        <row r="1255">
          <cell r="I1255">
            <v>19419</v>
          </cell>
          <cell r="J1255">
            <v>29.2</v>
          </cell>
        </row>
        <row r="1256">
          <cell r="I1256" t="e">
            <v>#VALUE!</v>
          </cell>
          <cell r="J1256">
            <v>0</v>
          </cell>
        </row>
        <row r="1257">
          <cell r="I1257">
            <v>19450</v>
          </cell>
          <cell r="J1257">
            <v>29</v>
          </cell>
        </row>
        <row r="1258">
          <cell r="I1258" t="e">
            <v>#VALUE!</v>
          </cell>
          <cell r="J1258">
            <v>0</v>
          </cell>
        </row>
        <row r="1259">
          <cell r="I1259">
            <v>19480</v>
          </cell>
          <cell r="J1259">
            <v>29.1</v>
          </cell>
        </row>
        <row r="1260">
          <cell r="I1260" t="e">
            <v>#VALUE!</v>
          </cell>
          <cell r="J1260">
            <v>0</v>
          </cell>
        </row>
        <row r="1261">
          <cell r="I1261">
            <v>19511</v>
          </cell>
          <cell r="J1261">
            <v>29</v>
          </cell>
        </row>
        <row r="1262">
          <cell r="I1262" t="e">
            <v>#VALUE!</v>
          </cell>
          <cell r="J1262">
            <v>0</v>
          </cell>
        </row>
        <row r="1263">
          <cell r="I1263">
            <v>19541</v>
          </cell>
          <cell r="J1263">
            <v>29.4</v>
          </cell>
        </row>
        <row r="1264">
          <cell r="I1264" t="e">
            <v>#VALUE!</v>
          </cell>
          <cell r="J1264">
            <v>0</v>
          </cell>
        </row>
        <row r="1265">
          <cell r="I1265">
            <v>19572</v>
          </cell>
          <cell r="J1265">
            <v>29.3</v>
          </cell>
        </row>
        <row r="1266">
          <cell r="I1266" t="e">
            <v>#VALUE!</v>
          </cell>
          <cell r="J1266">
            <v>0</v>
          </cell>
        </row>
        <row r="1267">
          <cell r="I1267">
            <v>19603</v>
          </cell>
          <cell r="J1267">
            <v>29.4</v>
          </cell>
        </row>
        <row r="1268">
          <cell r="I1268" t="e">
            <v>#VALUE!</v>
          </cell>
          <cell r="J1268">
            <v>0</v>
          </cell>
        </row>
        <row r="1269">
          <cell r="I1269">
            <v>19633</v>
          </cell>
          <cell r="J1269">
            <v>29.2</v>
          </cell>
        </row>
        <row r="1270">
          <cell r="I1270" t="e">
            <v>#VALUE!</v>
          </cell>
          <cell r="J1270">
            <v>0</v>
          </cell>
        </row>
        <row r="1271">
          <cell r="I1271">
            <v>19664</v>
          </cell>
          <cell r="J1271">
            <v>29.1</v>
          </cell>
        </row>
        <row r="1272">
          <cell r="I1272" t="e">
            <v>#VALUE!</v>
          </cell>
          <cell r="J1272">
            <v>0</v>
          </cell>
        </row>
        <row r="1273">
          <cell r="I1273">
            <v>19694</v>
          </cell>
          <cell r="J1273">
            <v>29.2</v>
          </cell>
        </row>
        <row r="1274">
          <cell r="I1274" t="e">
            <v>#VALUE!</v>
          </cell>
          <cell r="J1274">
            <v>0</v>
          </cell>
        </row>
        <row r="1275">
          <cell r="I1275">
            <v>19725</v>
          </cell>
          <cell r="J1275">
            <v>29.2</v>
          </cell>
        </row>
        <row r="1276">
          <cell r="I1276" t="e">
            <v>#VALUE!</v>
          </cell>
          <cell r="J1276">
            <v>0</v>
          </cell>
        </row>
        <row r="1277">
          <cell r="I1277">
            <v>19725</v>
          </cell>
          <cell r="J1277">
            <v>29.4</v>
          </cell>
        </row>
        <row r="1278">
          <cell r="I1278" t="e">
            <v>#VALUE!</v>
          </cell>
          <cell r="J1278">
            <v>0</v>
          </cell>
        </row>
        <row r="1279">
          <cell r="I1279">
            <v>19756</v>
          </cell>
          <cell r="J1279">
            <v>29.3</v>
          </cell>
        </row>
        <row r="1280">
          <cell r="I1280" t="e">
            <v>#VALUE!</v>
          </cell>
          <cell r="J1280">
            <v>0</v>
          </cell>
        </row>
        <row r="1281">
          <cell r="I1281">
            <v>19784</v>
          </cell>
          <cell r="J1281">
            <v>29.3</v>
          </cell>
        </row>
        <row r="1282">
          <cell r="I1282" t="e">
            <v>#VALUE!</v>
          </cell>
          <cell r="J1282">
            <v>0</v>
          </cell>
        </row>
        <row r="1283">
          <cell r="I1283">
            <v>19815</v>
          </cell>
          <cell r="J1283">
            <v>29.4</v>
          </cell>
        </row>
        <row r="1284">
          <cell r="I1284" t="e">
            <v>#VALUE!</v>
          </cell>
          <cell r="J1284">
            <v>0</v>
          </cell>
        </row>
        <row r="1285">
          <cell r="I1285">
            <v>19845</v>
          </cell>
          <cell r="J1285">
            <v>29.4</v>
          </cell>
        </row>
        <row r="1286">
          <cell r="I1286" t="e">
            <v>#VALUE!</v>
          </cell>
          <cell r="J1286">
            <v>0</v>
          </cell>
        </row>
        <row r="1287">
          <cell r="I1287">
            <v>19876</v>
          </cell>
          <cell r="J1287">
            <v>29.2</v>
          </cell>
        </row>
        <row r="1288">
          <cell r="I1288" t="e">
            <v>#VALUE!</v>
          </cell>
          <cell r="J1288">
            <v>0</v>
          </cell>
        </row>
        <row r="1289">
          <cell r="I1289">
            <v>19906</v>
          </cell>
          <cell r="J1289">
            <v>29.3</v>
          </cell>
        </row>
        <row r="1290">
          <cell r="I1290" t="e">
            <v>#VALUE!</v>
          </cell>
          <cell r="J1290">
            <v>0</v>
          </cell>
        </row>
        <row r="1291">
          <cell r="I1291">
            <v>19937</v>
          </cell>
          <cell r="J1291">
            <v>29.3</v>
          </cell>
        </row>
        <row r="1292">
          <cell r="I1292" t="e">
            <v>#VALUE!</v>
          </cell>
          <cell r="J1292">
            <v>0</v>
          </cell>
        </row>
        <row r="1293">
          <cell r="I1293">
            <v>19968</v>
          </cell>
          <cell r="J1293">
            <v>29.2</v>
          </cell>
        </row>
        <row r="1294">
          <cell r="I1294" t="e">
            <v>#VALUE!</v>
          </cell>
          <cell r="J1294">
            <v>0</v>
          </cell>
        </row>
        <row r="1295">
          <cell r="I1295">
            <v>19998</v>
          </cell>
          <cell r="J1295">
            <v>29.1</v>
          </cell>
        </row>
        <row r="1296">
          <cell r="I1296" t="e">
            <v>#VALUE!</v>
          </cell>
          <cell r="J1296">
            <v>0</v>
          </cell>
        </row>
        <row r="1297">
          <cell r="I1297">
            <v>20029</v>
          </cell>
          <cell r="J1297">
            <v>29.2</v>
          </cell>
        </row>
        <row r="1298">
          <cell r="I1298" t="e">
            <v>#VALUE!</v>
          </cell>
          <cell r="J1298">
            <v>0</v>
          </cell>
        </row>
        <row r="1299">
          <cell r="I1299">
            <v>20059</v>
          </cell>
          <cell r="J1299">
            <v>29</v>
          </cell>
        </row>
        <row r="1300">
          <cell r="I1300" t="e">
            <v>#VALUE!</v>
          </cell>
          <cell r="J1300">
            <v>0</v>
          </cell>
        </row>
        <row r="1301">
          <cell r="I1301">
            <v>20090</v>
          </cell>
          <cell r="J1301">
            <v>29.3</v>
          </cell>
        </row>
        <row r="1302">
          <cell r="I1302" t="e">
            <v>#VALUE!</v>
          </cell>
          <cell r="J1302">
            <v>0</v>
          </cell>
        </row>
        <row r="1303">
          <cell r="I1303">
            <v>20090</v>
          </cell>
          <cell r="J1303">
            <v>29.2</v>
          </cell>
        </row>
        <row r="1304">
          <cell r="I1304" t="e">
            <v>#VALUE!</v>
          </cell>
          <cell r="J1304">
            <v>0</v>
          </cell>
        </row>
        <row r="1305">
          <cell r="I1305">
            <v>20121</v>
          </cell>
          <cell r="J1305">
            <v>29.3</v>
          </cell>
        </row>
        <row r="1306">
          <cell r="I1306" t="e">
            <v>#VALUE!</v>
          </cell>
          <cell r="J1306">
            <v>0</v>
          </cell>
        </row>
        <row r="1307">
          <cell r="I1307">
            <v>20149</v>
          </cell>
          <cell r="J1307">
            <v>29.2</v>
          </cell>
        </row>
        <row r="1308">
          <cell r="I1308" t="e">
            <v>#VALUE!</v>
          </cell>
          <cell r="J1308">
            <v>0</v>
          </cell>
        </row>
        <row r="1309">
          <cell r="I1309">
            <v>20180</v>
          </cell>
          <cell r="J1309">
            <v>29.3</v>
          </cell>
        </row>
        <row r="1310">
          <cell r="I1310" t="e">
            <v>#VALUE!</v>
          </cell>
          <cell r="J1310">
            <v>0</v>
          </cell>
        </row>
        <row r="1311">
          <cell r="I1311">
            <v>20210</v>
          </cell>
          <cell r="J1311">
            <v>29.1</v>
          </cell>
        </row>
        <row r="1312">
          <cell r="I1312" t="e">
            <v>#VALUE!</v>
          </cell>
          <cell r="J1312">
            <v>0</v>
          </cell>
        </row>
        <row r="1313">
          <cell r="I1313">
            <v>20241</v>
          </cell>
          <cell r="J1313">
            <v>29.3</v>
          </cell>
        </row>
        <row r="1314">
          <cell r="I1314" t="e">
            <v>#VALUE!</v>
          </cell>
          <cell r="J1314">
            <v>0</v>
          </cell>
        </row>
        <row r="1315">
          <cell r="I1315">
            <v>20271</v>
          </cell>
          <cell r="J1315">
            <v>29.3</v>
          </cell>
        </row>
        <row r="1316">
          <cell r="I1316" t="e">
            <v>#VALUE!</v>
          </cell>
          <cell r="J1316">
            <v>0</v>
          </cell>
        </row>
        <row r="1317">
          <cell r="I1317">
            <v>20302</v>
          </cell>
          <cell r="J1317">
            <v>29.4</v>
          </cell>
        </row>
        <row r="1318">
          <cell r="I1318" t="e">
            <v>#VALUE!</v>
          </cell>
          <cell r="J1318">
            <v>0</v>
          </cell>
        </row>
        <row r="1319">
          <cell r="I1319">
            <v>20333</v>
          </cell>
          <cell r="J1319">
            <v>29.6</v>
          </cell>
        </row>
        <row r="1320">
          <cell r="I1320" t="e">
            <v>#VALUE!</v>
          </cell>
          <cell r="J1320">
            <v>0</v>
          </cell>
        </row>
        <row r="1321">
          <cell r="I1321">
            <v>20363</v>
          </cell>
          <cell r="J1321">
            <v>29.6</v>
          </cell>
        </row>
        <row r="1322">
          <cell r="I1322" t="e">
            <v>#VALUE!</v>
          </cell>
          <cell r="J1322">
            <v>0</v>
          </cell>
        </row>
        <row r="1323">
          <cell r="I1323">
            <v>20394</v>
          </cell>
          <cell r="J1323">
            <v>29.5</v>
          </cell>
        </row>
        <row r="1324">
          <cell r="I1324" t="e">
            <v>#VALUE!</v>
          </cell>
          <cell r="J1324">
            <v>0</v>
          </cell>
        </row>
        <row r="1325">
          <cell r="I1325">
            <v>20424</v>
          </cell>
          <cell r="J1325">
            <v>29.5</v>
          </cell>
        </row>
        <row r="1326">
          <cell r="I1326" t="e">
            <v>#VALUE!</v>
          </cell>
          <cell r="J1326">
            <v>0</v>
          </cell>
        </row>
        <row r="1327">
          <cell r="I1327">
            <v>20455</v>
          </cell>
          <cell r="J1327">
            <v>29.3</v>
          </cell>
        </row>
        <row r="1328">
          <cell r="I1328" t="e">
            <v>#VALUE!</v>
          </cell>
          <cell r="J1328">
            <v>0</v>
          </cell>
        </row>
        <row r="1329">
          <cell r="I1329">
            <v>20455</v>
          </cell>
          <cell r="J1329">
            <v>29.7</v>
          </cell>
        </row>
        <row r="1330">
          <cell r="I1330" t="e">
            <v>#VALUE!</v>
          </cell>
          <cell r="J1330">
            <v>0</v>
          </cell>
        </row>
        <row r="1331">
          <cell r="I1331">
            <v>20486</v>
          </cell>
          <cell r="J1331">
            <v>29.8</v>
          </cell>
        </row>
        <row r="1332">
          <cell r="I1332" t="e">
            <v>#VALUE!</v>
          </cell>
          <cell r="J1332">
            <v>0</v>
          </cell>
        </row>
        <row r="1333">
          <cell r="I1333">
            <v>20515</v>
          </cell>
          <cell r="J1333">
            <v>29.9</v>
          </cell>
        </row>
        <row r="1334">
          <cell r="I1334" t="e">
            <v>#VALUE!</v>
          </cell>
          <cell r="J1334">
            <v>0</v>
          </cell>
        </row>
        <row r="1335">
          <cell r="I1335">
            <v>20546</v>
          </cell>
          <cell r="J1335">
            <v>30.1</v>
          </cell>
        </row>
        <row r="1336">
          <cell r="I1336" t="e">
            <v>#VALUE!</v>
          </cell>
          <cell r="J1336">
            <v>0</v>
          </cell>
        </row>
        <row r="1337">
          <cell r="I1337">
            <v>20576</v>
          </cell>
          <cell r="J1337">
            <v>30.3</v>
          </cell>
        </row>
        <row r="1338">
          <cell r="I1338" t="e">
            <v>#VALUE!</v>
          </cell>
          <cell r="J1338">
            <v>0</v>
          </cell>
        </row>
        <row r="1339">
          <cell r="I1339">
            <v>20607</v>
          </cell>
          <cell r="J1339">
            <v>30.3</v>
          </cell>
        </row>
        <row r="1340">
          <cell r="I1340" t="e">
            <v>#VALUE!</v>
          </cell>
          <cell r="J1340">
            <v>0</v>
          </cell>
        </row>
        <row r="1341">
          <cell r="I1341">
            <v>20637</v>
          </cell>
          <cell r="J1341">
            <v>30.2</v>
          </cell>
        </row>
        <row r="1342">
          <cell r="I1342" t="e">
            <v>#VALUE!</v>
          </cell>
          <cell r="J1342">
            <v>0</v>
          </cell>
        </row>
        <row r="1343">
          <cell r="I1343">
            <v>20668</v>
          </cell>
          <cell r="J1343">
            <v>30.4</v>
          </cell>
        </row>
        <row r="1344">
          <cell r="I1344" t="e">
            <v>#VALUE!</v>
          </cell>
          <cell r="J1344">
            <v>0</v>
          </cell>
        </row>
        <row r="1345">
          <cell r="I1345">
            <v>20699</v>
          </cell>
          <cell r="J1345">
            <v>30.6</v>
          </cell>
        </row>
        <row r="1346">
          <cell r="I1346" t="e">
            <v>#VALUE!</v>
          </cell>
          <cell r="J1346">
            <v>0</v>
          </cell>
        </row>
        <row r="1347">
          <cell r="I1347">
            <v>20729</v>
          </cell>
          <cell r="J1347">
            <v>30.6</v>
          </cell>
        </row>
        <row r="1348">
          <cell r="I1348" t="e">
            <v>#VALUE!</v>
          </cell>
          <cell r="J1348">
            <v>0</v>
          </cell>
        </row>
        <row r="1349">
          <cell r="I1349">
            <v>20760</v>
          </cell>
          <cell r="J1349">
            <v>30.7</v>
          </cell>
        </row>
        <row r="1350">
          <cell r="I1350" t="e">
            <v>#VALUE!</v>
          </cell>
          <cell r="J1350">
            <v>0</v>
          </cell>
        </row>
        <row r="1351">
          <cell r="I1351">
            <v>20790</v>
          </cell>
          <cell r="J1351">
            <v>30.8</v>
          </cell>
        </row>
        <row r="1352">
          <cell r="I1352" t="e">
            <v>#VALUE!</v>
          </cell>
          <cell r="J1352">
            <v>0</v>
          </cell>
        </row>
        <row r="1353">
          <cell r="I1353">
            <v>20821</v>
          </cell>
          <cell r="J1353">
            <v>30.3</v>
          </cell>
        </row>
        <row r="1354">
          <cell r="I1354" t="e">
            <v>#VALUE!</v>
          </cell>
          <cell r="J1354">
            <v>0</v>
          </cell>
        </row>
        <row r="1355">
          <cell r="I1355">
            <v>20821</v>
          </cell>
          <cell r="J1355">
            <v>31</v>
          </cell>
        </row>
        <row r="1356">
          <cell r="I1356" t="e">
            <v>#VALUE!</v>
          </cell>
          <cell r="J1356">
            <v>0</v>
          </cell>
        </row>
        <row r="1357">
          <cell r="I1357">
            <v>20852</v>
          </cell>
          <cell r="J1357">
            <v>31</v>
          </cell>
        </row>
        <row r="1358">
          <cell r="I1358" t="e">
            <v>#VALUE!</v>
          </cell>
          <cell r="J1358">
            <v>0</v>
          </cell>
        </row>
        <row r="1359">
          <cell r="I1359">
            <v>20880</v>
          </cell>
          <cell r="J1359">
            <v>31</v>
          </cell>
        </row>
        <row r="1360">
          <cell r="I1360" t="e">
            <v>#VALUE!</v>
          </cell>
          <cell r="J1360">
            <v>0</v>
          </cell>
        </row>
        <row r="1361">
          <cell r="I1361">
            <v>20911</v>
          </cell>
          <cell r="J1361">
            <v>31.1</v>
          </cell>
        </row>
        <row r="1362">
          <cell r="I1362" t="e">
            <v>#VALUE!</v>
          </cell>
          <cell r="J1362">
            <v>0</v>
          </cell>
        </row>
        <row r="1363">
          <cell r="I1363">
            <v>20941</v>
          </cell>
          <cell r="J1363">
            <v>31</v>
          </cell>
        </row>
        <row r="1364">
          <cell r="I1364" t="e">
            <v>#VALUE!</v>
          </cell>
          <cell r="J1364">
            <v>0</v>
          </cell>
        </row>
        <row r="1365">
          <cell r="I1365">
            <v>20972</v>
          </cell>
          <cell r="J1365">
            <v>31.1</v>
          </cell>
        </row>
        <row r="1366">
          <cell r="I1366" t="e">
            <v>#VALUE!</v>
          </cell>
          <cell r="J1366">
            <v>0</v>
          </cell>
        </row>
        <row r="1367">
          <cell r="I1367">
            <v>21002</v>
          </cell>
          <cell r="J1367">
            <v>31.3</v>
          </cell>
        </row>
        <row r="1368">
          <cell r="I1368" t="e">
            <v>#VALUE!</v>
          </cell>
          <cell r="J1368">
            <v>0</v>
          </cell>
        </row>
        <row r="1369">
          <cell r="I1369">
            <v>21033</v>
          </cell>
          <cell r="J1369">
            <v>31.4</v>
          </cell>
        </row>
        <row r="1370">
          <cell r="I1370" t="e">
            <v>#VALUE!</v>
          </cell>
          <cell r="J1370">
            <v>0</v>
          </cell>
        </row>
        <row r="1371">
          <cell r="I1371">
            <v>21064</v>
          </cell>
          <cell r="J1371">
            <v>31.3</v>
          </cell>
        </row>
        <row r="1372">
          <cell r="I1372" t="e">
            <v>#VALUE!</v>
          </cell>
          <cell r="J1372">
            <v>0</v>
          </cell>
        </row>
        <row r="1373">
          <cell r="I1373">
            <v>21094</v>
          </cell>
          <cell r="J1373">
            <v>31.2</v>
          </cell>
        </row>
        <row r="1374">
          <cell r="I1374" t="e">
            <v>#VALUE!</v>
          </cell>
          <cell r="J1374">
            <v>0</v>
          </cell>
        </row>
        <row r="1375">
          <cell r="I1375">
            <v>21125</v>
          </cell>
          <cell r="J1375">
            <v>31.3</v>
          </cell>
        </row>
        <row r="1376">
          <cell r="I1376" t="e">
            <v>#VALUE!</v>
          </cell>
          <cell r="J1376">
            <v>0</v>
          </cell>
        </row>
        <row r="1377">
          <cell r="I1377">
            <v>21155</v>
          </cell>
          <cell r="J1377">
            <v>31.4</v>
          </cell>
        </row>
        <row r="1378">
          <cell r="I1378" t="e">
            <v>#VALUE!</v>
          </cell>
          <cell r="J1378">
            <v>0</v>
          </cell>
        </row>
        <row r="1379">
          <cell r="I1379">
            <v>21186</v>
          </cell>
          <cell r="J1379">
            <v>31.2</v>
          </cell>
        </row>
        <row r="1380">
          <cell r="I1380" t="e">
            <v>#VALUE!</v>
          </cell>
          <cell r="J1380">
            <v>0</v>
          </cell>
        </row>
        <row r="1381">
          <cell r="I1381">
            <v>21186</v>
          </cell>
          <cell r="J1381">
            <v>31.5</v>
          </cell>
        </row>
        <row r="1382">
          <cell r="I1382" t="e">
            <v>#VALUE!</v>
          </cell>
          <cell r="J1382">
            <v>0</v>
          </cell>
        </row>
        <row r="1383">
          <cell r="I1383">
            <v>21217</v>
          </cell>
          <cell r="J1383">
            <v>31.5</v>
          </cell>
        </row>
        <row r="1384">
          <cell r="I1384" t="e">
            <v>#VALUE!</v>
          </cell>
          <cell r="J1384">
            <v>0</v>
          </cell>
        </row>
        <row r="1385">
          <cell r="I1385">
            <v>21245</v>
          </cell>
          <cell r="J1385">
            <v>31.7</v>
          </cell>
        </row>
        <row r="1386">
          <cell r="I1386" t="e">
            <v>#VALUE!</v>
          </cell>
          <cell r="J1386">
            <v>0</v>
          </cell>
        </row>
        <row r="1387">
          <cell r="I1387">
            <v>21276</v>
          </cell>
          <cell r="J1387">
            <v>31.6</v>
          </cell>
        </row>
        <row r="1388">
          <cell r="I1388" t="e">
            <v>#VALUE!</v>
          </cell>
          <cell r="J1388">
            <v>0</v>
          </cell>
        </row>
        <row r="1389">
          <cell r="I1389">
            <v>21306</v>
          </cell>
          <cell r="J1389">
            <v>31.7</v>
          </cell>
        </row>
        <row r="1390">
          <cell r="I1390" t="e">
            <v>#VALUE!</v>
          </cell>
          <cell r="J1390">
            <v>0</v>
          </cell>
        </row>
        <row r="1391">
          <cell r="I1391">
            <v>21337</v>
          </cell>
          <cell r="J1391">
            <v>31.6</v>
          </cell>
        </row>
        <row r="1392">
          <cell r="I1392" t="e">
            <v>#VALUE!</v>
          </cell>
          <cell r="J1392">
            <v>0</v>
          </cell>
        </row>
        <row r="1393">
          <cell r="I1393">
            <v>21367</v>
          </cell>
          <cell r="J1393">
            <v>31.6</v>
          </cell>
        </row>
        <row r="1394">
          <cell r="I1394" t="e">
            <v>#VALUE!</v>
          </cell>
          <cell r="J1394">
            <v>0</v>
          </cell>
        </row>
        <row r="1395">
          <cell r="I1395">
            <v>21398</v>
          </cell>
          <cell r="J1395">
            <v>31.6</v>
          </cell>
        </row>
        <row r="1396">
          <cell r="I1396" t="e">
            <v>#VALUE!</v>
          </cell>
          <cell r="J1396">
            <v>0</v>
          </cell>
        </row>
        <row r="1397">
          <cell r="I1397">
            <v>21429</v>
          </cell>
          <cell r="J1397">
            <v>31.6</v>
          </cell>
        </row>
        <row r="1398">
          <cell r="I1398" t="e">
            <v>#VALUE!</v>
          </cell>
          <cell r="J1398">
            <v>0</v>
          </cell>
        </row>
        <row r="1399">
          <cell r="I1399">
            <v>21459</v>
          </cell>
          <cell r="J1399">
            <v>31.5</v>
          </cell>
        </row>
        <row r="1400">
          <cell r="I1400" t="e">
            <v>#VALUE!</v>
          </cell>
          <cell r="J1400">
            <v>0</v>
          </cell>
        </row>
        <row r="1401">
          <cell r="I1401">
            <v>21490</v>
          </cell>
          <cell r="J1401">
            <v>31.6</v>
          </cell>
        </row>
        <row r="1402">
          <cell r="I1402" t="e">
            <v>#VALUE!</v>
          </cell>
          <cell r="J1402">
            <v>0</v>
          </cell>
        </row>
        <row r="1403">
          <cell r="I1403">
            <v>21520</v>
          </cell>
          <cell r="J1403">
            <v>31.6</v>
          </cell>
        </row>
        <row r="1404">
          <cell r="I1404" t="e">
            <v>#VALUE!</v>
          </cell>
          <cell r="J1404">
            <v>0</v>
          </cell>
        </row>
        <row r="1405">
          <cell r="I1405">
            <v>21551</v>
          </cell>
          <cell r="J1405">
            <v>31.6</v>
          </cell>
        </row>
        <row r="1406">
          <cell r="I1406" t="e">
            <v>#VALUE!</v>
          </cell>
          <cell r="J1406">
            <v>0</v>
          </cell>
        </row>
        <row r="1407">
          <cell r="I1407">
            <v>21551</v>
          </cell>
          <cell r="J1407">
            <v>31.7</v>
          </cell>
        </row>
        <row r="1408">
          <cell r="I1408" t="e">
            <v>#VALUE!</v>
          </cell>
          <cell r="J1408">
            <v>0</v>
          </cell>
        </row>
        <row r="1409">
          <cell r="I1409">
            <v>21582</v>
          </cell>
          <cell r="J1409">
            <v>31.7</v>
          </cell>
        </row>
        <row r="1410">
          <cell r="I1410" t="e">
            <v>#VALUE!</v>
          </cell>
          <cell r="J1410">
            <v>0</v>
          </cell>
        </row>
        <row r="1411">
          <cell r="I1411">
            <v>21610</v>
          </cell>
          <cell r="J1411">
            <v>31.7</v>
          </cell>
        </row>
        <row r="1412">
          <cell r="I1412" t="e">
            <v>#VALUE!</v>
          </cell>
          <cell r="J1412">
            <v>0</v>
          </cell>
        </row>
        <row r="1413">
          <cell r="I1413">
            <v>21641</v>
          </cell>
          <cell r="J1413">
            <v>31.8</v>
          </cell>
        </row>
        <row r="1414">
          <cell r="I1414" t="e">
            <v>#VALUE!</v>
          </cell>
          <cell r="J1414">
            <v>0</v>
          </cell>
        </row>
        <row r="1415">
          <cell r="I1415">
            <v>21671</v>
          </cell>
          <cell r="J1415">
            <v>31.8</v>
          </cell>
        </row>
        <row r="1416">
          <cell r="I1416" t="e">
            <v>#VALUE!</v>
          </cell>
          <cell r="J1416">
            <v>0</v>
          </cell>
        </row>
        <row r="1417">
          <cell r="I1417">
            <v>21702</v>
          </cell>
          <cell r="J1417">
            <v>31.7</v>
          </cell>
        </row>
        <row r="1418">
          <cell r="I1418" t="e">
            <v>#VALUE!</v>
          </cell>
          <cell r="J1418">
            <v>0</v>
          </cell>
        </row>
        <row r="1419">
          <cell r="I1419">
            <v>21732</v>
          </cell>
          <cell r="J1419">
            <v>31.7</v>
          </cell>
        </row>
        <row r="1420">
          <cell r="I1420" t="e">
            <v>#VALUE!</v>
          </cell>
          <cell r="J1420">
            <v>0</v>
          </cell>
        </row>
        <row r="1421">
          <cell r="I1421">
            <v>21763</v>
          </cell>
          <cell r="J1421">
            <v>31.6</v>
          </cell>
        </row>
        <row r="1422">
          <cell r="I1422" t="e">
            <v>#VALUE!</v>
          </cell>
          <cell r="J1422">
            <v>0</v>
          </cell>
        </row>
        <row r="1423">
          <cell r="I1423">
            <v>21794</v>
          </cell>
          <cell r="J1423">
            <v>31.7</v>
          </cell>
        </row>
        <row r="1424">
          <cell r="I1424" t="e">
            <v>#VALUE!</v>
          </cell>
          <cell r="J1424">
            <v>0</v>
          </cell>
        </row>
        <row r="1425">
          <cell r="I1425">
            <v>21824</v>
          </cell>
          <cell r="J1425">
            <v>31.6</v>
          </cell>
        </row>
        <row r="1426">
          <cell r="I1426" t="e">
            <v>#VALUE!</v>
          </cell>
          <cell r="J1426">
            <v>0</v>
          </cell>
        </row>
        <row r="1427">
          <cell r="I1427">
            <v>21855</v>
          </cell>
          <cell r="J1427">
            <v>31.5</v>
          </cell>
        </row>
        <row r="1428">
          <cell r="I1428" t="e">
            <v>#VALUE!</v>
          </cell>
          <cell r="J1428">
            <v>0</v>
          </cell>
        </row>
        <row r="1429">
          <cell r="I1429">
            <v>21885</v>
          </cell>
          <cell r="J1429">
            <v>31.5</v>
          </cell>
        </row>
        <row r="1430">
          <cell r="I1430" t="e">
            <v>#VALUE!</v>
          </cell>
          <cell r="J1430">
            <v>0</v>
          </cell>
        </row>
        <row r="1431">
          <cell r="I1431">
            <v>21916</v>
          </cell>
          <cell r="J1431">
            <v>31.7</v>
          </cell>
        </row>
        <row r="1432">
          <cell r="I1432" t="e">
            <v>#VALUE!</v>
          </cell>
          <cell r="J1432">
            <v>0</v>
          </cell>
        </row>
        <row r="1433">
          <cell r="I1433">
            <v>21916</v>
          </cell>
          <cell r="J1433">
            <v>31.6</v>
          </cell>
        </row>
        <row r="1434">
          <cell r="I1434" t="e">
            <v>#VALUE!</v>
          </cell>
          <cell r="J1434">
            <v>0</v>
          </cell>
        </row>
        <row r="1435">
          <cell r="I1435">
            <v>21947</v>
          </cell>
          <cell r="J1435">
            <v>31.6</v>
          </cell>
        </row>
        <row r="1436">
          <cell r="I1436" t="e">
            <v>#VALUE!</v>
          </cell>
          <cell r="J1436">
            <v>0</v>
          </cell>
        </row>
        <row r="1437">
          <cell r="I1437">
            <v>21976</v>
          </cell>
          <cell r="J1437">
            <v>31.8</v>
          </cell>
        </row>
        <row r="1438">
          <cell r="I1438" t="e">
            <v>#VALUE!</v>
          </cell>
          <cell r="J1438">
            <v>0</v>
          </cell>
        </row>
        <row r="1439">
          <cell r="I1439">
            <v>22007</v>
          </cell>
          <cell r="J1439">
            <v>31.8</v>
          </cell>
        </row>
        <row r="1440">
          <cell r="I1440" t="e">
            <v>#VALUE!</v>
          </cell>
          <cell r="J1440">
            <v>0</v>
          </cell>
        </row>
        <row r="1441">
          <cell r="I1441">
            <v>22037</v>
          </cell>
          <cell r="J1441">
            <v>31.7</v>
          </cell>
        </row>
        <row r="1442">
          <cell r="I1442" t="e">
            <v>#VALUE!</v>
          </cell>
          <cell r="J1442">
            <v>0</v>
          </cell>
        </row>
        <row r="1443">
          <cell r="I1443">
            <v>22068</v>
          </cell>
          <cell r="J1443">
            <v>31.7</v>
          </cell>
        </row>
        <row r="1444">
          <cell r="I1444" t="e">
            <v>#VALUE!</v>
          </cell>
          <cell r="J1444">
            <v>0</v>
          </cell>
        </row>
        <row r="1445">
          <cell r="I1445">
            <v>22098</v>
          </cell>
          <cell r="J1445">
            <v>31.7</v>
          </cell>
        </row>
        <row r="1446">
          <cell r="I1446" t="e">
            <v>#VALUE!</v>
          </cell>
          <cell r="J1446">
            <v>0</v>
          </cell>
        </row>
        <row r="1447">
          <cell r="I1447">
            <v>22129</v>
          </cell>
          <cell r="J1447">
            <v>31.6</v>
          </cell>
        </row>
        <row r="1448">
          <cell r="I1448" t="e">
            <v>#VALUE!</v>
          </cell>
          <cell r="J1448">
            <v>0</v>
          </cell>
        </row>
        <row r="1449">
          <cell r="I1449">
            <v>22160</v>
          </cell>
          <cell r="J1449">
            <v>31.6</v>
          </cell>
        </row>
        <row r="1450">
          <cell r="I1450" t="e">
            <v>#VALUE!</v>
          </cell>
          <cell r="J1450">
            <v>0</v>
          </cell>
        </row>
        <row r="1451">
          <cell r="I1451">
            <v>22190</v>
          </cell>
          <cell r="J1451">
            <v>31.7</v>
          </cell>
        </row>
        <row r="1452">
          <cell r="I1452" t="e">
            <v>#VALUE!</v>
          </cell>
          <cell r="J1452">
            <v>0</v>
          </cell>
        </row>
        <row r="1453">
          <cell r="I1453">
            <v>22221</v>
          </cell>
          <cell r="J1453">
            <v>31.7</v>
          </cell>
        </row>
        <row r="1454">
          <cell r="I1454" t="e">
            <v>#VALUE!</v>
          </cell>
          <cell r="J1454">
            <v>0</v>
          </cell>
        </row>
        <row r="1455">
          <cell r="I1455">
            <v>22251</v>
          </cell>
          <cell r="J1455">
            <v>31.7</v>
          </cell>
        </row>
        <row r="1456">
          <cell r="I1456" t="e">
            <v>#VALUE!</v>
          </cell>
          <cell r="J1456">
            <v>0</v>
          </cell>
        </row>
        <row r="1457">
          <cell r="I1457">
            <v>22282</v>
          </cell>
          <cell r="J1457">
            <v>31.7</v>
          </cell>
        </row>
        <row r="1458">
          <cell r="I1458" t="e">
            <v>#VALUE!</v>
          </cell>
          <cell r="J1458">
            <v>0</v>
          </cell>
        </row>
        <row r="1459">
          <cell r="I1459">
            <v>22282</v>
          </cell>
          <cell r="J1459">
            <v>31.8</v>
          </cell>
        </row>
        <row r="1460">
          <cell r="I1460" t="e">
            <v>#VALUE!</v>
          </cell>
          <cell r="J1460">
            <v>0</v>
          </cell>
        </row>
        <row r="1461">
          <cell r="I1461">
            <v>22313</v>
          </cell>
          <cell r="J1461">
            <v>31.8</v>
          </cell>
        </row>
        <row r="1462">
          <cell r="I1462" t="e">
            <v>#VALUE!</v>
          </cell>
          <cell r="J1462">
            <v>0</v>
          </cell>
        </row>
        <row r="1463">
          <cell r="I1463">
            <v>22341</v>
          </cell>
          <cell r="J1463">
            <v>31.8</v>
          </cell>
        </row>
        <row r="1464">
          <cell r="I1464" t="e">
            <v>#VALUE!</v>
          </cell>
          <cell r="J1464">
            <v>0</v>
          </cell>
        </row>
        <row r="1465">
          <cell r="I1465">
            <v>22372</v>
          </cell>
          <cell r="J1465">
            <v>31.6</v>
          </cell>
        </row>
        <row r="1466">
          <cell r="I1466" t="e">
            <v>#VALUE!</v>
          </cell>
          <cell r="J1466">
            <v>0</v>
          </cell>
        </row>
        <row r="1467">
          <cell r="I1467">
            <v>22402</v>
          </cell>
          <cell r="J1467">
            <v>31.5</v>
          </cell>
        </row>
        <row r="1468">
          <cell r="I1468" t="e">
            <v>#VALUE!</v>
          </cell>
          <cell r="J1468">
            <v>0</v>
          </cell>
        </row>
        <row r="1469">
          <cell r="I1469">
            <v>22433</v>
          </cell>
          <cell r="J1469">
            <v>31.3</v>
          </cell>
        </row>
        <row r="1470">
          <cell r="I1470" t="e">
            <v>#VALUE!</v>
          </cell>
          <cell r="J1470">
            <v>0</v>
          </cell>
        </row>
        <row r="1471">
          <cell r="I1471">
            <v>22463</v>
          </cell>
          <cell r="J1471">
            <v>31.5</v>
          </cell>
        </row>
        <row r="1472">
          <cell r="I1472" t="e">
            <v>#VALUE!</v>
          </cell>
          <cell r="J1472">
            <v>0</v>
          </cell>
        </row>
        <row r="1473">
          <cell r="I1473">
            <v>22494</v>
          </cell>
          <cell r="J1473">
            <v>31.5</v>
          </cell>
        </row>
        <row r="1474">
          <cell r="I1474" t="e">
            <v>#VALUE!</v>
          </cell>
          <cell r="J1474">
            <v>0</v>
          </cell>
        </row>
        <row r="1475">
          <cell r="I1475">
            <v>22525</v>
          </cell>
          <cell r="J1475">
            <v>31.5</v>
          </cell>
        </row>
        <row r="1476">
          <cell r="I1476" t="e">
            <v>#VALUE!</v>
          </cell>
          <cell r="J1476">
            <v>0</v>
          </cell>
        </row>
        <row r="1477">
          <cell r="I1477">
            <v>22555</v>
          </cell>
          <cell r="J1477">
            <v>31.5</v>
          </cell>
        </row>
        <row r="1478">
          <cell r="I1478" t="e">
            <v>#VALUE!</v>
          </cell>
          <cell r="J1478">
            <v>0</v>
          </cell>
        </row>
        <row r="1479">
          <cell r="I1479">
            <v>22586</v>
          </cell>
          <cell r="J1479">
            <v>31.5</v>
          </cell>
        </row>
        <row r="1480">
          <cell r="I1480" t="e">
            <v>#VALUE!</v>
          </cell>
          <cell r="J1480">
            <v>0</v>
          </cell>
        </row>
        <row r="1481">
          <cell r="I1481">
            <v>22616</v>
          </cell>
          <cell r="J1481">
            <v>31.6</v>
          </cell>
        </row>
        <row r="1482">
          <cell r="I1482" t="e">
            <v>#VALUE!</v>
          </cell>
          <cell r="J1482">
            <v>0</v>
          </cell>
        </row>
        <row r="1483">
          <cell r="I1483">
            <v>22647</v>
          </cell>
          <cell r="J1483">
            <v>31.6</v>
          </cell>
        </row>
        <row r="1484">
          <cell r="I1484" t="e">
            <v>#VALUE!</v>
          </cell>
          <cell r="J1484">
            <v>0</v>
          </cell>
        </row>
        <row r="1485">
          <cell r="I1485">
            <v>22647</v>
          </cell>
          <cell r="J1485">
            <v>31.7</v>
          </cell>
        </row>
        <row r="1486">
          <cell r="I1486" t="e">
            <v>#VALUE!</v>
          </cell>
          <cell r="J1486">
            <v>0</v>
          </cell>
        </row>
        <row r="1487">
          <cell r="I1487">
            <v>22678</v>
          </cell>
          <cell r="J1487">
            <v>31.7</v>
          </cell>
        </row>
        <row r="1488">
          <cell r="I1488" t="e">
            <v>#VALUE!</v>
          </cell>
          <cell r="J1488">
            <v>0</v>
          </cell>
        </row>
        <row r="1489">
          <cell r="I1489">
            <v>22706</v>
          </cell>
          <cell r="J1489">
            <v>31.7</v>
          </cell>
        </row>
        <row r="1490">
          <cell r="I1490" t="e">
            <v>#VALUE!</v>
          </cell>
          <cell r="J1490">
            <v>0</v>
          </cell>
        </row>
        <row r="1491">
          <cell r="I1491">
            <v>22737</v>
          </cell>
          <cell r="J1491">
            <v>31.6</v>
          </cell>
        </row>
        <row r="1492">
          <cell r="I1492" t="e">
            <v>#VALUE!</v>
          </cell>
          <cell r="J1492">
            <v>0</v>
          </cell>
        </row>
        <row r="1493">
          <cell r="I1493">
            <v>22767</v>
          </cell>
          <cell r="J1493">
            <v>31.5</v>
          </cell>
        </row>
        <row r="1494">
          <cell r="I1494" t="e">
            <v>#VALUE!</v>
          </cell>
          <cell r="J1494">
            <v>0</v>
          </cell>
        </row>
        <row r="1495">
          <cell r="I1495">
            <v>22798</v>
          </cell>
          <cell r="J1495">
            <v>31.5</v>
          </cell>
        </row>
        <row r="1496">
          <cell r="I1496" t="e">
            <v>#VALUE!</v>
          </cell>
          <cell r="J1496">
            <v>0</v>
          </cell>
        </row>
        <row r="1497">
          <cell r="I1497">
            <v>22828</v>
          </cell>
          <cell r="J1497">
            <v>31.6</v>
          </cell>
        </row>
        <row r="1498">
          <cell r="I1498" t="e">
            <v>#VALUE!</v>
          </cell>
          <cell r="J1498">
            <v>0</v>
          </cell>
        </row>
        <row r="1499">
          <cell r="I1499">
            <v>22859</v>
          </cell>
          <cell r="J1499">
            <v>31.6</v>
          </cell>
        </row>
        <row r="1500">
          <cell r="I1500" t="e">
            <v>#VALUE!</v>
          </cell>
          <cell r="J1500">
            <v>0</v>
          </cell>
        </row>
        <row r="1501">
          <cell r="I1501">
            <v>22890</v>
          </cell>
          <cell r="J1501">
            <v>31.9</v>
          </cell>
        </row>
        <row r="1502">
          <cell r="I1502" t="e">
            <v>#VALUE!</v>
          </cell>
          <cell r="J1502">
            <v>0</v>
          </cell>
        </row>
        <row r="1503">
          <cell r="I1503">
            <v>22920</v>
          </cell>
          <cell r="J1503">
            <v>31.7</v>
          </cell>
        </row>
        <row r="1504">
          <cell r="I1504" t="e">
            <v>#VALUE!</v>
          </cell>
          <cell r="J1504">
            <v>0</v>
          </cell>
        </row>
        <row r="1505">
          <cell r="I1505">
            <v>22951</v>
          </cell>
          <cell r="J1505">
            <v>31.7</v>
          </cell>
        </row>
        <row r="1506">
          <cell r="I1506" t="e">
            <v>#VALUE!</v>
          </cell>
          <cell r="J1506">
            <v>0</v>
          </cell>
        </row>
        <row r="1507">
          <cell r="I1507">
            <v>22981</v>
          </cell>
          <cell r="J1507">
            <v>31.6</v>
          </cell>
        </row>
        <row r="1508">
          <cell r="I1508" t="e">
            <v>#VALUE!</v>
          </cell>
          <cell r="J1508">
            <v>0</v>
          </cell>
        </row>
        <row r="1509">
          <cell r="I1509">
            <v>23012</v>
          </cell>
          <cell r="J1509">
            <v>31.7</v>
          </cell>
        </row>
        <row r="1510">
          <cell r="I1510" t="e">
            <v>#VALUE!</v>
          </cell>
          <cell r="J1510">
            <v>0</v>
          </cell>
        </row>
        <row r="1511">
          <cell r="I1511">
            <v>23012</v>
          </cell>
          <cell r="J1511">
            <v>31.6</v>
          </cell>
        </row>
        <row r="1512">
          <cell r="I1512" t="e">
            <v>#VALUE!</v>
          </cell>
          <cell r="J1512">
            <v>0</v>
          </cell>
        </row>
        <row r="1513">
          <cell r="I1513">
            <v>23043</v>
          </cell>
          <cell r="J1513">
            <v>31.5</v>
          </cell>
        </row>
        <row r="1514">
          <cell r="I1514" t="e">
            <v>#VALUE!</v>
          </cell>
          <cell r="J1514">
            <v>0</v>
          </cell>
        </row>
        <row r="1515">
          <cell r="I1515">
            <v>23071</v>
          </cell>
          <cell r="J1515">
            <v>31.5</v>
          </cell>
        </row>
        <row r="1516">
          <cell r="I1516" t="e">
            <v>#VALUE!</v>
          </cell>
          <cell r="J1516">
            <v>0</v>
          </cell>
        </row>
        <row r="1517">
          <cell r="I1517">
            <v>23102</v>
          </cell>
          <cell r="J1517">
            <v>31.4</v>
          </cell>
        </row>
        <row r="1518">
          <cell r="I1518" t="e">
            <v>#VALUE!</v>
          </cell>
          <cell r="J1518">
            <v>0</v>
          </cell>
        </row>
        <row r="1519">
          <cell r="I1519">
            <v>23132</v>
          </cell>
          <cell r="J1519">
            <v>31.5</v>
          </cell>
        </row>
        <row r="1520">
          <cell r="I1520" t="e">
            <v>#VALUE!</v>
          </cell>
          <cell r="J1520">
            <v>0</v>
          </cell>
        </row>
        <row r="1521">
          <cell r="I1521">
            <v>23163</v>
          </cell>
          <cell r="J1521">
            <v>31.6</v>
          </cell>
        </row>
        <row r="1522">
          <cell r="I1522" t="e">
            <v>#VALUE!</v>
          </cell>
          <cell r="J1522">
            <v>0</v>
          </cell>
        </row>
        <row r="1523">
          <cell r="I1523">
            <v>23193</v>
          </cell>
          <cell r="J1523">
            <v>31.7</v>
          </cell>
        </row>
        <row r="1524">
          <cell r="I1524" t="e">
            <v>#VALUE!</v>
          </cell>
          <cell r="J1524">
            <v>0</v>
          </cell>
        </row>
        <row r="1525">
          <cell r="I1525">
            <v>23224</v>
          </cell>
          <cell r="J1525">
            <v>31.6</v>
          </cell>
        </row>
        <row r="1526">
          <cell r="I1526" t="e">
            <v>#VALUE!</v>
          </cell>
          <cell r="J1526">
            <v>0</v>
          </cell>
        </row>
        <row r="1527">
          <cell r="I1527">
            <v>23255</v>
          </cell>
          <cell r="J1527">
            <v>31.6</v>
          </cell>
        </row>
        <row r="1528">
          <cell r="I1528" t="e">
            <v>#VALUE!</v>
          </cell>
          <cell r="J1528">
            <v>0</v>
          </cell>
        </row>
        <row r="1529">
          <cell r="I1529">
            <v>23285</v>
          </cell>
          <cell r="J1529">
            <v>31.6</v>
          </cell>
        </row>
        <row r="1530">
          <cell r="I1530" t="e">
            <v>#VALUE!</v>
          </cell>
          <cell r="J1530">
            <v>0</v>
          </cell>
        </row>
        <row r="1531">
          <cell r="I1531">
            <v>23316</v>
          </cell>
          <cell r="J1531">
            <v>31.7</v>
          </cell>
        </row>
        <row r="1532">
          <cell r="I1532" t="e">
            <v>#VALUE!</v>
          </cell>
          <cell r="J1532">
            <v>0</v>
          </cell>
        </row>
        <row r="1533">
          <cell r="I1533">
            <v>23346</v>
          </cell>
          <cell r="J1533">
            <v>31.6</v>
          </cell>
        </row>
        <row r="1534">
          <cell r="I1534" t="e">
            <v>#VALUE!</v>
          </cell>
          <cell r="J1534">
            <v>0</v>
          </cell>
        </row>
        <row r="1535">
          <cell r="I1535">
            <v>23377</v>
          </cell>
          <cell r="J1535">
            <v>31.6</v>
          </cell>
        </row>
        <row r="1536">
          <cell r="I1536" t="e">
            <v>#VALUE!</v>
          </cell>
          <cell r="J1536">
            <v>0</v>
          </cell>
        </row>
        <row r="1537">
          <cell r="I1537">
            <v>23377</v>
          </cell>
          <cell r="J1537">
            <v>31.8</v>
          </cell>
        </row>
        <row r="1538">
          <cell r="I1538" t="e">
            <v>#VALUE!</v>
          </cell>
          <cell r="J1538">
            <v>0</v>
          </cell>
        </row>
        <row r="1539">
          <cell r="I1539">
            <v>23408</v>
          </cell>
          <cell r="J1539">
            <v>31.6</v>
          </cell>
        </row>
        <row r="1540">
          <cell r="I1540" t="e">
            <v>#VALUE!</v>
          </cell>
          <cell r="J1540">
            <v>0</v>
          </cell>
        </row>
        <row r="1541">
          <cell r="I1541">
            <v>23437</v>
          </cell>
          <cell r="J1541">
            <v>31.6</v>
          </cell>
        </row>
        <row r="1542">
          <cell r="I1542" t="e">
            <v>#VALUE!</v>
          </cell>
          <cell r="J1542">
            <v>0</v>
          </cell>
        </row>
        <row r="1543">
          <cell r="I1543">
            <v>23468</v>
          </cell>
          <cell r="J1543">
            <v>31.6</v>
          </cell>
        </row>
        <row r="1544">
          <cell r="I1544" t="e">
            <v>#VALUE!</v>
          </cell>
          <cell r="J1544">
            <v>0</v>
          </cell>
        </row>
        <row r="1545">
          <cell r="I1545">
            <v>23498</v>
          </cell>
          <cell r="J1545">
            <v>31.5</v>
          </cell>
        </row>
        <row r="1546">
          <cell r="I1546" t="e">
            <v>#VALUE!</v>
          </cell>
          <cell r="J1546">
            <v>0</v>
          </cell>
        </row>
        <row r="1547">
          <cell r="I1547">
            <v>23529</v>
          </cell>
          <cell r="J1547">
            <v>31.5</v>
          </cell>
        </row>
        <row r="1548">
          <cell r="I1548" t="e">
            <v>#VALUE!</v>
          </cell>
          <cell r="J1548">
            <v>0</v>
          </cell>
        </row>
        <row r="1549">
          <cell r="I1549">
            <v>23559</v>
          </cell>
          <cell r="J1549">
            <v>31.6</v>
          </cell>
        </row>
        <row r="1550">
          <cell r="I1550" t="e">
            <v>#VALUE!</v>
          </cell>
          <cell r="J1550">
            <v>0</v>
          </cell>
        </row>
        <row r="1551">
          <cell r="I1551">
            <v>23590</v>
          </cell>
          <cell r="J1551">
            <v>31.6</v>
          </cell>
        </row>
        <row r="1552">
          <cell r="I1552" t="e">
            <v>#VALUE!</v>
          </cell>
          <cell r="J1552">
            <v>0</v>
          </cell>
        </row>
        <row r="1553">
          <cell r="I1553">
            <v>23621</v>
          </cell>
          <cell r="J1553">
            <v>31.7</v>
          </cell>
        </row>
        <row r="1554">
          <cell r="I1554" t="e">
            <v>#VALUE!</v>
          </cell>
          <cell r="J1554">
            <v>0</v>
          </cell>
        </row>
        <row r="1555">
          <cell r="I1555">
            <v>23651</v>
          </cell>
          <cell r="J1555">
            <v>31.7</v>
          </cell>
        </row>
        <row r="1556">
          <cell r="I1556" t="e">
            <v>#VALUE!</v>
          </cell>
          <cell r="J1556">
            <v>0</v>
          </cell>
        </row>
        <row r="1557">
          <cell r="I1557">
            <v>23682</v>
          </cell>
          <cell r="J1557">
            <v>31.7</v>
          </cell>
        </row>
        <row r="1558">
          <cell r="I1558" t="e">
            <v>#VALUE!</v>
          </cell>
          <cell r="J1558">
            <v>0</v>
          </cell>
        </row>
        <row r="1559">
          <cell r="I1559">
            <v>23712</v>
          </cell>
          <cell r="J1559">
            <v>31.7</v>
          </cell>
        </row>
        <row r="1560">
          <cell r="I1560" t="e">
            <v>#VALUE!</v>
          </cell>
          <cell r="J1560">
            <v>0</v>
          </cell>
        </row>
        <row r="1561">
          <cell r="I1561">
            <v>23743</v>
          </cell>
          <cell r="J1561">
            <v>31.6</v>
          </cell>
        </row>
        <row r="1562">
          <cell r="I1562" t="e">
            <v>#VALUE!</v>
          </cell>
          <cell r="J1562">
            <v>0</v>
          </cell>
        </row>
        <row r="1563">
          <cell r="I1563">
            <v>23743</v>
          </cell>
          <cell r="J1563">
            <v>31.8</v>
          </cell>
        </row>
        <row r="1564">
          <cell r="I1564" t="e">
            <v>#VALUE!</v>
          </cell>
          <cell r="J1564">
            <v>0</v>
          </cell>
        </row>
        <row r="1565">
          <cell r="I1565">
            <v>23774</v>
          </cell>
          <cell r="J1565">
            <v>31.9</v>
          </cell>
        </row>
        <row r="1566">
          <cell r="I1566" t="e">
            <v>#VALUE!</v>
          </cell>
          <cell r="J1566">
            <v>0</v>
          </cell>
        </row>
        <row r="1567">
          <cell r="I1567">
            <v>23802</v>
          </cell>
          <cell r="J1567">
            <v>31.9</v>
          </cell>
        </row>
        <row r="1568">
          <cell r="I1568" t="e">
            <v>#VALUE!</v>
          </cell>
          <cell r="J1568">
            <v>0</v>
          </cell>
        </row>
        <row r="1569">
          <cell r="I1569">
            <v>23833</v>
          </cell>
          <cell r="J1569">
            <v>32</v>
          </cell>
        </row>
        <row r="1570">
          <cell r="I1570" t="e">
            <v>#VALUE!</v>
          </cell>
          <cell r="J1570">
            <v>0</v>
          </cell>
        </row>
        <row r="1571">
          <cell r="I1571">
            <v>23863</v>
          </cell>
          <cell r="J1571">
            <v>32.1</v>
          </cell>
        </row>
        <row r="1572">
          <cell r="I1572" t="e">
            <v>#VALUE!</v>
          </cell>
          <cell r="J1572">
            <v>0</v>
          </cell>
        </row>
        <row r="1573">
          <cell r="I1573">
            <v>23894</v>
          </cell>
          <cell r="J1573">
            <v>32.4</v>
          </cell>
        </row>
        <row r="1574">
          <cell r="I1574" t="e">
            <v>#VALUE!</v>
          </cell>
          <cell r="J1574">
            <v>0</v>
          </cell>
        </row>
        <row r="1575">
          <cell r="I1575">
            <v>23924</v>
          </cell>
          <cell r="J1575">
            <v>32.4</v>
          </cell>
        </row>
        <row r="1576">
          <cell r="I1576" t="e">
            <v>#VALUE!</v>
          </cell>
          <cell r="J1576">
            <v>0</v>
          </cell>
        </row>
        <row r="1577">
          <cell r="I1577">
            <v>23955</v>
          </cell>
          <cell r="J1577">
            <v>32.4</v>
          </cell>
        </row>
        <row r="1578">
          <cell r="I1578" t="e">
            <v>#VALUE!</v>
          </cell>
          <cell r="J1578">
            <v>0</v>
          </cell>
        </row>
        <row r="1579">
          <cell r="I1579">
            <v>23986</v>
          </cell>
          <cell r="J1579">
            <v>32.4</v>
          </cell>
        </row>
        <row r="1580">
          <cell r="I1580" t="e">
            <v>#VALUE!</v>
          </cell>
          <cell r="J1580">
            <v>0</v>
          </cell>
        </row>
        <row r="1581">
          <cell r="I1581">
            <v>24016</v>
          </cell>
          <cell r="J1581">
            <v>32.5</v>
          </cell>
        </row>
        <row r="1582">
          <cell r="I1582" t="e">
            <v>#VALUE!</v>
          </cell>
          <cell r="J1582">
            <v>0</v>
          </cell>
        </row>
        <row r="1583">
          <cell r="I1583">
            <v>24047</v>
          </cell>
          <cell r="J1583">
            <v>32.6</v>
          </cell>
        </row>
        <row r="1584">
          <cell r="I1584" t="e">
            <v>#VALUE!</v>
          </cell>
          <cell r="J1584">
            <v>0</v>
          </cell>
        </row>
        <row r="1585">
          <cell r="I1585">
            <v>24077</v>
          </cell>
          <cell r="J1585">
            <v>32.799999999999997</v>
          </cell>
        </row>
        <row r="1586">
          <cell r="I1586" t="e">
            <v>#VALUE!</v>
          </cell>
          <cell r="J1586">
            <v>0</v>
          </cell>
        </row>
        <row r="1587">
          <cell r="I1587">
            <v>24108</v>
          </cell>
          <cell r="J1587">
            <v>32.299999999999997</v>
          </cell>
        </row>
        <row r="1588">
          <cell r="I1588" t="e">
            <v>#VALUE!</v>
          </cell>
          <cell r="J1588">
            <v>0</v>
          </cell>
        </row>
        <row r="1589">
          <cell r="I1589">
            <v>24108</v>
          </cell>
          <cell r="J1589">
            <v>32.9</v>
          </cell>
        </row>
        <row r="1590">
          <cell r="I1590" t="e">
            <v>#VALUE!</v>
          </cell>
          <cell r="J1590">
            <v>0</v>
          </cell>
        </row>
        <row r="1591">
          <cell r="I1591">
            <v>24139</v>
          </cell>
          <cell r="J1591">
            <v>33.200000000000003</v>
          </cell>
        </row>
        <row r="1592">
          <cell r="I1592" t="e">
            <v>#VALUE!</v>
          </cell>
          <cell r="J1592">
            <v>0</v>
          </cell>
        </row>
        <row r="1593">
          <cell r="I1593">
            <v>24167</v>
          </cell>
          <cell r="J1593">
            <v>33.200000000000003</v>
          </cell>
        </row>
        <row r="1594">
          <cell r="I1594" t="e">
            <v>#VALUE!</v>
          </cell>
          <cell r="J1594">
            <v>0</v>
          </cell>
        </row>
        <row r="1595">
          <cell r="I1595">
            <v>24198</v>
          </cell>
          <cell r="J1595">
            <v>33.200000000000003</v>
          </cell>
        </row>
        <row r="1596">
          <cell r="I1596" t="e">
            <v>#VALUE!</v>
          </cell>
          <cell r="J1596">
            <v>0</v>
          </cell>
        </row>
        <row r="1597">
          <cell r="I1597">
            <v>24228</v>
          </cell>
          <cell r="J1597">
            <v>33.200000000000003</v>
          </cell>
        </row>
        <row r="1598">
          <cell r="I1598" t="e">
            <v>#VALUE!</v>
          </cell>
          <cell r="J1598">
            <v>0</v>
          </cell>
        </row>
        <row r="1599">
          <cell r="I1599">
            <v>24259</v>
          </cell>
          <cell r="J1599">
            <v>33.299999999999997</v>
          </cell>
        </row>
        <row r="1600">
          <cell r="I1600" t="e">
            <v>#VALUE!</v>
          </cell>
          <cell r="J1600">
            <v>0</v>
          </cell>
        </row>
        <row r="1601">
          <cell r="I1601">
            <v>24289</v>
          </cell>
          <cell r="J1601">
            <v>33.5</v>
          </cell>
        </row>
        <row r="1602">
          <cell r="I1602" t="e">
            <v>#VALUE!</v>
          </cell>
          <cell r="J1602">
            <v>0</v>
          </cell>
        </row>
        <row r="1603">
          <cell r="I1603">
            <v>24320</v>
          </cell>
          <cell r="J1603">
            <v>33.6</v>
          </cell>
        </row>
        <row r="1604">
          <cell r="I1604" t="e">
            <v>#VALUE!</v>
          </cell>
          <cell r="J1604">
            <v>0</v>
          </cell>
        </row>
        <row r="1605">
          <cell r="I1605">
            <v>24351</v>
          </cell>
          <cell r="J1605">
            <v>33.6</v>
          </cell>
        </row>
        <row r="1606">
          <cell r="I1606" t="e">
            <v>#VALUE!</v>
          </cell>
          <cell r="J1606">
            <v>0</v>
          </cell>
        </row>
        <row r="1607">
          <cell r="I1607">
            <v>24381</v>
          </cell>
          <cell r="J1607">
            <v>33.4</v>
          </cell>
        </row>
        <row r="1608">
          <cell r="I1608" t="e">
            <v>#VALUE!</v>
          </cell>
          <cell r="J1608">
            <v>0</v>
          </cell>
        </row>
        <row r="1609">
          <cell r="I1609">
            <v>24412</v>
          </cell>
          <cell r="J1609">
            <v>33.299999999999997</v>
          </cell>
        </row>
        <row r="1610">
          <cell r="I1610" t="e">
            <v>#VALUE!</v>
          </cell>
          <cell r="J1610">
            <v>0</v>
          </cell>
        </row>
        <row r="1611">
          <cell r="I1611">
            <v>24442</v>
          </cell>
          <cell r="J1611">
            <v>33.299999999999997</v>
          </cell>
        </row>
        <row r="1612">
          <cell r="I1612" t="e">
            <v>#VALUE!</v>
          </cell>
          <cell r="J1612">
            <v>0</v>
          </cell>
        </row>
        <row r="1613">
          <cell r="I1613">
            <v>24473</v>
          </cell>
          <cell r="J1613">
            <v>33.299999999999997</v>
          </cell>
        </row>
        <row r="1614">
          <cell r="I1614" t="e">
            <v>#VALUE!</v>
          </cell>
          <cell r="J1614">
            <v>0</v>
          </cell>
        </row>
        <row r="1615">
          <cell r="I1615">
            <v>24473</v>
          </cell>
          <cell r="J1615">
            <v>33.4</v>
          </cell>
        </row>
        <row r="1616">
          <cell r="I1616" t="e">
            <v>#VALUE!</v>
          </cell>
          <cell r="J1616">
            <v>0</v>
          </cell>
        </row>
        <row r="1617">
          <cell r="I1617">
            <v>24504</v>
          </cell>
          <cell r="J1617">
            <v>33.4</v>
          </cell>
        </row>
        <row r="1618">
          <cell r="I1618" t="e">
            <v>#VALUE!</v>
          </cell>
          <cell r="J1618">
            <v>0</v>
          </cell>
        </row>
        <row r="1619">
          <cell r="I1619">
            <v>24532</v>
          </cell>
          <cell r="J1619">
            <v>33.299999999999997</v>
          </cell>
        </row>
        <row r="1620">
          <cell r="I1620" t="e">
            <v>#VALUE!</v>
          </cell>
          <cell r="J1620">
            <v>0</v>
          </cell>
        </row>
        <row r="1621">
          <cell r="I1621">
            <v>24563</v>
          </cell>
          <cell r="J1621">
            <v>33.1</v>
          </cell>
        </row>
        <row r="1622">
          <cell r="I1622" t="e">
            <v>#VALUE!</v>
          </cell>
          <cell r="J1622">
            <v>0</v>
          </cell>
        </row>
        <row r="1623">
          <cell r="I1623">
            <v>24593</v>
          </cell>
          <cell r="J1623">
            <v>33.299999999999997</v>
          </cell>
        </row>
        <row r="1624">
          <cell r="I1624" t="e">
            <v>#VALUE!</v>
          </cell>
          <cell r="J1624">
            <v>0</v>
          </cell>
        </row>
        <row r="1625">
          <cell r="I1625">
            <v>24624</v>
          </cell>
          <cell r="J1625">
            <v>33.5</v>
          </cell>
        </row>
        <row r="1626">
          <cell r="I1626" t="e">
            <v>#VALUE!</v>
          </cell>
          <cell r="J1626">
            <v>0</v>
          </cell>
        </row>
        <row r="1627">
          <cell r="I1627">
            <v>24654</v>
          </cell>
          <cell r="J1627">
            <v>33.5</v>
          </cell>
        </row>
        <row r="1628">
          <cell r="I1628" t="e">
            <v>#VALUE!</v>
          </cell>
          <cell r="J1628">
            <v>0</v>
          </cell>
        </row>
        <row r="1629">
          <cell r="I1629">
            <v>24685</v>
          </cell>
          <cell r="J1629">
            <v>33.4</v>
          </cell>
        </row>
        <row r="1630">
          <cell r="I1630" t="e">
            <v>#VALUE!</v>
          </cell>
          <cell r="J1630">
            <v>0</v>
          </cell>
        </row>
        <row r="1631">
          <cell r="I1631">
            <v>24716</v>
          </cell>
          <cell r="J1631">
            <v>33.4</v>
          </cell>
        </row>
        <row r="1632">
          <cell r="I1632" t="e">
            <v>#VALUE!</v>
          </cell>
          <cell r="J1632">
            <v>0</v>
          </cell>
        </row>
        <row r="1633">
          <cell r="I1633">
            <v>24746</v>
          </cell>
          <cell r="J1633">
            <v>33.4</v>
          </cell>
        </row>
        <row r="1634">
          <cell r="I1634" t="e">
            <v>#VALUE!</v>
          </cell>
          <cell r="J1634">
            <v>0</v>
          </cell>
        </row>
        <row r="1635">
          <cell r="I1635">
            <v>24777</v>
          </cell>
          <cell r="J1635">
            <v>33.4</v>
          </cell>
        </row>
        <row r="1636">
          <cell r="I1636" t="e">
            <v>#VALUE!</v>
          </cell>
          <cell r="J1636">
            <v>0</v>
          </cell>
        </row>
        <row r="1637">
          <cell r="I1637">
            <v>24807</v>
          </cell>
          <cell r="J1637">
            <v>33.700000000000003</v>
          </cell>
        </row>
        <row r="1638">
          <cell r="I1638" t="e">
            <v>#VALUE!</v>
          </cell>
          <cell r="J1638">
            <v>0</v>
          </cell>
        </row>
        <row r="1639">
          <cell r="I1639">
            <v>24838</v>
          </cell>
          <cell r="J1639">
            <v>33.4</v>
          </cell>
        </row>
        <row r="1640">
          <cell r="I1640" t="e">
            <v>#VALUE!</v>
          </cell>
          <cell r="J1640">
            <v>0</v>
          </cell>
        </row>
        <row r="1641">
          <cell r="I1641">
            <v>24838</v>
          </cell>
          <cell r="J1641">
            <v>33.799999999999997</v>
          </cell>
        </row>
        <row r="1642">
          <cell r="I1642" t="e">
            <v>#VALUE!</v>
          </cell>
          <cell r="J1642">
            <v>0</v>
          </cell>
        </row>
        <row r="1643">
          <cell r="I1643">
            <v>24869</v>
          </cell>
          <cell r="J1643">
            <v>34</v>
          </cell>
        </row>
        <row r="1644">
          <cell r="I1644" t="e">
            <v>#VALUE!</v>
          </cell>
          <cell r="J1644">
            <v>0</v>
          </cell>
        </row>
        <row r="1645">
          <cell r="I1645">
            <v>24898</v>
          </cell>
          <cell r="J1645">
            <v>34.1</v>
          </cell>
        </row>
        <row r="1646">
          <cell r="I1646" t="e">
            <v>#VALUE!</v>
          </cell>
          <cell r="J1646">
            <v>0</v>
          </cell>
        </row>
        <row r="1647">
          <cell r="I1647">
            <v>24929</v>
          </cell>
          <cell r="J1647">
            <v>34.1</v>
          </cell>
        </row>
        <row r="1648">
          <cell r="I1648" t="e">
            <v>#VALUE!</v>
          </cell>
          <cell r="J1648">
            <v>0</v>
          </cell>
        </row>
        <row r="1649">
          <cell r="I1649">
            <v>24959</v>
          </cell>
          <cell r="J1649">
            <v>34.200000000000003</v>
          </cell>
        </row>
        <row r="1650">
          <cell r="I1650" t="e">
            <v>#VALUE!</v>
          </cell>
          <cell r="J1650">
            <v>0</v>
          </cell>
        </row>
        <row r="1651">
          <cell r="I1651">
            <v>24990</v>
          </cell>
          <cell r="J1651">
            <v>34.200000000000003</v>
          </cell>
        </row>
        <row r="1652">
          <cell r="I1652" t="e">
            <v>#VALUE!</v>
          </cell>
          <cell r="J1652">
            <v>0</v>
          </cell>
        </row>
        <row r="1653">
          <cell r="I1653">
            <v>25020</v>
          </cell>
          <cell r="J1653">
            <v>34.299999999999997</v>
          </cell>
        </row>
        <row r="1654">
          <cell r="I1654" t="e">
            <v>#VALUE!</v>
          </cell>
          <cell r="J1654">
            <v>0</v>
          </cell>
        </row>
        <row r="1655">
          <cell r="I1655">
            <v>25051</v>
          </cell>
          <cell r="J1655">
            <v>34.200000000000003</v>
          </cell>
        </row>
        <row r="1656">
          <cell r="I1656" t="e">
            <v>#VALUE!</v>
          </cell>
          <cell r="J1656">
            <v>0</v>
          </cell>
        </row>
        <row r="1657">
          <cell r="I1657">
            <v>25082</v>
          </cell>
          <cell r="J1657">
            <v>34.4</v>
          </cell>
        </row>
        <row r="1658">
          <cell r="I1658" t="e">
            <v>#VALUE!</v>
          </cell>
          <cell r="J1658">
            <v>0</v>
          </cell>
        </row>
        <row r="1659">
          <cell r="I1659">
            <v>25112</v>
          </cell>
          <cell r="J1659">
            <v>34.4</v>
          </cell>
        </row>
        <row r="1660">
          <cell r="I1660" t="e">
            <v>#VALUE!</v>
          </cell>
          <cell r="J1660">
            <v>0</v>
          </cell>
        </row>
        <row r="1661">
          <cell r="I1661">
            <v>25143</v>
          </cell>
          <cell r="J1661">
            <v>34.5</v>
          </cell>
        </row>
        <row r="1662">
          <cell r="I1662" t="e">
            <v>#VALUE!</v>
          </cell>
          <cell r="J1662">
            <v>0</v>
          </cell>
        </row>
        <row r="1663">
          <cell r="I1663">
            <v>25173</v>
          </cell>
          <cell r="J1663">
            <v>34.6</v>
          </cell>
        </row>
        <row r="1664">
          <cell r="I1664" t="e">
            <v>#VALUE!</v>
          </cell>
          <cell r="J1664">
            <v>0</v>
          </cell>
        </row>
        <row r="1665">
          <cell r="I1665">
            <v>25204</v>
          </cell>
          <cell r="J1665">
            <v>34.200000000000003</v>
          </cell>
        </row>
        <row r="1666">
          <cell r="I1666" t="e">
            <v>#VALUE!</v>
          </cell>
          <cell r="J1666">
            <v>0</v>
          </cell>
        </row>
        <row r="1667">
          <cell r="I1667">
            <v>25204</v>
          </cell>
          <cell r="J1667">
            <v>34.799999999999997</v>
          </cell>
        </row>
        <row r="1668">
          <cell r="I1668" t="e">
            <v>#VALUE!</v>
          </cell>
          <cell r="J1668">
            <v>0</v>
          </cell>
        </row>
        <row r="1669">
          <cell r="I1669">
            <v>25235</v>
          </cell>
          <cell r="J1669">
            <v>35</v>
          </cell>
        </row>
        <row r="1670">
          <cell r="I1670" t="e">
            <v>#VALUE!</v>
          </cell>
          <cell r="J1670">
            <v>0</v>
          </cell>
        </row>
        <row r="1671">
          <cell r="I1671">
            <v>25263</v>
          </cell>
          <cell r="J1671">
            <v>35.200000000000003</v>
          </cell>
        </row>
        <row r="1672">
          <cell r="I1672" t="e">
            <v>#VALUE!</v>
          </cell>
          <cell r="J1672">
            <v>0</v>
          </cell>
        </row>
        <row r="1673">
          <cell r="I1673">
            <v>25294</v>
          </cell>
          <cell r="J1673">
            <v>35.299999999999997</v>
          </cell>
        </row>
        <row r="1674">
          <cell r="I1674" t="e">
            <v>#VALUE!</v>
          </cell>
          <cell r="J1674">
            <v>0</v>
          </cell>
        </row>
        <row r="1675">
          <cell r="I1675">
            <v>25324</v>
          </cell>
          <cell r="J1675">
            <v>35.5</v>
          </cell>
        </row>
        <row r="1676">
          <cell r="I1676" t="e">
            <v>#VALUE!</v>
          </cell>
          <cell r="J1676">
            <v>0</v>
          </cell>
        </row>
        <row r="1677">
          <cell r="I1677">
            <v>25355</v>
          </cell>
          <cell r="J1677">
            <v>35.700000000000003</v>
          </cell>
        </row>
        <row r="1678">
          <cell r="I1678" t="e">
            <v>#VALUE!</v>
          </cell>
          <cell r="J1678">
            <v>0</v>
          </cell>
        </row>
        <row r="1679">
          <cell r="I1679">
            <v>25385</v>
          </cell>
          <cell r="J1679">
            <v>35.799999999999997</v>
          </cell>
        </row>
        <row r="1680">
          <cell r="I1680" t="e">
            <v>#VALUE!</v>
          </cell>
          <cell r="J1680">
            <v>0</v>
          </cell>
        </row>
        <row r="1681">
          <cell r="I1681">
            <v>25416</v>
          </cell>
          <cell r="J1681">
            <v>35.700000000000003</v>
          </cell>
        </row>
        <row r="1682">
          <cell r="I1682" t="e">
            <v>#VALUE!</v>
          </cell>
          <cell r="J1682">
            <v>0</v>
          </cell>
        </row>
        <row r="1683">
          <cell r="I1683">
            <v>25447</v>
          </cell>
          <cell r="J1683">
            <v>35.799999999999997</v>
          </cell>
        </row>
        <row r="1684">
          <cell r="I1684" t="e">
            <v>#VALUE!</v>
          </cell>
          <cell r="J1684">
            <v>0</v>
          </cell>
        </row>
        <row r="1685">
          <cell r="I1685">
            <v>25477</v>
          </cell>
          <cell r="J1685">
            <v>35.9</v>
          </cell>
        </row>
        <row r="1686">
          <cell r="I1686" t="e">
            <v>#VALUE!</v>
          </cell>
          <cell r="J1686">
            <v>0</v>
          </cell>
        </row>
        <row r="1687">
          <cell r="I1687">
            <v>25508</v>
          </cell>
          <cell r="J1687">
            <v>36.1</v>
          </cell>
        </row>
        <row r="1688">
          <cell r="I1688" t="e">
            <v>#VALUE!</v>
          </cell>
          <cell r="J1688">
            <v>0</v>
          </cell>
        </row>
        <row r="1689">
          <cell r="I1689">
            <v>25538</v>
          </cell>
          <cell r="J1689">
            <v>36.299999999999997</v>
          </cell>
        </row>
        <row r="1690">
          <cell r="I1690" t="e">
            <v>#VALUE!</v>
          </cell>
          <cell r="J1690">
            <v>0</v>
          </cell>
        </row>
        <row r="1691">
          <cell r="I1691">
            <v>25569</v>
          </cell>
          <cell r="J1691">
            <v>35.6</v>
          </cell>
        </row>
        <row r="1692">
          <cell r="I1692" t="e">
            <v>#VALUE!</v>
          </cell>
          <cell r="J1692">
            <v>0</v>
          </cell>
        </row>
        <row r="1693">
          <cell r="I1693">
            <v>25569</v>
          </cell>
          <cell r="J1693">
            <v>36.5</v>
          </cell>
        </row>
        <row r="1694">
          <cell r="I1694" t="e">
            <v>#VALUE!</v>
          </cell>
          <cell r="J1694">
            <v>0</v>
          </cell>
        </row>
        <row r="1695">
          <cell r="I1695">
            <v>25600</v>
          </cell>
          <cell r="J1695">
            <v>36.700000000000003</v>
          </cell>
        </row>
        <row r="1696">
          <cell r="I1696" t="e">
            <v>#VALUE!</v>
          </cell>
          <cell r="J1696">
            <v>0</v>
          </cell>
        </row>
        <row r="1697">
          <cell r="I1697">
            <v>25628</v>
          </cell>
          <cell r="J1697">
            <v>36.700000000000003</v>
          </cell>
        </row>
        <row r="1698">
          <cell r="I1698" t="e">
            <v>#VALUE!</v>
          </cell>
          <cell r="J1698">
            <v>0</v>
          </cell>
        </row>
        <row r="1699">
          <cell r="I1699">
            <v>25659</v>
          </cell>
          <cell r="J1699">
            <v>36.799999999999997</v>
          </cell>
        </row>
        <row r="1700">
          <cell r="I1700" t="e">
            <v>#VALUE!</v>
          </cell>
          <cell r="J1700">
            <v>0</v>
          </cell>
        </row>
        <row r="1701">
          <cell r="I1701">
            <v>25689</v>
          </cell>
          <cell r="J1701">
            <v>36.799999999999997</v>
          </cell>
        </row>
        <row r="1702">
          <cell r="I1702" t="e">
            <v>#VALUE!</v>
          </cell>
          <cell r="J1702">
            <v>0</v>
          </cell>
        </row>
        <row r="1703">
          <cell r="I1703">
            <v>25720</v>
          </cell>
          <cell r="J1703">
            <v>36.9</v>
          </cell>
        </row>
        <row r="1704">
          <cell r="I1704" t="e">
            <v>#VALUE!</v>
          </cell>
          <cell r="J1704">
            <v>0</v>
          </cell>
        </row>
        <row r="1705">
          <cell r="I1705">
            <v>25750</v>
          </cell>
          <cell r="J1705">
            <v>37.1</v>
          </cell>
        </row>
        <row r="1706">
          <cell r="I1706" t="e">
            <v>#VALUE!</v>
          </cell>
          <cell r="J1706">
            <v>0</v>
          </cell>
        </row>
        <row r="1707">
          <cell r="I1707">
            <v>25781</v>
          </cell>
          <cell r="J1707">
            <v>36.9</v>
          </cell>
        </row>
        <row r="1708">
          <cell r="I1708" t="e">
            <v>#VALUE!</v>
          </cell>
          <cell r="J1708">
            <v>0</v>
          </cell>
        </row>
        <row r="1709">
          <cell r="I1709">
            <v>25812</v>
          </cell>
          <cell r="J1709">
            <v>37.1</v>
          </cell>
        </row>
        <row r="1710">
          <cell r="I1710" t="e">
            <v>#VALUE!</v>
          </cell>
          <cell r="J1710">
            <v>0</v>
          </cell>
        </row>
        <row r="1711">
          <cell r="I1711">
            <v>25842</v>
          </cell>
          <cell r="J1711">
            <v>37.1</v>
          </cell>
        </row>
        <row r="1712">
          <cell r="I1712" t="e">
            <v>#VALUE!</v>
          </cell>
          <cell r="J1712">
            <v>0</v>
          </cell>
        </row>
        <row r="1713">
          <cell r="I1713">
            <v>25873</v>
          </cell>
          <cell r="J1713">
            <v>37.1</v>
          </cell>
        </row>
        <row r="1714">
          <cell r="I1714" t="e">
            <v>#VALUE!</v>
          </cell>
          <cell r="J1714">
            <v>0</v>
          </cell>
        </row>
        <row r="1715">
          <cell r="I1715">
            <v>25903</v>
          </cell>
          <cell r="J1715">
            <v>37.1</v>
          </cell>
        </row>
        <row r="1716">
          <cell r="I1716" t="e">
            <v>#VALUE!</v>
          </cell>
          <cell r="J1716">
            <v>0</v>
          </cell>
        </row>
        <row r="1717">
          <cell r="I1717">
            <v>25934</v>
          </cell>
          <cell r="J1717">
            <v>36.9</v>
          </cell>
        </row>
        <row r="1718">
          <cell r="I1718" t="e">
            <v>#VALUE!</v>
          </cell>
          <cell r="J1718">
            <v>0</v>
          </cell>
        </row>
        <row r="1719">
          <cell r="I1719">
            <v>25934</v>
          </cell>
          <cell r="J1719">
            <v>37.299999999999997</v>
          </cell>
        </row>
        <row r="1720">
          <cell r="I1720" t="e">
            <v>#VALUE!</v>
          </cell>
          <cell r="J1720">
            <v>0</v>
          </cell>
        </row>
        <row r="1721">
          <cell r="I1721">
            <v>25965</v>
          </cell>
          <cell r="J1721">
            <v>37.700000000000003</v>
          </cell>
        </row>
        <row r="1722">
          <cell r="I1722" t="e">
            <v>#VALUE!</v>
          </cell>
          <cell r="J1722">
            <v>0</v>
          </cell>
        </row>
        <row r="1723">
          <cell r="I1723">
            <v>25993</v>
          </cell>
          <cell r="J1723">
            <v>37.799999999999997</v>
          </cell>
        </row>
        <row r="1724">
          <cell r="I1724" t="e">
            <v>#VALUE!</v>
          </cell>
          <cell r="J1724">
            <v>0</v>
          </cell>
        </row>
        <row r="1725">
          <cell r="I1725">
            <v>26024</v>
          </cell>
          <cell r="J1725">
            <v>37.9</v>
          </cell>
        </row>
        <row r="1726">
          <cell r="I1726" t="e">
            <v>#VALUE!</v>
          </cell>
          <cell r="J1726">
            <v>0</v>
          </cell>
        </row>
        <row r="1727">
          <cell r="I1727">
            <v>26054</v>
          </cell>
          <cell r="J1727">
            <v>38.1</v>
          </cell>
        </row>
        <row r="1728">
          <cell r="I1728" t="e">
            <v>#VALUE!</v>
          </cell>
          <cell r="J1728">
            <v>0</v>
          </cell>
        </row>
        <row r="1729">
          <cell r="I1729">
            <v>26085</v>
          </cell>
          <cell r="J1729">
            <v>38.200000000000003</v>
          </cell>
        </row>
        <row r="1730">
          <cell r="I1730" t="e">
            <v>#VALUE!</v>
          </cell>
          <cell r="J1730">
            <v>0</v>
          </cell>
        </row>
        <row r="1731">
          <cell r="I1731">
            <v>26115</v>
          </cell>
          <cell r="J1731">
            <v>38.299999999999997</v>
          </cell>
        </row>
        <row r="1732">
          <cell r="I1732" t="e">
            <v>#VALUE!</v>
          </cell>
          <cell r="J1732">
            <v>0</v>
          </cell>
        </row>
        <row r="1733">
          <cell r="I1733">
            <v>26146</v>
          </cell>
          <cell r="J1733">
            <v>38.5</v>
          </cell>
        </row>
        <row r="1734">
          <cell r="I1734" t="e">
            <v>#VALUE!</v>
          </cell>
          <cell r="J1734">
            <v>0</v>
          </cell>
        </row>
        <row r="1735">
          <cell r="I1735">
            <v>26177</v>
          </cell>
          <cell r="J1735">
            <v>38.299999999999997</v>
          </cell>
        </row>
        <row r="1736">
          <cell r="I1736" t="e">
            <v>#VALUE!</v>
          </cell>
          <cell r="J1736">
            <v>0</v>
          </cell>
        </row>
        <row r="1737">
          <cell r="I1737">
            <v>26207</v>
          </cell>
          <cell r="J1737">
            <v>38.299999999999997</v>
          </cell>
        </row>
        <row r="1738">
          <cell r="I1738" t="e">
            <v>#VALUE!</v>
          </cell>
          <cell r="J1738">
            <v>0</v>
          </cell>
        </row>
        <row r="1739">
          <cell r="I1739">
            <v>26238</v>
          </cell>
          <cell r="J1739">
            <v>38.299999999999997</v>
          </cell>
        </row>
        <row r="1740">
          <cell r="I1740" t="e">
            <v>#VALUE!</v>
          </cell>
          <cell r="J1740">
            <v>0</v>
          </cell>
        </row>
        <row r="1741">
          <cell r="I1741">
            <v>26268</v>
          </cell>
          <cell r="J1741">
            <v>38.6</v>
          </cell>
        </row>
        <row r="1742">
          <cell r="I1742" t="e">
            <v>#VALUE!</v>
          </cell>
          <cell r="J1742">
            <v>0</v>
          </cell>
        </row>
        <row r="1743">
          <cell r="I1743">
            <v>26299</v>
          </cell>
          <cell r="J1743">
            <v>38.1</v>
          </cell>
        </row>
        <row r="1744">
          <cell r="I1744" t="e">
            <v>#VALUE!</v>
          </cell>
          <cell r="J1744">
            <v>0</v>
          </cell>
        </row>
        <row r="1745">
          <cell r="I1745">
            <v>26299</v>
          </cell>
          <cell r="J1745">
            <v>38.799999999999997</v>
          </cell>
        </row>
        <row r="1746">
          <cell r="I1746" t="e">
            <v>#VALUE!</v>
          </cell>
          <cell r="J1746">
            <v>0</v>
          </cell>
        </row>
        <row r="1747">
          <cell r="I1747">
            <v>26330</v>
          </cell>
          <cell r="J1747">
            <v>39.200000000000003</v>
          </cell>
        </row>
        <row r="1748">
          <cell r="I1748" t="e">
            <v>#VALUE!</v>
          </cell>
          <cell r="J1748">
            <v>0</v>
          </cell>
        </row>
        <row r="1749">
          <cell r="I1749">
            <v>26359</v>
          </cell>
          <cell r="J1749">
            <v>39.200000000000003</v>
          </cell>
        </row>
        <row r="1750">
          <cell r="I1750" t="e">
            <v>#VALUE!</v>
          </cell>
          <cell r="J1750">
            <v>0</v>
          </cell>
        </row>
        <row r="1751">
          <cell r="I1751">
            <v>26390</v>
          </cell>
          <cell r="J1751">
            <v>39.299999999999997</v>
          </cell>
        </row>
        <row r="1752">
          <cell r="I1752" t="e">
            <v>#VALUE!</v>
          </cell>
          <cell r="J1752">
            <v>0</v>
          </cell>
        </row>
        <row r="1753">
          <cell r="I1753">
            <v>26420</v>
          </cell>
          <cell r="J1753">
            <v>39.5</v>
          </cell>
        </row>
        <row r="1754">
          <cell r="I1754" t="e">
            <v>#VALUE!</v>
          </cell>
          <cell r="J1754">
            <v>0</v>
          </cell>
        </row>
        <row r="1755">
          <cell r="I1755">
            <v>26451</v>
          </cell>
          <cell r="J1755">
            <v>39.700000000000003</v>
          </cell>
        </row>
        <row r="1756">
          <cell r="I1756" t="e">
            <v>#VALUE!</v>
          </cell>
          <cell r="J1756">
            <v>0</v>
          </cell>
        </row>
        <row r="1757">
          <cell r="I1757">
            <v>26481</v>
          </cell>
          <cell r="J1757">
            <v>40</v>
          </cell>
        </row>
        <row r="1758">
          <cell r="I1758" t="e">
            <v>#VALUE!</v>
          </cell>
          <cell r="J1758">
            <v>0</v>
          </cell>
        </row>
        <row r="1759">
          <cell r="I1759">
            <v>26512</v>
          </cell>
          <cell r="J1759">
            <v>40.1</v>
          </cell>
        </row>
        <row r="1760">
          <cell r="I1760" t="e">
            <v>#VALUE!</v>
          </cell>
          <cell r="J1760">
            <v>0</v>
          </cell>
        </row>
        <row r="1761">
          <cell r="I1761">
            <v>26543</v>
          </cell>
          <cell r="J1761">
            <v>40.200000000000003</v>
          </cell>
        </row>
        <row r="1762">
          <cell r="I1762" t="e">
            <v>#VALUE!</v>
          </cell>
          <cell r="J1762">
            <v>0</v>
          </cell>
        </row>
        <row r="1763">
          <cell r="I1763">
            <v>26573</v>
          </cell>
          <cell r="J1763">
            <v>40.1</v>
          </cell>
        </row>
        <row r="1764">
          <cell r="I1764" t="e">
            <v>#VALUE!</v>
          </cell>
          <cell r="J1764">
            <v>0</v>
          </cell>
        </row>
        <row r="1765">
          <cell r="I1765">
            <v>26604</v>
          </cell>
          <cell r="J1765">
            <v>40.299999999999997</v>
          </cell>
        </row>
        <row r="1766">
          <cell r="I1766" t="e">
            <v>#VALUE!</v>
          </cell>
          <cell r="J1766">
            <v>0</v>
          </cell>
        </row>
        <row r="1767">
          <cell r="I1767">
            <v>26634</v>
          </cell>
          <cell r="J1767">
            <v>41.1</v>
          </cell>
        </row>
        <row r="1768">
          <cell r="I1768" t="e">
            <v>#VALUE!</v>
          </cell>
          <cell r="J1768">
            <v>0</v>
          </cell>
        </row>
        <row r="1769">
          <cell r="I1769">
            <v>26665</v>
          </cell>
          <cell r="J1769">
            <v>39.799999999999997</v>
          </cell>
        </row>
        <row r="1770">
          <cell r="I1770" t="e">
            <v>#VALUE!</v>
          </cell>
          <cell r="J1770">
            <v>0</v>
          </cell>
        </row>
        <row r="1771">
          <cell r="I1771">
            <v>26665</v>
          </cell>
          <cell r="J1771">
            <v>41.6</v>
          </cell>
        </row>
        <row r="1772">
          <cell r="I1772" t="e">
            <v>#VALUE!</v>
          </cell>
          <cell r="J1772">
            <v>0</v>
          </cell>
        </row>
        <row r="1773">
          <cell r="I1773">
            <v>26696</v>
          </cell>
          <cell r="J1773">
            <v>42.4</v>
          </cell>
        </row>
        <row r="1774">
          <cell r="I1774" t="e">
            <v>#VALUE!</v>
          </cell>
          <cell r="J1774">
            <v>0</v>
          </cell>
        </row>
        <row r="1775">
          <cell r="I1775">
            <v>26724</v>
          </cell>
          <cell r="J1775">
            <v>43.4</v>
          </cell>
        </row>
        <row r="1776">
          <cell r="I1776" t="e">
            <v>#VALUE!</v>
          </cell>
          <cell r="J1776">
            <v>0</v>
          </cell>
        </row>
        <row r="1777">
          <cell r="I1777">
            <v>26755</v>
          </cell>
          <cell r="J1777">
            <v>43.6</v>
          </cell>
        </row>
        <row r="1778">
          <cell r="I1778" t="e">
            <v>#VALUE!</v>
          </cell>
          <cell r="J1778">
            <v>0</v>
          </cell>
        </row>
        <row r="1779">
          <cell r="I1779">
            <v>26785</v>
          </cell>
          <cell r="J1779">
            <v>44.5</v>
          </cell>
        </row>
        <row r="1780">
          <cell r="I1780" t="e">
            <v>#VALUE!</v>
          </cell>
          <cell r="J1780">
            <v>0</v>
          </cell>
        </row>
        <row r="1781">
          <cell r="I1781">
            <v>26816</v>
          </cell>
          <cell r="J1781">
            <v>45.5</v>
          </cell>
        </row>
        <row r="1782">
          <cell r="I1782" t="e">
            <v>#VALUE!</v>
          </cell>
          <cell r="J1782">
            <v>0</v>
          </cell>
        </row>
        <row r="1783">
          <cell r="I1783">
            <v>26846</v>
          </cell>
          <cell r="J1783">
            <v>44.9</v>
          </cell>
        </row>
        <row r="1784">
          <cell r="I1784" t="e">
            <v>#VALUE!</v>
          </cell>
          <cell r="J1784">
            <v>0</v>
          </cell>
        </row>
        <row r="1785">
          <cell r="I1785">
            <v>26877</v>
          </cell>
          <cell r="J1785">
            <v>47.5</v>
          </cell>
        </row>
        <row r="1786">
          <cell r="I1786" t="e">
            <v>#VALUE!</v>
          </cell>
          <cell r="J1786">
            <v>0</v>
          </cell>
        </row>
        <row r="1787">
          <cell r="I1787">
            <v>26908</v>
          </cell>
          <cell r="J1787">
            <v>46.7</v>
          </cell>
        </row>
        <row r="1788">
          <cell r="I1788" t="e">
            <v>#VALUE!</v>
          </cell>
          <cell r="J1788">
            <v>0</v>
          </cell>
        </row>
        <row r="1789">
          <cell r="I1789">
            <v>26938</v>
          </cell>
          <cell r="J1789">
            <v>46.3</v>
          </cell>
        </row>
        <row r="1790">
          <cell r="I1790" t="e">
            <v>#VALUE!</v>
          </cell>
          <cell r="J1790">
            <v>0</v>
          </cell>
        </row>
        <row r="1791">
          <cell r="I1791">
            <v>26969</v>
          </cell>
          <cell r="J1791">
            <v>46.5</v>
          </cell>
        </row>
        <row r="1792">
          <cell r="I1792" t="e">
            <v>#VALUE!</v>
          </cell>
          <cell r="J1792">
            <v>0</v>
          </cell>
        </row>
        <row r="1793">
          <cell r="I1793">
            <v>26999</v>
          </cell>
          <cell r="J1793">
            <v>47.4</v>
          </cell>
        </row>
        <row r="1794">
          <cell r="I1794" t="e">
            <v>#VALUE!</v>
          </cell>
          <cell r="J1794">
            <v>0</v>
          </cell>
        </row>
        <row r="1795">
          <cell r="I1795">
            <v>27030</v>
          </cell>
          <cell r="J1795">
            <v>45</v>
          </cell>
        </row>
        <row r="1796">
          <cell r="I1796" t="e">
            <v>#VALUE!</v>
          </cell>
          <cell r="J1796">
            <v>0</v>
          </cell>
        </row>
        <row r="1797">
          <cell r="I1797">
            <v>27030</v>
          </cell>
          <cell r="J1797">
            <v>49</v>
          </cell>
        </row>
        <row r="1798">
          <cell r="I1798" t="e">
            <v>#VALUE!</v>
          </cell>
          <cell r="J1798">
            <v>0</v>
          </cell>
        </row>
        <row r="1799">
          <cell r="I1799">
            <v>27061</v>
          </cell>
          <cell r="J1799">
            <v>50</v>
          </cell>
        </row>
        <row r="1800">
          <cell r="I1800" t="e">
            <v>#VALUE!</v>
          </cell>
          <cell r="J1800">
            <v>0</v>
          </cell>
        </row>
        <row r="1801">
          <cell r="I1801">
            <v>27089</v>
          </cell>
          <cell r="J1801">
            <v>50.6</v>
          </cell>
        </row>
        <row r="1802">
          <cell r="I1802" t="e">
            <v>#VALUE!</v>
          </cell>
          <cell r="J1802">
            <v>0</v>
          </cell>
        </row>
        <row r="1803">
          <cell r="I1803">
            <v>27120</v>
          </cell>
          <cell r="J1803">
            <v>51</v>
          </cell>
        </row>
        <row r="1804">
          <cell r="I1804" t="e">
            <v>#VALUE!</v>
          </cell>
          <cell r="J1804">
            <v>0</v>
          </cell>
        </row>
        <row r="1805">
          <cell r="I1805">
            <v>27150</v>
          </cell>
          <cell r="J1805">
            <v>51.8</v>
          </cell>
        </row>
        <row r="1806">
          <cell r="I1806" t="e">
            <v>#VALUE!</v>
          </cell>
          <cell r="J1806">
            <v>0</v>
          </cell>
        </row>
        <row r="1807">
          <cell r="I1807">
            <v>27181</v>
          </cell>
          <cell r="J1807">
            <v>52</v>
          </cell>
        </row>
        <row r="1808">
          <cell r="I1808" t="e">
            <v>#VALUE!</v>
          </cell>
          <cell r="J1808">
            <v>0</v>
          </cell>
        </row>
        <row r="1809">
          <cell r="I1809">
            <v>27211</v>
          </cell>
          <cell r="J1809">
            <v>54</v>
          </cell>
        </row>
        <row r="1810">
          <cell r="I1810" t="e">
            <v>#VALUE!</v>
          </cell>
          <cell r="J1810">
            <v>0</v>
          </cell>
        </row>
        <row r="1811">
          <cell r="I1811">
            <v>27242</v>
          </cell>
          <cell r="J1811">
            <v>55.9</v>
          </cell>
        </row>
        <row r="1812">
          <cell r="I1812" t="e">
            <v>#VALUE!</v>
          </cell>
          <cell r="J1812">
            <v>0</v>
          </cell>
        </row>
        <row r="1813">
          <cell r="I1813">
            <v>27273</v>
          </cell>
          <cell r="J1813">
            <v>55.9</v>
          </cell>
        </row>
        <row r="1814">
          <cell r="I1814" t="e">
            <v>#VALUE!</v>
          </cell>
          <cell r="J1814">
            <v>0</v>
          </cell>
        </row>
        <row r="1815">
          <cell r="I1815">
            <v>27303</v>
          </cell>
          <cell r="J1815">
            <v>56.9</v>
          </cell>
        </row>
        <row r="1816">
          <cell r="I1816" t="e">
            <v>#VALUE!</v>
          </cell>
          <cell r="J1816">
            <v>0</v>
          </cell>
        </row>
        <row r="1817">
          <cell r="I1817">
            <v>27334</v>
          </cell>
          <cell r="J1817">
            <v>57.4</v>
          </cell>
        </row>
        <row r="1818">
          <cell r="I1818" t="e">
            <v>#VALUE!</v>
          </cell>
          <cell r="J1818">
            <v>0</v>
          </cell>
        </row>
        <row r="1819">
          <cell r="I1819">
            <v>27364</v>
          </cell>
          <cell r="J1819">
            <v>57.3</v>
          </cell>
        </row>
        <row r="1820">
          <cell r="I1820" t="e">
            <v>#VALUE!</v>
          </cell>
          <cell r="J1820">
            <v>0</v>
          </cell>
        </row>
        <row r="1821">
          <cell r="I1821">
            <v>27395</v>
          </cell>
          <cell r="J1821">
            <v>53.5</v>
          </cell>
        </row>
        <row r="1822">
          <cell r="I1822" t="e">
            <v>#VALUE!</v>
          </cell>
          <cell r="J1822">
            <v>0</v>
          </cell>
        </row>
        <row r="1823">
          <cell r="I1823">
            <v>27395</v>
          </cell>
          <cell r="J1823">
            <v>57.4</v>
          </cell>
        </row>
        <row r="1824">
          <cell r="I1824" t="e">
            <v>#VALUE!</v>
          </cell>
          <cell r="J1824">
            <v>0</v>
          </cell>
        </row>
        <row r="1825">
          <cell r="I1825">
            <v>27426</v>
          </cell>
          <cell r="J1825">
            <v>57.2</v>
          </cell>
        </row>
        <row r="1826">
          <cell r="I1826" t="e">
            <v>#VALUE!</v>
          </cell>
          <cell r="J1826">
            <v>0</v>
          </cell>
        </row>
        <row r="1827">
          <cell r="I1827">
            <v>27454</v>
          </cell>
          <cell r="J1827">
            <v>56.9</v>
          </cell>
        </row>
        <row r="1828">
          <cell r="I1828" t="e">
            <v>#VALUE!</v>
          </cell>
          <cell r="J1828">
            <v>0</v>
          </cell>
        </row>
        <row r="1829">
          <cell r="I1829">
            <v>27485</v>
          </cell>
          <cell r="J1829">
            <v>57.5</v>
          </cell>
        </row>
        <row r="1830">
          <cell r="I1830" t="e">
            <v>#VALUE!</v>
          </cell>
          <cell r="J1830">
            <v>0</v>
          </cell>
        </row>
        <row r="1831">
          <cell r="I1831">
            <v>27515</v>
          </cell>
          <cell r="J1831">
            <v>57.9</v>
          </cell>
        </row>
        <row r="1832">
          <cell r="I1832" t="e">
            <v>#VALUE!</v>
          </cell>
          <cell r="J1832">
            <v>0</v>
          </cell>
        </row>
        <row r="1833">
          <cell r="I1833">
            <v>27546</v>
          </cell>
          <cell r="J1833">
            <v>58</v>
          </cell>
        </row>
        <row r="1834">
          <cell r="I1834" t="e">
            <v>#VALUE!</v>
          </cell>
          <cell r="J1834">
            <v>0</v>
          </cell>
        </row>
        <row r="1835">
          <cell r="I1835">
            <v>27576</v>
          </cell>
          <cell r="J1835">
            <v>58.7</v>
          </cell>
        </row>
        <row r="1836">
          <cell r="I1836" t="e">
            <v>#VALUE!</v>
          </cell>
          <cell r="J1836">
            <v>0</v>
          </cell>
        </row>
        <row r="1837">
          <cell r="I1837">
            <v>27607</v>
          </cell>
          <cell r="J1837">
            <v>59</v>
          </cell>
        </row>
        <row r="1838">
          <cell r="I1838" t="e">
            <v>#VALUE!</v>
          </cell>
          <cell r="J1838">
            <v>0</v>
          </cell>
        </row>
        <row r="1839">
          <cell r="I1839">
            <v>27638</v>
          </cell>
          <cell r="J1839">
            <v>59.4</v>
          </cell>
        </row>
        <row r="1840">
          <cell r="I1840" t="e">
            <v>#VALUE!</v>
          </cell>
          <cell r="J1840">
            <v>0</v>
          </cell>
        </row>
        <row r="1841">
          <cell r="I1841">
            <v>27668</v>
          </cell>
          <cell r="J1841">
            <v>59.8</v>
          </cell>
        </row>
        <row r="1842">
          <cell r="I1842" t="e">
            <v>#VALUE!</v>
          </cell>
          <cell r="J1842">
            <v>0</v>
          </cell>
        </row>
        <row r="1843">
          <cell r="I1843">
            <v>27699</v>
          </cell>
          <cell r="J1843">
            <v>59.5</v>
          </cell>
        </row>
        <row r="1844">
          <cell r="I1844" t="e">
            <v>#VALUE!</v>
          </cell>
          <cell r="J1844">
            <v>0</v>
          </cell>
        </row>
        <row r="1845">
          <cell r="I1845">
            <v>27729</v>
          </cell>
          <cell r="J1845">
            <v>59.7</v>
          </cell>
        </row>
        <row r="1846">
          <cell r="I1846" t="e">
            <v>#VALUE!</v>
          </cell>
          <cell r="J1846">
            <v>0</v>
          </cell>
        </row>
        <row r="1847">
          <cell r="I1847">
            <v>27760</v>
          </cell>
          <cell r="J1847">
            <v>58.4</v>
          </cell>
        </row>
        <row r="1848">
          <cell r="I1848" t="e">
            <v>#VALUE!</v>
          </cell>
          <cell r="J1848">
            <v>0</v>
          </cell>
        </row>
        <row r="1849">
          <cell r="I1849">
            <v>27760</v>
          </cell>
          <cell r="J1849">
            <v>59.9</v>
          </cell>
        </row>
        <row r="1850">
          <cell r="I1850" t="e">
            <v>#VALUE!</v>
          </cell>
          <cell r="J1850">
            <v>0</v>
          </cell>
        </row>
        <row r="1851">
          <cell r="I1851">
            <v>27791</v>
          </cell>
          <cell r="J1851">
            <v>59.9</v>
          </cell>
        </row>
        <row r="1852">
          <cell r="I1852" t="e">
            <v>#VALUE!</v>
          </cell>
          <cell r="J1852">
            <v>0</v>
          </cell>
        </row>
        <row r="1853">
          <cell r="I1853">
            <v>27820</v>
          </cell>
          <cell r="J1853">
            <v>60</v>
          </cell>
        </row>
        <row r="1854">
          <cell r="I1854" t="e">
            <v>#VALUE!</v>
          </cell>
          <cell r="J1854">
            <v>0</v>
          </cell>
        </row>
        <row r="1855">
          <cell r="I1855">
            <v>27851</v>
          </cell>
          <cell r="J1855">
            <v>60.6</v>
          </cell>
        </row>
        <row r="1856">
          <cell r="I1856" t="e">
            <v>#VALUE!</v>
          </cell>
          <cell r="J1856">
            <v>0</v>
          </cell>
        </row>
        <row r="1857">
          <cell r="I1857">
            <v>27881</v>
          </cell>
          <cell r="J1857">
            <v>60.8</v>
          </cell>
        </row>
        <row r="1858">
          <cell r="I1858" t="e">
            <v>#VALUE!</v>
          </cell>
          <cell r="J1858">
            <v>0</v>
          </cell>
        </row>
        <row r="1859">
          <cell r="I1859">
            <v>27912</v>
          </cell>
          <cell r="J1859">
            <v>61.2</v>
          </cell>
        </row>
        <row r="1860">
          <cell r="I1860" t="e">
            <v>#VALUE!</v>
          </cell>
          <cell r="J1860">
            <v>0</v>
          </cell>
        </row>
        <row r="1861">
          <cell r="I1861">
            <v>27942</v>
          </cell>
          <cell r="J1861">
            <v>61.6</v>
          </cell>
        </row>
        <row r="1862">
          <cell r="I1862" t="e">
            <v>#VALUE!</v>
          </cell>
          <cell r="J1862">
            <v>0</v>
          </cell>
        </row>
        <row r="1863">
          <cell r="I1863">
            <v>27973</v>
          </cell>
          <cell r="J1863">
            <v>61.4</v>
          </cell>
        </row>
        <row r="1864">
          <cell r="I1864" t="e">
            <v>#VALUE!</v>
          </cell>
          <cell r="J1864">
            <v>0</v>
          </cell>
        </row>
        <row r="1865">
          <cell r="I1865">
            <v>28004</v>
          </cell>
          <cell r="J1865">
            <v>61.8</v>
          </cell>
        </row>
        <row r="1866">
          <cell r="I1866" t="e">
            <v>#VALUE!</v>
          </cell>
          <cell r="J1866">
            <v>0</v>
          </cell>
        </row>
        <row r="1867">
          <cell r="I1867">
            <v>28034</v>
          </cell>
          <cell r="J1867">
            <v>61.9</v>
          </cell>
        </row>
        <row r="1868">
          <cell r="I1868" t="e">
            <v>#VALUE!</v>
          </cell>
          <cell r="J1868">
            <v>0</v>
          </cell>
        </row>
        <row r="1869">
          <cell r="I1869">
            <v>28065</v>
          </cell>
          <cell r="J1869">
            <v>62</v>
          </cell>
        </row>
        <row r="1870">
          <cell r="I1870" t="e">
            <v>#VALUE!</v>
          </cell>
          <cell r="J1870">
            <v>0</v>
          </cell>
        </row>
        <row r="1871">
          <cell r="I1871">
            <v>28095</v>
          </cell>
          <cell r="J1871">
            <v>62.5</v>
          </cell>
        </row>
        <row r="1872">
          <cell r="I1872" t="e">
            <v>#VALUE!</v>
          </cell>
          <cell r="J1872">
            <v>0</v>
          </cell>
        </row>
        <row r="1873">
          <cell r="I1873">
            <v>28126</v>
          </cell>
          <cell r="J1873">
            <v>61.1</v>
          </cell>
        </row>
        <row r="1874">
          <cell r="I1874" t="e">
            <v>#VALUE!</v>
          </cell>
          <cell r="J1874">
            <v>0</v>
          </cell>
        </row>
        <row r="1875">
          <cell r="I1875">
            <v>28126</v>
          </cell>
          <cell r="J1875">
            <v>62.8</v>
          </cell>
        </row>
        <row r="1876">
          <cell r="I1876" t="e">
            <v>#VALUE!</v>
          </cell>
          <cell r="J1876">
            <v>0</v>
          </cell>
        </row>
        <row r="1877">
          <cell r="I1877">
            <v>28157</v>
          </cell>
          <cell r="J1877">
            <v>63.5</v>
          </cell>
        </row>
        <row r="1878">
          <cell r="I1878" t="e">
            <v>#VALUE!</v>
          </cell>
          <cell r="J1878">
            <v>0</v>
          </cell>
        </row>
        <row r="1879">
          <cell r="I1879">
            <v>28185</v>
          </cell>
          <cell r="J1879">
            <v>64.099999999999994</v>
          </cell>
        </row>
        <row r="1880">
          <cell r="I1880" t="e">
            <v>#VALUE!</v>
          </cell>
          <cell r="J1880">
            <v>0</v>
          </cell>
        </row>
        <row r="1881">
          <cell r="I1881">
            <v>28216</v>
          </cell>
          <cell r="J1881">
            <v>64.900000000000006</v>
          </cell>
        </row>
        <row r="1882">
          <cell r="I1882" t="e">
            <v>#VALUE!</v>
          </cell>
          <cell r="J1882">
            <v>0</v>
          </cell>
        </row>
        <row r="1883">
          <cell r="I1883">
            <v>28246</v>
          </cell>
          <cell r="J1883">
            <v>65.2</v>
          </cell>
        </row>
        <row r="1884">
          <cell r="I1884" t="e">
            <v>#VALUE!</v>
          </cell>
          <cell r="J1884">
            <v>0</v>
          </cell>
        </row>
        <row r="1885">
          <cell r="I1885">
            <v>28277</v>
          </cell>
          <cell r="J1885">
            <v>65</v>
          </cell>
        </row>
        <row r="1886">
          <cell r="I1886" t="e">
            <v>#VALUE!</v>
          </cell>
          <cell r="J1886">
            <v>0</v>
          </cell>
        </row>
        <row r="1887">
          <cell r="I1887">
            <v>28307</v>
          </cell>
          <cell r="J1887">
            <v>65.099999999999994</v>
          </cell>
        </row>
        <row r="1888">
          <cell r="I1888" t="e">
            <v>#VALUE!</v>
          </cell>
          <cell r="J1888">
            <v>0</v>
          </cell>
        </row>
        <row r="1889">
          <cell r="I1889">
            <v>28338</v>
          </cell>
          <cell r="J1889">
            <v>65</v>
          </cell>
        </row>
        <row r="1890">
          <cell r="I1890" t="e">
            <v>#VALUE!</v>
          </cell>
          <cell r="J1890">
            <v>0</v>
          </cell>
        </row>
        <row r="1891">
          <cell r="I1891">
            <v>28369</v>
          </cell>
          <cell r="J1891">
            <v>65.3</v>
          </cell>
        </row>
        <row r="1892">
          <cell r="I1892" t="e">
            <v>#VALUE!</v>
          </cell>
          <cell r="J1892">
            <v>0</v>
          </cell>
        </row>
        <row r="1893">
          <cell r="I1893">
            <v>28399</v>
          </cell>
          <cell r="J1893">
            <v>65.599999999999994</v>
          </cell>
        </row>
        <row r="1894">
          <cell r="I1894" t="e">
            <v>#VALUE!</v>
          </cell>
          <cell r="J1894">
            <v>0</v>
          </cell>
        </row>
        <row r="1895">
          <cell r="I1895">
            <v>28430</v>
          </cell>
          <cell r="J1895">
            <v>65.8</v>
          </cell>
        </row>
        <row r="1896">
          <cell r="I1896" t="e">
            <v>#VALUE!</v>
          </cell>
          <cell r="J1896">
            <v>0</v>
          </cell>
        </row>
        <row r="1897">
          <cell r="I1897">
            <v>28460</v>
          </cell>
          <cell r="J1897">
            <v>66.2</v>
          </cell>
        </row>
        <row r="1898">
          <cell r="I1898" t="e">
            <v>#VALUE!</v>
          </cell>
          <cell r="J1898">
            <v>0</v>
          </cell>
        </row>
        <row r="1899">
          <cell r="I1899">
            <v>28491</v>
          </cell>
          <cell r="J1899">
            <v>64.900000000000006</v>
          </cell>
        </row>
        <row r="1900">
          <cell r="I1900" t="e">
            <v>#VALUE!</v>
          </cell>
          <cell r="J1900">
            <v>0</v>
          </cell>
        </row>
        <row r="1901">
          <cell r="I1901">
            <v>28491</v>
          </cell>
          <cell r="J1901">
            <v>66.8</v>
          </cell>
        </row>
        <row r="1902">
          <cell r="I1902" t="e">
            <v>#VALUE!</v>
          </cell>
          <cell r="J1902">
            <v>0</v>
          </cell>
        </row>
        <row r="1903">
          <cell r="I1903">
            <v>28522</v>
          </cell>
          <cell r="J1903">
            <v>67.5</v>
          </cell>
        </row>
        <row r="1904">
          <cell r="I1904" t="e">
            <v>#VALUE!</v>
          </cell>
          <cell r="J1904">
            <v>0</v>
          </cell>
        </row>
        <row r="1905">
          <cell r="I1905">
            <v>28550</v>
          </cell>
          <cell r="J1905">
            <v>68.099999999999994</v>
          </cell>
        </row>
        <row r="1906">
          <cell r="I1906" t="e">
            <v>#VALUE!</v>
          </cell>
          <cell r="J1906">
            <v>0</v>
          </cell>
        </row>
        <row r="1907">
          <cell r="I1907">
            <v>28581</v>
          </cell>
          <cell r="J1907">
            <v>69</v>
          </cell>
        </row>
        <row r="1908">
          <cell r="I1908" t="e">
            <v>#VALUE!</v>
          </cell>
          <cell r="J1908">
            <v>0</v>
          </cell>
        </row>
        <row r="1909">
          <cell r="I1909">
            <v>28611</v>
          </cell>
          <cell r="J1909">
            <v>69.5</v>
          </cell>
        </row>
        <row r="1910">
          <cell r="I1910" t="e">
            <v>#VALUE!</v>
          </cell>
          <cell r="J1910">
            <v>0</v>
          </cell>
        </row>
        <row r="1911">
          <cell r="I1911">
            <v>28642</v>
          </cell>
          <cell r="J1911">
            <v>70</v>
          </cell>
        </row>
        <row r="1912">
          <cell r="I1912" t="e">
            <v>#VALUE!</v>
          </cell>
          <cell r="J1912">
            <v>0</v>
          </cell>
        </row>
        <row r="1913">
          <cell r="I1913">
            <v>28672</v>
          </cell>
          <cell r="J1913">
            <v>70.400000000000006</v>
          </cell>
        </row>
        <row r="1914">
          <cell r="I1914" t="e">
            <v>#VALUE!</v>
          </cell>
          <cell r="J1914">
            <v>0</v>
          </cell>
        </row>
        <row r="1915">
          <cell r="I1915">
            <v>28703</v>
          </cell>
          <cell r="J1915">
            <v>70.400000000000006</v>
          </cell>
        </row>
        <row r="1916">
          <cell r="I1916" t="e">
            <v>#VALUE!</v>
          </cell>
          <cell r="J1916">
            <v>0</v>
          </cell>
        </row>
        <row r="1917">
          <cell r="I1917">
            <v>28734</v>
          </cell>
          <cell r="J1917">
            <v>71</v>
          </cell>
        </row>
        <row r="1918">
          <cell r="I1918" t="e">
            <v>#VALUE!</v>
          </cell>
          <cell r="J1918">
            <v>0</v>
          </cell>
        </row>
        <row r="1919">
          <cell r="I1919">
            <v>28764</v>
          </cell>
          <cell r="J1919">
            <v>71.8</v>
          </cell>
        </row>
        <row r="1920">
          <cell r="I1920" t="e">
            <v>#VALUE!</v>
          </cell>
          <cell r="J1920">
            <v>0</v>
          </cell>
        </row>
        <row r="1921">
          <cell r="I1921">
            <v>28795</v>
          </cell>
          <cell r="J1921">
            <v>72.099999999999994</v>
          </cell>
        </row>
        <row r="1922">
          <cell r="I1922" t="e">
            <v>#VALUE!</v>
          </cell>
          <cell r="J1922">
            <v>0</v>
          </cell>
        </row>
        <row r="1923">
          <cell r="I1923">
            <v>28825</v>
          </cell>
          <cell r="J1923">
            <v>72.7</v>
          </cell>
        </row>
        <row r="1924">
          <cell r="I1924" t="e">
            <v>#VALUE!</v>
          </cell>
          <cell r="J1924">
            <v>0</v>
          </cell>
        </row>
        <row r="1925">
          <cell r="I1925">
            <v>28856</v>
          </cell>
          <cell r="J1925">
            <v>69.900000000000006</v>
          </cell>
        </row>
        <row r="1926">
          <cell r="I1926" t="e">
            <v>#VALUE!</v>
          </cell>
          <cell r="J1926">
            <v>0</v>
          </cell>
        </row>
        <row r="1927">
          <cell r="I1927">
            <v>28856</v>
          </cell>
          <cell r="J1927">
            <v>73.8</v>
          </cell>
        </row>
        <row r="1928">
          <cell r="I1928" t="e">
            <v>#VALUE!</v>
          </cell>
          <cell r="J1928">
            <v>0</v>
          </cell>
        </row>
        <row r="1929">
          <cell r="I1929">
            <v>28887</v>
          </cell>
          <cell r="J1929">
            <v>74.900000000000006</v>
          </cell>
        </row>
        <row r="1930">
          <cell r="I1930" t="e">
            <v>#VALUE!</v>
          </cell>
          <cell r="J1930">
            <v>0</v>
          </cell>
        </row>
        <row r="1931">
          <cell r="I1931">
            <v>28915</v>
          </cell>
          <cell r="J1931">
            <v>75.8</v>
          </cell>
        </row>
        <row r="1932">
          <cell r="I1932" t="e">
            <v>#VALUE!</v>
          </cell>
          <cell r="J1932">
            <v>0</v>
          </cell>
        </row>
        <row r="1933">
          <cell r="I1933">
            <v>28946</v>
          </cell>
          <cell r="J1933">
            <v>76.900000000000006</v>
          </cell>
        </row>
        <row r="1934">
          <cell r="I1934" t="e">
            <v>#VALUE!</v>
          </cell>
          <cell r="J1934">
            <v>0</v>
          </cell>
        </row>
        <row r="1935">
          <cell r="I1935">
            <v>28976</v>
          </cell>
          <cell r="J1935">
            <v>77.5</v>
          </cell>
        </row>
        <row r="1936">
          <cell r="I1936" t="e">
            <v>#VALUE!</v>
          </cell>
          <cell r="J1936">
            <v>0</v>
          </cell>
        </row>
        <row r="1937">
          <cell r="I1937">
            <v>29007</v>
          </cell>
          <cell r="J1937">
            <v>78</v>
          </cell>
        </row>
        <row r="1938">
          <cell r="I1938" t="e">
            <v>#VALUE!</v>
          </cell>
          <cell r="J1938">
            <v>0</v>
          </cell>
        </row>
        <row r="1939">
          <cell r="I1939">
            <v>29037</v>
          </cell>
          <cell r="J1939">
            <v>79.2</v>
          </cell>
        </row>
        <row r="1940">
          <cell r="I1940" t="e">
            <v>#VALUE!</v>
          </cell>
          <cell r="J1940">
            <v>0</v>
          </cell>
        </row>
        <row r="1941">
          <cell r="I1941">
            <v>29068</v>
          </cell>
          <cell r="J1941">
            <v>79.599999999999994</v>
          </cell>
        </row>
        <row r="1942">
          <cell r="I1942" t="e">
            <v>#VALUE!</v>
          </cell>
          <cell r="J1942">
            <v>0</v>
          </cell>
        </row>
        <row r="1943">
          <cell r="I1943">
            <v>29099</v>
          </cell>
          <cell r="J1943">
            <v>80.900000000000006</v>
          </cell>
        </row>
        <row r="1944">
          <cell r="I1944" t="e">
            <v>#VALUE!</v>
          </cell>
          <cell r="J1944">
            <v>0</v>
          </cell>
        </row>
        <row r="1945">
          <cell r="I1945">
            <v>29129</v>
          </cell>
          <cell r="J1945">
            <v>82.1</v>
          </cell>
        </row>
        <row r="1946">
          <cell r="I1946" t="e">
            <v>#VALUE!</v>
          </cell>
          <cell r="J1946">
            <v>0</v>
          </cell>
        </row>
        <row r="1947">
          <cell r="I1947">
            <v>29160</v>
          </cell>
          <cell r="J1947">
            <v>82.6</v>
          </cell>
        </row>
        <row r="1948">
          <cell r="I1948" t="e">
            <v>#VALUE!</v>
          </cell>
          <cell r="J1948">
            <v>0</v>
          </cell>
        </row>
        <row r="1949">
          <cell r="I1949">
            <v>29190</v>
          </cell>
          <cell r="J1949">
            <v>83.4</v>
          </cell>
        </row>
        <row r="1950">
          <cell r="I1950" t="e">
            <v>#VALUE!</v>
          </cell>
          <cell r="J1950">
            <v>0</v>
          </cell>
        </row>
        <row r="1951">
          <cell r="I1951">
            <v>29221</v>
          </cell>
          <cell r="J1951">
            <v>78.7</v>
          </cell>
        </row>
        <row r="1952">
          <cell r="I1952" t="e">
            <v>#VALUE!</v>
          </cell>
          <cell r="J1952">
            <v>0</v>
          </cell>
        </row>
        <row r="1953">
          <cell r="I1953">
            <v>29221</v>
          </cell>
          <cell r="J1953">
            <v>85.2</v>
          </cell>
        </row>
        <row r="1954">
          <cell r="I1954" t="e">
            <v>#VALUE!</v>
          </cell>
          <cell r="J1954">
            <v>0</v>
          </cell>
        </row>
        <row r="1955">
          <cell r="I1955">
            <v>29252</v>
          </cell>
          <cell r="J1955">
            <v>86.9</v>
          </cell>
        </row>
        <row r="1956">
          <cell r="I1956" t="e">
            <v>#VALUE!</v>
          </cell>
          <cell r="J1956">
            <v>0</v>
          </cell>
        </row>
        <row r="1957">
          <cell r="I1957">
            <v>29281</v>
          </cell>
          <cell r="J1957">
            <v>87.5</v>
          </cell>
        </row>
        <row r="1958">
          <cell r="I1958" t="e">
            <v>#VALUE!</v>
          </cell>
          <cell r="J1958">
            <v>0</v>
          </cell>
        </row>
        <row r="1959">
          <cell r="I1959">
            <v>29312</v>
          </cell>
          <cell r="J1959">
            <v>87.8</v>
          </cell>
        </row>
        <row r="1960">
          <cell r="I1960" t="e">
            <v>#VALUE!</v>
          </cell>
          <cell r="J1960">
            <v>0</v>
          </cell>
        </row>
        <row r="1961">
          <cell r="I1961">
            <v>29342</v>
          </cell>
          <cell r="J1961">
            <v>88.3</v>
          </cell>
        </row>
        <row r="1962">
          <cell r="I1962" t="e">
            <v>#VALUE!</v>
          </cell>
          <cell r="J1962">
            <v>0</v>
          </cell>
        </row>
        <row r="1963">
          <cell r="I1963">
            <v>29373</v>
          </cell>
          <cell r="J1963">
            <v>88.7</v>
          </cell>
        </row>
        <row r="1964">
          <cell r="I1964" t="e">
            <v>#VALUE!</v>
          </cell>
          <cell r="J1964">
            <v>0</v>
          </cell>
        </row>
        <row r="1965">
          <cell r="I1965">
            <v>29403</v>
          </cell>
          <cell r="J1965">
            <v>90.3</v>
          </cell>
        </row>
        <row r="1966">
          <cell r="I1966" t="e">
            <v>#VALUE!</v>
          </cell>
          <cell r="J1966">
            <v>0</v>
          </cell>
        </row>
        <row r="1967">
          <cell r="I1967">
            <v>29434</v>
          </cell>
          <cell r="J1967">
            <v>91.5</v>
          </cell>
        </row>
        <row r="1968">
          <cell r="I1968" t="e">
            <v>#VALUE!</v>
          </cell>
          <cell r="J1968">
            <v>0</v>
          </cell>
        </row>
        <row r="1969">
          <cell r="I1969">
            <v>29465</v>
          </cell>
          <cell r="J1969">
            <v>91.7</v>
          </cell>
        </row>
        <row r="1970">
          <cell r="I1970" t="e">
            <v>#VALUE!</v>
          </cell>
          <cell r="J1970">
            <v>0</v>
          </cell>
        </row>
        <row r="1971">
          <cell r="I1971">
            <v>29495</v>
          </cell>
          <cell r="J1971">
            <v>92.8</v>
          </cell>
        </row>
        <row r="1972">
          <cell r="I1972" t="e">
            <v>#VALUE!</v>
          </cell>
          <cell r="J1972">
            <v>0</v>
          </cell>
        </row>
        <row r="1973">
          <cell r="I1973">
            <v>29526</v>
          </cell>
          <cell r="J1973">
            <v>93.2</v>
          </cell>
        </row>
        <row r="1974">
          <cell r="I1974" t="e">
            <v>#VALUE!</v>
          </cell>
          <cell r="J1974">
            <v>0</v>
          </cell>
        </row>
        <row r="1975">
          <cell r="I1975">
            <v>29556</v>
          </cell>
          <cell r="J1975">
            <v>93.8</v>
          </cell>
        </row>
        <row r="1976">
          <cell r="I1976" t="e">
            <v>#VALUE!</v>
          </cell>
          <cell r="J1976">
            <v>0</v>
          </cell>
        </row>
        <row r="1977">
          <cell r="I1977">
            <v>29587</v>
          </cell>
          <cell r="J1977">
            <v>89.8</v>
          </cell>
        </row>
        <row r="1978">
          <cell r="I1978" t="e">
            <v>#VALUE!</v>
          </cell>
          <cell r="J1978">
            <v>0</v>
          </cell>
        </row>
        <row r="1979">
          <cell r="I1979">
            <v>29587</v>
          </cell>
          <cell r="J1979">
            <v>95.2</v>
          </cell>
        </row>
        <row r="1980">
          <cell r="I1980" t="e">
            <v>#VALUE!</v>
          </cell>
          <cell r="J1980">
            <v>0</v>
          </cell>
        </row>
        <row r="1981">
          <cell r="I1981">
            <v>29618</v>
          </cell>
          <cell r="J1981">
            <v>96.1</v>
          </cell>
        </row>
        <row r="1982">
          <cell r="I1982" t="e">
            <v>#VALUE!</v>
          </cell>
          <cell r="J1982">
            <v>0</v>
          </cell>
        </row>
        <row r="1983">
          <cell r="I1983">
            <v>29646</v>
          </cell>
          <cell r="J1983">
            <v>97</v>
          </cell>
        </row>
        <row r="1984">
          <cell r="I1984" t="e">
            <v>#VALUE!</v>
          </cell>
          <cell r="J1984">
            <v>0</v>
          </cell>
        </row>
        <row r="1985">
          <cell r="I1985">
            <v>29677</v>
          </cell>
          <cell r="J1985">
            <v>98</v>
          </cell>
        </row>
        <row r="1986">
          <cell r="I1986" t="e">
            <v>#VALUE!</v>
          </cell>
          <cell r="J1986">
            <v>0</v>
          </cell>
        </row>
        <row r="1987">
          <cell r="I1987">
            <v>29707</v>
          </cell>
          <cell r="J1987">
            <v>98.3</v>
          </cell>
        </row>
        <row r="1988">
          <cell r="I1988" t="e">
            <v>#VALUE!</v>
          </cell>
          <cell r="J1988">
            <v>0</v>
          </cell>
        </row>
        <row r="1989">
          <cell r="I1989">
            <v>29738</v>
          </cell>
          <cell r="J1989">
            <v>98.5</v>
          </cell>
        </row>
        <row r="1990">
          <cell r="I1990" t="e">
            <v>#VALUE!</v>
          </cell>
          <cell r="J1990">
            <v>0</v>
          </cell>
        </row>
        <row r="1991">
          <cell r="I1991">
            <v>29768</v>
          </cell>
          <cell r="J1991">
            <v>99</v>
          </cell>
        </row>
        <row r="1992">
          <cell r="I1992" t="e">
            <v>#VALUE!</v>
          </cell>
          <cell r="J1992">
            <v>0</v>
          </cell>
        </row>
        <row r="1993">
          <cell r="I1993">
            <v>29799</v>
          </cell>
          <cell r="J1993">
            <v>99</v>
          </cell>
        </row>
        <row r="1994">
          <cell r="I1994" t="e">
            <v>#VALUE!</v>
          </cell>
          <cell r="J1994">
            <v>0</v>
          </cell>
        </row>
        <row r="1995">
          <cell r="I1995">
            <v>29830</v>
          </cell>
          <cell r="J1995">
            <v>98.8</v>
          </cell>
        </row>
        <row r="1996">
          <cell r="I1996" t="e">
            <v>#VALUE!</v>
          </cell>
          <cell r="J1996">
            <v>0</v>
          </cell>
        </row>
        <row r="1997">
          <cell r="I1997">
            <v>29860</v>
          </cell>
          <cell r="J1997">
            <v>98.9</v>
          </cell>
        </row>
        <row r="1998">
          <cell r="I1998" t="e">
            <v>#VALUE!</v>
          </cell>
          <cell r="J1998">
            <v>0</v>
          </cell>
        </row>
        <row r="1999">
          <cell r="I1999">
            <v>29891</v>
          </cell>
          <cell r="J1999">
            <v>98.8</v>
          </cell>
        </row>
        <row r="2000">
          <cell r="I2000" t="e">
            <v>#VALUE!</v>
          </cell>
          <cell r="J2000">
            <v>0</v>
          </cell>
        </row>
        <row r="2001">
          <cell r="I2001">
            <v>29921</v>
          </cell>
          <cell r="J2001">
            <v>98.8</v>
          </cell>
        </row>
        <row r="2002">
          <cell r="I2002" t="e">
            <v>#VALUE!</v>
          </cell>
          <cell r="J2002">
            <v>0</v>
          </cell>
        </row>
        <row r="2003">
          <cell r="I2003">
            <v>29952</v>
          </cell>
          <cell r="J2003">
            <v>98</v>
          </cell>
        </row>
        <row r="2004">
          <cell r="I2004" t="e">
            <v>#VALUE!</v>
          </cell>
          <cell r="J2004">
            <v>0</v>
          </cell>
        </row>
        <row r="2005">
          <cell r="I2005">
            <v>29952</v>
          </cell>
          <cell r="J2005">
            <v>99.7</v>
          </cell>
        </row>
        <row r="2006">
          <cell r="I2006" t="e">
            <v>#VALUE!</v>
          </cell>
          <cell r="J2006">
            <v>0</v>
          </cell>
        </row>
        <row r="2007">
          <cell r="I2007">
            <v>29983</v>
          </cell>
          <cell r="J2007">
            <v>99.8</v>
          </cell>
        </row>
        <row r="2008">
          <cell r="I2008" t="e">
            <v>#VALUE!</v>
          </cell>
          <cell r="J2008">
            <v>0</v>
          </cell>
        </row>
        <row r="2009">
          <cell r="I2009">
            <v>30011</v>
          </cell>
          <cell r="J2009">
            <v>99.6</v>
          </cell>
        </row>
        <row r="2010">
          <cell r="I2010" t="e">
            <v>#VALUE!</v>
          </cell>
          <cell r="J2010">
            <v>0</v>
          </cell>
        </row>
        <row r="2011">
          <cell r="I2011">
            <v>30042</v>
          </cell>
          <cell r="J2011">
            <v>99.6</v>
          </cell>
        </row>
        <row r="2012">
          <cell r="I2012" t="e">
            <v>#VALUE!</v>
          </cell>
          <cell r="J2012">
            <v>0</v>
          </cell>
        </row>
        <row r="2013">
          <cell r="I2013">
            <v>30072</v>
          </cell>
          <cell r="J2013">
            <v>99.8</v>
          </cell>
        </row>
        <row r="2014">
          <cell r="I2014" t="e">
            <v>#VALUE!</v>
          </cell>
          <cell r="J2014">
            <v>0</v>
          </cell>
        </row>
        <row r="2015">
          <cell r="I2015">
            <v>30103</v>
          </cell>
          <cell r="J2015">
            <v>100</v>
          </cell>
        </row>
        <row r="2016">
          <cell r="I2016" t="e">
            <v>#VALUE!</v>
          </cell>
          <cell r="J2016">
            <v>0</v>
          </cell>
        </row>
        <row r="2017">
          <cell r="I2017">
            <v>30133</v>
          </cell>
          <cell r="J2017">
            <v>100.4</v>
          </cell>
        </row>
        <row r="2018">
          <cell r="I2018" t="e">
            <v>#VALUE!</v>
          </cell>
          <cell r="J2018">
            <v>0</v>
          </cell>
        </row>
        <row r="2019">
          <cell r="I2019">
            <v>30164</v>
          </cell>
          <cell r="J2019">
            <v>100.3</v>
          </cell>
        </row>
        <row r="2020">
          <cell r="I2020" t="e">
            <v>#VALUE!</v>
          </cell>
          <cell r="J2020">
            <v>0</v>
          </cell>
        </row>
        <row r="2021">
          <cell r="I2021">
            <v>30195</v>
          </cell>
          <cell r="J2021">
            <v>100</v>
          </cell>
        </row>
        <row r="2022">
          <cell r="I2022" t="e">
            <v>#VALUE!</v>
          </cell>
          <cell r="J2022">
            <v>0</v>
          </cell>
        </row>
        <row r="2023">
          <cell r="I2023">
            <v>30225</v>
          </cell>
          <cell r="J2023">
            <v>100.2</v>
          </cell>
        </row>
        <row r="2024">
          <cell r="I2024" t="e">
            <v>#VALUE!</v>
          </cell>
          <cell r="J2024">
            <v>0</v>
          </cell>
        </row>
        <row r="2025">
          <cell r="I2025">
            <v>30256</v>
          </cell>
          <cell r="J2025">
            <v>100.3</v>
          </cell>
        </row>
        <row r="2026">
          <cell r="I2026" t="e">
            <v>#VALUE!</v>
          </cell>
          <cell r="J2026">
            <v>0</v>
          </cell>
        </row>
        <row r="2027">
          <cell r="I2027">
            <v>30286</v>
          </cell>
          <cell r="J2027">
            <v>100.5</v>
          </cell>
        </row>
        <row r="2028">
          <cell r="I2028" t="e">
            <v>#VALUE!</v>
          </cell>
          <cell r="J2028">
            <v>0</v>
          </cell>
        </row>
        <row r="2029">
          <cell r="I2029">
            <v>30317</v>
          </cell>
          <cell r="J2029">
            <v>100</v>
          </cell>
        </row>
        <row r="2030">
          <cell r="I2030" t="e">
            <v>#VALUE!</v>
          </cell>
          <cell r="J2030">
            <v>0</v>
          </cell>
        </row>
        <row r="2031">
          <cell r="I2031">
            <v>30317</v>
          </cell>
          <cell r="J2031">
            <v>100.2</v>
          </cell>
        </row>
        <row r="2032">
          <cell r="I2032" t="e">
            <v>#VALUE!</v>
          </cell>
          <cell r="J2032">
            <v>0</v>
          </cell>
        </row>
        <row r="2033">
          <cell r="I2033">
            <v>30348</v>
          </cell>
          <cell r="J2033">
            <v>100.5</v>
          </cell>
        </row>
        <row r="2034">
          <cell r="I2034" t="e">
            <v>#VALUE!</v>
          </cell>
          <cell r="J2034">
            <v>0</v>
          </cell>
        </row>
        <row r="2035">
          <cell r="I2035">
            <v>30376</v>
          </cell>
          <cell r="J2035">
            <v>100.4</v>
          </cell>
        </row>
        <row r="2036">
          <cell r="I2036" t="e">
            <v>#VALUE!</v>
          </cell>
          <cell r="J2036">
            <v>0</v>
          </cell>
        </row>
        <row r="2037">
          <cell r="I2037">
            <v>30407</v>
          </cell>
          <cell r="J2037">
            <v>100.4</v>
          </cell>
        </row>
        <row r="2038">
          <cell r="I2038" t="e">
            <v>#VALUE!</v>
          </cell>
          <cell r="J2038">
            <v>0</v>
          </cell>
        </row>
        <row r="2039">
          <cell r="I2039">
            <v>30437</v>
          </cell>
          <cell r="J2039">
            <v>100.8</v>
          </cell>
        </row>
        <row r="2040">
          <cell r="I2040" t="e">
            <v>#VALUE!</v>
          </cell>
          <cell r="J2040">
            <v>0</v>
          </cell>
        </row>
        <row r="2041">
          <cell r="I2041">
            <v>30468</v>
          </cell>
          <cell r="J2041">
            <v>101</v>
          </cell>
        </row>
        <row r="2042">
          <cell r="I2042" t="e">
            <v>#VALUE!</v>
          </cell>
          <cell r="J2042">
            <v>0</v>
          </cell>
        </row>
        <row r="2043">
          <cell r="I2043">
            <v>30498</v>
          </cell>
          <cell r="J2043">
            <v>101.3</v>
          </cell>
        </row>
        <row r="2044">
          <cell r="I2044" t="e">
            <v>#VALUE!</v>
          </cell>
          <cell r="J2044">
            <v>0</v>
          </cell>
        </row>
        <row r="2045">
          <cell r="I2045">
            <v>30529</v>
          </cell>
          <cell r="J2045">
            <v>101.8</v>
          </cell>
        </row>
        <row r="2046">
          <cell r="I2046" t="e">
            <v>#VALUE!</v>
          </cell>
          <cell r="J2046">
            <v>0</v>
          </cell>
        </row>
        <row r="2047">
          <cell r="I2047">
            <v>30560</v>
          </cell>
          <cell r="J2047">
            <v>102</v>
          </cell>
        </row>
        <row r="2048">
          <cell r="I2048" t="e">
            <v>#VALUE!</v>
          </cell>
          <cell r="J2048">
            <v>0</v>
          </cell>
        </row>
        <row r="2049">
          <cell r="I2049">
            <v>30590</v>
          </cell>
          <cell r="J2049">
            <v>102.2</v>
          </cell>
        </row>
        <row r="2050">
          <cell r="I2050" t="e">
            <v>#VALUE!</v>
          </cell>
          <cell r="J2050">
            <v>0</v>
          </cell>
        </row>
        <row r="2051">
          <cell r="I2051">
            <v>30621</v>
          </cell>
          <cell r="J2051">
            <v>102.1</v>
          </cell>
        </row>
        <row r="2052">
          <cell r="I2052" t="e">
            <v>#VALUE!</v>
          </cell>
          <cell r="J2052">
            <v>0</v>
          </cell>
        </row>
        <row r="2053">
          <cell r="I2053">
            <v>30651</v>
          </cell>
          <cell r="J2053">
            <v>102.3</v>
          </cell>
        </row>
        <row r="2054">
          <cell r="I2054" t="e">
            <v>#VALUE!</v>
          </cell>
          <cell r="J2054">
            <v>0</v>
          </cell>
        </row>
        <row r="2055">
          <cell r="I2055">
            <v>30682</v>
          </cell>
          <cell r="J2055">
            <v>101.3</v>
          </cell>
        </row>
        <row r="2056">
          <cell r="I2056" t="e">
            <v>#VALUE!</v>
          </cell>
          <cell r="J2056">
            <v>0</v>
          </cell>
        </row>
        <row r="2057">
          <cell r="I2057">
            <v>30682</v>
          </cell>
          <cell r="J2057">
            <v>102.9</v>
          </cell>
        </row>
        <row r="2058">
          <cell r="I2058" t="e">
            <v>#VALUE!</v>
          </cell>
          <cell r="J2058">
            <v>0</v>
          </cell>
        </row>
        <row r="2059">
          <cell r="I2059">
            <v>30713</v>
          </cell>
          <cell r="J2059">
            <v>103.2</v>
          </cell>
        </row>
        <row r="2060">
          <cell r="I2060" t="e">
            <v>#VALUE!</v>
          </cell>
          <cell r="J2060">
            <v>0</v>
          </cell>
        </row>
        <row r="2061">
          <cell r="I2061">
            <v>30742</v>
          </cell>
          <cell r="J2061">
            <v>103.9</v>
          </cell>
        </row>
        <row r="2062">
          <cell r="I2062" t="e">
            <v>#VALUE!</v>
          </cell>
          <cell r="J2062">
            <v>0</v>
          </cell>
        </row>
        <row r="2063">
          <cell r="I2063">
            <v>30773</v>
          </cell>
          <cell r="J2063">
            <v>104</v>
          </cell>
        </row>
        <row r="2064">
          <cell r="I2064" t="e">
            <v>#VALUE!</v>
          </cell>
          <cell r="J2064">
            <v>0</v>
          </cell>
        </row>
        <row r="2065">
          <cell r="I2065">
            <v>30803</v>
          </cell>
          <cell r="J2065">
            <v>104.1</v>
          </cell>
        </row>
        <row r="2066">
          <cell r="I2066" t="e">
            <v>#VALUE!</v>
          </cell>
          <cell r="J2066">
            <v>0</v>
          </cell>
        </row>
        <row r="2067">
          <cell r="I2067">
            <v>30834</v>
          </cell>
          <cell r="J2067">
            <v>104</v>
          </cell>
        </row>
        <row r="2068">
          <cell r="I2068" t="e">
            <v>#VALUE!</v>
          </cell>
          <cell r="J2068">
            <v>0</v>
          </cell>
        </row>
        <row r="2069">
          <cell r="I2069">
            <v>30864</v>
          </cell>
          <cell r="J2069">
            <v>104.2</v>
          </cell>
        </row>
        <row r="2070">
          <cell r="I2070" t="e">
            <v>#VALUE!</v>
          </cell>
          <cell r="J2070">
            <v>0</v>
          </cell>
        </row>
        <row r="2071">
          <cell r="I2071">
            <v>30895</v>
          </cell>
          <cell r="J2071">
            <v>103.8</v>
          </cell>
        </row>
        <row r="2072">
          <cell r="I2072" t="e">
            <v>#VALUE!</v>
          </cell>
          <cell r="J2072">
            <v>0</v>
          </cell>
        </row>
        <row r="2073">
          <cell r="I2073">
            <v>30926</v>
          </cell>
          <cell r="J2073">
            <v>103.4</v>
          </cell>
        </row>
        <row r="2074">
          <cell r="I2074" t="e">
            <v>#VALUE!</v>
          </cell>
          <cell r="J2074">
            <v>0</v>
          </cell>
        </row>
        <row r="2075">
          <cell r="I2075">
            <v>30956</v>
          </cell>
          <cell r="J2075">
            <v>103.4</v>
          </cell>
        </row>
        <row r="2076">
          <cell r="I2076" t="e">
            <v>#VALUE!</v>
          </cell>
          <cell r="J2076">
            <v>0</v>
          </cell>
        </row>
        <row r="2077">
          <cell r="I2077">
            <v>30987</v>
          </cell>
          <cell r="J2077">
            <v>103.7</v>
          </cell>
        </row>
        <row r="2078">
          <cell r="I2078" t="e">
            <v>#VALUE!</v>
          </cell>
          <cell r="J2078">
            <v>0</v>
          </cell>
        </row>
        <row r="2079">
          <cell r="I2079">
            <v>31017</v>
          </cell>
          <cell r="J2079">
            <v>103.5</v>
          </cell>
        </row>
        <row r="2080">
          <cell r="I2080" t="e">
            <v>#VALUE!</v>
          </cell>
          <cell r="J2080">
            <v>0</v>
          </cell>
        </row>
        <row r="2081">
          <cell r="I2081">
            <v>31048</v>
          </cell>
          <cell r="J2081">
            <v>103.7</v>
          </cell>
        </row>
        <row r="2082">
          <cell r="I2082" t="e">
            <v>#VALUE!</v>
          </cell>
          <cell r="J2082">
            <v>0</v>
          </cell>
        </row>
        <row r="2083">
          <cell r="I2083">
            <v>31048</v>
          </cell>
          <cell r="J2083">
            <v>103.4</v>
          </cell>
        </row>
        <row r="2084">
          <cell r="I2084" t="e">
            <v>#VALUE!</v>
          </cell>
          <cell r="J2084">
            <v>0</v>
          </cell>
        </row>
        <row r="2085">
          <cell r="I2085">
            <v>31079</v>
          </cell>
          <cell r="J2085">
            <v>103.3</v>
          </cell>
        </row>
        <row r="2086">
          <cell r="I2086" t="e">
            <v>#VALUE!</v>
          </cell>
          <cell r="J2086">
            <v>0</v>
          </cell>
        </row>
        <row r="2087">
          <cell r="I2087">
            <v>31107</v>
          </cell>
          <cell r="J2087">
            <v>103.1</v>
          </cell>
        </row>
        <row r="2088">
          <cell r="I2088" t="e">
            <v>#VALUE!</v>
          </cell>
          <cell r="J2088">
            <v>0</v>
          </cell>
        </row>
        <row r="2089">
          <cell r="I2089">
            <v>31138</v>
          </cell>
          <cell r="J2089">
            <v>103.3</v>
          </cell>
        </row>
        <row r="2090">
          <cell r="I2090" t="e">
            <v>#VALUE!</v>
          </cell>
          <cell r="J2090">
            <v>0</v>
          </cell>
        </row>
        <row r="2091">
          <cell r="I2091">
            <v>31168</v>
          </cell>
          <cell r="J2091">
            <v>103.5</v>
          </cell>
        </row>
        <row r="2092">
          <cell r="I2092" t="e">
            <v>#VALUE!</v>
          </cell>
          <cell r="J2092">
            <v>0</v>
          </cell>
        </row>
        <row r="2093">
          <cell r="I2093">
            <v>31199</v>
          </cell>
          <cell r="J2093">
            <v>103.3</v>
          </cell>
        </row>
        <row r="2094">
          <cell r="I2094" t="e">
            <v>#VALUE!</v>
          </cell>
          <cell r="J2094">
            <v>0</v>
          </cell>
        </row>
        <row r="2095">
          <cell r="I2095">
            <v>31229</v>
          </cell>
          <cell r="J2095">
            <v>103.2</v>
          </cell>
        </row>
        <row r="2096">
          <cell r="I2096" t="e">
            <v>#VALUE!</v>
          </cell>
          <cell r="J2096">
            <v>0</v>
          </cell>
        </row>
        <row r="2097">
          <cell r="I2097">
            <v>31260</v>
          </cell>
          <cell r="J2097">
            <v>102.7</v>
          </cell>
        </row>
        <row r="2098">
          <cell r="I2098" t="e">
            <v>#VALUE!</v>
          </cell>
          <cell r="J2098">
            <v>0</v>
          </cell>
        </row>
        <row r="2099">
          <cell r="I2099">
            <v>31291</v>
          </cell>
          <cell r="J2099">
            <v>102.1</v>
          </cell>
        </row>
        <row r="2100">
          <cell r="I2100" t="e">
            <v>#VALUE!</v>
          </cell>
          <cell r="J2100">
            <v>0</v>
          </cell>
        </row>
        <row r="2101">
          <cell r="I2101">
            <v>31321</v>
          </cell>
          <cell r="J2101">
            <v>102.9</v>
          </cell>
        </row>
        <row r="2102">
          <cell r="I2102" t="e">
            <v>#VALUE!</v>
          </cell>
          <cell r="J2102">
            <v>0</v>
          </cell>
        </row>
        <row r="2103">
          <cell r="I2103">
            <v>31352</v>
          </cell>
          <cell r="J2103">
            <v>103.4</v>
          </cell>
        </row>
        <row r="2104">
          <cell r="I2104" t="e">
            <v>#VALUE!</v>
          </cell>
          <cell r="J2104">
            <v>0</v>
          </cell>
        </row>
        <row r="2105">
          <cell r="I2105">
            <v>31382</v>
          </cell>
          <cell r="J2105">
            <v>103.6</v>
          </cell>
        </row>
        <row r="2106">
          <cell r="I2106" t="e">
            <v>#VALUE!</v>
          </cell>
          <cell r="J2106">
            <v>0</v>
          </cell>
        </row>
        <row r="2107">
          <cell r="I2107">
            <v>31413</v>
          </cell>
          <cell r="J2107">
            <v>103.2</v>
          </cell>
        </row>
        <row r="2108">
          <cell r="I2108" t="e">
            <v>#VALUE!</v>
          </cell>
          <cell r="J2108">
            <v>0</v>
          </cell>
        </row>
        <row r="2109">
          <cell r="I2109">
            <v>31413</v>
          </cell>
          <cell r="J2109">
            <v>103.2</v>
          </cell>
        </row>
        <row r="2110">
          <cell r="I2110" t="e">
            <v>#VALUE!</v>
          </cell>
          <cell r="J2110">
            <v>0</v>
          </cell>
        </row>
        <row r="2111">
          <cell r="I2111">
            <v>31444</v>
          </cell>
          <cell r="J2111">
            <v>101.7</v>
          </cell>
        </row>
        <row r="2112">
          <cell r="I2112" t="e">
            <v>#VALUE!</v>
          </cell>
          <cell r="J2112">
            <v>0</v>
          </cell>
        </row>
        <row r="2113">
          <cell r="I2113">
            <v>31472</v>
          </cell>
          <cell r="J2113">
            <v>100.3</v>
          </cell>
        </row>
        <row r="2114">
          <cell r="I2114" t="e">
            <v>#VALUE!</v>
          </cell>
          <cell r="J2114">
            <v>0</v>
          </cell>
        </row>
        <row r="2115">
          <cell r="I2115">
            <v>31503</v>
          </cell>
          <cell r="J2115">
            <v>99.6</v>
          </cell>
        </row>
        <row r="2116">
          <cell r="I2116" t="e">
            <v>#VALUE!</v>
          </cell>
          <cell r="J2116">
            <v>0</v>
          </cell>
        </row>
        <row r="2117">
          <cell r="I2117">
            <v>31533</v>
          </cell>
          <cell r="J2117">
            <v>100</v>
          </cell>
        </row>
        <row r="2118">
          <cell r="I2118" t="e">
            <v>#VALUE!</v>
          </cell>
          <cell r="J2118">
            <v>0</v>
          </cell>
        </row>
        <row r="2119">
          <cell r="I2119">
            <v>31564</v>
          </cell>
          <cell r="J2119">
            <v>99.9</v>
          </cell>
        </row>
        <row r="2120">
          <cell r="I2120" t="e">
            <v>#VALUE!</v>
          </cell>
          <cell r="J2120">
            <v>0</v>
          </cell>
        </row>
        <row r="2121">
          <cell r="I2121">
            <v>31594</v>
          </cell>
          <cell r="J2121">
            <v>99.4</v>
          </cell>
        </row>
        <row r="2122">
          <cell r="I2122" t="e">
            <v>#VALUE!</v>
          </cell>
          <cell r="J2122">
            <v>0</v>
          </cell>
        </row>
        <row r="2123">
          <cell r="I2123">
            <v>31625</v>
          </cell>
          <cell r="J2123">
            <v>99.3</v>
          </cell>
        </row>
        <row r="2124">
          <cell r="I2124" t="e">
            <v>#VALUE!</v>
          </cell>
          <cell r="J2124">
            <v>0</v>
          </cell>
        </row>
        <row r="2125">
          <cell r="I2125">
            <v>31656</v>
          </cell>
          <cell r="J2125">
            <v>99.4</v>
          </cell>
        </row>
        <row r="2126">
          <cell r="I2126" t="e">
            <v>#VALUE!</v>
          </cell>
          <cell r="J2126">
            <v>0</v>
          </cell>
        </row>
        <row r="2127">
          <cell r="I2127">
            <v>31686</v>
          </cell>
          <cell r="J2127">
            <v>99.7</v>
          </cell>
        </row>
        <row r="2128">
          <cell r="I2128" t="e">
            <v>#VALUE!</v>
          </cell>
          <cell r="J2128">
            <v>0</v>
          </cell>
        </row>
        <row r="2129">
          <cell r="I2129">
            <v>31717</v>
          </cell>
          <cell r="J2129">
            <v>99.8</v>
          </cell>
        </row>
        <row r="2130">
          <cell r="I2130" t="e">
            <v>#VALUE!</v>
          </cell>
          <cell r="J2130">
            <v>0</v>
          </cell>
        </row>
        <row r="2131">
          <cell r="I2131">
            <v>31747</v>
          </cell>
          <cell r="J2131">
            <v>99.7</v>
          </cell>
        </row>
        <row r="2132">
          <cell r="I2132" t="e">
            <v>#VALUE!</v>
          </cell>
          <cell r="J2132">
            <v>0</v>
          </cell>
        </row>
        <row r="2133">
          <cell r="I2133">
            <v>31778</v>
          </cell>
          <cell r="J2133">
            <v>100.2</v>
          </cell>
        </row>
        <row r="2134">
          <cell r="I2134" t="e">
            <v>#VALUE!</v>
          </cell>
          <cell r="J2134">
            <v>0</v>
          </cell>
        </row>
        <row r="2135">
          <cell r="I2135">
            <v>31778</v>
          </cell>
          <cell r="J2135">
            <v>100.5</v>
          </cell>
        </row>
        <row r="2136">
          <cell r="I2136" t="e">
            <v>#VALUE!</v>
          </cell>
          <cell r="J2136">
            <v>0</v>
          </cell>
        </row>
        <row r="2137">
          <cell r="I2137">
            <v>31809</v>
          </cell>
          <cell r="J2137">
            <v>101</v>
          </cell>
        </row>
        <row r="2138">
          <cell r="I2138" t="e">
            <v>#VALUE!</v>
          </cell>
          <cell r="J2138">
            <v>0</v>
          </cell>
        </row>
        <row r="2139">
          <cell r="I2139">
            <v>31837</v>
          </cell>
          <cell r="J2139">
            <v>101.2</v>
          </cell>
        </row>
        <row r="2140">
          <cell r="I2140" t="e">
            <v>#VALUE!</v>
          </cell>
          <cell r="J2140">
            <v>0</v>
          </cell>
        </row>
        <row r="2141">
          <cell r="I2141">
            <v>31868</v>
          </cell>
          <cell r="J2141">
            <v>101.9</v>
          </cell>
        </row>
        <row r="2142">
          <cell r="I2142" t="e">
            <v>#VALUE!</v>
          </cell>
          <cell r="J2142">
            <v>0</v>
          </cell>
        </row>
        <row r="2143">
          <cell r="I2143">
            <v>31898</v>
          </cell>
          <cell r="J2143">
            <v>102.6</v>
          </cell>
        </row>
        <row r="2144">
          <cell r="I2144" t="e">
            <v>#VALUE!</v>
          </cell>
          <cell r="J2144">
            <v>0</v>
          </cell>
        </row>
        <row r="2145">
          <cell r="I2145">
            <v>31929</v>
          </cell>
          <cell r="J2145">
            <v>103</v>
          </cell>
        </row>
        <row r="2146">
          <cell r="I2146" t="e">
            <v>#VALUE!</v>
          </cell>
          <cell r="J2146">
            <v>0</v>
          </cell>
        </row>
        <row r="2147">
          <cell r="I2147">
            <v>31959</v>
          </cell>
          <cell r="J2147">
            <v>103.5</v>
          </cell>
        </row>
        <row r="2148">
          <cell r="I2148" t="e">
            <v>#VALUE!</v>
          </cell>
          <cell r="J2148">
            <v>0</v>
          </cell>
        </row>
        <row r="2149">
          <cell r="I2149">
            <v>31990</v>
          </cell>
          <cell r="J2149">
            <v>103.8</v>
          </cell>
        </row>
        <row r="2150">
          <cell r="I2150" t="e">
            <v>#VALUE!</v>
          </cell>
          <cell r="J2150">
            <v>0</v>
          </cell>
        </row>
        <row r="2151">
          <cell r="I2151">
            <v>32021</v>
          </cell>
          <cell r="J2151">
            <v>103.7</v>
          </cell>
        </row>
        <row r="2152">
          <cell r="I2152" t="e">
            <v>#VALUE!</v>
          </cell>
          <cell r="J2152">
            <v>0</v>
          </cell>
        </row>
        <row r="2153">
          <cell r="I2153">
            <v>32051</v>
          </cell>
          <cell r="J2153">
            <v>104.1</v>
          </cell>
        </row>
        <row r="2154">
          <cell r="I2154" t="e">
            <v>#VALUE!</v>
          </cell>
          <cell r="J2154">
            <v>0</v>
          </cell>
        </row>
        <row r="2155">
          <cell r="I2155">
            <v>32082</v>
          </cell>
          <cell r="J2155">
            <v>104.2</v>
          </cell>
        </row>
        <row r="2156">
          <cell r="I2156" t="e">
            <v>#VALUE!</v>
          </cell>
          <cell r="J2156">
            <v>0</v>
          </cell>
        </row>
        <row r="2157">
          <cell r="I2157">
            <v>32112</v>
          </cell>
          <cell r="J2157">
            <v>104.2</v>
          </cell>
        </row>
        <row r="2158">
          <cell r="I2158" t="e">
            <v>#VALUE!</v>
          </cell>
          <cell r="J2158">
            <v>0</v>
          </cell>
        </row>
        <row r="2159">
          <cell r="I2159">
            <v>32143</v>
          </cell>
          <cell r="J2159">
            <v>102.8</v>
          </cell>
        </row>
        <row r="2160">
          <cell r="I2160" t="e">
            <v>#VALUE!</v>
          </cell>
          <cell r="J2160">
            <v>0</v>
          </cell>
        </row>
        <row r="2161">
          <cell r="I2161">
            <v>32143</v>
          </cell>
          <cell r="J2161">
            <v>104.6</v>
          </cell>
        </row>
        <row r="2162">
          <cell r="I2162" t="e">
            <v>#VALUE!</v>
          </cell>
          <cell r="J2162">
            <v>0</v>
          </cell>
        </row>
        <row r="2163">
          <cell r="I2163">
            <v>32174</v>
          </cell>
          <cell r="J2163">
            <v>104.8</v>
          </cell>
        </row>
        <row r="2164">
          <cell r="I2164" t="e">
            <v>#VALUE!</v>
          </cell>
          <cell r="J2164">
            <v>0</v>
          </cell>
        </row>
        <row r="2165">
          <cell r="I2165">
            <v>32203</v>
          </cell>
          <cell r="J2165">
            <v>104.9</v>
          </cell>
        </row>
        <row r="2166">
          <cell r="I2166" t="e">
            <v>#VALUE!</v>
          </cell>
          <cell r="J2166">
            <v>0</v>
          </cell>
        </row>
        <row r="2167">
          <cell r="I2167">
            <v>32234</v>
          </cell>
          <cell r="J2167">
            <v>105.8</v>
          </cell>
        </row>
        <row r="2168">
          <cell r="I2168" t="e">
            <v>#VALUE!</v>
          </cell>
          <cell r="J2168">
            <v>0</v>
          </cell>
        </row>
        <row r="2169">
          <cell r="I2169">
            <v>32264</v>
          </cell>
          <cell r="J2169">
            <v>106.5</v>
          </cell>
        </row>
        <row r="2170">
          <cell r="I2170" t="e">
            <v>#VALUE!</v>
          </cell>
          <cell r="J2170">
            <v>0</v>
          </cell>
        </row>
        <row r="2171">
          <cell r="I2171">
            <v>32295</v>
          </cell>
          <cell r="J2171">
            <v>107.2</v>
          </cell>
        </row>
        <row r="2172">
          <cell r="I2172" t="e">
            <v>#VALUE!</v>
          </cell>
          <cell r="J2172">
            <v>0</v>
          </cell>
        </row>
        <row r="2173">
          <cell r="I2173">
            <v>32325</v>
          </cell>
          <cell r="J2173">
            <v>107.9</v>
          </cell>
        </row>
        <row r="2174">
          <cell r="I2174" t="e">
            <v>#VALUE!</v>
          </cell>
          <cell r="J2174">
            <v>0</v>
          </cell>
        </row>
        <row r="2175">
          <cell r="I2175">
            <v>32356</v>
          </cell>
          <cell r="J2175">
            <v>108</v>
          </cell>
        </row>
        <row r="2176">
          <cell r="I2176" t="e">
            <v>#VALUE!</v>
          </cell>
          <cell r="J2176">
            <v>0</v>
          </cell>
        </row>
        <row r="2177">
          <cell r="I2177">
            <v>32387</v>
          </cell>
          <cell r="J2177">
            <v>108.1</v>
          </cell>
        </row>
        <row r="2178">
          <cell r="I2178" t="e">
            <v>#VALUE!</v>
          </cell>
          <cell r="J2178">
            <v>0</v>
          </cell>
        </row>
        <row r="2179">
          <cell r="I2179">
            <v>32417</v>
          </cell>
          <cell r="J2179">
            <v>108.2</v>
          </cell>
        </row>
        <row r="2180">
          <cell r="I2180" t="e">
            <v>#VALUE!</v>
          </cell>
          <cell r="J2180">
            <v>0</v>
          </cell>
        </row>
        <row r="2181">
          <cell r="I2181">
            <v>32448</v>
          </cell>
          <cell r="J2181">
            <v>108.3</v>
          </cell>
        </row>
        <row r="2182">
          <cell r="I2182" t="e">
            <v>#VALUE!</v>
          </cell>
          <cell r="J2182">
            <v>0</v>
          </cell>
        </row>
        <row r="2183">
          <cell r="I2183">
            <v>32478</v>
          </cell>
          <cell r="J2183">
            <v>109</v>
          </cell>
        </row>
        <row r="2184">
          <cell r="I2184" t="e">
            <v>#VALUE!</v>
          </cell>
          <cell r="J2184">
            <v>0</v>
          </cell>
        </row>
        <row r="2185">
          <cell r="I2185">
            <v>32509</v>
          </cell>
          <cell r="J2185">
            <v>106.9</v>
          </cell>
        </row>
        <row r="2186">
          <cell r="I2186" t="e">
            <v>#VALUE!</v>
          </cell>
          <cell r="J2186">
            <v>0</v>
          </cell>
        </row>
        <row r="2187">
          <cell r="I2187">
            <v>32509</v>
          </cell>
          <cell r="J2187">
            <v>110.5</v>
          </cell>
        </row>
        <row r="2188">
          <cell r="I2188" t="e">
            <v>#VALUE!</v>
          </cell>
          <cell r="J2188">
            <v>0</v>
          </cell>
        </row>
        <row r="2189">
          <cell r="I2189">
            <v>32540</v>
          </cell>
          <cell r="J2189">
            <v>110.8</v>
          </cell>
        </row>
        <row r="2190">
          <cell r="I2190" t="e">
            <v>#VALUE!</v>
          </cell>
          <cell r="J2190">
            <v>0</v>
          </cell>
        </row>
        <row r="2191">
          <cell r="I2191">
            <v>32568</v>
          </cell>
          <cell r="J2191">
            <v>111.5</v>
          </cell>
        </row>
        <row r="2192">
          <cell r="I2192" t="e">
            <v>#VALUE!</v>
          </cell>
          <cell r="J2192">
            <v>0</v>
          </cell>
        </row>
        <row r="2193">
          <cell r="I2193">
            <v>32599</v>
          </cell>
          <cell r="J2193">
            <v>112.3</v>
          </cell>
        </row>
        <row r="2194">
          <cell r="I2194" t="e">
            <v>#VALUE!</v>
          </cell>
          <cell r="J2194">
            <v>0</v>
          </cell>
        </row>
        <row r="2195">
          <cell r="I2195">
            <v>32629</v>
          </cell>
          <cell r="J2195">
            <v>113.2</v>
          </cell>
        </row>
        <row r="2196">
          <cell r="I2196" t="e">
            <v>#VALUE!</v>
          </cell>
          <cell r="J2196">
            <v>0</v>
          </cell>
        </row>
        <row r="2197">
          <cell r="I2197">
            <v>32660</v>
          </cell>
          <cell r="J2197">
            <v>112.9</v>
          </cell>
        </row>
        <row r="2198">
          <cell r="I2198" t="e">
            <v>#VALUE!</v>
          </cell>
          <cell r="J2198">
            <v>0</v>
          </cell>
        </row>
        <row r="2199">
          <cell r="I2199">
            <v>32690</v>
          </cell>
          <cell r="J2199">
            <v>112.8</v>
          </cell>
        </row>
        <row r="2200">
          <cell r="I2200" t="e">
            <v>#VALUE!</v>
          </cell>
          <cell r="J2200">
            <v>0</v>
          </cell>
        </row>
        <row r="2201">
          <cell r="I2201">
            <v>32721</v>
          </cell>
          <cell r="J2201">
            <v>112</v>
          </cell>
        </row>
        <row r="2202">
          <cell r="I2202" t="e">
            <v>#VALUE!</v>
          </cell>
          <cell r="J2202">
            <v>0</v>
          </cell>
        </row>
        <row r="2203">
          <cell r="I2203">
            <v>32752</v>
          </cell>
          <cell r="J2203">
            <v>112.4</v>
          </cell>
        </row>
        <row r="2204">
          <cell r="I2204" t="e">
            <v>#VALUE!</v>
          </cell>
          <cell r="J2204">
            <v>0</v>
          </cell>
        </row>
        <row r="2205">
          <cell r="I2205">
            <v>32782</v>
          </cell>
          <cell r="J2205">
            <v>112.8</v>
          </cell>
        </row>
        <row r="2206">
          <cell r="I2206" t="e">
            <v>#VALUE!</v>
          </cell>
          <cell r="J2206">
            <v>0</v>
          </cell>
        </row>
        <row r="2207">
          <cell r="I2207">
            <v>32813</v>
          </cell>
          <cell r="J2207">
            <v>112.7</v>
          </cell>
        </row>
        <row r="2208">
          <cell r="I2208" t="e">
            <v>#VALUE!</v>
          </cell>
          <cell r="J2208">
            <v>0</v>
          </cell>
        </row>
        <row r="2209">
          <cell r="I2209">
            <v>32843</v>
          </cell>
          <cell r="J2209">
            <v>113</v>
          </cell>
        </row>
        <row r="2210">
          <cell r="I2210" t="e">
            <v>#VALUE!</v>
          </cell>
          <cell r="J2210">
            <v>0</v>
          </cell>
        </row>
        <row r="2211">
          <cell r="I2211">
            <v>32874</v>
          </cell>
          <cell r="J2211">
            <v>112.2</v>
          </cell>
        </row>
        <row r="2212">
          <cell r="I2212" t="e">
            <v>#VALUE!</v>
          </cell>
          <cell r="J2212">
            <v>0</v>
          </cell>
        </row>
        <row r="2213">
          <cell r="I2213">
            <v>32874</v>
          </cell>
          <cell r="J2213">
            <v>114.9</v>
          </cell>
        </row>
        <row r="2214">
          <cell r="I2214" t="e">
            <v>#VALUE!</v>
          </cell>
          <cell r="J2214">
            <v>0</v>
          </cell>
        </row>
        <row r="2215">
          <cell r="I2215">
            <v>32905</v>
          </cell>
          <cell r="J2215">
            <v>114.4</v>
          </cell>
        </row>
        <row r="2216">
          <cell r="I2216" t="e">
            <v>#VALUE!</v>
          </cell>
          <cell r="J2216">
            <v>0</v>
          </cell>
        </row>
        <row r="2217">
          <cell r="I2217">
            <v>32933</v>
          </cell>
          <cell r="J2217">
            <v>114.2</v>
          </cell>
        </row>
        <row r="2218">
          <cell r="I2218" t="e">
            <v>#VALUE!</v>
          </cell>
          <cell r="J2218">
            <v>0</v>
          </cell>
        </row>
        <row r="2219">
          <cell r="I2219">
            <v>32964</v>
          </cell>
          <cell r="J2219">
            <v>114.1</v>
          </cell>
        </row>
        <row r="2220">
          <cell r="I2220" t="e">
            <v>#VALUE!</v>
          </cell>
          <cell r="J2220">
            <v>0</v>
          </cell>
        </row>
        <row r="2221">
          <cell r="I2221">
            <v>32994</v>
          </cell>
          <cell r="J2221">
            <v>114.6</v>
          </cell>
        </row>
        <row r="2222">
          <cell r="I2222" t="e">
            <v>#VALUE!</v>
          </cell>
          <cell r="J2222">
            <v>0</v>
          </cell>
        </row>
        <row r="2223">
          <cell r="I2223">
            <v>33025</v>
          </cell>
          <cell r="J2223">
            <v>114.3</v>
          </cell>
        </row>
        <row r="2224">
          <cell r="I2224" t="e">
            <v>#VALUE!</v>
          </cell>
          <cell r="J2224">
            <v>0</v>
          </cell>
        </row>
        <row r="2225">
          <cell r="I2225">
            <v>33055</v>
          </cell>
          <cell r="J2225">
            <v>114.5</v>
          </cell>
        </row>
        <row r="2226">
          <cell r="I2226" t="e">
            <v>#VALUE!</v>
          </cell>
          <cell r="J2226">
            <v>0</v>
          </cell>
        </row>
        <row r="2227">
          <cell r="I2227">
            <v>33086</v>
          </cell>
          <cell r="J2227">
            <v>116.5</v>
          </cell>
        </row>
        <row r="2228">
          <cell r="I2228" t="e">
            <v>#VALUE!</v>
          </cell>
          <cell r="J2228">
            <v>0</v>
          </cell>
        </row>
        <row r="2229">
          <cell r="I2229">
            <v>33117</v>
          </cell>
          <cell r="J2229">
            <v>118.4</v>
          </cell>
        </row>
        <row r="2230">
          <cell r="I2230" t="e">
            <v>#VALUE!</v>
          </cell>
          <cell r="J2230">
            <v>0</v>
          </cell>
        </row>
        <row r="2231">
          <cell r="I2231">
            <v>33147</v>
          </cell>
          <cell r="J2231">
            <v>120.8</v>
          </cell>
        </row>
        <row r="2232">
          <cell r="I2232" t="e">
            <v>#VALUE!</v>
          </cell>
          <cell r="J2232">
            <v>0</v>
          </cell>
        </row>
        <row r="2233">
          <cell r="I2233">
            <v>33178</v>
          </cell>
          <cell r="J2233">
            <v>120.1</v>
          </cell>
        </row>
        <row r="2234">
          <cell r="I2234" t="e">
            <v>#VALUE!</v>
          </cell>
          <cell r="J2234">
            <v>0</v>
          </cell>
        </row>
        <row r="2235">
          <cell r="I2235">
            <v>33208</v>
          </cell>
          <cell r="J2235">
            <v>118.7</v>
          </cell>
        </row>
        <row r="2236">
          <cell r="I2236" t="e">
            <v>#VALUE!</v>
          </cell>
          <cell r="J2236">
            <v>0</v>
          </cell>
        </row>
        <row r="2237">
          <cell r="I2237">
            <v>33239</v>
          </cell>
          <cell r="J2237">
            <v>116.3</v>
          </cell>
        </row>
        <row r="2238">
          <cell r="I2238" t="e">
            <v>#VALUE!</v>
          </cell>
          <cell r="J2238">
            <v>0</v>
          </cell>
        </row>
        <row r="2239">
          <cell r="I2239">
            <v>33239</v>
          </cell>
          <cell r="J2239">
            <v>119</v>
          </cell>
        </row>
        <row r="2240">
          <cell r="I2240" t="e">
            <v>#VALUE!</v>
          </cell>
          <cell r="J2240">
            <v>0</v>
          </cell>
        </row>
        <row r="2241">
          <cell r="I2241">
            <v>33270</v>
          </cell>
          <cell r="J2241">
            <v>117.2</v>
          </cell>
        </row>
        <row r="2242">
          <cell r="I2242" t="e">
            <v>#VALUE!</v>
          </cell>
          <cell r="J2242">
            <v>0</v>
          </cell>
        </row>
        <row r="2243">
          <cell r="I2243">
            <v>33298</v>
          </cell>
          <cell r="J2243">
            <v>116.2</v>
          </cell>
        </row>
        <row r="2244">
          <cell r="I2244" t="e">
            <v>#VALUE!</v>
          </cell>
          <cell r="J2244">
            <v>0</v>
          </cell>
        </row>
        <row r="2245">
          <cell r="I2245">
            <v>33329</v>
          </cell>
          <cell r="J2245">
            <v>116</v>
          </cell>
        </row>
        <row r="2246">
          <cell r="I2246" t="e">
            <v>#VALUE!</v>
          </cell>
          <cell r="J2246">
            <v>0</v>
          </cell>
        </row>
        <row r="2247">
          <cell r="I2247">
            <v>33359</v>
          </cell>
          <cell r="J2247">
            <v>116.5</v>
          </cell>
        </row>
        <row r="2248">
          <cell r="I2248" t="e">
            <v>#VALUE!</v>
          </cell>
          <cell r="J2248">
            <v>0</v>
          </cell>
        </row>
        <row r="2249">
          <cell r="I2249">
            <v>33390</v>
          </cell>
          <cell r="J2249">
            <v>116.4</v>
          </cell>
        </row>
        <row r="2250">
          <cell r="I2250" t="e">
            <v>#VALUE!</v>
          </cell>
          <cell r="J2250">
            <v>0</v>
          </cell>
        </row>
        <row r="2251">
          <cell r="I2251">
            <v>33420</v>
          </cell>
          <cell r="J2251">
            <v>116.1</v>
          </cell>
        </row>
        <row r="2252">
          <cell r="I2252" t="e">
            <v>#VALUE!</v>
          </cell>
          <cell r="J2252">
            <v>0</v>
          </cell>
        </row>
        <row r="2253">
          <cell r="I2253">
            <v>33451</v>
          </cell>
          <cell r="J2253">
            <v>116.2</v>
          </cell>
        </row>
        <row r="2254">
          <cell r="I2254" t="e">
            <v>#VALUE!</v>
          </cell>
          <cell r="J2254">
            <v>0</v>
          </cell>
        </row>
        <row r="2255">
          <cell r="I2255">
            <v>33482</v>
          </cell>
          <cell r="J2255">
            <v>116.1</v>
          </cell>
        </row>
        <row r="2256">
          <cell r="I2256" t="e">
            <v>#VALUE!</v>
          </cell>
          <cell r="J2256">
            <v>0</v>
          </cell>
        </row>
        <row r="2257">
          <cell r="I2257">
            <v>33512</v>
          </cell>
          <cell r="J2257">
            <v>116.4</v>
          </cell>
        </row>
        <row r="2258">
          <cell r="I2258" t="e">
            <v>#VALUE!</v>
          </cell>
          <cell r="J2258">
            <v>0</v>
          </cell>
        </row>
        <row r="2259">
          <cell r="I2259">
            <v>33543</v>
          </cell>
          <cell r="J2259">
            <v>116.4</v>
          </cell>
        </row>
        <row r="2260">
          <cell r="I2260" t="e">
            <v>#VALUE!</v>
          </cell>
          <cell r="J2260">
            <v>0</v>
          </cell>
        </row>
        <row r="2261">
          <cell r="I2261">
            <v>33573</v>
          </cell>
          <cell r="J2261">
            <v>115.9</v>
          </cell>
        </row>
        <row r="2262">
          <cell r="I2262" t="e">
            <v>#VALUE!</v>
          </cell>
          <cell r="J2262">
            <v>0</v>
          </cell>
        </row>
        <row r="2263">
          <cell r="I2263">
            <v>33604</v>
          </cell>
          <cell r="J2263">
            <v>116.5</v>
          </cell>
        </row>
        <row r="2264">
          <cell r="I2264" t="e">
            <v>#VALUE!</v>
          </cell>
          <cell r="J2264">
            <v>0</v>
          </cell>
        </row>
        <row r="2265">
          <cell r="I2265">
            <v>33604</v>
          </cell>
          <cell r="J2265">
            <v>115.6</v>
          </cell>
        </row>
        <row r="2266">
          <cell r="I2266" t="e">
            <v>#VALUE!</v>
          </cell>
          <cell r="J2266">
            <v>0</v>
          </cell>
        </row>
        <row r="2267">
          <cell r="I2267">
            <v>33635</v>
          </cell>
          <cell r="J2267">
            <v>116</v>
          </cell>
        </row>
        <row r="2268">
          <cell r="I2268" t="e">
            <v>#VALUE!</v>
          </cell>
          <cell r="J2268">
            <v>0</v>
          </cell>
        </row>
        <row r="2269">
          <cell r="I2269">
            <v>33664</v>
          </cell>
          <cell r="J2269">
            <v>116.1</v>
          </cell>
        </row>
        <row r="2270">
          <cell r="I2270" t="e">
            <v>#VALUE!</v>
          </cell>
          <cell r="J2270">
            <v>0</v>
          </cell>
        </row>
        <row r="2271">
          <cell r="I2271">
            <v>33695</v>
          </cell>
          <cell r="J2271">
            <v>116.3</v>
          </cell>
        </row>
        <row r="2272">
          <cell r="I2272" t="e">
            <v>#VALUE!</v>
          </cell>
          <cell r="J2272">
            <v>0</v>
          </cell>
        </row>
        <row r="2273">
          <cell r="I2273">
            <v>33725</v>
          </cell>
          <cell r="J2273">
            <v>117.2</v>
          </cell>
        </row>
        <row r="2274">
          <cell r="I2274" t="e">
            <v>#VALUE!</v>
          </cell>
          <cell r="J2274">
            <v>0</v>
          </cell>
        </row>
        <row r="2275">
          <cell r="I2275">
            <v>33756</v>
          </cell>
          <cell r="J2275">
            <v>118</v>
          </cell>
        </row>
        <row r="2276">
          <cell r="I2276" t="e">
            <v>#VALUE!</v>
          </cell>
          <cell r="J2276">
            <v>0</v>
          </cell>
        </row>
        <row r="2277">
          <cell r="I2277">
            <v>33786</v>
          </cell>
          <cell r="J2277">
            <v>117.9</v>
          </cell>
        </row>
        <row r="2278">
          <cell r="I2278" t="e">
            <v>#VALUE!</v>
          </cell>
          <cell r="J2278">
            <v>0</v>
          </cell>
        </row>
        <row r="2279">
          <cell r="I2279">
            <v>33817</v>
          </cell>
          <cell r="J2279">
            <v>117.7</v>
          </cell>
        </row>
        <row r="2280">
          <cell r="I2280" t="e">
            <v>#VALUE!</v>
          </cell>
          <cell r="J2280">
            <v>0</v>
          </cell>
        </row>
        <row r="2281">
          <cell r="I2281">
            <v>33848</v>
          </cell>
          <cell r="J2281">
            <v>118</v>
          </cell>
        </row>
        <row r="2282">
          <cell r="I2282" t="e">
            <v>#VALUE!</v>
          </cell>
          <cell r="J2282">
            <v>0</v>
          </cell>
        </row>
        <row r="2283">
          <cell r="I2283">
            <v>33878</v>
          </cell>
          <cell r="J2283">
            <v>118.1</v>
          </cell>
        </row>
        <row r="2284">
          <cell r="I2284" t="e">
            <v>#VALUE!</v>
          </cell>
          <cell r="J2284">
            <v>0</v>
          </cell>
        </row>
        <row r="2285">
          <cell r="I2285">
            <v>33909</v>
          </cell>
          <cell r="J2285">
            <v>117.8</v>
          </cell>
        </row>
        <row r="2286">
          <cell r="I2286" t="e">
            <v>#VALUE!</v>
          </cell>
          <cell r="J2286">
            <v>0</v>
          </cell>
        </row>
        <row r="2287">
          <cell r="I2287">
            <v>33939</v>
          </cell>
          <cell r="J2287">
            <v>117.6</v>
          </cell>
        </row>
        <row r="2288">
          <cell r="I2288" t="e">
            <v>#VALUE!</v>
          </cell>
          <cell r="J2288">
            <v>0</v>
          </cell>
        </row>
        <row r="2289">
          <cell r="I2289">
            <v>33970</v>
          </cell>
          <cell r="J2289">
            <v>117.2</v>
          </cell>
        </row>
        <row r="2290">
          <cell r="I2290" t="e">
            <v>#VALUE!</v>
          </cell>
          <cell r="J2290">
            <v>0</v>
          </cell>
        </row>
        <row r="2291">
          <cell r="I2291">
            <v>33970</v>
          </cell>
          <cell r="J2291">
            <v>118</v>
          </cell>
        </row>
        <row r="2292">
          <cell r="I2292" t="e">
            <v>#VALUE!</v>
          </cell>
          <cell r="J2292">
            <v>0</v>
          </cell>
        </row>
        <row r="2293">
          <cell r="I2293">
            <v>34001</v>
          </cell>
          <cell r="J2293">
            <v>118.4</v>
          </cell>
        </row>
        <row r="2294">
          <cell r="I2294" t="e">
            <v>#VALUE!</v>
          </cell>
          <cell r="J2294">
            <v>0</v>
          </cell>
        </row>
        <row r="2295">
          <cell r="I2295">
            <v>34029</v>
          </cell>
          <cell r="J2295">
            <v>118.7</v>
          </cell>
        </row>
        <row r="2296">
          <cell r="I2296" t="e">
            <v>#VALUE!</v>
          </cell>
          <cell r="J2296">
            <v>0</v>
          </cell>
        </row>
        <row r="2297">
          <cell r="I2297">
            <v>34060</v>
          </cell>
          <cell r="J2297">
            <v>119.3</v>
          </cell>
        </row>
        <row r="2298">
          <cell r="I2298" t="e">
            <v>#VALUE!</v>
          </cell>
          <cell r="J2298">
            <v>0</v>
          </cell>
        </row>
        <row r="2299">
          <cell r="I2299">
            <v>34090</v>
          </cell>
          <cell r="J2299">
            <v>119.7</v>
          </cell>
        </row>
        <row r="2300">
          <cell r="I2300" t="e">
            <v>#VALUE!</v>
          </cell>
          <cell r="J2300">
            <v>0</v>
          </cell>
        </row>
        <row r="2301">
          <cell r="I2301">
            <v>34121</v>
          </cell>
          <cell r="J2301">
            <v>119.5</v>
          </cell>
        </row>
        <row r="2302">
          <cell r="I2302" t="e">
            <v>#VALUE!</v>
          </cell>
          <cell r="J2302">
            <v>0</v>
          </cell>
        </row>
        <row r="2303">
          <cell r="I2303">
            <v>34151</v>
          </cell>
          <cell r="J2303">
            <v>119.2</v>
          </cell>
        </row>
        <row r="2304">
          <cell r="I2304" t="e">
            <v>#VALUE!</v>
          </cell>
          <cell r="J2304">
            <v>0</v>
          </cell>
        </row>
        <row r="2305">
          <cell r="I2305">
            <v>34182</v>
          </cell>
          <cell r="J2305">
            <v>118.7</v>
          </cell>
        </row>
        <row r="2306">
          <cell r="I2306" t="e">
            <v>#VALUE!</v>
          </cell>
          <cell r="J2306">
            <v>0</v>
          </cell>
        </row>
        <row r="2307">
          <cell r="I2307">
            <v>34213</v>
          </cell>
          <cell r="J2307">
            <v>118.7</v>
          </cell>
        </row>
        <row r="2308">
          <cell r="I2308" t="e">
            <v>#VALUE!</v>
          </cell>
          <cell r="J2308">
            <v>0</v>
          </cell>
        </row>
        <row r="2309">
          <cell r="I2309">
            <v>34243</v>
          </cell>
          <cell r="J2309">
            <v>119.1</v>
          </cell>
        </row>
        <row r="2310">
          <cell r="I2310" t="e">
            <v>#VALUE!</v>
          </cell>
          <cell r="J2310">
            <v>0</v>
          </cell>
        </row>
        <row r="2311">
          <cell r="I2311">
            <v>34274</v>
          </cell>
          <cell r="J2311">
            <v>119</v>
          </cell>
        </row>
        <row r="2312">
          <cell r="I2312" t="e">
            <v>#VALUE!</v>
          </cell>
          <cell r="J2312">
            <v>0</v>
          </cell>
        </row>
        <row r="2313">
          <cell r="I2313">
            <v>34304</v>
          </cell>
          <cell r="J2313">
            <v>118.6</v>
          </cell>
        </row>
        <row r="2314">
          <cell r="I2314" t="e">
            <v>#VALUE!</v>
          </cell>
          <cell r="J2314">
            <v>0</v>
          </cell>
        </row>
        <row r="2315">
          <cell r="I2315">
            <v>34335</v>
          </cell>
          <cell r="J2315">
            <v>118.9</v>
          </cell>
        </row>
        <row r="2316">
          <cell r="I2316" t="e">
            <v>#VALUE!</v>
          </cell>
          <cell r="J2316">
            <v>0</v>
          </cell>
        </row>
        <row r="2317">
          <cell r="I2317">
            <v>34335</v>
          </cell>
          <cell r="J2317">
            <v>119.1</v>
          </cell>
        </row>
        <row r="2318">
          <cell r="I2318" t="e">
            <v>#VALUE!</v>
          </cell>
          <cell r="J2318">
            <v>0</v>
          </cell>
        </row>
        <row r="2319">
          <cell r="I2319">
            <v>34366</v>
          </cell>
          <cell r="J2319">
            <v>119.3</v>
          </cell>
        </row>
        <row r="2320">
          <cell r="I2320" t="e">
            <v>#VALUE!</v>
          </cell>
          <cell r="J2320">
            <v>0</v>
          </cell>
        </row>
        <row r="2321">
          <cell r="I2321">
            <v>34394</v>
          </cell>
          <cell r="J2321">
            <v>119.7</v>
          </cell>
        </row>
        <row r="2322">
          <cell r="I2322" t="e">
            <v>#VALUE!</v>
          </cell>
          <cell r="J2322">
            <v>0</v>
          </cell>
        </row>
        <row r="2323">
          <cell r="I2323">
            <v>34425</v>
          </cell>
          <cell r="J2323">
            <v>119.7</v>
          </cell>
        </row>
        <row r="2324">
          <cell r="I2324" t="e">
            <v>#VALUE!</v>
          </cell>
          <cell r="J2324">
            <v>0</v>
          </cell>
        </row>
        <row r="2325">
          <cell r="I2325">
            <v>34455</v>
          </cell>
          <cell r="J2325">
            <v>119.9</v>
          </cell>
        </row>
        <row r="2326">
          <cell r="I2326" t="e">
            <v>#VALUE!</v>
          </cell>
          <cell r="J2326">
            <v>0</v>
          </cell>
        </row>
        <row r="2327">
          <cell r="I2327">
            <v>34486</v>
          </cell>
          <cell r="J2327">
            <v>120.5</v>
          </cell>
        </row>
        <row r="2328">
          <cell r="I2328" t="e">
            <v>#VALUE!</v>
          </cell>
          <cell r="J2328">
            <v>0</v>
          </cell>
        </row>
        <row r="2329">
          <cell r="I2329">
            <v>34516</v>
          </cell>
          <cell r="J2329">
            <v>120.7</v>
          </cell>
        </row>
        <row r="2330">
          <cell r="I2330" t="e">
            <v>#VALUE!</v>
          </cell>
          <cell r="J2330">
            <v>0</v>
          </cell>
        </row>
        <row r="2331">
          <cell r="I2331">
            <v>34547</v>
          </cell>
          <cell r="J2331">
            <v>121.2</v>
          </cell>
        </row>
        <row r="2332">
          <cell r="I2332" t="e">
            <v>#VALUE!</v>
          </cell>
          <cell r="J2332">
            <v>0</v>
          </cell>
        </row>
        <row r="2333">
          <cell r="I2333">
            <v>34578</v>
          </cell>
          <cell r="J2333">
            <v>121</v>
          </cell>
        </row>
        <row r="2334">
          <cell r="I2334" t="e">
            <v>#VALUE!</v>
          </cell>
          <cell r="J2334">
            <v>0</v>
          </cell>
        </row>
        <row r="2335">
          <cell r="I2335">
            <v>34608</v>
          </cell>
          <cell r="J2335">
            <v>120.9</v>
          </cell>
        </row>
        <row r="2336">
          <cell r="I2336" t="e">
            <v>#VALUE!</v>
          </cell>
          <cell r="J2336">
            <v>0</v>
          </cell>
        </row>
        <row r="2337">
          <cell r="I2337">
            <v>34639</v>
          </cell>
          <cell r="J2337">
            <v>121.5</v>
          </cell>
        </row>
        <row r="2338">
          <cell r="I2338" t="e">
            <v>#VALUE!</v>
          </cell>
          <cell r="J2338">
            <v>0</v>
          </cell>
        </row>
        <row r="2339">
          <cell r="I2339">
            <v>34669</v>
          </cell>
          <cell r="J2339">
            <v>121.9</v>
          </cell>
        </row>
        <row r="2340">
          <cell r="I2340" t="e">
            <v>#VALUE!</v>
          </cell>
          <cell r="J2340">
            <v>0</v>
          </cell>
        </row>
        <row r="2341">
          <cell r="I2341">
            <v>34700</v>
          </cell>
          <cell r="J2341">
            <v>120.4</v>
          </cell>
        </row>
        <row r="2342">
          <cell r="I2342" t="e">
            <v>#VALUE!</v>
          </cell>
          <cell r="J2342">
            <v>0</v>
          </cell>
        </row>
        <row r="2343">
          <cell r="I2343">
            <v>34700</v>
          </cell>
          <cell r="J2343">
            <v>122.9</v>
          </cell>
        </row>
        <row r="2344">
          <cell r="I2344" t="e">
            <v>#VALUE!</v>
          </cell>
          <cell r="J2344">
            <v>0</v>
          </cell>
        </row>
        <row r="2345">
          <cell r="I2345">
            <v>34731</v>
          </cell>
          <cell r="J2345">
            <v>123.5</v>
          </cell>
        </row>
        <row r="2346">
          <cell r="I2346" t="e">
            <v>#VALUE!</v>
          </cell>
          <cell r="J2346">
            <v>0</v>
          </cell>
        </row>
        <row r="2347">
          <cell r="I2347">
            <v>34759</v>
          </cell>
          <cell r="J2347">
            <v>123.9</v>
          </cell>
        </row>
        <row r="2348">
          <cell r="I2348" t="e">
            <v>#VALUE!</v>
          </cell>
          <cell r="J2348">
            <v>0</v>
          </cell>
        </row>
        <row r="2349">
          <cell r="I2349">
            <v>34790</v>
          </cell>
          <cell r="J2349">
            <v>124.6</v>
          </cell>
        </row>
        <row r="2350">
          <cell r="I2350" t="e">
            <v>#VALUE!</v>
          </cell>
          <cell r="J2350">
            <v>0</v>
          </cell>
        </row>
        <row r="2351">
          <cell r="I2351">
            <v>34820</v>
          </cell>
          <cell r="J2351">
            <v>124.9</v>
          </cell>
        </row>
        <row r="2352">
          <cell r="I2352" t="e">
            <v>#VALUE!</v>
          </cell>
          <cell r="J2352">
            <v>0</v>
          </cell>
        </row>
        <row r="2353">
          <cell r="I2353">
            <v>34851</v>
          </cell>
          <cell r="J2353">
            <v>125.3</v>
          </cell>
        </row>
        <row r="2354">
          <cell r="I2354" t="e">
            <v>#VALUE!</v>
          </cell>
          <cell r="J2354">
            <v>0</v>
          </cell>
        </row>
        <row r="2355">
          <cell r="I2355">
            <v>34881</v>
          </cell>
          <cell r="J2355">
            <v>125.3</v>
          </cell>
        </row>
        <row r="2356">
          <cell r="I2356" t="e">
            <v>#VALUE!</v>
          </cell>
          <cell r="J2356">
            <v>0</v>
          </cell>
        </row>
        <row r="2357">
          <cell r="I2357">
            <v>34912</v>
          </cell>
          <cell r="J2357">
            <v>125.1</v>
          </cell>
        </row>
        <row r="2358">
          <cell r="I2358" t="e">
            <v>#VALUE!</v>
          </cell>
          <cell r="J2358">
            <v>0</v>
          </cell>
        </row>
        <row r="2359">
          <cell r="I2359">
            <v>34943</v>
          </cell>
          <cell r="J2359">
            <v>125.2</v>
          </cell>
        </row>
        <row r="2360">
          <cell r="I2360" t="e">
            <v>#VALUE!</v>
          </cell>
          <cell r="J2360">
            <v>0</v>
          </cell>
        </row>
        <row r="2361">
          <cell r="I2361">
            <v>34973</v>
          </cell>
          <cell r="J2361">
            <v>125.3</v>
          </cell>
        </row>
        <row r="2362">
          <cell r="I2362" t="e">
            <v>#VALUE!</v>
          </cell>
          <cell r="J2362">
            <v>0</v>
          </cell>
        </row>
        <row r="2363">
          <cell r="I2363">
            <v>35004</v>
          </cell>
          <cell r="J2363">
            <v>125.4</v>
          </cell>
        </row>
        <row r="2364">
          <cell r="I2364" t="e">
            <v>#VALUE!</v>
          </cell>
          <cell r="J2364">
            <v>0</v>
          </cell>
        </row>
        <row r="2365">
          <cell r="I2365">
            <v>35034</v>
          </cell>
          <cell r="J2365">
            <v>125.7</v>
          </cell>
        </row>
        <row r="2366">
          <cell r="I2366" t="e">
            <v>#VALUE!</v>
          </cell>
          <cell r="J2366">
            <v>0</v>
          </cell>
        </row>
        <row r="2367">
          <cell r="I2367">
            <v>35065</v>
          </cell>
          <cell r="J2367">
            <v>124.7</v>
          </cell>
        </row>
        <row r="2368">
          <cell r="I2368" t="e">
            <v>#VALUE!</v>
          </cell>
          <cell r="J2368">
            <v>0</v>
          </cell>
        </row>
        <row r="2369">
          <cell r="I2369">
            <v>35065</v>
          </cell>
          <cell r="J2369">
            <v>126.3</v>
          </cell>
        </row>
        <row r="2370">
          <cell r="I2370" t="e">
            <v>#VALUE!</v>
          </cell>
          <cell r="J2370">
            <v>0</v>
          </cell>
        </row>
        <row r="2371">
          <cell r="I2371">
            <v>35096</v>
          </cell>
          <cell r="J2371">
            <v>126.2</v>
          </cell>
        </row>
        <row r="2372">
          <cell r="I2372" t="e">
            <v>#VALUE!</v>
          </cell>
          <cell r="J2372">
            <v>0</v>
          </cell>
        </row>
        <row r="2373">
          <cell r="I2373">
            <v>35125</v>
          </cell>
          <cell r="J2373">
            <v>126.4</v>
          </cell>
        </row>
        <row r="2374">
          <cell r="I2374" t="e">
            <v>#VALUE!</v>
          </cell>
          <cell r="J2374">
            <v>0</v>
          </cell>
        </row>
        <row r="2375">
          <cell r="I2375">
            <v>35156</v>
          </cell>
          <cell r="J2375">
            <v>127.5</v>
          </cell>
        </row>
        <row r="2376">
          <cell r="I2376" t="e">
            <v>#VALUE!</v>
          </cell>
          <cell r="J2376">
            <v>0</v>
          </cell>
        </row>
        <row r="2377">
          <cell r="I2377">
            <v>35186</v>
          </cell>
          <cell r="J2377">
            <v>128.19999999999999</v>
          </cell>
        </row>
        <row r="2378">
          <cell r="I2378" t="e">
            <v>#VALUE!</v>
          </cell>
          <cell r="J2378">
            <v>0</v>
          </cell>
        </row>
        <row r="2379">
          <cell r="I2379">
            <v>35217</v>
          </cell>
          <cell r="J2379">
            <v>127.9</v>
          </cell>
        </row>
        <row r="2380">
          <cell r="I2380" t="e">
            <v>#VALUE!</v>
          </cell>
          <cell r="J2380">
            <v>0</v>
          </cell>
        </row>
        <row r="2381">
          <cell r="I2381">
            <v>35431</v>
          </cell>
          <cell r="J2381">
            <v>0</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RPs by country"/>
      <sheetName val="Regional Weighted Averages"/>
    </sheet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 /></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 /></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 /></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 /></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 /><Relationship Id="rId2" Type="http://schemas.openxmlformats.org/officeDocument/2006/relationships/drawing" Target="../drawings/drawing1.xml" /><Relationship Id="rId1" Type="http://schemas.openxmlformats.org/officeDocument/2006/relationships/printerSettings" Target="../printerSettings/printerSettings6.bin" /><Relationship Id="rId5" Type="http://schemas.openxmlformats.org/officeDocument/2006/relationships/ctrlProp" Target="../ctrlProps/ctrlProp2.xml" /><Relationship Id="rId4" Type="http://schemas.openxmlformats.org/officeDocument/2006/relationships/ctrlProp" Target="../ctrlProps/ctrlProp1.xml" /></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 /></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 /></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 /><Relationship Id="rId1" Type="http://schemas.openxmlformats.org/officeDocument/2006/relationships/printerSettings" Target="../printerSettings/printerSettings8.bin" /></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2.vml" /><Relationship Id="rId1" Type="http://schemas.openxmlformats.org/officeDocument/2006/relationships/drawing" Target="../drawings/drawing4.xml" /></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 /></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5.xml" /><Relationship Id="rId1" Type="http://schemas.openxmlformats.org/officeDocument/2006/relationships/printerSettings" Target="../printerSettings/printerSettings10.bin" /></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 /></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7.xml" /><Relationship Id="rId1" Type="http://schemas.openxmlformats.org/officeDocument/2006/relationships/printerSettings" Target="../printerSettings/printerSettings11.bin" /></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 /></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 /></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4.bin" /></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 /></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8.xml" /></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3.vml" /><Relationship Id="rId1" Type="http://schemas.openxmlformats.org/officeDocument/2006/relationships/drawing" Target="../drawings/drawing9.xml" /></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6.bin" /></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 /></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 /></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9.bin" /></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0.bin" /></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1.bin" /></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10.xml" /></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2.bin" /></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3.bin" /></Relationships>
</file>

<file path=xl/worksheets/_rels/sheet52.xml.rels><?xml version="1.0" encoding="UTF-8" standalone="yes"?>
<Relationships xmlns="http://schemas.openxmlformats.org/package/2006/relationships"><Relationship Id="rId2" Type="http://schemas.openxmlformats.org/officeDocument/2006/relationships/comments" Target="../comments1.xml" /><Relationship Id="rId1" Type="http://schemas.openxmlformats.org/officeDocument/2006/relationships/vmlDrawing" Target="../drawings/vmlDrawing4.vml" /></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4.bin" /></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11.xml" /><Relationship Id="rId1" Type="http://schemas.openxmlformats.org/officeDocument/2006/relationships/printerSettings" Target="../printerSettings/printerSettings25.bin" /></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26.bin" /><Relationship Id="rId1" Type="http://schemas.openxmlformats.org/officeDocument/2006/relationships/hyperlink" Target="https://africafertilizer.org/app/" TargetMode="External" /></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27.bin" /></Relationships>
</file>

<file path=xl/worksheets/_rels/sheet61.xml.rels><?xml version="1.0" encoding="UTF-8" standalone="yes"?>
<Relationships xmlns="http://schemas.openxmlformats.org/package/2006/relationships"><Relationship Id="rId1" Type="http://schemas.openxmlformats.org/officeDocument/2006/relationships/hyperlink" Target="http://www.statista.com/statistics/383132/inflation-rate-in-nigeria/" TargetMode="External" /></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28.bin" /></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29.bin" /></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30.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A974E-4CE1-47C3-B079-79E92A8EA759}">
  <sheetPr codeName="Sheet38"/>
  <dimension ref="A1:G294"/>
  <sheetViews>
    <sheetView zoomScale="115" zoomScaleNormal="115" zoomScaleSheetLayoutView="100" workbookViewId="0">
      <pane ySplit="6" topLeftCell="A279" activePane="bottomLeft" state="frozen"/>
      <selection pane="bottomLeft" activeCell="J5" sqref="J5"/>
    </sheetView>
  </sheetViews>
  <sheetFormatPr defaultColWidth="9.28125" defaultRowHeight="12.75"/>
  <cols>
    <col min="1" max="1" width="11.8359375" style="1154" customWidth="1"/>
    <col min="2" max="2" width="13.98828125" style="1147" customWidth="1"/>
    <col min="3" max="3" width="11.43359375" style="1155" customWidth="1"/>
    <col min="4" max="4" width="21.38671875" style="1092" customWidth="1"/>
    <col min="5" max="5" width="21.25390625" style="1154" customWidth="1"/>
    <col min="6" max="6" width="21.25390625" style="1091" customWidth="1"/>
    <col min="7" max="256" width="9.28125" style="1092"/>
    <col min="257" max="257" width="11.8359375" style="1092" customWidth="1"/>
    <col min="258" max="258" width="13.98828125" style="1092" customWidth="1"/>
    <col min="259" max="259" width="11.43359375" style="1092" customWidth="1"/>
    <col min="260" max="260" width="21.38671875" style="1092" customWidth="1"/>
    <col min="261" max="262" width="21.25390625" style="1092" customWidth="1"/>
    <col min="263" max="512" width="9.28125" style="1092"/>
    <col min="513" max="513" width="11.8359375" style="1092" customWidth="1"/>
    <col min="514" max="514" width="13.98828125" style="1092" customWidth="1"/>
    <col min="515" max="515" width="11.43359375" style="1092" customWidth="1"/>
    <col min="516" max="516" width="21.38671875" style="1092" customWidth="1"/>
    <col min="517" max="518" width="21.25390625" style="1092" customWidth="1"/>
    <col min="519" max="768" width="9.28125" style="1092"/>
    <col min="769" max="769" width="11.8359375" style="1092" customWidth="1"/>
    <col min="770" max="770" width="13.98828125" style="1092" customWidth="1"/>
    <col min="771" max="771" width="11.43359375" style="1092" customWidth="1"/>
    <col min="772" max="772" width="21.38671875" style="1092" customWidth="1"/>
    <col min="773" max="774" width="21.25390625" style="1092" customWidth="1"/>
    <col min="775" max="1024" width="9.28125" style="1092"/>
    <col min="1025" max="1025" width="11.8359375" style="1092" customWidth="1"/>
    <col min="1026" max="1026" width="13.98828125" style="1092" customWidth="1"/>
    <col min="1027" max="1027" width="11.43359375" style="1092" customWidth="1"/>
    <col min="1028" max="1028" width="21.38671875" style="1092" customWidth="1"/>
    <col min="1029" max="1030" width="21.25390625" style="1092" customWidth="1"/>
    <col min="1031" max="1280" width="9.28125" style="1092"/>
    <col min="1281" max="1281" width="11.8359375" style="1092" customWidth="1"/>
    <col min="1282" max="1282" width="13.98828125" style="1092" customWidth="1"/>
    <col min="1283" max="1283" width="11.43359375" style="1092" customWidth="1"/>
    <col min="1284" max="1284" width="21.38671875" style="1092" customWidth="1"/>
    <col min="1285" max="1286" width="21.25390625" style="1092" customWidth="1"/>
    <col min="1287" max="1536" width="9.28125" style="1092"/>
    <col min="1537" max="1537" width="11.8359375" style="1092" customWidth="1"/>
    <col min="1538" max="1538" width="13.98828125" style="1092" customWidth="1"/>
    <col min="1539" max="1539" width="11.43359375" style="1092" customWidth="1"/>
    <col min="1540" max="1540" width="21.38671875" style="1092" customWidth="1"/>
    <col min="1541" max="1542" width="21.25390625" style="1092" customWidth="1"/>
    <col min="1543" max="1792" width="9.28125" style="1092"/>
    <col min="1793" max="1793" width="11.8359375" style="1092" customWidth="1"/>
    <col min="1794" max="1794" width="13.98828125" style="1092" customWidth="1"/>
    <col min="1795" max="1795" width="11.43359375" style="1092" customWidth="1"/>
    <col min="1796" max="1796" width="21.38671875" style="1092" customWidth="1"/>
    <col min="1797" max="1798" width="21.25390625" style="1092" customWidth="1"/>
    <col min="1799" max="2048" width="9.28125" style="1092"/>
    <col min="2049" max="2049" width="11.8359375" style="1092" customWidth="1"/>
    <col min="2050" max="2050" width="13.98828125" style="1092" customWidth="1"/>
    <col min="2051" max="2051" width="11.43359375" style="1092" customWidth="1"/>
    <col min="2052" max="2052" width="21.38671875" style="1092" customWidth="1"/>
    <col min="2053" max="2054" width="21.25390625" style="1092" customWidth="1"/>
    <col min="2055" max="2304" width="9.28125" style="1092"/>
    <col min="2305" max="2305" width="11.8359375" style="1092" customWidth="1"/>
    <col min="2306" max="2306" width="13.98828125" style="1092" customWidth="1"/>
    <col min="2307" max="2307" width="11.43359375" style="1092" customWidth="1"/>
    <col min="2308" max="2308" width="21.38671875" style="1092" customWidth="1"/>
    <col min="2309" max="2310" width="21.25390625" style="1092" customWidth="1"/>
    <col min="2311" max="2560" width="9.28125" style="1092"/>
    <col min="2561" max="2561" width="11.8359375" style="1092" customWidth="1"/>
    <col min="2562" max="2562" width="13.98828125" style="1092" customWidth="1"/>
    <col min="2563" max="2563" width="11.43359375" style="1092" customWidth="1"/>
    <col min="2564" max="2564" width="21.38671875" style="1092" customWidth="1"/>
    <col min="2565" max="2566" width="21.25390625" style="1092" customWidth="1"/>
    <col min="2567" max="2816" width="9.28125" style="1092"/>
    <col min="2817" max="2817" width="11.8359375" style="1092" customWidth="1"/>
    <col min="2818" max="2818" width="13.98828125" style="1092" customWidth="1"/>
    <col min="2819" max="2819" width="11.43359375" style="1092" customWidth="1"/>
    <col min="2820" max="2820" width="21.38671875" style="1092" customWidth="1"/>
    <col min="2821" max="2822" width="21.25390625" style="1092" customWidth="1"/>
    <col min="2823" max="3072" width="9.28125" style="1092"/>
    <col min="3073" max="3073" width="11.8359375" style="1092" customWidth="1"/>
    <col min="3074" max="3074" width="13.98828125" style="1092" customWidth="1"/>
    <col min="3075" max="3075" width="11.43359375" style="1092" customWidth="1"/>
    <col min="3076" max="3076" width="21.38671875" style="1092" customWidth="1"/>
    <col min="3077" max="3078" width="21.25390625" style="1092" customWidth="1"/>
    <col min="3079" max="3328" width="9.28125" style="1092"/>
    <col min="3329" max="3329" width="11.8359375" style="1092" customWidth="1"/>
    <col min="3330" max="3330" width="13.98828125" style="1092" customWidth="1"/>
    <col min="3331" max="3331" width="11.43359375" style="1092" customWidth="1"/>
    <col min="3332" max="3332" width="21.38671875" style="1092" customWidth="1"/>
    <col min="3333" max="3334" width="21.25390625" style="1092" customWidth="1"/>
    <col min="3335" max="3584" width="9.28125" style="1092"/>
    <col min="3585" max="3585" width="11.8359375" style="1092" customWidth="1"/>
    <col min="3586" max="3586" width="13.98828125" style="1092" customWidth="1"/>
    <col min="3587" max="3587" width="11.43359375" style="1092" customWidth="1"/>
    <col min="3588" max="3588" width="21.38671875" style="1092" customWidth="1"/>
    <col min="3589" max="3590" width="21.25390625" style="1092" customWidth="1"/>
    <col min="3591" max="3840" width="9.28125" style="1092"/>
    <col min="3841" max="3841" width="11.8359375" style="1092" customWidth="1"/>
    <col min="3842" max="3842" width="13.98828125" style="1092" customWidth="1"/>
    <col min="3843" max="3843" width="11.43359375" style="1092" customWidth="1"/>
    <col min="3844" max="3844" width="21.38671875" style="1092" customWidth="1"/>
    <col min="3845" max="3846" width="21.25390625" style="1092" customWidth="1"/>
    <col min="3847" max="4096" width="9.28125" style="1092"/>
    <col min="4097" max="4097" width="11.8359375" style="1092" customWidth="1"/>
    <col min="4098" max="4098" width="13.98828125" style="1092" customWidth="1"/>
    <col min="4099" max="4099" width="11.43359375" style="1092" customWidth="1"/>
    <col min="4100" max="4100" width="21.38671875" style="1092" customWidth="1"/>
    <col min="4101" max="4102" width="21.25390625" style="1092" customWidth="1"/>
    <col min="4103" max="4352" width="9.28125" style="1092"/>
    <col min="4353" max="4353" width="11.8359375" style="1092" customWidth="1"/>
    <col min="4354" max="4354" width="13.98828125" style="1092" customWidth="1"/>
    <col min="4355" max="4355" width="11.43359375" style="1092" customWidth="1"/>
    <col min="4356" max="4356" width="21.38671875" style="1092" customWidth="1"/>
    <col min="4357" max="4358" width="21.25390625" style="1092" customWidth="1"/>
    <col min="4359" max="4608" width="9.28125" style="1092"/>
    <col min="4609" max="4609" width="11.8359375" style="1092" customWidth="1"/>
    <col min="4610" max="4610" width="13.98828125" style="1092" customWidth="1"/>
    <col min="4611" max="4611" width="11.43359375" style="1092" customWidth="1"/>
    <col min="4612" max="4612" width="21.38671875" style="1092" customWidth="1"/>
    <col min="4613" max="4614" width="21.25390625" style="1092" customWidth="1"/>
    <col min="4615" max="4864" width="9.28125" style="1092"/>
    <col min="4865" max="4865" width="11.8359375" style="1092" customWidth="1"/>
    <col min="4866" max="4866" width="13.98828125" style="1092" customWidth="1"/>
    <col min="4867" max="4867" width="11.43359375" style="1092" customWidth="1"/>
    <col min="4868" max="4868" width="21.38671875" style="1092" customWidth="1"/>
    <col min="4869" max="4870" width="21.25390625" style="1092" customWidth="1"/>
    <col min="4871" max="5120" width="9.28125" style="1092"/>
    <col min="5121" max="5121" width="11.8359375" style="1092" customWidth="1"/>
    <col min="5122" max="5122" width="13.98828125" style="1092" customWidth="1"/>
    <col min="5123" max="5123" width="11.43359375" style="1092" customWidth="1"/>
    <col min="5124" max="5124" width="21.38671875" style="1092" customWidth="1"/>
    <col min="5125" max="5126" width="21.25390625" style="1092" customWidth="1"/>
    <col min="5127" max="5376" width="9.28125" style="1092"/>
    <col min="5377" max="5377" width="11.8359375" style="1092" customWidth="1"/>
    <col min="5378" max="5378" width="13.98828125" style="1092" customWidth="1"/>
    <col min="5379" max="5379" width="11.43359375" style="1092" customWidth="1"/>
    <col min="5380" max="5380" width="21.38671875" style="1092" customWidth="1"/>
    <col min="5381" max="5382" width="21.25390625" style="1092" customWidth="1"/>
    <col min="5383" max="5632" width="9.28125" style="1092"/>
    <col min="5633" max="5633" width="11.8359375" style="1092" customWidth="1"/>
    <col min="5634" max="5634" width="13.98828125" style="1092" customWidth="1"/>
    <col min="5635" max="5635" width="11.43359375" style="1092" customWidth="1"/>
    <col min="5636" max="5636" width="21.38671875" style="1092" customWidth="1"/>
    <col min="5637" max="5638" width="21.25390625" style="1092" customWidth="1"/>
    <col min="5639" max="5888" width="9.28125" style="1092"/>
    <col min="5889" max="5889" width="11.8359375" style="1092" customWidth="1"/>
    <col min="5890" max="5890" width="13.98828125" style="1092" customWidth="1"/>
    <col min="5891" max="5891" width="11.43359375" style="1092" customWidth="1"/>
    <col min="5892" max="5892" width="21.38671875" style="1092" customWidth="1"/>
    <col min="5893" max="5894" width="21.25390625" style="1092" customWidth="1"/>
    <col min="5895" max="6144" width="9.28125" style="1092"/>
    <col min="6145" max="6145" width="11.8359375" style="1092" customWidth="1"/>
    <col min="6146" max="6146" width="13.98828125" style="1092" customWidth="1"/>
    <col min="6147" max="6147" width="11.43359375" style="1092" customWidth="1"/>
    <col min="6148" max="6148" width="21.38671875" style="1092" customWidth="1"/>
    <col min="6149" max="6150" width="21.25390625" style="1092" customWidth="1"/>
    <col min="6151" max="6400" width="9.28125" style="1092"/>
    <col min="6401" max="6401" width="11.8359375" style="1092" customWidth="1"/>
    <col min="6402" max="6402" width="13.98828125" style="1092" customWidth="1"/>
    <col min="6403" max="6403" width="11.43359375" style="1092" customWidth="1"/>
    <col min="6404" max="6404" width="21.38671875" style="1092" customWidth="1"/>
    <col min="6405" max="6406" width="21.25390625" style="1092" customWidth="1"/>
    <col min="6407" max="6656" width="9.28125" style="1092"/>
    <col min="6657" max="6657" width="11.8359375" style="1092" customWidth="1"/>
    <col min="6658" max="6658" width="13.98828125" style="1092" customWidth="1"/>
    <col min="6659" max="6659" width="11.43359375" style="1092" customWidth="1"/>
    <col min="6660" max="6660" width="21.38671875" style="1092" customWidth="1"/>
    <col min="6661" max="6662" width="21.25390625" style="1092" customWidth="1"/>
    <col min="6663" max="6912" width="9.28125" style="1092"/>
    <col min="6913" max="6913" width="11.8359375" style="1092" customWidth="1"/>
    <col min="6914" max="6914" width="13.98828125" style="1092" customWidth="1"/>
    <col min="6915" max="6915" width="11.43359375" style="1092" customWidth="1"/>
    <col min="6916" max="6916" width="21.38671875" style="1092" customWidth="1"/>
    <col min="6917" max="6918" width="21.25390625" style="1092" customWidth="1"/>
    <col min="6919" max="7168" width="9.28125" style="1092"/>
    <col min="7169" max="7169" width="11.8359375" style="1092" customWidth="1"/>
    <col min="7170" max="7170" width="13.98828125" style="1092" customWidth="1"/>
    <col min="7171" max="7171" width="11.43359375" style="1092" customWidth="1"/>
    <col min="7172" max="7172" width="21.38671875" style="1092" customWidth="1"/>
    <col min="7173" max="7174" width="21.25390625" style="1092" customWidth="1"/>
    <col min="7175" max="7424" width="9.28125" style="1092"/>
    <col min="7425" max="7425" width="11.8359375" style="1092" customWidth="1"/>
    <col min="7426" max="7426" width="13.98828125" style="1092" customWidth="1"/>
    <col min="7427" max="7427" width="11.43359375" style="1092" customWidth="1"/>
    <col min="7428" max="7428" width="21.38671875" style="1092" customWidth="1"/>
    <col min="7429" max="7430" width="21.25390625" style="1092" customWidth="1"/>
    <col min="7431" max="7680" width="9.28125" style="1092"/>
    <col min="7681" max="7681" width="11.8359375" style="1092" customWidth="1"/>
    <col min="7682" max="7682" width="13.98828125" style="1092" customWidth="1"/>
    <col min="7683" max="7683" width="11.43359375" style="1092" customWidth="1"/>
    <col min="7684" max="7684" width="21.38671875" style="1092" customWidth="1"/>
    <col min="7685" max="7686" width="21.25390625" style="1092" customWidth="1"/>
    <col min="7687" max="7936" width="9.28125" style="1092"/>
    <col min="7937" max="7937" width="11.8359375" style="1092" customWidth="1"/>
    <col min="7938" max="7938" width="13.98828125" style="1092" customWidth="1"/>
    <col min="7939" max="7939" width="11.43359375" style="1092" customWidth="1"/>
    <col min="7940" max="7940" width="21.38671875" style="1092" customWidth="1"/>
    <col min="7941" max="7942" width="21.25390625" style="1092" customWidth="1"/>
    <col min="7943" max="8192" width="9.28125" style="1092"/>
    <col min="8193" max="8193" width="11.8359375" style="1092" customWidth="1"/>
    <col min="8194" max="8194" width="13.98828125" style="1092" customWidth="1"/>
    <col min="8195" max="8195" width="11.43359375" style="1092" customWidth="1"/>
    <col min="8196" max="8196" width="21.38671875" style="1092" customWidth="1"/>
    <col min="8197" max="8198" width="21.25390625" style="1092" customWidth="1"/>
    <col min="8199" max="8448" width="9.28125" style="1092"/>
    <col min="8449" max="8449" width="11.8359375" style="1092" customWidth="1"/>
    <col min="8450" max="8450" width="13.98828125" style="1092" customWidth="1"/>
    <col min="8451" max="8451" width="11.43359375" style="1092" customWidth="1"/>
    <col min="8452" max="8452" width="21.38671875" style="1092" customWidth="1"/>
    <col min="8453" max="8454" width="21.25390625" style="1092" customWidth="1"/>
    <col min="8455" max="8704" width="9.28125" style="1092"/>
    <col min="8705" max="8705" width="11.8359375" style="1092" customWidth="1"/>
    <col min="8706" max="8706" width="13.98828125" style="1092" customWidth="1"/>
    <col min="8707" max="8707" width="11.43359375" style="1092" customWidth="1"/>
    <col min="8708" max="8708" width="21.38671875" style="1092" customWidth="1"/>
    <col min="8709" max="8710" width="21.25390625" style="1092" customWidth="1"/>
    <col min="8711" max="8960" width="9.28125" style="1092"/>
    <col min="8961" max="8961" width="11.8359375" style="1092" customWidth="1"/>
    <col min="8962" max="8962" width="13.98828125" style="1092" customWidth="1"/>
    <col min="8963" max="8963" width="11.43359375" style="1092" customWidth="1"/>
    <col min="8964" max="8964" width="21.38671875" style="1092" customWidth="1"/>
    <col min="8965" max="8966" width="21.25390625" style="1092" customWidth="1"/>
    <col min="8967" max="9216" width="9.28125" style="1092"/>
    <col min="9217" max="9217" width="11.8359375" style="1092" customWidth="1"/>
    <col min="9218" max="9218" width="13.98828125" style="1092" customWidth="1"/>
    <col min="9219" max="9219" width="11.43359375" style="1092" customWidth="1"/>
    <col min="9220" max="9220" width="21.38671875" style="1092" customWidth="1"/>
    <col min="9221" max="9222" width="21.25390625" style="1092" customWidth="1"/>
    <col min="9223" max="9472" width="9.28125" style="1092"/>
    <col min="9473" max="9473" width="11.8359375" style="1092" customWidth="1"/>
    <col min="9474" max="9474" width="13.98828125" style="1092" customWidth="1"/>
    <col min="9475" max="9475" width="11.43359375" style="1092" customWidth="1"/>
    <col min="9476" max="9476" width="21.38671875" style="1092" customWidth="1"/>
    <col min="9477" max="9478" width="21.25390625" style="1092" customWidth="1"/>
    <col min="9479" max="9728" width="9.28125" style="1092"/>
    <col min="9729" max="9729" width="11.8359375" style="1092" customWidth="1"/>
    <col min="9730" max="9730" width="13.98828125" style="1092" customWidth="1"/>
    <col min="9731" max="9731" width="11.43359375" style="1092" customWidth="1"/>
    <col min="9732" max="9732" width="21.38671875" style="1092" customWidth="1"/>
    <col min="9733" max="9734" width="21.25390625" style="1092" customWidth="1"/>
    <col min="9735" max="9984" width="9.28125" style="1092"/>
    <col min="9985" max="9985" width="11.8359375" style="1092" customWidth="1"/>
    <col min="9986" max="9986" width="13.98828125" style="1092" customWidth="1"/>
    <col min="9987" max="9987" width="11.43359375" style="1092" customWidth="1"/>
    <col min="9988" max="9988" width="21.38671875" style="1092" customWidth="1"/>
    <col min="9989" max="9990" width="21.25390625" style="1092" customWidth="1"/>
    <col min="9991" max="10240" width="9.28125" style="1092"/>
    <col min="10241" max="10241" width="11.8359375" style="1092" customWidth="1"/>
    <col min="10242" max="10242" width="13.98828125" style="1092" customWidth="1"/>
    <col min="10243" max="10243" width="11.43359375" style="1092" customWidth="1"/>
    <col min="10244" max="10244" width="21.38671875" style="1092" customWidth="1"/>
    <col min="10245" max="10246" width="21.25390625" style="1092" customWidth="1"/>
    <col min="10247" max="10496" width="9.28125" style="1092"/>
    <col min="10497" max="10497" width="11.8359375" style="1092" customWidth="1"/>
    <col min="10498" max="10498" width="13.98828125" style="1092" customWidth="1"/>
    <col min="10499" max="10499" width="11.43359375" style="1092" customWidth="1"/>
    <col min="10500" max="10500" width="21.38671875" style="1092" customWidth="1"/>
    <col min="10501" max="10502" width="21.25390625" style="1092" customWidth="1"/>
    <col min="10503" max="10752" width="9.28125" style="1092"/>
    <col min="10753" max="10753" width="11.8359375" style="1092" customWidth="1"/>
    <col min="10754" max="10754" width="13.98828125" style="1092" customWidth="1"/>
    <col min="10755" max="10755" width="11.43359375" style="1092" customWidth="1"/>
    <col min="10756" max="10756" width="21.38671875" style="1092" customWidth="1"/>
    <col min="10757" max="10758" width="21.25390625" style="1092" customWidth="1"/>
    <col min="10759" max="11008" width="9.28125" style="1092"/>
    <col min="11009" max="11009" width="11.8359375" style="1092" customWidth="1"/>
    <col min="11010" max="11010" width="13.98828125" style="1092" customWidth="1"/>
    <col min="11011" max="11011" width="11.43359375" style="1092" customWidth="1"/>
    <col min="11012" max="11012" width="21.38671875" style="1092" customWidth="1"/>
    <col min="11013" max="11014" width="21.25390625" style="1092" customWidth="1"/>
    <col min="11015" max="11264" width="9.28125" style="1092"/>
    <col min="11265" max="11265" width="11.8359375" style="1092" customWidth="1"/>
    <col min="11266" max="11266" width="13.98828125" style="1092" customWidth="1"/>
    <col min="11267" max="11267" width="11.43359375" style="1092" customWidth="1"/>
    <col min="11268" max="11268" width="21.38671875" style="1092" customWidth="1"/>
    <col min="11269" max="11270" width="21.25390625" style="1092" customWidth="1"/>
    <col min="11271" max="11520" width="9.28125" style="1092"/>
    <col min="11521" max="11521" width="11.8359375" style="1092" customWidth="1"/>
    <col min="11522" max="11522" width="13.98828125" style="1092" customWidth="1"/>
    <col min="11523" max="11523" width="11.43359375" style="1092" customWidth="1"/>
    <col min="11524" max="11524" width="21.38671875" style="1092" customWidth="1"/>
    <col min="11525" max="11526" width="21.25390625" style="1092" customWidth="1"/>
    <col min="11527" max="11776" width="9.28125" style="1092"/>
    <col min="11777" max="11777" width="11.8359375" style="1092" customWidth="1"/>
    <col min="11778" max="11778" width="13.98828125" style="1092" customWidth="1"/>
    <col min="11779" max="11779" width="11.43359375" style="1092" customWidth="1"/>
    <col min="11780" max="11780" width="21.38671875" style="1092" customWidth="1"/>
    <col min="11781" max="11782" width="21.25390625" style="1092" customWidth="1"/>
    <col min="11783" max="12032" width="9.28125" style="1092"/>
    <col min="12033" max="12033" width="11.8359375" style="1092" customWidth="1"/>
    <col min="12034" max="12034" width="13.98828125" style="1092" customWidth="1"/>
    <col min="12035" max="12035" width="11.43359375" style="1092" customWidth="1"/>
    <col min="12036" max="12036" width="21.38671875" style="1092" customWidth="1"/>
    <col min="12037" max="12038" width="21.25390625" style="1092" customWidth="1"/>
    <col min="12039" max="12288" width="9.28125" style="1092"/>
    <col min="12289" max="12289" width="11.8359375" style="1092" customWidth="1"/>
    <col min="12290" max="12290" width="13.98828125" style="1092" customWidth="1"/>
    <col min="12291" max="12291" width="11.43359375" style="1092" customWidth="1"/>
    <col min="12292" max="12292" width="21.38671875" style="1092" customWidth="1"/>
    <col min="12293" max="12294" width="21.25390625" style="1092" customWidth="1"/>
    <col min="12295" max="12544" width="9.28125" style="1092"/>
    <col min="12545" max="12545" width="11.8359375" style="1092" customWidth="1"/>
    <col min="12546" max="12546" width="13.98828125" style="1092" customWidth="1"/>
    <col min="12547" max="12547" width="11.43359375" style="1092" customWidth="1"/>
    <col min="12548" max="12548" width="21.38671875" style="1092" customWidth="1"/>
    <col min="12549" max="12550" width="21.25390625" style="1092" customWidth="1"/>
    <col min="12551" max="12800" width="9.28125" style="1092"/>
    <col min="12801" max="12801" width="11.8359375" style="1092" customWidth="1"/>
    <col min="12802" max="12802" width="13.98828125" style="1092" customWidth="1"/>
    <col min="12803" max="12803" width="11.43359375" style="1092" customWidth="1"/>
    <col min="12804" max="12804" width="21.38671875" style="1092" customWidth="1"/>
    <col min="12805" max="12806" width="21.25390625" style="1092" customWidth="1"/>
    <col min="12807" max="13056" width="9.28125" style="1092"/>
    <col min="13057" max="13057" width="11.8359375" style="1092" customWidth="1"/>
    <col min="13058" max="13058" width="13.98828125" style="1092" customWidth="1"/>
    <col min="13059" max="13059" width="11.43359375" style="1092" customWidth="1"/>
    <col min="13060" max="13060" width="21.38671875" style="1092" customWidth="1"/>
    <col min="13061" max="13062" width="21.25390625" style="1092" customWidth="1"/>
    <col min="13063" max="13312" width="9.28125" style="1092"/>
    <col min="13313" max="13313" width="11.8359375" style="1092" customWidth="1"/>
    <col min="13314" max="13314" width="13.98828125" style="1092" customWidth="1"/>
    <col min="13315" max="13315" width="11.43359375" style="1092" customWidth="1"/>
    <col min="13316" max="13316" width="21.38671875" style="1092" customWidth="1"/>
    <col min="13317" max="13318" width="21.25390625" style="1092" customWidth="1"/>
    <col min="13319" max="13568" width="9.28125" style="1092"/>
    <col min="13569" max="13569" width="11.8359375" style="1092" customWidth="1"/>
    <col min="13570" max="13570" width="13.98828125" style="1092" customWidth="1"/>
    <col min="13571" max="13571" width="11.43359375" style="1092" customWidth="1"/>
    <col min="13572" max="13572" width="21.38671875" style="1092" customWidth="1"/>
    <col min="13573" max="13574" width="21.25390625" style="1092" customWidth="1"/>
    <col min="13575" max="13824" width="9.28125" style="1092"/>
    <col min="13825" max="13825" width="11.8359375" style="1092" customWidth="1"/>
    <col min="13826" max="13826" width="13.98828125" style="1092" customWidth="1"/>
    <col min="13827" max="13827" width="11.43359375" style="1092" customWidth="1"/>
    <col min="13828" max="13828" width="21.38671875" style="1092" customWidth="1"/>
    <col min="13829" max="13830" width="21.25390625" style="1092" customWidth="1"/>
    <col min="13831" max="14080" width="9.28125" style="1092"/>
    <col min="14081" max="14081" width="11.8359375" style="1092" customWidth="1"/>
    <col min="14082" max="14082" width="13.98828125" style="1092" customWidth="1"/>
    <col min="14083" max="14083" width="11.43359375" style="1092" customWidth="1"/>
    <col min="14084" max="14084" width="21.38671875" style="1092" customWidth="1"/>
    <col min="14085" max="14086" width="21.25390625" style="1092" customWidth="1"/>
    <col min="14087" max="14336" width="9.28125" style="1092"/>
    <col min="14337" max="14337" width="11.8359375" style="1092" customWidth="1"/>
    <col min="14338" max="14338" width="13.98828125" style="1092" customWidth="1"/>
    <col min="14339" max="14339" width="11.43359375" style="1092" customWidth="1"/>
    <col min="14340" max="14340" width="21.38671875" style="1092" customWidth="1"/>
    <col min="14341" max="14342" width="21.25390625" style="1092" customWidth="1"/>
    <col min="14343" max="14592" width="9.28125" style="1092"/>
    <col min="14593" max="14593" width="11.8359375" style="1092" customWidth="1"/>
    <col min="14594" max="14594" width="13.98828125" style="1092" customWidth="1"/>
    <col min="14595" max="14595" width="11.43359375" style="1092" customWidth="1"/>
    <col min="14596" max="14596" width="21.38671875" style="1092" customWidth="1"/>
    <col min="14597" max="14598" width="21.25390625" style="1092" customWidth="1"/>
    <col min="14599" max="14848" width="9.28125" style="1092"/>
    <col min="14849" max="14849" width="11.8359375" style="1092" customWidth="1"/>
    <col min="14850" max="14850" width="13.98828125" style="1092" customWidth="1"/>
    <col min="14851" max="14851" width="11.43359375" style="1092" customWidth="1"/>
    <col min="14852" max="14852" width="21.38671875" style="1092" customWidth="1"/>
    <col min="14853" max="14854" width="21.25390625" style="1092" customWidth="1"/>
    <col min="14855" max="15104" width="9.28125" style="1092"/>
    <col min="15105" max="15105" width="11.8359375" style="1092" customWidth="1"/>
    <col min="15106" max="15106" width="13.98828125" style="1092" customWidth="1"/>
    <col min="15107" max="15107" width="11.43359375" style="1092" customWidth="1"/>
    <col min="15108" max="15108" width="21.38671875" style="1092" customWidth="1"/>
    <col min="15109" max="15110" width="21.25390625" style="1092" customWidth="1"/>
    <col min="15111" max="15360" width="9.28125" style="1092"/>
    <col min="15361" max="15361" width="11.8359375" style="1092" customWidth="1"/>
    <col min="15362" max="15362" width="13.98828125" style="1092" customWidth="1"/>
    <col min="15363" max="15363" width="11.43359375" style="1092" customWidth="1"/>
    <col min="15364" max="15364" width="21.38671875" style="1092" customWidth="1"/>
    <col min="15365" max="15366" width="21.25390625" style="1092" customWidth="1"/>
    <col min="15367" max="15616" width="9.28125" style="1092"/>
    <col min="15617" max="15617" width="11.8359375" style="1092" customWidth="1"/>
    <col min="15618" max="15618" width="13.98828125" style="1092" customWidth="1"/>
    <col min="15619" max="15619" width="11.43359375" style="1092" customWidth="1"/>
    <col min="15620" max="15620" width="21.38671875" style="1092" customWidth="1"/>
    <col min="15621" max="15622" width="21.25390625" style="1092" customWidth="1"/>
    <col min="15623" max="15872" width="9.28125" style="1092"/>
    <col min="15873" max="15873" width="11.8359375" style="1092" customWidth="1"/>
    <col min="15874" max="15874" width="13.98828125" style="1092" customWidth="1"/>
    <col min="15875" max="15875" width="11.43359375" style="1092" customWidth="1"/>
    <col min="15876" max="15876" width="21.38671875" style="1092" customWidth="1"/>
    <col min="15877" max="15878" width="21.25390625" style="1092" customWidth="1"/>
    <col min="15879" max="16128" width="9.28125" style="1092"/>
    <col min="16129" max="16129" width="11.8359375" style="1092" customWidth="1"/>
    <col min="16130" max="16130" width="13.98828125" style="1092" customWidth="1"/>
    <col min="16131" max="16131" width="11.43359375" style="1092" customWidth="1"/>
    <col min="16132" max="16132" width="21.38671875" style="1092" customWidth="1"/>
    <col min="16133" max="16134" width="21.25390625" style="1092" customWidth="1"/>
    <col min="16135" max="16384" width="9.28125" style="1092"/>
  </cols>
  <sheetData>
    <row r="1" spans="1:6" ht="18" customHeight="1">
      <c r="A1" s="3274" t="s">
        <v>1314</v>
      </c>
      <c r="B1" s="3275"/>
      <c r="C1" s="3275"/>
      <c r="D1" s="3275"/>
      <c r="E1" s="3275"/>
    </row>
    <row r="2" spans="1:6" s="1097" customFormat="1" ht="14.25" customHeight="1">
      <c r="A2" s="1093"/>
      <c r="B2" s="3276"/>
      <c r="C2" s="3276"/>
      <c r="D2" s="1094"/>
      <c r="E2" s="1095"/>
      <c r="F2" s="1096"/>
    </row>
    <row r="3" spans="1:6" s="1097" customFormat="1" ht="8.25" customHeight="1">
      <c r="A3" s="1098"/>
      <c r="B3" s="1099"/>
      <c r="C3" s="1100"/>
      <c r="D3" s="1101"/>
      <c r="E3" s="1102"/>
      <c r="F3" s="1102"/>
    </row>
    <row r="4" spans="1:6" s="1097" customFormat="1" ht="24">
      <c r="A4" s="1103"/>
      <c r="B4" s="3277" t="s">
        <v>1315</v>
      </c>
      <c r="C4" s="3278"/>
      <c r="D4" s="1104" t="s">
        <v>1316</v>
      </c>
      <c r="E4" s="1105" t="s">
        <v>1317</v>
      </c>
      <c r="F4" s="1105" t="s">
        <v>1318</v>
      </c>
    </row>
    <row r="5" spans="1:6" s="1097" customFormat="1" ht="25.5" customHeight="1">
      <c r="A5" s="1103"/>
      <c r="B5" s="3277" t="s">
        <v>1319</v>
      </c>
      <c r="C5" s="3278"/>
      <c r="D5" s="1104" t="s">
        <v>1320</v>
      </c>
      <c r="E5" s="1105" t="s">
        <v>1321</v>
      </c>
      <c r="F5" s="1105" t="s">
        <v>1322</v>
      </c>
    </row>
    <row r="6" spans="1:6" s="1111" customFormat="1" ht="15" customHeight="1">
      <c r="A6" s="1106" t="s">
        <v>1323</v>
      </c>
      <c r="B6" s="1107" t="s">
        <v>1324</v>
      </c>
      <c r="C6" s="1108" t="s">
        <v>1325</v>
      </c>
      <c r="D6" s="1109" t="s">
        <v>1326</v>
      </c>
      <c r="E6" s="1110" t="s">
        <v>1325</v>
      </c>
      <c r="F6" s="1110" t="s">
        <v>1325</v>
      </c>
    </row>
    <row r="7" spans="1:6" s="1111" customFormat="1" ht="17.25" customHeight="1">
      <c r="A7" s="1112">
        <v>36892</v>
      </c>
      <c r="B7" s="1113" t="s">
        <v>611</v>
      </c>
      <c r="C7" s="1114"/>
      <c r="D7" s="1114" t="s">
        <v>611</v>
      </c>
      <c r="E7" s="1115" t="s">
        <v>611</v>
      </c>
      <c r="F7" s="1115" t="s">
        <v>611</v>
      </c>
    </row>
    <row r="8" spans="1:6" s="1111" customFormat="1" ht="17.25" customHeight="1">
      <c r="A8" s="1112">
        <v>36923</v>
      </c>
      <c r="B8" s="1113" t="s">
        <v>611</v>
      </c>
      <c r="C8" s="1114"/>
      <c r="D8" s="1114" t="s">
        <v>611</v>
      </c>
      <c r="E8" s="1115" t="s">
        <v>611</v>
      </c>
      <c r="F8" s="1115" t="s">
        <v>611</v>
      </c>
    </row>
    <row r="9" spans="1:6" s="1111" customFormat="1" ht="17.25" customHeight="1">
      <c r="A9" s="1112">
        <v>36951</v>
      </c>
      <c r="B9" s="1113" t="s">
        <v>611</v>
      </c>
      <c r="C9" s="1114"/>
      <c r="D9" s="1114" t="s">
        <v>611</v>
      </c>
      <c r="E9" s="1115" t="s">
        <v>611</v>
      </c>
      <c r="F9" s="1115" t="s">
        <v>611</v>
      </c>
    </row>
    <row r="10" spans="1:6" s="1111" customFormat="1" ht="17.25" customHeight="1">
      <c r="A10" s="1112">
        <v>36982</v>
      </c>
      <c r="B10" s="1113" t="s">
        <v>611</v>
      </c>
      <c r="C10" s="1114"/>
      <c r="D10" s="1114" t="s">
        <v>611</v>
      </c>
      <c r="E10" s="1115" t="s">
        <v>611</v>
      </c>
      <c r="F10" s="1115" t="s">
        <v>611</v>
      </c>
    </row>
    <row r="11" spans="1:6" s="1111" customFormat="1" ht="17.25" customHeight="1">
      <c r="A11" s="1112">
        <v>37012</v>
      </c>
      <c r="B11" s="1113">
        <v>0.77</v>
      </c>
      <c r="C11" s="1114">
        <v>256.10200000000003</v>
      </c>
      <c r="D11" s="1114" t="s">
        <v>611</v>
      </c>
      <c r="E11" s="1115" t="s">
        <v>611</v>
      </c>
      <c r="F11" s="1115" t="s">
        <v>611</v>
      </c>
    </row>
    <row r="12" spans="1:6" s="1111" customFormat="1" ht="17.25" customHeight="1">
      <c r="A12" s="1112">
        <v>37043</v>
      </c>
      <c r="B12" s="1113">
        <v>0.67</v>
      </c>
      <c r="C12" s="1114">
        <v>222.84200000000004</v>
      </c>
      <c r="D12" s="1114" t="s">
        <v>611</v>
      </c>
      <c r="E12" s="1115" t="s">
        <v>611</v>
      </c>
      <c r="F12" s="1115" t="s">
        <v>611</v>
      </c>
    </row>
    <row r="13" spans="1:6" s="1111" customFormat="1" ht="17.25" customHeight="1">
      <c r="A13" s="1112">
        <v>37073</v>
      </c>
      <c r="B13" s="1113">
        <v>0.56999999999999995</v>
      </c>
      <c r="C13" s="1114">
        <v>189.58199999999999</v>
      </c>
      <c r="D13" s="1114" t="s">
        <v>611</v>
      </c>
      <c r="E13" s="1115" t="s">
        <v>611</v>
      </c>
      <c r="F13" s="1115" t="s">
        <v>611</v>
      </c>
    </row>
    <row r="14" spans="1:6" s="1111" customFormat="1" ht="17.25" customHeight="1">
      <c r="A14" s="1112">
        <v>37104</v>
      </c>
      <c r="B14" s="1113">
        <v>0.51</v>
      </c>
      <c r="C14" s="1114">
        <v>169.626</v>
      </c>
      <c r="D14" s="1114" t="s">
        <v>611</v>
      </c>
      <c r="E14" s="1115" t="s">
        <v>611</v>
      </c>
      <c r="F14" s="1115" t="s">
        <v>611</v>
      </c>
    </row>
    <row r="15" spans="1:6" s="1111" customFormat="1" ht="17.25" customHeight="1">
      <c r="A15" s="1112">
        <v>37135</v>
      </c>
      <c r="B15" s="1113">
        <v>0.42</v>
      </c>
      <c r="C15" s="1114">
        <v>139.69200000000001</v>
      </c>
      <c r="D15" s="1114" t="s">
        <v>611</v>
      </c>
      <c r="E15" s="1116" t="s">
        <v>611</v>
      </c>
      <c r="F15" s="1115" t="s">
        <v>611</v>
      </c>
    </row>
    <row r="16" spans="1:6" s="1111" customFormat="1" ht="17.25" customHeight="1">
      <c r="A16" s="1112">
        <v>37165</v>
      </c>
      <c r="B16" s="1113">
        <v>0.37</v>
      </c>
      <c r="C16" s="1114">
        <v>123.06200000000001</v>
      </c>
      <c r="D16" s="1114" t="s">
        <v>611</v>
      </c>
      <c r="E16" s="1116" t="s">
        <v>611</v>
      </c>
      <c r="F16" s="1115" t="s">
        <v>611</v>
      </c>
    </row>
    <row r="17" spans="1:6" s="1111" customFormat="1" ht="17.25" customHeight="1">
      <c r="A17" s="1112">
        <v>37196</v>
      </c>
      <c r="B17" s="1113">
        <v>0.4</v>
      </c>
      <c r="C17" s="1114">
        <v>133.04</v>
      </c>
      <c r="D17" s="1114" t="s">
        <v>611</v>
      </c>
      <c r="E17" s="1116" t="s">
        <v>611</v>
      </c>
      <c r="F17" s="1115" t="s">
        <v>611</v>
      </c>
    </row>
    <row r="18" spans="1:6" s="1111" customFormat="1" ht="17.25" customHeight="1">
      <c r="A18" s="1117">
        <v>37226</v>
      </c>
      <c r="B18" s="1118">
        <v>0.4</v>
      </c>
      <c r="C18" s="1119">
        <v>133.04</v>
      </c>
      <c r="D18" s="1114" t="s">
        <v>611</v>
      </c>
      <c r="E18" s="1120" t="s">
        <v>611</v>
      </c>
      <c r="F18" s="1121" t="s">
        <v>611</v>
      </c>
    </row>
    <row r="19" spans="1:6" ht="17.25" customHeight="1">
      <c r="A19" s="1122">
        <v>37257</v>
      </c>
      <c r="B19" s="1123">
        <v>0.375</v>
      </c>
      <c r="C19" s="1124">
        <v>124.72499999999999</v>
      </c>
      <c r="D19" s="1125">
        <v>125</v>
      </c>
      <c r="E19" s="1116" t="s">
        <v>611</v>
      </c>
      <c r="F19" s="1115" t="s">
        <v>611</v>
      </c>
    </row>
    <row r="20" spans="1:6" ht="17.25" customHeight="1">
      <c r="A20" s="1112">
        <v>37288</v>
      </c>
      <c r="B20" s="1113">
        <v>0.36</v>
      </c>
      <c r="C20" s="1114">
        <v>119.736</v>
      </c>
      <c r="D20" s="1126">
        <v>125</v>
      </c>
      <c r="E20" s="1116" t="s">
        <v>611</v>
      </c>
      <c r="F20" s="1115" t="s">
        <v>611</v>
      </c>
    </row>
    <row r="21" spans="1:6" ht="17.25" customHeight="1">
      <c r="A21" s="1112">
        <v>37316</v>
      </c>
      <c r="B21" s="1113">
        <v>0.375</v>
      </c>
      <c r="C21" s="1114">
        <v>124.72499999999999</v>
      </c>
      <c r="D21" s="1126">
        <v>125</v>
      </c>
      <c r="E21" s="1116" t="s">
        <v>611</v>
      </c>
      <c r="F21" s="1115" t="s">
        <v>611</v>
      </c>
    </row>
    <row r="22" spans="1:6" ht="17.25" customHeight="1">
      <c r="A22" s="1112">
        <v>37347</v>
      </c>
      <c r="B22" s="1113">
        <v>0.42</v>
      </c>
      <c r="C22" s="1114">
        <v>139.69200000000001</v>
      </c>
      <c r="D22" s="1126">
        <v>145</v>
      </c>
      <c r="E22" s="1116" t="s">
        <v>611</v>
      </c>
      <c r="F22" s="1115" t="s">
        <v>611</v>
      </c>
    </row>
    <row r="23" spans="1:6" ht="17.25" customHeight="1">
      <c r="A23" s="1112">
        <v>37377</v>
      </c>
      <c r="B23" s="1113">
        <v>0.5</v>
      </c>
      <c r="C23" s="1114">
        <v>166.3</v>
      </c>
      <c r="D23" s="1126">
        <v>165</v>
      </c>
      <c r="E23" s="1116" t="s">
        <v>611</v>
      </c>
      <c r="F23" s="1115" t="s">
        <v>611</v>
      </c>
    </row>
    <row r="24" spans="1:6" ht="17.25" customHeight="1">
      <c r="A24" s="1112">
        <v>37408</v>
      </c>
      <c r="B24" s="1113">
        <v>0.56000000000000005</v>
      </c>
      <c r="C24" s="1114">
        <v>186.25600000000003</v>
      </c>
      <c r="D24" s="1126">
        <v>185</v>
      </c>
      <c r="E24" s="1116" t="s">
        <v>611</v>
      </c>
      <c r="F24" s="1115" t="s">
        <v>611</v>
      </c>
    </row>
    <row r="25" spans="1:6" ht="17.25" customHeight="1">
      <c r="A25" s="1112">
        <v>37438</v>
      </c>
      <c r="B25" s="1113">
        <v>0.62</v>
      </c>
      <c r="C25" s="1114">
        <v>206.21200000000002</v>
      </c>
      <c r="D25" s="1126">
        <v>208</v>
      </c>
      <c r="E25" s="1116" t="s">
        <v>611</v>
      </c>
      <c r="F25" s="1115" t="s">
        <v>611</v>
      </c>
    </row>
    <row r="26" spans="1:6" ht="17.25" customHeight="1">
      <c r="A26" s="1112">
        <v>37469</v>
      </c>
      <c r="B26" s="1113">
        <v>0.62</v>
      </c>
      <c r="C26" s="1114">
        <v>206.21200000000002</v>
      </c>
      <c r="D26" s="1126">
        <v>208</v>
      </c>
      <c r="E26" s="1116" t="s">
        <v>611</v>
      </c>
      <c r="F26" s="1115" t="s">
        <v>611</v>
      </c>
    </row>
    <row r="27" spans="1:6" ht="17.25" customHeight="1">
      <c r="A27" s="1112">
        <v>37500</v>
      </c>
      <c r="B27" s="1113">
        <v>0.62</v>
      </c>
      <c r="C27" s="1114">
        <v>206.21200000000002</v>
      </c>
      <c r="D27" s="1126">
        <v>208</v>
      </c>
      <c r="E27" s="1116">
        <v>202</v>
      </c>
      <c r="F27" s="1115" t="s">
        <v>611</v>
      </c>
    </row>
    <row r="28" spans="1:6" ht="17.25" customHeight="1">
      <c r="A28" s="1112">
        <v>37530</v>
      </c>
      <c r="B28" s="1113">
        <v>0.62</v>
      </c>
      <c r="C28" s="1114">
        <v>206.21200000000002</v>
      </c>
      <c r="D28" s="1126">
        <v>208</v>
      </c>
      <c r="E28" s="1116">
        <v>202</v>
      </c>
      <c r="F28" s="1115" t="s">
        <v>611</v>
      </c>
    </row>
    <row r="29" spans="1:6" ht="17.25" customHeight="1">
      <c r="A29" s="1112">
        <v>37561</v>
      </c>
      <c r="B29" s="1113">
        <v>0.62</v>
      </c>
      <c r="C29" s="1114">
        <v>206.21200000000002</v>
      </c>
      <c r="D29" s="1126">
        <v>208</v>
      </c>
      <c r="E29" s="1116">
        <v>202</v>
      </c>
      <c r="F29" s="1115" t="s">
        <v>611</v>
      </c>
    </row>
    <row r="30" spans="1:6" ht="17.25" customHeight="1">
      <c r="A30" s="1117">
        <v>37591</v>
      </c>
      <c r="B30" s="1118">
        <v>0.62</v>
      </c>
      <c r="C30" s="1119">
        <v>206.21200000000002</v>
      </c>
      <c r="D30" s="1127">
        <v>208</v>
      </c>
      <c r="E30" s="1120">
        <v>202</v>
      </c>
      <c r="F30" s="1121" t="s">
        <v>611</v>
      </c>
    </row>
    <row r="31" spans="1:6" ht="17.25" customHeight="1">
      <c r="A31" s="1122">
        <v>37622</v>
      </c>
      <c r="B31" s="1123">
        <v>0.69</v>
      </c>
      <c r="C31" s="1124">
        <v>229.494</v>
      </c>
      <c r="D31" s="1125">
        <v>228</v>
      </c>
      <c r="E31" s="1116">
        <v>230</v>
      </c>
      <c r="F31" s="1115" t="s">
        <v>611</v>
      </c>
    </row>
    <row r="32" spans="1:6" ht="17.25" customHeight="1">
      <c r="A32" s="1112">
        <v>37653</v>
      </c>
      <c r="B32" s="1113">
        <v>0.79</v>
      </c>
      <c r="C32" s="1114">
        <v>262.75400000000002</v>
      </c>
      <c r="D32" s="1126">
        <v>228</v>
      </c>
      <c r="E32" s="1116">
        <v>252</v>
      </c>
      <c r="F32" s="1115" t="s">
        <v>611</v>
      </c>
    </row>
    <row r="33" spans="1:6" ht="17.25" customHeight="1">
      <c r="A33" s="1112">
        <v>37681</v>
      </c>
      <c r="B33" s="1113">
        <v>0.82</v>
      </c>
      <c r="C33" s="1114">
        <v>272.73200000000003</v>
      </c>
      <c r="D33" s="1126">
        <v>245</v>
      </c>
      <c r="E33" s="1116">
        <v>270</v>
      </c>
      <c r="F33" s="1115" t="s">
        <v>611</v>
      </c>
    </row>
    <row r="34" spans="1:6" ht="17.25" customHeight="1">
      <c r="A34" s="1112">
        <v>37712</v>
      </c>
      <c r="B34" s="1113">
        <v>0.82</v>
      </c>
      <c r="C34" s="1114">
        <v>272.73200000000003</v>
      </c>
      <c r="D34" s="1126">
        <v>260</v>
      </c>
      <c r="E34" s="1116">
        <v>275</v>
      </c>
      <c r="F34" s="1115" t="s">
        <v>611</v>
      </c>
    </row>
    <row r="35" spans="1:6" ht="17.25" customHeight="1">
      <c r="A35" s="1112">
        <v>37742</v>
      </c>
      <c r="B35" s="1113">
        <v>0.82</v>
      </c>
      <c r="C35" s="1114">
        <v>272.73200000000003</v>
      </c>
      <c r="D35" s="1126">
        <v>260</v>
      </c>
      <c r="E35" s="1116">
        <v>275</v>
      </c>
      <c r="F35" s="1115" t="s">
        <v>611</v>
      </c>
    </row>
    <row r="36" spans="1:6" ht="17.25" customHeight="1">
      <c r="A36" s="1112">
        <v>37773</v>
      </c>
      <c r="B36" s="1113">
        <v>0.82</v>
      </c>
      <c r="C36" s="1114">
        <v>272.73200000000003</v>
      </c>
      <c r="D36" s="1126">
        <v>240</v>
      </c>
      <c r="E36" s="1116">
        <v>275</v>
      </c>
      <c r="F36" s="1115" t="s">
        <v>611</v>
      </c>
    </row>
    <row r="37" spans="1:6" ht="17.25" customHeight="1">
      <c r="A37" s="1112">
        <v>37803</v>
      </c>
      <c r="B37" s="1113">
        <v>0.77500000000000002</v>
      </c>
      <c r="C37" s="1114">
        <v>257.76499999999999</v>
      </c>
      <c r="D37" s="1126">
        <v>225</v>
      </c>
      <c r="E37" s="1116">
        <v>260</v>
      </c>
      <c r="F37" s="1115" t="s">
        <v>611</v>
      </c>
    </row>
    <row r="38" spans="1:6" ht="17.25" customHeight="1">
      <c r="A38" s="1112">
        <v>37834</v>
      </c>
      <c r="B38" s="1113">
        <v>0.72</v>
      </c>
      <c r="C38" s="1114">
        <v>239.47200000000001</v>
      </c>
      <c r="D38" s="1126">
        <v>225</v>
      </c>
      <c r="E38" s="1116">
        <v>250</v>
      </c>
      <c r="F38" s="1115" t="s">
        <v>611</v>
      </c>
    </row>
    <row r="39" spans="1:6" ht="17.25" customHeight="1">
      <c r="A39" s="1112">
        <v>37865</v>
      </c>
      <c r="B39" s="1113">
        <v>0.7</v>
      </c>
      <c r="C39" s="1114">
        <v>232.82</v>
      </c>
      <c r="D39" s="1126">
        <v>210</v>
      </c>
      <c r="E39" s="1116">
        <v>241</v>
      </c>
      <c r="F39" s="1115" t="s">
        <v>611</v>
      </c>
    </row>
    <row r="40" spans="1:6" ht="17.25" customHeight="1">
      <c r="A40" s="1112">
        <v>37895</v>
      </c>
      <c r="B40" s="1113">
        <v>0.68</v>
      </c>
      <c r="C40" s="1114">
        <v>226.16800000000003</v>
      </c>
      <c r="D40" s="1126">
        <v>190</v>
      </c>
      <c r="E40" s="1116">
        <v>230</v>
      </c>
      <c r="F40" s="1115" t="s">
        <v>611</v>
      </c>
    </row>
    <row r="41" spans="1:6" ht="17.25" customHeight="1">
      <c r="A41" s="1112">
        <v>37926</v>
      </c>
      <c r="B41" s="1113">
        <v>0.68</v>
      </c>
      <c r="C41" s="1114">
        <v>226.16800000000003</v>
      </c>
      <c r="D41" s="1126">
        <v>190</v>
      </c>
      <c r="E41" s="1116">
        <v>230</v>
      </c>
      <c r="F41" s="1115" t="s">
        <v>611</v>
      </c>
    </row>
    <row r="42" spans="1:6" ht="17.25" customHeight="1">
      <c r="A42" s="1117">
        <v>37956</v>
      </c>
      <c r="B42" s="1118">
        <v>0.68</v>
      </c>
      <c r="C42" s="1119">
        <v>226.16800000000003</v>
      </c>
      <c r="D42" s="1127">
        <v>190</v>
      </c>
      <c r="E42" s="1120">
        <v>230</v>
      </c>
      <c r="F42" s="1121" t="s">
        <v>611</v>
      </c>
    </row>
    <row r="43" spans="1:6" ht="17.25" customHeight="1">
      <c r="A43" s="1122">
        <v>37987</v>
      </c>
      <c r="B43" s="1128">
        <v>0.75</v>
      </c>
      <c r="C43" s="1129">
        <v>249.45</v>
      </c>
      <c r="D43" s="1125">
        <v>200</v>
      </c>
      <c r="E43" s="1116">
        <v>250</v>
      </c>
      <c r="F43" s="1115" t="s">
        <v>611</v>
      </c>
    </row>
    <row r="44" spans="1:6" ht="17.25" customHeight="1">
      <c r="A44" s="1112">
        <v>38018</v>
      </c>
      <c r="B44" s="1130">
        <v>0.75</v>
      </c>
      <c r="C44" s="1131">
        <v>249.45</v>
      </c>
      <c r="D44" s="1126">
        <v>200</v>
      </c>
      <c r="E44" s="1116">
        <v>250</v>
      </c>
      <c r="F44" s="1115" t="s">
        <v>611</v>
      </c>
    </row>
    <row r="45" spans="1:6" ht="17.25" customHeight="1">
      <c r="A45" s="1112">
        <v>38047</v>
      </c>
      <c r="B45" s="1130">
        <v>0.75</v>
      </c>
      <c r="C45" s="1131">
        <v>249.45</v>
      </c>
      <c r="D45" s="1126">
        <v>200</v>
      </c>
      <c r="E45" s="1116">
        <v>250</v>
      </c>
      <c r="F45" s="1115" t="s">
        <v>611</v>
      </c>
    </row>
    <row r="46" spans="1:6" ht="17.25" customHeight="1">
      <c r="A46" s="1112">
        <v>38078</v>
      </c>
      <c r="B46" s="1130">
        <v>0.75</v>
      </c>
      <c r="C46" s="1131">
        <v>249.45</v>
      </c>
      <c r="D46" s="1126">
        <v>200</v>
      </c>
      <c r="E46" s="1116">
        <v>250</v>
      </c>
      <c r="F46" s="1115" t="s">
        <v>611</v>
      </c>
    </row>
    <row r="47" spans="1:6" ht="17.25" customHeight="1">
      <c r="A47" s="1112">
        <v>38108</v>
      </c>
      <c r="B47" s="1130">
        <v>0.75</v>
      </c>
      <c r="C47" s="1131">
        <v>249.45</v>
      </c>
      <c r="D47" s="1126">
        <v>200</v>
      </c>
      <c r="E47" s="1116">
        <v>250</v>
      </c>
      <c r="F47" s="1115" t="s">
        <v>611</v>
      </c>
    </row>
    <row r="48" spans="1:6" ht="17.25" customHeight="1">
      <c r="A48" s="1112">
        <v>38139</v>
      </c>
      <c r="B48" s="1130">
        <v>0.81</v>
      </c>
      <c r="C48" s="1131">
        <v>269.40600000000006</v>
      </c>
      <c r="D48" s="1126">
        <v>200</v>
      </c>
      <c r="E48" s="1116">
        <v>260</v>
      </c>
      <c r="F48" s="1115" t="s">
        <v>611</v>
      </c>
    </row>
    <row r="49" spans="1:6" ht="17.25" customHeight="1">
      <c r="A49" s="1112">
        <v>38169</v>
      </c>
      <c r="B49" s="1130">
        <v>0.84</v>
      </c>
      <c r="C49" s="1131">
        <v>279.38400000000001</v>
      </c>
      <c r="D49" s="1126">
        <v>230</v>
      </c>
      <c r="E49" s="1116">
        <v>272</v>
      </c>
      <c r="F49" s="1115" t="s">
        <v>611</v>
      </c>
    </row>
    <row r="50" spans="1:6" ht="17.25" customHeight="1">
      <c r="A50" s="1112">
        <v>38200</v>
      </c>
      <c r="B50" s="1130">
        <v>0.84</v>
      </c>
      <c r="C50" s="1131">
        <v>279.38400000000001</v>
      </c>
      <c r="D50" s="1126">
        <v>230</v>
      </c>
      <c r="E50" s="1116">
        <v>272</v>
      </c>
      <c r="F50" s="1115" t="s">
        <v>611</v>
      </c>
    </row>
    <row r="51" spans="1:6" ht="17.25" customHeight="1">
      <c r="A51" s="1112">
        <v>38231</v>
      </c>
      <c r="B51" s="1130">
        <v>0.84</v>
      </c>
      <c r="C51" s="1131">
        <v>279.38400000000001</v>
      </c>
      <c r="D51" s="1126">
        <v>230</v>
      </c>
      <c r="E51" s="1116">
        <v>272</v>
      </c>
      <c r="F51" s="1115" t="s">
        <v>611</v>
      </c>
    </row>
    <row r="52" spans="1:6" ht="17.25" customHeight="1">
      <c r="A52" s="1112">
        <v>38261</v>
      </c>
      <c r="B52" s="1130">
        <v>0.84</v>
      </c>
      <c r="C52" s="1131">
        <v>279.38400000000001</v>
      </c>
      <c r="D52" s="1126">
        <v>230</v>
      </c>
      <c r="E52" s="1116">
        <v>272</v>
      </c>
      <c r="F52" s="1115" t="s">
        <v>611</v>
      </c>
    </row>
    <row r="53" spans="1:6" ht="17.25" customHeight="1">
      <c r="A53" s="1112">
        <v>38292</v>
      </c>
      <c r="B53" s="1130">
        <v>0.9</v>
      </c>
      <c r="C53" s="1131">
        <v>299.33999999999997</v>
      </c>
      <c r="D53" s="1126">
        <v>230</v>
      </c>
      <c r="E53" s="1116">
        <v>272</v>
      </c>
      <c r="F53" s="1115" t="s">
        <v>611</v>
      </c>
    </row>
    <row r="54" spans="1:6" ht="17.25" customHeight="1">
      <c r="A54" s="1117">
        <v>38322</v>
      </c>
      <c r="B54" s="1132">
        <v>0.95</v>
      </c>
      <c r="C54" s="1133">
        <v>315.97000000000003</v>
      </c>
      <c r="D54" s="1127">
        <v>230</v>
      </c>
      <c r="E54" s="1120">
        <v>292</v>
      </c>
      <c r="F54" s="1121" t="s">
        <v>611</v>
      </c>
    </row>
    <row r="55" spans="1:6" ht="17.25" customHeight="1">
      <c r="A55" s="1122">
        <v>38353</v>
      </c>
      <c r="B55" s="1123">
        <v>0.95</v>
      </c>
      <c r="C55" s="1129">
        <v>315.97000000000003</v>
      </c>
      <c r="D55" s="1125">
        <v>230</v>
      </c>
      <c r="E55" s="1116">
        <v>302</v>
      </c>
      <c r="F55" s="1115" t="s">
        <v>611</v>
      </c>
    </row>
    <row r="56" spans="1:6" ht="17.25" customHeight="1">
      <c r="A56" s="1112">
        <v>38384</v>
      </c>
      <c r="B56" s="1130">
        <v>0.95</v>
      </c>
      <c r="C56" s="1131">
        <v>315.97000000000003</v>
      </c>
      <c r="D56" s="1126">
        <v>230</v>
      </c>
      <c r="E56" s="1116">
        <v>302</v>
      </c>
      <c r="F56" s="1115" t="s">
        <v>611</v>
      </c>
    </row>
    <row r="57" spans="1:6" ht="17.25" customHeight="1">
      <c r="A57" s="1112">
        <v>38412</v>
      </c>
      <c r="B57" s="1130">
        <v>0.95</v>
      </c>
      <c r="C57" s="1131">
        <v>315.97000000000003</v>
      </c>
      <c r="D57" s="1126">
        <v>230</v>
      </c>
      <c r="E57" s="1116">
        <v>302</v>
      </c>
      <c r="F57" s="1115" t="s">
        <v>611</v>
      </c>
    </row>
    <row r="58" spans="1:6" ht="17.25" customHeight="1">
      <c r="A58" s="1112">
        <v>38443</v>
      </c>
      <c r="B58" s="1130">
        <v>0.95</v>
      </c>
      <c r="C58" s="1131">
        <v>315.97000000000003</v>
      </c>
      <c r="D58" s="1126">
        <v>230</v>
      </c>
      <c r="E58" s="1116">
        <v>302</v>
      </c>
      <c r="F58" s="1115" t="s">
        <v>611</v>
      </c>
    </row>
    <row r="59" spans="1:6" ht="17.25" customHeight="1">
      <c r="A59" s="1112">
        <v>38473</v>
      </c>
      <c r="B59" s="1130">
        <v>0.95</v>
      </c>
      <c r="C59" s="1131">
        <v>315.97000000000003</v>
      </c>
      <c r="D59" s="1126">
        <v>230</v>
      </c>
      <c r="E59" s="1116">
        <v>302</v>
      </c>
      <c r="F59" s="1115" t="s">
        <v>611</v>
      </c>
    </row>
    <row r="60" spans="1:6" ht="17.25" customHeight="1">
      <c r="A60" s="1112">
        <v>38504</v>
      </c>
      <c r="B60" s="1130">
        <v>0.95</v>
      </c>
      <c r="C60" s="1131">
        <v>315.97000000000003</v>
      </c>
      <c r="D60" s="1126">
        <v>230</v>
      </c>
      <c r="E60" s="1116">
        <v>290</v>
      </c>
      <c r="F60" s="1115" t="s">
        <v>611</v>
      </c>
    </row>
    <row r="61" spans="1:6" ht="17.25" customHeight="1">
      <c r="A61" s="1112">
        <v>38534</v>
      </c>
      <c r="B61" s="1130">
        <v>0.9</v>
      </c>
      <c r="C61" s="1131">
        <v>299.33999999999997</v>
      </c>
      <c r="D61" s="1126">
        <v>220</v>
      </c>
      <c r="E61" s="1116">
        <v>280</v>
      </c>
      <c r="F61" s="1115" t="s">
        <v>611</v>
      </c>
    </row>
    <row r="62" spans="1:6" ht="17.25" customHeight="1">
      <c r="A62" s="1112">
        <v>38565</v>
      </c>
      <c r="B62" s="1130">
        <v>0.9</v>
      </c>
      <c r="C62" s="1131">
        <v>299.33999999999997</v>
      </c>
      <c r="D62" s="1126">
        <v>220</v>
      </c>
      <c r="E62" s="1116">
        <v>270</v>
      </c>
      <c r="F62" s="1115" t="s">
        <v>611</v>
      </c>
    </row>
    <row r="63" spans="1:6" ht="17.25" customHeight="1">
      <c r="A63" s="1112">
        <v>38596</v>
      </c>
      <c r="B63" s="1130">
        <v>0.9</v>
      </c>
      <c r="C63" s="1131">
        <v>299.33999999999997</v>
      </c>
      <c r="D63" s="1126">
        <v>220</v>
      </c>
      <c r="E63" s="1116">
        <v>260</v>
      </c>
      <c r="F63" s="1115" t="s">
        <v>611</v>
      </c>
    </row>
    <row r="64" spans="1:6" ht="17.25" customHeight="1">
      <c r="A64" s="1112">
        <v>38626</v>
      </c>
      <c r="B64" s="1130">
        <v>0.96</v>
      </c>
      <c r="C64" s="1131">
        <v>319.29599999999999</v>
      </c>
      <c r="D64" s="1126">
        <v>235</v>
      </c>
      <c r="E64" s="1116">
        <v>280</v>
      </c>
      <c r="F64" s="1115" t="s">
        <v>611</v>
      </c>
    </row>
    <row r="65" spans="1:6" ht="17.25" customHeight="1">
      <c r="A65" s="1112">
        <v>38657</v>
      </c>
      <c r="B65" s="1130">
        <v>0.96</v>
      </c>
      <c r="C65" s="1131">
        <v>319.29599999999999</v>
      </c>
      <c r="D65" s="1126">
        <v>235</v>
      </c>
      <c r="E65" s="1116">
        <v>280</v>
      </c>
      <c r="F65" s="1115" t="s">
        <v>611</v>
      </c>
    </row>
    <row r="66" spans="1:6" ht="17.25" customHeight="1">
      <c r="A66" s="1117">
        <v>38687</v>
      </c>
      <c r="B66" s="1118">
        <v>1.02</v>
      </c>
      <c r="C66" s="1133">
        <v>339.25200000000001</v>
      </c>
      <c r="D66" s="1127">
        <v>235</v>
      </c>
      <c r="E66" s="1120">
        <v>295</v>
      </c>
      <c r="F66" s="1121" t="s">
        <v>611</v>
      </c>
    </row>
    <row r="67" spans="1:6" ht="17.25" customHeight="1">
      <c r="A67" s="1122">
        <v>38718</v>
      </c>
      <c r="B67" s="1128">
        <v>1.02</v>
      </c>
      <c r="C67" s="1124">
        <v>339.25200000000001</v>
      </c>
      <c r="D67" s="1125">
        <v>268</v>
      </c>
      <c r="E67" s="1116">
        <v>320</v>
      </c>
      <c r="F67" s="1115" t="s">
        <v>611</v>
      </c>
    </row>
    <row r="68" spans="1:6" ht="17.25" customHeight="1">
      <c r="A68" s="1112">
        <v>38749</v>
      </c>
      <c r="B68" s="1130">
        <v>1.07</v>
      </c>
      <c r="C68" s="1114">
        <v>355.88200000000006</v>
      </c>
      <c r="D68" s="1134">
        <v>268</v>
      </c>
      <c r="E68" s="1116">
        <v>330</v>
      </c>
      <c r="F68" s="1115" t="s">
        <v>611</v>
      </c>
    </row>
    <row r="69" spans="1:6" ht="17.25" customHeight="1">
      <c r="A69" s="1112">
        <v>38777</v>
      </c>
      <c r="B69" s="1130">
        <v>1.07</v>
      </c>
      <c r="C69" s="1114">
        <v>355.88200000000006</v>
      </c>
      <c r="D69" s="1134">
        <v>268</v>
      </c>
      <c r="E69" s="1116">
        <v>330</v>
      </c>
      <c r="F69" s="1115" t="s">
        <v>611</v>
      </c>
    </row>
    <row r="70" spans="1:6" ht="17.25" customHeight="1">
      <c r="A70" s="1112">
        <v>38808</v>
      </c>
      <c r="B70" s="1130">
        <v>1.07</v>
      </c>
      <c r="C70" s="1114">
        <v>355.88200000000006</v>
      </c>
      <c r="D70" s="1134">
        <v>285</v>
      </c>
      <c r="E70" s="1116">
        <v>330</v>
      </c>
      <c r="F70" s="1115" t="s">
        <v>611</v>
      </c>
    </row>
    <row r="71" spans="1:6" ht="17.25" customHeight="1">
      <c r="A71" s="1112">
        <v>38838</v>
      </c>
      <c r="B71" s="1130">
        <v>1.03</v>
      </c>
      <c r="C71" s="1114">
        <v>342.57800000000003</v>
      </c>
      <c r="D71" s="1134">
        <v>285</v>
      </c>
      <c r="E71" s="1116">
        <v>310</v>
      </c>
      <c r="F71" s="1115" t="s">
        <v>611</v>
      </c>
    </row>
    <row r="72" spans="1:6" ht="17.25" customHeight="1">
      <c r="A72" s="1112">
        <v>38869</v>
      </c>
      <c r="B72" s="1130">
        <v>1.03</v>
      </c>
      <c r="C72" s="1114">
        <v>342.57800000000003</v>
      </c>
      <c r="D72" s="1134">
        <v>285</v>
      </c>
      <c r="E72" s="1116">
        <v>310</v>
      </c>
      <c r="F72" s="1115" t="s">
        <v>611</v>
      </c>
    </row>
    <row r="73" spans="1:6" ht="17.25" customHeight="1">
      <c r="A73" s="1112">
        <v>38900</v>
      </c>
      <c r="B73" s="1130">
        <v>1</v>
      </c>
      <c r="C73" s="1114">
        <v>332.6</v>
      </c>
      <c r="D73" s="1134">
        <v>250</v>
      </c>
      <c r="E73" s="1116">
        <v>305</v>
      </c>
      <c r="F73" s="1115" t="s">
        <v>611</v>
      </c>
    </row>
    <row r="74" spans="1:6" ht="17.25" customHeight="1">
      <c r="A74" s="1112">
        <v>38930</v>
      </c>
      <c r="B74" s="1130">
        <v>1.03</v>
      </c>
      <c r="C74" s="1114">
        <v>342.57800000000003</v>
      </c>
      <c r="D74" s="1134">
        <v>250</v>
      </c>
      <c r="E74" s="1116">
        <v>310</v>
      </c>
      <c r="F74" s="1115" t="s">
        <v>611</v>
      </c>
    </row>
    <row r="75" spans="1:6" ht="17.25" customHeight="1">
      <c r="A75" s="1112">
        <v>38961</v>
      </c>
      <c r="B75" s="1130">
        <v>1.33</v>
      </c>
      <c r="C75" s="1114">
        <v>442.35800000000006</v>
      </c>
      <c r="D75" s="1134">
        <v>250</v>
      </c>
      <c r="E75" s="1116">
        <v>420</v>
      </c>
      <c r="F75" s="1115" t="s">
        <v>611</v>
      </c>
    </row>
    <row r="76" spans="1:6" ht="17.25" customHeight="1">
      <c r="A76" s="1112">
        <v>38991</v>
      </c>
      <c r="B76" s="1130">
        <v>1.8</v>
      </c>
      <c r="C76" s="1114">
        <v>598.67999999999995</v>
      </c>
      <c r="D76" s="1134">
        <v>400</v>
      </c>
      <c r="E76" s="1116">
        <v>550</v>
      </c>
      <c r="F76" s="1115" t="s">
        <v>611</v>
      </c>
    </row>
    <row r="77" spans="1:6" ht="17.25" customHeight="1">
      <c r="A77" s="1112">
        <v>39022</v>
      </c>
      <c r="B77" s="1130">
        <v>1.8</v>
      </c>
      <c r="C77" s="1114">
        <v>598.67999999999995</v>
      </c>
      <c r="D77" s="1134">
        <v>400</v>
      </c>
      <c r="E77" s="1116">
        <v>550</v>
      </c>
      <c r="F77" s="1115" t="s">
        <v>611</v>
      </c>
    </row>
    <row r="78" spans="1:6" ht="17.25" customHeight="1">
      <c r="A78" s="1117">
        <v>39052</v>
      </c>
      <c r="B78" s="1132">
        <v>1.8</v>
      </c>
      <c r="C78" s="1119">
        <v>598.67999999999995</v>
      </c>
      <c r="D78" s="1135">
        <v>400</v>
      </c>
      <c r="E78" s="1120">
        <v>520</v>
      </c>
      <c r="F78" s="1121" t="s">
        <v>611</v>
      </c>
    </row>
    <row r="79" spans="1:6" ht="17.25" customHeight="1">
      <c r="A79" s="1122">
        <v>39083</v>
      </c>
      <c r="B79" s="1123">
        <v>1.8</v>
      </c>
      <c r="C79" s="1129">
        <v>598.67999999999995</v>
      </c>
      <c r="D79" s="1125">
        <v>420</v>
      </c>
      <c r="E79" s="1116">
        <v>520</v>
      </c>
      <c r="F79" s="1115" t="s">
        <v>611</v>
      </c>
    </row>
    <row r="80" spans="1:6" ht="17.25" customHeight="1">
      <c r="A80" s="1112">
        <v>39114</v>
      </c>
      <c r="B80" s="1113">
        <v>1.65</v>
      </c>
      <c r="C80" s="1131">
        <v>548.79</v>
      </c>
      <c r="D80" s="1126">
        <v>420</v>
      </c>
      <c r="E80" s="1116">
        <v>490</v>
      </c>
      <c r="F80" s="1115" t="s">
        <v>611</v>
      </c>
    </row>
    <row r="81" spans="1:6" ht="17.25" customHeight="1">
      <c r="A81" s="1112">
        <v>39142</v>
      </c>
      <c r="B81" s="1113">
        <v>1.55</v>
      </c>
      <c r="C81" s="1131">
        <v>515.53</v>
      </c>
      <c r="D81" s="1126">
        <v>420</v>
      </c>
      <c r="E81" s="1116">
        <v>490</v>
      </c>
      <c r="F81" s="1115" t="s">
        <v>611</v>
      </c>
    </row>
    <row r="82" spans="1:6" ht="17.25" customHeight="1">
      <c r="A82" s="1112">
        <v>39173</v>
      </c>
      <c r="B82" s="1113">
        <v>1.01</v>
      </c>
      <c r="C82" s="1131">
        <v>335.92600000000004</v>
      </c>
      <c r="D82" s="1126">
        <v>250</v>
      </c>
      <c r="E82" s="1116">
        <v>320</v>
      </c>
      <c r="F82" s="1115" t="s">
        <v>611</v>
      </c>
    </row>
    <row r="83" spans="1:6" ht="17.25" customHeight="1">
      <c r="A83" s="1112">
        <v>39203</v>
      </c>
      <c r="B83" s="1113">
        <v>1.01</v>
      </c>
      <c r="C83" s="1131">
        <v>335.92600000000004</v>
      </c>
      <c r="D83" s="1126">
        <v>250</v>
      </c>
      <c r="E83" s="1116">
        <v>320</v>
      </c>
      <c r="F83" s="1115" t="s">
        <v>611</v>
      </c>
    </row>
    <row r="84" spans="1:6" ht="17.25" customHeight="1">
      <c r="A84" s="1112">
        <v>39234</v>
      </c>
      <c r="B84" s="1113">
        <v>1.01</v>
      </c>
      <c r="C84" s="1131">
        <v>335.92600000000004</v>
      </c>
      <c r="D84" s="1126">
        <v>250</v>
      </c>
      <c r="E84" s="1116">
        <v>320</v>
      </c>
      <c r="F84" s="1115" t="s">
        <v>611</v>
      </c>
    </row>
    <row r="85" spans="1:6" ht="17.25" customHeight="1">
      <c r="A85" s="1112">
        <v>39264</v>
      </c>
      <c r="B85" s="1113">
        <v>0.93</v>
      </c>
      <c r="C85" s="1131">
        <v>309.31800000000004</v>
      </c>
      <c r="D85" s="1126">
        <v>220</v>
      </c>
      <c r="E85" s="1116">
        <v>285</v>
      </c>
      <c r="F85" s="1115" t="s">
        <v>611</v>
      </c>
    </row>
    <row r="86" spans="1:6" ht="17.25" customHeight="1">
      <c r="A86" s="1112">
        <v>39295</v>
      </c>
      <c r="B86" s="1113">
        <v>0.93</v>
      </c>
      <c r="C86" s="1131">
        <v>309.31800000000004</v>
      </c>
      <c r="D86" s="1126">
        <v>220</v>
      </c>
      <c r="E86" s="1116">
        <v>285</v>
      </c>
      <c r="F86" s="1115" t="s">
        <v>611</v>
      </c>
    </row>
    <row r="87" spans="1:6" ht="17.25" customHeight="1">
      <c r="A87" s="1112">
        <v>39326</v>
      </c>
      <c r="B87" s="1113">
        <v>0.96</v>
      </c>
      <c r="C87" s="1131">
        <v>319.29599999999999</v>
      </c>
      <c r="D87" s="1126">
        <v>220</v>
      </c>
      <c r="E87" s="1116">
        <v>300</v>
      </c>
      <c r="F87" s="1115" t="s">
        <v>611</v>
      </c>
    </row>
    <row r="88" spans="1:6" ht="17.25" customHeight="1">
      <c r="A88" s="1112">
        <v>39356</v>
      </c>
      <c r="B88" s="1113">
        <v>1.7</v>
      </c>
      <c r="C88" s="1131">
        <v>565.41999999999996</v>
      </c>
      <c r="D88" s="1126">
        <v>390</v>
      </c>
      <c r="E88" s="1116">
        <v>520</v>
      </c>
      <c r="F88" s="1115" t="s">
        <v>611</v>
      </c>
    </row>
    <row r="89" spans="1:6" ht="17.25" customHeight="1">
      <c r="A89" s="1112">
        <v>39387</v>
      </c>
      <c r="B89" s="1113">
        <v>2</v>
      </c>
      <c r="C89" s="1131">
        <v>665.2</v>
      </c>
      <c r="D89" s="1126">
        <v>390</v>
      </c>
      <c r="E89" s="1116">
        <v>620</v>
      </c>
      <c r="F89" s="1115" t="s">
        <v>611</v>
      </c>
    </row>
    <row r="90" spans="1:6" ht="17.25" customHeight="1">
      <c r="A90" s="1117">
        <v>39417</v>
      </c>
      <c r="B90" s="1118">
        <v>2.5</v>
      </c>
      <c r="C90" s="1133">
        <v>831.5</v>
      </c>
      <c r="D90" s="1127">
        <v>390</v>
      </c>
      <c r="E90" s="1120">
        <v>720</v>
      </c>
      <c r="F90" s="1121" t="s">
        <v>611</v>
      </c>
    </row>
    <row r="91" spans="1:6" ht="17.25" customHeight="1">
      <c r="A91" s="1136">
        <v>39448</v>
      </c>
      <c r="B91" s="1123">
        <v>2.5</v>
      </c>
      <c r="C91" s="1129">
        <v>831.5</v>
      </c>
      <c r="D91" s="1125">
        <v>525</v>
      </c>
      <c r="E91" s="1116">
        <v>720</v>
      </c>
      <c r="F91" s="1115" t="s">
        <v>611</v>
      </c>
    </row>
    <row r="92" spans="1:6" ht="17.25" customHeight="1">
      <c r="A92" s="1137">
        <v>39479</v>
      </c>
      <c r="B92" s="1113">
        <v>2.1</v>
      </c>
      <c r="C92" s="1131">
        <v>698.46</v>
      </c>
      <c r="D92" s="1126">
        <v>525</v>
      </c>
      <c r="E92" s="1116">
        <v>600</v>
      </c>
      <c r="F92" s="1115" t="s">
        <v>611</v>
      </c>
    </row>
    <row r="93" spans="1:6" ht="17.25" customHeight="1">
      <c r="A93" s="1137">
        <v>39508</v>
      </c>
      <c r="B93" s="1113">
        <v>1.9</v>
      </c>
      <c r="C93" s="1131">
        <v>632</v>
      </c>
      <c r="D93" s="1138">
        <v>525</v>
      </c>
      <c r="E93" s="1116">
        <v>525</v>
      </c>
      <c r="F93" s="1115" t="s">
        <v>611</v>
      </c>
    </row>
    <row r="94" spans="1:6" ht="17.25" customHeight="1">
      <c r="A94" s="1137">
        <v>39539</v>
      </c>
      <c r="B94" s="1113">
        <v>1.6</v>
      </c>
      <c r="C94" s="1131">
        <v>532</v>
      </c>
      <c r="D94" s="1126">
        <v>295</v>
      </c>
      <c r="E94" s="1116">
        <v>450</v>
      </c>
      <c r="F94" s="1115" t="s">
        <v>611</v>
      </c>
    </row>
    <row r="95" spans="1:6" ht="17.25" customHeight="1">
      <c r="A95" s="1137">
        <v>39569</v>
      </c>
      <c r="B95" s="1113">
        <v>1.5</v>
      </c>
      <c r="C95" s="1131">
        <v>499</v>
      </c>
      <c r="D95" s="1126">
        <v>295</v>
      </c>
      <c r="E95" s="1116">
        <v>450</v>
      </c>
      <c r="F95" s="1115" t="s">
        <v>611</v>
      </c>
    </row>
    <row r="96" spans="1:6" ht="17.25" customHeight="1">
      <c r="A96" s="1137">
        <v>39600</v>
      </c>
      <c r="B96" s="1113">
        <v>1.58</v>
      </c>
      <c r="C96" s="1131">
        <v>526</v>
      </c>
      <c r="D96" s="1138">
        <v>295</v>
      </c>
      <c r="E96" s="1116">
        <v>500</v>
      </c>
      <c r="F96" s="1115" t="s">
        <v>611</v>
      </c>
    </row>
    <row r="97" spans="1:6" ht="17.25" customHeight="1">
      <c r="A97" s="1137">
        <v>39630</v>
      </c>
      <c r="B97" s="1113">
        <v>1.58</v>
      </c>
      <c r="C97" s="1131">
        <v>526</v>
      </c>
      <c r="D97" s="1138">
        <v>295</v>
      </c>
      <c r="E97" s="1116">
        <v>500</v>
      </c>
      <c r="F97" s="1115" t="s">
        <v>611</v>
      </c>
    </row>
    <row r="98" spans="1:6" ht="17.25" customHeight="1">
      <c r="A98" s="1137">
        <v>39661</v>
      </c>
      <c r="B98" s="1113">
        <v>1.58</v>
      </c>
      <c r="C98" s="1131">
        <v>526</v>
      </c>
      <c r="D98" s="1138">
        <v>295</v>
      </c>
      <c r="E98" s="1116">
        <v>500</v>
      </c>
      <c r="F98" s="1115" t="s">
        <v>611</v>
      </c>
    </row>
    <row r="99" spans="1:6" ht="17.25" customHeight="1">
      <c r="A99" s="1137">
        <v>39692</v>
      </c>
      <c r="B99" s="1113">
        <v>1.58</v>
      </c>
      <c r="C99" s="1131">
        <v>526</v>
      </c>
      <c r="D99" s="1138">
        <v>295</v>
      </c>
      <c r="E99" s="1116">
        <v>500</v>
      </c>
      <c r="F99" s="1115" t="s">
        <v>611</v>
      </c>
    </row>
    <row r="100" spans="1:6" ht="17.25" customHeight="1">
      <c r="A100" s="1137">
        <v>39722</v>
      </c>
      <c r="B100" s="1113">
        <v>1.5</v>
      </c>
      <c r="C100" s="1131">
        <v>499</v>
      </c>
      <c r="D100" s="1126">
        <v>295</v>
      </c>
      <c r="E100" s="1116">
        <v>450</v>
      </c>
      <c r="F100" s="1115" t="s">
        <v>611</v>
      </c>
    </row>
    <row r="101" spans="1:6" ht="17.25" customHeight="1">
      <c r="A101" s="1137">
        <v>39753</v>
      </c>
      <c r="B101" s="1113">
        <v>1.4</v>
      </c>
      <c r="C101" s="1131">
        <v>466</v>
      </c>
      <c r="D101" s="1138">
        <v>295</v>
      </c>
      <c r="E101" s="1116">
        <v>385</v>
      </c>
      <c r="F101" s="1115" t="s">
        <v>611</v>
      </c>
    </row>
    <row r="102" spans="1:6" ht="17.25" customHeight="1">
      <c r="A102" s="1139">
        <v>39783</v>
      </c>
      <c r="B102" s="1118">
        <v>1</v>
      </c>
      <c r="C102" s="1133">
        <v>333</v>
      </c>
      <c r="D102" s="1140">
        <v>295</v>
      </c>
      <c r="E102" s="1120">
        <v>285</v>
      </c>
      <c r="F102" s="1121" t="s">
        <v>611</v>
      </c>
    </row>
    <row r="103" spans="1:6" ht="17.25" customHeight="1">
      <c r="A103" s="1136">
        <v>39814</v>
      </c>
      <c r="B103" s="1123">
        <v>0.7</v>
      </c>
      <c r="C103" s="1129">
        <v>233</v>
      </c>
      <c r="D103" s="1141">
        <v>159</v>
      </c>
      <c r="E103" s="1116">
        <v>200</v>
      </c>
      <c r="F103" s="1115" t="s">
        <v>611</v>
      </c>
    </row>
    <row r="104" spans="1:6" ht="17.25" customHeight="1">
      <c r="A104" s="1137">
        <v>39845</v>
      </c>
      <c r="B104" s="1113">
        <v>0.7</v>
      </c>
      <c r="C104" s="1131">
        <v>233</v>
      </c>
      <c r="D104" s="1138">
        <v>159</v>
      </c>
      <c r="E104" s="1116">
        <v>200</v>
      </c>
      <c r="F104" s="1115" t="s">
        <v>611</v>
      </c>
    </row>
    <row r="105" spans="1:6" ht="17.25" customHeight="1">
      <c r="A105" s="1137">
        <v>39873</v>
      </c>
      <c r="B105" s="1113">
        <v>0.65</v>
      </c>
      <c r="C105" s="1131">
        <v>216</v>
      </c>
      <c r="D105" s="1138">
        <v>159</v>
      </c>
      <c r="E105" s="1116">
        <v>215</v>
      </c>
      <c r="F105" s="1115" t="s">
        <v>611</v>
      </c>
    </row>
    <row r="106" spans="1:6" ht="17.25" customHeight="1">
      <c r="A106" s="1137">
        <v>39904</v>
      </c>
      <c r="B106" s="1113">
        <v>0.6</v>
      </c>
      <c r="C106" s="1131">
        <v>200</v>
      </c>
      <c r="D106" s="1142">
        <v>146.5</v>
      </c>
      <c r="E106" s="1116">
        <v>230</v>
      </c>
      <c r="F106" s="1115" t="s">
        <v>611</v>
      </c>
    </row>
    <row r="107" spans="1:6" ht="17.25" customHeight="1">
      <c r="A107" s="1137">
        <v>39934</v>
      </c>
      <c r="B107" s="1113">
        <v>0.6</v>
      </c>
      <c r="C107" s="1131">
        <v>200</v>
      </c>
      <c r="D107" s="1142">
        <v>146.5</v>
      </c>
      <c r="E107" s="1116">
        <v>230</v>
      </c>
      <c r="F107" s="1115" t="s">
        <v>611</v>
      </c>
    </row>
    <row r="108" spans="1:6" ht="17.25" customHeight="1">
      <c r="A108" s="1137">
        <v>39965</v>
      </c>
      <c r="B108" s="1113">
        <v>0.6</v>
      </c>
      <c r="C108" s="1131">
        <v>200</v>
      </c>
      <c r="D108" s="1142">
        <v>146.5</v>
      </c>
      <c r="E108" s="1116">
        <v>230</v>
      </c>
      <c r="F108" s="1115" t="s">
        <v>611</v>
      </c>
    </row>
    <row r="109" spans="1:6" ht="17.25" customHeight="1">
      <c r="A109" s="1137">
        <v>39995</v>
      </c>
      <c r="B109" s="1113">
        <v>0.68</v>
      </c>
      <c r="C109" s="1131">
        <v>226</v>
      </c>
      <c r="D109" s="1138">
        <v>159</v>
      </c>
      <c r="E109" s="1116">
        <v>250</v>
      </c>
      <c r="F109" s="1115" t="s">
        <v>611</v>
      </c>
    </row>
    <row r="110" spans="1:6" ht="17.25" customHeight="1">
      <c r="A110" s="1137">
        <v>40026</v>
      </c>
      <c r="B110" s="1113">
        <v>0.72</v>
      </c>
      <c r="C110" s="1131">
        <v>239</v>
      </c>
      <c r="D110" s="1138">
        <v>159</v>
      </c>
      <c r="E110" s="1116">
        <v>265</v>
      </c>
      <c r="F110" s="1115" t="s">
        <v>611</v>
      </c>
    </row>
    <row r="111" spans="1:6" ht="17.25" customHeight="1">
      <c r="A111" s="1137">
        <v>40057</v>
      </c>
      <c r="B111" s="1113">
        <v>0.84</v>
      </c>
      <c r="C111" s="1131">
        <v>279</v>
      </c>
      <c r="D111" s="1138">
        <v>159</v>
      </c>
      <c r="E111" s="1116">
        <v>280</v>
      </c>
      <c r="F111" s="1115" t="s">
        <v>611</v>
      </c>
    </row>
    <row r="112" spans="1:6" ht="17.25" customHeight="1">
      <c r="A112" s="1137">
        <v>40087</v>
      </c>
      <c r="B112" s="1113">
        <v>0.95</v>
      </c>
      <c r="C112" s="1131">
        <v>316</v>
      </c>
      <c r="D112" s="1138">
        <v>223</v>
      </c>
      <c r="E112" s="1116">
        <v>300</v>
      </c>
      <c r="F112" s="1115" t="s">
        <v>611</v>
      </c>
    </row>
    <row r="113" spans="1:6" ht="17.25" customHeight="1">
      <c r="A113" s="1137">
        <v>40118</v>
      </c>
      <c r="B113" s="1113">
        <v>1</v>
      </c>
      <c r="C113" s="1131">
        <v>333</v>
      </c>
      <c r="D113" s="1138">
        <v>223</v>
      </c>
      <c r="E113" s="1116">
        <v>300</v>
      </c>
      <c r="F113" s="1115" t="s">
        <v>611</v>
      </c>
    </row>
    <row r="114" spans="1:6" ht="17.25" customHeight="1">
      <c r="A114" s="1139">
        <v>40148</v>
      </c>
      <c r="B114" s="1118">
        <v>1.1000000000000001</v>
      </c>
      <c r="C114" s="1133">
        <v>366</v>
      </c>
      <c r="D114" s="1140">
        <v>223</v>
      </c>
      <c r="E114" s="1120">
        <v>330</v>
      </c>
      <c r="F114" s="1121" t="s">
        <v>611</v>
      </c>
    </row>
    <row r="115" spans="1:6" ht="17.25" customHeight="1">
      <c r="A115" s="1122">
        <v>40179</v>
      </c>
      <c r="B115" s="1123">
        <v>1.1000000000000001</v>
      </c>
      <c r="C115" s="1129">
        <v>366</v>
      </c>
      <c r="D115" s="1125">
        <v>235</v>
      </c>
      <c r="E115" s="1116">
        <v>350</v>
      </c>
      <c r="F115" s="1115" t="s">
        <v>611</v>
      </c>
    </row>
    <row r="116" spans="1:6" ht="17.25" customHeight="1">
      <c r="A116" s="1137">
        <v>40210</v>
      </c>
      <c r="B116" s="1113">
        <v>1.1000000000000001</v>
      </c>
      <c r="C116" s="1131">
        <v>366</v>
      </c>
      <c r="D116" s="1138">
        <v>235</v>
      </c>
      <c r="E116" s="1116">
        <v>350</v>
      </c>
      <c r="F116" s="1115" t="s">
        <v>611</v>
      </c>
    </row>
    <row r="117" spans="1:6" ht="17.25" customHeight="1">
      <c r="A117" s="1137">
        <v>40238</v>
      </c>
      <c r="B117" s="1113">
        <v>1.1000000000000001</v>
      </c>
      <c r="C117" s="1131">
        <v>366</v>
      </c>
      <c r="D117" s="1138">
        <v>235</v>
      </c>
      <c r="E117" s="1116">
        <v>365</v>
      </c>
      <c r="F117" s="1115" t="s">
        <v>611</v>
      </c>
    </row>
    <row r="118" spans="1:6" ht="17.25" customHeight="1">
      <c r="A118" s="1137">
        <v>40269</v>
      </c>
      <c r="B118" s="1113">
        <v>1.1000000000000001</v>
      </c>
      <c r="C118" s="1131">
        <v>366</v>
      </c>
      <c r="D118" s="1138">
        <v>250</v>
      </c>
      <c r="E118" s="1116">
        <v>345</v>
      </c>
      <c r="F118" s="1115" t="s">
        <v>611</v>
      </c>
    </row>
    <row r="119" spans="1:6" ht="17.25" customHeight="1">
      <c r="A119" s="1137">
        <v>40299</v>
      </c>
      <c r="B119" s="1113">
        <v>1</v>
      </c>
      <c r="C119" s="1131">
        <v>333</v>
      </c>
      <c r="D119" s="1138">
        <v>250</v>
      </c>
      <c r="E119" s="1116">
        <v>310</v>
      </c>
      <c r="F119" s="1115" t="s">
        <v>611</v>
      </c>
    </row>
    <row r="120" spans="1:6" ht="17.25" customHeight="1">
      <c r="A120" s="1137">
        <v>40330</v>
      </c>
      <c r="B120" s="1113">
        <v>1.05</v>
      </c>
      <c r="C120" s="1131">
        <v>349</v>
      </c>
      <c r="D120" s="1138">
        <v>250</v>
      </c>
      <c r="E120" s="1116">
        <v>310</v>
      </c>
      <c r="F120" s="1115" t="s">
        <v>611</v>
      </c>
    </row>
    <row r="121" spans="1:6" ht="17.25" customHeight="1">
      <c r="A121" s="1137">
        <v>40360</v>
      </c>
      <c r="B121" s="1113">
        <v>1.05</v>
      </c>
      <c r="C121" s="1131">
        <v>349</v>
      </c>
      <c r="D121" s="1138">
        <v>255</v>
      </c>
      <c r="E121" s="1116">
        <v>310</v>
      </c>
      <c r="F121" s="1115" t="s">
        <v>611</v>
      </c>
    </row>
    <row r="122" spans="1:6" ht="17.25" customHeight="1">
      <c r="A122" s="1137">
        <v>40391</v>
      </c>
      <c r="B122" s="1113">
        <v>1.05</v>
      </c>
      <c r="C122" s="1131">
        <v>349</v>
      </c>
      <c r="D122" s="1138">
        <v>255</v>
      </c>
      <c r="E122" s="1116">
        <v>310</v>
      </c>
      <c r="F122" s="1115" t="s">
        <v>611</v>
      </c>
    </row>
    <row r="123" spans="1:6" ht="17.25" customHeight="1">
      <c r="A123" s="1137">
        <v>40422</v>
      </c>
      <c r="B123" s="1113">
        <v>1.08</v>
      </c>
      <c r="C123" s="1131">
        <v>359</v>
      </c>
      <c r="D123" s="1138">
        <v>255</v>
      </c>
      <c r="E123" s="1116">
        <v>325</v>
      </c>
      <c r="F123" s="1115" t="s">
        <v>611</v>
      </c>
    </row>
    <row r="124" spans="1:6" ht="17.25" customHeight="1">
      <c r="A124" s="1137">
        <v>40452</v>
      </c>
      <c r="B124" s="1113">
        <v>1.08</v>
      </c>
      <c r="C124" s="1131">
        <v>359</v>
      </c>
      <c r="D124" s="1138">
        <v>277</v>
      </c>
      <c r="E124" s="1116">
        <v>345</v>
      </c>
      <c r="F124" s="1115" t="s">
        <v>611</v>
      </c>
    </row>
    <row r="125" spans="1:6" ht="17.25" customHeight="1">
      <c r="A125" s="1137">
        <v>40483</v>
      </c>
      <c r="B125" s="1113">
        <v>1.33</v>
      </c>
      <c r="C125" s="1131">
        <v>442</v>
      </c>
      <c r="D125" s="1138">
        <v>277</v>
      </c>
      <c r="E125" s="1116">
        <v>445</v>
      </c>
      <c r="F125" s="1115" t="s">
        <v>611</v>
      </c>
    </row>
    <row r="126" spans="1:6" ht="17.25" customHeight="1">
      <c r="A126" s="1139">
        <v>40522</v>
      </c>
      <c r="B126" s="1118">
        <v>1.38</v>
      </c>
      <c r="C126" s="1133">
        <v>459</v>
      </c>
      <c r="D126" s="1140">
        <v>277</v>
      </c>
      <c r="E126" s="1120">
        <v>460</v>
      </c>
      <c r="F126" s="1121" t="s">
        <v>611</v>
      </c>
    </row>
    <row r="127" spans="1:6" ht="17.25" customHeight="1">
      <c r="A127" s="1122">
        <v>40544</v>
      </c>
      <c r="B127" s="1123">
        <v>1.35</v>
      </c>
      <c r="C127" s="1129">
        <v>449</v>
      </c>
      <c r="D127" s="1125">
        <v>325</v>
      </c>
      <c r="E127" s="1116">
        <v>460</v>
      </c>
      <c r="F127" s="1115" t="s">
        <v>611</v>
      </c>
    </row>
    <row r="128" spans="1:6" ht="17.25" customHeight="1">
      <c r="A128" s="1112">
        <v>40575</v>
      </c>
      <c r="B128" s="1113">
        <v>1.28</v>
      </c>
      <c r="C128" s="1131">
        <v>426</v>
      </c>
      <c r="D128" s="1126">
        <v>325</v>
      </c>
      <c r="E128" s="1116">
        <v>420</v>
      </c>
      <c r="F128" s="1115" t="s">
        <v>611</v>
      </c>
    </row>
    <row r="129" spans="1:6" ht="17.25" customHeight="1">
      <c r="A129" s="1137">
        <v>40603</v>
      </c>
      <c r="B129" s="1113">
        <v>1.28</v>
      </c>
      <c r="C129" s="1131">
        <v>426</v>
      </c>
      <c r="D129" s="1138">
        <v>325</v>
      </c>
      <c r="E129" s="1116">
        <v>420</v>
      </c>
      <c r="F129" s="1115" t="s">
        <v>611</v>
      </c>
    </row>
    <row r="130" spans="1:6" ht="17.25" customHeight="1">
      <c r="A130" s="1137">
        <v>40634</v>
      </c>
      <c r="B130" s="1113">
        <v>1.28</v>
      </c>
      <c r="C130" s="1131">
        <v>426</v>
      </c>
      <c r="D130" s="1138">
        <v>305</v>
      </c>
      <c r="E130" s="1116">
        <v>395</v>
      </c>
      <c r="F130" s="1115" t="s">
        <v>611</v>
      </c>
    </row>
    <row r="131" spans="1:6" ht="17.25" customHeight="1">
      <c r="A131" s="1137">
        <v>40664</v>
      </c>
      <c r="B131" s="1113">
        <v>1.28</v>
      </c>
      <c r="C131" s="1131">
        <v>426</v>
      </c>
      <c r="D131" s="1138">
        <v>305</v>
      </c>
      <c r="E131" s="1116">
        <v>395</v>
      </c>
      <c r="F131" s="1115" t="s">
        <v>611</v>
      </c>
    </row>
    <row r="132" spans="1:6" ht="17.25" customHeight="1">
      <c r="A132" s="1137">
        <v>40695</v>
      </c>
      <c r="B132" s="1113">
        <v>1.28</v>
      </c>
      <c r="C132" s="1131">
        <v>426</v>
      </c>
      <c r="D132" s="1138">
        <v>305</v>
      </c>
      <c r="E132" s="1116">
        <v>420</v>
      </c>
      <c r="F132" s="1115" t="s">
        <v>611</v>
      </c>
    </row>
    <row r="133" spans="1:6" ht="17.25" customHeight="1">
      <c r="A133" s="1137">
        <v>40725</v>
      </c>
      <c r="B133" s="1113">
        <v>1.28</v>
      </c>
      <c r="C133" s="1131">
        <v>426</v>
      </c>
      <c r="D133" s="1138">
        <v>295</v>
      </c>
      <c r="E133" s="1116">
        <v>420</v>
      </c>
      <c r="F133" s="1115" t="s">
        <v>611</v>
      </c>
    </row>
    <row r="134" spans="1:6" ht="17.25" customHeight="1">
      <c r="A134" s="1137">
        <v>40756</v>
      </c>
      <c r="B134" s="1113">
        <v>1.38</v>
      </c>
      <c r="C134" s="1131">
        <v>459</v>
      </c>
      <c r="D134" s="1138">
        <v>295</v>
      </c>
      <c r="E134" s="1116">
        <v>470</v>
      </c>
      <c r="F134" s="1115" t="s">
        <v>611</v>
      </c>
    </row>
    <row r="135" spans="1:6" ht="17.25" customHeight="1">
      <c r="A135" s="1137">
        <v>40787</v>
      </c>
      <c r="B135" s="1113">
        <v>1.38</v>
      </c>
      <c r="C135" s="1131">
        <v>459</v>
      </c>
      <c r="D135" s="1138">
        <v>295</v>
      </c>
      <c r="E135" s="1116">
        <v>470</v>
      </c>
      <c r="F135" s="1115" t="s">
        <v>611</v>
      </c>
    </row>
    <row r="136" spans="1:6" ht="17.25" customHeight="1">
      <c r="A136" s="1137">
        <v>40817</v>
      </c>
      <c r="B136" s="1113">
        <v>1.38</v>
      </c>
      <c r="C136" s="1131">
        <v>459</v>
      </c>
      <c r="D136" s="1138">
        <v>320</v>
      </c>
      <c r="E136" s="1116">
        <v>470</v>
      </c>
      <c r="F136" s="1115" t="s">
        <v>611</v>
      </c>
    </row>
    <row r="137" spans="1:6" ht="17.25" customHeight="1">
      <c r="A137" s="1137">
        <v>40848</v>
      </c>
      <c r="B137" s="1113">
        <v>1.38</v>
      </c>
      <c r="C137" s="1131">
        <v>459</v>
      </c>
      <c r="D137" s="1138">
        <v>320</v>
      </c>
      <c r="E137" s="1116">
        <v>470</v>
      </c>
      <c r="F137" s="1115" t="s">
        <v>611</v>
      </c>
    </row>
    <row r="138" spans="1:6" ht="17.25" customHeight="1">
      <c r="A138" s="1139">
        <v>40878</v>
      </c>
      <c r="B138" s="1118">
        <v>1.38</v>
      </c>
      <c r="C138" s="1133">
        <v>459</v>
      </c>
      <c r="D138" s="1140">
        <v>320</v>
      </c>
      <c r="E138" s="1120">
        <v>470</v>
      </c>
      <c r="F138" s="1121" t="s">
        <v>611</v>
      </c>
    </row>
    <row r="139" spans="1:6" ht="17.25" customHeight="1">
      <c r="A139" s="1137">
        <v>40909</v>
      </c>
      <c r="B139" s="1113">
        <v>1.34</v>
      </c>
      <c r="C139" s="1131">
        <v>446</v>
      </c>
      <c r="D139" s="1138">
        <v>320</v>
      </c>
      <c r="E139" s="1116">
        <v>440</v>
      </c>
      <c r="F139" s="1115" t="s">
        <v>611</v>
      </c>
    </row>
    <row r="140" spans="1:6" ht="17.25" customHeight="1">
      <c r="A140" s="1137">
        <v>40940</v>
      </c>
      <c r="B140" s="1113">
        <v>1.34</v>
      </c>
      <c r="C140" s="1131">
        <v>446</v>
      </c>
      <c r="D140" s="1138">
        <v>320</v>
      </c>
      <c r="E140" s="1116">
        <v>440</v>
      </c>
      <c r="F140" s="1115" t="s">
        <v>611</v>
      </c>
    </row>
    <row r="141" spans="1:6" ht="17.25" customHeight="1">
      <c r="A141" s="1112">
        <v>40969</v>
      </c>
      <c r="B141" s="1113">
        <v>1.34</v>
      </c>
      <c r="C141" s="1131">
        <v>446</v>
      </c>
      <c r="D141" s="1138">
        <v>320</v>
      </c>
      <c r="E141" s="1116">
        <v>440</v>
      </c>
      <c r="F141" s="1115" t="s">
        <v>611</v>
      </c>
    </row>
    <row r="142" spans="1:6" ht="17.25" customHeight="1">
      <c r="A142" s="1137">
        <v>41000</v>
      </c>
      <c r="B142" s="1113">
        <v>1.34</v>
      </c>
      <c r="C142" s="1131">
        <v>446</v>
      </c>
      <c r="D142" s="1138">
        <v>340</v>
      </c>
      <c r="E142" s="1116">
        <v>440</v>
      </c>
      <c r="F142" s="1115" t="s">
        <v>611</v>
      </c>
    </row>
    <row r="143" spans="1:6" ht="17.25" customHeight="1">
      <c r="A143" s="1137">
        <v>41030</v>
      </c>
      <c r="B143" s="1113">
        <v>1.38</v>
      </c>
      <c r="C143" s="1131">
        <v>459</v>
      </c>
      <c r="D143" s="1138">
        <v>340</v>
      </c>
      <c r="E143" s="1116">
        <v>480</v>
      </c>
      <c r="F143" s="1115" t="s">
        <v>611</v>
      </c>
    </row>
    <row r="144" spans="1:6" ht="17.25" customHeight="1">
      <c r="A144" s="1137">
        <v>41061</v>
      </c>
      <c r="B144" s="1113">
        <v>1.38</v>
      </c>
      <c r="C144" s="1131">
        <v>459</v>
      </c>
      <c r="D144" s="1138">
        <v>340</v>
      </c>
      <c r="E144" s="1116">
        <v>465</v>
      </c>
      <c r="F144" s="1115" t="s">
        <v>611</v>
      </c>
    </row>
    <row r="145" spans="1:6" ht="17.25" customHeight="1">
      <c r="A145" s="1137">
        <v>41091</v>
      </c>
      <c r="B145" s="1113">
        <v>1.32</v>
      </c>
      <c r="C145" s="1131">
        <v>439</v>
      </c>
      <c r="D145" s="1138">
        <v>340</v>
      </c>
      <c r="E145" s="1116">
        <v>440</v>
      </c>
      <c r="F145" s="1115" t="s">
        <v>611</v>
      </c>
    </row>
    <row r="146" spans="1:6" ht="17.25" customHeight="1">
      <c r="A146" s="1137">
        <v>41122</v>
      </c>
      <c r="B146" s="1113">
        <v>1.32</v>
      </c>
      <c r="C146" s="1131">
        <v>439</v>
      </c>
      <c r="D146" s="1138">
        <v>340</v>
      </c>
      <c r="E146" s="1116">
        <v>425</v>
      </c>
      <c r="F146" s="1115" t="s">
        <v>611</v>
      </c>
    </row>
    <row r="147" spans="1:6" ht="17.25" customHeight="1">
      <c r="A147" s="1137">
        <v>41153</v>
      </c>
      <c r="B147" s="1113">
        <v>1.32</v>
      </c>
      <c r="C147" s="1131">
        <v>439</v>
      </c>
      <c r="D147" s="1138">
        <v>340</v>
      </c>
      <c r="E147" s="1116">
        <v>425</v>
      </c>
      <c r="F147" s="1115" t="s">
        <v>611</v>
      </c>
    </row>
    <row r="148" spans="1:6" ht="17.25" customHeight="1">
      <c r="A148" s="1137">
        <v>41183</v>
      </c>
      <c r="B148" s="1113">
        <v>1.32</v>
      </c>
      <c r="C148" s="1131">
        <v>439</v>
      </c>
      <c r="D148" s="1138">
        <v>340</v>
      </c>
      <c r="E148" s="1116">
        <v>435</v>
      </c>
      <c r="F148" s="1115" t="s">
        <v>611</v>
      </c>
    </row>
    <row r="149" spans="1:6" ht="17.25" customHeight="1">
      <c r="A149" s="1137">
        <v>41214</v>
      </c>
      <c r="B149" s="1113">
        <v>1.45</v>
      </c>
      <c r="C149" s="1131">
        <v>482</v>
      </c>
      <c r="D149" s="1138">
        <v>340</v>
      </c>
      <c r="E149" s="1116">
        <v>435</v>
      </c>
      <c r="F149" s="1115" t="s">
        <v>611</v>
      </c>
    </row>
    <row r="150" spans="1:6" ht="17.25" customHeight="1">
      <c r="A150" s="1139">
        <v>41244</v>
      </c>
      <c r="B150" s="1118">
        <v>1.45</v>
      </c>
      <c r="C150" s="1133">
        <v>482</v>
      </c>
      <c r="D150" s="1140">
        <v>340</v>
      </c>
      <c r="E150" s="1120">
        <v>435</v>
      </c>
      <c r="F150" s="1121" t="s">
        <v>611</v>
      </c>
    </row>
    <row r="151" spans="1:6" ht="17.25" customHeight="1">
      <c r="A151" s="1137">
        <v>41275</v>
      </c>
      <c r="B151" s="1113">
        <v>1.45</v>
      </c>
      <c r="C151" s="1131">
        <v>482</v>
      </c>
      <c r="D151" s="1138">
        <v>370</v>
      </c>
      <c r="E151" s="1116">
        <v>435</v>
      </c>
      <c r="F151" s="1115" t="s">
        <v>611</v>
      </c>
    </row>
    <row r="152" spans="1:6" ht="17.25" customHeight="1">
      <c r="A152" s="1112">
        <v>41306</v>
      </c>
      <c r="B152" s="1130">
        <v>1.45</v>
      </c>
      <c r="C152" s="1131">
        <v>482</v>
      </c>
      <c r="D152" s="1138">
        <v>370</v>
      </c>
      <c r="E152" s="1116">
        <v>435</v>
      </c>
      <c r="F152" s="1115" t="s">
        <v>611</v>
      </c>
    </row>
    <row r="153" spans="1:6" ht="17.25" customHeight="1">
      <c r="A153" s="1137">
        <v>41334</v>
      </c>
      <c r="B153" s="1113">
        <v>1.55</v>
      </c>
      <c r="C153" s="1131">
        <v>516</v>
      </c>
      <c r="D153" s="1138">
        <v>370</v>
      </c>
      <c r="E153" s="1116">
        <v>450</v>
      </c>
      <c r="F153" s="1115" t="s">
        <v>611</v>
      </c>
    </row>
    <row r="154" spans="1:6" ht="17.25" customHeight="1">
      <c r="A154" s="1137">
        <v>41365</v>
      </c>
      <c r="B154" s="1113">
        <v>1.55</v>
      </c>
      <c r="C154" s="1131">
        <v>516</v>
      </c>
      <c r="D154" s="1138">
        <v>390</v>
      </c>
      <c r="E154" s="1116">
        <v>450</v>
      </c>
      <c r="F154" s="1115" t="s">
        <v>611</v>
      </c>
    </row>
    <row r="155" spans="1:6" ht="17.25" customHeight="1">
      <c r="A155" s="1137">
        <v>41395</v>
      </c>
      <c r="B155" s="1113">
        <v>1.6</v>
      </c>
      <c r="C155" s="1131">
        <v>532</v>
      </c>
      <c r="D155" s="1138">
        <v>390</v>
      </c>
      <c r="E155" s="1116">
        <v>450</v>
      </c>
      <c r="F155" s="1115" t="s">
        <v>611</v>
      </c>
    </row>
    <row r="156" spans="1:6" ht="17.25" customHeight="1">
      <c r="A156" s="1137">
        <v>41426</v>
      </c>
      <c r="B156" s="1113">
        <v>1.6</v>
      </c>
      <c r="C156" s="1131">
        <v>532</v>
      </c>
      <c r="D156" s="1138">
        <v>390</v>
      </c>
      <c r="E156" s="1116">
        <v>450</v>
      </c>
      <c r="F156" s="1115" t="s">
        <v>611</v>
      </c>
    </row>
    <row r="157" spans="1:6" ht="17.25" customHeight="1">
      <c r="A157" s="1137">
        <v>41456</v>
      </c>
      <c r="B157" s="1113">
        <v>1.6</v>
      </c>
      <c r="C157" s="1131">
        <v>532</v>
      </c>
      <c r="D157" s="1138">
        <v>390</v>
      </c>
      <c r="E157" s="1116">
        <v>450</v>
      </c>
      <c r="F157" s="1115" t="s">
        <v>611</v>
      </c>
    </row>
    <row r="158" spans="1:6" ht="17.25" customHeight="1">
      <c r="A158" s="1137">
        <v>41487</v>
      </c>
      <c r="B158" s="1113">
        <v>1.6</v>
      </c>
      <c r="C158" s="1131">
        <v>532</v>
      </c>
      <c r="D158" s="1138">
        <v>390</v>
      </c>
      <c r="E158" s="1116">
        <v>450</v>
      </c>
      <c r="F158" s="1115" t="s">
        <v>611</v>
      </c>
    </row>
    <row r="159" spans="1:6" ht="17.25" customHeight="1">
      <c r="A159" s="1137">
        <v>41518</v>
      </c>
      <c r="B159" s="1113">
        <v>1.6</v>
      </c>
      <c r="C159" s="1131">
        <v>532</v>
      </c>
      <c r="D159" s="1138">
        <v>390</v>
      </c>
      <c r="E159" s="1116">
        <v>470</v>
      </c>
      <c r="F159" s="1115" t="s">
        <v>611</v>
      </c>
    </row>
    <row r="160" spans="1:6" ht="17.25" customHeight="1">
      <c r="A160" s="1137">
        <v>41548</v>
      </c>
      <c r="B160" s="1113">
        <v>1.65</v>
      </c>
      <c r="C160" s="1131">
        <v>549</v>
      </c>
      <c r="D160" s="1138">
        <v>408</v>
      </c>
      <c r="E160" s="1116">
        <v>490</v>
      </c>
      <c r="F160" s="1115" t="s">
        <v>611</v>
      </c>
    </row>
    <row r="161" spans="1:6" ht="17.25" customHeight="1">
      <c r="A161" s="1137">
        <v>41579</v>
      </c>
      <c r="B161" s="1113">
        <v>1.8</v>
      </c>
      <c r="C161" s="1131">
        <v>599</v>
      </c>
      <c r="D161" s="1138">
        <v>408</v>
      </c>
      <c r="E161" s="1116">
        <v>520</v>
      </c>
      <c r="F161" s="1115" t="s">
        <v>611</v>
      </c>
    </row>
    <row r="162" spans="1:6" ht="17.25" customHeight="1">
      <c r="A162" s="1139">
        <v>41609</v>
      </c>
      <c r="B162" s="1118">
        <v>1.9</v>
      </c>
      <c r="C162" s="1133">
        <v>632</v>
      </c>
      <c r="D162" s="1140">
        <v>408</v>
      </c>
      <c r="E162" s="1120">
        <v>550</v>
      </c>
      <c r="F162" s="1121" t="s">
        <v>611</v>
      </c>
    </row>
    <row r="163" spans="1:6" ht="17.25" customHeight="1">
      <c r="A163" s="1137">
        <v>41640</v>
      </c>
      <c r="B163" s="1113">
        <v>1.9</v>
      </c>
      <c r="C163" s="1131">
        <v>632</v>
      </c>
      <c r="D163" s="1138">
        <v>450</v>
      </c>
      <c r="E163" s="1116">
        <v>590</v>
      </c>
      <c r="F163" s="1115" t="s">
        <v>611</v>
      </c>
    </row>
    <row r="164" spans="1:6" ht="17.25" customHeight="1">
      <c r="A164" s="1137">
        <v>41671</v>
      </c>
      <c r="B164" s="1113">
        <v>1.9</v>
      </c>
      <c r="C164" s="1131">
        <v>632</v>
      </c>
      <c r="D164" s="1138">
        <v>450</v>
      </c>
      <c r="E164" s="1116">
        <v>590</v>
      </c>
      <c r="F164" s="1115" t="s">
        <v>611</v>
      </c>
    </row>
    <row r="165" spans="1:6" ht="17.25" customHeight="1">
      <c r="A165" s="1137">
        <v>41699</v>
      </c>
      <c r="B165" s="1113">
        <v>1.9</v>
      </c>
      <c r="C165" s="1131">
        <v>632</v>
      </c>
      <c r="D165" s="1138">
        <v>450</v>
      </c>
      <c r="E165" s="1116">
        <v>590</v>
      </c>
      <c r="F165" s="1115" t="s">
        <v>611</v>
      </c>
    </row>
    <row r="166" spans="1:6" ht="17.25" customHeight="1">
      <c r="A166" s="1137">
        <v>41730</v>
      </c>
      <c r="B166" s="1113">
        <v>1.8</v>
      </c>
      <c r="C166" s="1131">
        <v>599</v>
      </c>
      <c r="D166" s="1138">
        <v>412</v>
      </c>
      <c r="E166" s="1116">
        <v>480</v>
      </c>
      <c r="F166" s="1115" t="s">
        <v>611</v>
      </c>
    </row>
    <row r="167" spans="1:6" ht="17.25" customHeight="1">
      <c r="A167" s="1137">
        <v>41760</v>
      </c>
      <c r="B167" s="1113">
        <v>1.7</v>
      </c>
      <c r="C167" s="1131">
        <v>565</v>
      </c>
      <c r="D167" s="1138">
        <v>412</v>
      </c>
      <c r="E167" s="1116">
        <v>460</v>
      </c>
      <c r="F167" s="1115" t="s">
        <v>611</v>
      </c>
    </row>
    <row r="168" spans="1:6" ht="17.25" customHeight="1">
      <c r="A168" s="1137">
        <v>41791</v>
      </c>
      <c r="B168" s="1113">
        <v>1.6</v>
      </c>
      <c r="C168" s="1131">
        <v>532</v>
      </c>
      <c r="D168" s="1138">
        <v>412</v>
      </c>
      <c r="E168" s="1116">
        <v>430</v>
      </c>
      <c r="F168" s="1115" t="s">
        <v>611</v>
      </c>
    </row>
    <row r="169" spans="1:6" ht="17.25" customHeight="1">
      <c r="A169" s="1137">
        <v>41821</v>
      </c>
      <c r="B169" s="1113">
        <v>1.45</v>
      </c>
      <c r="C169" s="1131">
        <v>482</v>
      </c>
      <c r="D169" s="1138">
        <v>322</v>
      </c>
      <c r="E169" s="1116">
        <v>410</v>
      </c>
      <c r="F169" s="1115" t="s">
        <v>611</v>
      </c>
    </row>
    <row r="170" spans="1:6" ht="17.25" customHeight="1">
      <c r="A170" s="1137">
        <v>41852</v>
      </c>
      <c r="B170" s="1113">
        <v>1.45</v>
      </c>
      <c r="C170" s="1131">
        <v>482</v>
      </c>
      <c r="D170" s="1138">
        <v>322</v>
      </c>
      <c r="E170" s="1116">
        <v>410</v>
      </c>
      <c r="F170" s="1115" t="s">
        <v>611</v>
      </c>
    </row>
    <row r="171" spans="1:6" ht="17.25" customHeight="1">
      <c r="A171" s="1137">
        <v>41883</v>
      </c>
      <c r="B171" s="1113">
        <v>1.45</v>
      </c>
      <c r="C171" s="1131">
        <v>482</v>
      </c>
      <c r="D171" s="1138">
        <v>322</v>
      </c>
      <c r="E171" s="1116">
        <v>420</v>
      </c>
      <c r="F171" s="1115" t="s">
        <v>611</v>
      </c>
    </row>
    <row r="172" spans="1:6" ht="17.25" customHeight="1">
      <c r="A172" s="1137">
        <v>41913</v>
      </c>
      <c r="B172" s="1113">
        <v>1.45</v>
      </c>
      <c r="C172" s="1131">
        <v>482</v>
      </c>
      <c r="D172" s="1138">
        <v>354</v>
      </c>
      <c r="E172" s="1116">
        <v>435</v>
      </c>
      <c r="F172" s="1115" t="s">
        <v>611</v>
      </c>
    </row>
    <row r="173" spans="1:6" ht="17.25" customHeight="1">
      <c r="A173" s="1137">
        <v>41944</v>
      </c>
      <c r="B173" s="1113">
        <v>1.5</v>
      </c>
      <c r="C173" s="1131">
        <v>499</v>
      </c>
      <c r="D173" s="1138">
        <v>354</v>
      </c>
      <c r="E173" s="1116">
        <v>435</v>
      </c>
      <c r="F173" s="1115" t="s">
        <v>611</v>
      </c>
    </row>
    <row r="174" spans="1:6" ht="17.25" customHeight="1">
      <c r="A174" s="1139">
        <v>41974</v>
      </c>
      <c r="B174" s="1118">
        <v>1.43</v>
      </c>
      <c r="C174" s="1133">
        <v>475</v>
      </c>
      <c r="D174" s="1126">
        <v>354</v>
      </c>
      <c r="E174" s="1120">
        <v>415</v>
      </c>
      <c r="F174" s="1121" t="s">
        <v>611</v>
      </c>
    </row>
    <row r="175" spans="1:6" ht="17.25" customHeight="1">
      <c r="A175" s="1143">
        <v>42005</v>
      </c>
      <c r="B175" s="1123">
        <v>1.35</v>
      </c>
      <c r="C175" s="1129">
        <v>449</v>
      </c>
      <c r="D175" s="1141">
        <v>354</v>
      </c>
      <c r="E175" s="1116">
        <v>355</v>
      </c>
      <c r="F175" s="1115" t="s">
        <v>611</v>
      </c>
    </row>
    <row r="176" spans="1:6" ht="17.25" customHeight="1">
      <c r="A176" s="1144">
        <v>42036</v>
      </c>
      <c r="B176" s="1113">
        <v>1.25</v>
      </c>
      <c r="C176" s="1131">
        <v>416</v>
      </c>
      <c r="D176" s="1138">
        <v>339</v>
      </c>
      <c r="E176" s="1116">
        <v>315</v>
      </c>
      <c r="F176" s="1115" t="s">
        <v>611</v>
      </c>
    </row>
    <row r="177" spans="1:6" ht="17.25" customHeight="1">
      <c r="A177" s="1144">
        <v>42064</v>
      </c>
      <c r="B177" s="1113">
        <v>1.25</v>
      </c>
      <c r="C177" s="1131">
        <v>416</v>
      </c>
      <c r="D177" s="1138">
        <v>339</v>
      </c>
      <c r="E177" s="1116">
        <v>330</v>
      </c>
      <c r="F177" s="1115" t="s">
        <v>611</v>
      </c>
    </row>
    <row r="178" spans="1:6" ht="17.25" customHeight="1">
      <c r="A178" s="1144">
        <v>42095</v>
      </c>
      <c r="B178" s="1113">
        <v>1.25</v>
      </c>
      <c r="C178" s="1131">
        <v>416</v>
      </c>
      <c r="D178" s="1138">
        <v>365</v>
      </c>
      <c r="E178" s="1116">
        <v>365</v>
      </c>
      <c r="F178" s="1115" t="s">
        <v>611</v>
      </c>
    </row>
    <row r="179" spans="1:6" ht="17.25" customHeight="1">
      <c r="A179" s="1144">
        <v>42125</v>
      </c>
      <c r="B179" s="1113">
        <v>1.33</v>
      </c>
      <c r="C179" s="1131">
        <v>442</v>
      </c>
      <c r="D179" s="1138">
        <v>365</v>
      </c>
      <c r="E179" s="1116">
        <v>390</v>
      </c>
      <c r="F179" s="1115" t="s">
        <v>611</v>
      </c>
    </row>
    <row r="180" spans="1:6" ht="17.25" customHeight="1">
      <c r="A180" s="1144">
        <v>42156</v>
      </c>
      <c r="B180" s="1113">
        <v>1.33</v>
      </c>
      <c r="C180" s="1131">
        <v>442</v>
      </c>
      <c r="D180" s="1138">
        <v>365</v>
      </c>
      <c r="E180" s="1116">
        <v>390</v>
      </c>
      <c r="F180" s="1115" t="s">
        <v>611</v>
      </c>
    </row>
    <row r="181" spans="1:6" ht="17.25" customHeight="1">
      <c r="A181" s="1144">
        <v>42186</v>
      </c>
      <c r="B181" s="1113">
        <v>1.33</v>
      </c>
      <c r="C181" s="1131">
        <v>442</v>
      </c>
      <c r="D181" s="1138">
        <v>365</v>
      </c>
      <c r="E181" s="1116">
        <v>375</v>
      </c>
      <c r="F181" s="1115" t="s">
        <v>611</v>
      </c>
    </row>
    <row r="182" spans="1:6" ht="17.25" customHeight="1">
      <c r="A182" s="1144">
        <v>42217</v>
      </c>
      <c r="B182" s="1113">
        <v>1.25</v>
      </c>
      <c r="C182" s="1131">
        <v>416</v>
      </c>
      <c r="D182" s="1138">
        <v>365</v>
      </c>
      <c r="E182" s="1116">
        <v>360</v>
      </c>
      <c r="F182" s="1115" t="s">
        <v>611</v>
      </c>
    </row>
    <row r="183" spans="1:6" ht="17.25" customHeight="1">
      <c r="A183" s="1144">
        <v>42248</v>
      </c>
      <c r="B183" s="1113">
        <v>1.1000000000000001</v>
      </c>
      <c r="C183" s="1131">
        <v>366</v>
      </c>
      <c r="D183" s="1138">
        <v>365</v>
      </c>
      <c r="E183" s="1116">
        <v>315</v>
      </c>
      <c r="F183" s="1115" t="s">
        <v>611</v>
      </c>
    </row>
    <row r="184" spans="1:6" ht="17.25" customHeight="1">
      <c r="A184" s="1144">
        <v>42278</v>
      </c>
      <c r="B184" s="1113">
        <v>1.1000000000000001</v>
      </c>
      <c r="C184" s="1131">
        <v>366</v>
      </c>
      <c r="D184" s="1138">
        <v>295</v>
      </c>
      <c r="E184" s="1116">
        <v>305</v>
      </c>
      <c r="F184" s="1115" t="s">
        <v>611</v>
      </c>
    </row>
    <row r="185" spans="1:6" ht="17.25" customHeight="1">
      <c r="A185" s="1144">
        <v>42309</v>
      </c>
      <c r="B185" s="1113">
        <v>1.05</v>
      </c>
      <c r="C185" s="1131">
        <v>349</v>
      </c>
      <c r="D185" s="1138">
        <v>295</v>
      </c>
      <c r="E185" s="1116">
        <v>305</v>
      </c>
      <c r="F185" s="1115" t="s">
        <v>611</v>
      </c>
    </row>
    <row r="186" spans="1:6" ht="17.25" customHeight="1">
      <c r="A186" s="1145">
        <v>42339</v>
      </c>
      <c r="B186" s="1118">
        <v>1.05</v>
      </c>
      <c r="C186" s="1133">
        <v>349</v>
      </c>
      <c r="D186" s="1127">
        <v>295</v>
      </c>
      <c r="E186" s="1120">
        <v>305</v>
      </c>
      <c r="F186" s="1121" t="s">
        <v>611</v>
      </c>
    </row>
    <row r="187" spans="1:6" ht="17.25" customHeight="1">
      <c r="A187" s="1143">
        <v>42370</v>
      </c>
      <c r="B187" s="1123">
        <v>0.9</v>
      </c>
      <c r="C187" s="1129">
        <v>299</v>
      </c>
      <c r="D187" s="1141">
        <v>275</v>
      </c>
      <c r="E187" s="1116">
        <v>275</v>
      </c>
      <c r="F187" s="1115" t="s">
        <v>611</v>
      </c>
    </row>
    <row r="188" spans="1:6" ht="17.25" customHeight="1">
      <c r="A188" s="1144">
        <v>42401</v>
      </c>
      <c r="B188" s="1113">
        <v>0.75</v>
      </c>
      <c r="C188" s="1131">
        <v>249</v>
      </c>
      <c r="D188" s="1138">
        <v>275</v>
      </c>
      <c r="E188" s="1116">
        <v>255</v>
      </c>
      <c r="F188" s="1115" t="s">
        <v>611</v>
      </c>
    </row>
    <row r="189" spans="1:6" ht="17.25" customHeight="1">
      <c r="A189" s="1144">
        <v>42430</v>
      </c>
      <c r="B189" s="1113">
        <v>0.75</v>
      </c>
      <c r="C189" s="1131">
        <v>249</v>
      </c>
      <c r="D189" s="1138">
        <v>275</v>
      </c>
      <c r="E189" s="1116">
        <v>255</v>
      </c>
      <c r="F189" s="1115" t="s">
        <v>611</v>
      </c>
    </row>
    <row r="190" spans="1:6" ht="17.25" customHeight="1">
      <c r="A190" s="1144">
        <v>42461</v>
      </c>
      <c r="B190" s="1113">
        <v>0.75</v>
      </c>
      <c r="C190" s="1131">
        <v>249</v>
      </c>
      <c r="D190" s="1138">
        <v>225</v>
      </c>
      <c r="E190" s="1116">
        <v>265</v>
      </c>
      <c r="F190" s="1115" t="s">
        <v>611</v>
      </c>
    </row>
    <row r="191" spans="1:6" ht="17.25" customHeight="1">
      <c r="A191" s="1144">
        <v>42491</v>
      </c>
      <c r="B191" s="1113">
        <v>0.75</v>
      </c>
      <c r="C191" s="1131">
        <v>249</v>
      </c>
      <c r="D191" s="1138">
        <v>225</v>
      </c>
      <c r="E191" s="1116">
        <v>265</v>
      </c>
      <c r="F191" s="1115" t="s">
        <v>611</v>
      </c>
    </row>
    <row r="192" spans="1:6" ht="17.25" customHeight="1">
      <c r="A192" s="1144">
        <v>42522</v>
      </c>
      <c r="B192" s="1113">
        <v>0.8</v>
      </c>
      <c r="C192" s="1131">
        <v>266</v>
      </c>
      <c r="D192" s="1138">
        <v>225</v>
      </c>
      <c r="E192" s="1116">
        <v>275</v>
      </c>
      <c r="F192" s="1115" t="s">
        <v>611</v>
      </c>
    </row>
    <row r="193" spans="1:6" ht="17.25" customHeight="1">
      <c r="A193" s="1144">
        <v>42552</v>
      </c>
      <c r="B193" s="1113">
        <v>0.8</v>
      </c>
      <c r="C193" s="1131">
        <v>266</v>
      </c>
      <c r="D193" s="1138">
        <v>240</v>
      </c>
      <c r="E193" s="1116">
        <v>275</v>
      </c>
      <c r="F193" s="1115" t="s">
        <v>611</v>
      </c>
    </row>
    <row r="194" spans="1:6" ht="17.25" customHeight="1">
      <c r="A194" s="1144">
        <v>42583</v>
      </c>
      <c r="B194" s="1113">
        <v>0.8</v>
      </c>
      <c r="C194" s="1131">
        <v>266</v>
      </c>
      <c r="D194" s="1138">
        <v>240</v>
      </c>
      <c r="E194" s="1116">
        <v>275</v>
      </c>
      <c r="F194" s="1115" t="s">
        <v>611</v>
      </c>
    </row>
    <row r="195" spans="1:6" ht="17.25" customHeight="1">
      <c r="A195" s="1144">
        <v>42614</v>
      </c>
      <c r="B195" s="1113">
        <v>0.83</v>
      </c>
      <c r="C195" s="1131">
        <v>276</v>
      </c>
      <c r="D195" s="1138">
        <v>240</v>
      </c>
      <c r="E195" s="1116">
        <v>275</v>
      </c>
      <c r="F195" s="1115" t="s">
        <v>611</v>
      </c>
    </row>
    <row r="196" spans="1:6" ht="17.25" customHeight="1">
      <c r="A196" s="1144">
        <v>42644</v>
      </c>
      <c r="B196" s="1113">
        <v>0.88</v>
      </c>
      <c r="C196" s="1131">
        <v>293</v>
      </c>
      <c r="D196" s="1138">
        <v>250</v>
      </c>
      <c r="E196" s="1116">
        <v>285</v>
      </c>
      <c r="F196" s="1115" t="s">
        <v>611</v>
      </c>
    </row>
    <row r="197" spans="1:6" ht="17.25" customHeight="1">
      <c r="A197" s="1144">
        <v>42675</v>
      </c>
      <c r="B197" s="1113">
        <v>0.96</v>
      </c>
      <c r="C197" s="1131">
        <v>319</v>
      </c>
      <c r="D197" s="1138">
        <v>250</v>
      </c>
      <c r="E197" s="1116">
        <v>310</v>
      </c>
      <c r="F197" s="1115" t="s">
        <v>611</v>
      </c>
    </row>
    <row r="198" spans="1:6" ht="17.25" customHeight="1">
      <c r="A198" s="1145">
        <v>42705</v>
      </c>
      <c r="B198" s="1118">
        <v>1.1000000000000001</v>
      </c>
      <c r="C198" s="1133">
        <v>366</v>
      </c>
      <c r="D198" s="1127">
        <v>250</v>
      </c>
      <c r="E198" s="1120">
        <v>350</v>
      </c>
      <c r="F198" s="1121" t="s">
        <v>611</v>
      </c>
    </row>
    <row r="199" spans="1:6" ht="17.25" customHeight="1">
      <c r="A199" s="1143">
        <v>42736</v>
      </c>
      <c r="B199" s="1123">
        <v>1.25</v>
      </c>
      <c r="C199" s="1129">
        <v>416</v>
      </c>
      <c r="D199" s="1141">
        <v>370</v>
      </c>
      <c r="E199" s="1116">
        <v>430</v>
      </c>
      <c r="F199" s="1115" t="s">
        <v>611</v>
      </c>
    </row>
    <row r="200" spans="1:6" ht="17.25" customHeight="1">
      <c r="A200" s="1144">
        <v>42767</v>
      </c>
      <c r="B200" s="1113">
        <v>1.25</v>
      </c>
      <c r="C200" s="1131">
        <v>416</v>
      </c>
      <c r="D200" s="1138">
        <v>370</v>
      </c>
      <c r="E200" s="1116">
        <v>430</v>
      </c>
      <c r="F200" s="1115" t="s">
        <v>611</v>
      </c>
    </row>
    <row r="201" spans="1:6" ht="17.25" customHeight="1">
      <c r="A201" s="1144">
        <v>42795</v>
      </c>
      <c r="B201" s="1113">
        <v>1.5</v>
      </c>
      <c r="C201" s="1131">
        <v>499</v>
      </c>
      <c r="D201" s="1138">
        <v>370</v>
      </c>
      <c r="E201" s="1116">
        <v>500</v>
      </c>
      <c r="F201" s="1115" t="s">
        <v>611</v>
      </c>
    </row>
    <row r="202" spans="1:6" ht="17.25" customHeight="1">
      <c r="A202" s="1144">
        <v>42826</v>
      </c>
      <c r="B202" s="1113">
        <v>1.33</v>
      </c>
      <c r="C202" s="1131">
        <v>442</v>
      </c>
      <c r="D202" s="1138">
        <v>450</v>
      </c>
      <c r="E202" s="1116">
        <v>390</v>
      </c>
      <c r="F202" s="1115" t="s">
        <v>611</v>
      </c>
    </row>
    <row r="203" spans="1:6" ht="17.25" customHeight="1">
      <c r="A203" s="1144">
        <v>42856</v>
      </c>
      <c r="B203" s="1113">
        <v>1.23</v>
      </c>
      <c r="C203" s="1131">
        <v>409</v>
      </c>
      <c r="D203" s="1138">
        <v>450</v>
      </c>
      <c r="E203" s="1116">
        <v>360</v>
      </c>
      <c r="F203" s="1115" t="s">
        <v>611</v>
      </c>
    </row>
    <row r="204" spans="1:6" ht="17.25" customHeight="1">
      <c r="A204" s="1144">
        <v>42887</v>
      </c>
      <c r="B204" s="1113">
        <v>1.1599999999999999</v>
      </c>
      <c r="C204" s="1131">
        <v>386</v>
      </c>
      <c r="D204" s="1138">
        <v>450</v>
      </c>
      <c r="E204" s="1116">
        <v>320</v>
      </c>
      <c r="F204" s="1115" t="s">
        <v>611</v>
      </c>
    </row>
    <row r="205" spans="1:6" ht="17.25" customHeight="1">
      <c r="A205" s="1144">
        <v>42917</v>
      </c>
      <c r="B205" s="1113">
        <v>1.1299999999999999</v>
      </c>
      <c r="C205" s="1131">
        <v>376</v>
      </c>
      <c r="D205" s="1138">
        <v>320</v>
      </c>
      <c r="E205" s="1116">
        <v>320</v>
      </c>
      <c r="F205" s="1115" t="s">
        <v>611</v>
      </c>
    </row>
    <row r="206" spans="1:6" ht="17.25" customHeight="1">
      <c r="A206" s="1144">
        <v>42948</v>
      </c>
      <c r="B206" s="1113">
        <v>1.1299999999999999</v>
      </c>
      <c r="C206" s="1131">
        <v>376</v>
      </c>
      <c r="D206" s="1138">
        <v>320</v>
      </c>
      <c r="E206" s="1116">
        <v>320</v>
      </c>
      <c r="F206" s="1115" t="s">
        <v>611</v>
      </c>
    </row>
    <row r="207" spans="1:6" ht="17.25" customHeight="1">
      <c r="A207" s="1144">
        <v>42979</v>
      </c>
      <c r="B207" s="1113">
        <v>1.1599999999999999</v>
      </c>
      <c r="C207" s="1131">
        <v>386</v>
      </c>
      <c r="D207" s="1138">
        <v>320</v>
      </c>
      <c r="E207" s="1116">
        <v>350</v>
      </c>
      <c r="F207" s="1115" t="s">
        <v>611</v>
      </c>
    </row>
    <row r="208" spans="1:6" ht="17.25" customHeight="1">
      <c r="A208" s="1144">
        <v>43009</v>
      </c>
      <c r="B208" s="1113">
        <v>1.19</v>
      </c>
      <c r="C208" s="1131">
        <v>396</v>
      </c>
      <c r="D208" s="1138">
        <v>330</v>
      </c>
      <c r="E208" s="1116">
        <v>400</v>
      </c>
      <c r="F208" s="1115" t="s">
        <v>611</v>
      </c>
    </row>
    <row r="209" spans="1:6" ht="17.25" customHeight="1">
      <c r="A209" s="1144">
        <v>43040</v>
      </c>
      <c r="B209" s="1113">
        <v>1.1599999999999999</v>
      </c>
      <c r="C209" s="1131">
        <v>386</v>
      </c>
      <c r="D209" s="1138">
        <v>330</v>
      </c>
      <c r="E209" s="1116">
        <v>400</v>
      </c>
      <c r="F209" s="1115" t="s">
        <v>611</v>
      </c>
    </row>
    <row r="210" spans="1:6" ht="17.25" customHeight="1">
      <c r="A210" s="1145">
        <v>43070</v>
      </c>
      <c r="B210" s="1118">
        <v>1.24</v>
      </c>
      <c r="C210" s="1133">
        <v>412</v>
      </c>
      <c r="D210" s="1127">
        <v>330</v>
      </c>
      <c r="E210" s="1120">
        <v>430</v>
      </c>
      <c r="F210" s="1121" t="s">
        <v>611</v>
      </c>
    </row>
    <row r="211" spans="1:6" ht="17.25" customHeight="1">
      <c r="A211" s="1143">
        <v>43101</v>
      </c>
      <c r="B211" s="1123">
        <v>1.44</v>
      </c>
      <c r="C211" s="1129">
        <v>479</v>
      </c>
      <c r="D211" s="1141">
        <v>380</v>
      </c>
      <c r="E211" s="1116">
        <v>470</v>
      </c>
      <c r="F211" s="1115" t="s">
        <v>611</v>
      </c>
    </row>
    <row r="212" spans="1:6" ht="17.25" customHeight="1">
      <c r="A212" s="1144">
        <v>43132</v>
      </c>
      <c r="B212" s="1113">
        <v>1.52</v>
      </c>
      <c r="C212" s="1131">
        <v>506</v>
      </c>
      <c r="D212" s="1138">
        <v>380</v>
      </c>
      <c r="E212" s="1116">
        <v>480</v>
      </c>
      <c r="F212" s="1115" t="s">
        <v>611</v>
      </c>
    </row>
    <row r="213" spans="1:6" ht="17.25" customHeight="1">
      <c r="A213" s="1144">
        <v>43160</v>
      </c>
      <c r="B213" s="1113">
        <v>1.49</v>
      </c>
      <c r="C213" s="1131">
        <v>496</v>
      </c>
      <c r="D213" s="1138">
        <v>380</v>
      </c>
      <c r="E213" s="1116">
        <v>460</v>
      </c>
      <c r="F213" s="1115" t="s">
        <v>611</v>
      </c>
    </row>
    <row r="214" spans="1:6" ht="17.25" customHeight="1">
      <c r="A214" s="1144">
        <v>43191</v>
      </c>
      <c r="B214" s="1113">
        <v>1.49</v>
      </c>
      <c r="C214" s="1131">
        <v>496</v>
      </c>
      <c r="D214" s="1138">
        <v>380</v>
      </c>
      <c r="E214" s="1116">
        <v>460</v>
      </c>
      <c r="F214" s="1115" t="s">
        <v>611</v>
      </c>
    </row>
    <row r="215" spans="1:6" ht="17.25" customHeight="1">
      <c r="A215" s="1144">
        <v>43221</v>
      </c>
      <c r="B215" s="1113">
        <v>1.49</v>
      </c>
      <c r="C215" s="1131">
        <v>496</v>
      </c>
      <c r="D215" s="1138">
        <v>380</v>
      </c>
      <c r="E215" s="1116">
        <v>460</v>
      </c>
      <c r="F215" s="1115" t="s">
        <v>611</v>
      </c>
    </row>
    <row r="216" spans="1:6" ht="17.25" customHeight="1">
      <c r="A216" s="1144">
        <v>43252</v>
      </c>
      <c r="B216" s="1113">
        <v>1.49</v>
      </c>
      <c r="C216" s="1131">
        <v>496</v>
      </c>
      <c r="D216" s="1138">
        <v>380</v>
      </c>
      <c r="E216" s="1116">
        <v>490</v>
      </c>
      <c r="F216" s="1115" t="s">
        <v>611</v>
      </c>
    </row>
    <row r="217" spans="1:6" ht="17.25" customHeight="1">
      <c r="A217" s="1144">
        <v>43282</v>
      </c>
      <c r="B217" s="1113">
        <v>1.49</v>
      </c>
      <c r="C217" s="1131">
        <v>496</v>
      </c>
      <c r="D217" s="1138">
        <v>419</v>
      </c>
      <c r="E217" s="1116">
        <v>490</v>
      </c>
      <c r="F217" s="1115" t="s">
        <v>611</v>
      </c>
    </row>
    <row r="218" spans="1:6" ht="17.25" customHeight="1">
      <c r="A218" s="1144">
        <v>43313</v>
      </c>
      <c r="B218" s="1113">
        <v>1.46</v>
      </c>
      <c r="C218" s="1131">
        <v>485</v>
      </c>
      <c r="D218" s="1138">
        <v>419</v>
      </c>
      <c r="E218" s="1116">
        <v>480</v>
      </c>
      <c r="F218" s="1115" t="s">
        <v>611</v>
      </c>
    </row>
    <row r="219" spans="1:6" ht="17.25" customHeight="1">
      <c r="A219" s="1144">
        <v>43344</v>
      </c>
      <c r="B219" s="1113">
        <v>1.46</v>
      </c>
      <c r="C219" s="1131">
        <v>485</v>
      </c>
      <c r="D219" s="1138">
        <v>419</v>
      </c>
      <c r="E219" s="1116">
        <v>480</v>
      </c>
      <c r="F219" s="1115" t="s">
        <v>611</v>
      </c>
    </row>
    <row r="220" spans="1:6" ht="17.25" customHeight="1">
      <c r="A220" s="1144">
        <v>43374</v>
      </c>
      <c r="B220" s="1113">
        <v>1.49</v>
      </c>
      <c r="C220" s="1131">
        <v>496</v>
      </c>
      <c r="D220" s="1138">
        <v>428</v>
      </c>
      <c r="E220" s="1116">
        <v>495</v>
      </c>
      <c r="F220" s="1115" t="s">
        <v>611</v>
      </c>
    </row>
    <row r="221" spans="1:6" ht="17.25" customHeight="1">
      <c r="A221" s="1144">
        <v>43405</v>
      </c>
      <c r="B221" s="1113">
        <v>1.56</v>
      </c>
      <c r="C221" s="1131">
        <v>519</v>
      </c>
      <c r="D221" s="1138">
        <v>428</v>
      </c>
      <c r="E221" s="1116">
        <v>510</v>
      </c>
      <c r="F221" s="1115" t="s">
        <v>611</v>
      </c>
    </row>
    <row r="222" spans="1:6" ht="17.25" customHeight="1">
      <c r="A222" s="1145">
        <v>43435</v>
      </c>
      <c r="B222" s="1118">
        <v>1.41</v>
      </c>
      <c r="C222" s="1133">
        <v>469</v>
      </c>
      <c r="D222" s="1127">
        <v>428</v>
      </c>
      <c r="E222" s="1120">
        <v>430</v>
      </c>
      <c r="F222" s="1121" t="s">
        <v>611</v>
      </c>
    </row>
    <row r="223" spans="1:6" ht="17.25" customHeight="1">
      <c r="A223" s="1143">
        <v>43466</v>
      </c>
      <c r="B223" s="1123">
        <v>1.33</v>
      </c>
      <c r="C223" s="1129">
        <v>442</v>
      </c>
      <c r="D223" s="1141">
        <v>360</v>
      </c>
      <c r="E223" s="1116">
        <v>370</v>
      </c>
      <c r="F223" s="1115" t="s">
        <v>611</v>
      </c>
    </row>
    <row r="224" spans="1:6" ht="17.25" customHeight="1">
      <c r="A224" s="1144">
        <v>43497</v>
      </c>
      <c r="B224" s="1113">
        <v>1.3</v>
      </c>
      <c r="C224" s="1131">
        <v>432</v>
      </c>
      <c r="D224" s="1138">
        <v>360</v>
      </c>
      <c r="E224" s="1116">
        <v>345</v>
      </c>
      <c r="F224" s="1115" t="s">
        <v>611</v>
      </c>
    </row>
    <row r="225" spans="1:7" ht="17.25" customHeight="1">
      <c r="A225" s="1144">
        <v>43525</v>
      </c>
      <c r="B225" s="1113">
        <v>1.3</v>
      </c>
      <c r="C225" s="1131">
        <v>432</v>
      </c>
      <c r="D225" s="1138">
        <v>360</v>
      </c>
      <c r="E225" s="1116">
        <v>360</v>
      </c>
      <c r="F225" s="1115" t="s">
        <v>611</v>
      </c>
    </row>
    <row r="226" spans="1:7" ht="17.25" customHeight="1">
      <c r="A226" s="1144">
        <v>43556</v>
      </c>
      <c r="B226" s="1113">
        <v>1.3</v>
      </c>
      <c r="C226" s="1131">
        <v>432</v>
      </c>
      <c r="D226" s="1138">
        <v>360</v>
      </c>
      <c r="E226" s="1116">
        <v>370</v>
      </c>
      <c r="F226" s="1115" t="s">
        <v>611</v>
      </c>
    </row>
    <row r="227" spans="1:7" ht="17.25" customHeight="1">
      <c r="A227" s="1144">
        <v>43586</v>
      </c>
      <c r="B227" s="1113">
        <v>1.3</v>
      </c>
      <c r="C227" s="1131">
        <v>432</v>
      </c>
      <c r="D227" s="1138">
        <v>360</v>
      </c>
      <c r="E227" s="1116">
        <v>370</v>
      </c>
      <c r="F227" s="1115" t="s">
        <v>611</v>
      </c>
    </row>
    <row r="228" spans="1:7" ht="17.25" customHeight="1">
      <c r="A228" s="1144">
        <v>43617</v>
      </c>
      <c r="B228" s="1113">
        <v>1.26</v>
      </c>
      <c r="C228" s="1131">
        <v>419</v>
      </c>
      <c r="D228" s="1138">
        <v>360</v>
      </c>
      <c r="E228" s="1116">
        <v>350</v>
      </c>
      <c r="F228" s="1115" t="s">
        <v>611</v>
      </c>
    </row>
    <row r="229" spans="1:7" ht="17.25" customHeight="1">
      <c r="A229" s="1144">
        <v>43647</v>
      </c>
      <c r="B229" s="1113">
        <v>1.1599999999999999</v>
      </c>
      <c r="C229" s="1131">
        <v>386</v>
      </c>
      <c r="D229" s="1138">
        <v>315</v>
      </c>
      <c r="E229" s="1116">
        <v>335</v>
      </c>
      <c r="F229" s="1115" t="s">
        <v>611</v>
      </c>
    </row>
    <row r="230" spans="1:7" ht="17.25" customHeight="1">
      <c r="A230" s="1144">
        <v>43678</v>
      </c>
      <c r="B230" s="1113">
        <v>1.03</v>
      </c>
      <c r="C230" s="1131">
        <v>342</v>
      </c>
      <c r="D230" s="1138">
        <v>315</v>
      </c>
      <c r="E230" s="1116">
        <v>295</v>
      </c>
      <c r="F230" s="1115" t="s">
        <v>611</v>
      </c>
    </row>
    <row r="231" spans="1:7" ht="17.25" customHeight="1">
      <c r="A231" s="1144">
        <v>43709</v>
      </c>
      <c r="B231" s="1113">
        <v>1.03</v>
      </c>
      <c r="C231" s="1131">
        <v>342</v>
      </c>
      <c r="D231" s="1138">
        <v>315</v>
      </c>
      <c r="E231" s="1116">
        <v>285</v>
      </c>
      <c r="F231" s="1115" t="s">
        <v>611</v>
      </c>
    </row>
    <row r="232" spans="1:7" ht="17.25" customHeight="1">
      <c r="A232" s="1144">
        <v>43739</v>
      </c>
      <c r="B232" s="1113">
        <v>1.03</v>
      </c>
      <c r="C232" s="1131">
        <v>342</v>
      </c>
      <c r="D232" s="1138">
        <v>280</v>
      </c>
      <c r="E232" s="1116">
        <v>295</v>
      </c>
      <c r="F232" s="1115" t="s">
        <v>611</v>
      </c>
    </row>
    <row r="233" spans="1:7" ht="17.25" customHeight="1">
      <c r="A233" s="1144">
        <v>43770</v>
      </c>
      <c r="B233" s="1113">
        <v>1.03</v>
      </c>
      <c r="C233" s="1131">
        <v>342</v>
      </c>
      <c r="D233" s="1138">
        <v>280</v>
      </c>
      <c r="E233" s="1116">
        <v>295</v>
      </c>
      <c r="F233" s="1115" t="s">
        <v>611</v>
      </c>
    </row>
    <row r="234" spans="1:7" ht="17.25" customHeight="1">
      <c r="A234" s="1145">
        <v>43800</v>
      </c>
      <c r="B234" s="1118">
        <v>1.03</v>
      </c>
      <c r="C234" s="1133">
        <v>342</v>
      </c>
      <c r="D234" s="1127">
        <v>280</v>
      </c>
      <c r="E234" s="1120">
        <v>275</v>
      </c>
      <c r="F234" s="1121" t="s">
        <v>611</v>
      </c>
    </row>
    <row r="235" spans="1:7" ht="16.899999999999999" customHeight="1">
      <c r="A235" s="1143">
        <v>43831</v>
      </c>
      <c r="B235" s="1123">
        <v>1.03</v>
      </c>
      <c r="C235" s="1129">
        <v>342</v>
      </c>
      <c r="D235" s="1141">
        <v>275</v>
      </c>
      <c r="E235" s="1116">
        <v>275</v>
      </c>
      <c r="F235" s="1115" t="s">
        <v>611</v>
      </c>
    </row>
    <row r="236" spans="1:7" ht="16.899999999999999" customHeight="1">
      <c r="A236" s="1144">
        <v>43862</v>
      </c>
      <c r="B236" s="1113">
        <v>1.19</v>
      </c>
      <c r="C236" s="1131">
        <v>396</v>
      </c>
      <c r="D236" s="1138">
        <v>275</v>
      </c>
      <c r="E236" s="1116">
        <v>335</v>
      </c>
      <c r="F236" s="1115" t="s">
        <v>611</v>
      </c>
    </row>
    <row r="237" spans="1:7" ht="16.899999999999999" customHeight="1">
      <c r="A237" s="1144">
        <v>43891</v>
      </c>
      <c r="B237" s="1113">
        <v>1.19</v>
      </c>
      <c r="C237" s="1131">
        <v>396</v>
      </c>
      <c r="D237" s="1138">
        <v>275</v>
      </c>
      <c r="E237" s="1116">
        <v>310</v>
      </c>
      <c r="F237" s="1115" t="s">
        <v>611</v>
      </c>
    </row>
    <row r="238" spans="1:7" ht="16.899999999999999" customHeight="1">
      <c r="A238" s="1144">
        <v>43922</v>
      </c>
      <c r="B238" s="1113">
        <v>1.08</v>
      </c>
      <c r="C238" s="1131">
        <v>359</v>
      </c>
      <c r="D238" s="1138">
        <v>260</v>
      </c>
      <c r="E238" s="1116">
        <v>260</v>
      </c>
      <c r="F238" s="1115" t="s">
        <v>611</v>
      </c>
    </row>
    <row r="239" spans="1:7" ht="16.899999999999999" customHeight="1">
      <c r="A239" s="1144">
        <v>43952</v>
      </c>
      <c r="B239" s="1113">
        <v>0.94</v>
      </c>
      <c r="C239" s="1131">
        <v>313</v>
      </c>
      <c r="D239" s="1138">
        <v>260</v>
      </c>
      <c r="E239" s="1116">
        <v>225</v>
      </c>
      <c r="F239" s="1115" t="s">
        <v>611</v>
      </c>
      <c r="G239" s="1146"/>
    </row>
    <row r="240" spans="1:7" ht="16.899999999999999" customHeight="1">
      <c r="A240" s="1144">
        <v>43983</v>
      </c>
      <c r="B240" s="1113">
        <v>0.87</v>
      </c>
      <c r="C240" s="1131">
        <v>289</v>
      </c>
      <c r="D240" s="1138">
        <v>260</v>
      </c>
      <c r="E240" s="1116">
        <v>215</v>
      </c>
      <c r="F240" s="1115" t="s">
        <v>611</v>
      </c>
    </row>
    <row r="241" spans="1:7" ht="16.899999999999999" customHeight="1">
      <c r="A241" s="1144">
        <v>44013</v>
      </c>
      <c r="B241" s="1113">
        <v>0.83</v>
      </c>
      <c r="C241" s="1131">
        <v>276</v>
      </c>
      <c r="D241" s="1138">
        <v>235</v>
      </c>
      <c r="E241" s="1116">
        <v>215</v>
      </c>
      <c r="F241" s="1115" t="s">
        <v>611</v>
      </c>
    </row>
    <row r="242" spans="1:7" ht="16.899999999999999" customHeight="1">
      <c r="A242" s="1144">
        <v>44044</v>
      </c>
      <c r="B242" s="1113">
        <v>0.83</v>
      </c>
      <c r="C242" s="1131">
        <v>276</v>
      </c>
      <c r="D242" s="1138">
        <v>235</v>
      </c>
      <c r="E242" s="1116">
        <v>245</v>
      </c>
      <c r="F242" s="1115" t="s">
        <v>611</v>
      </c>
    </row>
    <row r="243" spans="1:7" ht="16.899999999999999" customHeight="1">
      <c r="A243" s="1144">
        <v>44075</v>
      </c>
      <c r="B243" s="1113">
        <v>0.86</v>
      </c>
      <c r="C243" s="1131">
        <v>286</v>
      </c>
      <c r="D243" s="1138">
        <v>235</v>
      </c>
      <c r="E243" s="1116">
        <v>260</v>
      </c>
      <c r="F243" s="1115" t="s">
        <v>611</v>
      </c>
    </row>
    <row r="244" spans="1:7" ht="16.899999999999999" customHeight="1">
      <c r="A244" s="1144">
        <v>44105</v>
      </c>
      <c r="B244" s="1113">
        <v>1.01</v>
      </c>
      <c r="C244" s="1131">
        <v>336</v>
      </c>
      <c r="D244" s="1138">
        <v>275</v>
      </c>
      <c r="E244" s="1116">
        <v>300</v>
      </c>
      <c r="F244" s="1115" t="s">
        <v>611</v>
      </c>
      <c r="G244" s="1147"/>
    </row>
    <row r="245" spans="1:7" ht="16.899999999999999" customHeight="1">
      <c r="A245" s="1144">
        <v>44136</v>
      </c>
      <c r="B245" s="1113">
        <v>1.1399999999999999</v>
      </c>
      <c r="C245" s="1131">
        <v>379</v>
      </c>
      <c r="D245" s="1138">
        <v>275</v>
      </c>
      <c r="E245" s="1116">
        <v>310</v>
      </c>
      <c r="F245" s="1115" t="s">
        <v>611</v>
      </c>
    </row>
    <row r="246" spans="1:7" ht="16.899999999999999" customHeight="1">
      <c r="A246" s="1145">
        <v>44166</v>
      </c>
      <c r="B246" s="1118">
        <v>1.2</v>
      </c>
      <c r="C246" s="1133">
        <v>399</v>
      </c>
      <c r="D246" s="1127">
        <v>275</v>
      </c>
      <c r="E246" s="1120">
        <v>350</v>
      </c>
      <c r="F246" s="1121" t="s">
        <v>611</v>
      </c>
    </row>
    <row r="247" spans="1:7" ht="16.5" customHeight="1">
      <c r="A247" s="1143">
        <v>44197</v>
      </c>
      <c r="B247" s="1123">
        <v>1.45</v>
      </c>
      <c r="C247" s="1129">
        <v>482</v>
      </c>
      <c r="D247" s="1141">
        <v>390</v>
      </c>
      <c r="E247" s="1116">
        <v>405</v>
      </c>
      <c r="F247" s="1115" t="s">
        <v>611</v>
      </c>
    </row>
    <row r="248" spans="1:7" ht="16.5" customHeight="1">
      <c r="A248" s="1144">
        <v>44228</v>
      </c>
      <c r="B248" s="1113">
        <v>1.48</v>
      </c>
      <c r="C248" s="1131">
        <v>492</v>
      </c>
      <c r="D248" s="1126">
        <v>390</v>
      </c>
      <c r="E248" s="1116">
        <v>430</v>
      </c>
      <c r="F248" s="1115" t="s">
        <v>611</v>
      </c>
    </row>
    <row r="249" spans="1:7" ht="16.5" customHeight="1">
      <c r="A249" s="1144">
        <v>44256</v>
      </c>
      <c r="B249" s="1113">
        <v>1.48</v>
      </c>
      <c r="C249" s="1131">
        <v>492</v>
      </c>
      <c r="D249" s="1126">
        <v>390</v>
      </c>
      <c r="E249" s="1116">
        <v>430</v>
      </c>
      <c r="F249" s="1115" t="s">
        <v>611</v>
      </c>
    </row>
    <row r="250" spans="1:7" ht="16.5" customHeight="1">
      <c r="A250" s="1144">
        <v>44287</v>
      </c>
      <c r="B250" s="1113">
        <v>1.56</v>
      </c>
      <c r="C250" s="1131">
        <v>519</v>
      </c>
      <c r="D250" s="1126">
        <v>410</v>
      </c>
      <c r="E250" s="1116">
        <v>430</v>
      </c>
      <c r="F250" s="1115" t="s">
        <v>611</v>
      </c>
    </row>
    <row r="251" spans="1:7" ht="16.5" customHeight="1">
      <c r="A251" s="1144">
        <v>44317</v>
      </c>
      <c r="B251" s="1113">
        <v>1.63</v>
      </c>
      <c r="C251" s="1131">
        <v>542</v>
      </c>
      <c r="D251" s="1126">
        <v>410</v>
      </c>
      <c r="E251" s="1116">
        <v>430</v>
      </c>
      <c r="F251" s="1115" t="s">
        <v>611</v>
      </c>
    </row>
    <row r="252" spans="1:7" ht="16.5" customHeight="1">
      <c r="A252" s="1144">
        <v>44348</v>
      </c>
      <c r="B252" s="1113">
        <v>1.63</v>
      </c>
      <c r="C252" s="1131">
        <v>542</v>
      </c>
      <c r="D252" s="1126">
        <v>410</v>
      </c>
      <c r="E252" s="1116">
        <v>430</v>
      </c>
      <c r="F252" s="1115" t="s">
        <v>611</v>
      </c>
    </row>
    <row r="253" spans="1:7" ht="16.5" customHeight="1">
      <c r="A253" s="1144">
        <v>44378</v>
      </c>
      <c r="B253" s="1113">
        <v>1.63</v>
      </c>
      <c r="C253" s="1131">
        <v>542</v>
      </c>
      <c r="D253" s="1126">
        <v>410</v>
      </c>
      <c r="E253" s="1116">
        <v>420</v>
      </c>
      <c r="F253" s="1115" t="s">
        <v>611</v>
      </c>
    </row>
    <row r="254" spans="1:7" ht="16.5" customHeight="1">
      <c r="A254" s="1144">
        <v>44409</v>
      </c>
      <c r="B254" s="1113">
        <v>1.63</v>
      </c>
      <c r="C254" s="1131">
        <v>542</v>
      </c>
      <c r="D254" s="1126">
        <v>410</v>
      </c>
      <c r="E254" s="1116">
        <v>420</v>
      </c>
      <c r="F254" s="1115" t="s">
        <v>611</v>
      </c>
    </row>
    <row r="255" spans="1:7" ht="16.5" customHeight="1">
      <c r="A255" s="1144">
        <v>44440</v>
      </c>
      <c r="B255" s="1113">
        <v>1.78</v>
      </c>
      <c r="C255" s="1131">
        <v>592</v>
      </c>
      <c r="D255" s="1126">
        <v>410</v>
      </c>
      <c r="E255" s="1116">
        <v>460</v>
      </c>
      <c r="F255" s="1115" t="s">
        <v>611</v>
      </c>
    </row>
    <row r="256" spans="1:7" ht="16.5" customHeight="1">
      <c r="A256" s="1144">
        <v>44470</v>
      </c>
      <c r="B256" s="1113">
        <v>1.83</v>
      </c>
      <c r="C256" s="1131">
        <v>609</v>
      </c>
      <c r="D256" s="1138">
        <v>490</v>
      </c>
      <c r="E256" s="1116">
        <v>510</v>
      </c>
      <c r="F256" s="1115" t="s">
        <v>611</v>
      </c>
    </row>
    <row r="257" spans="1:7" ht="16.5" customHeight="1">
      <c r="A257" s="1144">
        <v>44501</v>
      </c>
      <c r="B257" s="1113">
        <v>2.08</v>
      </c>
      <c r="C257" s="1131">
        <v>692</v>
      </c>
      <c r="D257" s="1138">
        <v>490</v>
      </c>
      <c r="E257" s="1116">
        <v>600</v>
      </c>
      <c r="F257" s="1115" t="s">
        <v>611</v>
      </c>
    </row>
    <row r="258" spans="1:7" ht="16.5" customHeight="1">
      <c r="A258" s="1145">
        <v>44531</v>
      </c>
      <c r="B258" s="1118">
        <v>1.93</v>
      </c>
      <c r="C258" s="1133">
        <v>642</v>
      </c>
      <c r="D258" s="1127">
        <v>490</v>
      </c>
      <c r="E258" s="1120">
        <v>520</v>
      </c>
      <c r="F258" s="1121" t="s">
        <v>611</v>
      </c>
    </row>
    <row r="259" spans="1:7">
      <c r="A259" s="1143">
        <v>44562</v>
      </c>
      <c r="B259" s="1123">
        <v>1.86</v>
      </c>
      <c r="C259" s="1129">
        <v>619</v>
      </c>
      <c r="D259" s="1141">
        <v>505</v>
      </c>
      <c r="E259" s="1116">
        <v>500</v>
      </c>
      <c r="F259" s="1148">
        <v>430</v>
      </c>
    </row>
    <row r="260" spans="1:7">
      <c r="A260" s="1144">
        <v>44593</v>
      </c>
      <c r="B260" s="1113">
        <v>1.86</v>
      </c>
      <c r="C260" s="1131">
        <v>619</v>
      </c>
      <c r="D260" s="1138">
        <v>505</v>
      </c>
      <c r="E260" s="1116">
        <v>480</v>
      </c>
      <c r="F260" s="1116">
        <v>430</v>
      </c>
    </row>
    <row r="261" spans="1:7">
      <c r="A261" s="1144">
        <v>44621</v>
      </c>
      <c r="B261" s="1113">
        <v>1.86</v>
      </c>
      <c r="C261" s="1131">
        <v>619</v>
      </c>
      <c r="D261" s="1138">
        <v>505</v>
      </c>
      <c r="E261" s="1116">
        <v>480</v>
      </c>
      <c r="F261" s="1116">
        <v>450</v>
      </c>
    </row>
    <row r="262" spans="1:7">
      <c r="A262" s="1144">
        <v>44652</v>
      </c>
      <c r="B262" s="1113">
        <v>1.98</v>
      </c>
      <c r="C262" s="1131">
        <v>659</v>
      </c>
      <c r="D262" s="1138">
        <v>570</v>
      </c>
      <c r="E262" s="1116">
        <v>540</v>
      </c>
      <c r="F262" s="1116">
        <v>500</v>
      </c>
    </row>
    <row r="263" spans="1:7">
      <c r="A263" s="1144">
        <v>44682</v>
      </c>
      <c r="B263" s="1113">
        <v>1.92</v>
      </c>
      <c r="C263" s="1131">
        <v>639</v>
      </c>
      <c r="D263" s="1138">
        <v>570</v>
      </c>
      <c r="E263" s="1116">
        <v>520</v>
      </c>
      <c r="F263" s="1116">
        <v>470</v>
      </c>
    </row>
    <row r="264" spans="1:7">
      <c r="A264" s="1144">
        <v>44713</v>
      </c>
      <c r="B264" s="1113">
        <v>1.85</v>
      </c>
      <c r="C264" s="1131">
        <v>615</v>
      </c>
      <c r="D264" s="1138">
        <v>570</v>
      </c>
      <c r="E264" s="1116">
        <v>480</v>
      </c>
      <c r="F264" s="1116">
        <v>430</v>
      </c>
    </row>
    <row r="265" spans="1:7">
      <c r="A265" s="1144">
        <v>44743</v>
      </c>
      <c r="B265" s="1113">
        <v>1.82</v>
      </c>
      <c r="C265" s="1131">
        <v>605</v>
      </c>
      <c r="D265" s="1138">
        <v>555</v>
      </c>
      <c r="E265" s="1116">
        <v>450</v>
      </c>
      <c r="F265" s="1116">
        <v>410</v>
      </c>
    </row>
    <row r="266" spans="1:7">
      <c r="A266" s="1144">
        <v>44774</v>
      </c>
      <c r="B266" s="1113">
        <v>1.79</v>
      </c>
      <c r="C266" s="1131">
        <v>595</v>
      </c>
      <c r="D266" s="1138">
        <v>555</v>
      </c>
      <c r="E266" s="1116">
        <v>420</v>
      </c>
      <c r="F266" s="1116">
        <v>375</v>
      </c>
      <c r="G266" s="1149"/>
    </row>
    <row r="267" spans="1:7">
      <c r="A267" s="1144">
        <v>44805</v>
      </c>
      <c r="B267" s="1113">
        <v>1.76</v>
      </c>
      <c r="C267" s="1131">
        <v>585</v>
      </c>
      <c r="D267" s="1138">
        <v>555</v>
      </c>
      <c r="E267" s="1116">
        <v>410</v>
      </c>
      <c r="F267" s="1116">
        <v>375</v>
      </c>
    </row>
    <row r="268" spans="1:7">
      <c r="A268" s="1144">
        <v>44835</v>
      </c>
      <c r="B268" s="1113">
        <v>1.76</v>
      </c>
      <c r="C268" s="1131">
        <v>585</v>
      </c>
      <c r="D268" s="1138">
        <v>510</v>
      </c>
      <c r="E268" s="1116">
        <v>410</v>
      </c>
      <c r="F268" s="1116">
        <v>395</v>
      </c>
      <c r="G268" s="1150"/>
    </row>
    <row r="269" spans="1:7">
      <c r="A269" s="1144">
        <v>44866</v>
      </c>
      <c r="B269" s="1113">
        <v>1.76</v>
      </c>
      <c r="C269" s="1131">
        <v>585</v>
      </c>
      <c r="D269" s="1138">
        <v>510</v>
      </c>
      <c r="E269" s="1116">
        <v>410</v>
      </c>
      <c r="F269" s="1116">
        <v>395</v>
      </c>
    </row>
    <row r="270" spans="1:7">
      <c r="A270" s="1144">
        <v>44896</v>
      </c>
      <c r="B270" s="1113">
        <v>1.73</v>
      </c>
      <c r="C270" s="1131">
        <v>575</v>
      </c>
      <c r="D270" s="1126">
        <v>510</v>
      </c>
      <c r="E270" s="1120">
        <v>410</v>
      </c>
      <c r="F270" s="1151">
        <v>395</v>
      </c>
    </row>
    <row r="271" spans="1:7">
      <c r="A271" s="1143">
        <v>44927</v>
      </c>
      <c r="B271" s="1123">
        <v>1.73</v>
      </c>
      <c r="C271" s="1129">
        <v>575</v>
      </c>
      <c r="D271" s="1141">
        <v>478</v>
      </c>
      <c r="E271" s="1116">
        <v>410</v>
      </c>
      <c r="F271" s="1148">
        <v>370</v>
      </c>
    </row>
    <row r="272" spans="1:7">
      <c r="A272" s="1144">
        <v>44958</v>
      </c>
      <c r="B272" s="1113">
        <v>1.73</v>
      </c>
      <c r="C272" s="1131">
        <v>575</v>
      </c>
      <c r="D272" s="1138">
        <v>478</v>
      </c>
      <c r="E272" s="1116">
        <v>430</v>
      </c>
      <c r="F272" s="1116">
        <v>395</v>
      </c>
    </row>
    <row r="273" spans="1:6">
      <c r="A273" s="1144">
        <v>44986</v>
      </c>
      <c r="B273" s="1113">
        <v>1.79</v>
      </c>
      <c r="C273" s="1131">
        <v>595</v>
      </c>
      <c r="D273" s="1138">
        <v>478</v>
      </c>
      <c r="E273" s="1116">
        <v>430</v>
      </c>
      <c r="F273" s="1116">
        <v>395</v>
      </c>
    </row>
    <row r="274" spans="1:6">
      <c r="A274" s="1144">
        <v>45017</v>
      </c>
      <c r="B274" s="1113">
        <v>1.73</v>
      </c>
      <c r="C274" s="1131">
        <v>575</v>
      </c>
      <c r="D274" s="1138">
        <v>488</v>
      </c>
      <c r="E274" s="1116">
        <v>405</v>
      </c>
      <c r="F274" s="1116">
        <v>385</v>
      </c>
    </row>
    <row r="275" spans="1:6">
      <c r="A275" s="1144">
        <v>45047</v>
      </c>
      <c r="B275" s="1113">
        <v>1.67</v>
      </c>
      <c r="C275" s="1131">
        <v>555</v>
      </c>
      <c r="D275" s="1138">
        <v>488</v>
      </c>
      <c r="E275" s="1116">
        <v>395</v>
      </c>
      <c r="F275" s="1116">
        <v>370</v>
      </c>
    </row>
    <row r="276" spans="1:6">
      <c r="A276" s="1144">
        <v>45078</v>
      </c>
      <c r="B276" s="1113">
        <v>1.64</v>
      </c>
      <c r="C276" s="1114">
        <v>545</v>
      </c>
      <c r="D276" s="1138">
        <v>488</v>
      </c>
      <c r="E276" s="1116">
        <v>345</v>
      </c>
      <c r="F276" s="1152">
        <v>330</v>
      </c>
    </row>
    <row r="277" spans="1:6">
      <c r="A277" s="1144">
        <v>45108</v>
      </c>
      <c r="B277" s="1113">
        <v>1.59</v>
      </c>
      <c r="C277" s="1114">
        <v>529</v>
      </c>
      <c r="D277" s="1138">
        <v>395</v>
      </c>
      <c r="E277" s="1116">
        <v>325</v>
      </c>
      <c r="F277" s="1152">
        <v>295</v>
      </c>
    </row>
    <row r="278" spans="1:6">
      <c r="A278" s="1144">
        <v>45139</v>
      </c>
      <c r="B278" s="1113">
        <v>1.55</v>
      </c>
      <c r="C278" s="1114">
        <v>516</v>
      </c>
      <c r="D278" s="1138">
        <v>395</v>
      </c>
      <c r="E278" s="1116">
        <v>315</v>
      </c>
      <c r="F278" s="1152">
        <v>305</v>
      </c>
    </row>
    <row r="279" spans="1:6">
      <c r="A279" s="1144">
        <v>45170</v>
      </c>
      <c r="B279" s="1113">
        <v>1.55</v>
      </c>
      <c r="C279" s="1114">
        <v>516</v>
      </c>
      <c r="D279" s="1138">
        <v>395</v>
      </c>
      <c r="E279" s="1116">
        <v>315</v>
      </c>
      <c r="F279" s="1152">
        <v>340</v>
      </c>
    </row>
    <row r="280" spans="1:6">
      <c r="A280" s="1144">
        <v>45200</v>
      </c>
      <c r="B280" s="1113">
        <v>1.55</v>
      </c>
      <c r="C280" s="1114">
        <v>516</v>
      </c>
      <c r="D280" s="1138">
        <v>375</v>
      </c>
      <c r="E280" s="1116">
        <v>360</v>
      </c>
      <c r="F280" s="1152">
        <v>360</v>
      </c>
    </row>
    <row r="281" spans="1:6">
      <c r="A281" s="1144">
        <v>45231</v>
      </c>
      <c r="B281" s="1113">
        <v>1.65</v>
      </c>
      <c r="C281" s="1114">
        <v>549</v>
      </c>
      <c r="D281" s="1138">
        <v>375</v>
      </c>
      <c r="E281" s="1116">
        <v>370</v>
      </c>
      <c r="F281" s="1152">
        <v>360</v>
      </c>
    </row>
    <row r="282" spans="1:6">
      <c r="A282" s="1144">
        <v>45261</v>
      </c>
      <c r="B282" s="1113">
        <v>1.73</v>
      </c>
      <c r="C282" s="1114">
        <v>575</v>
      </c>
      <c r="D282" s="1127">
        <v>375</v>
      </c>
      <c r="E282" s="1120">
        <v>380</v>
      </c>
      <c r="F282" s="1120">
        <v>360</v>
      </c>
    </row>
    <row r="283" spans="1:6">
      <c r="A283" s="1153">
        <v>45292</v>
      </c>
      <c r="B283" s="1123">
        <v>1.73</v>
      </c>
      <c r="C283" s="1124">
        <v>575</v>
      </c>
      <c r="D283" s="1138">
        <v>525</v>
      </c>
      <c r="E283" s="1116">
        <v>380</v>
      </c>
      <c r="F283" s="1148">
        <v>360</v>
      </c>
    </row>
    <row r="284" spans="1:6">
      <c r="A284" s="1144">
        <v>45323</v>
      </c>
      <c r="B284" s="1130">
        <v>1.73</v>
      </c>
      <c r="C284" s="1131">
        <v>575</v>
      </c>
      <c r="D284" s="1138">
        <v>525</v>
      </c>
      <c r="E284" s="1116">
        <v>390</v>
      </c>
      <c r="F284" s="1116">
        <v>360</v>
      </c>
    </row>
    <row r="285" spans="1:6">
      <c r="A285" s="1144">
        <v>45352</v>
      </c>
      <c r="B285" s="1130">
        <v>1.83</v>
      </c>
      <c r="C285" s="1131">
        <v>609</v>
      </c>
      <c r="D285" s="1138">
        <v>525</v>
      </c>
      <c r="E285" s="1116">
        <v>400</v>
      </c>
      <c r="F285" s="1116">
        <v>370</v>
      </c>
    </row>
    <row r="286" spans="1:6">
      <c r="A286" s="1144">
        <v>45383</v>
      </c>
      <c r="B286" s="1130">
        <v>1.9</v>
      </c>
      <c r="C286" s="1131">
        <v>632</v>
      </c>
      <c r="D286" s="1138">
        <v>525</v>
      </c>
      <c r="E286" s="1116">
        <v>400</v>
      </c>
      <c r="F286" s="1116">
        <v>380</v>
      </c>
    </row>
    <row r="287" spans="1:6">
      <c r="A287" s="1144">
        <v>45413</v>
      </c>
      <c r="B287" s="1130">
        <v>1.94</v>
      </c>
      <c r="C287" s="1131">
        <v>645</v>
      </c>
      <c r="D287" s="1138">
        <v>525</v>
      </c>
      <c r="E287" s="1116">
        <v>400</v>
      </c>
      <c r="F287" s="1116">
        <v>390</v>
      </c>
    </row>
    <row r="288" spans="1:6" ht="13.5" thickBot="1">
      <c r="A288" s="1144">
        <v>45444</v>
      </c>
      <c r="B288" s="1130"/>
      <c r="C288" s="1114"/>
      <c r="D288" s="1138"/>
      <c r="E288" s="1116"/>
      <c r="F288" s="1152"/>
    </row>
    <row r="289" spans="1:6" ht="13.5" thickBot="1">
      <c r="A289" s="1144">
        <v>45474</v>
      </c>
      <c r="B289" s="1130"/>
      <c r="C289" s="1114"/>
      <c r="D289" s="1138"/>
      <c r="E289" s="1156"/>
      <c r="F289" s="1157">
        <f>AVERAGE(F283:F286)</f>
        <v>367.5</v>
      </c>
    </row>
    <row r="290" spans="1:6">
      <c r="A290" s="1144">
        <v>45505</v>
      </c>
      <c r="B290" s="1130"/>
      <c r="C290" s="1114"/>
      <c r="D290" s="1138"/>
      <c r="E290" s="1116"/>
      <c r="F290" s="1152"/>
    </row>
    <row r="291" spans="1:6">
      <c r="A291" s="1144">
        <v>45536</v>
      </c>
      <c r="B291" s="1130"/>
      <c r="C291" s="1114"/>
      <c r="D291" s="1138"/>
      <c r="E291" s="1116"/>
      <c r="F291" s="1152"/>
    </row>
    <row r="292" spans="1:6">
      <c r="A292" s="1144">
        <v>45566</v>
      </c>
      <c r="B292" s="1130"/>
      <c r="C292" s="1114"/>
      <c r="D292" s="1138"/>
      <c r="E292" s="1116"/>
      <c r="F292" s="1152"/>
    </row>
    <row r="293" spans="1:6">
      <c r="A293" s="1144">
        <v>45597</v>
      </c>
      <c r="B293" s="1130"/>
      <c r="C293" s="1114"/>
      <c r="D293" s="1138"/>
      <c r="E293" s="1116"/>
      <c r="F293" s="1152"/>
    </row>
    <row r="294" spans="1:6">
      <c r="A294" s="1145">
        <v>45627</v>
      </c>
      <c r="B294" s="1132"/>
      <c r="C294" s="1119"/>
      <c r="D294" s="1127"/>
      <c r="E294" s="1120"/>
      <c r="F294" s="1120"/>
    </row>
  </sheetData>
  <mergeCells count="4">
    <mergeCell ref="A1:E1"/>
    <mergeCell ref="B2:C2"/>
    <mergeCell ref="B4:C4"/>
    <mergeCell ref="B5:C5"/>
  </mergeCells>
  <printOptions horizontalCentered="1"/>
  <pageMargins left="0.75" right="0.75" top="0.75" bottom="1" header="0.5" footer="0.5"/>
  <pageSetup scale="86" fitToHeight="3" orientation="portrait" r:id="rId1"/>
  <headerFooter alignWithMargins="0">
    <oddFooter>Page &amp;P</oddFooter>
  </headerFooter>
  <rowBreaks count="4" manualBreakCount="4">
    <brk id="42" max="16383" man="1"/>
    <brk id="78" max="16383" man="1"/>
    <brk id="114" max="16383" man="1"/>
    <brk id="150"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0851C-AA71-4677-B416-9D2A2277D537}">
  <sheetPr codeName="Sheet48"/>
  <dimension ref="A1:D31"/>
  <sheetViews>
    <sheetView workbookViewId="0">
      <selection activeCell="D14" sqref="D14"/>
    </sheetView>
  </sheetViews>
  <sheetFormatPr defaultColWidth="9.81640625" defaultRowHeight="15"/>
  <cols>
    <col min="1" max="1" width="43.71875" style="1637" customWidth="1"/>
    <col min="2" max="2" width="19.50390625" style="1639" customWidth="1"/>
    <col min="3" max="16384" width="9.81640625" style="1639"/>
  </cols>
  <sheetData>
    <row r="1" spans="1:4" s="1636" customFormat="1" ht="18.75">
      <c r="A1" s="1636" t="s">
        <v>1730</v>
      </c>
    </row>
    <row r="2" spans="1:4">
      <c r="A2" s="1637" t="s">
        <v>1731</v>
      </c>
      <c r="B2" s="1638" t="s">
        <v>1732</v>
      </c>
      <c r="D2" s="1640" t="s">
        <v>1733</v>
      </c>
    </row>
    <row r="3" spans="1:4">
      <c r="B3" s="1637"/>
      <c r="D3" s="1640" t="s">
        <v>1734</v>
      </c>
    </row>
    <row r="4" spans="1:4">
      <c r="A4" s="1637" t="s">
        <v>1735</v>
      </c>
      <c r="B4" s="1641" t="s">
        <v>1871</v>
      </c>
      <c r="C4" s="1639" t="s">
        <v>1736</v>
      </c>
    </row>
    <row r="5" spans="1:4">
      <c r="A5" s="1637" t="s">
        <v>1737</v>
      </c>
      <c r="B5" s="1641" t="s">
        <v>1872</v>
      </c>
      <c r="C5" s="1639" t="s">
        <v>1736</v>
      </c>
    </row>
    <row r="6" spans="1:4">
      <c r="A6" s="1637" t="s">
        <v>1738</v>
      </c>
      <c r="B6" s="1642">
        <v>5.7999999999999996E-3</v>
      </c>
    </row>
    <row r="7" spans="1:4">
      <c r="A7" s="1637" t="s">
        <v>1739</v>
      </c>
      <c r="B7" s="1642">
        <v>0</v>
      </c>
    </row>
    <row r="8" spans="1:4">
      <c r="B8" s="1643"/>
    </row>
    <row r="9" spans="1:4">
      <c r="A9" s="1637" t="s">
        <v>1740</v>
      </c>
      <c r="B9" s="1644">
        <v>0</v>
      </c>
    </row>
    <row r="10" spans="1:4">
      <c r="A10" s="1637" t="s">
        <v>1741</v>
      </c>
      <c r="B10" s="1642">
        <v>0</v>
      </c>
    </row>
    <row r="11" spans="1:4">
      <c r="A11" s="1637" t="s">
        <v>1742</v>
      </c>
      <c r="B11" s="1642">
        <v>4.5999999999999999E-2</v>
      </c>
    </row>
    <row r="12" spans="1:4">
      <c r="B12" s="1643"/>
    </row>
    <row r="13" spans="1:4">
      <c r="A13" s="1637" t="s">
        <v>1743</v>
      </c>
      <c r="B13" s="1642">
        <v>0</v>
      </c>
    </row>
    <row r="14" spans="1:4">
      <c r="A14" s="1637" t="s">
        <v>1744</v>
      </c>
      <c r="B14" s="1642">
        <v>4.5999999999999999E-2</v>
      </c>
    </row>
    <row r="16" spans="1:4" ht="18.75">
      <c r="A16" s="1636" t="s">
        <v>1745</v>
      </c>
    </row>
    <row r="17" spans="1:2">
      <c r="A17" s="1637" t="s">
        <v>1171</v>
      </c>
      <c r="B17" s="1645" t="s">
        <v>1746</v>
      </c>
    </row>
    <row r="19" spans="1:2">
      <c r="A19" s="1637" t="s">
        <v>1747</v>
      </c>
      <c r="B19" s="1646">
        <v>5.6604861357118834E-2</v>
      </c>
    </row>
    <row r="20" spans="1:2">
      <c r="A20" s="1637" t="s">
        <v>1748</v>
      </c>
      <c r="B20" s="1646">
        <v>0.10260486135711887</v>
      </c>
    </row>
    <row r="22" spans="1:2">
      <c r="A22" s="1637" t="s">
        <v>1749</v>
      </c>
      <c r="B22" s="1646">
        <v>1.6805405008578567E-2</v>
      </c>
    </row>
    <row r="23" spans="1:2">
      <c r="A23" s="1637" t="s">
        <v>1750</v>
      </c>
      <c r="B23" s="1646">
        <v>6.2805405008578549E-2</v>
      </c>
    </row>
    <row r="25" spans="1:2">
      <c r="A25" s="1647" t="s">
        <v>1751</v>
      </c>
    </row>
    <row r="27" spans="1:2" s="1648" customFormat="1" ht="18.75">
      <c r="A27" s="1636" t="s">
        <v>1752</v>
      </c>
    </row>
    <row r="28" spans="1:2">
      <c r="A28" s="1637" t="s">
        <v>1731</v>
      </c>
      <c r="B28" s="1638" t="s">
        <v>1753</v>
      </c>
    </row>
    <row r="30" spans="1:2">
      <c r="A30" s="1637" t="s">
        <v>1754</v>
      </c>
      <c r="B30" s="1649">
        <v>57.5</v>
      </c>
    </row>
    <row r="31" spans="1:2">
      <c r="A31" s="1637" t="s">
        <v>1755</v>
      </c>
      <c r="B31" s="1650">
        <v>0.17766945436885656</v>
      </c>
    </row>
  </sheetData>
  <pageMargins left="0.75" right="0.75" top="1" bottom="1" header="0.5" footer="0.5"/>
  <pageSetup orientation="portrait" horizontalDpi="4294967292" verticalDpi="4294967292"/>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FFEC3769-A5BC-431F-9CAD-9C03421FD08F}">
          <x14:formula1>
            <xm:f>'C:\Users\Hp\Downloads\[ctryprem.xlsx]ERPs by country'!#REF!</xm:f>
          </x14:formula1>
          <xm:sqref>B2 B28</xm:sqref>
        </x14:dataValidation>
        <x14:dataValidation type="list" allowBlank="1" showInputMessage="1" showErrorMessage="1" xr:uid="{BDA2D1EB-CC7B-4878-BC62-8224A5079949}">
          <x14:formula1>
            <xm:f>'C:\Users\Hp\Downloads\[ctryprem.xlsx]Regional Weighted Averages'!#REF!</xm:f>
          </x14:formula1>
          <xm:sqref>B17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AB7B4-9982-4A63-8C93-87FE0BE93125}">
  <sheetPr codeName="Sheet65"/>
  <dimension ref="A1:C78"/>
  <sheetViews>
    <sheetView topLeftCell="A58" workbookViewId="0">
      <selection activeCell="F73" sqref="F73"/>
    </sheetView>
  </sheetViews>
  <sheetFormatPr defaultRowHeight="15"/>
  <cols>
    <col min="1" max="1" width="23.40625" customWidth="1"/>
    <col min="2" max="2" width="21.25390625" customWidth="1"/>
    <col min="3" max="3" width="22.8671875" customWidth="1"/>
  </cols>
  <sheetData>
    <row r="1" spans="1:3">
      <c r="A1" t="s">
        <v>2338</v>
      </c>
    </row>
    <row r="2" spans="1:3">
      <c r="A2" t="s">
        <v>2339</v>
      </c>
    </row>
    <row r="3" spans="1:3">
      <c r="A3" t="s">
        <v>2340</v>
      </c>
    </row>
    <row r="4" spans="1:3">
      <c r="A4" t="s">
        <v>2341</v>
      </c>
    </row>
    <row r="6" spans="1:3">
      <c r="A6" t="s">
        <v>2342</v>
      </c>
    </row>
    <row r="7" spans="1:3">
      <c r="A7" t="s">
        <v>2343</v>
      </c>
    </row>
    <row r="8" spans="1:3">
      <c r="C8" t="s">
        <v>2344</v>
      </c>
    </row>
    <row r="9" spans="1:3">
      <c r="A9" t="s">
        <v>1323</v>
      </c>
      <c r="B9" t="s">
        <v>2345</v>
      </c>
    </row>
    <row r="10" spans="1:3">
      <c r="A10" s="2694">
        <v>22281</v>
      </c>
      <c r="B10">
        <v>5.4443000000000001</v>
      </c>
    </row>
    <row r="11" spans="1:3">
      <c r="A11" s="2694">
        <v>22646</v>
      </c>
      <c r="B11">
        <v>6.2790999999999997</v>
      </c>
      <c r="C11">
        <v>0.83</v>
      </c>
    </row>
    <row r="12" spans="1:3">
      <c r="A12" s="2694">
        <v>23011</v>
      </c>
      <c r="B12">
        <v>5.2656000000000001</v>
      </c>
      <c r="C12">
        <v>-1.01</v>
      </c>
    </row>
    <row r="13" spans="1:3">
      <c r="A13" s="2694">
        <v>23376</v>
      </c>
      <c r="B13">
        <v>-2.6947000000000001</v>
      </c>
      <c r="C13">
        <v>-7.96</v>
      </c>
    </row>
    <row r="14" spans="1:3">
      <c r="A14" s="2694">
        <v>23742</v>
      </c>
      <c r="B14">
        <v>0.85680000000000001</v>
      </c>
      <c r="C14">
        <v>3.55</v>
      </c>
    </row>
    <row r="15" spans="1:3">
      <c r="A15" s="2694">
        <v>24107</v>
      </c>
      <c r="B15">
        <v>4.1035000000000004</v>
      </c>
      <c r="C15">
        <v>3.25</v>
      </c>
    </row>
    <row r="16" spans="1:3">
      <c r="A16" s="2694">
        <v>24472</v>
      </c>
      <c r="B16">
        <v>9.6903000000000006</v>
      </c>
      <c r="C16">
        <v>5.59</v>
      </c>
    </row>
    <row r="17" spans="1:3">
      <c r="A17" s="2694">
        <v>24837</v>
      </c>
      <c r="B17">
        <v>-3.7263000000000002</v>
      </c>
      <c r="C17">
        <v>-13.42</v>
      </c>
    </row>
    <row r="18" spans="1:3">
      <c r="A18" s="2694">
        <v>25203</v>
      </c>
      <c r="B18">
        <v>-0.47610000000000002</v>
      </c>
      <c r="C18">
        <v>3.25</v>
      </c>
    </row>
    <row r="19" spans="1:3">
      <c r="A19" s="2694">
        <v>25568</v>
      </c>
      <c r="B19">
        <v>10.156000000000001</v>
      </c>
      <c r="C19">
        <v>10.63</v>
      </c>
    </row>
    <row r="20" spans="1:3">
      <c r="A20" s="2694">
        <v>25933</v>
      </c>
      <c r="B20">
        <v>13.757099999999999</v>
      </c>
      <c r="C20">
        <v>3.6</v>
      </c>
    </row>
    <row r="21" spans="1:3">
      <c r="A21" s="2694">
        <v>26298</v>
      </c>
      <c r="B21">
        <v>15.9991</v>
      </c>
      <c r="C21">
        <v>2.2400000000000002</v>
      </c>
    </row>
    <row r="22" spans="1:3">
      <c r="A22" s="2694">
        <v>26664</v>
      </c>
      <c r="B22">
        <v>3.4575999999999998</v>
      </c>
      <c r="C22">
        <v>-12.54</v>
      </c>
    </row>
    <row r="23" spans="1:3">
      <c r="A23" s="2694">
        <v>27029</v>
      </c>
      <c r="B23">
        <v>5.4027000000000003</v>
      </c>
      <c r="C23">
        <v>1.95</v>
      </c>
    </row>
    <row r="24" spans="1:3">
      <c r="A24" s="2694">
        <v>27394</v>
      </c>
      <c r="B24">
        <v>12.6744</v>
      </c>
      <c r="C24">
        <v>7.27</v>
      </c>
    </row>
    <row r="25" spans="1:3">
      <c r="A25" s="2694">
        <v>27759</v>
      </c>
      <c r="B25">
        <v>33.964199999999998</v>
      </c>
      <c r="C25">
        <v>21.29</v>
      </c>
    </row>
    <row r="26" spans="1:3">
      <c r="A26" s="2694">
        <v>28125</v>
      </c>
      <c r="B26">
        <v>24.3</v>
      </c>
      <c r="C26">
        <v>-9.66</v>
      </c>
    </row>
    <row r="27" spans="1:3">
      <c r="A27" s="2694">
        <v>28490</v>
      </c>
      <c r="B27">
        <v>15.0878</v>
      </c>
      <c r="C27">
        <v>-9.2100000000000009</v>
      </c>
    </row>
    <row r="28" spans="1:3">
      <c r="A28" s="2694">
        <v>28855</v>
      </c>
      <c r="B28">
        <v>21.709199999999999</v>
      </c>
      <c r="C28">
        <v>6.62</v>
      </c>
    </row>
    <row r="29" spans="1:3">
      <c r="A29" s="2694">
        <v>29220</v>
      </c>
      <c r="B29">
        <v>11.7097</v>
      </c>
      <c r="C29">
        <v>-10</v>
      </c>
    </row>
    <row r="30" spans="1:3">
      <c r="A30" s="2694">
        <v>29586</v>
      </c>
      <c r="B30">
        <v>9.9723000000000006</v>
      </c>
      <c r="C30">
        <v>-1.74</v>
      </c>
    </row>
    <row r="31" spans="1:3">
      <c r="A31" s="2694">
        <v>29951</v>
      </c>
      <c r="B31">
        <v>20.812799999999999</v>
      </c>
      <c r="C31">
        <v>10.84</v>
      </c>
    </row>
    <row r="32" spans="1:3">
      <c r="A32" s="2694">
        <v>30316</v>
      </c>
      <c r="B32">
        <v>7.6977000000000002</v>
      </c>
      <c r="C32">
        <v>-13.12</v>
      </c>
    </row>
    <row r="33" spans="1:3">
      <c r="A33" s="2694">
        <v>30681</v>
      </c>
      <c r="B33">
        <v>23.212299999999999</v>
      </c>
      <c r="C33">
        <v>15.51</v>
      </c>
    </row>
    <row r="34" spans="1:3">
      <c r="A34" s="2694">
        <v>31047</v>
      </c>
      <c r="B34">
        <v>17.820499999999999</v>
      </c>
      <c r="C34">
        <v>-5.39</v>
      </c>
    </row>
    <row r="35" spans="1:3">
      <c r="A35" s="2694">
        <v>31412</v>
      </c>
      <c r="B35">
        <v>7.4352999999999998</v>
      </c>
      <c r="C35">
        <v>-10.39</v>
      </c>
    </row>
    <row r="36" spans="1:3">
      <c r="A36" s="2694">
        <v>31777</v>
      </c>
      <c r="B36">
        <v>5.7172000000000001</v>
      </c>
      <c r="C36">
        <v>-1.72</v>
      </c>
    </row>
    <row r="37" spans="1:3">
      <c r="A37" s="2694">
        <v>32142</v>
      </c>
      <c r="B37">
        <v>11.2903</v>
      </c>
      <c r="C37">
        <v>5.57</v>
      </c>
    </row>
    <row r="38" spans="1:3">
      <c r="A38" s="2694">
        <v>32508</v>
      </c>
      <c r="B38">
        <v>54.511200000000002</v>
      </c>
      <c r="C38">
        <v>43.22</v>
      </c>
    </row>
    <row r="39" spans="1:3">
      <c r="A39" s="2694">
        <v>32873</v>
      </c>
      <c r="B39">
        <v>50.466700000000003</v>
      </c>
      <c r="C39">
        <v>-4.04</v>
      </c>
    </row>
    <row r="40" spans="1:3">
      <c r="A40" s="2694">
        <v>33238</v>
      </c>
      <c r="B40">
        <v>7.3643999999999998</v>
      </c>
      <c r="C40">
        <v>-43.1</v>
      </c>
    </row>
    <row r="41" spans="1:3">
      <c r="A41" s="2694">
        <v>33603</v>
      </c>
      <c r="B41">
        <v>13.007</v>
      </c>
      <c r="C41">
        <v>5.64</v>
      </c>
    </row>
    <row r="42" spans="1:3">
      <c r="A42" s="2694">
        <v>33969</v>
      </c>
      <c r="B42">
        <v>44.588799999999999</v>
      </c>
      <c r="C42">
        <v>31.58</v>
      </c>
    </row>
    <row r="43" spans="1:3">
      <c r="A43" s="2694">
        <v>34334</v>
      </c>
      <c r="B43">
        <v>57.165300000000002</v>
      </c>
      <c r="C43">
        <v>12.58</v>
      </c>
    </row>
    <row r="44" spans="1:3">
      <c r="A44" s="2694">
        <v>34699</v>
      </c>
      <c r="B44">
        <v>57.031700000000001</v>
      </c>
      <c r="C44">
        <v>-0.13</v>
      </c>
    </row>
    <row r="45" spans="1:3">
      <c r="A45" s="2694">
        <v>35064</v>
      </c>
      <c r="B45">
        <v>72.835499999999996</v>
      </c>
      <c r="C45">
        <v>15.8</v>
      </c>
    </row>
    <row r="46" spans="1:3">
      <c r="A46" s="2694">
        <v>35430</v>
      </c>
      <c r="B46">
        <v>29.2683</v>
      </c>
      <c r="C46">
        <v>-43.57</v>
      </c>
    </row>
    <row r="47" spans="1:3">
      <c r="A47" s="2694">
        <v>35795</v>
      </c>
      <c r="B47">
        <v>8.5298999999999996</v>
      </c>
      <c r="C47">
        <v>-20.74</v>
      </c>
    </row>
    <row r="48" spans="1:3">
      <c r="A48" s="2694">
        <v>36160</v>
      </c>
      <c r="B48">
        <v>9.9963999999999995</v>
      </c>
      <c r="C48">
        <v>1.47</v>
      </c>
    </row>
    <row r="49" spans="1:3">
      <c r="A49" s="2694">
        <v>36525</v>
      </c>
      <c r="B49">
        <v>6.6184000000000003</v>
      </c>
      <c r="C49">
        <v>-3.38</v>
      </c>
    </row>
    <row r="50" spans="1:3">
      <c r="A50" s="2694">
        <v>36891</v>
      </c>
      <c r="B50">
        <v>6.9333</v>
      </c>
      <c r="C50">
        <v>0.31</v>
      </c>
    </row>
    <row r="51" spans="1:3">
      <c r="A51" s="2694">
        <v>37256</v>
      </c>
      <c r="B51">
        <v>18.8736</v>
      </c>
      <c r="C51">
        <v>11.94</v>
      </c>
    </row>
    <row r="52" spans="1:3">
      <c r="A52" s="2694">
        <v>37621</v>
      </c>
      <c r="B52">
        <v>12.8766</v>
      </c>
      <c r="C52">
        <v>-6</v>
      </c>
    </row>
    <row r="53" spans="1:3">
      <c r="A53" s="2694">
        <v>37986</v>
      </c>
      <c r="B53">
        <v>14.0318</v>
      </c>
      <c r="C53">
        <v>1.1599999999999999</v>
      </c>
    </row>
    <row r="54" spans="1:3">
      <c r="A54" s="2694">
        <v>38352</v>
      </c>
      <c r="B54">
        <v>14.997999999999999</v>
      </c>
      <c r="C54">
        <v>0.97</v>
      </c>
    </row>
    <row r="55" spans="1:3">
      <c r="A55" s="2694">
        <v>38717</v>
      </c>
      <c r="B55">
        <v>17.863499999999998</v>
      </c>
      <c r="C55">
        <v>2.87</v>
      </c>
    </row>
    <row r="56" spans="1:3">
      <c r="A56" s="2694">
        <v>39082</v>
      </c>
      <c r="B56">
        <v>8.2251999999999992</v>
      </c>
      <c r="C56">
        <v>-9.64</v>
      </c>
    </row>
    <row r="57" spans="1:3">
      <c r="A57" s="2694">
        <v>39447</v>
      </c>
      <c r="B57">
        <v>5.3879999999999999</v>
      </c>
      <c r="C57">
        <v>-2.84</v>
      </c>
    </row>
    <row r="58" spans="1:3">
      <c r="A58" s="2694">
        <v>39813</v>
      </c>
      <c r="B58">
        <v>11.581099999999999</v>
      </c>
      <c r="C58">
        <v>6.19</v>
      </c>
    </row>
    <row r="59" spans="1:3">
      <c r="A59" s="2694">
        <v>40178</v>
      </c>
      <c r="B59">
        <v>12.537800000000001</v>
      </c>
      <c r="C59">
        <v>0.96</v>
      </c>
    </row>
    <row r="60" spans="1:3">
      <c r="A60" s="2694">
        <v>40543</v>
      </c>
      <c r="B60">
        <v>13.7401</v>
      </c>
      <c r="C60">
        <v>1.2</v>
      </c>
    </row>
    <row r="61" spans="1:3">
      <c r="A61" s="2694">
        <v>40908</v>
      </c>
      <c r="B61">
        <v>10.8261</v>
      </c>
      <c r="C61">
        <v>-2.91</v>
      </c>
    </row>
    <row r="62" spans="1:3">
      <c r="A62" s="2694">
        <v>41274</v>
      </c>
      <c r="B62">
        <v>12.2242</v>
      </c>
      <c r="C62">
        <v>1.4</v>
      </c>
    </row>
    <row r="63" spans="1:3">
      <c r="A63" s="2694">
        <v>41639</v>
      </c>
      <c r="B63">
        <v>8.4954999999999998</v>
      </c>
      <c r="C63">
        <v>-3.73</v>
      </c>
    </row>
    <row r="64" spans="1:3">
      <c r="A64" s="2694">
        <v>42004</v>
      </c>
      <c r="B64">
        <v>8.0473999999999997</v>
      </c>
      <c r="C64">
        <v>-0.45</v>
      </c>
    </row>
    <row r="65" spans="1:3">
      <c r="A65" s="2694">
        <v>42369</v>
      </c>
      <c r="B65">
        <v>9.0093999999999994</v>
      </c>
      <c r="C65">
        <v>0.96</v>
      </c>
    </row>
    <row r="66" spans="1:3">
      <c r="A66" s="2694">
        <v>42735</v>
      </c>
      <c r="B66">
        <v>15.6968</v>
      </c>
      <c r="C66">
        <v>6.69</v>
      </c>
    </row>
    <row r="67" spans="1:3">
      <c r="A67" s="2694">
        <v>43100</v>
      </c>
      <c r="B67">
        <v>16.502300000000002</v>
      </c>
      <c r="C67">
        <v>0.81</v>
      </c>
    </row>
    <row r="68" spans="1:3">
      <c r="A68" s="2694">
        <v>43465</v>
      </c>
      <c r="B68">
        <v>12.0951</v>
      </c>
      <c r="C68">
        <v>-4.41</v>
      </c>
    </row>
    <row r="69" spans="1:3">
      <c r="A69" s="2694">
        <v>43830</v>
      </c>
      <c r="B69">
        <v>11.3964</v>
      </c>
      <c r="C69">
        <v>-0.7</v>
      </c>
    </row>
    <row r="70" spans="1:3">
      <c r="A70" s="2694">
        <v>44196</v>
      </c>
      <c r="B70">
        <v>13.246</v>
      </c>
      <c r="C70">
        <v>1.85</v>
      </c>
    </row>
    <row r="71" spans="1:3">
      <c r="A71" s="2694">
        <v>44561</v>
      </c>
      <c r="B71">
        <v>16.9528</v>
      </c>
      <c r="C71">
        <v>3.71</v>
      </c>
    </row>
    <row r="72" spans="1:3">
      <c r="A72" s="2694">
        <v>44926</v>
      </c>
      <c r="B72">
        <v>18.847200000000001</v>
      </c>
      <c r="C72">
        <v>1.89</v>
      </c>
    </row>
    <row r="73" spans="1:3">
      <c r="A73" s="2694">
        <v>45291</v>
      </c>
      <c r="B73">
        <v>24.659600000000001</v>
      </c>
      <c r="C73">
        <v>5.81</v>
      </c>
    </row>
    <row r="77" spans="1:3">
      <c r="A77" t="s">
        <v>2346</v>
      </c>
      <c r="B77" s="1873">
        <f>AVERAGE(B10:B73)</f>
        <v>15.9898453125</v>
      </c>
    </row>
    <row r="78" spans="1:3">
      <c r="A78" s="2695" t="s">
        <v>2347</v>
      </c>
      <c r="B78" s="2696">
        <f>AVERAGE(B49:B73)</f>
        <v>12.866648000000003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C2C91-DA4C-49E1-8EFD-95E298AA3233}">
  <sheetPr codeName="Sheet64">
    <tabColor rgb="FF003300"/>
    <pageSetUpPr fitToPage="1"/>
  </sheetPr>
  <dimension ref="H3:Q40"/>
  <sheetViews>
    <sheetView view="pageBreakPreview" topLeftCell="F1" zoomScale="98" zoomScaleNormal="70" zoomScaleSheetLayoutView="98" workbookViewId="0">
      <selection activeCell="K3" sqref="K3"/>
    </sheetView>
  </sheetViews>
  <sheetFormatPr defaultColWidth="9.953125" defaultRowHeight="13.5"/>
  <cols>
    <col min="1" max="5" width="9.953125" style="2515"/>
    <col min="6" max="6" width="3.2265625" style="2515" customWidth="1"/>
    <col min="7" max="7" width="2.41796875" style="2515" customWidth="1"/>
    <col min="8" max="8" width="2.28515625" style="2515" customWidth="1"/>
    <col min="9" max="9" width="34.97265625" style="2515" customWidth="1"/>
    <col min="10" max="10" width="43.1796875" style="2515" customWidth="1"/>
    <col min="11" max="11" width="20.984375" style="2515" customWidth="1"/>
    <col min="12" max="12" width="9.953125" style="2515"/>
    <col min="13" max="13" width="16.8125" style="2515" customWidth="1"/>
    <col min="14" max="14" width="9.953125" style="2515"/>
    <col min="15" max="15" width="22.8671875" style="2515" customWidth="1"/>
    <col min="16" max="16384" width="9.953125" style="2515"/>
  </cols>
  <sheetData>
    <row r="3" spans="8:17" s="2514" customFormat="1" ht="18.75">
      <c r="J3" s="3256" t="s">
        <v>2242</v>
      </c>
      <c r="K3" s="3256" t="s">
        <v>2394</v>
      </c>
      <c r="L3" s="3256"/>
      <c r="M3" s="3256"/>
      <c r="N3" s="3256"/>
      <c r="O3" s="3256"/>
      <c r="P3" s="2515"/>
    </row>
    <row r="4" spans="8:17" ht="9" customHeight="1">
      <c r="J4" s="3256"/>
      <c r="K4" s="3256"/>
      <c r="L4" s="3256"/>
      <c r="M4" s="3256"/>
      <c r="N4" s="3256"/>
      <c r="O4" s="3256"/>
    </row>
    <row r="5" spans="8:17" ht="18.75">
      <c r="J5" s="3257" t="s">
        <v>2243</v>
      </c>
      <c r="K5" s="3257"/>
      <c r="L5" s="3257"/>
      <c r="M5" s="3257"/>
      <c r="N5" s="3257"/>
      <c r="O5" s="3257"/>
    </row>
    <row r="6" spans="8:17" ht="11.25" customHeight="1">
      <c r="J6" s="3257"/>
      <c r="K6" s="3257"/>
      <c r="L6" s="3257"/>
      <c r="M6" s="3257"/>
      <c r="N6" s="3257"/>
      <c r="O6" s="3257"/>
    </row>
    <row r="7" spans="8:17" ht="18.75">
      <c r="J7" s="3257" t="s">
        <v>2244</v>
      </c>
      <c r="K7" s="3257"/>
      <c r="L7" s="3257"/>
      <c r="M7" s="3257"/>
      <c r="N7" s="3257"/>
      <c r="O7" s="3257"/>
    </row>
    <row r="8" spans="8:17" ht="8.25" customHeight="1">
      <c r="J8" s="3257"/>
      <c r="K8" s="3257"/>
      <c r="L8" s="3257"/>
      <c r="M8" s="3257"/>
      <c r="N8" s="3257"/>
      <c r="O8" s="3257"/>
    </row>
    <row r="9" spans="8:17" ht="18" customHeight="1">
      <c r="J9" s="3257" t="s">
        <v>2245</v>
      </c>
      <c r="K9" s="3257"/>
      <c r="L9" s="3257"/>
      <c r="M9" s="3257"/>
      <c r="N9" s="3257"/>
      <c r="O9" s="3257"/>
    </row>
    <row r="10" spans="8:17" ht="8.25" customHeight="1">
      <c r="J10" s="3257"/>
      <c r="K10" s="3257"/>
      <c r="L10" s="3257"/>
      <c r="M10" s="3257"/>
      <c r="N10" s="3257"/>
      <c r="O10" s="3257"/>
    </row>
    <row r="11" spans="8:17" ht="18.75">
      <c r="J11" s="3257" t="s">
        <v>1323</v>
      </c>
      <c r="K11" s="3258"/>
      <c r="L11" s="3257"/>
      <c r="M11" s="3257"/>
      <c r="N11" s="3257"/>
      <c r="O11" s="3257"/>
    </row>
    <row r="12" spans="8:17" ht="15">
      <c r="I12" s="2516"/>
      <c r="J12" s="2516"/>
    </row>
    <row r="13" spans="8:17" ht="14.25" thickBot="1">
      <c r="I13" s="2517"/>
      <c r="J13" s="2517"/>
      <c r="K13" s="2517"/>
      <c r="L13" s="2517"/>
      <c r="M13" s="2517"/>
      <c r="N13" s="2517"/>
      <c r="O13" s="2517"/>
      <c r="P13" s="2517"/>
    </row>
    <row r="14" spans="8:17" ht="15.75" thickTop="1">
      <c r="H14" s="2518"/>
      <c r="I14" s="2519"/>
      <c r="J14" s="2520"/>
      <c r="K14" s="2521"/>
      <c r="L14" s="2521"/>
      <c r="M14" s="2521"/>
      <c r="N14" s="2521"/>
      <c r="O14" s="2521"/>
      <c r="P14" s="2522"/>
      <c r="Q14" s="2523"/>
    </row>
    <row r="15" spans="8:17" ht="26.25" customHeight="1">
      <c r="H15" s="2518"/>
      <c r="I15" s="2524"/>
      <c r="J15" s="2525"/>
      <c r="K15" s="2526"/>
      <c r="L15" s="2526"/>
      <c r="M15" s="2526"/>
      <c r="N15" s="2526"/>
      <c r="O15" s="2526"/>
      <c r="P15" s="2527"/>
    </row>
    <row r="16" spans="8:17" ht="8.25" customHeight="1">
      <c r="H16" s="2518"/>
      <c r="I16" s="2524"/>
      <c r="J16" s="2526"/>
      <c r="K16" s="2526"/>
      <c r="L16" s="2526"/>
      <c r="M16" s="2526"/>
      <c r="N16" s="2526"/>
      <c r="O16" s="2526"/>
      <c r="P16" s="2527"/>
    </row>
    <row r="17" spans="8:16" ht="20.25" customHeight="1">
      <c r="H17" s="2518"/>
      <c r="I17" s="2528"/>
      <c r="J17" s="2526"/>
      <c r="K17" s="2526"/>
      <c r="L17" s="2526"/>
      <c r="M17" s="2526"/>
      <c r="N17" s="2526"/>
      <c r="O17" s="2526"/>
      <c r="P17" s="2527"/>
    </row>
    <row r="18" spans="8:16" ht="20.25" customHeight="1">
      <c r="H18" s="2518"/>
      <c r="I18" s="2528"/>
      <c r="J18" s="2526"/>
      <c r="K18" s="2526"/>
      <c r="L18" s="2526"/>
      <c r="M18" s="2526"/>
      <c r="N18" s="2526"/>
      <c r="O18" s="2526"/>
      <c r="P18" s="2527"/>
    </row>
    <row r="19" spans="8:16" ht="20.25" customHeight="1">
      <c r="H19" s="2518"/>
      <c r="I19" s="2528"/>
      <c r="J19" s="2526"/>
      <c r="K19" s="2526"/>
      <c r="L19" s="2526"/>
      <c r="M19" s="2526"/>
      <c r="N19" s="2526"/>
      <c r="O19" s="2526"/>
      <c r="P19" s="2527"/>
    </row>
    <row r="20" spans="8:16" ht="20.25" customHeight="1">
      <c r="H20" s="2518"/>
      <c r="I20" s="2528"/>
      <c r="J20" s="2526"/>
      <c r="K20" s="2526"/>
      <c r="L20" s="2526"/>
      <c r="M20" s="2526"/>
      <c r="N20" s="2526"/>
      <c r="O20" s="2526"/>
      <c r="P20" s="2527"/>
    </row>
    <row r="21" spans="8:16" ht="20.25" customHeight="1">
      <c r="H21" s="2518"/>
      <c r="I21" s="2528"/>
      <c r="J21" s="2526"/>
      <c r="K21" s="2526"/>
      <c r="L21" s="2526"/>
      <c r="M21" s="2526"/>
      <c r="N21" s="2526"/>
      <c r="O21" s="2526"/>
      <c r="P21" s="2527"/>
    </row>
    <row r="22" spans="8:16" ht="20.25" customHeight="1">
      <c r="H22" s="2518"/>
      <c r="I22" s="2528"/>
      <c r="J22" s="2526"/>
      <c r="K22" s="2526"/>
      <c r="L22" s="2526"/>
      <c r="M22" s="2526"/>
      <c r="N22" s="2526"/>
      <c r="O22" s="2526"/>
      <c r="P22" s="2527"/>
    </row>
    <row r="23" spans="8:16" ht="20.25" customHeight="1">
      <c r="H23" s="2518"/>
      <c r="I23" s="2528"/>
      <c r="J23" s="2526"/>
      <c r="K23" s="2526"/>
      <c r="L23" s="2526"/>
      <c r="M23" s="2526"/>
      <c r="N23" s="2526"/>
      <c r="O23" s="2526"/>
      <c r="P23" s="2527"/>
    </row>
    <row r="24" spans="8:16" ht="20.25" customHeight="1">
      <c r="H24" s="2518"/>
      <c r="I24" s="2528"/>
      <c r="J24" s="2526"/>
      <c r="K24" s="2526"/>
      <c r="L24" s="2526"/>
      <c r="M24" s="2526"/>
      <c r="N24" s="2526"/>
      <c r="O24" s="2526"/>
      <c r="P24" s="2527"/>
    </row>
    <row r="25" spans="8:16" ht="20.25" customHeight="1">
      <c r="H25" s="2518"/>
      <c r="I25" s="2528"/>
      <c r="J25" s="2526"/>
      <c r="K25" s="2526"/>
      <c r="L25" s="2526"/>
      <c r="M25" s="2526"/>
      <c r="N25" s="2526"/>
      <c r="O25" s="2526"/>
      <c r="P25" s="2527"/>
    </row>
    <row r="26" spans="8:16" ht="20.25" customHeight="1">
      <c r="H26" s="2518"/>
      <c r="I26" s="2528"/>
      <c r="J26" s="2526"/>
      <c r="K26" s="2526"/>
      <c r="L26" s="2526"/>
      <c r="M26" s="2526"/>
      <c r="N26" s="2526"/>
      <c r="O26" s="2526"/>
      <c r="P26" s="2527"/>
    </row>
    <row r="27" spans="8:16" ht="20.25" customHeight="1">
      <c r="H27" s="2518"/>
      <c r="I27" s="2528"/>
      <c r="J27" s="2526"/>
      <c r="K27" s="2526"/>
      <c r="L27" s="2526"/>
      <c r="M27" s="2526"/>
      <c r="N27" s="2526"/>
      <c r="O27" s="2526"/>
      <c r="P27" s="2527"/>
    </row>
    <row r="28" spans="8:16" ht="20.25" customHeight="1">
      <c r="H28" s="2518"/>
      <c r="I28" s="2528"/>
      <c r="J28" s="2526"/>
      <c r="K28" s="2526"/>
      <c r="L28" s="2526"/>
      <c r="M28" s="2526"/>
      <c r="N28" s="2526"/>
      <c r="O28" s="2526"/>
      <c r="P28" s="2527"/>
    </row>
    <row r="29" spans="8:16" ht="20.25" customHeight="1">
      <c r="H29" s="2518"/>
      <c r="I29" s="2528"/>
      <c r="J29" s="2526"/>
      <c r="K29" s="2526"/>
      <c r="L29" s="2526"/>
      <c r="M29" s="2526"/>
      <c r="N29" s="2526"/>
      <c r="O29" s="2526"/>
      <c r="P29" s="2527"/>
    </row>
    <row r="30" spans="8:16" ht="20.25" customHeight="1">
      <c r="H30" s="2518"/>
      <c r="I30" s="2528"/>
      <c r="J30" s="2526"/>
      <c r="K30" s="2526"/>
      <c r="L30" s="2526"/>
      <c r="M30" s="2526"/>
      <c r="N30" s="2526"/>
      <c r="O30" s="2526"/>
      <c r="P30" s="2527"/>
    </row>
    <row r="31" spans="8:16" ht="20.25" customHeight="1">
      <c r="H31" s="2518"/>
      <c r="I31" s="2528"/>
      <c r="J31" s="2526"/>
      <c r="K31" s="2526"/>
      <c r="L31" s="2526"/>
      <c r="M31" s="2526"/>
      <c r="N31" s="2526"/>
      <c r="O31" s="2526"/>
      <c r="P31" s="2527"/>
    </row>
    <row r="32" spans="8:16" ht="15.75" thickBot="1">
      <c r="H32" s="2518"/>
      <c r="I32" s="2529"/>
      <c r="J32" s="2530"/>
      <c r="K32" s="2530"/>
      <c r="L32" s="2530"/>
      <c r="M32" s="2530"/>
      <c r="N32" s="2530"/>
      <c r="O32" s="2530"/>
      <c r="P32" s="2531"/>
    </row>
    <row r="33" spans="8:16" ht="14.25" thickTop="1"/>
    <row r="34" spans="8:16" ht="14.25" thickBot="1">
      <c r="I34" s="2517"/>
      <c r="J34" s="2517"/>
      <c r="K34" s="2517"/>
      <c r="L34" s="2517"/>
      <c r="M34" s="2517"/>
      <c r="N34" s="2517"/>
      <c r="O34" s="2517"/>
      <c r="P34" s="2517"/>
    </row>
    <row r="35" spans="8:16" ht="15.75" thickTop="1">
      <c r="H35" s="2518"/>
      <c r="I35" s="3279" t="s">
        <v>2246</v>
      </c>
      <c r="J35" s="3279"/>
      <c r="K35" s="2526"/>
      <c r="L35" s="2526"/>
      <c r="M35" s="2526"/>
      <c r="N35" s="2526"/>
      <c r="O35" s="2526"/>
      <c r="P35" s="2532"/>
    </row>
    <row r="36" spans="8:16" ht="15.75" thickBot="1">
      <c r="H36" s="2518"/>
      <c r="I36" s="2533" t="s">
        <v>2247</v>
      </c>
      <c r="J36" s="2533" t="s">
        <v>1165</v>
      </c>
      <c r="K36" s="2534"/>
      <c r="L36" s="2534"/>
      <c r="M36" s="2534"/>
      <c r="N36" s="2534"/>
      <c r="O36" s="2534"/>
      <c r="P36" s="2535"/>
    </row>
    <row r="37" spans="8:16" ht="15">
      <c r="H37" s="2518"/>
      <c r="I37" s="2536"/>
      <c r="J37" s="2537"/>
      <c r="K37" s="2537"/>
      <c r="L37" s="2537"/>
      <c r="M37" s="2537"/>
      <c r="N37" s="2537"/>
      <c r="O37" s="2537"/>
      <c r="P37" s="2532"/>
    </row>
    <row r="38" spans="8:16" ht="15">
      <c r="H38" s="2518"/>
      <c r="I38" s="2538" t="s">
        <v>2248</v>
      </c>
      <c r="J38" s="2538" t="s">
        <v>2249</v>
      </c>
      <c r="K38" s="2539"/>
      <c r="L38" s="2539"/>
      <c r="M38" s="2539"/>
      <c r="N38" s="2539"/>
      <c r="O38" s="2539"/>
      <c r="P38" s="2540"/>
    </row>
    <row r="39" spans="8:16" ht="15.75" thickBot="1">
      <c r="I39" s="2541" t="s">
        <v>2250</v>
      </c>
      <c r="J39" s="2542" t="s">
        <v>2251</v>
      </c>
      <c r="K39" s="2543"/>
      <c r="L39" s="2543"/>
      <c r="M39" s="2543"/>
      <c r="N39" s="2543"/>
      <c r="O39" s="2543"/>
      <c r="P39" s="2544"/>
    </row>
    <row r="40" spans="8:16" ht="14.25" thickTop="1"/>
  </sheetData>
  <mergeCells count="1">
    <mergeCell ref="I35:J35"/>
  </mergeCells>
  <pageMargins left="0.70866141732283472" right="0.70866141732283472" top="0.74803149606299213" bottom="0.74803149606299213" header="0.31496062992125984" footer="0.31496062992125984"/>
  <pageSetup paperSize="9" scale="58"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34809-787B-4A83-91B9-765E27672D8D}">
  <sheetPr codeName="Sheet49">
    <tabColor theme="8" tint="-0.249977111117893"/>
  </sheetPr>
  <dimension ref="E1:CG73"/>
  <sheetViews>
    <sheetView topLeftCell="A57" zoomScale="98" zoomScaleNormal="98" workbookViewId="0">
      <selection activeCell="CF64" sqref="CF64"/>
    </sheetView>
  </sheetViews>
  <sheetFormatPr defaultRowHeight="15"/>
  <cols>
    <col min="5" max="5" width="21.7890625" customWidth="1"/>
    <col min="6" max="6" width="12.375" customWidth="1"/>
    <col min="7" max="7" width="15.6015625" customWidth="1"/>
  </cols>
  <sheetData>
    <row r="1" spans="5:85">
      <c r="L1">
        <f>'Project Cost Monthly'!I2</f>
        <v>1</v>
      </c>
      <c r="M1">
        <f>'Project Cost Monthly'!J2</f>
        <v>2</v>
      </c>
      <c r="N1">
        <f>'Project Cost Monthly'!K2</f>
        <v>3</v>
      </c>
      <c r="O1">
        <f>'Project Cost Monthly'!L2</f>
        <v>4</v>
      </c>
      <c r="P1">
        <f>'Project Cost Monthly'!M2</f>
        <v>5</v>
      </c>
      <c r="Q1">
        <f>'Project Cost Monthly'!N2</f>
        <v>6</v>
      </c>
      <c r="R1">
        <f>'Project Cost Monthly'!O2</f>
        <v>7</v>
      </c>
      <c r="S1">
        <f>'Project Cost Monthly'!P2</f>
        <v>8</v>
      </c>
      <c r="T1">
        <f>'Project Cost Monthly'!Q2</f>
        <v>9</v>
      </c>
      <c r="U1">
        <f>'Project Cost Monthly'!R2</f>
        <v>10</v>
      </c>
      <c r="V1">
        <f>'Project Cost Monthly'!S2</f>
        <v>11</v>
      </c>
      <c r="W1">
        <f>'Project Cost Monthly'!T2</f>
        <v>12</v>
      </c>
      <c r="X1">
        <f>'Project Cost Monthly'!U2</f>
        <v>13</v>
      </c>
      <c r="Y1">
        <f>'Project Cost Monthly'!V2</f>
        <v>14</v>
      </c>
      <c r="Z1">
        <f>'Project Cost Monthly'!W2</f>
        <v>15</v>
      </c>
      <c r="AA1">
        <f>'Project Cost Monthly'!X2</f>
        <v>16</v>
      </c>
      <c r="AB1">
        <f>'Project Cost Monthly'!Y2</f>
        <v>17</v>
      </c>
      <c r="AC1">
        <f>'Project Cost Monthly'!Z2</f>
        <v>18</v>
      </c>
      <c r="AD1">
        <f>'Project Cost Monthly'!AA2</f>
        <v>19</v>
      </c>
      <c r="AE1">
        <f>'Project Cost Monthly'!AB2</f>
        <v>20</v>
      </c>
      <c r="AF1">
        <f>'Project Cost Monthly'!AC2</f>
        <v>21</v>
      </c>
      <c r="AG1">
        <f>'Project Cost Monthly'!AD2</f>
        <v>22</v>
      </c>
      <c r="AH1">
        <f>'Project Cost Monthly'!AE2</f>
        <v>23</v>
      </c>
      <c r="AI1">
        <f>'Project Cost Monthly'!AF2</f>
        <v>24</v>
      </c>
      <c r="AJ1">
        <f>'Project Cost Monthly'!AG2</f>
        <v>25</v>
      </c>
      <c r="AK1">
        <f>'Project Cost Monthly'!AH2</f>
        <v>26</v>
      </c>
      <c r="AL1">
        <f>'Project Cost Monthly'!AI2</f>
        <v>27</v>
      </c>
      <c r="AM1">
        <f>'Project Cost Monthly'!AJ2</f>
        <v>28</v>
      </c>
      <c r="AN1">
        <f>'Project Cost Monthly'!AK2</f>
        <v>29</v>
      </c>
      <c r="AO1">
        <f>'Project Cost Monthly'!AL2</f>
        <v>30</v>
      </c>
      <c r="AP1">
        <f>'Project Cost Monthly'!AM2</f>
        <v>31</v>
      </c>
      <c r="AQ1">
        <f>'Project Cost Monthly'!AN2</f>
        <v>32</v>
      </c>
      <c r="AR1">
        <f>'Project Cost Monthly'!AO2</f>
        <v>33</v>
      </c>
      <c r="AS1">
        <f>'Project Cost Monthly'!AP2</f>
        <v>34</v>
      </c>
      <c r="AT1">
        <f>'Project Cost Monthly'!AQ2</f>
        <v>35</v>
      </c>
      <c r="AU1">
        <f>'Project Cost Monthly'!AR2</f>
        <v>36</v>
      </c>
      <c r="AV1">
        <f>'Project Cost Monthly'!AS2</f>
        <v>37</v>
      </c>
      <c r="AW1">
        <f>'Project Cost Monthly'!AT2</f>
        <v>38</v>
      </c>
      <c r="AX1">
        <f>'Project Cost Monthly'!AU2</f>
        <v>39</v>
      </c>
      <c r="AY1">
        <f>'Project Cost Monthly'!AV2</f>
        <v>40</v>
      </c>
      <c r="AZ1">
        <f>'Project Cost Monthly'!AW2</f>
        <v>41</v>
      </c>
      <c r="BA1">
        <f>'Project Cost Monthly'!AX2</f>
        <v>42</v>
      </c>
      <c r="BB1">
        <f>'Project Cost Monthly'!AY2</f>
        <v>43</v>
      </c>
      <c r="BC1">
        <f>'Project Cost Monthly'!AZ2</f>
        <v>44</v>
      </c>
      <c r="BD1">
        <f>'Project Cost Monthly'!BA2</f>
        <v>45</v>
      </c>
      <c r="BE1">
        <f>'Project Cost Monthly'!BB2</f>
        <v>46</v>
      </c>
      <c r="BF1">
        <f>'Project Cost Monthly'!BC2</f>
        <v>47</v>
      </c>
      <c r="BG1">
        <f>'Project Cost Monthly'!BD2</f>
        <v>48</v>
      </c>
      <c r="BH1">
        <f>'Project Cost Monthly'!BE2</f>
        <v>49</v>
      </c>
      <c r="BI1">
        <f>'Project Cost Monthly'!BF2</f>
        <v>50</v>
      </c>
      <c r="BJ1">
        <f>'Project Cost Monthly'!BG2</f>
        <v>51</v>
      </c>
      <c r="BK1">
        <f>'Project Cost Monthly'!BH2</f>
        <v>52</v>
      </c>
      <c r="BL1">
        <f>'Project Cost Monthly'!BI2</f>
        <v>53</v>
      </c>
      <c r="BM1">
        <f>'Project Cost Monthly'!BJ2</f>
        <v>54</v>
      </c>
      <c r="BN1">
        <f>'Project Cost Monthly'!BK2</f>
        <v>55</v>
      </c>
      <c r="BO1">
        <f>'Project Cost Monthly'!BL2</f>
        <v>56</v>
      </c>
      <c r="BP1">
        <f>'Project Cost Monthly'!BM2</f>
        <v>57</v>
      </c>
      <c r="BQ1">
        <f>'Project Cost Monthly'!BN2</f>
        <v>58</v>
      </c>
      <c r="BR1">
        <f>'Project Cost Monthly'!BO2</f>
        <v>59</v>
      </c>
      <c r="BS1">
        <f>'Project Cost Monthly'!BP2</f>
        <v>60</v>
      </c>
      <c r="BT1">
        <f>'Project Cost Monthly'!BQ2</f>
        <v>61</v>
      </c>
      <c r="BU1">
        <f>'Project Cost Monthly'!BR2</f>
        <v>62</v>
      </c>
      <c r="BV1">
        <f>'Project Cost Monthly'!BS2</f>
        <v>63</v>
      </c>
      <c r="BW1">
        <f>'Project Cost Monthly'!BT2</f>
        <v>64</v>
      </c>
      <c r="BX1">
        <f>'Project Cost Monthly'!BU2</f>
        <v>65</v>
      </c>
      <c r="BY1">
        <f>'Project Cost Monthly'!BV2</f>
        <v>66</v>
      </c>
      <c r="BZ1">
        <f>'Project Cost Monthly'!BW2</f>
        <v>67</v>
      </c>
      <c r="CA1">
        <f>'Project Cost Monthly'!BX2</f>
        <v>68</v>
      </c>
      <c r="CB1">
        <f>'Project Cost Monthly'!BY2</f>
        <v>69</v>
      </c>
      <c r="CC1">
        <f>'Project Cost Monthly'!BZ2</f>
        <v>70</v>
      </c>
      <c r="CD1">
        <f>'Project Cost Monthly'!CA2</f>
        <v>71</v>
      </c>
      <c r="CE1">
        <f>'Project Cost Monthly'!CB2</f>
        <v>72</v>
      </c>
    </row>
    <row r="2" spans="5:85">
      <c r="L2" s="389">
        <f>'Project Cost Monthly'!I3</f>
        <v>46023</v>
      </c>
      <c r="M2" s="389">
        <f>'Project Cost Monthly'!J3</f>
        <v>46054</v>
      </c>
      <c r="N2" s="389">
        <f>'Project Cost Monthly'!K3</f>
        <v>46082</v>
      </c>
      <c r="O2" s="389">
        <f>'Project Cost Monthly'!L3</f>
        <v>46113</v>
      </c>
      <c r="P2" s="389">
        <f>'Project Cost Monthly'!M3</f>
        <v>46143</v>
      </c>
      <c r="Q2" s="389">
        <f>'Project Cost Monthly'!N3</f>
        <v>46174</v>
      </c>
      <c r="R2" s="389">
        <f>'Project Cost Monthly'!O3</f>
        <v>46204</v>
      </c>
      <c r="S2" s="389">
        <f>'Project Cost Monthly'!P3</f>
        <v>46235</v>
      </c>
      <c r="T2" s="389">
        <f>'Project Cost Monthly'!Q3</f>
        <v>46266</v>
      </c>
      <c r="U2" s="389">
        <f>'Project Cost Monthly'!R3</f>
        <v>46296</v>
      </c>
      <c r="V2" s="389">
        <f>'Project Cost Monthly'!S3</f>
        <v>46327</v>
      </c>
      <c r="W2" s="389">
        <f>'Project Cost Monthly'!T3</f>
        <v>46357</v>
      </c>
      <c r="X2" s="389">
        <f>'Project Cost Monthly'!U3</f>
        <v>46388</v>
      </c>
      <c r="Y2" s="389">
        <f>'Project Cost Monthly'!V3</f>
        <v>46419</v>
      </c>
      <c r="Z2" s="389">
        <f>'Project Cost Monthly'!W3</f>
        <v>46447</v>
      </c>
      <c r="AA2" s="389">
        <f>'Project Cost Monthly'!X3</f>
        <v>46478</v>
      </c>
      <c r="AB2" s="389">
        <f>'Project Cost Monthly'!Y3</f>
        <v>46508</v>
      </c>
      <c r="AC2" s="389">
        <f>'Project Cost Monthly'!Z3</f>
        <v>46539</v>
      </c>
      <c r="AD2" s="389">
        <f>'Project Cost Monthly'!AA3</f>
        <v>46569</v>
      </c>
      <c r="AE2" s="389">
        <f>'Project Cost Monthly'!AB3</f>
        <v>46600</v>
      </c>
      <c r="AF2" s="389">
        <f>'Project Cost Monthly'!AC3</f>
        <v>46631</v>
      </c>
      <c r="AG2" s="389">
        <f>'Project Cost Monthly'!AD3</f>
        <v>46661</v>
      </c>
      <c r="AH2" s="389">
        <f>'Project Cost Monthly'!AE3</f>
        <v>46692</v>
      </c>
      <c r="AI2" s="389">
        <f>'Project Cost Monthly'!AF3</f>
        <v>46722</v>
      </c>
      <c r="AJ2" s="389">
        <f>'Project Cost Monthly'!AG3</f>
        <v>46753</v>
      </c>
      <c r="AK2" s="389">
        <f>'Project Cost Monthly'!AH3</f>
        <v>46784</v>
      </c>
      <c r="AL2" s="389">
        <f>'Project Cost Monthly'!AI3</f>
        <v>46813</v>
      </c>
      <c r="AM2" s="389">
        <f>'Project Cost Monthly'!AJ3</f>
        <v>46844</v>
      </c>
      <c r="AN2" s="389">
        <f>'Project Cost Monthly'!AK3</f>
        <v>46874</v>
      </c>
      <c r="AO2" s="389">
        <f>'Project Cost Monthly'!AL3</f>
        <v>46905</v>
      </c>
      <c r="AP2" s="389">
        <f>'Project Cost Monthly'!AM3</f>
        <v>46935</v>
      </c>
      <c r="AQ2" s="389">
        <f>'Project Cost Monthly'!AN3</f>
        <v>46966</v>
      </c>
      <c r="AR2" s="389">
        <f>'Project Cost Monthly'!AO3</f>
        <v>46997</v>
      </c>
      <c r="AS2" s="389">
        <f>'Project Cost Monthly'!AP3</f>
        <v>47027</v>
      </c>
      <c r="AT2" s="389">
        <f>'Project Cost Monthly'!AQ3</f>
        <v>47058</v>
      </c>
      <c r="AU2" s="389">
        <f>'Project Cost Monthly'!AR3</f>
        <v>47088</v>
      </c>
      <c r="AV2" s="389">
        <f>'Project Cost Monthly'!AS3</f>
        <v>47119</v>
      </c>
      <c r="AW2" s="389">
        <f>'Project Cost Monthly'!AT3</f>
        <v>47150</v>
      </c>
      <c r="AX2" s="389">
        <f>'Project Cost Monthly'!AU3</f>
        <v>47178</v>
      </c>
      <c r="AY2" s="389">
        <f>'Project Cost Monthly'!AV3</f>
        <v>47209</v>
      </c>
      <c r="AZ2" s="389">
        <f>'Project Cost Monthly'!AW3</f>
        <v>47239</v>
      </c>
      <c r="BA2" s="389">
        <f>'Project Cost Monthly'!AX3</f>
        <v>47270</v>
      </c>
      <c r="BB2" s="389">
        <f>'Project Cost Monthly'!AY3</f>
        <v>47300</v>
      </c>
      <c r="BC2" s="389">
        <f>'Project Cost Monthly'!AZ3</f>
        <v>47331</v>
      </c>
      <c r="BD2" s="389">
        <f>'Project Cost Monthly'!BA3</f>
        <v>47362</v>
      </c>
      <c r="BE2" s="389">
        <f>'Project Cost Monthly'!BB3</f>
        <v>47392</v>
      </c>
      <c r="BF2" s="389">
        <f>'Project Cost Monthly'!BC3</f>
        <v>47423</v>
      </c>
      <c r="BG2" s="389">
        <f>'Project Cost Monthly'!BD3</f>
        <v>47453</v>
      </c>
      <c r="BH2" s="389">
        <f>'Project Cost Monthly'!BE3</f>
        <v>47484</v>
      </c>
      <c r="BI2" s="389">
        <f>'Project Cost Monthly'!BF3</f>
        <v>47515</v>
      </c>
      <c r="BJ2" s="389">
        <f>'Project Cost Monthly'!BG3</f>
        <v>47543</v>
      </c>
      <c r="BK2" s="389">
        <f>'Project Cost Monthly'!BH3</f>
        <v>47574</v>
      </c>
      <c r="BL2" s="389">
        <f>'Project Cost Monthly'!BI3</f>
        <v>47604</v>
      </c>
      <c r="BM2" s="389">
        <f>'Project Cost Monthly'!BJ3</f>
        <v>47635</v>
      </c>
      <c r="BN2" s="389">
        <f>'Project Cost Monthly'!BK3</f>
        <v>47665</v>
      </c>
      <c r="BO2" s="389">
        <f>'Project Cost Monthly'!BL3</f>
        <v>47696</v>
      </c>
      <c r="BP2" s="389">
        <f>'Project Cost Monthly'!BM3</f>
        <v>47727</v>
      </c>
      <c r="BQ2" s="389">
        <f>'Project Cost Monthly'!BN3</f>
        <v>47757</v>
      </c>
      <c r="BR2" s="389">
        <f>'Project Cost Monthly'!BO3</f>
        <v>47788</v>
      </c>
      <c r="BS2" s="389">
        <f>'Project Cost Monthly'!BP3</f>
        <v>47818</v>
      </c>
      <c r="BT2" s="389">
        <f>'Project Cost Monthly'!BQ3</f>
        <v>47849</v>
      </c>
      <c r="BU2" s="389">
        <f>'Project Cost Monthly'!BR3</f>
        <v>47880</v>
      </c>
      <c r="BV2" s="389">
        <f>'Project Cost Monthly'!BS3</f>
        <v>47908</v>
      </c>
      <c r="BW2" s="389">
        <f>'Project Cost Monthly'!BT3</f>
        <v>47939</v>
      </c>
      <c r="BX2" s="389">
        <f>'Project Cost Monthly'!BU3</f>
        <v>47969</v>
      </c>
      <c r="BY2" s="389">
        <f>'Project Cost Monthly'!BV3</f>
        <v>48000</v>
      </c>
      <c r="BZ2" s="389">
        <f>'Project Cost Monthly'!BW3</f>
        <v>48030</v>
      </c>
      <c r="CA2" s="389">
        <f>'Project Cost Monthly'!BX3</f>
        <v>48061</v>
      </c>
      <c r="CB2" s="389">
        <f>'Project Cost Monthly'!BY3</f>
        <v>48092</v>
      </c>
      <c r="CC2" s="389">
        <f>'Project Cost Monthly'!BZ3</f>
        <v>48122</v>
      </c>
      <c r="CD2" s="389">
        <f>'Project Cost Monthly'!CA3</f>
        <v>48153</v>
      </c>
      <c r="CE2" s="389">
        <f>'Project Cost Monthly'!CB3</f>
        <v>48183</v>
      </c>
    </row>
    <row r="3" spans="5:85">
      <c r="L3" s="389">
        <f>'Project Cost Monthly'!I4</f>
        <v>46053</v>
      </c>
      <c r="M3" s="389">
        <f>'Project Cost Monthly'!J4</f>
        <v>46081</v>
      </c>
      <c r="N3" s="389">
        <f>'Project Cost Monthly'!K4</f>
        <v>46112</v>
      </c>
      <c r="O3" s="389">
        <f>'Project Cost Monthly'!L4</f>
        <v>46142</v>
      </c>
      <c r="P3" s="389">
        <f>'Project Cost Monthly'!M4</f>
        <v>46173</v>
      </c>
      <c r="Q3" s="389">
        <f>'Project Cost Monthly'!N4</f>
        <v>46203</v>
      </c>
      <c r="R3" s="389">
        <f>'Project Cost Monthly'!O4</f>
        <v>46234</v>
      </c>
      <c r="S3" s="389">
        <f>'Project Cost Monthly'!P4</f>
        <v>46265</v>
      </c>
      <c r="T3" s="389">
        <f>'Project Cost Monthly'!Q4</f>
        <v>46295</v>
      </c>
      <c r="U3" s="389">
        <f>'Project Cost Monthly'!R4</f>
        <v>46326</v>
      </c>
      <c r="V3" s="389">
        <f>'Project Cost Monthly'!S4</f>
        <v>46356</v>
      </c>
      <c r="W3" s="389">
        <f>'Project Cost Monthly'!T4</f>
        <v>46387</v>
      </c>
      <c r="X3" s="389">
        <f>'Project Cost Monthly'!U4</f>
        <v>46418</v>
      </c>
      <c r="Y3" s="389">
        <f>'Project Cost Monthly'!V4</f>
        <v>46446</v>
      </c>
      <c r="Z3" s="389">
        <f>'Project Cost Monthly'!W4</f>
        <v>46477</v>
      </c>
      <c r="AA3" s="389">
        <f>'Project Cost Monthly'!X4</f>
        <v>46507</v>
      </c>
      <c r="AB3" s="389">
        <f>'Project Cost Monthly'!Y4</f>
        <v>46538</v>
      </c>
      <c r="AC3" s="389">
        <f>'Project Cost Monthly'!Z4</f>
        <v>46568</v>
      </c>
      <c r="AD3" s="389">
        <f>'Project Cost Monthly'!AA4</f>
        <v>46599</v>
      </c>
      <c r="AE3" s="389">
        <f>'Project Cost Monthly'!AB4</f>
        <v>46630</v>
      </c>
      <c r="AF3" s="389">
        <f>'Project Cost Monthly'!AC4</f>
        <v>46660</v>
      </c>
      <c r="AG3" s="389">
        <f>'Project Cost Monthly'!AD4</f>
        <v>46691</v>
      </c>
      <c r="AH3" s="389">
        <f>'Project Cost Monthly'!AE4</f>
        <v>46721</v>
      </c>
      <c r="AI3" s="389">
        <f>'Project Cost Monthly'!AF4</f>
        <v>46752</v>
      </c>
      <c r="AJ3" s="389">
        <f>'Project Cost Monthly'!AG4</f>
        <v>46783</v>
      </c>
      <c r="AK3" s="389">
        <f>'Project Cost Monthly'!AH4</f>
        <v>46812</v>
      </c>
      <c r="AL3" s="389">
        <f>'Project Cost Monthly'!AI4</f>
        <v>46843</v>
      </c>
      <c r="AM3" s="389">
        <f>'Project Cost Monthly'!AJ4</f>
        <v>46873</v>
      </c>
      <c r="AN3" s="389">
        <f>'Project Cost Monthly'!AK4</f>
        <v>46904</v>
      </c>
      <c r="AO3" s="389">
        <f>'Project Cost Monthly'!AL4</f>
        <v>46934</v>
      </c>
      <c r="AP3" s="389">
        <f>'Project Cost Monthly'!AM4</f>
        <v>46965</v>
      </c>
      <c r="AQ3" s="389">
        <f>'Project Cost Monthly'!AN4</f>
        <v>46996</v>
      </c>
      <c r="AR3" s="389">
        <f>'Project Cost Monthly'!AO4</f>
        <v>47026</v>
      </c>
      <c r="AS3" s="389">
        <f>'Project Cost Monthly'!AP4</f>
        <v>47057</v>
      </c>
      <c r="AT3" s="389">
        <f>'Project Cost Monthly'!AQ4</f>
        <v>47087</v>
      </c>
      <c r="AU3" s="389">
        <f>'Project Cost Monthly'!AR4</f>
        <v>47118</v>
      </c>
      <c r="AV3" s="389">
        <f>'Project Cost Monthly'!AS4</f>
        <v>47149</v>
      </c>
      <c r="AW3" s="389">
        <f>'Project Cost Monthly'!AT4</f>
        <v>47177</v>
      </c>
      <c r="AX3" s="389">
        <f>'Project Cost Monthly'!AU4</f>
        <v>47208</v>
      </c>
      <c r="AY3" s="389">
        <f>'Project Cost Monthly'!AV4</f>
        <v>47238</v>
      </c>
      <c r="AZ3" s="389">
        <f>'Project Cost Monthly'!AW4</f>
        <v>47269</v>
      </c>
      <c r="BA3" s="389">
        <f>'Project Cost Monthly'!AX4</f>
        <v>47299</v>
      </c>
      <c r="BB3" s="389">
        <f>'Project Cost Monthly'!AY4</f>
        <v>47330</v>
      </c>
      <c r="BC3" s="389">
        <f>'Project Cost Monthly'!AZ4</f>
        <v>47361</v>
      </c>
      <c r="BD3" s="389">
        <f>'Project Cost Monthly'!BA4</f>
        <v>47391</v>
      </c>
      <c r="BE3" s="389">
        <f>'Project Cost Monthly'!BB4</f>
        <v>47422</v>
      </c>
      <c r="BF3" s="389">
        <f>'Project Cost Monthly'!BC4</f>
        <v>47452</v>
      </c>
      <c r="BG3" s="389">
        <f>'Project Cost Monthly'!BD4</f>
        <v>47483</v>
      </c>
      <c r="BH3" s="389">
        <f>'Project Cost Monthly'!BE4</f>
        <v>47514</v>
      </c>
      <c r="BI3" s="389">
        <f>'Project Cost Monthly'!BF4</f>
        <v>47542</v>
      </c>
      <c r="BJ3" s="389">
        <f>'Project Cost Monthly'!BG4</f>
        <v>47573</v>
      </c>
      <c r="BK3" s="389">
        <f>'Project Cost Monthly'!BH4</f>
        <v>47603</v>
      </c>
      <c r="BL3" s="389">
        <f>'Project Cost Monthly'!BI4</f>
        <v>47634</v>
      </c>
      <c r="BM3" s="389">
        <f>'Project Cost Monthly'!BJ4</f>
        <v>47664</v>
      </c>
      <c r="BN3" s="389">
        <f>'Project Cost Monthly'!BK4</f>
        <v>47695</v>
      </c>
      <c r="BO3" s="389">
        <f>'Project Cost Monthly'!BL4</f>
        <v>47726</v>
      </c>
      <c r="BP3" s="389">
        <f>'Project Cost Monthly'!BM4</f>
        <v>47756</v>
      </c>
      <c r="BQ3" s="389">
        <f>'Project Cost Monthly'!BN4</f>
        <v>47787</v>
      </c>
      <c r="BR3" s="389">
        <f>'Project Cost Monthly'!BO4</f>
        <v>47817</v>
      </c>
      <c r="BS3" s="389">
        <f>'Project Cost Monthly'!BP4</f>
        <v>47848</v>
      </c>
      <c r="BT3" s="389">
        <f>'Project Cost Monthly'!BQ4</f>
        <v>47879</v>
      </c>
      <c r="BU3" s="389">
        <f>'Project Cost Monthly'!BR4</f>
        <v>47907</v>
      </c>
      <c r="BV3" s="389">
        <f>'Project Cost Monthly'!BS4</f>
        <v>47938</v>
      </c>
      <c r="BW3" s="389">
        <f>'Project Cost Monthly'!BT4</f>
        <v>47968</v>
      </c>
      <c r="BX3" s="389">
        <f>'Project Cost Monthly'!BU4</f>
        <v>47999</v>
      </c>
      <c r="BY3" s="389">
        <f>'Project Cost Monthly'!BV4</f>
        <v>48029</v>
      </c>
      <c r="BZ3" s="389">
        <f>'Project Cost Monthly'!BW4</f>
        <v>48060</v>
      </c>
      <c r="CA3" s="389">
        <f>'Project Cost Monthly'!BX4</f>
        <v>48091</v>
      </c>
      <c r="CB3" s="389">
        <f>'Project Cost Monthly'!BY4</f>
        <v>48121</v>
      </c>
      <c r="CC3" s="389">
        <f>'Project Cost Monthly'!BZ4</f>
        <v>48152</v>
      </c>
      <c r="CD3" s="389">
        <f>'Project Cost Monthly'!CA4</f>
        <v>48182</v>
      </c>
      <c r="CE3" s="389">
        <f>'Project Cost Monthly'!CB4</f>
        <v>48213</v>
      </c>
    </row>
    <row r="4" spans="5:85">
      <c r="L4" s="391">
        <f>'Project Cost Monthly'!I5</f>
        <v>31</v>
      </c>
      <c r="M4" s="391">
        <f>'Project Cost Monthly'!J5</f>
        <v>28</v>
      </c>
      <c r="N4" s="391">
        <f>'Project Cost Monthly'!K5</f>
        <v>31</v>
      </c>
      <c r="O4" s="391">
        <f>'Project Cost Monthly'!L5</f>
        <v>30</v>
      </c>
      <c r="P4" s="391">
        <f>'Project Cost Monthly'!M5</f>
        <v>31</v>
      </c>
      <c r="Q4" s="391">
        <f>'Project Cost Monthly'!N5</f>
        <v>30</v>
      </c>
      <c r="R4" s="391">
        <f>'Project Cost Monthly'!O5</f>
        <v>31</v>
      </c>
      <c r="S4" s="391">
        <f>'Project Cost Monthly'!P5</f>
        <v>31</v>
      </c>
      <c r="T4" s="391">
        <f>'Project Cost Monthly'!Q5</f>
        <v>30</v>
      </c>
      <c r="U4" s="391">
        <f>'Project Cost Monthly'!R5</f>
        <v>31</v>
      </c>
      <c r="V4" s="391">
        <f>'Project Cost Monthly'!S5</f>
        <v>30</v>
      </c>
      <c r="W4" s="391">
        <f>'Project Cost Monthly'!T5</f>
        <v>31</v>
      </c>
      <c r="X4" s="391">
        <f>'Project Cost Monthly'!U5</f>
        <v>31</v>
      </c>
      <c r="Y4" s="391">
        <f>'Project Cost Monthly'!V5</f>
        <v>28</v>
      </c>
      <c r="Z4" s="391">
        <f>'Project Cost Monthly'!W5</f>
        <v>31</v>
      </c>
      <c r="AA4" s="391">
        <f>'Project Cost Monthly'!X5</f>
        <v>30</v>
      </c>
      <c r="AB4" s="391">
        <f>'Project Cost Monthly'!Y5</f>
        <v>31</v>
      </c>
      <c r="AC4" s="391">
        <f>'Project Cost Monthly'!Z5</f>
        <v>30</v>
      </c>
      <c r="AD4" s="391">
        <f>'Project Cost Monthly'!AA5</f>
        <v>31</v>
      </c>
      <c r="AE4" s="391">
        <f>'Project Cost Monthly'!AB5</f>
        <v>31</v>
      </c>
      <c r="AF4" s="391">
        <f>'Project Cost Monthly'!AC5</f>
        <v>30</v>
      </c>
      <c r="AG4" s="391">
        <f>'Project Cost Monthly'!AD5</f>
        <v>31</v>
      </c>
      <c r="AH4" s="391">
        <f>'Project Cost Monthly'!AE5</f>
        <v>30</v>
      </c>
      <c r="AI4" s="391">
        <f>'Project Cost Monthly'!AF5</f>
        <v>31</v>
      </c>
      <c r="AJ4" s="391">
        <f>'Project Cost Monthly'!AG5</f>
        <v>31</v>
      </c>
      <c r="AK4" s="391">
        <f>'Project Cost Monthly'!AH5</f>
        <v>29</v>
      </c>
      <c r="AL4" s="391">
        <f>'Project Cost Monthly'!AI5</f>
        <v>31</v>
      </c>
      <c r="AM4" s="391">
        <f>'Project Cost Monthly'!AJ5</f>
        <v>30</v>
      </c>
      <c r="AN4" s="391">
        <f>'Project Cost Monthly'!AK5</f>
        <v>31</v>
      </c>
      <c r="AO4" s="391">
        <f>'Project Cost Monthly'!AL5</f>
        <v>30</v>
      </c>
      <c r="AP4" s="391">
        <f>'Project Cost Monthly'!AM5</f>
        <v>31</v>
      </c>
      <c r="AQ4" s="391">
        <f>'Project Cost Monthly'!AN5</f>
        <v>31</v>
      </c>
      <c r="AR4" s="391">
        <f>'Project Cost Monthly'!AO5</f>
        <v>30</v>
      </c>
      <c r="AS4" s="391">
        <f>'Project Cost Monthly'!AP5</f>
        <v>31</v>
      </c>
      <c r="AT4" s="391">
        <f>'Project Cost Monthly'!AQ5</f>
        <v>30</v>
      </c>
      <c r="AU4" s="391">
        <f>'Project Cost Monthly'!AR5</f>
        <v>31</v>
      </c>
      <c r="AV4" s="391">
        <f>'Project Cost Monthly'!AS5</f>
        <v>31</v>
      </c>
      <c r="AW4" s="391">
        <f>'Project Cost Monthly'!AT5</f>
        <v>28</v>
      </c>
      <c r="AX4" s="391">
        <f>'Project Cost Monthly'!AU5</f>
        <v>31</v>
      </c>
      <c r="AY4" s="391">
        <f>'Project Cost Monthly'!AV5</f>
        <v>30</v>
      </c>
      <c r="AZ4" s="391">
        <f>'Project Cost Monthly'!AW5</f>
        <v>31</v>
      </c>
      <c r="BA4" s="391">
        <f>'Project Cost Monthly'!AX5</f>
        <v>30</v>
      </c>
      <c r="BB4" s="391">
        <f>'Project Cost Monthly'!AY5</f>
        <v>31</v>
      </c>
      <c r="BC4" s="391">
        <f>'Project Cost Monthly'!AZ5</f>
        <v>31</v>
      </c>
      <c r="BD4" s="391">
        <f>'Project Cost Monthly'!BA5</f>
        <v>30</v>
      </c>
      <c r="BE4" s="391">
        <f>'Project Cost Monthly'!BB5</f>
        <v>31</v>
      </c>
      <c r="BF4" s="391">
        <f>'Project Cost Monthly'!BC5</f>
        <v>30</v>
      </c>
      <c r="BG4" s="391">
        <f>'Project Cost Monthly'!BD5</f>
        <v>31</v>
      </c>
      <c r="BH4" s="391">
        <f>'Project Cost Monthly'!BE5</f>
        <v>31</v>
      </c>
      <c r="BI4" s="391">
        <f>'Project Cost Monthly'!BF5</f>
        <v>28</v>
      </c>
      <c r="BJ4" s="391">
        <f>'Project Cost Monthly'!BG5</f>
        <v>31</v>
      </c>
      <c r="BK4" s="391">
        <f>'Project Cost Monthly'!BH5</f>
        <v>30</v>
      </c>
      <c r="BL4" s="391">
        <f>'Project Cost Monthly'!BI5</f>
        <v>31</v>
      </c>
      <c r="BM4" s="391">
        <f>'Project Cost Monthly'!BJ5</f>
        <v>30</v>
      </c>
      <c r="BN4" s="391">
        <f>'Project Cost Monthly'!BK5</f>
        <v>31</v>
      </c>
      <c r="BO4" s="391">
        <f>'Project Cost Monthly'!BL5</f>
        <v>31</v>
      </c>
      <c r="BP4" s="391">
        <f>'Project Cost Monthly'!BM5</f>
        <v>30</v>
      </c>
      <c r="BQ4" s="391">
        <f>'Project Cost Monthly'!BN5</f>
        <v>31</v>
      </c>
      <c r="BR4" s="391">
        <f>'Project Cost Monthly'!BO5</f>
        <v>30</v>
      </c>
      <c r="BS4" s="391">
        <f>'Project Cost Monthly'!BP5</f>
        <v>31</v>
      </c>
      <c r="BT4" s="391">
        <f>'Project Cost Monthly'!BQ5</f>
        <v>31</v>
      </c>
      <c r="BU4" s="391">
        <f>'Project Cost Monthly'!BR5</f>
        <v>28</v>
      </c>
      <c r="BV4" s="391">
        <f>'Project Cost Monthly'!BS5</f>
        <v>31</v>
      </c>
      <c r="BW4" s="391">
        <f>'Project Cost Monthly'!BT5</f>
        <v>30</v>
      </c>
      <c r="BX4" s="391">
        <f>'Project Cost Monthly'!BU5</f>
        <v>31</v>
      </c>
      <c r="BY4" s="391">
        <f>'Project Cost Monthly'!BV5</f>
        <v>30</v>
      </c>
      <c r="BZ4" s="391">
        <f>'Project Cost Monthly'!BW5</f>
        <v>31</v>
      </c>
      <c r="CA4" s="391">
        <f>'Project Cost Monthly'!BX5</f>
        <v>31</v>
      </c>
      <c r="CB4" s="391">
        <f>'Project Cost Monthly'!BY5</f>
        <v>30</v>
      </c>
      <c r="CC4" s="391">
        <f>'Project Cost Monthly'!BZ5</f>
        <v>31</v>
      </c>
      <c r="CD4" s="391">
        <f>'Project Cost Monthly'!CA5</f>
        <v>30</v>
      </c>
      <c r="CE4" s="391">
        <f>'Project Cost Monthly'!CB5</f>
        <v>31</v>
      </c>
    </row>
    <row r="5" spans="5:85">
      <c r="L5" s="388">
        <f>'Project Cost Monthly'!I6</f>
        <v>1</v>
      </c>
      <c r="M5" s="388">
        <f>'Project Cost Monthly'!J6</f>
        <v>1</v>
      </c>
      <c r="N5" s="388">
        <f>'Project Cost Monthly'!K6</f>
        <v>1</v>
      </c>
      <c r="O5" s="388">
        <f>'Project Cost Monthly'!L6</f>
        <v>1</v>
      </c>
      <c r="P5" s="388">
        <f>'Project Cost Monthly'!M6</f>
        <v>1</v>
      </c>
      <c r="Q5" s="388">
        <f>'Project Cost Monthly'!N6</f>
        <v>1</v>
      </c>
      <c r="R5" s="388">
        <f>'Project Cost Monthly'!O6</f>
        <v>1</v>
      </c>
      <c r="S5" s="388">
        <f>'Project Cost Monthly'!P6</f>
        <v>1</v>
      </c>
      <c r="T5" s="388">
        <f>'Project Cost Monthly'!Q6</f>
        <v>1</v>
      </c>
      <c r="U5" s="388">
        <f>'Project Cost Monthly'!R6</f>
        <v>1</v>
      </c>
      <c r="V5" s="388">
        <f>'Project Cost Monthly'!S6</f>
        <v>1</v>
      </c>
      <c r="W5" s="388">
        <f>'Project Cost Monthly'!T6</f>
        <v>1</v>
      </c>
      <c r="X5" s="388">
        <f>'Project Cost Monthly'!U6</f>
        <v>2</v>
      </c>
      <c r="Y5" s="388">
        <f>'Project Cost Monthly'!V6</f>
        <v>2</v>
      </c>
      <c r="Z5" s="388">
        <f>'Project Cost Monthly'!W6</f>
        <v>2</v>
      </c>
      <c r="AA5" s="388">
        <f>'Project Cost Monthly'!X6</f>
        <v>2</v>
      </c>
      <c r="AB5" s="388">
        <f>'Project Cost Monthly'!Y6</f>
        <v>2</v>
      </c>
      <c r="AC5" s="388">
        <f>'Project Cost Monthly'!Z6</f>
        <v>2</v>
      </c>
      <c r="AD5" s="388">
        <f>'Project Cost Monthly'!AA6</f>
        <v>2</v>
      </c>
      <c r="AE5" s="388">
        <f>'Project Cost Monthly'!AB6</f>
        <v>2</v>
      </c>
      <c r="AF5" s="388">
        <f>'Project Cost Monthly'!AC6</f>
        <v>2</v>
      </c>
      <c r="AG5" s="388">
        <f>'Project Cost Monthly'!AD6</f>
        <v>2</v>
      </c>
      <c r="AH5" s="388">
        <f>'Project Cost Monthly'!AE6</f>
        <v>2</v>
      </c>
      <c r="AI5" s="388">
        <f>'Project Cost Monthly'!AF6</f>
        <v>2</v>
      </c>
      <c r="AJ5" s="388">
        <f>'Project Cost Monthly'!AG6</f>
        <v>3</v>
      </c>
      <c r="AK5" s="388">
        <f>'Project Cost Monthly'!AH6</f>
        <v>3</v>
      </c>
      <c r="AL5" s="388">
        <f>'Project Cost Monthly'!AI6</f>
        <v>3</v>
      </c>
      <c r="AM5" s="388">
        <f>'Project Cost Monthly'!AJ6</f>
        <v>3</v>
      </c>
      <c r="AN5" s="388">
        <f>'Project Cost Monthly'!AK6</f>
        <v>3</v>
      </c>
      <c r="AO5" s="388">
        <f>'Project Cost Monthly'!AL6</f>
        <v>3</v>
      </c>
      <c r="AP5" s="388">
        <f>'Project Cost Monthly'!AM6</f>
        <v>3</v>
      </c>
      <c r="AQ5" s="388">
        <f>'Project Cost Monthly'!AN6</f>
        <v>3</v>
      </c>
      <c r="AR5" s="388">
        <f>'Project Cost Monthly'!AO6</f>
        <v>3</v>
      </c>
      <c r="AS5" s="388">
        <f>'Project Cost Monthly'!AP6</f>
        <v>3</v>
      </c>
      <c r="AT5" s="388">
        <f>'Project Cost Monthly'!AQ6</f>
        <v>3</v>
      </c>
      <c r="AU5" s="388">
        <f>'Project Cost Monthly'!AR6</f>
        <v>3</v>
      </c>
      <c r="AV5" s="388">
        <f>'Project Cost Monthly'!AS6</f>
        <v>4</v>
      </c>
      <c r="AW5" s="388">
        <f>'Project Cost Monthly'!AT6</f>
        <v>4</v>
      </c>
      <c r="AX5" s="388">
        <f>'Project Cost Monthly'!AU6</f>
        <v>4</v>
      </c>
      <c r="AY5" s="388">
        <f>'Project Cost Monthly'!AV6</f>
        <v>4</v>
      </c>
      <c r="AZ5" s="388">
        <f>'Project Cost Monthly'!AW6</f>
        <v>4</v>
      </c>
      <c r="BA5" s="388">
        <f>'Project Cost Monthly'!AX6</f>
        <v>4</v>
      </c>
      <c r="BB5" s="388">
        <f>'Project Cost Monthly'!AY6</f>
        <v>4</v>
      </c>
      <c r="BC5" s="388">
        <f>'Project Cost Monthly'!AZ6</f>
        <v>4</v>
      </c>
      <c r="BD5" s="388">
        <f>'Project Cost Monthly'!BA6</f>
        <v>4</v>
      </c>
      <c r="BE5" s="388">
        <f>'Project Cost Monthly'!BB6</f>
        <v>4</v>
      </c>
      <c r="BF5" s="388">
        <f>'Project Cost Monthly'!BC6</f>
        <v>4</v>
      </c>
      <c r="BG5" s="388">
        <f>'Project Cost Monthly'!BD6</f>
        <v>4</v>
      </c>
      <c r="BH5" s="388">
        <f>'Project Cost Monthly'!BE6</f>
        <v>5</v>
      </c>
      <c r="BI5" s="388">
        <f>'Project Cost Monthly'!BF6</f>
        <v>5</v>
      </c>
      <c r="BJ5" s="388">
        <f>'Project Cost Monthly'!BG6</f>
        <v>5</v>
      </c>
      <c r="BK5" s="388">
        <f>'Project Cost Monthly'!BH6</f>
        <v>5</v>
      </c>
      <c r="BL5" s="388">
        <f>'Project Cost Monthly'!BI6</f>
        <v>5</v>
      </c>
      <c r="BM5" s="388">
        <f>'Project Cost Monthly'!BJ6</f>
        <v>5</v>
      </c>
      <c r="BN5" s="388">
        <f>'Project Cost Monthly'!BK6</f>
        <v>5</v>
      </c>
      <c r="BO5" s="388">
        <f>'Project Cost Monthly'!BL6</f>
        <v>5</v>
      </c>
      <c r="BP5" s="388">
        <f>'Project Cost Monthly'!BM6</f>
        <v>5</v>
      </c>
      <c r="BQ5" s="388">
        <f>'Project Cost Monthly'!BN6</f>
        <v>5</v>
      </c>
      <c r="BR5" s="388">
        <f>'Project Cost Monthly'!BO6</f>
        <v>5</v>
      </c>
      <c r="BS5" s="388">
        <f>'Project Cost Monthly'!BP6</f>
        <v>5</v>
      </c>
      <c r="BT5" s="388">
        <f>'Project Cost Monthly'!BQ6</f>
        <v>6</v>
      </c>
      <c r="BU5" s="388">
        <f>'Project Cost Monthly'!BR6</f>
        <v>6</v>
      </c>
      <c r="BV5" s="388">
        <f>'Project Cost Monthly'!BS6</f>
        <v>6</v>
      </c>
      <c r="BW5" s="388">
        <f>'Project Cost Monthly'!BT6</f>
        <v>6</v>
      </c>
      <c r="BX5" s="388">
        <f>'Project Cost Monthly'!BU6</f>
        <v>6</v>
      </c>
      <c r="BY5" s="388">
        <f>'Project Cost Monthly'!BV6</f>
        <v>6</v>
      </c>
      <c r="BZ5" s="388">
        <f>'Project Cost Monthly'!BW6</f>
        <v>6</v>
      </c>
      <c r="CA5" s="388">
        <f>'Project Cost Monthly'!BX6</f>
        <v>6</v>
      </c>
      <c r="CB5" s="388">
        <f>'Project Cost Monthly'!BY6</f>
        <v>6</v>
      </c>
      <c r="CC5" s="388">
        <f>'Project Cost Monthly'!BZ6</f>
        <v>6</v>
      </c>
      <c r="CD5" s="388">
        <f>'Project Cost Monthly'!CA6</f>
        <v>6</v>
      </c>
      <c r="CE5" s="388">
        <f>'Project Cost Monthly'!CB6</f>
        <v>6</v>
      </c>
    </row>
    <row r="8" spans="5:85">
      <c r="E8" s="576" t="s">
        <v>964</v>
      </c>
      <c r="F8" s="173" t="s">
        <v>217</v>
      </c>
      <c r="G8" s="174" t="s">
        <v>71</v>
      </c>
      <c r="L8" s="2"/>
      <c r="M8" s="2"/>
      <c r="N8" s="2"/>
      <c r="O8" s="2"/>
      <c r="P8" s="2"/>
      <c r="Q8" s="2"/>
      <c r="R8" s="2"/>
      <c r="S8" s="2"/>
      <c r="T8" s="2"/>
      <c r="U8" s="2"/>
      <c r="V8" s="2"/>
      <c r="W8" s="2"/>
      <c r="X8" s="2"/>
      <c r="Y8" s="2"/>
      <c r="Z8" s="2"/>
      <c r="AA8" s="2"/>
      <c r="AB8" s="2"/>
      <c r="AC8" s="2"/>
      <c r="AD8" s="2"/>
      <c r="AE8" s="2"/>
      <c r="AF8" s="2"/>
      <c r="AG8" s="2"/>
      <c r="AH8" s="2"/>
      <c r="AI8" s="2"/>
      <c r="AJ8" s="590"/>
      <c r="AK8" s="2"/>
      <c r="AL8" s="2"/>
      <c r="AM8" s="42"/>
      <c r="AN8" s="2"/>
      <c r="AO8" s="2"/>
      <c r="AP8" s="2"/>
      <c r="AQ8" s="2"/>
      <c r="AR8" s="2"/>
      <c r="AS8" s="2"/>
      <c r="AT8" s="2"/>
      <c r="AU8" s="2"/>
      <c r="AV8" s="2"/>
      <c r="AW8" s="2"/>
      <c r="AX8" s="2"/>
      <c r="AY8" s="2"/>
      <c r="AZ8" s="2"/>
      <c r="BA8" s="2"/>
      <c r="BB8" s="2"/>
      <c r="BC8" s="42"/>
      <c r="BD8" s="42"/>
      <c r="BE8" s="2"/>
      <c r="BF8" s="2"/>
      <c r="BG8" s="2"/>
      <c r="BH8" s="2"/>
      <c r="BI8" s="2"/>
      <c r="BJ8" s="2"/>
      <c r="BK8" s="2"/>
      <c r="BL8" s="2"/>
      <c r="BM8" s="2"/>
      <c r="BN8" s="2"/>
      <c r="BO8" s="2"/>
      <c r="BP8" s="2"/>
      <c r="BQ8" s="2"/>
      <c r="BR8" s="2"/>
      <c r="BS8" s="2"/>
      <c r="BT8" s="2"/>
      <c r="BU8" s="2"/>
      <c r="BV8" s="2"/>
      <c r="BW8" s="2"/>
      <c r="BX8" s="2"/>
      <c r="BY8" s="2"/>
      <c r="BZ8" s="2"/>
      <c r="CA8" s="2"/>
      <c r="CB8" s="2"/>
      <c r="CC8" s="2"/>
      <c r="CD8" s="2"/>
      <c r="CE8" s="2"/>
    </row>
    <row r="9" spans="5:85">
      <c r="E9" s="175"/>
      <c r="F9" s="582" t="s">
        <v>44</v>
      </c>
      <c r="G9" s="176"/>
      <c r="L9" s="2"/>
      <c r="M9" s="2"/>
      <c r="N9" s="2"/>
      <c r="O9" s="2"/>
      <c r="P9" s="2"/>
      <c r="Q9" s="2"/>
      <c r="R9" s="2"/>
      <c r="S9" s="2"/>
      <c r="T9" s="2"/>
      <c r="U9" s="2"/>
      <c r="V9" s="2"/>
      <c r="W9" s="2"/>
      <c r="X9" s="2"/>
      <c r="Y9" s="2"/>
      <c r="Z9" s="2"/>
      <c r="AA9" s="2"/>
      <c r="AB9" s="2"/>
      <c r="AC9" s="9"/>
      <c r="AD9" s="2"/>
      <c r="AE9" s="2"/>
      <c r="AF9" s="2"/>
      <c r="AG9" s="2"/>
      <c r="AH9" s="2"/>
      <c r="AI9" s="2"/>
      <c r="AJ9" s="2"/>
      <c r="AK9" s="2"/>
      <c r="AL9" s="2"/>
      <c r="AM9" s="42"/>
      <c r="AN9" s="2"/>
      <c r="AO9" s="2"/>
      <c r="AP9" s="2"/>
      <c r="AQ9" s="2"/>
      <c r="AR9" s="2"/>
      <c r="AS9" s="2"/>
      <c r="AT9" s="2"/>
      <c r="AU9" s="507"/>
      <c r="AV9" s="2"/>
      <c r="AW9" s="2"/>
      <c r="AX9" s="2"/>
      <c r="AY9" s="2"/>
      <c r="AZ9" s="2"/>
      <c r="BA9" s="2"/>
      <c r="BB9" s="2"/>
      <c r="BC9" s="42"/>
      <c r="BD9" s="42"/>
      <c r="BE9" s="2"/>
      <c r="BF9" s="2"/>
      <c r="BG9" s="2"/>
      <c r="BH9" s="2"/>
      <c r="BI9" s="2"/>
      <c r="BJ9" s="2"/>
      <c r="BK9" s="2"/>
      <c r="BL9" s="2"/>
      <c r="BM9" s="2"/>
      <c r="BN9" s="2"/>
      <c r="BO9" s="2"/>
      <c r="BP9" s="2"/>
      <c r="BQ9" s="2"/>
      <c r="BR9" s="2"/>
      <c r="BS9" s="2"/>
      <c r="BT9" s="2"/>
      <c r="BU9" s="2"/>
      <c r="BV9" s="2"/>
      <c r="BW9" s="2"/>
      <c r="BX9" s="2"/>
      <c r="BY9" s="2"/>
      <c r="BZ9" s="2"/>
      <c r="CA9" s="2"/>
      <c r="CB9" s="2"/>
      <c r="CC9" s="2"/>
      <c r="CD9" s="2"/>
      <c r="CE9" s="2"/>
    </row>
    <row r="10" spans="5:85">
      <c r="E10" s="177" t="s">
        <v>118</v>
      </c>
      <c r="F10" s="118">
        <v>15755000</v>
      </c>
      <c r="G10" s="178">
        <v>0.99999999999999989</v>
      </c>
      <c r="J10">
        <v>1</v>
      </c>
      <c r="L10" s="106">
        <v>0</v>
      </c>
      <c r="M10" s="106">
        <v>0</v>
      </c>
      <c r="N10" s="106">
        <v>0</v>
      </c>
      <c r="O10" s="106">
        <v>0</v>
      </c>
      <c r="P10" s="106">
        <v>0</v>
      </c>
      <c r="Q10" s="106">
        <v>0</v>
      </c>
      <c r="R10" s="106">
        <v>0</v>
      </c>
      <c r="S10" s="106">
        <v>0</v>
      </c>
      <c r="T10" s="106">
        <v>0</v>
      </c>
      <c r="U10" s="106">
        <v>0</v>
      </c>
      <c r="V10" s="106">
        <v>0</v>
      </c>
      <c r="W10" s="106">
        <v>0</v>
      </c>
      <c r="X10" s="106">
        <v>0</v>
      </c>
      <c r="Y10" s="106">
        <v>0</v>
      </c>
      <c r="Z10" s="106">
        <v>0</v>
      </c>
      <c r="AA10" s="106">
        <v>0</v>
      </c>
      <c r="AB10" s="106">
        <v>0</v>
      </c>
      <c r="AC10" s="2495">
        <v>0.02</v>
      </c>
      <c r="AD10" s="2495">
        <v>0.02</v>
      </c>
      <c r="AE10" s="2495">
        <v>0.02</v>
      </c>
      <c r="AF10" s="2495">
        <v>0.02</v>
      </c>
      <c r="AG10" s="2495">
        <v>0.02</v>
      </c>
      <c r="AH10" s="2495">
        <v>0.02</v>
      </c>
      <c r="AI10" s="2495">
        <v>0.03</v>
      </c>
      <c r="AJ10" s="2495">
        <v>0.05</v>
      </c>
      <c r="AK10" s="2495">
        <v>0.05</v>
      </c>
      <c r="AL10" s="2495">
        <v>0.05</v>
      </c>
      <c r="AM10" s="2495">
        <v>0.05</v>
      </c>
      <c r="AN10" s="2495">
        <v>0.05</v>
      </c>
      <c r="AO10" s="2495">
        <v>0.05</v>
      </c>
      <c r="AP10" s="2495">
        <v>0.05</v>
      </c>
      <c r="AQ10" s="2495">
        <v>0.1</v>
      </c>
      <c r="AR10" s="2495">
        <v>0.1</v>
      </c>
      <c r="AS10" s="2495">
        <v>0.1</v>
      </c>
      <c r="AT10" s="2495">
        <v>0.1</v>
      </c>
      <c r="AU10" s="2495">
        <v>0.1</v>
      </c>
      <c r="AV10" s="106">
        <v>0</v>
      </c>
      <c r="AW10" s="106">
        <v>0</v>
      </c>
      <c r="AX10" s="106">
        <v>0</v>
      </c>
      <c r="AY10" s="106">
        <v>0</v>
      </c>
      <c r="AZ10" s="106">
        <v>0</v>
      </c>
      <c r="BA10" s="106">
        <v>0</v>
      </c>
      <c r="BB10" s="106">
        <v>0</v>
      </c>
      <c r="BC10" s="106">
        <v>0</v>
      </c>
      <c r="BD10" s="106">
        <v>0</v>
      </c>
      <c r="BE10" s="106">
        <v>0</v>
      </c>
      <c r="BF10" s="106">
        <v>0</v>
      </c>
      <c r="BG10" s="106">
        <v>0</v>
      </c>
      <c r="BH10" s="106">
        <v>0</v>
      </c>
      <c r="BI10" s="106">
        <v>0</v>
      </c>
      <c r="BJ10" s="106">
        <v>0</v>
      </c>
      <c r="BK10" s="106">
        <v>0</v>
      </c>
      <c r="BL10" s="106">
        <v>0</v>
      </c>
      <c r="BM10" s="106">
        <v>0</v>
      </c>
      <c r="BN10" s="106">
        <v>0</v>
      </c>
      <c r="BO10" s="106">
        <v>0</v>
      </c>
      <c r="BP10" s="106">
        <v>0</v>
      </c>
      <c r="BQ10" s="106">
        <v>0</v>
      </c>
      <c r="BR10" s="106">
        <v>0</v>
      </c>
      <c r="BS10" s="106">
        <v>0</v>
      </c>
      <c r="BT10" s="106">
        <v>0</v>
      </c>
      <c r="BU10" s="106">
        <v>0</v>
      </c>
      <c r="BV10" s="106">
        <v>0</v>
      </c>
      <c r="BW10" s="106">
        <v>0</v>
      </c>
      <c r="BX10" s="106">
        <v>0</v>
      </c>
      <c r="BY10" s="106">
        <v>0</v>
      </c>
      <c r="BZ10" s="106">
        <v>0</v>
      </c>
      <c r="CA10" s="106">
        <v>0</v>
      </c>
      <c r="CB10" s="106">
        <v>0</v>
      </c>
      <c r="CC10" s="106">
        <v>0</v>
      </c>
      <c r="CD10" s="106">
        <v>0</v>
      </c>
      <c r="CE10" s="106">
        <v>0</v>
      </c>
      <c r="CG10" s="973">
        <f>SUM(L10:CE10)</f>
        <v>0.99999999999999989</v>
      </c>
    </row>
    <row r="11" spans="5:85">
      <c r="E11" s="177" t="s">
        <v>2037</v>
      </c>
      <c r="F11" s="118">
        <v>813302450</v>
      </c>
      <c r="G11" s="178">
        <v>0.99999999999999989</v>
      </c>
      <c r="L11" s="106">
        <v>0</v>
      </c>
      <c r="M11" s="106">
        <v>0</v>
      </c>
      <c r="N11" s="106">
        <v>0</v>
      </c>
      <c r="O11" s="106">
        <v>0</v>
      </c>
      <c r="P11" s="106">
        <v>0</v>
      </c>
      <c r="Q11" s="106">
        <v>0</v>
      </c>
      <c r="R11" s="106">
        <v>0</v>
      </c>
      <c r="S11" s="106">
        <v>0</v>
      </c>
      <c r="T11" s="106">
        <v>0</v>
      </c>
      <c r="U11" s="106">
        <v>0</v>
      </c>
      <c r="V11" s="106">
        <v>0</v>
      </c>
      <c r="W11" s="106">
        <v>0</v>
      </c>
      <c r="X11" s="106">
        <v>0</v>
      </c>
      <c r="Y11" s="106">
        <v>0</v>
      </c>
      <c r="Z11" s="106">
        <v>0</v>
      </c>
      <c r="AA11" s="106">
        <v>0</v>
      </c>
      <c r="AB11" s="106">
        <v>0</v>
      </c>
      <c r="AC11" s="2495">
        <v>0.02</v>
      </c>
      <c r="AD11" s="2495">
        <v>0.02</v>
      </c>
      <c r="AE11" s="2495">
        <v>0.02</v>
      </c>
      <c r="AF11" s="2495">
        <v>0.02</v>
      </c>
      <c r="AG11" s="2495">
        <v>0.02</v>
      </c>
      <c r="AH11" s="2495">
        <v>0.02</v>
      </c>
      <c r="AI11" s="2495">
        <v>0.03</v>
      </c>
      <c r="AJ11" s="2495">
        <v>0.05</v>
      </c>
      <c r="AK11" s="2495">
        <v>0.05</v>
      </c>
      <c r="AL11" s="2495">
        <v>0.05</v>
      </c>
      <c r="AM11" s="2495">
        <v>0.05</v>
      </c>
      <c r="AN11" s="2495">
        <v>0.05</v>
      </c>
      <c r="AO11" s="2495">
        <v>0.05</v>
      </c>
      <c r="AP11" s="2495">
        <v>0.05</v>
      </c>
      <c r="AQ11" s="2495">
        <v>0.1</v>
      </c>
      <c r="AR11" s="2495">
        <v>0.1</v>
      </c>
      <c r="AS11" s="2495">
        <v>0.1</v>
      </c>
      <c r="AT11" s="2495">
        <v>0.1</v>
      </c>
      <c r="AU11" s="2495">
        <v>0.1</v>
      </c>
      <c r="AV11" s="106">
        <v>0</v>
      </c>
      <c r="AW11" s="106">
        <v>0</v>
      </c>
      <c r="AX11" s="106">
        <v>0</v>
      </c>
      <c r="AY11" s="106">
        <v>0</v>
      </c>
      <c r="AZ11" s="106">
        <v>0</v>
      </c>
      <c r="BA11" s="106">
        <v>0</v>
      </c>
      <c r="BB11" s="106">
        <v>0</v>
      </c>
      <c r="BC11" s="106">
        <v>0</v>
      </c>
      <c r="BD11" s="106">
        <v>0</v>
      </c>
      <c r="BE11" s="106">
        <v>0</v>
      </c>
      <c r="BF11" s="106">
        <v>0</v>
      </c>
      <c r="BG11" s="106">
        <v>0</v>
      </c>
      <c r="BH11" s="106">
        <v>0</v>
      </c>
      <c r="BI11" s="106">
        <v>0</v>
      </c>
      <c r="BJ11" s="106">
        <v>0</v>
      </c>
      <c r="BK11" s="106">
        <v>0</v>
      </c>
      <c r="BL11" s="106">
        <v>0</v>
      </c>
      <c r="BM11" s="106">
        <v>0</v>
      </c>
      <c r="BN11" s="106">
        <v>0</v>
      </c>
      <c r="BO11" s="106">
        <v>0</v>
      </c>
      <c r="BP11" s="106">
        <v>0</v>
      </c>
      <c r="BQ11" s="106">
        <v>0</v>
      </c>
      <c r="BR11" s="106">
        <v>0</v>
      </c>
      <c r="BS11" s="106">
        <v>0</v>
      </c>
      <c r="BT11" s="106">
        <v>0</v>
      </c>
      <c r="BU11" s="106">
        <v>0</v>
      </c>
      <c r="BV11" s="106">
        <v>0</v>
      </c>
      <c r="BW11" s="106">
        <v>0</v>
      </c>
      <c r="BX11" s="106">
        <v>0</v>
      </c>
      <c r="BY11" s="106">
        <v>0</v>
      </c>
      <c r="BZ11" s="106">
        <v>0</v>
      </c>
      <c r="CA11" s="106">
        <v>0</v>
      </c>
      <c r="CB11" s="106">
        <v>0</v>
      </c>
      <c r="CC11" s="106">
        <v>0</v>
      </c>
      <c r="CD11" s="106">
        <v>0</v>
      </c>
      <c r="CE11" s="106">
        <v>0</v>
      </c>
      <c r="CG11" s="973">
        <f t="shared" ref="CG11:CG17" si="0">SUM(L11:CE11)</f>
        <v>0.99999999999999989</v>
      </c>
    </row>
    <row r="12" spans="5:85">
      <c r="E12" s="177" t="s">
        <v>657</v>
      </c>
      <c r="F12" s="118">
        <v>31862000</v>
      </c>
      <c r="G12" s="178">
        <v>0.99999999999999989</v>
      </c>
      <c r="L12" s="106">
        <v>0</v>
      </c>
      <c r="M12" s="106">
        <v>0</v>
      </c>
      <c r="N12" s="106">
        <v>0</v>
      </c>
      <c r="O12" s="106">
        <v>0</v>
      </c>
      <c r="P12" s="106">
        <v>0</v>
      </c>
      <c r="Q12" s="106">
        <v>0</v>
      </c>
      <c r="R12" s="106">
        <v>0</v>
      </c>
      <c r="S12" s="106">
        <v>0</v>
      </c>
      <c r="T12" s="106">
        <v>0</v>
      </c>
      <c r="U12" s="106">
        <v>0</v>
      </c>
      <c r="V12" s="106">
        <v>0</v>
      </c>
      <c r="W12" s="106">
        <v>0</v>
      </c>
      <c r="X12" s="106">
        <v>0</v>
      </c>
      <c r="Y12" s="106">
        <v>0</v>
      </c>
      <c r="Z12" s="106">
        <v>0</v>
      </c>
      <c r="AA12" s="106">
        <v>0</v>
      </c>
      <c r="AB12" s="106">
        <v>0</v>
      </c>
      <c r="AC12" s="2495">
        <v>0.02</v>
      </c>
      <c r="AD12" s="2495">
        <v>0.02</v>
      </c>
      <c r="AE12" s="2495">
        <v>0.02</v>
      </c>
      <c r="AF12" s="2495">
        <v>0.02</v>
      </c>
      <c r="AG12" s="2495">
        <v>0.02</v>
      </c>
      <c r="AH12" s="2495">
        <v>0.02</v>
      </c>
      <c r="AI12" s="2495">
        <v>0.03</v>
      </c>
      <c r="AJ12" s="2495">
        <v>0.05</v>
      </c>
      <c r="AK12" s="2495">
        <v>0.05</v>
      </c>
      <c r="AL12" s="2495">
        <v>0.05</v>
      </c>
      <c r="AM12" s="2495">
        <v>0.05</v>
      </c>
      <c r="AN12" s="2495">
        <v>0.05</v>
      </c>
      <c r="AO12" s="2495">
        <v>0.05</v>
      </c>
      <c r="AP12" s="2495">
        <v>0.05</v>
      </c>
      <c r="AQ12" s="2495">
        <v>0.1</v>
      </c>
      <c r="AR12" s="2495">
        <v>0.1</v>
      </c>
      <c r="AS12" s="2495">
        <v>0.1</v>
      </c>
      <c r="AT12" s="2495">
        <v>0.1</v>
      </c>
      <c r="AU12" s="2495">
        <v>0.1</v>
      </c>
      <c r="AV12" s="106">
        <v>0</v>
      </c>
      <c r="AW12" s="106">
        <v>0</v>
      </c>
      <c r="AX12" s="106">
        <v>0</v>
      </c>
      <c r="AY12" s="106">
        <v>0</v>
      </c>
      <c r="AZ12" s="106">
        <v>0</v>
      </c>
      <c r="BA12" s="106">
        <v>0</v>
      </c>
      <c r="BB12" s="106">
        <v>0</v>
      </c>
      <c r="BC12" s="106">
        <v>0</v>
      </c>
      <c r="BD12" s="106">
        <v>0</v>
      </c>
      <c r="BE12" s="106">
        <v>0</v>
      </c>
      <c r="BF12" s="106">
        <v>0</v>
      </c>
      <c r="BG12" s="106">
        <v>0</v>
      </c>
      <c r="BH12" s="106">
        <v>0</v>
      </c>
      <c r="BI12" s="106">
        <v>0</v>
      </c>
      <c r="BJ12" s="106">
        <v>0</v>
      </c>
      <c r="BK12" s="106">
        <v>0</v>
      </c>
      <c r="BL12" s="106">
        <v>0</v>
      </c>
      <c r="BM12" s="106">
        <v>0</v>
      </c>
      <c r="BN12" s="106">
        <v>0</v>
      </c>
      <c r="BO12" s="106">
        <v>0</v>
      </c>
      <c r="BP12" s="106">
        <v>0</v>
      </c>
      <c r="BQ12" s="106">
        <v>0</v>
      </c>
      <c r="BR12" s="106">
        <v>0</v>
      </c>
      <c r="BS12" s="106">
        <v>0</v>
      </c>
      <c r="BT12" s="106">
        <v>0</v>
      </c>
      <c r="BU12" s="106">
        <v>0</v>
      </c>
      <c r="BV12" s="106">
        <v>0</v>
      </c>
      <c r="BW12" s="106">
        <v>0</v>
      </c>
      <c r="BX12" s="106">
        <v>0</v>
      </c>
      <c r="BY12" s="106">
        <v>0</v>
      </c>
      <c r="BZ12" s="106">
        <v>0</v>
      </c>
      <c r="CA12" s="106">
        <v>0</v>
      </c>
      <c r="CB12" s="106">
        <v>0</v>
      </c>
      <c r="CC12" s="106">
        <v>0</v>
      </c>
      <c r="CD12" s="106">
        <v>0</v>
      </c>
      <c r="CE12" s="106">
        <v>0</v>
      </c>
      <c r="CG12" s="973">
        <f t="shared" si="0"/>
        <v>0.99999999999999989</v>
      </c>
    </row>
    <row r="13" spans="5:85">
      <c r="E13" s="177" t="s">
        <v>119</v>
      </c>
      <c r="F13" s="118">
        <v>54650600</v>
      </c>
      <c r="G13" s="178">
        <v>0.99999999999999989</v>
      </c>
      <c r="L13" s="106">
        <v>0</v>
      </c>
      <c r="M13" s="106">
        <v>0</v>
      </c>
      <c r="N13" s="106">
        <v>0</v>
      </c>
      <c r="O13" s="106">
        <v>0</v>
      </c>
      <c r="P13" s="106">
        <v>0</v>
      </c>
      <c r="Q13" s="106">
        <v>0</v>
      </c>
      <c r="R13" s="106">
        <v>0</v>
      </c>
      <c r="S13" s="106">
        <v>0</v>
      </c>
      <c r="T13" s="106">
        <v>0</v>
      </c>
      <c r="U13" s="106">
        <v>0</v>
      </c>
      <c r="V13" s="106">
        <v>0</v>
      </c>
      <c r="W13" s="106">
        <v>0</v>
      </c>
      <c r="X13" s="106">
        <v>0</v>
      </c>
      <c r="Y13" s="106">
        <v>0</v>
      </c>
      <c r="Z13" s="106">
        <v>0</v>
      </c>
      <c r="AA13" s="106">
        <v>0</v>
      </c>
      <c r="AB13" s="106">
        <v>0</v>
      </c>
      <c r="AC13" s="2495">
        <v>0.02</v>
      </c>
      <c r="AD13" s="2495">
        <v>0.02</v>
      </c>
      <c r="AE13" s="2495">
        <v>0.02</v>
      </c>
      <c r="AF13" s="2495">
        <v>0.02</v>
      </c>
      <c r="AG13" s="2495">
        <v>0.02</v>
      </c>
      <c r="AH13" s="2495">
        <v>0.02</v>
      </c>
      <c r="AI13" s="2495">
        <v>0.03</v>
      </c>
      <c r="AJ13" s="2495">
        <v>0.05</v>
      </c>
      <c r="AK13" s="2495">
        <v>0.05</v>
      </c>
      <c r="AL13" s="2495">
        <v>0.05</v>
      </c>
      <c r="AM13" s="2495">
        <v>0.05</v>
      </c>
      <c r="AN13" s="2495">
        <v>0.05</v>
      </c>
      <c r="AO13" s="2495">
        <v>0.05</v>
      </c>
      <c r="AP13" s="2495">
        <v>0.05</v>
      </c>
      <c r="AQ13" s="2495">
        <v>0.1</v>
      </c>
      <c r="AR13" s="2495">
        <v>0.1</v>
      </c>
      <c r="AS13" s="2495">
        <v>0.1</v>
      </c>
      <c r="AT13" s="2495">
        <v>0.1</v>
      </c>
      <c r="AU13" s="2495">
        <v>0.1</v>
      </c>
      <c r="AV13" s="106">
        <v>0</v>
      </c>
      <c r="AW13" s="106">
        <v>0</v>
      </c>
      <c r="AX13" s="106">
        <v>0</v>
      </c>
      <c r="AY13" s="106">
        <v>0</v>
      </c>
      <c r="AZ13" s="106">
        <v>0</v>
      </c>
      <c r="BA13" s="106">
        <v>0</v>
      </c>
      <c r="BB13" s="106">
        <v>0</v>
      </c>
      <c r="BC13" s="106">
        <v>0</v>
      </c>
      <c r="BD13" s="106">
        <v>0</v>
      </c>
      <c r="BE13" s="106">
        <v>0</v>
      </c>
      <c r="BF13" s="106">
        <v>0</v>
      </c>
      <c r="BG13" s="106">
        <v>0</v>
      </c>
      <c r="BH13" s="106">
        <v>0</v>
      </c>
      <c r="BI13" s="106">
        <v>0</v>
      </c>
      <c r="BJ13" s="106">
        <v>0</v>
      </c>
      <c r="BK13" s="106">
        <v>0</v>
      </c>
      <c r="BL13" s="106">
        <v>0</v>
      </c>
      <c r="BM13" s="106">
        <v>0</v>
      </c>
      <c r="BN13" s="106">
        <v>0</v>
      </c>
      <c r="BO13" s="106">
        <v>0</v>
      </c>
      <c r="BP13" s="106">
        <v>0</v>
      </c>
      <c r="BQ13" s="106">
        <v>0</v>
      </c>
      <c r="BR13" s="106">
        <v>0</v>
      </c>
      <c r="BS13" s="106">
        <v>0</v>
      </c>
      <c r="BT13" s="106">
        <v>0</v>
      </c>
      <c r="BU13" s="106">
        <v>0</v>
      </c>
      <c r="BV13" s="106">
        <v>0</v>
      </c>
      <c r="BW13" s="106">
        <v>0</v>
      </c>
      <c r="BX13" s="106">
        <v>0</v>
      </c>
      <c r="BY13" s="106">
        <v>0</v>
      </c>
      <c r="BZ13" s="106">
        <v>0</v>
      </c>
      <c r="CA13" s="106">
        <v>0</v>
      </c>
      <c r="CB13" s="106">
        <v>0</v>
      </c>
      <c r="CC13" s="106">
        <v>0</v>
      </c>
      <c r="CD13" s="106">
        <v>0</v>
      </c>
      <c r="CE13" s="106">
        <v>0</v>
      </c>
      <c r="CG13" s="973">
        <f t="shared" si="0"/>
        <v>0.99999999999999989</v>
      </c>
    </row>
    <row r="14" spans="5:85">
      <c r="E14" s="177" t="s">
        <v>122</v>
      </c>
      <c r="F14" s="118">
        <v>105831500</v>
      </c>
      <c r="G14" s="178">
        <v>0.99999999999999989</v>
      </c>
      <c r="L14" s="106">
        <v>0</v>
      </c>
      <c r="M14" s="106">
        <v>0</v>
      </c>
      <c r="N14" s="106">
        <v>0</v>
      </c>
      <c r="O14" s="106">
        <v>0</v>
      </c>
      <c r="P14" s="106">
        <v>0</v>
      </c>
      <c r="Q14" s="106">
        <v>0</v>
      </c>
      <c r="R14" s="106">
        <v>0</v>
      </c>
      <c r="S14" s="106">
        <v>0</v>
      </c>
      <c r="T14" s="106">
        <v>0</v>
      </c>
      <c r="U14" s="106">
        <v>0</v>
      </c>
      <c r="V14" s="106">
        <v>0</v>
      </c>
      <c r="W14" s="106">
        <v>0</v>
      </c>
      <c r="X14" s="106">
        <v>0</v>
      </c>
      <c r="Y14" s="106">
        <v>0</v>
      </c>
      <c r="Z14" s="106">
        <v>0</v>
      </c>
      <c r="AA14" s="106">
        <v>0</v>
      </c>
      <c r="AB14" s="106">
        <v>0</v>
      </c>
      <c r="AC14" s="2495">
        <v>0.02</v>
      </c>
      <c r="AD14" s="2495">
        <v>0.02</v>
      </c>
      <c r="AE14" s="2495">
        <v>0.02</v>
      </c>
      <c r="AF14" s="2495">
        <v>0.02</v>
      </c>
      <c r="AG14" s="2495">
        <v>0.02</v>
      </c>
      <c r="AH14" s="2495">
        <v>0.02</v>
      </c>
      <c r="AI14" s="2495">
        <v>0.03</v>
      </c>
      <c r="AJ14" s="2495">
        <v>0.05</v>
      </c>
      <c r="AK14" s="2495">
        <v>0.05</v>
      </c>
      <c r="AL14" s="2495">
        <v>0.05</v>
      </c>
      <c r="AM14" s="2495">
        <v>0.05</v>
      </c>
      <c r="AN14" s="2495">
        <v>0.05</v>
      </c>
      <c r="AO14" s="2495">
        <v>0.05</v>
      </c>
      <c r="AP14" s="2495">
        <v>0.05</v>
      </c>
      <c r="AQ14" s="2495">
        <v>0.1</v>
      </c>
      <c r="AR14" s="2495">
        <v>0.1</v>
      </c>
      <c r="AS14" s="2495">
        <v>0.1</v>
      </c>
      <c r="AT14" s="2495">
        <v>0.1</v>
      </c>
      <c r="AU14" s="2495">
        <v>0.1</v>
      </c>
      <c r="AV14" s="106">
        <v>0</v>
      </c>
      <c r="AW14" s="106">
        <v>0</v>
      </c>
      <c r="AX14" s="106">
        <v>0</v>
      </c>
      <c r="AY14" s="106">
        <v>0</v>
      </c>
      <c r="AZ14" s="106">
        <v>0</v>
      </c>
      <c r="BA14" s="106">
        <v>0</v>
      </c>
      <c r="BB14" s="106">
        <v>0</v>
      </c>
      <c r="BC14" s="106">
        <v>0</v>
      </c>
      <c r="BD14" s="106">
        <v>0</v>
      </c>
      <c r="BE14" s="106">
        <v>0</v>
      </c>
      <c r="BF14" s="106">
        <v>0</v>
      </c>
      <c r="BG14" s="106">
        <v>0</v>
      </c>
      <c r="BH14" s="106">
        <v>0</v>
      </c>
      <c r="BI14" s="106">
        <v>0</v>
      </c>
      <c r="BJ14" s="106">
        <v>0</v>
      </c>
      <c r="BK14" s="106">
        <v>0</v>
      </c>
      <c r="BL14" s="106">
        <v>0</v>
      </c>
      <c r="BM14" s="106">
        <v>0</v>
      </c>
      <c r="BN14" s="106">
        <v>0</v>
      </c>
      <c r="BO14" s="106">
        <v>0</v>
      </c>
      <c r="BP14" s="106">
        <v>0</v>
      </c>
      <c r="BQ14" s="106">
        <v>0</v>
      </c>
      <c r="BR14" s="106">
        <v>0</v>
      </c>
      <c r="BS14" s="106">
        <v>0</v>
      </c>
      <c r="BT14" s="106">
        <v>0</v>
      </c>
      <c r="BU14" s="106">
        <v>0</v>
      </c>
      <c r="BV14" s="106">
        <v>0</v>
      </c>
      <c r="BW14" s="106">
        <v>0</v>
      </c>
      <c r="BX14" s="106">
        <v>0</v>
      </c>
      <c r="BY14" s="106">
        <v>0</v>
      </c>
      <c r="BZ14" s="106">
        <v>0</v>
      </c>
      <c r="CA14" s="106">
        <v>0</v>
      </c>
      <c r="CB14" s="106">
        <v>0</v>
      </c>
      <c r="CC14" s="106">
        <v>0</v>
      </c>
      <c r="CD14" s="106">
        <v>0</v>
      </c>
      <c r="CE14" s="106">
        <v>0</v>
      </c>
      <c r="CG14" s="973">
        <f t="shared" si="0"/>
        <v>0.99999999999999989</v>
      </c>
    </row>
    <row r="15" spans="5:85">
      <c r="E15" s="177" t="s">
        <v>120</v>
      </c>
      <c r="F15" s="118">
        <v>79524800</v>
      </c>
      <c r="G15" s="178">
        <v>0.99999999999999989</v>
      </c>
      <c r="L15" s="106">
        <v>0</v>
      </c>
      <c r="M15" s="106">
        <v>0</v>
      </c>
      <c r="N15" s="106">
        <v>0</v>
      </c>
      <c r="O15" s="106">
        <v>0</v>
      </c>
      <c r="P15" s="106">
        <v>0</v>
      </c>
      <c r="Q15" s="106">
        <v>0</v>
      </c>
      <c r="R15" s="106">
        <v>0</v>
      </c>
      <c r="S15" s="106">
        <v>0</v>
      </c>
      <c r="T15" s="106">
        <v>0</v>
      </c>
      <c r="U15" s="106">
        <v>0</v>
      </c>
      <c r="V15" s="106">
        <v>0</v>
      </c>
      <c r="W15" s="106">
        <v>0</v>
      </c>
      <c r="X15" s="106">
        <v>0</v>
      </c>
      <c r="Y15" s="106">
        <v>0</v>
      </c>
      <c r="Z15" s="106">
        <v>0</v>
      </c>
      <c r="AA15" s="106">
        <v>0</v>
      </c>
      <c r="AB15" s="106">
        <v>0</v>
      </c>
      <c r="AC15" s="2495">
        <v>0.02</v>
      </c>
      <c r="AD15" s="2495">
        <v>0.02</v>
      </c>
      <c r="AE15" s="2495">
        <v>0.02</v>
      </c>
      <c r="AF15" s="2495">
        <v>0.02</v>
      </c>
      <c r="AG15" s="2495">
        <v>0.02</v>
      </c>
      <c r="AH15" s="2495">
        <v>0.02</v>
      </c>
      <c r="AI15" s="2495">
        <v>0.03</v>
      </c>
      <c r="AJ15" s="2495">
        <v>0.05</v>
      </c>
      <c r="AK15" s="2495">
        <v>0.05</v>
      </c>
      <c r="AL15" s="2495">
        <v>0.05</v>
      </c>
      <c r="AM15" s="2495">
        <v>0.05</v>
      </c>
      <c r="AN15" s="2495">
        <v>0.05</v>
      </c>
      <c r="AO15" s="2495">
        <v>0.05</v>
      </c>
      <c r="AP15" s="2495">
        <v>0.05</v>
      </c>
      <c r="AQ15" s="2495">
        <v>0.1</v>
      </c>
      <c r="AR15" s="2495">
        <v>0.1</v>
      </c>
      <c r="AS15" s="2495">
        <v>0.1</v>
      </c>
      <c r="AT15" s="2495">
        <v>0.1</v>
      </c>
      <c r="AU15" s="2495">
        <v>0.1</v>
      </c>
      <c r="AV15" s="106">
        <v>0</v>
      </c>
      <c r="AW15" s="106">
        <v>0</v>
      </c>
      <c r="AX15" s="106">
        <v>0</v>
      </c>
      <c r="AY15" s="106">
        <v>0</v>
      </c>
      <c r="AZ15" s="106">
        <v>0</v>
      </c>
      <c r="BA15" s="106">
        <v>0</v>
      </c>
      <c r="BB15" s="106">
        <v>0</v>
      </c>
      <c r="BC15" s="106">
        <v>0</v>
      </c>
      <c r="BD15" s="106">
        <v>0</v>
      </c>
      <c r="BE15" s="106">
        <v>0</v>
      </c>
      <c r="BF15" s="106">
        <v>0</v>
      </c>
      <c r="BG15" s="106">
        <v>0</v>
      </c>
      <c r="BH15" s="106">
        <v>0</v>
      </c>
      <c r="BI15" s="106">
        <v>0</v>
      </c>
      <c r="BJ15" s="106">
        <v>0</v>
      </c>
      <c r="BK15" s="106">
        <v>0</v>
      </c>
      <c r="BL15" s="106">
        <v>0</v>
      </c>
      <c r="BM15" s="106">
        <v>0</v>
      </c>
      <c r="BN15" s="106">
        <v>0</v>
      </c>
      <c r="BO15" s="106">
        <v>0</v>
      </c>
      <c r="BP15" s="106">
        <v>0</v>
      </c>
      <c r="BQ15" s="106">
        <v>0</v>
      </c>
      <c r="BR15" s="106">
        <v>0</v>
      </c>
      <c r="BS15" s="106">
        <v>0</v>
      </c>
      <c r="BT15" s="106">
        <v>0</v>
      </c>
      <c r="BU15" s="106">
        <v>0</v>
      </c>
      <c r="BV15" s="106">
        <v>0</v>
      </c>
      <c r="BW15" s="106">
        <v>0</v>
      </c>
      <c r="BX15" s="106">
        <v>0</v>
      </c>
      <c r="BY15" s="106">
        <v>0</v>
      </c>
      <c r="BZ15" s="106">
        <v>0</v>
      </c>
      <c r="CA15" s="106">
        <v>0</v>
      </c>
      <c r="CB15" s="106">
        <v>0</v>
      </c>
      <c r="CC15" s="106">
        <v>0</v>
      </c>
      <c r="CD15" s="106">
        <v>0</v>
      </c>
      <c r="CE15" s="106">
        <v>0</v>
      </c>
      <c r="CG15" s="973">
        <f t="shared" si="0"/>
        <v>0.99999999999999989</v>
      </c>
    </row>
    <row r="16" spans="5:85">
      <c r="E16" s="179" t="s">
        <v>121</v>
      </c>
      <c r="F16" s="118">
        <v>1100926350</v>
      </c>
      <c r="G16" s="178">
        <v>0</v>
      </c>
      <c r="L16" s="106"/>
      <c r="M16" s="106"/>
      <c r="N16" s="106"/>
      <c r="O16" s="106"/>
      <c r="P16" s="106"/>
      <c r="Q16" s="106"/>
      <c r="R16" s="106"/>
      <c r="S16" s="106"/>
      <c r="T16" s="106"/>
      <c r="U16" s="106"/>
      <c r="V16" s="106"/>
      <c r="W16" s="106"/>
      <c r="X16" s="106"/>
      <c r="Y16" s="106"/>
      <c r="Z16" s="106"/>
      <c r="AA16" s="106"/>
      <c r="AB16" s="106"/>
      <c r="AC16" s="2495"/>
      <c r="AD16" s="2495"/>
      <c r="AE16" s="2495"/>
      <c r="AF16" s="2495"/>
      <c r="AG16" s="2495"/>
      <c r="AH16" s="2495"/>
      <c r="AI16" s="2495"/>
      <c r="AJ16" s="2495"/>
      <c r="AK16" s="2495"/>
      <c r="AL16" s="2495"/>
      <c r="AM16" s="2495"/>
      <c r="AN16" s="2495"/>
      <c r="AO16" s="2495"/>
      <c r="AP16" s="2495"/>
      <c r="AQ16" s="2495"/>
      <c r="AR16" s="2495"/>
      <c r="AS16" s="2495"/>
      <c r="AT16" s="2495"/>
      <c r="AU16" s="2495"/>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G16" s="973">
        <f t="shared" si="0"/>
        <v>0</v>
      </c>
    </row>
    <row r="17" spans="5:85">
      <c r="E17" s="177" t="s">
        <v>123</v>
      </c>
      <c r="F17" s="118">
        <v>38727600</v>
      </c>
      <c r="G17" s="178">
        <v>0.99999999999999989</v>
      </c>
      <c r="L17" s="106">
        <v>0</v>
      </c>
      <c r="M17" s="106">
        <v>0</v>
      </c>
      <c r="N17" s="106">
        <v>0</v>
      </c>
      <c r="O17" s="106">
        <v>0</v>
      </c>
      <c r="P17" s="106">
        <v>0</v>
      </c>
      <c r="Q17" s="106">
        <v>0</v>
      </c>
      <c r="R17" s="106">
        <v>0</v>
      </c>
      <c r="S17" s="106">
        <v>0</v>
      </c>
      <c r="T17" s="106">
        <v>0</v>
      </c>
      <c r="U17" s="106">
        <v>0</v>
      </c>
      <c r="V17" s="106">
        <v>0</v>
      </c>
      <c r="W17" s="106">
        <v>0</v>
      </c>
      <c r="X17" s="106">
        <v>0</v>
      </c>
      <c r="Y17" s="106">
        <v>0</v>
      </c>
      <c r="Z17" s="106">
        <v>0</v>
      </c>
      <c r="AA17" s="106">
        <v>0</v>
      </c>
      <c r="AB17" s="106">
        <v>0</v>
      </c>
      <c r="AC17" s="2495">
        <v>0.02</v>
      </c>
      <c r="AD17" s="2495">
        <v>0.02</v>
      </c>
      <c r="AE17" s="2495">
        <v>0.02</v>
      </c>
      <c r="AF17" s="2495">
        <v>0.02</v>
      </c>
      <c r="AG17" s="2495">
        <v>0.02</v>
      </c>
      <c r="AH17" s="2495">
        <v>0.02</v>
      </c>
      <c r="AI17" s="2495">
        <v>0.03</v>
      </c>
      <c r="AJ17" s="2495">
        <v>0.05</v>
      </c>
      <c r="AK17" s="2495">
        <v>0.05</v>
      </c>
      <c r="AL17" s="2495">
        <v>0.05</v>
      </c>
      <c r="AM17" s="2495">
        <v>0.05</v>
      </c>
      <c r="AN17" s="2495">
        <v>0.05</v>
      </c>
      <c r="AO17" s="2495">
        <v>0.05</v>
      </c>
      <c r="AP17" s="2495">
        <v>0.05</v>
      </c>
      <c r="AQ17" s="2495">
        <v>0.1</v>
      </c>
      <c r="AR17" s="2495">
        <v>0.1</v>
      </c>
      <c r="AS17" s="2495">
        <v>0.1</v>
      </c>
      <c r="AT17" s="2495">
        <v>0.1</v>
      </c>
      <c r="AU17" s="2495">
        <v>0.1</v>
      </c>
      <c r="AV17" s="106">
        <v>0</v>
      </c>
      <c r="AW17" s="106">
        <v>0</v>
      </c>
      <c r="AX17" s="106">
        <v>0</v>
      </c>
      <c r="AY17" s="106">
        <v>0</v>
      </c>
      <c r="AZ17" s="106">
        <v>0</v>
      </c>
      <c r="BA17" s="106">
        <v>0</v>
      </c>
      <c r="BB17" s="106">
        <v>0</v>
      </c>
      <c r="BC17" s="106">
        <v>0</v>
      </c>
      <c r="BD17" s="106">
        <v>0</v>
      </c>
      <c r="BE17" s="106">
        <v>0</v>
      </c>
      <c r="BF17" s="106">
        <v>0</v>
      </c>
      <c r="BG17" s="106">
        <v>0</v>
      </c>
      <c r="BH17" s="106">
        <v>0</v>
      </c>
      <c r="BI17" s="106">
        <v>0</v>
      </c>
      <c r="BJ17" s="106">
        <v>0</v>
      </c>
      <c r="BK17" s="106">
        <v>0</v>
      </c>
      <c r="BL17" s="106">
        <v>0</v>
      </c>
      <c r="BM17" s="106">
        <v>0</v>
      </c>
      <c r="BN17" s="106">
        <v>0</v>
      </c>
      <c r="BO17" s="106">
        <v>0</v>
      </c>
      <c r="BP17" s="106">
        <v>0</v>
      </c>
      <c r="BQ17" s="106">
        <v>0</v>
      </c>
      <c r="BR17" s="106">
        <v>0</v>
      </c>
      <c r="BS17" s="106">
        <v>0</v>
      </c>
      <c r="BT17" s="106">
        <v>0</v>
      </c>
      <c r="BU17" s="106">
        <v>0</v>
      </c>
      <c r="BV17" s="106">
        <v>0</v>
      </c>
      <c r="BW17" s="106">
        <v>0</v>
      </c>
      <c r="BX17" s="106">
        <v>0</v>
      </c>
      <c r="BY17" s="106">
        <v>0</v>
      </c>
      <c r="BZ17" s="106">
        <v>0</v>
      </c>
      <c r="CA17" s="106">
        <v>0</v>
      </c>
      <c r="CB17" s="106">
        <v>0</v>
      </c>
      <c r="CC17" s="106">
        <v>0</v>
      </c>
      <c r="CD17" s="106">
        <v>0</v>
      </c>
      <c r="CE17" s="106">
        <v>0</v>
      </c>
      <c r="CG17" s="973">
        <f t="shared" si="0"/>
        <v>0.99999999999999989</v>
      </c>
    </row>
    <row r="18" spans="5:85">
      <c r="E18" s="180" t="s">
        <v>9</v>
      </c>
      <c r="F18" s="126">
        <v>85451546.25</v>
      </c>
      <c r="G18" s="178">
        <v>0.99999999999999989</v>
      </c>
      <c r="L18" s="106">
        <v>0</v>
      </c>
      <c r="M18" s="106">
        <v>0</v>
      </c>
      <c r="N18" s="106">
        <v>0</v>
      </c>
      <c r="O18" s="106">
        <v>0</v>
      </c>
      <c r="P18" s="106">
        <v>0</v>
      </c>
      <c r="Q18" s="106">
        <v>0</v>
      </c>
      <c r="R18" s="106">
        <v>0</v>
      </c>
      <c r="S18" s="106">
        <v>0</v>
      </c>
      <c r="T18" s="106">
        <v>0</v>
      </c>
      <c r="U18" s="106">
        <v>0</v>
      </c>
      <c r="V18" s="106">
        <v>0</v>
      </c>
      <c r="W18" s="106">
        <v>0</v>
      </c>
      <c r="X18" s="106">
        <v>0</v>
      </c>
      <c r="Y18" s="106">
        <v>0</v>
      </c>
      <c r="Z18" s="106">
        <v>0</v>
      </c>
      <c r="AA18" s="106">
        <v>0</v>
      </c>
      <c r="AB18" s="106">
        <v>0</v>
      </c>
      <c r="AC18" s="2495">
        <v>0.02</v>
      </c>
      <c r="AD18" s="2495">
        <v>0.02</v>
      </c>
      <c r="AE18" s="2495">
        <v>0.02</v>
      </c>
      <c r="AF18" s="2495">
        <v>0.02</v>
      </c>
      <c r="AG18" s="2495">
        <v>0.02</v>
      </c>
      <c r="AH18" s="2495">
        <v>0.02</v>
      </c>
      <c r="AI18" s="2495">
        <v>0.03</v>
      </c>
      <c r="AJ18" s="2495">
        <v>0.05</v>
      </c>
      <c r="AK18" s="2495">
        <v>0.05</v>
      </c>
      <c r="AL18" s="2495">
        <v>0.05</v>
      </c>
      <c r="AM18" s="2495">
        <v>0.05</v>
      </c>
      <c r="AN18" s="2495">
        <v>0.05</v>
      </c>
      <c r="AO18" s="2495">
        <v>0.05</v>
      </c>
      <c r="AP18" s="2495">
        <v>0.05</v>
      </c>
      <c r="AQ18" s="2495">
        <v>0.1</v>
      </c>
      <c r="AR18" s="2495">
        <v>0.1</v>
      </c>
      <c r="AS18" s="2495">
        <v>0.1</v>
      </c>
      <c r="AT18" s="2495">
        <v>0.1</v>
      </c>
      <c r="AU18" s="2495">
        <v>0.1</v>
      </c>
      <c r="AV18" s="106">
        <v>0</v>
      </c>
      <c r="AW18" s="106">
        <v>0</v>
      </c>
      <c r="AX18" s="106">
        <v>0</v>
      </c>
      <c r="AY18" s="106">
        <v>0</v>
      </c>
      <c r="AZ18" s="106">
        <v>0</v>
      </c>
      <c r="BA18" s="106">
        <v>0</v>
      </c>
      <c r="BB18" s="106">
        <v>0</v>
      </c>
      <c r="BC18" s="106">
        <v>0</v>
      </c>
      <c r="BD18" s="106">
        <v>0</v>
      </c>
      <c r="BE18" s="106">
        <v>0</v>
      </c>
      <c r="BF18" s="106">
        <v>0</v>
      </c>
      <c r="BG18" s="106">
        <v>0</v>
      </c>
      <c r="BH18" s="106">
        <v>0</v>
      </c>
      <c r="BI18" s="106">
        <v>0</v>
      </c>
      <c r="BJ18" s="106">
        <v>0</v>
      </c>
      <c r="BK18" s="106">
        <v>0</v>
      </c>
      <c r="BL18" s="106">
        <v>0</v>
      </c>
      <c r="BM18" s="106">
        <v>0</v>
      </c>
      <c r="BN18" s="106">
        <v>0</v>
      </c>
      <c r="BO18" s="106">
        <v>0</v>
      </c>
      <c r="BP18" s="106">
        <v>0</v>
      </c>
      <c r="BQ18" s="106">
        <v>0</v>
      </c>
      <c r="BR18" s="106">
        <v>0</v>
      </c>
      <c r="BS18" s="106">
        <v>0</v>
      </c>
      <c r="BT18" s="106">
        <v>0</v>
      </c>
      <c r="BU18" s="106">
        <v>0</v>
      </c>
      <c r="BV18" s="106">
        <v>0</v>
      </c>
      <c r="BW18" s="106">
        <v>0</v>
      </c>
      <c r="BX18" s="106">
        <v>0</v>
      </c>
      <c r="BY18" s="106">
        <v>0</v>
      </c>
      <c r="BZ18" s="106">
        <v>0</v>
      </c>
      <c r="CA18" s="106">
        <v>0</v>
      </c>
      <c r="CB18" s="106">
        <v>0</v>
      </c>
      <c r="CC18" s="106">
        <v>0</v>
      </c>
      <c r="CD18" s="106">
        <v>0</v>
      </c>
      <c r="CE18" s="106">
        <v>0</v>
      </c>
    </row>
    <row r="20" spans="5:85">
      <c r="AJ20" s="2496"/>
      <c r="AV20" s="2496"/>
    </row>
    <row r="21" spans="5:85">
      <c r="J21">
        <v>2</v>
      </c>
      <c r="L21" s="106">
        <v>0</v>
      </c>
      <c r="M21" s="106">
        <v>0</v>
      </c>
      <c r="N21" s="106">
        <v>0</v>
      </c>
      <c r="O21" s="106">
        <v>0</v>
      </c>
      <c r="P21" s="106">
        <v>0</v>
      </c>
      <c r="Q21" s="106">
        <v>0</v>
      </c>
      <c r="R21" s="106">
        <v>0</v>
      </c>
      <c r="S21" s="106">
        <v>0</v>
      </c>
      <c r="T21" s="106">
        <v>0</v>
      </c>
      <c r="U21" s="106">
        <v>0</v>
      </c>
      <c r="V21" s="106">
        <v>0</v>
      </c>
      <c r="W21" s="106">
        <v>0</v>
      </c>
      <c r="X21" s="106">
        <v>0</v>
      </c>
      <c r="Y21" s="106">
        <v>0</v>
      </c>
      <c r="Z21" s="106">
        <v>0</v>
      </c>
      <c r="AA21" s="106">
        <v>0</v>
      </c>
      <c r="AB21" s="106">
        <v>0</v>
      </c>
      <c r="AC21" s="106">
        <v>0</v>
      </c>
      <c r="AD21" s="106">
        <v>0</v>
      </c>
      <c r="AE21" s="106">
        <v>0</v>
      </c>
      <c r="AF21" s="106">
        <v>0</v>
      </c>
      <c r="AG21" s="106">
        <v>0</v>
      </c>
      <c r="AH21" s="106">
        <v>0</v>
      </c>
      <c r="AI21" s="106">
        <v>0</v>
      </c>
      <c r="AJ21" s="2495">
        <v>0.02</v>
      </c>
      <c r="AK21" s="2495">
        <v>0.02</v>
      </c>
      <c r="AL21" s="2495">
        <v>0.02</v>
      </c>
      <c r="AM21" s="2495">
        <v>0.02</v>
      </c>
      <c r="AN21" s="2495">
        <v>0.02</v>
      </c>
      <c r="AO21" s="2495">
        <v>0.02</v>
      </c>
      <c r="AP21" s="2495">
        <v>0.03</v>
      </c>
      <c r="AQ21" s="2495">
        <v>0.05</v>
      </c>
      <c r="AR21" s="2495">
        <v>0.05</v>
      </c>
      <c r="AS21" s="2495">
        <v>0.05</v>
      </c>
      <c r="AT21" s="2495">
        <v>0.05</v>
      </c>
      <c r="AU21" s="2495">
        <v>0.05</v>
      </c>
      <c r="AV21" s="2495">
        <v>0.05</v>
      </c>
      <c r="AW21" s="2495">
        <v>0.05</v>
      </c>
      <c r="AX21" s="2495">
        <v>0.1</v>
      </c>
      <c r="AY21" s="2495">
        <v>0.1</v>
      </c>
      <c r="AZ21" s="2495">
        <v>0.1</v>
      </c>
      <c r="BA21" s="2495">
        <v>0.1</v>
      </c>
      <c r="BB21" s="2495">
        <v>0.1</v>
      </c>
      <c r="BC21" s="106">
        <v>0</v>
      </c>
      <c r="BD21" s="106">
        <v>0</v>
      </c>
      <c r="BE21" s="106">
        <v>0</v>
      </c>
      <c r="BF21" s="106">
        <v>0</v>
      </c>
      <c r="BG21" s="106">
        <v>0</v>
      </c>
      <c r="BH21" s="106">
        <v>0</v>
      </c>
      <c r="BI21" s="106">
        <v>0</v>
      </c>
      <c r="BJ21" s="106">
        <v>0</v>
      </c>
      <c r="BK21" s="106">
        <v>0</v>
      </c>
      <c r="BL21" s="106">
        <v>0</v>
      </c>
      <c r="BM21" s="106">
        <v>0</v>
      </c>
      <c r="BN21" s="106">
        <v>0</v>
      </c>
      <c r="BO21" s="106">
        <v>0</v>
      </c>
      <c r="BP21" s="106">
        <v>0</v>
      </c>
      <c r="BQ21" s="106">
        <v>0</v>
      </c>
      <c r="BR21" s="106">
        <v>0</v>
      </c>
      <c r="BS21" s="106">
        <v>0</v>
      </c>
      <c r="BT21" s="106">
        <v>0</v>
      </c>
      <c r="BU21" s="106">
        <v>0</v>
      </c>
      <c r="BV21" s="106">
        <v>0</v>
      </c>
      <c r="BW21" s="106">
        <v>0</v>
      </c>
      <c r="BX21" s="106">
        <v>0</v>
      </c>
      <c r="BY21" s="106">
        <v>0</v>
      </c>
      <c r="BZ21" s="106">
        <v>0</v>
      </c>
      <c r="CA21" s="106">
        <v>0</v>
      </c>
      <c r="CB21" s="106">
        <v>0</v>
      </c>
      <c r="CC21" s="106">
        <v>0</v>
      </c>
      <c r="CD21" s="106">
        <v>0</v>
      </c>
      <c r="CE21" s="106">
        <v>0</v>
      </c>
      <c r="CG21" s="395">
        <f>SUM(L21:CE21)</f>
        <v>0.99999999999999989</v>
      </c>
    </row>
    <row r="22" spans="5:85">
      <c r="L22" s="106">
        <v>0</v>
      </c>
      <c r="M22" s="106">
        <v>0</v>
      </c>
      <c r="N22" s="106">
        <v>0</v>
      </c>
      <c r="O22" s="106">
        <v>0</v>
      </c>
      <c r="P22" s="106">
        <v>0</v>
      </c>
      <c r="Q22" s="106">
        <v>0</v>
      </c>
      <c r="R22" s="106">
        <v>0</v>
      </c>
      <c r="S22" s="106">
        <v>0</v>
      </c>
      <c r="T22" s="106">
        <v>0</v>
      </c>
      <c r="U22" s="106">
        <v>0</v>
      </c>
      <c r="V22" s="106">
        <v>0</v>
      </c>
      <c r="W22" s="106">
        <v>0</v>
      </c>
      <c r="X22" s="106">
        <v>0</v>
      </c>
      <c r="Y22" s="106">
        <v>0</v>
      </c>
      <c r="Z22" s="106">
        <v>0</v>
      </c>
      <c r="AA22" s="106">
        <v>0</v>
      </c>
      <c r="AB22" s="106">
        <v>0</v>
      </c>
      <c r="AC22" s="106">
        <v>0</v>
      </c>
      <c r="AD22" s="106">
        <v>0</v>
      </c>
      <c r="AE22" s="106">
        <v>0</v>
      </c>
      <c r="AF22" s="106">
        <v>0</v>
      </c>
      <c r="AG22" s="106">
        <v>0</v>
      </c>
      <c r="AH22" s="106">
        <v>0</v>
      </c>
      <c r="AI22" s="106">
        <v>0</v>
      </c>
      <c r="AJ22" s="2495">
        <v>0.02</v>
      </c>
      <c r="AK22" s="2495">
        <v>0.02</v>
      </c>
      <c r="AL22" s="2495">
        <v>0.02</v>
      </c>
      <c r="AM22" s="2495">
        <v>0.02</v>
      </c>
      <c r="AN22" s="2495">
        <v>0.02</v>
      </c>
      <c r="AO22" s="2495">
        <v>0.02</v>
      </c>
      <c r="AP22" s="2495">
        <v>0.03</v>
      </c>
      <c r="AQ22" s="2495">
        <v>0.05</v>
      </c>
      <c r="AR22" s="2495">
        <v>0.05</v>
      </c>
      <c r="AS22" s="2495">
        <v>0.05</v>
      </c>
      <c r="AT22" s="2495">
        <v>0.05</v>
      </c>
      <c r="AU22" s="2495">
        <v>0.05</v>
      </c>
      <c r="AV22" s="2495">
        <v>0.05</v>
      </c>
      <c r="AW22" s="2495">
        <v>0.05</v>
      </c>
      <c r="AX22" s="2495">
        <v>0.1</v>
      </c>
      <c r="AY22" s="2495">
        <v>0.1</v>
      </c>
      <c r="AZ22" s="2495">
        <v>0.1</v>
      </c>
      <c r="BA22" s="2495">
        <v>0.1</v>
      </c>
      <c r="BB22" s="2495">
        <v>0.1</v>
      </c>
      <c r="BC22" s="106">
        <v>0</v>
      </c>
      <c r="BD22" s="106">
        <v>0</v>
      </c>
      <c r="BE22" s="106">
        <v>0</v>
      </c>
      <c r="BF22" s="106">
        <v>0</v>
      </c>
      <c r="BG22" s="106">
        <v>0</v>
      </c>
      <c r="BH22" s="106">
        <v>0</v>
      </c>
      <c r="BI22" s="106">
        <v>0</v>
      </c>
      <c r="BJ22" s="106">
        <v>0</v>
      </c>
      <c r="BK22" s="106">
        <v>0</v>
      </c>
      <c r="BL22" s="106">
        <v>0</v>
      </c>
      <c r="BM22" s="106">
        <v>0</v>
      </c>
      <c r="BN22" s="106">
        <v>0</v>
      </c>
      <c r="BO22" s="106">
        <v>0</v>
      </c>
      <c r="BP22" s="106">
        <v>0</v>
      </c>
      <c r="BQ22" s="106">
        <v>0</v>
      </c>
      <c r="BR22" s="106">
        <v>0</v>
      </c>
      <c r="BS22" s="106">
        <v>0</v>
      </c>
      <c r="BT22" s="106">
        <v>0</v>
      </c>
      <c r="BU22" s="106">
        <v>0</v>
      </c>
      <c r="BV22" s="106">
        <v>0</v>
      </c>
      <c r="BW22" s="106">
        <v>0</v>
      </c>
      <c r="BX22" s="106">
        <v>0</v>
      </c>
      <c r="BY22" s="106">
        <v>0</v>
      </c>
      <c r="BZ22" s="106">
        <v>0</v>
      </c>
      <c r="CA22" s="106">
        <v>0</v>
      </c>
      <c r="CB22" s="106">
        <v>0</v>
      </c>
      <c r="CC22" s="106">
        <v>0</v>
      </c>
      <c r="CD22" s="106">
        <v>0</v>
      </c>
      <c r="CE22" s="106">
        <v>0</v>
      </c>
      <c r="CG22" s="395">
        <f t="shared" ref="CG22:CG28" si="1">SUM(L22:CE22)</f>
        <v>0.99999999999999989</v>
      </c>
    </row>
    <row r="23" spans="5:85">
      <c r="L23" s="106">
        <v>0</v>
      </c>
      <c r="M23" s="106">
        <v>0</v>
      </c>
      <c r="N23" s="106">
        <v>0</v>
      </c>
      <c r="O23" s="106">
        <v>0</v>
      </c>
      <c r="P23" s="106">
        <v>0</v>
      </c>
      <c r="Q23" s="106">
        <v>0</v>
      </c>
      <c r="R23" s="106">
        <v>0</v>
      </c>
      <c r="S23" s="106">
        <v>0</v>
      </c>
      <c r="T23" s="106">
        <v>0</v>
      </c>
      <c r="U23" s="106">
        <v>0</v>
      </c>
      <c r="V23" s="106">
        <v>0</v>
      </c>
      <c r="W23" s="106">
        <v>0</v>
      </c>
      <c r="X23" s="106">
        <v>0</v>
      </c>
      <c r="Y23" s="106">
        <v>0</v>
      </c>
      <c r="Z23" s="106">
        <v>0</v>
      </c>
      <c r="AA23" s="106">
        <v>0</v>
      </c>
      <c r="AB23" s="106">
        <v>0</v>
      </c>
      <c r="AC23" s="106">
        <v>0</v>
      </c>
      <c r="AD23" s="106">
        <v>0</v>
      </c>
      <c r="AE23" s="106">
        <v>0</v>
      </c>
      <c r="AF23" s="106">
        <v>0</v>
      </c>
      <c r="AG23" s="106">
        <v>0</v>
      </c>
      <c r="AH23" s="106">
        <v>0</v>
      </c>
      <c r="AI23" s="106">
        <v>0</v>
      </c>
      <c r="AJ23" s="2495">
        <v>0.02</v>
      </c>
      <c r="AK23" s="2495">
        <v>0.02</v>
      </c>
      <c r="AL23" s="2495">
        <v>0.02</v>
      </c>
      <c r="AM23" s="2495">
        <v>0.02</v>
      </c>
      <c r="AN23" s="2495">
        <v>0.02</v>
      </c>
      <c r="AO23" s="2495">
        <v>0.02</v>
      </c>
      <c r="AP23" s="2495">
        <v>0.03</v>
      </c>
      <c r="AQ23" s="2495">
        <v>0.05</v>
      </c>
      <c r="AR23" s="2495">
        <v>0.05</v>
      </c>
      <c r="AS23" s="2495">
        <v>0.05</v>
      </c>
      <c r="AT23" s="2495">
        <v>0.05</v>
      </c>
      <c r="AU23" s="2495">
        <v>0.05</v>
      </c>
      <c r="AV23" s="2495">
        <v>0.05</v>
      </c>
      <c r="AW23" s="2495">
        <v>0.05</v>
      </c>
      <c r="AX23" s="2495">
        <v>0.1</v>
      </c>
      <c r="AY23" s="2495">
        <v>0.1</v>
      </c>
      <c r="AZ23" s="2495">
        <v>0.1</v>
      </c>
      <c r="BA23" s="2495">
        <v>0.1</v>
      </c>
      <c r="BB23" s="2495">
        <v>0.1</v>
      </c>
      <c r="BC23" s="106">
        <v>0</v>
      </c>
      <c r="BD23" s="106">
        <v>0</v>
      </c>
      <c r="BE23" s="106">
        <v>0</v>
      </c>
      <c r="BF23" s="106">
        <v>0</v>
      </c>
      <c r="BG23" s="106">
        <v>0</v>
      </c>
      <c r="BH23" s="106">
        <v>0</v>
      </c>
      <c r="BI23" s="106">
        <v>0</v>
      </c>
      <c r="BJ23" s="106">
        <v>0</v>
      </c>
      <c r="BK23" s="106">
        <v>0</v>
      </c>
      <c r="BL23" s="106">
        <v>0</v>
      </c>
      <c r="BM23" s="106">
        <v>0</v>
      </c>
      <c r="BN23" s="106">
        <v>0</v>
      </c>
      <c r="BO23" s="106">
        <v>0</v>
      </c>
      <c r="BP23" s="106">
        <v>0</v>
      </c>
      <c r="BQ23" s="106">
        <v>0</v>
      </c>
      <c r="BR23" s="106">
        <v>0</v>
      </c>
      <c r="BS23" s="106">
        <v>0</v>
      </c>
      <c r="BT23" s="106">
        <v>0</v>
      </c>
      <c r="BU23" s="106">
        <v>0</v>
      </c>
      <c r="BV23" s="106">
        <v>0</v>
      </c>
      <c r="BW23" s="106">
        <v>0</v>
      </c>
      <c r="BX23" s="106">
        <v>0</v>
      </c>
      <c r="BY23" s="106">
        <v>0</v>
      </c>
      <c r="BZ23" s="106">
        <v>0</v>
      </c>
      <c r="CA23" s="106">
        <v>0</v>
      </c>
      <c r="CB23" s="106">
        <v>0</v>
      </c>
      <c r="CC23" s="106">
        <v>0</v>
      </c>
      <c r="CD23" s="106">
        <v>0</v>
      </c>
      <c r="CE23" s="106">
        <v>0</v>
      </c>
      <c r="CG23" s="395">
        <f t="shared" si="1"/>
        <v>0.99999999999999989</v>
      </c>
    </row>
    <row r="24" spans="5:85">
      <c r="L24" s="106">
        <v>0</v>
      </c>
      <c r="M24" s="106">
        <v>0</v>
      </c>
      <c r="N24" s="106">
        <v>0</v>
      </c>
      <c r="O24" s="106">
        <v>0</v>
      </c>
      <c r="P24" s="106">
        <v>0</v>
      </c>
      <c r="Q24" s="106">
        <v>0</v>
      </c>
      <c r="R24" s="106">
        <v>0</v>
      </c>
      <c r="S24" s="106">
        <v>0</v>
      </c>
      <c r="T24" s="106">
        <v>0</v>
      </c>
      <c r="U24" s="106">
        <v>0</v>
      </c>
      <c r="V24" s="106">
        <v>0</v>
      </c>
      <c r="W24" s="106">
        <v>0</v>
      </c>
      <c r="X24" s="106">
        <v>0</v>
      </c>
      <c r="Y24" s="106">
        <v>0</v>
      </c>
      <c r="Z24" s="106">
        <v>0</v>
      </c>
      <c r="AA24" s="106">
        <v>0</v>
      </c>
      <c r="AB24" s="106">
        <v>0</v>
      </c>
      <c r="AC24" s="106">
        <v>0</v>
      </c>
      <c r="AD24" s="106">
        <v>0</v>
      </c>
      <c r="AE24" s="106">
        <v>0</v>
      </c>
      <c r="AF24" s="106">
        <v>0</v>
      </c>
      <c r="AG24" s="106">
        <v>0</v>
      </c>
      <c r="AH24" s="106">
        <v>0</v>
      </c>
      <c r="AI24" s="106">
        <v>0</v>
      </c>
      <c r="AJ24" s="2495">
        <v>0.02</v>
      </c>
      <c r="AK24" s="2495">
        <v>0.02</v>
      </c>
      <c r="AL24" s="2495">
        <v>0.02</v>
      </c>
      <c r="AM24" s="2495">
        <v>0.02</v>
      </c>
      <c r="AN24" s="2495">
        <v>0.02</v>
      </c>
      <c r="AO24" s="2495">
        <v>0.02</v>
      </c>
      <c r="AP24" s="2495">
        <v>0.03</v>
      </c>
      <c r="AQ24" s="2495">
        <v>0.05</v>
      </c>
      <c r="AR24" s="2495">
        <v>0.05</v>
      </c>
      <c r="AS24" s="2495">
        <v>0.05</v>
      </c>
      <c r="AT24" s="2495">
        <v>0.05</v>
      </c>
      <c r="AU24" s="2495">
        <v>0.05</v>
      </c>
      <c r="AV24" s="2495">
        <v>0.05</v>
      </c>
      <c r="AW24" s="2495">
        <v>0.05</v>
      </c>
      <c r="AX24" s="2495">
        <v>0.1</v>
      </c>
      <c r="AY24" s="2495">
        <v>0.1</v>
      </c>
      <c r="AZ24" s="2495">
        <v>0.1</v>
      </c>
      <c r="BA24" s="2495">
        <v>0.1</v>
      </c>
      <c r="BB24" s="2495">
        <v>0.1</v>
      </c>
      <c r="BC24" s="106">
        <v>0</v>
      </c>
      <c r="BD24" s="106">
        <v>0</v>
      </c>
      <c r="BE24" s="106">
        <v>0</v>
      </c>
      <c r="BF24" s="106">
        <v>0</v>
      </c>
      <c r="BG24" s="106">
        <v>0</v>
      </c>
      <c r="BH24" s="106">
        <v>0</v>
      </c>
      <c r="BI24" s="106">
        <v>0</v>
      </c>
      <c r="BJ24" s="106">
        <v>0</v>
      </c>
      <c r="BK24" s="106">
        <v>0</v>
      </c>
      <c r="BL24" s="106">
        <v>0</v>
      </c>
      <c r="BM24" s="106">
        <v>0</v>
      </c>
      <c r="BN24" s="106">
        <v>0</v>
      </c>
      <c r="BO24" s="106">
        <v>0</v>
      </c>
      <c r="BP24" s="106">
        <v>0</v>
      </c>
      <c r="BQ24" s="106">
        <v>0</v>
      </c>
      <c r="BR24" s="106">
        <v>0</v>
      </c>
      <c r="BS24" s="106">
        <v>0</v>
      </c>
      <c r="BT24" s="106">
        <v>0</v>
      </c>
      <c r="BU24" s="106">
        <v>0</v>
      </c>
      <c r="BV24" s="106">
        <v>0</v>
      </c>
      <c r="BW24" s="106">
        <v>0</v>
      </c>
      <c r="BX24" s="106">
        <v>0</v>
      </c>
      <c r="BY24" s="106">
        <v>0</v>
      </c>
      <c r="BZ24" s="106">
        <v>0</v>
      </c>
      <c r="CA24" s="106">
        <v>0</v>
      </c>
      <c r="CB24" s="106">
        <v>0</v>
      </c>
      <c r="CC24" s="106">
        <v>0</v>
      </c>
      <c r="CD24" s="106">
        <v>0</v>
      </c>
      <c r="CE24" s="106">
        <v>0</v>
      </c>
      <c r="CG24" s="395">
        <f t="shared" si="1"/>
        <v>0.99999999999999989</v>
      </c>
    </row>
    <row r="25" spans="5:85">
      <c r="L25" s="106">
        <v>0</v>
      </c>
      <c r="M25" s="106">
        <v>0</v>
      </c>
      <c r="N25" s="106">
        <v>0</v>
      </c>
      <c r="O25" s="106">
        <v>0</v>
      </c>
      <c r="P25" s="106">
        <v>0</v>
      </c>
      <c r="Q25" s="106">
        <v>0</v>
      </c>
      <c r="R25" s="106">
        <v>0</v>
      </c>
      <c r="S25" s="106">
        <v>0</v>
      </c>
      <c r="T25" s="106">
        <v>0</v>
      </c>
      <c r="U25" s="106">
        <v>0</v>
      </c>
      <c r="V25" s="106">
        <v>0</v>
      </c>
      <c r="W25" s="106">
        <v>0</v>
      </c>
      <c r="X25" s="106">
        <v>0</v>
      </c>
      <c r="Y25" s="106">
        <v>0</v>
      </c>
      <c r="Z25" s="106">
        <v>0</v>
      </c>
      <c r="AA25" s="106">
        <v>0</v>
      </c>
      <c r="AB25" s="106">
        <v>0</v>
      </c>
      <c r="AC25" s="106">
        <v>0</v>
      </c>
      <c r="AD25" s="106">
        <v>0</v>
      </c>
      <c r="AE25" s="106">
        <v>0</v>
      </c>
      <c r="AF25" s="106">
        <v>0</v>
      </c>
      <c r="AG25" s="106">
        <v>0</v>
      </c>
      <c r="AH25" s="106">
        <v>0</v>
      </c>
      <c r="AI25" s="106">
        <v>0</v>
      </c>
      <c r="AJ25" s="2495">
        <v>0.02</v>
      </c>
      <c r="AK25" s="2495">
        <v>0.02</v>
      </c>
      <c r="AL25" s="2495">
        <v>0.02</v>
      </c>
      <c r="AM25" s="2495">
        <v>0.02</v>
      </c>
      <c r="AN25" s="2495">
        <v>0.02</v>
      </c>
      <c r="AO25" s="2495">
        <v>0.02</v>
      </c>
      <c r="AP25" s="2495">
        <v>0.03</v>
      </c>
      <c r="AQ25" s="2495">
        <v>0.05</v>
      </c>
      <c r="AR25" s="2495">
        <v>0.05</v>
      </c>
      <c r="AS25" s="2495">
        <v>0.05</v>
      </c>
      <c r="AT25" s="2495">
        <v>0.05</v>
      </c>
      <c r="AU25" s="2495">
        <v>0.05</v>
      </c>
      <c r="AV25" s="2495">
        <v>0.05</v>
      </c>
      <c r="AW25" s="2495">
        <v>0.05</v>
      </c>
      <c r="AX25" s="2495">
        <v>0.1</v>
      </c>
      <c r="AY25" s="2495">
        <v>0.1</v>
      </c>
      <c r="AZ25" s="2495">
        <v>0.1</v>
      </c>
      <c r="BA25" s="2495">
        <v>0.1</v>
      </c>
      <c r="BB25" s="2495">
        <v>0.1</v>
      </c>
      <c r="BC25" s="106">
        <v>0</v>
      </c>
      <c r="BD25" s="106">
        <v>0</v>
      </c>
      <c r="BE25" s="106">
        <v>0</v>
      </c>
      <c r="BF25" s="106">
        <v>0</v>
      </c>
      <c r="BG25" s="106">
        <v>0</v>
      </c>
      <c r="BH25" s="106">
        <v>0</v>
      </c>
      <c r="BI25" s="106">
        <v>0</v>
      </c>
      <c r="BJ25" s="106">
        <v>0</v>
      </c>
      <c r="BK25" s="106">
        <v>0</v>
      </c>
      <c r="BL25" s="106">
        <v>0</v>
      </c>
      <c r="BM25" s="106">
        <v>0</v>
      </c>
      <c r="BN25" s="106">
        <v>0</v>
      </c>
      <c r="BO25" s="106">
        <v>0</v>
      </c>
      <c r="BP25" s="106">
        <v>0</v>
      </c>
      <c r="BQ25" s="106">
        <v>0</v>
      </c>
      <c r="BR25" s="106">
        <v>0</v>
      </c>
      <c r="BS25" s="106">
        <v>0</v>
      </c>
      <c r="BT25" s="106">
        <v>0</v>
      </c>
      <c r="BU25" s="106">
        <v>0</v>
      </c>
      <c r="BV25" s="106">
        <v>0</v>
      </c>
      <c r="BW25" s="106">
        <v>0</v>
      </c>
      <c r="BX25" s="106">
        <v>0</v>
      </c>
      <c r="BY25" s="106">
        <v>0</v>
      </c>
      <c r="BZ25" s="106">
        <v>0</v>
      </c>
      <c r="CA25" s="106">
        <v>0</v>
      </c>
      <c r="CB25" s="106">
        <v>0</v>
      </c>
      <c r="CC25" s="106">
        <v>0</v>
      </c>
      <c r="CD25" s="106">
        <v>0</v>
      </c>
      <c r="CE25" s="106">
        <v>0</v>
      </c>
      <c r="CG25" s="395">
        <f t="shared" si="1"/>
        <v>0.99999999999999989</v>
      </c>
    </row>
    <row r="26" spans="5:85">
      <c r="L26" s="106">
        <v>0</v>
      </c>
      <c r="M26" s="106">
        <v>0</v>
      </c>
      <c r="N26" s="106">
        <v>0</v>
      </c>
      <c r="O26" s="106">
        <v>0</v>
      </c>
      <c r="P26" s="106">
        <v>0</v>
      </c>
      <c r="Q26" s="106">
        <v>0</v>
      </c>
      <c r="R26" s="106">
        <v>0</v>
      </c>
      <c r="S26" s="106">
        <v>0</v>
      </c>
      <c r="T26" s="106">
        <v>0</v>
      </c>
      <c r="U26" s="106">
        <v>0</v>
      </c>
      <c r="V26" s="106">
        <v>0</v>
      </c>
      <c r="W26" s="106">
        <v>0</v>
      </c>
      <c r="X26" s="106">
        <v>0</v>
      </c>
      <c r="Y26" s="106">
        <v>0</v>
      </c>
      <c r="Z26" s="106">
        <v>0</v>
      </c>
      <c r="AA26" s="106">
        <v>0</v>
      </c>
      <c r="AB26" s="106">
        <v>0</v>
      </c>
      <c r="AC26" s="106">
        <v>0</v>
      </c>
      <c r="AD26" s="106">
        <v>0</v>
      </c>
      <c r="AE26" s="106">
        <v>0</v>
      </c>
      <c r="AF26" s="106">
        <v>0</v>
      </c>
      <c r="AG26" s="106">
        <v>0</v>
      </c>
      <c r="AH26" s="106">
        <v>0</v>
      </c>
      <c r="AI26" s="106">
        <v>0</v>
      </c>
      <c r="AJ26" s="2495">
        <v>0.02</v>
      </c>
      <c r="AK26" s="2495">
        <v>0.02</v>
      </c>
      <c r="AL26" s="2495">
        <v>0.02</v>
      </c>
      <c r="AM26" s="2495">
        <v>0.02</v>
      </c>
      <c r="AN26" s="2495">
        <v>0.02</v>
      </c>
      <c r="AO26" s="2495">
        <v>0.02</v>
      </c>
      <c r="AP26" s="2495">
        <v>0.03</v>
      </c>
      <c r="AQ26" s="2495">
        <v>0.05</v>
      </c>
      <c r="AR26" s="2495">
        <v>0.05</v>
      </c>
      <c r="AS26" s="2495">
        <v>0.05</v>
      </c>
      <c r="AT26" s="2495">
        <v>0.05</v>
      </c>
      <c r="AU26" s="2495">
        <v>0.05</v>
      </c>
      <c r="AV26" s="2495">
        <v>0.05</v>
      </c>
      <c r="AW26" s="2495">
        <v>0.05</v>
      </c>
      <c r="AX26" s="2495">
        <v>0.1</v>
      </c>
      <c r="AY26" s="2495">
        <v>0.1</v>
      </c>
      <c r="AZ26" s="2495">
        <v>0.1</v>
      </c>
      <c r="BA26" s="2495">
        <v>0.1</v>
      </c>
      <c r="BB26" s="2495">
        <v>0.1</v>
      </c>
      <c r="BC26" s="106">
        <v>0</v>
      </c>
      <c r="BD26" s="106">
        <v>0</v>
      </c>
      <c r="BE26" s="106">
        <v>0</v>
      </c>
      <c r="BF26" s="106">
        <v>0</v>
      </c>
      <c r="BG26" s="106">
        <v>0</v>
      </c>
      <c r="BH26" s="106">
        <v>0</v>
      </c>
      <c r="BI26" s="106">
        <v>0</v>
      </c>
      <c r="BJ26" s="106">
        <v>0</v>
      </c>
      <c r="BK26" s="106">
        <v>0</v>
      </c>
      <c r="BL26" s="106">
        <v>0</v>
      </c>
      <c r="BM26" s="106">
        <v>0</v>
      </c>
      <c r="BN26" s="106">
        <v>0</v>
      </c>
      <c r="BO26" s="106">
        <v>0</v>
      </c>
      <c r="BP26" s="106">
        <v>0</v>
      </c>
      <c r="BQ26" s="106">
        <v>0</v>
      </c>
      <c r="BR26" s="106">
        <v>0</v>
      </c>
      <c r="BS26" s="106">
        <v>0</v>
      </c>
      <c r="BT26" s="106">
        <v>0</v>
      </c>
      <c r="BU26" s="106">
        <v>0</v>
      </c>
      <c r="BV26" s="106">
        <v>0</v>
      </c>
      <c r="BW26" s="106">
        <v>0</v>
      </c>
      <c r="BX26" s="106">
        <v>0</v>
      </c>
      <c r="BY26" s="106">
        <v>0</v>
      </c>
      <c r="BZ26" s="106">
        <v>0</v>
      </c>
      <c r="CA26" s="106">
        <v>0</v>
      </c>
      <c r="CB26" s="106">
        <v>0</v>
      </c>
      <c r="CC26" s="106">
        <v>0</v>
      </c>
      <c r="CD26" s="106">
        <v>0</v>
      </c>
      <c r="CE26" s="106">
        <v>0</v>
      </c>
      <c r="CG26" s="395">
        <f t="shared" si="1"/>
        <v>0.99999999999999989</v>
      </c>
    </row>
    <row r="27" spans="5:85">
      <c r="L27" s="106"/>
      <c r="M27" s="106"/>
      <c r="N27" s="106"/>
      <c r="O27" s="106"/>
      <c r="P27" s="106"/>
      <c r="Q27" s="106"/>
      <c r="R27" s="106"/>
      <c r="S27" s="106"/>
      <c r="T27" s="106"/>
      <c r="U27" s="106"/>
      <c r="V27" s="106"/>
      <c r="W27" s="106"/>
      <c r="X27" s="106"/>
      <c r="Y27" s="106"/>
      <c r="Z27" s="106"/>
      <c r="AA27" s="106"/>
      <c r="AB27" s="106"/>
      <c r="AC27" s="106"/>
      <c r="AD27" s="106"/>
      <c r="AE27" s="106"/>
      <c r="AF27" s="106"/>
      <c r="AG27" s="106"/>
      <c r="AH27" s="106"/>
      <c r="AI27" s="106"/>
      <c r="AJ27" s="2495"/>
      <c r="AK27" s="2495"/>
      <c r="AL27" s="2495"/>
      <c r="AM27" s="2495"/>
      <c r="AN27" s="2495"/>
      <c r="AO27" s="2495"/>
      <c r="AP27" s="2495"/>
      <c r="AQ27" s="2495"/>
      <c r="AR27" s="2495"/>
      <c r="AS27" s="2495"/>
      <c r="AT27" s="2495"/>
      <c r="AU27" s="2495"/>
      <c r="AV27" s="2495"/>
      <c r="AW27" s="2495"/>
      <c r="AX27" s="2495"/>
      <c r="AY27" s="2495"/>
      <c r="AZ27" s="2495"/>
      <c r="BA27" s="2495"/>
      <c r="BB27" s="2495"/>
      <c r="BC27" s="106"/>
      <c r="BD27" s="106"/>
      <c r="BE27" s="106"/>
      <c r="BF27" s="106"/>
      <c r="BG27" s="106"/>
      <c r="BH27" s="106"/>
      <c r="BI27" s="106"/>
      <c r="BJ27" s="106"/>
      <c r="BK27" s="106"/>
      <c r="BL27" s="106"/>
      <c r="BM27" s="106"/>
      <c r="BN27" s="106"/>
      <c r="BO27" s="106"/>
      <c r="BP27" s="106"/>
      <c r="BQ27" s="106"/>
      <c r="BR27" s="106"/>
      <c r="BS27" s="106"/>
      <c r="BT27" s="106"/>
      <c r="BU27" s="106"/>
      <c r="BV27" s="106"/>
      <c r="BW27" s="106"/>
      <c r="BX27" s="106"/>
      <c r="BY27" s="106"/>
      <c r="BZ27" s="106"/>
      <c r="CA27" s="106"/>
      <c r="CB27" s="106"/>
      <c r="CC27" s="106"/>
      <c r="CD27" s="106"/>
      <c r="CE27" s="106"/>
      <c r="CG27" s="395">
        <f t="shared" si="1"/>
        <v>0</v>
      </c>
    </row>
    <row r="28" spans="5:85">
      <c r="L28" s="106">
        <v>0</v>
      </c>
      <c r="M28" s="106">
        <v>0</v>
      </c>
      <c r="N28" s="106">
        <v>0</v>
      </c>
      <c r="O28" s="106">
        <v>0</v>
      </c>
      <c r="P28" s="106">
        <v>0</v>
      </c>
      <c r="Q28" s="106">
        <v>0</v>
      </c>
      <c r="R28" s="106">
        <v>0</v>
      </c>
      <c r="S28" s="106">
        <v>0</v>
      </c>
      <c r="T28" s="106">
        <v>0</v>
      </c>
      <c r="U28" s="106">
        <v>0</v>
      </c>
      <c r="V28" s="106">
        <v>0</v>
      </c>
      <c r="W28" s="106">
        <v>0</v>
      </c>
      <c r="X28" s="106">
        <v>0</v>
      </c>
      <c r="Y28" s="106">
        <v>0</v>
      </c>
      <c r="Z28" s="106">
        <v>0</v>
      </c>
      <c r="AA28" s="106">
        <v>0</v>
      </c>
      <c r="AB28" s="106">
        <v>0</v>
      </c>
      <c r="AC28" s="106">
        <v>0</v>
      </c>
      <c r="AD28" s="106">
        <v>0</v>
      </c>
      <c r="AE28" s="106">
        <v>0</v>
      </c>
      <c r="AF28" s="106">
        <v>0</v>
      </c>
      <c r="AG28" s="106">
        <v>0</v>
      </c>
      <c r="AH28" s="106">
        <v>0</v>
      </c>
      <c r="AI28" s="106">
        <v>0</v>
      </c>
      <c r="AJ28" s="2495">
        <v>0.02</v>
      </c>
      <c r="AK28" s="2495">
        <v>0.02</v>
      </c>
      <c r="AL28" s="2495">
        <v>0.02</v>
      </c>
      <c r="AM28" s="2495">
        <v>0.02</v>
      </c>
      <c r="AN28" s="2495">
        <v>0.02</v>
      </c>
      <c r="AO28" s="2495">
        <v>0.02</v>
      </c>
      <c r="AP28" s="2495">
        <v>0.03</v>
      </c>
      <c r="AQ28" s="2495">
        <v>0.05</v>
      </c>
      <c r="AR28" s="2495">
        <v>0.05</v>
      </c>
      <c r="AS28" s="2495">
        <v>0.05</v>
      </c>
      <c r="AT28" s="2495">
        <v>0.05</v>
      </c>
      <c r="AU28" s="2495">
        <v>0.05</v>
      </c>
      <c r="AV28" s="2495">
        <v>0.05</v>
      </c>
      <c r="AW28" s="2495">
        <v>0.05</v>
      </c>
      <c r="AX28" s="2495">
        <v>0.1</v>
      </c>
      <c r="AY28" s="2495">
        <v>0.1</v>
      </c>
      <c r="AZ28" s="2495">
        <v>0.1</v>
      </c>
      <c r="BA28" s="2495">
        <v>0.1</v>
      </c>
      <c r="BB28" s="2495">
        <v>0.1</v>
      </c>
      <c r="BC28" s="106">
        <v>0</v>
      </c>
      <c r="BD28" s="106">
        <v>0</v>
      </c>
      <c r="BE28" s="106">
        <v>0</v>
      </c>
      <c r="BF28" s="106">
        <v>0</v>
      </c>
      <c r="BG28" s="106">
        <v>0</v>
      </c>
      <c r="BH28" s="106">
        <v>0</v>
      </c>
      <c r="BI28" s="106">
        <v>0</v>
      </c>
      <c r="BJ28" s="106">
        <v>0</v>
      </c>
      <c r="BK28" s="106">
        <v>0</v>
      </c>
      <c r="BL28" s="106">
        <v>0</v>
      </c>
      <c r="BM28" s="106">
        <v>0</v>
      </c>
      <c r="BN28" s="106">
        <v>0</v>
      </c>
      <c r="BO28" s="106">
        <v>0</v>
      </c>
      <c r="BP28" s="106">
        <v>0</v>
      </c>
      <c r="BQ28" s="106">
        <v>0</v>
      </c>
      <c r="BR28" s="106">
        <v>0</v>
      </c>
      <c r="BS28" s="106">
        <v>0</v>
      </c>
      <c r="BT28" s="106">
        <v>0</v>
      </c>
      <c r="BU28" s="106">
        <v>0</v>
      </c>
      <c r="BV28" s="106">
        <v>0</v>
      </c>
      <c r="BW28" s="106">
        <v>0</v>
      </c>
      <c r="BX28" s="106">
        <v>0</v>
      </c>
      <c r="BY28" s="106">
        <v>0</v>
      </c>
      <c r="BZ28" s="106">
        <v>0</v>
      </c>
      <c r="CA28" s="106">
        <v>0</v>
      </c>
      <c r="CB28" s="106">
        <v>0</v>
      </c>
      <c r="CC28" s="106">
        <v>0</v>
      </c>
      <c r="CD28" s="106">
        <v>0</v>
      </c>
      <c r="CE28" s="106">
        <v>0</v>
      </c>
      <c r="CG28" s="395">
        <f t="shared" si="1"/>
        <v>0.99999999999999989</v>
      </c>
    </row>
    <row r="29" spans="5:85">
      <c r="L29" s="106">
        <v>0</v>
      </c>
      <c r="M29" s="106">
        <v>0</v>
      </c>
      <c r="N29" s="106">
        <v>0</v>
      </c>
      <c r="O29" s="106">
        <v>0</v>
      </c>
      <c r="P29" s="106">
        <v>0</v>
      </c>
      <c r="Q29" s="106">
        <v>0</v>
      </c>
      <c r="R29" s="106">
        <v>0</v>
      </c>
      <c r="S29" s="106">
        <v>0</v>
      </c>
      <c r="T29" s="106">
        <v>0</v>
      </c>
      <c r="U29" s="106">
        <v>0</v>
      </c>
      <c r="V29" s="106">
        <v>0</v>
      </c>
      <c r="W29" s="106">
        <v>0</v>
      </c>
      <c r="X29" s="106">
        <v>0</v>
      </c>
      <c r="Y29" s="106">
        <v>0</v>
      </c>
      <c r="Z29" s="106">
        <v>0</v>
      </c>
      <c r="AA29" s="106">
        <v>0</v>
      </c>
      <c r="AB29" s="106">
        <v>0</v>
      </c>
      <c r="AC29" s="106">
        <v>0</v>
      </c>
      <c r="AD29" s="106">
        <v>0</v>
      </c>
      <c r="AE29" s="106">
        <v>0</v>
      </c>
      <c r="AF29" s="106">
        <v>0</v>
      </c>
      <c r="AG29" s="106">
        <v>0</v>
      </c>
      <c r="AH29" s="106">
        <v>0</v>
      </c>
      <c r="AI29" s="106">
        <v>0</v>
      </c>
      <c r="AJ29" s="2495">
        <v>0.02</v>
      </c>
      <c r="AK29" s="2495">
        <v>0.02</v>
      </c>
      <c r="AL29" s="2495">
        <v>0.02</v>
      </c>
      <c r="AM29" s="2495">
        <v>0.02</v>
      </c>
      <c r="AN29" s="2495">
        <v>0.02</v>
      </c>
      <c r="AO29" s="2495">
        <v>0.02</v>
      </c>
      <c r="AP29" s="2495">
        <v>0.03</v>
      </c>
      <c r="AQ29" s="2495">
        <v>0.05</v>
      </c>
      <c r="AR29" s="2495">
        <v>0.05</v>
      </c>
      <c r="AS29" s="2495">
        <v>0.05</v>
      </c>
      <c r="AT29" s="2495">
        <v>0.05</v>
      </c>
      <c r="AU29" s="2495">
        <v>0.05</v>
      </c>
      <c r="AV29" s="2495">
        <v>0.05</v>
      </c>
      <c r="AW29" s="2495">
        <v>0.05</v>
      </c>
      <c r="AX29" s="2495">
        <v>0.1</v>
      </c>
      <c r="AY29" s="2495">
        <v>0.1</v>
      </c>
      <c r="AZ29" s="2495">
        <v>0.1</v>
      </c>
      <c r="BA29" s="2495">
        <v>0.1</v>
      </c>
      <c r="BB29" s="2495">
        <v>0.1</v>
      </c>
      <c r="BC29" s="106">
        <v>0</v>
      </c>
      <c r="BD29" s="106">
        <v>0</v>
      </c>
      <c r="BE29" s="106">
        <v>0</v>
      </c>
      <c r="BF29" s="106">
        <v>0</v>
      </c>
      <c r="BG29" s="106">
        <v>0</v>
      </c>
      <c r="BH29" s="106">
        <v>0</v>
      </c>
      <c r="BI29" s="106">
        <v>0</v>
      </c>
      <c r="BJ29" s="106">
        <v>0</v>
      </c>
      <c r="BK29" s="106">
        <v>0</v>
      </c>
      <c r="BL29" s="106">
        <v>0</v>
      </c>
      <c r="BM29" s="106">
        <v>0</v>
      </c>
      <c r="BN29" s="106">
        <v>0</v>
      </c>
      <c r="BO29" s="106">
        <v>0</v>
      </c>
      <c r="BP29" s="106">
        <v>0</v>
      </c>
      <c r="BQ29" s="106">
        <v>0</v>
      </c>
      <c r="BR29" s="106">
        <v>0</v>
      </c>
      <c r="BS29" s="106">
        <v>0</v>
      </c>
      <c r="BT29" s="106">
        <v>0</v>
      </c>
      <c r="BU29" s="106">
        <v>0</v>
      </c>
      <c r="BV29" s="106">
        <v>0</v>
      </c>
      <c r="BW29" s="106">
        <v>0</v>
      </c>
      <c r="BX29" s="106">
        <v>0</v>
      </c>
      <c r="BY29" s="106">
        <v>0</v>
      </c>
      <c r="BZ29" s="106">
        <v>0</v>
      </c>
      <c r="CA29" s="106">
        <v>0</v>
      </c>
      <c r="CB29" s="106">
        <v>0</v>
      </c>
      <c r="CC29" s="106">
        <v>0</v>
      </c>
      <c r="CD29" s="106">
        <v>0</v>
      </c>
      <c r="CE29" s="106">
        <v>0</v>
      </c>
      <c r="CG29" s="395"/>
    </row>
    <row r="31" spans="5:85">
      <c r="AV31" s="2496"/>
    </row>
    <row r="32" spans="5:85">
      <c r="J32">
        <v>3</v>
      </c>
      <c r="L32" s="106">
        <v>0</v>
      </c>
      <c r="M32" s="106">
        <v>0</v>
      </c>
      <c r="N32" s="106">
        <v>0</v>
      </c>
      <c r="O32" s="106">
        <v>0</v>
      </c>
      <c r="P32" s="106">
        <v>0</v>
      </c>
      <c r="Q32" s="106">
        <v>0</v>
      </c>
      <c r="R32" s="106">
        <v>0</v>
      </c>
      <c r="S32" s="106">
        <v>0</v>
      </c>
      <c r="T32" s="106">
        <v>0</v>
      </c>
      <c r="U32" s="106">
        <v>0</v>
      </c>
      <c r="V32" s="106">
        <v>0</v>
      </c>
      <c r="W32" s="106">
        <v>0</v>
      </c>
      <c r="X32" s="106">
        <v>0</v>
      </c>
      <c r="Y32" s="106">
        <v>0</v>
      </c>
      <c r="Z32" s="106">
        <v>0</v>
      </c>
      <c r="AA32" s="106">
        <v>0</v>
      </c>
      <c r="AB32" s="106">
        <v>0</v>
      </c>
      <c r="AC32" s="106">
        <v>0</v>
      </c>
      <c r="AD32" s="106">
        <v>0</v>
      </c>
      <c r="AE32" s="106">
        <v>0</v>
      </c>
      <c r="AF32" s="106">
        <v>0</v>
      </c>
      <c r="AG32" s="106">
        <v>0</v>
      </c>
      <c r="AH32" s="106">
        <v>0</v>
      </c>
      <c r="AI32" s="106">
        <v>0</v>
      </c>
      <c r="AJ32" s="106">
        <v>0</v>
      </c>
      <c r="AK32" s="106">
        <v>0</v>
      </c>
      <c r="AL32" s="106">
        <v>0</v>
      </c>
      <c r="AM32" s="106">
        <v>0</v>
      </c>
      <c r="AN32" s="106">
        <v>0</v>
      </c>
      <c r="AO32" s="106">
        <v>0</v>
      </c>
      <c r="AP32" s="106">
        <v>0</v>
      </c>
      <c r="AQ32" s="106">
        <v>0</v>
      </c>
      <c r="AR32" s="106">
        <v>0</v>
      </c>
      <c r="AS32" s="106">
        <v>0</v>
      </c>
      <c r="AT32" s="106">
        <v>0</v>
      </c>
      <c r="AU32" s="106">
        <v>0</v>
      </c>
      <c r="AV32" s="2495">
        <v>0.02</v>
      </c>
      <c r="AW32" s="2495">
        <v>0.02</v>
      </c>
      <c r="AX32" s="2495">
        <v>0.02</v>
      </c>
      <c r="AY32" s="2495">
        <v>0.02</v>
      </c>
      <c r="AZ32" s="2495">
        <v>0.02</v>
      </c>
      <c r="BA32" s="2495">
        <v>0.02</v>
      </c>
      <c r="BB32" s="2495">
        <v>0.03</v>
      </c>
      <c r="BC32" s="2495">
        <v>0.05</v>
      </c>
      <c r="BD32" s="2495">
        <v>0.05</v>
      </c>
      <c r="BE32" s="2495">
        <v>0.05</v>
      </c>
      <c r="BF32" s="2495">
        <v>0.05</v>
      </c>
      <c r="BG32" s="2495">
        <v>0.05</v>
      </c>
      <c r="BH32" s="2495">
        <v>0.05</v>
      </c>
      <c r="BI32" s="2495">
        <v>0.05</v>
      </c>
      <c r="BJ32" s="2495">
        <v>0.1</v>
      </c>
      <c r="BK32" s="2495">
        <v>0.1</v>
      </c>
      <c r="BL32" s="2495">
        <v>0.1</v>
      </c>
      <c r="BM32" s="2495">
        <v>0.1</v>
      </c>
      <c r="BN32" s="2495">
        <v>0.1</v>
      </c>
      <c r="BO32" s="106">
        <v>0</v>
      </c>
      <c r="BP32" s="106">
        <v>0</v>
      </c>
      <c r="BQ32" s="106">
        <v>0</v>
      </c>
      <c r="BR32" s="106">
        <v>0</v>
      </c>
      <c r="BS32" s="106">
        <v>0</v>
      </c>
      <c r="BT32" s="106">
        <v>0</v>
      </c>
      <c r="BU32" s="106">
        <v>0</v>
      </c>
      <c r="BV32" s="106">
        <v>0</v>
      </c>
      <c r="BW32" s="106">
        <v>0</v>
      </c>
      <c r="BX32" s="106">
        <v>0</v>
      </c>
      <c r="BY32" s="106">
        <v>0</v>
      </c>
      <c r="BZ32" s="106">
        <v>0</v>
      </c>
      <c r="CA32" s="106">
        <v>0</v>
      </c>
      <c r="CB32" s="106">
        <v>0</v>
      </c>
      <c r="CC32" s="106">
        <v>0</v>
      </c>
      <c r="CD32" s="106">
        <v>0</v>
      </c>
      <c r="CE32" s="106">
        <v>0</v>
      </c>
      <c r="CG32" s="395">
        <f>SUM(L32:CE32)</f>
        <v>0.99999999999999989</v>
      </c>
    </row>
    <row r="33" spans="10:85">
      <c r="L33" s="106">
        <v>0</v>
      </c>
      <c r="M33" s="106">
        <v>0</v>
      </c>
      <c r="N33" s="106">
        <v>0</v>
      </c>
      <c r="O33" s="106">
        <v>0</v>
      </c>
      <c r="P33" s="106">
        <v>0</v>
      </c>
      <c r="Q33" s="106">
        <v>0</v>
      </c>
      <c r="R33" s="106">
        <v>0</v>
      </c>
      <c r="S33" s="106">
        <v>0</v>
      </c>
      <c r="T33" s="106">
        <v>0</v>
      </c>
      <c r="U33" s="106">
        <v>0</v>
      </c>
      <c r="V33" s="106">
        <v>0</v>
      </c>
      <c r="W33" s="106">
        <v>0</v>
      </c>
      <c r="X33" s="106">
        <v>0</v>
      </c>
      <c r="Y33" s="106">
        <v>0</v>
      </c>
      <c r="Z33" s="106">
        <v>0</v>
      </c>
      <c r="AA33" s="106">
        <v>0</v>
      </c>
      <c r="AB33" s="106">
        <v>0</v>
      </c>
      <c r="AC33" s="106">
        <v>0</v>
      </c>
      <c r="AD33" s="106">
        <v>0</v>
      </c>
      <c r="AE33" s="106">
        <v>0</v>
      </c>
      <c r="AF33" s="106">
        <v>0</v>
      </c>
      <c r="AG33" s="106">
        <v>0</v>
      </c>
      <c r="AH33" s="106">
        <v>0</v>
      </c>
      <c r="AI33" s="106">
        <v>0</v>
      </c>
      <c r="AJ33" s="106">
        <v>0</v>
      </c>
      <c r="AK33" s="106">
        <v>0</v>
      </c>
      <c r="AL33" s="106">
        <v>0</v>
      </c>
      <c r="AM33" s="106">
        <v>0</v>
      </c>
      <c r="AN33" s="106">
        <v>0</v>
      </c>
      <c r="AO33" s="106">
        <v>0</v>
      </c>
      <c r="AP33" s="106">
        <v>0</v>
      </c>
      <c r="AQ33" s="106">
        <v>0</v>
      </c>
      <c r="AR33" s="106">
        <v>0</v>
      </c>
      <c r="AS33" s="106">
        <v>0</v>
      </c>
      <c r="AT33" s="106">
        <v>0</v>
      </c>
      <c r="AU33" s="106">
        <v>0</v>
      </c>
      <c r="AV33" s="2495">
        <v>0.02</v>
      </c>
      <c r="AW33" s="2495">
        <v>0.02</v>
      </c>
      <c r="AX33" s="2495">
        <v>0.02</v>
      </c>
      <c r="AY33" s="2495">
        <v>0.02</v>
      </c>
      <c r="AZ33" s="2495">
        <v>0.02</v>
      </c>
      <c r="BA33" s="2495">
        <v>0.02</v>
      </c>
      <c r="BB33" s="2495">
        <v>0.03</v>
      </c>
      <c r="BC33" s="2495">
        <v>0.05</v>
      </c>
      <c r="BD33" s="2495">
        <v>0.05</v>
      </c>
      <c r="BE33" s="2495">
        <v>0.05</v>
      </c>
      <c r="BF33" s="2495">
        <v>0.05</v>
      </c>
      <c r="BG33" s="2495">
        <v>0.05</v>
      </c>
      <c r="BH33" s="2495">
        <v>0.05</v>
      </c>
      <c r="BI33" s="2495">
        <v>0.05</v>
      </c>
      <c r="BJ33" s="2495">
        <v>0.1</v>
      </c>
      <c r="BK33" s="2495">
        <v>0.1</v>
      </c>
      <c r="BL33" s="2495">
        <v>0.1</v>
      </c>
      <c r="BM33" s="2495">
        <v>0.1</v>
      </c>
      <c r="BN33" s="2495">
        <v>0.1</v>
      </c>
      <c r="BO33" s="106">
        <v>0</v>
      </c>
      <c r="BP33" s="106">
        <v>0</v>
      </c>
      <c r="BQ33" s="106">
        <v>0</v>
      </c>
      <c r="BR33" s="106">
        <v>0</v>
      </c>
      <c r="BS33" s="106">
        <v>0</v>
      </c>
      <c r="BT33" s="106">
        <v>0</v>
      </c>
      <c r="BU33" s="106">
        <v>0</v>
      </c>
      <c r="BV33" s="106">
        <v>0</v>
      </c>
      <c r="BW33" s="106">
        <v>0</v>
      </c>
      <c r="BX33" s="106">
        <v>0</v>
      </c>
      <c r="BY33" s="106">
        <v>0</v>
      </c>
      <c r="BZ33" s="106">
        <v>0</v>
      </c>
      <c r="CA33" s="106">
        <v>0</v>
      </c>
      <c r="CB33" s="106">
        <v>0</v>
      </c>
      <c r="CC33" s="106">
        <v>0</v>
      </c>
      <c r="CD33" s="106">
        <v>0</v>
      </c>
      <c r="CE33" s="106">
        <v>0</v>
      </c>
      <c r="CG33" s="395">
        <f t="shared" ref="CG33:CG39" si="2">SUM(L33:CE33)</f>
        <v>0.99999999999999989</v>
      </c>
    </row>
    <row r="34" spans="10:85">
      <c r="L34" s="106">
        <v>0</v>
      </c>
      <c r="M34" s="106">
        <v>0</v>
      </c>
      <c r="N34" s="106">
        <v>0</v>
      </c>
      <c r="O34" s="106">
        <v>0</v>
      </c>
      <c r="P34" s="106">
        <v>0</v>
      </c>
      <c r="Q34" s="106">
        <v>0</v>
      </c>
      <c r="R34" s="106">
        <v>0</v>
      </c>
      <c r="S34" s="106">
        <v>0</v>
      </c>
      <c r="T34" s="106">
        <v>0</v>
      </c>
      <c r="U34" s="106">
        <v>0</v>
      </c>
      <c r="V34" s="106">
        <v>0</v>
      </c>
      <c r="W34" s="106">
        <v>0</v>
      </c>
      <c r="X34" s="106">
        <v>0</v>
      </c>
      <c r="Y34" s="106">
        <v>0</v>
      </c>
      <c r="Z34" s="106">
        <v>0</v>
      </c>
      <c r="AA34" s="106">
        <v>0</v>
      </c>
      <c r="AB34" s="106">
        <v>0</v>
      </c>
      <c r="AC34" s="106">
        <v>0</v>
      </c>
      <c r="AD34" s="106">
        <v>0</v>
      </c>
      <c r="AE34" s="106">
        <v>0</v>
      </c>
      <c r="AF34" s="106">
        <v>0</v>
      </c>
      <c r="AG34" s="106">
        <v>0</v>
      </c>
      <c r="AH34" s="106">
        <v>0</v>
      </c>
      <c r="AI34" s="106">
        <v>0</v>
      </c>
      <c r="AJ34" s="106">
        <v>0</v>
      </c>
      <c r="AK34" s="106">
        <v>0</v>
      </c>
      <c r="AL34" s="106">
        <v>0</v>
      </c>
      <c r="AM34" s="106">
        <v>0</v>
      </c>
      <c r="AN34" s="106">
        <v>0</v>
      </c>
      <c r="AO34" s="106">
        <v>0</v>
      </c>
      <c r="AP34" s="106">
        <v>0</v>
      </c>
      <c r="AQ34" s="106">
        <v>0</v>
      </c>
      <c r="AR34" s="106">
        <v>0</v>
      </c>
      <c r="AS34" s="106">
        <v>0</v>
      </c>
      <c r="AT34" s="106">
        <v>0</v>
      </c>
      <c r="AU34" s="106">
        <v>0</v>
      </c>
      <c r="AV34" s="2495">
        <v>0.02</v>
      </c>
      <c r="AW34" s="2495">
        <v>0.02</v>
      </c>
      <c r="AX34" s="2495">
        <v>0.02</v>
      </c>
      <c r="AY34" s="2495">
        <v>0.02</v>
      </c>
      <c r="AZ34" s="2495">
        <v>0.02</v>
      </c>
      <c r="BA34" s="2495">
        <v>0.02</v>
      </c>
      <c r="BB34" s="2495">
        <v>0.03</v>
      </c>
      <c r="BC34" s="2495">
        <v>0.05</v>
      </c>
      <c r="BD34" s="2495">
        <v>0.05</v>
      </c>
      <c r="BE34" s="2495">
        <v>0.05</v>
      </c>
      <c r="BF34" s="2495">
        <v>0.05</v>
      </c>
      <c r="BG34" s="2495">
        <v>0.05</v>
      </c>
      <c r="BH34" s="2495">
        <v>0.05</v>
      </c>
      <c r="BI34" s="2495">
        <v>0.05</v>
      </c>
      <c r="BJ34" s="2495">
        <v>0.1</v>
      </c>
      <c r="BK34" s="2495">
        <v>0.1</v>
      </c>
      <c r="BL34" s="2495">
        <v>0.1</v>
      </c>
      <c r="BM34" s="2495">
        <v>0.1</v>
      </c>
      <c r="BN34" s="2495">
        <v>0.1</v>
      </c>
      <c r="BO34" s="106">
        <v>0</v>
      </c>
      <c r="BP34" s="106">
        <v>0</v>
      </c>
      <c r="BQ34" s="106">
        <v>0</v>
      </c>
      <c r="BR34" s="106">
        <v>0</v>
      </c>
      <c r="BS34" s="106">
        <v>0</v>
      </c>
      <c r="BT34" s="106">
        <v>0</v>
      </c>
      <c r="BU34" s="106">
        <v>0</v>
      </c>
      <c r="BV34" s="106">
        <v>0</v>
      </c>
      <c r="BW34" s="106">
        <v>0</v>
      </c>
      <c r="BX34" s="106">
        <v>0</v>
      </c>
      <c r="BY34" s="106">
        <v>0</v>
      </c>
      <c r="BZ34" s="106">
        <v>0</v>
      </c>
      <c r="CA34" s="106">
        <v>0</v>
      </c>
      <c r="CB34" s="106">
        <v>0</v>
      </c>
      <c r="CC34" s="106">
        <v>0</v>
      </c>
      <c r="CD34" s="106">
        <v>0</v>
      </c>
      <c r="CE34" s="106">
        <v>0</v>
      </c>
      <c r="CG34" s="395">
        <f t="shared" si="2"/>
        <v>0.99999999999999989</v>
      </c>
    </row>
    <row r="35" spans="10:85">
      <c r="L35" s="106">
        <v>0</v>
      </c>
      <c r="M35" s="106">
        <v>0</v>
      </c>
      <c r="N35" s="106">
        <v>0</v>
      </c>
      <c r="O35" s="106">
        <v>0</v>
      </c>
      <c r="P35" s="106">
        <v>0</v>
      </c>
      <c r="Q35" s="106">
        <v>0</v>
      </c>
      <c r="R35" s="106">
        <v>0</v>
      </c>
      <c r="S35" s="106">
        <v>0</v>
      </c>
      <c r="T35" s="106">
        <v>0</v>
      </c>
      <c r="U35" s="106">
        <v>0</v>
      </c>
      <c r="V35" s="106">
        <v>0</v>
      </c>
      <c r="W35" s="106">
        <v>0</v>
      </c>
      <c r="X35" s="106">
        <v>0</v>
      </c>
      <c r="Y35" s="106">
        <v>0</v>
      </c>
      <c r="Z35" s="106">
        <v>0</v>
      </c>
      <c r="AA35" s="106">
        <v>0</v>
      </c>
      <c r="AB35" s="106">
        <v>0</v>
      </c>
      <c r="AC35" s="106">
        <v>0</v>
      </c>
      <c r="AD35" s="106">
        <v>0</v>
      </c>
      <c r="AE35" s="106">
        <v>0</v>
      </c>
      <c r="AF35" s="106">
        <v>0</v>
      </c>
      <c r="AG35" s="106">
        <v>0</v>
      </c>
      <c r="AH35" s="106">
        <v>0</v>
      </c>
      <c r="AI35" s="106">
        <v>0</v>
      </c>
      <c r="AJ35" s="106">
        <v>0</v>
      </c>
      <c r="AK35" s="106">
        <v>0</v>
      </c>
      <c r="AL35" s="106">
        <v>0</v>
      </c>
      <c r="AM35" s="106">
        <v>0</v>
      </c>
      <c r="AN35" s="106">
        <v>0</v>
      </c>
      <c r="AO35" s="106">
        <v>0</v>
      </c>
      <c r="AP35" s="106">
        <v>0</v>
      </c>
      <c r="AQ35" s="106">
        <v>0</v>
      </c>
      <c r="AR35" s="106">
        <v>0</v>
      </c>
      <c r="AS35" s="106">
        <v>0</v>
      </c>
      <c r="AT35" s="106">
        <v>0</v>
      </c>
      <c r="AU35" s="106">
        <v>0</v>
      </c>
      <c r="AV35" s="2495">
        <v>0.02</v>
      </c>
      <c r="AW35" s="2495">
        <v>0.02</v>
      </c>
      <c r="AX35" s="2495">
        <v>0.02</v>
      </c>
      <c r="AY35" s="2495">
        <v>0.02</v>
      </c>
      <c r="AZ35" s="2495">
        <v>0.02</v>
      </c>
      <c r="BA35" s="2495">
        <v>0.02</v>
      </c>
      <c r="BB35" s="2495">
        <v>0.03</v>
      </c>
      <c r="BC35" s="2495">
        <v>0.05</v>
      </c>
      <c r="BD35" s="2495">
        <v>0.05</v>
      </c>
      <c r="BE35" s="2495">
        <v>0.05</v>
      </c>
      <c r="BF35" s="2495">
        <v>0.05</v>
      </c>
      <c r="BG35" s="2495">
        <v>0.05</v>
      </c>
      <c r="BH35" s="2495">
        <v>0.05</v>
      </c>
      <c r="BI35" s="2495">
        <v>0.05</v>
      </c>
      <c r="BJ35" s="2495">
        <v>0.1</v>
      </c>
      <c r="BK35" s="2495">
        <v>0.1</v>
      </c>
      <c r="BL35" s="2495">
        <v>0.1</v>
      </c>
      <c r="BM35" s="2495">
        <v>0.1</v>
      </c>
      <c r="BN35" s="2495">
        <v>0.1</v>
      </c>
      <c r="BO35" s="106">
        <v>0</v>
      </c>
      <c r="BP35" s="106">
        <v>0</v>
      </c>
      <c r="BQ35" s="106">
        <v>0</v>
      </c>
      <c r="BR35" s="106">
        <v>0</v>
      </c>
      <c r="BS35" s="106">
        <v>0</v>
      </c>
      <c r="BT35" s="106">
        <v>0</v>
      </c>
      <c r="BU35" s="106">
        <v>0</v>
      </c>
      <c r="BV35" s="106">
        <v>0</v>
      </c>
      <c r="BW35" s="106">
        <v>0</v>
      </c>
      <c r="BX35" s="106">
        <v>0</v>
      </c>
      <c r="BY35" s="106">
        <v>0</v>
      </c>
      <c r="BZ35" s="106">
        <v>0</v>
      </c>
      <c r="CA35" s="106">
        <v>0</v>
      </c>
      <c r="CB35" s="106">
        <v>0</v>
      </c>
      <c r="CC35" s="106">
        <v>0</v>
      </c>
      <c r="CD35" s="106">
        <v>0</v>
      </c>
      <c r="CE35" s="106">
        <v>0</v>
      </c>
      <c r="CG35" s="395">
        <f t="shared" si="2"/>
        <v>0.99999999999999989</v>
      </c>
    </row>
    <row r="36" spans="10:85">
      <c r="L36" s="106">
        <v>0</v>
      </c>
      <c r="M36" s="106">
        <v>0</v>
      </c>
      <c r="N36" s="106">
        <v>0</v>
      </c>
      <c r="O36" s="106">
        <v>0</v>
      </c>
      <c r="P36" s="106">
        <v>0</v>
      </c>
      <c r="Q36" s="106">
        <v>0</v>
      </c>
      <c r="R36" s="106">
        <v>0</v>
      </c>
      <c r="S36" s="106">
        <v>0</v>
      </c>
      <c r="T36" s="106">
        <v>0</v>
      </c>
      <c r="U36" s="106">
        <v>0</v>
      </c>
      <c r="V36" s="106">
        <v>0</v>
      </c>
      <c r="W36" s="106">
        <v>0</v>
      </c>
      <c r="X36" s="106">
        <v>0</v>
      </c>
      <c r="Y36" s="106">
        <v>0</v>
      </c>
      <c r="Z36" s="106">
        <v>0</v>
      </c>
      <c r="AA36" s="106">
        <v>0</v>
      </c>
      <c r="AB36" s="106">
        <v>0</v>
      </c>
      <c r="AC36" s="106">
        <v>0</v>
      </c>
      <c r="AD36" s="106">
        <v>0</v>
      </c>
      <c r="AE36" s="106">
        <v>0</v>
      </c>
      <c r="AF36" s="106">
        <v>0</v>
      </c>
      <c r="AG36" s="106">
        <v>0</v>
      </c>
      <c r="AH36" s="106">
        <v>0</v>
      </c>
      <c r="AI36" s="106">
        <v>0</v>
      </c>
      <c r="AJ36" s="106">
        <v>0</v>
      </c>
      <c r="AK36" s="106">
        <v>0</v>
      </c>
      <c r="AL36" s="106">
        <v>0</v>
      </c>
      <c r="AM36" s="106">
        <v>0</v>
      </c>
      <c r="AN36" s="106">
        <v>0</v>
      </c>
      <c r="AO36" s="106">
        <v>0</v>
      </c>
      <c r="AP36" s="106">
        <v>0</v>
      </c>
      <c r="AQ36" s="106">
        <v>0</v>
      </c>
      <c r="AR36" s="106">
        <v>0</v>
      </c>
      <c r="AS36" s="106">
        <v>0</v>
      </c>
      <c r="AT36" s="106">
        <v>0</v>
      </c>
      <c r="AU36" s="106">
        <v>0</v>
      </c>
      <c r="AV36" s="2495">
        <v>0.02</v>
      </c>
      <c r="AW36" s="2495">
        <v>0.02</v>
      </c>
      <c r="AX36" s="2495">
        <v>0.02</v>
      </c>
      <c r="AY36" s="2495">
        <v>0.02</v>
      </c>
      <c r="AZ36" s="2495">
        <v>0.02</v>
      </c>
      <c r="BA36" s="2495">
        <v>0.02</v>
      </c>
      <c r="BB36" s="2495">
        <v>0.03</v>
      </c>
      <c r="BC36" s="2495">
        <v>0.05</v>
      </c>
      <c r="BD36" s="2495">
        <v>0.05</v>
      </c>
      <c r="BE36" s="2495">
        <v>0.05</v>
      </c>
      <c r="BF36" s="2495">
        <v>0.05</v>
      </c>
      <c r="BG36" s="2495">
        <v>0.05</v>
      </c>
      <c r="BH36" s="2495">
        <v>0.05</v>
      </c>
      <c r="BI36" s="2495">
        <v>0.05</v>
      </c>
      <c r="BJ36" s="2495">
        <v>0.1</v>
      </c>
      <c r="BK36" s="2495">
        <v>0.1</v>
      </c>
      <c r="BL36" s="2495">
        <v>0.1</v>
      </c>
      <c r="BM36" s="2495">
        <v>0.1</v>
      </c>
      <c r="BN36" s="2495">
        <v>0.1</v>
      </c>
      <c r="BO36" s="106">
        <v>0</v>
      </c>
      <c r="BP36" s="106">
        <v>0</v>
      </c>
      <c r="BQ36" s="106">
        <v>0</v>
      </c>
      <c r="BR36" s="106">
        <v>0</v>
      </c>
      <c r="BS36" s="106">
        <v>0</v>
      </c>
      <c r="BT36" s="106">
        <v>0</v>
      </c>
      <c r="BU36" s="106">
        <v>0</v>
      </c>
      <c r="BV36" s="106">
        <v>0</v>
      </c>
      <c r="BW36" s="106">
        <v>0</v>
      </c>
      <c r="BX36" s="106">
        <v>0</v>
      </c>
      <c r="BY36" s="106">
        <v>0</v>
      </c>
      <c r="BZ36" s="106">
        <v>0</v>
      </c>
      <c r="CA36" s="106">
        <v>0</v>
      </c>
      <c r="CB36" s="106">
        <v>0</v>
      </c>
      <c r="CC36" s="106">
        <v>0</v>
      </c>
      <c r="CD36" s="106">
        <v>0</v>
      </c>
      <c r="CE36" s="106">
        <v>0</v>
      </c>
      <c r="CG36" s="395">
        <f t="shared" si="2"/>
        <v>0.99999999999999989</v>
      </c>
    </row>
    <row r="37" spans="10:85">
      <c r="L37" s="106">
        <v>0</v>
      </c>
      <c r="M37" s="106">
        <v>0</v>
      </c>
      <c r="N37" s="106">
        <v>0</v>
      </c>
      <c r="O37" s="106">
        <v>0</v>
      </c>
      <c r="P37" s="106">
        <v>0</v>
      </c>
      <c r="Q37" s="106">
        <v>0</v>
      </c>
      <c r="R37" s="106">
        <v>0</v>
      </c>
      <c r="S37" s="106">
        <v>0</v>
      </c>
      <c r="T37" s="106">
        <v>0</v>
      </c>
      <c r="U37" s="106">
        <v>0</v>
      </c>
      <c r="V37" s="106">
        <v>0</v>
      </c>
      <c r="W37" s="106">
        <v>0</v>
      </c>
      <c r="X37" s="106">
        <v>0</v>
      </c>
      <c r="Y37" s="106">
        <v>0</v>
      </c>
      <c r="Z37" s="106">
        <v>0</v>
      </c>
      <c r="AA37" s="106">
        <v>0</v>
      </c>
      <c r="AB37" s="106">
        <v>0</v>
      </c>
      <c r="AC37" s="106">
        <v>0</v>
      </c>
      <c r="AD37" s="106">
        <v>0</v>
      </c>
      <c r="AE37" s="106">
        <v>0</v>
      </c>
      <c r="AF37" s="106">
        <v>0</v>
      </c>
      <c r="AG37" s="106">
        <v>0</v>
      </c>
      <c r="AH37" s="106">
        <v>0</v>
      </c>
      <c r="AI37" s="106">
        <v>0</v>
      </c>
      <c r="AJ37" s="106">
        <v>0</v>
      </c>
      <c r="AK37" s="106">
        <v>0</v>
      </c>
      <c r="AL37" s="106">
        <v>0</v>
      </c>
      <c r="AM37" s="106">
        <v>0</v>
      </c>
      <c r="AN37" s="106">
        <v>0</v>
      </c>
      <c r="AO37" s="106">
        <v>0</v>
      </c>
      <c r="AP37" s="106">
        <v>0</v>
      </c>
      <c r="AQ37" s="106">
        <v>0</v>
      </c>
      <c r="AR37" s="106">
        <v>0</v>
      </c>
      <c r="AS37" s="106">
        <v>0</v>
      </c>
      <c r="AT37" s="106">
        <v>0</v>
      </c>
      <c r="AU37" s="106">
        <v>0</v>
      </c>
      <c r="AV37" s="2495">
        <v>0.02</v>
      </c>
      <c r="AW37" s="2495">
        <v>0.02</v>
      </c>
      <c r="AX37" s="2495">
        <v>0.02</v>
      </c>
      <c r="AY37" s="2495">
        <v>0.02</v>
      </c>
      <c r="AZ37" s="2495">
        <v>0.02</v>
      </c>
      <c r="BA37" s="2495">
        <v>0.02</v>
      </c>
      <c r="BB37" s="2495">
        <v>0.03</v>
      </c>
      <c r="BC37" s="2495">
        <v>0.05</v>
      </c>
      <c r="BD37" s="2495">
        <v>0.05</v>
      </c>
      <c r="BE37" s="2495">
        <v>0.05</v>
      </c>
      <c r="BF37" s="2495">
        <v>0.05</v>
      </c>
      <c r="BG37" s="2495">
        <v>0.05</v>
      </c>
      <c r="BH37" s="2495">
        <v>0.05</v>
      </c>
      <c r="BI37" s="2495">
        <v>0.05</v>
      </c>
      <c r="BJ37" s="2495">
        <v>0.1</v>
      </c>
      <c r="BK37" s="2495">
        <v>0.1</v>
      </c>
      <c r="BL37" s="2495">
        <v>0.1</v>
      </c>
      <c r="BM37" s="2495">
        <v>0.1</v>
      </c>
      <c r="BN37" s="2495">
        <v>0.1</v>
      </c>
      <c r="BO37" s="106">
        <v>0</v>
      </c>
      <c r="BP37" s="106">
        <v>0</v>
      </c>
      <c r="BQ37" s="106">
        <v>0</v>
      </c>
      <c r="BR37" s="106">
        <v>0</v>
      </c>
      <c r="BS37" s="106">
        <v>0</v>
      </c>
      <c r="BT37" s="106">
        <v>0</v>
      </c>
      <c r="BU37" s="106">
        <v>0</v>
      </c>
      <c r="BV37" s="106">
        <v>0</v>
      </c>
      <c r="BW37" s="106">
        <v>0</v>
      </c>
      <c r="BX37" s="106">
        <v>0</v>
      </c>
      <c r="BY37" s="106">
        <v>0</v>
      </c>
      <c r="BZ37" s="106">
        <v>0</v>
      </c>
      <c r="CA37" s="106">
        <v>0</v>
      </c>
      <c r="CB37" s="106">
        <v>0</v>
      </c>
      <c r="CC37" s="106">
        <v>0</v>
      </c>
      <c r="CD37" s="106">
        <v>0</v>
      </c>
      <c r="CE37" s="106">
        <v>0</v>
      </c>
      <c r="CG37" s="395">
        <f t="shared" si="2"/>
        <v>0.99999999999999989</v>
      </c>
    </row>
    <row r="38" spans="10:85">
      <c r="L38" s="106"/>
      <c r="M38" s="106"/>
      <c r="N38" s="106"/>
      <c r="O38" s="106"/>
      <c r="P38" s="106"/>
      <c r="Q38" s="106"/>
      <c r="R38" s="106"/>
      <c r="S38" s="106"/>
      <c r="T38" s="106"/>
      <c r="U38" s="106"/>
      <c r="V38" s="106"/>
      <c r="W38" s="106"/>
      <c r="X38" s="106"/>
      <c r="Y38" s="106"/>
      <c r="Z38" s="106"/>
      <c r="AA38" s="106"/>
      <c r="AB38" s="106"/>
      <c r="AC38" s="106"/>
      <c r="AD38" s="106"/>
      <c r="AE38" s="106"/>
      <c r="AF38" s="106"/>
      <c r="AG38" s="106"/>
      <c r="AH38" s="106"/>
      <c r="AI38" s="106"/>
      <c r="AJ38" s="106"/>
      <c r="AK38" s="106"/>
      <c r="AL38" s="106"/>
      <c r="AM38" s="106"/>
      <c r="AN38" s="106"/>
      <c r="AO38" s="106"/>
      <c r="AP38" s="106"/>
      <c r="AQ38" s="106"/>
      <c r="AR38" s="106"/>
      <c r="AS38" s="106"/>
      <c r="AT38" s="106"/>
      <c r="AU38" s="106"/>
      <c r="AV38" s="2497"/>
      <c r="AW38" s="2497"/>
      <c r="AX38" s="2497"/>
      <c r="AY38" s="2497"/>
      <c r="AZ38" s="2497"/>
      <c r="BA38" s="2497"/>
      <c r="BB38" s="2497"/>
      <c r="BC38" s="2497"/>
      <c r="BD38" s="2497"/>
      <c r="BE38" s="2497"/>
      <c r="BF38" s="2497"/>
      <c r="BG38" s="2497"/>
      <c r="BH38" s="2497"/>
      <c r="BI38" s="2497"/>
      <c r="BJ38" s="2497"/>
      <c r="BK38" s="2497"/>
      <c r="BL38" s="2497"/>
      <c r="BM38" s="2497"/>
      <c r="BN38" s="2497"/>
      <c r="BO38" s="181"/>
      <c r="BP38" s="181"/>
      <c r="BQ38" s="181"/>
      <c r="BR38" s="181"/>
      <c r="BS38" s="181"/>
      <c r="BT38" s="181"/>
      <c r="BU38" s="181"/>
      <c r="BV38" s="181"/>
      <c r="BW38" s="181"/>
      <c r="BX38" s="181"/>
      <c r="BY38" s="181"/>
      <c r="BZ38" s="181"/>
      <c r="CA38" s="181"/>
      <c r="CB38" s="181"/>
      <c r="CC38" s="181"/>
      <c r="CD38" s="181"/>
      <c r="CE38" s="181"/>
      <c r="CG38" s="395">
        <f t="shared" si="2"/>
        <v>0</v>
      </c>
    </row>
    <row r="39" spans="10:85">
      <c r="L39" s="106">
        <v>0</v>
      </c>
      <c r="M39" s="106">
        <v>0</v>
      </c>
      <c r="N39" s="106">
        <v>0</v>
      </c>
      <c r="O39" s="106">
        <v>0</v>
      </c>
      <c r="P39" s="106">
        <v>0</v>
      </c>
      <c r="Q39" s="106">
        <v>0</v>
      </c>
      <c r="R39" s="106">
        <v>0</v>
      </c>
      <c r="S39" s="106">
        <v>0</v>
      </c>
      <c r="T39" s="106">
        <v>0</v>
      </c>
      <c r="U39" s="106">
        <v>0</v>
      </c>
      <c r="V39" s="106">
        <v>0</v>
      </c>
      <c r="W39" s="106">
        <v>0</v>
      </c>
      <c r="X39" s="106">
        <v>0</v>
      </c>
      <c r="Y39" s="106">
        <v>0</v>
      </c>
      <c r="Z39" s="106">
        <v>0</v>
      </c>
      <c r="AA39" s="106">
        <v>0</v>
      </c>
      <c r="AB39" s="106">
        <v>0</v>
      </c>
      <c r="AC39" s="106">
        <v>0</v>
      </c>
      <c r="AD39" s="106">
        <v>0</v>
      </c>
      <c r="AE39" s="106">
        <v>0</v>
      </c>
      <c r="AF39" s="106">
        <v>0</v>
      </c>
      <c r="AG39" s="106">
        <v>0</v>
      </c>
      <c r="AH39" s="106">
        <v>0</v>
      </c>
      <c r="AI39" s="106">
        <v>0</v>
      </c>
      <c r="AJ39" s="106">
        <v>0</v>
      </c>
      <c r="AK39" s="106">
        <v>0</v>
      </c>
      <c r="AL39" s="106">
        <v>0</v>
      </c>
      <c r="AM39" s="106">
        <v>0</v>
      </c>
      <c r="AN39" s="106">
        <v>0</v>
      </c>
      <c r="AO39" s="106">
        <v>0</v>
      </c>
      <c r="AP39" s="106">
        <v>0</v>
      </c>
      <c r="AQ39" s="106">
        <v>0</v>
      </c>
      <c r="AR39" s="106">
        <v>0</v>
      </c>
      <c r="AS39" s="106">
        <v>0</v>
      </c>
      <c r="AT39" s="106">
        <v>0</v>
      </c>
      <c r="AU39" s="106">
        <v>0</v>
      </c>
      <c r="AV39" s="2495">
        <v>0.02</v>
      </c>
      <c r="AW39" s="2495">
        <v>0.02</v>
      </c>
      <c r="AX39" s="2495">
        <v>0.02</v>
      </c>
      <c r="AY39" s="2495">
        <v>0.02</v>
      </c>
      <c r="AZ39" s="2495">
        <v>0.02</v>
      </c>
      <c r="BA39" s="2495">
        <v>0.02</v>
      </c>
      <c r="BB39" s="2495">
        <v>0.03</v>
      </c>
      <c r="BC39" s="2495">
        <v>0.05</v>
      </c>
      <c r="BD39" s="2495">
        <v>0.05</v>
      </c>
      <c r="BE39" s="2495">
        <v>0.05</v>
      </c>
      <c r="BF39" s="2495">
        <v>0.05</v>
      </c>
      <c r="BG39" s="2495">
        <v>0.05</v>
      </c>
      <c r="BH39" s="2495">
        <v>0.05</v>
      </c>
      <c r="BI39" s="2495">
        <v>0.05</v>
      </c>
      <c r="BJ39" s="2495">
        <v>0.1</v>
      </c>
      <c r="BK39" s="2495">
        <v>0.1</v>
      </c>
      <c r="BL39" s="2495">
        <v>0.1</v>
      </c>
      <c r="BM39" s="2495">
        <v>0.1</v>
      </c>
      <c r="BN39" s="2495">
        <v>0.1</v>
      </c>
      <c r="BO39" s="106">
        <v>0</v>
      </c>
      <c r="BP39" s="106">
        <v>0</v>
      </c>
      <c r="BQ39" s="106">
        <v>0</v>
      </c>
      <c r="BR39" s="106">
        <v>0</v>
      </c>
      <c r="BS39" s="106">
        <v>0</v>
      </c>
      <c r="BT39" s="106">
        <v>0</v>
      </c>
      <c r="BU39" s="106">
        <v>0</v>
      </c>
      <c r="BV39" s="106">
        <v>0</v>
      </c>
      <c r="BW39" s="106">
        <v>0</v>
      </c>
      <c r="BX39" s="106">
        <v>0</v>
      </c>
      <c r="BY39" s="106">
        <v>0</v>
      </c>
      <c r="BZ39" s="106">
        <v>0</v>
      </c>
      <c r="CA39" s="106">
        <v>0</v>
      </c>
      <c r="CB39" s="106">
        <v>0</v>
      </c>
      <c r="CC39" s="106">
        <v>0</v>
      </c>
      <c r="CD39" s="106">
        <v>0</v>
      </c>
      <c r="CE39" s="106">
        <v>0</v>
      </c>
      <c r="CG39" s="395">
        <f t="shared" si="2"/>
        <v>0.99999999999999989</v>
      </c>
    </row>
    <row r="40" spans="10:85">
      <c r="L40" s="106">
        <v>0</v>
      </c>
      <c r="M40" s="106">
        <v>0</v>
      </c>
      <c r="N40" s="106">
        <v>0</v>
      </c>
      <c r="O40" s="106">
        <v>0</v>
      </c>
      <c r="P40" s="106">
        <v>0</v>
      </c>
      <c r="Q40" s="106">
        <v>0</v>
      </c>
      <c r="R40" s="106">
        <v>0</v>
      </c>
      <c r="S40" s="106">
        <v>0</v>
      </c>
      <c r="T40" s="106">
        <v>0</v>
      </c>
      <c r="U40" s="106">
        <v>0</v>
      </c>
      <c r="V40" s="106">
        <v>0</v>
      </c>
      <c r="W40" s="106">
        <v>0</v>
      </c>
      <c r="X40" s="106">
        <v>0</v>
      </c>
      <c r="Y40" s="106">
        <v>0</v>
      </c>
      <c r="Z40" s="106">
        <v>0</v>
      </c>
      <c r="AA40" s="106">
        <v>0</v>
      </c>
      <c r="AB40" s="106">
        <v>0</v>
      </c>
      <c r="AC40" s="106">
        <v>0</v>
      </c>
      <c r="AD40" s="106">
        <v>0</v>
      </c>
      <c r="AE40" s="106">
        <v>0</v>
      </c>
      <c r="AF40" s="106">
        <v>0</v>
      </c>
      <c r="AG40" s="106">
        <v>0</v>
      </c>
      <c r="AH40" s="106">
        <v>0</v>
      </c>
      <c r="AI40" s="106">
        <v>0</v>
      </c>
      <c r="AJ40" s="106">
        <v>0</v>
      </c>
      <c r="AK40" s="106">
        <v>0</v>
      </c>
      <c r="AL40" s="106">
        <v>0</v>
      </c>
      <c r="AM40" s="106">
        <v>0</v>
      </c>
      <c r="AN40" s="106">
        <v>0</v>
      </c>
      <c r="AO40" s="106">
        <v>0</v>
      </c>
      <c r="AP40" s="106">
        <v>0</v>
      </c>
      <c r="AQ40" s="106">
        <v>0</v>
      </c>
      <c r="AR40" s="106">
        <v>0</v>
      </c>
      <c r="AS40" s="106">
        <v>0</v>
      </c>
      <c r="AT40" s="106">
        <v>0</v>
      </c>
      <c r="AU40" s="106">
        <v>0</v>
      </c>
      <c r="AV40" s="2495">
        <v>0.02</v>
      </c>
      <c r="AW40" s="2495">
        <v>0.02</v>
      </c>
      <c r="AX40" s="2495">
        <v>0.02</v>
      </c>
      <c r="AY40" s="2495">
        <v>0.02</v>
      </c>
      <c r="AZ40" s="2495">
        <v>0.02</v>
      </c>
      <c r="BA40" s="2495">
        <v>0.02</v>
      </c>
      <c r="BB40" s="2495">
        <v>0.03</v>
      </c>
      <c r="BC40" s="2495">
        <v>0.05</v>
      </c>
      <c r="BD40" s="2495">
        <v>0.05</v>
      </c>
      <c r="BE40" s="2495">
        <v>0.05</v>
      </c>
      <c r="BF40" s="2495">
        <v>0.05</v>
      </c>
      <c r="BG40" s="2495">
        <v>0.05</v>
      </c>
      <c r="BH40" s="2495">
        <v>0.05</v>
      </c>
      <c r="BI40" s="2495">
        <v>0.05</v>
      </c>
      <c r="BJ40" s="2495">
        <v>0.1</v>
      </c>
      <c r="BK40" s="2495">
        <v>0.1</v>
      </c>
      <c r="BL40" s="2495">
        <v>0.1</v>
      </c>
      <c r="BM40" s="2495">
        <v>0.1</v>
      </c>
      <c r="BN40" s="2495">
        <v>0.1</v>
      </c>
      <c r="BO40" s="106">
        <v>0</v>
      </c>
      <c r="BP40" s="106">
        <v>0</v>
      </c>
      <c r="BQ40" s="106">
        <v>0</v>
      </c>
      <c r="BR40" s="106">
        <v>0</v>
      </c>
      <c r="BS40" s="106">
        <v>0</v>
      </c>
      <c r="BT40" s="106">
        <v>0</v>
      </c>
      <c r="BU40" s="106">
        <v>0</v>
      </c>
      <c r="BV40" s="106">
        <v>0</v>
      </c>
      <c r="BW40" s="106">
        <v>0</v>
      </c>
      <c r="BX40" s="106">
        <v>0</v>
      </c>
      <c r="BY40" s="106">
        <v>0</v>
      </c>
      <c r="BZ40" s="106">
        <v>0</v>
      </c>
      <c r="CA40" s="106">
        <v>0</v>
      </c>
      <c r="CB40" s="106">
        <v>0</v>
      </c>
      <c r="CC40" s="106">
        <v>0</v>
      </c>
      <c r="CD40" s="106">
        <v>0</v>
      </c>
      <c r="CE40" s="106">
        <v>0</v>
      </c>
      <c r="CG40" s="395"/>
    </row>
    <row r="41" spans="10:85">
      <c r="CG41" s="395"/>
    </row>
    <row r="42" spans="10:85">
      <c r="BH42" s="2496"/>
      <c r="CG42" s="395"/>
    </row>
    <row r="43" spans="10:85">
      <c r="J43">
        <v>4</v>
      </c>
      <c r="L43" s="106">
        <v>0</v>
      </c>
      <c r="M43" s="106">
        <v>0</v>
      </c>
      <c r="N43" s="106">
        <v>0</v>
      </c>
      <c r="O43" s="106">
        <v>0</v>
      </c>
      <c r="P43" s="106">
        <v>0</v>
      </c>
      <c r="Q43" s="106">
        <v>0</v>
      </c>
      <c r="R43" s="106">
        <v>0</v>
      </c>
      <c r="S43" s="106">
        <v>0</v>
      </c>
      <c r="T43" s="106">
        <v>0</v>
      </c>
      <c r="U43" s="106">
        <v>0</v>
      </c>
      <c r="V43" s="106">
        <v>0</v>
      </c>
      <c r="W43" s="106">
        <v>0</v>
      </c>
      <c r="X43" s="106">
        <v>0</v>
      </c>
      <c r="Y43" s="106">
        <v>0</v>
      </c>
      <c r="Z43" s="106">
        <v>0</v>
      </c>
      <c r="AA43" s="106">
        <v>0</v>
      </c>
      <c r="AB43" s="106">
        <v>0</v>
      </c>
      <c r="AC43" s="106">
        <v>0</v>
      </c>
      <c r="AD43" s="106">
        <v>0</v>
      </c>
      <c r="AE43" s="106">
        <v>0</v>
      </c>
      <c r="AF43" s="106">
        <v>0</v>
      </c>
      <c r="AG43" s="106">
        <v>0</v>
      </c>
      <c r="AH43" s="106">
        <v>0</v>
      </c>
      <c r="AI43" s="106">
        <v>0</v>
      </c>
      <c r="AJ43" s="106">
        <v>0</v>
      </c>
      <c r="AK43" s="106">
        <v>0</v>
      </c>
      <c r="AL43" s="106">
        <v>0</v>
      </c>
      <c r="AM43" s="106">
        <v>0</v>
      </c>
      <c r="AN43" s="106">
        <v>0</v>
      </c>
      <c r="AO43" s="106">
        <v>0</v>
      </c>
      <c r="AP43" s="106">
        <v>0</v>
      </c>
      <c r="AQ43" s="106">
        <v>0</v>
      </c>
      <c r="AR43" s="106">
        <v>0</v>
      </c>
      <c r="AS43" s="106">
        <v>0</v>
      </c>
      <c r="AT43" s="106">
        <v>0</v>
      </c>
      <c r="AU43" s="106">
        <v>0</v>
      </c>
      <c r="AV43" s="106">
        <v>0</v>
      </c>
      <c r="AW43" s="106">
        <v>0</v>
      </c>
      <c r="AX43" s="106">
        <v>0</v>
      </c>
      <c r="AY43" s="106">
        <v>0</v>
      </c>
      <c r="AZ43" s="106">
        <v>0</v>
      </c>
      <c r="BA43" s="106">
        <v>0</v>
      </c>
      <c r="BB43" s="106">
        <v>0</v>
      </c>
      <c r="BC43" s="106">
        <v>0</v>
      </c>
      <c r="BD43" s="106">
        <v>0</v>
      </c>
      <c r="BE43" s="106">
        <v>0</v>
      </c>
      <c r="BF43" s="106">
        <v>0</v>
      </c>
      <c r="BG43" s="106">
        <v>0</v>
      </c>
      <c r="BH43" s="106">
        <v>0</v>
      </c>
      <c r="BI43" s="106">
        <v>0</v>
      </c>
      <c r="BJ43" s="106">
        <v>0</v>
      </c>
      <c r="BK43" s="106">
        <v>0</v>
      </c>
      <c r="BL43" s="2495">
        <v>0.02</v>
      </c>
      <c r="BM43" s="2495">
        <v>0.02</v>
      </c>
      <c r="BN43" s="2495">
        <v>0.02</v>
      </c>
      <c r="BO43" s="2495">
        <v>0.02</v>
      </c>
      <c r="BP43" s="2495">
        <v>0.02</v>
      </c>
      <c r="BQ43" s="2495">
        <v>0.02</v>
      </c>
      <c r="BR43" s="2495">
        <v>0.03</v>
      </c>
      <c r="BS43" s="2495">
        <v>0.05</v>
      </c>
      <c r="BT43" s="2495">
        <v>0.05</v>
      </c>
      <c r="BU43" s="2495">
        <v>0.05</v>
      </c>
      <c r="BV43" s="2495">
        <v>0.05</v>
      </c>
      <c r="BW43" s="2495">
        <v>0.05</v>
      </c>
      <c r="BX43" s="2495">
        <v>0.05</v>
      </c>
      <c r="BY43" s="2495">
        <v>0.05</v>
      </c>
      <c r="BZ43" s="2495">
        <v>0.1</v>
      </c>
      <c r="CA43" s="2495">
        <v>0.1</v>
      </c>
      <c r="CB43" s="2495">
        <v>0.1</v>
      </c>
      <c r="CC43" s="2495">
        <v>0.1</v>
      </c>
      <c r="CD43" s="2495">
        <v>0.1</v>
      </c>
      <c r="CE43" s="2495">
        <v>0</v>
      </c>
      <c r="CG43" s="395">
        <f>SUM(L43:CE43)</f>
        <v>0.99999999999999989</v>
      </c>
    </row>
    <row r="44" spans="10:85">
      <c r="L44" s="106">
        <v>0</v>
      </c>
      <c r="M44" s="106">
        <v>0</v>
      </c>
      <c r="N44" s="106">
        <v>0</v>
      </c>
      <c r="O44" s="106">
        <v>0</v>
      </c>
      <c r="P44" s="106">
        <v>0</v>
      </c>
      <c r="Q44" s="106">
        <v>0</v>
      </c>
      <c r="R44" s="106">
        <v>0</v>
      </c>
      <c r="S44" s="106">
        <v>0</v>
      </c>
      <c r="T44" s="106">
        <v>0</v>
      </c>
      <c r="U44" s="106">
        <v>0</v>
      </c>
      <c r="V44" s="106">
        <v>0</v>
      </c>
      <c r="W44" s="106">
        <v>0</v>
      </c>
      <c r="X44" s="106">
        <v>0</v>
      </c>
      <c r="Y44" s="106">
        <v>0</v>
      </c>
      <c r="Z44" s="106">
        <v>0</v>
      </c>
      <c r="AA44" s="106">
        <v>0</v>
      </c>
      <c r="AB44" s="106">
        <v>0</v>
      </c>
      <c r="AC44" s="106">
        <v>0</v>
      </c>
      <c r="AD44" s="106">
        <v>0</v>
      </c>
      <c r="AE44" s="106">
        <v>0</v>
      </c>
      <c r="AF44" s="106">
        <v>0</v>
      </c>
      <c r="AG44" s="106">
        <v>0</v>
      </c>
      <c r="AH44" s="106">
        <v>0</v>
      </c>
      <c r="AI44" s="106">
        <v>0</v>
      </c>
      <c r="AJ44" s="106">
        <v>0</v>
      </c>
      <c r="AK44" s="106">
        <v>0</v>
      </c>
      <c r="AL44" s="106">
        <v>0</v>
      </c>
      <c r="AM44" s="106">
        <v>0</v>
      </c>
      <c r="AN44" s="106">
        <v>0</v>
      </c>
      <c r="AO44" s="106">
        <v>0</v>
      </c>
      <c r="AP44" s="106">
        <v>0</v>
      </c>
      <c r="AQ44" s="106">
        <v>0</v>
      </c>
      <c r="AR44" s="106">
        <v>0</v>
      </c>
      <c r="AS44" s="106">
        <v>0</v>
      </c>
      <c r="AT44" s="106">
        <v>0</v>
      </c>
      <c r="AU44" s="106">
        <v>0</v>
      </c>
      <c r="AV44" s="106">
        <v>0</v>
      </c>
      <c r="AW44" s="106">
        <v>0</v>
      </c>
      <c r="AX44" s="106">
        <v>0</v>
      </c>
      <c r="AY44" s="106">
        <v>0</v>
      </c>
      <c r="AZ44" s="106">
        <v>0</v>
      </c>
      <c r="BA44" s="106">
        <v>0</v>
      </c>
      <c r="BB44" s="106">
        <v>0</v>
      </c>
      <c r="BC44" s="106">
        <v>0</v>
      </c>
      <c r="BD44" s="106">
        <v>0</v>
      </c>
      <c r="BE44" s="106">
        <v>0</v>
      </c>
      <c r="BF44" s="106">
        <v>0</v>
      </c>
      <c r="BG44" s="106">
        <v>0</v>
      </c>
      <c r="BH44" s="106">
        <v>0</v>
      </c>
      <c r="BI44" s="106">
        <v>0</v>
      </c>
      <c r="BJ44" s="106">
        <v>0</v>
      </c>
      <c r="BK44" s="106">
        <v>0</v>
      </c>
      <c r="BL44" s="2495">
        <v>0.02</v>
      </c>
      <c r="BM44" s="2495">
        <v>0.02</v>
      </c>
      <c r="BN44" s="2495">
        <v>0.02</v>
      </c>
      <c r="BO44" s="2495">
        <v>0.02</v>
      </c>
      <c r="BP44" s="2495">
        <v>0.02</v>
      </c>
      <c r="BQ44" s="2495">
        <v>0.02</v>
      </c>
      <c r="BR44" s="2495">
        <v>0.03</v>
      </c>
      <c r="BS44" s="2495">
        <v>0.05</v>
      </c>
      <c r="BT44" s="2495">
        <v>0.05</v>
      </c>
      <c r="BU44" s="2495">
        <v>0.05</v>
      </c>
      <c r="BV44" s="2495">
        <v>0.05</v>
      </c>
      <c r="BW44" s="2495">
        <v>0.05</v>
      </c>
      <c r="BX44" s="2495">
        <v>0.05</v>
      </c>
      <c r="BY44" s="2495">
        <v>0.05</v>
      </c>
      <c r="BZ44" s="2495">
        <v>0.1</v>
      </c>
      <c r="CA44" s="2495">
        <v>0.1</v>
      </c>
      <c r="CB44" s="2495">
        <v>0.1</v>
      </c>
      <c r="CC44" s="2495">
        <v>0.1</v>
      </c>
      <c r="CD44" s="2495">
        <v>0.1</v>
      </c>
      <c r="CE44" s="2495">
        <v>0</v>
      </c>
      <c r="CG44" s="395">
        <f t="shared" ref="CG44:CG51" si="3">SUM(L44:CE44)</f>
        <v>0.99999999999999989</v>
      </c>
    </row>
    <row r="45" spans="10:85">
      <c r="L45" s="106">
        <v>0</v>
      </c>
      <c r="M45" s="106">
        <v>0</v>
      </c>
      <c r="N45" s="106">
        <v>0</v>
      </c>
      <c r="O45" s="106">
        <v>0</v>
      </c>
      <c r="P45" s="106">
        <v>0</v>
      </c>
      <c r="Q45" s="106">
        <v>0</v>
      </c>
      <c r="R45" s="106">
        <v>0</v>
      </c>
      <c r="S45" s="106">
        <v>0</v>
      </c>
      <c r="T45" s="106">
        <v>0</v>
      </c>
      <c r="U45" s="106">
        <v>0</v>
      </c>
      <c r="V45" s="106">
        <v>0</v>
      </c>
      <c r="W45" s="106">
        <v>0</v>
      </c>
      <c r="X45" s="106">
        <v>0</v>
      </c>
      <c r="Y45" s="106">
        <v>0</v>
      </c>
      <c r="Z45" s="106">
        <v>0</v>
      </c>
      <c r="AA45" s="106">
        <v>0</v>
      </c>
      <c r="AB45" s="106">
        <v>0</v>
      </c>
      <c r="AC45" s="106">
        <v>0</v>
      </c>
      <c r="AD45" s="106">
        <v>0</v>
      </c>
      <c r="AE45" s="106">
        <v>0</v>
      </c>
      <c r="AF45" s="106">
        <v>0</v>
      </c>
      <c r="AG45" s="106">
        <v>0</v>
      </c>
      <c r="AH45" s="106">
        <v>0</v>
      </c>
      <c r="AI45" s="106">
        <v>0</v>
      </c>
      <c r="AJ45" s="106">
        <v>0</v>
      </c>
      <c r="AK45" s="106">
        <v>0</v>
      </c>
      <c r="AL45" s="106">
        <v>0</v>
      </c>
      <c r="AM45" s="106">
        <v>0</v>
      </c>
      <c r="AN45" s="106">
        <v>0</v>
      </c>
      <c r="AO45" s="106">
        <v>0</v>
      </c>
      <c r="AP45" s="106">
        <v>0</v>
      </c>
      <c r="AQ45" s="106">
        <v>0</v>
      </c>
      <c r="AR45" s="106">
        <v>0</v>
      </c>
      <c r="AS45" s="106">
        <v>0</v>
      </c>
      <c r="AT45" s="106">
        <v>0</v>
      </c>
      <c r="AU45" s="106">
        <v>0</v>
      </c>
      <c r="AV45" s="106">
        <v>0</v>
      </c>
      <c r="AW45" s="106">
        <v>0</v>
      </c>
      <c r="AX45" s="106">
        <v>0</v>
      </c>
      <c r="AY45" s="106">
        <v>0</v>
      </c>
      <c r="AZ45" s="106">
        <v>0</v>
      </c>
      <c r="BA45" s="106">
        <v>0</v>
      </c>
      <c r="BB45" s="106">
        <v>0</v>
      </c>
      <c r="BC45" s="106">
        <v>0</v>
      </c>
      <c r="BD45" s="106">
        <v>0</v>
      </c>
      <c r="BE45" s="106">
        <v>0</v>
      </c>
      <c r="BF45" s="106">
        <v>0</v>
      </c>
      <c r="BG45" s="106">
        <v>0</v>
      </c>
      <c r="BH45" s="106">
        <v>0</v>
      </c>
      <c r="BI45" s="106">
        <v>0</v>
      </c>
      <c r="BJ45" s="106">
        <v>0</v>
      </c>
      <c r="BK45" s="106">
        <v>0</v>
      </c>
      <c r="BL45" s="2495">
        <v>0.02</v>
      </c>
      <c r="BM45" s="2495">
        <v>0.02</v>
      </c>
      <c r="BN45" s="2495">
        <v>0.02</v>
      </c>
      <c r="BO45" s="2495">
        <v>0.02</v>
      </c>
      <c r="BP45" s="2495">
        <v>0.02</v>
      </c>
      <c r="BQ45" s="2495">
        <v>0.02</v>
      </c>
      <c r="BR45" s="2495">
        <v>0.03</v>
      </c>
      <c r="BS45" s="2495">
        <v>0.05</v>
      </c>
      <c r="BT45" s="2495">
        <v>0.05</v>
      </c>
      <c r="BU45" s="2495">
        <v>0.05</v>
      </c>
      <c r="BV45" s="2495">
        <v>0.05</v>
      </c>
      <c r="BW45" s="2495">
        <v>0.05</v>
      </c>
      <c r="BX45" s="2495">
        <v>0.05</v>
      </c>
      <c r="BY45" s="2495">
        <v>0.05</v>
      </c>
      <c r="BZ45" s="2495">
        <v>0.1</v>
      </c>
      <c r="CA45" s="2495">
        <v>0.1</v>
      </c>
      <c r="CB45" s="2495">
        <v>0.1</v>
      </c>
      <c r="CC45" s="2495">
        <v>0.1</v>
      </c>
      <c r="CD45" s="2495">
        <v>0.1</v>
      </c>
      <c r="CE45" s="2495">
        <v>0</v>
      </c>
      <c r="CG45" s="395">
        <f t="shared" si="3"/>
        <v>0.99999999999999989</v>
      </c>
    </row>
    <row r="46" spans="10:85">
      <c r="L46" s="106">
        <v>0</v>
      </c>
      <c r="M46" s="106">
        <v>0</v>
      </c>
      <c r="N46" s="106">
        <v>0</v>
      </c>
      <c r="O46" s="106">
        <v>0</v>
      </c>
      <c r="P46" s="106">
        <v>0</v>
      </c>
      <c r="Q46" s="106">
        <v>0</v>
      </c>
      <c r="R46" s="106">
        <v>0</v>
      </c>
      <c r="S46" s="106">
        <v>0</v>
      </c>
      <c r="T46" s="106">
        <v>0</v>
      </c>
      <c r="U46" s="106">
        <v>0</v>
      </c>
      <c r="V46" s="106">
        <v>0</v>
      </c>
      <c r="W46" s="106">
        <v>0</v>
      </c>
      <c r="X46" s="106">
        <v>0</v>
      </c>
      <c r="Y46" s="106">
        <v>0</v>
      </c>
      <c r="Z46" s="106">
        <v>0</v>
      </c>
      <c r="AA46" s="106">
        <v>0</v>
      </c>
      <c r="AB46" s="106">
        <v>0</v>
      </c>
      <c r="AC46" s="106">
        <v>0</v>
      </c>
      <c r="AD46" s="106">
        <v>0</v>
      </c>
      <c r="AE46" s="106">
        <v>0</v>
      </c>
      <c r="AF46" s="106">
        <v>0</v>
      </c>
      <c r="AG46" s="106">
        <v>0</v>
      </c>
      <c r="AH46" s="106">
        <v>0</v>
      </c>
      <c r="AI46" s="106">
        <v>0</v>
      </c>
      <c r="AJ46" s="106">
        <v>0</v>
      </c>
      <c r="AK46" s="106">
        <v>0</v>
      </c>
      <c r="AL46" s="106">
        <v>0</v>
      </c>
      <c r="AM46" s="106">
        <v>0</v>
      </c>
      <c r="AN46" s="106">
        <v>0</v>
      </c>
      <c r="AO46" s="106">
        <v>0</v>
      </c>
      <c r="AP46" s="106">
        <v>0</v>
      </c>
      <c r="AQ46" s="106">
        <v>0</v>
      </c>
      <c r="AR46" s="106">
        <v>0</v>
      </c>
      <c r="AS46" s="106">
        <v>0</v>
      </c>
      <c r="AT46" s="106">
        <v>0</v>
      </c>
      <c r="AU46" s="106">
        <v>0</v>
      </c>
      <c r="AV46" s="106">
        <v>0</v>
      </c>
      <c r="AW46" s="106">
        <v>0</v>
      </c>
      <c r="AX46" s="106">
        <v>0</v>
      </c>
      <c r="AY46" s="106">
        <v>0</v>
      </c>
      <c r="AZ46" s="106">
        <v>0</v>
      </c>
      <c r="BA46" s="106">
        <v>0</v>
      </c>
      <c r="BB46" s="106">
        <v>0</v>
      </c>
      <c r="BC46" s="106">
        <v>0</v>
      </c>
      <c r="BD46" s="106">
        <v>0</v>
      </c>
      <c r="BE46" s="106">
        <v>0</v>
      </c>
      <c r="BF46" s="106">
        <v>0</v>
      </c>
      <c r="BG46" s="106">
        <v>0</v>
      </c>
      <c r="BH46" s="106">
        <v>0</v>
      </c>
      <c r="BI46" s="106">
        <v>0</v>
      </c>
      <c r="BJ46" s="106">
        <v>0</v>
      </c>
      <c r="BK46" s="106">
        <v>0</v>
      </c>
      <c r="BL46" s="2495">
        <v>0.02</v>
      </c>
      <c r="BM46" s="2495">
        <v>0.02</v>
      </c>
      <c r="BN46" s="2495">
        <v>0.02</v>
      </c>
      <c r="BO46" s="2495">
        <v>0.02</v>
      </c>
      <c r="BP46" s="2495">
        <v>0.02</v>
      </c>
      <c r="BQ46" s="2495">
        <v>0.02</v>
      </c>
      <c r="BR46" s="2495">
        <v>0.03</v>
      </c>
      <c r="BS46" s="2495">
        <v>0.05</v>
      </c>
      <c r="BT46" s="2495">
        <v>0.05</v>
      </c>
      <c r="BU46" s="2495">
        <v>0.05</v>
      </c>
      <c r="BV46" s="2495">
        <v>0.05</v>
      </c>
      <c r="BW46" s="2495">
        <v>0.05</v>
      </c>
      <c r="BX46" s="2495">
        <v>0.05</v>
      </c>
      <c r="BY46" s="2495">
        <v>0.05</v>
      </c>
      <c r="BZ46" s="2495">
        <v>0.1</v>
      </c>
      <c r="CA46" s="2495">
        <v>0.1</v>
      </c>
      <c r="CB46" s="2495">
        <v>0.1</v>
      </c>
      <c r="CC46" s="2495">
        <v>0.1</v>
      </c>
      <c r="CD46" s="2495">
        <v>0.1</v>
      </c>
      <c r="CE46" s="2495">
        <v>0</v>
      </c>
      <c r="CG46" s="395">
        <f t="shared" si="3"/>
        <v>0.99999999999999989</v>
      </c>
    </row>
    <row r="47" spans="10:85">
      <c r="L47" s="106">
        <v>0</v>
      </c>
      <c r="M47" s="106">
        <v>0</v>
      </c>
      <c r="N47" s="106">
        <v>0</v>
      </c>
      <c r="O47" s="106">
        <v>0</v>
      </c>
      <c r="P47" s="106">
        <v>0</v>
      </c>
      <c r="Q47" s="106">
        <v>0</v>
      </c>
      <c r="R47" s="106">
        <v>0</v>
      </c>
      <c r="S47" s="106">
        <v>0</v>
      </c>
      <c r="T47" s="106">
        <v>0</v>
      </c>
      <c r="U47" s="106">
        <v>0</v>
      </c>
      <c r="V47" s="106">
        <v>0</v>
      </c>
      <c r="W47" s="106">
        <v>0</v>
      </c>
      <c r="X47" s="106">
        <v>0</v>
      </c>
      <c r="Y47" s="106">
        <v>0</v>
      </c>
      <c r="Z47" s="106">
        <v>0</v>
      </c>
      <c r="AA47" s="106">
        <v>0</v>
      </c>
      <c r="AB47" s="106">
        <v>0</v>
      </c>
      <c r="AC47" s="106">
        <v>0</v>
      </c>
      <c r="AD47" s="106">
        <v>0</v>
      </c>
      <c r="AE47" s="106">
        <v>0</v>
      </c>
      <c r="AF47" s="106">
        <v>0</v>
      </c>
      <c r="AG47" s="106">
        <v>0</v>
      </c>
      <c r="AH47" s="106">
        <v>0</v>
      </c>
      <c r="AI47" s="106">
        <v>0</v>
      </c>
      <c r="AJ47" s="106">
        <v>0</v>
      </c>
      <c r="AK47" s="106">
        <v>0</v>
      </c>
      <c r="AL47" s="106">
        <v>0</v>
      </c>
      <c r="AM47" s="106">
        <v>0</v>
      </c>
      <c r="AN47" s="106">
        <v>0</v>
      </c>
      <c r="AO47" s="106">
        <v>0</v>
      </c>
      <c r="AP47" s="106">
        <v>0</v>
      </c>
      <c r="AQ47" s="106">
        <v>0</v>
      </c>
      <c r="AR47" s="106">
        <v>0</v>
      </c>
      <c r="AS47" s="106">
        <v>0</v>
      </c>
      <c r="AT47" s="106">
        <v>0</v>
      </c>
      <c r="AU47" s="106">
        <v>0</v>
      </c>
      <c r="AV47" s="106">
        <v>0</v>
      </c>
      <c r="AW47" s="106">
        <v>0</v>
      </c>
      <c r="AX47" s="106">
        <v>0</v>
      </c>
      <c r="AY47" s="106">
        <v>0</v>
      </c>
      <c r="AZ47" s="106">
        <v>0</v>
      </c>
      <c r="BA47" s="106">
        <v>0</v>
      </c>
      <c r="BB47" s="106">
        <v>0</v>
      </c>
      <c r="BC47" s="106">
        <v>0</v>
      </c>
      <c r="BD47" s="106">
        <v>0</v>
      </c>
      <c r="BE47" s="106">
        <v>0</v>
      </c>
      <c r="BF47" s="106">
        <v>0</v>
      </c>
      <c r="BG47" s="106">
        <v>0</v>
      </c>
      <c r="BH47" s="106">
        <v>0</v>
      </c>
      <c r="BI47" s="106">
        <v>0</v>
      </c>
      <c r="BJ47" s="106">
        <v>0</v>
      </c>
      <c r="BK47" s="106">
        <v>0</v>
      </c>
      <c r="BL47" s="2495">
        <v>0.02</v>
      </c>
      <c r="BM47" s="2495">
        <v>0.02</v>
      </c>
      <c r="BN47" s="2495">
        <v>0.02</v>
      </c>
      <c r="BO47" s="2495">
        <v>0.02</v>
      </c>
      <c r="BP47" s="2495">
        <v>0.02</v>
      </c>
      <c r="BQ47" s="2495">
        <v>0.02</v>
      </c>
      <c r="BR47" s="2495">
        <v>0.03</v>
      </c>
      <c r="BS47" s="2495">
        <v>0.05</v>
      </c>
      <c r="BT47" s="2495">
        <v>0.05</v>
      </c>
      <c r="BU47" s="2495">
        <v>0.05</v>
      </c>
      <c r="BV47" s="2495">
        <v>0.05</v>
      </c>
      <c r="BW47" s="2495">
        <v>0.05</v>
      </c>
      <c r="BX47" s="2495">
        <v>0.05</v>
      </c>
      <c r="BY47" s="2495">
        <v>0.05</v>
      </c>
      <c r="BZ47" s="2495">
        <v>0.1</v>
      </c>
      <c r="CA47" s="2495">
        <v>0.1</v>
      </c>
      <c r="CB47" s="2495">
        <v>0.1</v>
      </c>
      <c r="CC47" s="2495">
        <v>0.1</v>
      </c>
      <c r="CD47" s="2495">
        <v>0.1</v>
      </c>
      <c r="CE47" s="2495">
        <v>0</v>
      </c>
      <c r="CG47" s="395">
        <f t="shared" si="3"/>
        <v>0.99999999999999989</v>
      </c>
    </row>
    <row r="48" spans="10:85">
      <c r="L48" s="106">
        <v>0</v>
      </c>
      <c r="M48" s="106">
        <v>0</v>
      </c>
      <c r="N48" s="106">
        <v>0</v>
      </c>
      <c r="O48" s="106">
        <v>0</v>
      </c>
      <c r="P48" s="106">
        <v>0</v>
      </c>
      <c r="Q48" s="106">
        <v>0</v>
      </c>
      <c r="R48" s="106">
        <v>0</v>
      </c>
      <c r="S48" s="106">
        <v>0</v>
      </c>
      <c r="T48" s="106">
        <v>0</v>
      </c>
      <c r="U48" s="106">
        <v>0</v>
      </c>
      <c r="V48" s="106">
        <v>0</v>
      </c>
      <c r="W48" s="106">
        <v>0</v>
      </c>
      <c r="X48" s="106">
        <v>0</v>
      </c>
      <c r="Y48" s="106">
        <v>0</v>
      </c>
      <c r="Z48" s="106">
        <v>0</v>
      </c>
      <c r="AA48" s="106">
        <v>0</v>
      </c>
      <c r="AB48" s="106">
        <v>0</v>
      </c>
      <c r="AC48" s="106">
        <v>0</v>
      </c>
      <c r="AD48" s="106">
        <v>0</v>
      </c>
      <c r="AE48" s="106">
        <v>0</v>
      </c>
      <c r="AF48" s="106">
        <v>0</v>
      </c>
      <c r="AG48" s="106">
        <v>0</v>
      </c>
      <c r="AH48" s="106">
        <v>0</v>
      </c>
      <c r="AI48" s="106">
        <v>0</v>
      </c>
      <c r="AJ48" s="106">
        <v>0</v>
      </c>
      <c r="AK48" s="106">
        <v>0</v>
      </c>
      <c r="AL48" s="106">
        <v>0</v>
      </c>
      <c r="AM48" s="106">
        <v>0</v>
      </c>
      <c r="AN48" s="106">
        <v>0</v>
      </c>
      <c r="AO48" s="106">
        <v>0</v>
      </c>
      <c r="AP48" s="106">
        <v>0</v>
      </c>
      <c r="AQ48" s="106">
        <v>0</v>
      </c>
      <c r="AR48" s="106">
        <v>0</v>
      </c>
      <c r="AS48" s="106">
        <v>0</v>
      </c>
      <c r="AT48" s="106">
        <v>0</v>
      </c>
      <c r="AU48" s="106">
        <v>0</v>
      </c>
      <c r="AV48" s="106">
        <v>0</v>
      </c>
      <c r="AW48" s="106">
        <v>0</v>
      </c>
      <c r="AX48" s="106">
        <v>0</v>
      </c>
      <c r="AY48" s="106">
        <v>0</v>
      </c>
      <c r="AZ48" s="106">
        <v>0</v>
      </c>
      <c r="BA48" s="106">
        <v>0</v>
      </c>
      <c r="BB48" s="106">
        <v>0</v>
      </c>
      <c r="BC48" s="106">
        <v>0</v>
      </c>
      <c r="BD48" s="106">
        <v>0</v>
      </c>
      <c r="BE48" s="106">
        <v>0</v>
      </c>
      <c r="BF48" s="106">
        <v>0</v>
      </c>
      <c r="BG48" s="106">
        <v>0</v>
      </c>
      <c r="BH48" s="106">
        <v>0</v>
      </c>
      <c r="BI48" s="106">
        <v>0</v>
      </c>
      <c r="BJ48" s="106">
        <v>0</v>
      </c>
      <c r="BK48" s="106">
        <v>0</v>
      </c>
      <c r="BL48" s="2495">
        <v>0.02</v>
      </c>
      <c r="BM48" s="2495">
        <v>0.02</v>
      </c>
      <c r="BN48" s="2495">
        <v>0.02</v>
      </c>
      <c r="BO48" s="2495">
        <v>0.02</v>
      </c>
      <c r="BP48" s="2495">
        <v>0.02</v>
      </c>
      <c r="BQ48" s="2495">
        <v>0.02</v>
      </c>
      <c r="BR48" s="2495">
        <v>0.03</v>
      </c>
      <c r="BS48" s="2495">
        <v>0.05</v>
      </c>
      <c r="BT48" s="2495">
        <v>0.05</v>
      </c>
      <c r="BU48" s="2495">
        <v>0.05</v>
      </c>
      <c r="BV48" s="2495">
        <v>0.05</v>
      </c>
      <c r="BW48" s="2495">
        <v>0.05</v>
      </c>
      <c r="BX48" s="2495">
        <v>0.05</v>
      </c>
      <c r="BY48" s="2495">
        <v>0.05</v>
      </c>
      <c r="BZ48" s="2495">
        <v>0.1</v>
      </c>
      <c r="CA48" s="2495">
        <v>0.1</v>
      </c>
      <c r="CB48" s="2495">
        <v>0.1</v>
      </c>
      <c r="CC48" s="2495">
        <v>0.1</v>
      </c>
      <c r="CD48" s="2495">
        <v>0.1</v>
      </c>
      <c r="CE48" s="2495">
        <v>0</v>
      </c>
      <c r="CG48" s="395">
        <f t="shared" si="3"/>
        <v>0.99999999999999989</v>
      </c>
    </row>
    <row r="49" spans="10:85">
      <c r="L49" s="106"/>
      <c r="M49" s="106"/>
      <c r="N49" s="106"/>
      <c r="O49" s="106"/>
      <c r="P49" s="106"/>
      <c r="Q49" s="106"/>
      <c r="R49" s="106"/>
      <c r="S49" s="106"/>
      <c r="T49" s="106"/>
      <c r="U49" s="106"/>
      <c r="V49" s="106"/>
      <c r="W49" s="106"/>
      <c r="X49" s="106"/>
      <c r="Y49" s="106"/>
      <c r="Z49" s="106"/>
      <c r="AA49" s="106"/>
      <c r="AB49" s="106"/>
      <c r="AC49" s="106"/>
      <c r="AD49" s="106"/>
      <c r="AE49" s="106"/>
      <c r="AF49" s="106"/>
      <c r="AG49" s="106"/>
      <c r="AH49" s="106"/>
      <c r="AI49" s="106"/>
      <c r="AJ49" s="106"/>
      <c r="AK49" s="106"/>
      <c r="AL49" s="106"/>
      <c r="AM49" s="106"/>
      <c r="AN49" s="106"/>
      <c r="AO49" s="106"/>
      <c r="AP49" s="106"/>
      <c r="AQ49" s="106"/>
      <c r="AR49" s="106"/>
      <c r="AS49" s="106"/>
      <c r="AT49" s="106"/>
      <c r="AU49" s="106"/>
      <c r="AV49" s="106"/>
      <c r="AW49" s="106"/>
      <c r="AX49" s="106"/>
      <c r="AY49" s="106"/>
      <c r="AZ49" s="106"/>
      <c r="BA49" s="106"/>
      <c r="BB49" s="106"/>
      <c r="BC49" s="106"/>
      <c r="BD49" s="106"/>
      <c r="BE49" s="106"/>
      <c r="BF49" s="106"/>
      <c r="BG49" s="106"/>
      <c r="BH49" s="106"/>
      <c r="BI49" s="106"/>
      <c r="BJ49" s="106"/>
      <c r="BK49" s="106"/>
      <c r="BL49" s="2495"/>
      <c r="BM49" s="2495"/>
      <c r="BN49" s="2495"/>
      <c r="BO49" s="2495"/>
      <c r="BP49" s="2495"/>
      <c r="BQ49" s="2495"/>
      <c r="BR49" s="2495"/>
      <c r="BS49" s="2495"/>
      <c r="BT49" s="2495"/>
      <c r="BU49" s="2495"/>
      <c r="BV49" s="2495"/>
      <c r="BW49" s="2495"/>
      <c r="BX49" s="2495"/>
      <c r="BY49" s="2495"/>
      <c r="BZ49" s="2495"/>
      <c r="CA49" s="2495"/>
      <c r="CB49" s="2495"/>
      <c r="CC49" s="2495"/>
      <c r="CD49" s="2495"/>
      <c r="CE49" s="2495">
        <v>0</v>
      </c>
      <c r="CG49" s="395">
        <f t="shared" si="3"/>
        <v>0</v>
      </c>
    </row>
    <row r="50" spans="10:85">
      <c r="L50" s="106">
        <v>0</v>
      </c>
      <c r="M50" s="106">
        <v>0</v>
      </c>
      <c r="N50" s="106">
        <v>0</v>
      </c>
      <c r="O50" s="106">
        <v>0</v>
      </c>
      <c r="P50" s="106">
        <v>0</v>
      </c>
      <c r="Q50" s="106">
        <v>0</v>
      </c>
      <c r="R50" s="106">
        <v>0</v>
      </c>
      <c r="S50" s="106">
        <v>0</v>
      </c>
      <c r="T50" s="106">
        <v>0</v>
      </c>
      <c r="U50" s="106">
        <v>0</v>
      </c>
      <c r="V50" s="106">
        <v>0</v>
      </c>
      <c r="W50" s="106">
        <v>0</v>
      </c>
      <c r="X50" s="106">
        <v>0</v>
      </c>
      <c r="Y50" s="106">
        <v>0</v>
      </c>
      <c r="Z50" s="106">
        <v>0</v>
      </c>
      <c r="AA50" s="106">
        <v>0</v>
      </c>
      <c r="AB50" s="106">
        <v>0</v>
      </c>
      <c r="AC50" s="106">
        <v>0</v>
      </c>
      <c r="AD50" s="106">
        <v>0</v>
      </c>
      <c r="AE50" s="106">
        <v>0</v>
      </c>
      <c r="AF50" s="106">
        <v>0</v>
      </c>
      <c r="AG50" s="106">
        <v>0</v>
      </c>
      <c r="AH50" s="106">
        <v>0</v>
      </c>
      <c r="AI50" s="106">
        <v>0</v>
      </c>
      <c r="AJ50" s="106">
        <v>0</v>
      </c>
      <c r="AK50" s="106">
        <v>0</v>
      </c>
      <c r="AL50" s="106">
        <v>0</v>
      </c>
      <c r="AM50" s="106">
        <v>0</v>
      </c>
      <c r="AN50" s="106">
        <v>0</v>
      </c>
      <c r="AO50" s="106">
        <v>0</v>
      </c>
      <c r="AP50" s="106">
        <v>0</v>
      </c>
      <c r="AQ50" s="106">
        <v>0</v>
      </c>
      <c r="AR50" s="106">
        <v>0</v>
      </c>
      <c r="AS50" s="106">
        <v>0</v>
      </c>
      <c r="AT50" s="106">
        <v>0</v>
      </c>
      <c r="AU50" s="106">
        <v>0</v>
      </c>
      <c r="AV50" s="106">
        <v>0</v>
      </c>
      <c r="AW50" s="106">
        <v>0</v>
      </c>
      <c r="AX50" s="106">
        <v>0</v>
      </c>
      <c r="AY50" s="106">
        <v>0</v>
      </c>
      <c r="AZ50" s="106">
        <v>0</v>
      </c>
      <c r="BA50" s="106">
        <v>0</v>
      </c>
      <c r="BB50" s="106">
        <v>0</v>
      </c>
      <c r="BC50" s="106">
        <v>0</v>
      </c>
      <c r="BD50" s="106">
        <v>0</v>
      </c>
      <c r="BE50" s="106">
        <v>0</v>
      </c>
      <c r="BF50" s="106">
        <v>0</v>
      </c>
      <c r="BG50" s="106">
        <v>0</v>
      </c>
      <c r="BH50" s="106">
        <v>0</v>
      </c>
      <c r="BI50" s="106">
        <v>0</v>
      </c>
      <c r="BJ50" s="106">
        <v>0</v>
      </c>
      <c r="BK50" s="106">
        <v>0</v>
      </c>
      <c r="BL50" s="2495">
        <v>0.02</v>
      </c>
      <c r="BM50" s="2495">
        <v>0.02</v>
      </c>
      <c r="BN50" s="2495">
        <v>0.02</v>
      </c>
      <c r="BO50" s="2495">
        <v>0.02</v>
      </c>
      <c r="BP50" s="2495">
        <v>0.02</v>
      </c>
      <c r="BQ50" s="2495">
        <v>0.02</v>
      </c>
      <c r="BR50" s="2495">
        <v>0.03</v>
      </c>
      <c r="BS50" s="2495">
        <v>0.05</v>
      </c>
      <c r="BT50" s="2495">
        <v>0.05</v>
      </c>
      <c r="BU50" s="2495">
        <v>0.05</v>
      </c>
      <c r="BV50" s="2495">
        <v>0.05</v>
      </c>
      <c r="BW50" s="2495">
        <v>0.05</v>
      </c>
      <c r="BX50" s="2495">
        <v>0.05</v>
      </c>
      <c r="BY50" s="2495">
        <v>0.05</v>
      </c>
      <c r="BZ50" s="2495">
        <v>0.1</v>
      </c>
      <c r="CA50" s="2495">
        <v>0.1</v>
      </c>
      <c r="CB50" s="2495">
        <v>0.1</v>
      </c>
      <c r="CC50" s="2495">
        <v>0.1</v>
      </c>
      <c r="CD50" s="2495">
        <v>0.1</v>
      </c>
      <c r="CE50" s="2495">
        <v>0</v>
      </c>
      <c r="CG50" s="395">
        <f t="shared" si="3"/>
        <v>0.99999999999999989</v>
      </c>
    </row>
    <row r="51" spans="10:85">
      <c r="L51" s="106">
        <v>0</v>
      </c>
      <c r="M51" s="106">
        <v>0</v>
      </c>
      <c r="N51" s="106">
        <v>0</v>
      </c>
      <c r="O51" s="106">
        <v>0</v>
      </c>
      <c r="P51" s="106">
        <v>0</v>
      </c>
      <c r="Q51" s="106">
        <v>0</v>
      </c>
      <c r="R51" s="106">
        <v>0</v>
      </c>
      <c r="S51" s="106">
        <v>0</v>
      </c>
      <c r="T51" s="106">
        <v>0</v>
      </c>
      <c r="U51" s="106">
        <v>0</v>
      </c>
      <c r="V51" s="106">
        <v>0</v>
      </c>
      <c r="W51" s="106">
        <v>0</v>
      </c>
      <c r="X51" s="106">
        <v>0</v>
      </c>
      <c r="Y51" s="106">
        <v>0</v>
      </c>
      <c r="Z51" s="106">
        <v>0</v>
      </c>
      <c r="AA51" s="106">
        <v>0</v>
      </c>
      <c r="AB51" s="106">
        <v>0</v>
      </c>
      <c r="AC51" s="106">
        <v>0</v>
      </c>
      <c r="AD51" s="106">
        <v>0</v>
      </c>
      <c r="AE51" s="106">
        <v>0</v>
      </c>
      <c r="AF51" s="106">
        <v>0</v>
      </c>
      <c r="AG51" s="106">
        <v>0</v>
      </c>
      <c r="AH51" s="106">
        <v>0</v>
      </c>
      <c r="AI51" s="106">
        <v>0</v>
      </c>
      <c r="AJ51" s="106">
        <v>0</v>
      </c>
      <c r="AK51" s="106">
        <v>0</v>
      </c>
      <c r="AL51" s="106">
        <v>0</v>
      </c>
      <c r="AM51" s="106">
        <v>0</v>
      </c>
      <c r="AN51" s="106">
        <v>0</v>
      </c>
      <c r="AO51" s="106">
        <v>0</v>
      </c>
      <c r="AP51" s="106">
        <v>0</v>
      </c>
      <c r="AQ51" s="106">
        <v>0</v>
      </c>
      <c r="AR51" s="106">
        <v>0</v>
      </c>
      <c r="AS51" s="106">
        <v>0</v>
      </c>
      <c r="AT51" s="106">
        <v>0</v>
      </c>
      <c r="AU51" s="106">
        <v>0</v>
      </c>
      <c r="AV51" s="106">
        <v>0</v>
      </c>
      <c r="AW51" s="106">
        <v>0</v>
      </c>
      <c r="AX51" s="106">
        <v>0</v>
      </c>
      <c r="AY51" s="106">
        <v>0</v>
      </c>
      <c r="AZ51" s="106">
        <v>0</v>
      </c>
      <c r="BA51" s="106">
        <v>0</v>
      </c>
      <c r="BB51" s="106">
        <v>0</v>
      </c>
      <c r="BC51" s="106">
        <v>0</v>
      </c>
      <c r="BD51" s="106">
        <v>0</v>
      </c>
      <c r="BE51" s="106">
        <v>0</v>
      </c>
      <c r="BF51" s="106">
        <v>0</v>
      </c>
      <c r="BG51" s="106">
        <v>0</v>
      </c>
      <c r="BH51" s="106">
        <v>0</v>
      </c>
      <c r="BI51" s="106">
        <v>0</v>
      </c>
      <c r="BJ51" s="106">
        <v>0</v>
      </c>
      <c r="BK51" s="106">
        <v>0</v>
      </c>
      <c r="BL51" s="2495">
        <v>0.02</v>
      </c>
      <c r="BM51" s="2495">
        <v>0.02</v>
      </c>
      <c r="BN51" s="2495">
        <v>0.02</v>
      </c>
      <c r="BO51" s="2495">
        <v>0.02</v>
      </c>
      <c r="BP51" s="2495">
        <v>0.02</v>
      </c>
      <c r="BQ51" s="2495">
        <v>0.02</v>
      </c>
      <c r="BR51" s="2495">
        <v>0.03</v>
      </c>
      <c r="BS51" s="2495">
        <v>0.05</v>
      </c>
      <c r="BT51" s="2495">
        <v>0.05</v>
      </c>
      <c r="BU51" s="2495">
        <v>0.05</v>
      </c>
      <c r="BV51" s="2495">
        <v>0.05</v>
      </c>
      <c r="BW51" s="2495">
        <v>0.05</v>
      </c>
      <c r="BX51" s="2495">
        <v>0.05</v>
      </c>
      <c r="BY51" s="2495">
        <v>0.05</v>
      </c>
      <c r="BZ51" s="2495">
        <v>0.1</v>
      </c>
      <c r="CA51" s="2495">
        <v>0.1</v>
      </c>
      <c r="CB51" s="2495">
        <v>0.1</v>
      </c>
      <c r="CC51" s="2495">
        <v>0.1</v>
      </c>
      <c r="CD51" s="2495">
        <v>0.1</v>
      </c>
      <c r="CE51" s="2495">
        <v>0</v>
      </c>
      <c r="CG51" s="395">
        <f t="shared" si="3"/>
        <v>0.99999999999999989</v>
      </c>
    </row>
    <row r="52" spans="10:85">
      <c r="CG52" s="395"/>
    </row>
    <row r="53" spans="10:85">
      <c r="BU53" s="2496"/>
      <c r="CG53" s="395"/>
    </row>
    <row r="54" spans="10:85">
      <c r="J54">
        <v>5</v>
      </c>
      <c r="L54" s="106">
        <v>0</v>
      </c>
      <c r="M54" s="106">
        <v>0</v>
      </c>
      <c r="N54" s="106">
        <v>0</v>
      </c>
      <c r="O54" s="106">
        <v>0</v>
      </c>
      <c r="P54" s="106">
        <v>0</v>
      </c>
      <c r="Q54" s="106">
        <v>0</v>
      </c>
      <c r="R54" s="106">
        <v>0</v>
      </c>
      <c r="S54" s="106">
        <v>0</v>
      </c>
      <c r="T54" s="106">
        <v>0</v>
      </c>
      <c r="U54" s="106">
        <v>0</v>
      </c>
      <c r="V54" s="106">
        <v>0</v>
      </c>
      <c r="W54" s="106">
        <v>0</v>
      </c>
      <c r="X54" s="106">
        <v>0</v>
      </c>
      <c r="Y54" s="106">
        <v>0</v>
      </c>
      <c r="Z54" s="106">
        <v>0</v>
      </c>
      <c r="AA54" s="106">
        <v>0</v>
      </c>
      <c r="AB54" s="106">
        <v>0</v>
      </c>
      <c r="AC54" s="106">
        <v>0</v>
      </c>
      <c r="AD54" s="106">
        <v>0</v>
      </c>
      <c r="AE54" s="106">
        <v>0</v>
      </c>
      <c r="AF54" s="106">
        <v>0</v>
      </c>
      <c r="AG54" s="106">
        <v>0</v>
      </c>
      <c r="AH54" s="106">
        <v>0</v>
      </c>
      <c r="AI54" s="106">
        <v>0</v>
      </c>
      <c r="AJ54" s="106">
        <v>0</v>
      </c>
      <c r="AK54" s="106">
        <v>0</v>
      </c>
      <c r="AL54" s="106">
        <v>0</v>
      </c>
      <c r="AM54" s="106">
        <v>0</v>
      </c>
      <c r="AN54" s="106">
        <v>0</v>
      </c>
      <c r="AO54" s="106">
        <v>0</v>
      </c>
      <c r="AP54" s="106">
        <v>0</v>
      </c>
      <c r="AQ54" s="106">
        <v>0</v>
      </c>
      <c r="AR54" s="106">
        <v>0</v>
      </c>
      <c r="AS54" s="106">
        <v>0</v>
      </c>
      <c r="AT54" s="106">
        <v>0</v>
      </c>
      <c r="AU54" s="106">
        <v>0</v>
      </c>
      <c r="AV54" s="106">
        <v>0</v>
      </c>
      <c r="AW54" s="106">
        <v>0</v>
      </c>
      <c r="AX54" s="106">
        <v>0</v>
      </c>
      <c r="AY54" s="106">
        <v>0</v>
      </c>
      <c r="AZ54" s="106">
        <v>0</v>
      </c>
      <c r="BA54" s="106">
        <v>0</v>
      </c>
      <c r="BB54" s="106">
        <v>0</v>
      </c>
      <c r="BC54" s="106">
        <v>0</v>
      </c>
      <c r="BD54" s="106">
        <v>0</v>
      </c>
      <c r="BE54" s="106">
        <v>0</v>
      </c>
      <c r="BF54" s="106">
        <v>0</v>
      </c>
      <c r="BG54" s="106">
        <v>0</v>
      </c>
      <c r="BH54" s="106">
        <v>0</v>
      </c>
      <c r="BI54" s="106">
        <v>0</v>
      </c>
      <c r="BJ54" s="106">
        <v>0</v>
      </c>
      <c r="BK54" s="106">
        <v>0</v>
      </c>
      <c r="BL54" s="106">
        <v>0</v>
      </c>
      <c r="BM54" s="106">
        <v>0</v>
      </c>
      <c r="BN54" s="106">
        <v>0.05</v>
      </c>
      <c r="BO54" s="106">
        <v>0.05</v>
      </c>
      <c r="BP54" s="106">
        <v>0.05</v>
      </c>
      <c r="BQ54" s="106">
        <v>0.05</v>
      </c>
      <c r="BR54" s="106">
        <v>0.05</v>
      </c>
      <c r="BS54" s="106">
        <v>0.05</v>
      </c>
      <c r="BT54" s="106">
        <v>0.05</v>
      </c>
      <c r="BU54" s="106">
        <v>0.05</v>
      </c>
      <c r="BV54" s="106">
        <v>0.05</v>
      </c>
      <c r="BW54" s="106">
        <v>0.05</v>
      </c>
      <c r="BX54" s="106">
        <v>0.05</v>
      </c>
      <c r="BY54" s="106">
        <v>0.05</v>
      </c>
      <c r="BZ54" s="106">
        <v>0.05</v>
      </c>
      <c r="CA54" s="106">
        <v>0.05</v>
      </c>
      <c r="CB54" s="106">
        <v>0.05</v>
      </c>
      <c r="CC54" s="106">
        <v>0.05</v>
      </c>
      <c r="CD54" s="106">
        <v>0.1</v>
      </c>
      <c r="CE54" s="106">
        <v>0.1</v>
      </c>
      <c r="CG54" s="395">
        <f>SUM(L54:CE54)</f>
        <v>1.0000000000000002</v>
      </c>
    </row>
    <row r="55" spans="10:85">
      <c r="L55" s="106">
        <v>0</v>
      </c>
      <c r="M55" s="106">
        <v>0</v>
      </c>
      <c r="N55" s="106">
        <v>0</v>
      </c>
      <c r="O55" s="106">
        <v>0</v>
      </c>
      <c r="P55" s="106">
        <v>0</v>
      </c>
      <c r="Q55" s="106">
        <v>0</v>
      </c>
      <c r="R55" s="106">
        <v>0</v>
      </c>
      <c r="S55" s="106">
        <v>0</v>
      </c>
      <c r="T55" s="106">
        <v>0</v>
      </c>
      <c r="U55" s="106">
        <v>0</v>
      </c>
      <c r="V55" s="106">
        <v>0</v>
      </c>
      <c r="W55" s="106">
        <v>0</v>
      </c>
      <c r="X55" s="106">
        <v>0</v>
      </c>
      <c r="Y55" s="106">
        <v>0</v>
      </c>
      <c r="Z55" s="106">
        <v>0</v>
      </c>
      <c r="AA55" s="106">
        <v>0</v>
      </c>
      <c r="AB55" s="106">
        <v>0</v>
      </c>
      <c r="AC55" s="106">
        <v>0</v>
      </c>
      <c r="AD55" s="106">
        <v>0</v>
      </c>
      <c r="AE55" s="106">
        <v>0</v>
      </c>
      <c r="AF55" s="106">
        <v>0</v>
      </c>
      <c r="AG55" s="106">
        <v>0</v>
      </c>
      <c r="AH55" s="106">
        <v>0</v>
      </c>
      <c r="AI55" s="106">
        <v>0</v>
      </c>
      <c r="AJ55" s="106">
        <v>0</v>
      </c>
      <c r="AK55" s="106">
        <v>0</v>
      </c>
      <c r="AL55" s="106">
        <v>0</v>
      </c>
      <c r="AM55" s="106">
        <v>0</v>
      </c>
      <c r="AN55" s="106">
        <v>0</v>
      </c>
      <c r="AO55" s="106">
        <v>0</v>
      </c>
      <c r="AP55" s="106">
        <v>0</v>
      </c>
      <c r="AQ55" s="106">
        <v>0</v>
      </c>
      <c r="AR55" s="106">
        <v>0</v>
      </c>
      <c r="AS55" s="106">
        <v>0</v>
      </c>
      <c r="AT55" s="106">
        <v>0</v>
      </c>
      <c r="AU55" s="106">
        <v>0</v>
      </c>
      <c r="AV55" s="106">
        <v>0</v>
      </c>
      <c r="AW55" s="106">
        <v>0</v>
      </c>
      <c r="AX55" s="106">
        <v>0</v>
      </c>
      <c r="AY55" s="106">
        <v>0</v>
      </c>
      <c r="AZ55" s="106">
        <v>0</v>
      </c>
      <c r="BA55" s="106">
        <v>0</v>
      </c>
      <c r="BB55" s="106">
        <v>0</v>
      </c>
      <c r="BC55" s="106">
        <v>0</v>
      </c>
      <c r="BD55" s="106">
        <v>0</v>
      </c>
      <c r="BE55" s="106">
        <v>0</v>
      </c>
      <c r="BF55" s="106">
        <v>0</v>
      </c>
      <c r="BG55" s="106">
        <v>0</v>
      </c>
      <c r="BH55" s="106">
        <v>0</v>
      </c>
      <c r="BI55" s="106">
        <v>0</v>
      </c>
      <c r="BJ55" s="106">
        <v>0</v>
      </c>
      <c r="BK55" s="106">
        <v>0</v>
      </c>
      <c r="BL55" s="106">
        <v>0</v>
      </c>
      <c r="BM55" s="106">
        <v>0</v>
      </c>
      <c r="BN55" s="106">
        <v>0.05</v>
      </c>
      <c r="BO55" s="106">
        <v>0.05</v>
      </c>
      <c r="BP55" s="106">
        <v>0.05</v>
      </c>
      <c r="BQ55" s="106">
        <v>0.05</v>
      </c>
      <c r="BR55" s="106">
        <v>0.05</v>
      </c>
      <c r="BS55" s="106">
        <v>0.05</v>
      </c>
      <c r="BT55" s="106">
        <v>0.05</v>
      </c>
      <c r="BU55" s="106">
        <v>0.05</v>
      </c>
      <c r="BV55" s="106">
        <v>0.05</v>
      </c>
      <c r="BW55" s="106">
        <v>0.05</v>
      </c>
      <c r="BX55" s="106">
        <v>0.05</v>
      </c>
      <c r="BY55" s="106">
        <v>0.05</v>
      </c>
      <c r="BZ55" s="106">
        <v>0.05</v>
      </c>
      <c r="CA55" s="106">
        <v>0.05</v>
      </c>
      <c r="CB55" s="106">
        <v>0.05</v>
      </c>
      <c r="CC55" s="106">
        <v>0.05</v>
      </c>
      <c r="CD55" s="106">
        <v>0.1</v>
      </c>
      <c r="CE55" s="106">
        <v>0.1</v>
      </c>
      <c r="CG55" s="395">
        <f t="shared" ref="CG55:CG61" si="4">SUM(L55:CE55)</f>
        <v>1.0000000000000002</v>
      </c>
    </row>
    <row r="56" spans="10:85">
      <c r="L56" s="106">
        <v>0</v>
      </c>
      <c r="M56" s="106">
        <v>0</v>
      </c>
      <c r="N56" s="106">
        <v>0</v>
      </c>
      <c r="O56" s="106">
        <v>0</v>
      </c>
      <c r="P56" s="106">
        <v>0</v>
      </c>
      <c r="Q56" s="106">
        <v>0</v>
      </c>
      <c r="R56" s="106">
        <v>0</v>
      </c>
      <c r="S56" s="106">
        <v>0</v>
      </c>
      <c r="T56" s="106">
        <v>0</v>
      </c>
      <c r="U56" s="106">
        <v>0</v>
      </c>
      <c r="V56" s="106">
        <v>0</v>
      </c>
      <c r="W56" s="106">
        <v>0</v>
      </c>
      <c r="X56" s="106">
        <v>0</v>
      </c>
      <c r="Y56" s="106">
        <v>0</v>
      </c>
      <c r="Z56" s="106">
        <v>0</v>
      </c>
      <c r="AA56" s="106">
        <v>0</v>
      </c>
      <c r="AB56" s="106">
        <v>0</v>
      </c>
      <c r="AC56" s="106">
        <v>0</v>
      </c>
      <c r="AD56" s="106">
        <v>0</v>
      </c>
      <c r="AE56" s="106">
        <v>0</v>
      </c>
      <c r="AF56" s="106">
        <v>0</v>
      </c>
      <c r="AG56" s="106">
        <v>0</v>
      </c>
      <c r="AH56" s="106">
        <v>0</v>
      </c>
      <c r="AI56" s="106">
        <v>0</v>
      </c>
      <c r="AJ56" s="106">
        <v>0</v>
      </c>
      <c r="AK56" s="106">
        <v>0</v>
      </c>
      <c r="AL56" s="106">
        <v>0</v>
      </c>
      <c r="AM56" s="106">
        <v>0</v>
      </c>
      <c r="AN56" s="106">
        <v>0</v>
      </c>
      <c r="AO56" s="106">
        <v>0</v>
      </c>
      <c r="AP56" s="106">
        <v>0</v>
      </c>
      <c r="AQ56" s="106">
        <v>0</v>
      </c>
      <c r="AR56" s="106">
        <v>0</v>
      </c>
      <c r="AS56" s="106">
        <v>0</v>
      </c>
      <c r="AT56" s="106">
        <v>0</v>
      </c>
      <c r="AU56" s="106">
        <v>0</v>
      </c>
      <c r="AV56" s="106">
        <v>0</v>
      </c>
      <c r="AW56" s="106">
        <v>0</v>
      </c>
      <c r="AX56" s="106">
        <v>0</v>
      </c>
      <c r="AY56" s="106">
        <v>0</v>
      </c>
      <c r="AZ56" s="106">
        <v>0</v>
      </c>
      <c r="BA56" s="106">
        <v>0</v>
      </c>
      <c r="BB56" s="106">
        <v>0</v>
      </c>
      <c r="BC56" s="106">
        <v>0</v>
      </c>
      <c r="BD56" s="106">
        <v>0</v>
      </c>
      <c r="BE56" s="106">
        <v>0</v>
      </c>
      <c r="BF56" s="106">
        <v>0</v>
      </c>
      <c r="BG56" s="106">
        <v>0</v>
      </c>
      <c r="BH56" s="106">
        <v>0</v>
      </c>
      <c r="BI56" s="106">
        <v>0</v>
      </c>
      <c r="BJ56" s="106">
        <v>0</v>
      </c>
      <c r="BK56" s="106">
        <v>0</v>
      </c>
      <c r="BL56" s="106">
        <v>0</v>
      </c>
      <c r="BM56" s="106">
        <v>0</v>
      </c>
      <c r="BN56" s="106">
        <v>0.05</v>
      </c>
      <c r="BO56" s="106">
        <v>0.05</v>
      </c>
      <c r="BP56" s="106">
        <v>0.05</v>
      </c>
      <c r="BQ56" s="106">
        <v>0.05</v>
      </c>
      <c r="BR56" s="106">
        <v>0.05</v>
      </c>
      <c r="BS56" s="106">
        <v>0.05</v>
      </c>
      <c r="BT56" s="106">
        <v>0.05</v>
      </c>
      <c r="BU56" s="106">
        <v>0.05</v>
      </c>
      <c r="BV56" s="106">
        <v>0.05</v>
      </c>
      <c r="BW56" s="106">
        <v>0.05</v>
      </c>
      <c r="BX56" s="106">
        <v>0.05</v>
      </c>
      <c r="BY56" s="106">
        <v>0.05</v>
      </c>
      <c r="BZ56" s="106">
        <v>0.05</v>
      </c>
      <c r="CA56" s="106">
        <v>0.05</v>
      </c>
      <c r="CB56" s="106">
        <v>0.05</v>
      </c>
      <c r="CC56" s="106">
        <v>0.05</v>
      </c>
      <c r="CD56" s="106">
        <v>0.1</v>
      </c>
      <c r="CE56" s="106">
        <v>0.1</v>
      </c>
      <c r="CG56" s="395">
        <f t="shared" si="4"/>
        <v>1.0000000000000002</v>
      </c>
    </row>
    <row r="57" spans="10:85">
      <c r="L57" s="106">
        <v>0</v>
      </c>
      <c r="M57" s="106">
        <v>0</v>
      </c>
      <c r="N57" s="106">
        <v>0</v>
      </c>
      <c r="O57" s="106">
        <v>0</v>
      </c>
      <c r="P57" s="106">
        <v>0</v>
      </c>
      <c r="Q57" s="106">
        <v>0</v>
      </c>
      <c r="R57" s="106">
        <v>0</v>
      </c>
      <c r="S57" s="106">
        <v>0</v>
      </c>
      <c r="T57" s="106">
        <v>0</v>
      </c>
      <c r="U57" s="106">
        <v>0</v>
      </c>
      <c r="V57" s="106">
        <v>0</v>
      </c>
      <c r="W57" s="106">
        <v>0</v>
      </c>
      <c r="X57" s="106">
        <v>0</v>
      </c>
      <c r="Y57" s="106">
        <v>0</v>
      </c>
      <c r="Z57" s="106">
        <v>0</v>
      </c>
      <c r="AA57" s="106">
        <v>0</v>
      </c>
      <c r="AB57" s="106">
        <v>0</v>
      </c>
      <c r="AC57" s="106">
        <v>0</v>
      </c>
      <c r="AD57" s="106">
        <v>0</v>
      </c>
      <c r="AE57" s="106">
        <v>0</v>
      </c>
      <c r="AF57" s="106">
        <v>0</v>
      </c>
      <c r="AG57" s="106">
        <v>0</v>
      </c>
      <c r="AH57" s="106">
        <v>0</v>
      </c>
      <c r="AI57" s="106">
        <v>0</v>
      </c>
      <c r="AJ57" s="106">
        <v>0</v>
      </c>
      <c r="AK57" s="106">
        <v>0</v>
      </c>
      <c r="AL57" s="106">
        <v>0</v>
      </c>
      <c r="AM57" s="106">
        <v>0</v>
      </c>
      <c r="AN57" s="106">
        <v>0</v>
      </c>
      <c r="AO57" s="106">
        <v>0</v>
      </c>
      <c r="AP57" s="106">
        <v>0</v>
      </c>
      <c r="AQ57" s="106">
        <v>0</v>
      </c>
      <c r="AR57" s="106">
        <v>0</v>
      </c>
      <c r="AS57" s="106">
        <v>0</v>
      </c>
      <c r="AT57" s="106">
        <v>0</v>
      </c>
      <c r="AU57" s="106">
        <v>0</v>
      </c>
      <c r="AV57" s="106">
        <v>0</v>
      </c>
      <c r="AW57" s="106">
        <v>0</v>
      </c>
      <c r="AX57" s="106">
        <v>0</v>
      </c>
      <c r="AY57" s="106">
        <v>0</v>
      </c>
      <c r="AZ57" s="106">
        <v>0</v>
      </c>
      <c r="BA57" s="106">
        <v>0</v>
      </c>
      <c r="BB57" s="106">
        <v>0</v>
      </c>
      <c r="BC57" s="106">
        <v>0</v>
      </c>
      <c r="BD57" s="106">
        <v>0</v>
      </c>
      <c r="BE57" s="106">
        <v>0</v>
      </c>
      <c r="BF57" s="106">
        <v>0</v>
      </c>
      <c r="BG57" s="106">
        <v>0</v>
      </c>
      <c r="BH57" s="106">
        <v>0</v>
      </c>
      <c r="BI57" s="106">
        <v>0</v>
      </c>
      <c r="BJ57" s="106">
        <v>0</v>
      </c>
      <c r="BK57" s="106">
        <v>0</v>
      </c>
      <c r="BL57" s="106">
        <v>0</v>
      </c>
      <c r="BM57" s="106">
        <v>0</v>
      </c>
      <c r="BN57" s="106">
        <v>0.05</v>
      </c>
      <c r="BO57" s="106">
        <v>0.05</v>
      </c>
      <c r="BP57" s="106">
        <v>0.05</v>
      </c>
      <c r="BQ57" s="106">
        <v>0.05</v>
      </c>
      <c r="BR57" s="106">
        <v>0.05</v>
      </c>
      <c r="BS57" s="106">
        <v>0.05</v>
      </c>
      <c r="BT57" s="106">
        <v>0.05</v>
      </c>
      <c r="BU57" s="106">
        <v>0.05</v>
      </c>
      <c r="BV57" s="106">
        <v>0.05</v>
      </c>
      <c r="BW57" s="106">
        <v>0.05</v>
      </c>
      <c r="BX57" s="106">
        <v>0.05</v>
      </c>
      <c r="BY57" s="106">
        <v>0.05</v>
      </c>
      <c r="BZ57" s="106">
        <v>0.05</v>
      </c>
      <c r="CA57" s="106">
        <v>0.05</v>
      </c>
      <c r="CB57" s="106">
        <v>0.05</v>
      </c>
      <c r="CC57" s="106">
        <v>0.05</v>
      </c>
      <c r="CD57" s="106">
        <v>0.1</v>
      </c>
      <c r="CE57" s="106">
        <v>0.1</v>
      </c>
      <c r="CG57" s="395">
        <f t="shared" si="4"/>
        <v>1.0000000000000002</v>
      </c>
    </row>
    <row r="58" spans="10:85">
      <c r="L58" s="106">
        <v>0</v>
      </c>
      <c r="M58" s="106">
        <v>0</v>
      </c>
      <c r="N58" s="106">
        <v>0</v>
      </c>
      <c r="O58" s="106">
        <v>0</v>
      </c>
      <c r="P58" s="106">
        <v>0</v>
      </c>
      <c r="Q58" s="106">
        <v>0</v>
      </c>
      <c r="R58" s="106">
        <v>0</v>
      </c>
      <c r="S58" s="106">
        <v>0</v>
      </c>
      <c r="T58" s="106">
        <v>0</v>
      </c>
      <c r="U58" s="106">
        <v>0</v>
      </c>
      <c r="V58" s="106">
        <v>0</v>
      </c>
      <c r="W58" s="106">
        <v>0</v>
      </c>
      <c r="X58" s="106">
        <v>0</v>
      </c>
      <c r="Y58" s="106">
        <v>0</v>
      </c>
      <c r="Z58" s="106">
        <v>0</v>
      </c>
      <c r="AA58" s="106">
        <v>0</v>
      </c>
      <c r="AB58" s="106">
        <v>0</v>
      </c>
      <c r="AC58" s="106">
        <v>0</v>
      </c>
      <c r="AD58" s="106">
        <v>0</v>
      </c>
      <c r="AE58" s="106">
        <v>0</v>
      </c>
      <c r="AF58" s="106">
        <v>0</v>
      </c>
      <c r="AG58" s="106">
        <v>0</v>
      </c>
      <c r="AH58" s="106">
        <v>0</v>
      </c>
      <c r="AI58" s="106">
        <v>0</v>
      </c>
      <c r="AJ58" s="106">
        <v>0</v>
      </c>
      <c r="AK58" s="106">
        <v>0</v>
      </c>
      <c r="AL58" s="106">
        <v>0</v>
      </c>
      <c r="AM58" s="106">
        <v>0</v>
      </c>
      <c r="AN58" s="106">
        <v>0</v>
      </c>
      <c r="AO58" s="106">
        <v>0</v>
      </c>
      <c r="AP58" s="106">
        <v>0</v>
      </c>
      <c r="AQ58" s="106">
        <v>0</v>
      </c>
      <c r="AR58" s="106">
        <v>0</v>
      </c>
      <c r="AS58" s="106">
        <v>0</v>
      </c>
      <c r="AT58" s="106">
        <v>0</v>
      </c>
      <c r="AU58" s="106">
        <v>0</v>
      </c>
      <c r="AV58" s="106">
        <v>0</v>
      </c>
      <c r="AW58" s="106">
        <v>0</v>
      </c>
      <c r="AX58" s="106">
        <v>0</v>
      </c>
      <c r="AY58" s="106">
        <v>0</v>
      </c>
      <c r="AZ58" s="106">
        <v>0</v>
      </c>
      <c r="BA58" s="106">
        <v>0</v>
      </c>
      <c r="BB58" s="106">
        <v>0</v>
      </c>
      <c r="BC58" s="106">
        <v>0</v>
      </c>
      <c r="BD58" s="106">
        <v>0</v>
      </c>
      <c r="BE58" s="106">
        <v>0</v>
      </c>
      <c r="BF58" s="106">
        <v>0</v>
      </c>
      <c r="BG58" s="106">
        <v>0</v>
      </c>
      <c r="BH58" s="106">
        <v>0</v>
      </c>
      <c r="BI58" s="106">
        <v>0</v>
      </c>
      <c r="BJ58" s="106">
        <v>0</v>
      </c>
      <c r="BK58" s="106">
        <v>0</v>
      </c>
      <c r="BL58" s="106">
        <v>0</v>
      </c>
      <c r="BM58" s="106">
        <v>0</v>
      </c>
      <c r="BN58" s="106">
        <v>0.05</v>
      </c>
      <c r="BO58" s="106">
        <v>0.05</v>
      </c>
      <c r="BP58" s="106">
        <v>0.05</v>
      </c>
      <c r="BQ58" s="106">
        <v>0.05</v>
      </c>
      <c r="BR58" s="106">
        <v>0.05</v>
      </c>
      <c r="BS58" s="106">
        <v>0.05</v>
      </c>
      <c r="BT58" s="106">
        <v>0.05</v>
      </c>
      <c r="BU58" s="106">
        <v>0.05</v>
      </c>
      <c r="BV58" s="106">
        <v>0.05</v>
      </c>
      <c r="BW58" s="106">
        <v>0.05</v>
      </c>
      <c r="BX58" s="106">
        <v>0.05</v>
      </c>
      <c r="BY58" s="106">
        <v>0.05</v>
      </c>
      <c r="BZ58" s="106">
        <v>0.05</v>
      </c>
      <c r="CA58" s="106">
        <v>0.05</v>
      </c>
      <c r="CB58" s="106">
        <v>0.05</v>
      </c>
      <c r="CC58" s="106">
        <v>0.05</v>
      </c>
      <c r="CD58" s="106">
        <v>0.1</v>
      </c>
      <c r="CE58" s="106">
        <v>0.1</v>
      </c>
      <c r="CG58" s="395">
        <f t="shared" si="4"/>
        <v>1.0000000000000002</v>
      </c>
    </row>
    <row r="59" spans="10:85">
      <c r="L59" s="106">
        <v>0</v>
      </c>
      <c r="M59" s="106">
        <v>0</v>
      </c>
      <c r="N59" s="106">
        <v>0</v>
      </c>
      <c r="O59" s="106">
        <v>0</v>
      </c>
      <c r="P59" s="106">
        <v>0</v>
      </c>
      <c r="Q59" s="106">
        <v>0</v>
      </c>
      <c r="R59" s="106">
        <v>0</v>
      </c>
      <c r="S59" s="106">
        <v>0</v>
      </c>
      <c r="T59" s="106">
        <v>0</v>
      </c>
      <c r="U59" s="106">
        <v>0</v>
      </c>
      <c r="V59" s="106">
        <v>0</v>
      </c>
      <c r="W59" s="106">
        <v>0</v>
      </c>
      <c r="X59" s="106">
        <v>0</v>
      </c>
      <c r="Y59" s="106">
        <v>0</v>
      </c>
      <c r="Z59" s="106">
        <v>0</v>
      </c>
      <c r="AA59" s="106">
        <v>0</v>
      </c>
      <c r="AB59" s="106">
        <v>0</v>
      </c>
      <c r="AC59" s="106">
        <v>0</v>
      </c>
      <c r="AD59" s="106">
        <v>0</v>
      </c>
      <c r="AE59" s="106">
        <v>0</v>
      </c>
      <c r="AF59" s="106">
        <v>0</v>
      </c>
      <c r="AG59" s="106">
        <v>0</v>
      </c>
      <c r="AH59" s="106">
        <v>0</v>
      </c>
      <c r="AI59" s="106">
        <v>0</v>
      </c>
      <c r="AJ59" s="106">
        <v>0</v>
      </c>
      <c r="AK59" s="106">
        <v>0</v>
      </c>
      <c r="AL59" s="106">
        <v>0</v>
      </c>
      <c r="AM59" s="106">
        <v>0</v>
      </c>
      <c r="AN59" s="106">
        <v>0</v>
      </c>
      <c r="AO59" s="106">
        <v>0</v>
      </c>
      <c r="AP59" s="106">
        <v>0</v>
      </c>
      <c r="AQ59" s="106">
        <v>0</v>
      </c>
      <c r="AR59" s="106">
        <v>0</v>
      </c>
      <c r="AS59" s="106">
        <v>0</v>
      </c>
      <c r="AT59" s="106">
        <v>0</v>
      </c>
      <c r="AU59" s="106">
        <v>0</v>
      </c>
      <c r="AV59" s="106">
        <v>0</v>
      </c>
      <c r="AW59" s="106">
        <v>0</v>
      </c>
      <c r="AX59" s="106">
        <v>0</v>
      </c>
      <c r="AY59" s="106">
        <v>0</v>
      </c>
      <c r="AZ59" s="106">
        <v>0</v>
      </c>
      <c r="BA59" s="106">
        <v>0</v>
      </c>
      <c r="BB59" s="106">
        <v>0</v>
      </c>
      <c r="BC59" s="106">
        <v>0</v>
      </c>
      <c r="BD59" s="106">
        <v>0</v>
      </c>
      <c r="BE59" s="106">
        <v>0</v>
      </c>
      <c r="BF59" s="106">
        <v>0</v>
      </c>
      <c r="BG59" s="106">
        <v>0</v>
      </c>
      <c r="BH59" s="106">
        <v>0</v>
      </c>
      <c r="BI59" s="106">
        <v>0</v>
      </c>
      <c r="BJ59" s="106">
        <v>0</v>
      </c>
      <c r="BK59" s="106">
        <v>0</v>
      </c>
      <c r="BL59" s="106">
        <v>0</v>
      </c>
      <c r="BM59" s="106">
        <v>0</v>
      </c>
      <c r="BN59" s="106">
        <v>0.05</v>
      </c>
      <c r="BO59" s="106">
        <v>0.05</v>
      </c>
      <c r="BP59" s="106">
        <v>0.05</v>
      </c>
      <c r="BQ59" s="106">
        <v>0.05</v>
      </c>
      <c r="BR59" s="106">
        <v>0.05</v>
      </c>
      <c r="BS59" s="106">
        <v>0.05</v>
      </c>
      <c r="BT59" s="106">
        <v>0.05</v>
      </c>
      <c r="BU59" s="106">
        <v>0.05</v>
      </c>
      <c r="BV59" s="106">
        <v>0.05</v>
      </c>
      <c r="BW59" s="106">
        <v>0.05</v>
      </c>
      <c r="BX59" s="106">
        <v>0.05</v>
      </c>
      <c r="BY59" s="106">
        <v>0.05</v>
      </c>
      <c r="BZ59" s="106">
        <v>0.05</v>
      </c>
      <c r="CA59" s="106">
        <v>0.05</v>
      </c>
      <c r="CB59" s="106">
        <v>0.05</v>
      </c>
      <c r="CC59" s="106">
        <v>0.05</v>
      </c>
      <c r="CD59" s="106">
        <v>0.1</v>
      </c>
      <c r="CE59" s="106">
        <v>0.1</v>
      </c>
      <c r="CG59" s="395">
        <f t="shared" si="4"/>
        <v>1.0000000000000002</v>
      </c>
    </row>
    <row r="60" spans="10:85">
      <c r="L60" s="106"/>
      <c r="M60" s="106"/>
      <c r="N60" s="106"/>
      <c r="O60" s="106"/>
      <c r="P60" s="106"/>
      <c r="Q60" s="106"/>
      <c r="R60" s="106"/>
      <c r="S60" s="106"/>
      <c r="T60" s="106"/>
      <c r="U60" s="106"/>
      <c r="V60" s="106"/>
      <c r="W60" s="106"/>
      <c r="X60" s="106"/>
      <c r="Y60" s="106"/>
      <c r="Z60" s="106"/>
      <c r="AA60" s="106"/>
      <c r="AB60" s="106"/>
      <c r="AC60" s="106"/>
      <c r="AD60" s="106"/>
      <c r="AE60" s="106"/>
      <c r="AF60" s="106"/>
      <c r="AG60" s="106"/>
      <c r="AH60" s="106"/>
      <c r="AI60" s="106"/>
      <c r="AJ60" s="106"/>
      <c r="AK60" s="106"/>
      <c r="AL60" s="106"/>
      <c r="AM60" s="106"/>
      <c r="AN60" s="106"/>
      <c r="AO60" s="106"/>
      <c r="AP60" s="106"/>
      <c r="AQ60" s="106"/>
      <c r="AR60" s="106"/>
      <c r="AS60" s="106"/>
      <c r="AT60" s="106"/>
      <c r="AU60" s="106"/>
      <c r="AV60" s="106"/>
      <c r="AW60" s="106"/>
      <c r="AX60" s="106"/>
      <c r="AY60" s="106"/>
      <c r="AZ60" s="106"/>
      <c r="BA60" s="106"/>
      <c r="BB60" s="106"/>
      <c r="BC60" s="106"/>
      <c r="BD60" s="106"/>
      <c r="BE60" s="106"/>
      <c r="BF60" s="106"/>
      <c r="BG60" s="106"/>
      <c r="BH60" s="106"/>
      <c r="BI60" s="106"/>
      <c r="BJ60" s="106"/>
      <c r="BK60" s="106"/>
      <c r="BL60" s="106"/>
      <c r="BM60" s="106"/>
      <c r="BN60" s="106">
        <v>0.05</v>
      </c>
      <c r="BO60" s="106">
        <v>0.05</v>
      </c>
      <c r="BP60" s="106">
        <v>0.05</v>
      </c>
      <c r="BQ60" s="106">
        <v>0.05</v>
      </c>
      <c r="BR60" s="106">
        <v>0.05</v>
      </c>
      <c r="BS60" s="106">
        <v>0.05</v>
      </c>
      <c r="BT60" s="106">
        <v>0.05</v>
      </c>
      <c r="BU60" s="106">
        <v>0.05</v>
      </c>
      <c r="BV60" s="106">
        <v>0.05</v>
      </c>
      <c r="BW60" s="106">
        <v>0.05</v>
      </c>
      <c r="BX60" s="106">
        <v>0.05</v>
      </c>
      <c r="BY60" s="106">
        <v>0.05</v>
      </c>
      <c r="BZ60" s="106">
        <v>0.05</v>
      </c>
      <c r="CA60" s="106">
        <v>0.05</v>
      </c>
      <c r="CB60" s="106">
        <v>0.05</v>
      </c>
      <c r="CC60" s="106">
        <v>0.05</v>
      </c>
      <c r="CD60" s="106">
        <v>0.1</v>
      </c>
      <c r="CE60" s="106">
        <v>0.1</v>
      </c>
      <c r="CG60" s="395">
        <f t="shared" si="4"/>
        <v>1.0000000000000002</v>
      </c>
    </row>
    <row r="61" spans="10:85">
      <c r="L61" s="106">
        <v>0</v>
      </c>
      <c r="M61" s="106">
        <v>0</v>
      </c>
      <c r="N61" s="106">
        <v>0</v>
      </c>
      <c r="O61" s="106">
        <v>0</v>
      </c>
      <c r="P61" s="106">
        <v>0</v>
      </c>
      <c r="Q61" s="106">
        <v>0</v>
      </c>
      <c r="R61" s="106">
        <v>0</v>
      </c>
      <c r="S61" s="106">
        <v>0</v>
      </c>
      <c r="T61" s="106">
        <v>0</v>
      </c>
      <c r="U61" s="106">
        <v>0</v>
      </c>
      <c r="V61" s="106">
        <v>0</v>
      </c>
      <c r="W61" s="106">
        <v>0</v>
      </c>
      <c r="X61" s="106">
        <v>0</v>
      </c>
      <c r="Y61" s="106">
        <v>0</v>
      </c>
      <c r="Z61" s="106">
        <v>0</v>
      </c>
      <c r="AA61" s="106">
        <v>0</v>
      </c>
      <c r="AB61" s="106">
        <v>0</v>
      </c>
      <c r="AC61" s="106">
        <v>0</v>
      </c>
      <c r="AD61" s="106">
        <v>0</v>
      </c>
      <c r="AE61" s="106">
        <v>0</v>
      </c>
      <c r="AF61" s="106">
        <v>0</v>
      </c>
      <c r="AG61" s="106">
        <v>0</v>
      </c>
      <c r="AH61" s="106">
        <v>0</v>
      </c>
      <c r="AI61" s="106">
        <v>0</v>
      </c>
      <c r="AJ61" s="106">
        <v>0</v>
      </c>
      <c r="AK61" s="106">
        <v>0</v>
      </c>
      <c r="AL61" s="106">
        <v>0</v>
      </c>
      <c r="AM61" s="106">
        <v>0</v>
      </c>
      <c r="AN61" s="106">
        <v>0</v>
      </c>
      <c r="AO61" s="106">
        <v>0</v>
      </c>
      <c r="AP61" s="106">
        <v>0</v>
      </c>
      <c r="AQ61" s="106">
        <v>0</v>
      </c>
      <c r="AR61" s="106">
        <v>0</v>
      </c>
      <c r="AS61" s="106">
        <v>0</v>
      </c>
      <c r="AT61" s="106">
        <v>0</v>
      </c>
      <c r="AU61" s="106">
        <v>0</v>
      </c>
      <c r="AV61" s="106">
        <v>0</v>
      </c>
      <c r="AW61" s="106">
        <v>0</v>
      </c>
      <c r="AX61" s="106">
        <v>0</v>
      </c>
      <c r="AY61" s="106">
        <v>0</v>
      </c>
      <c r="AZ61" s="106">
        <v>0</v>
      </c>
      <c r="BA61" s="106">
        <v>0</v>
      </c>
      <c r="BB61" s="106">
        <v>0</v>
      </c>
      <c r="BC61" s="106">
        <v>0</v>
      </c>
      <c r="BD61" s="106">
        <v>0</v>
      </c>
      <c r="BE61" s="106">
        <v>0</v>
      </c>
      <c r="BF61" s="106">
        <v>0</v>
      </c>
      <c r="BG61" s="106">
        <v>0</v>
      </c>
      <c r="BH61" s="106">
        <v>0</v>
      </c>
      <c r="BI61" s="106">
        <v>0</v>
      </c>
      <c r="BJ61" s="106">
        <v>0</v>
      </c>
      <c r="BK61" s="106">
        <v>0</v>
      </c>
      <c r="BL61" s="106">
        <v>0</v>
      </c>
      <c r="BM61" s="106">
        <v>0</v>
      </c>
      <c r="BN61" s="106">
        <v>0.05</v>
      </c>
      <c r="BO61" s="106">
        <v>0.05</v>
      </c>
      <c r="BP61" s="106">
        <v>0.05</v>
      </c>
      <c r="BQ61" s="106">
        <v>0.05</v>
      </c>
      <c r="BR61" s="106">
        <v>0.05</v>
      </c>
      <c r="BS61" s="106">
        <v>0.05</v>
      </c>
      <c r="BT61" s="106">
        <v>0.05</v>
      </c>
      <c r="BU61" s="106">
        <v>0.05</v>
      </c>
      <c r="BV61" s="106">
        <v>0.05</v>
      </c>
      <c r="BW61" s="106">
        <v>0.05</v>
      </c>
      <c r="BX61" s="106">
        <v>0.05</v>
      </c>
      <c r="BY61" s="106">
        <v>0.05</v>
      </c>
      <c r="BZ61" s="106">
        <v>0.05</v>
      </c>
      <c r="CA61" s="106">
        <v>0.05</v>
      </c>
      <c r="CB61" s="106">
        <v>0.05</v>
      </c>
      <c r="CC61" s="106">
        <v>0.05</v>
      </c>
      <c r="CD61" s="106">
        <v>0.1</v>
      </c>
      <c r="CE61" s="106">
        <v>0.1</v>
      </c>
      <c r="CG61" s="395">
        <f t="shared" si="4"/>
        <v>1.0000000000000002</v>
      </c>
    </row>
    <row r="62" spans="10:85">
      <c r="L62" s="106">
        <v>0</v>
      </c>
      <c r="M62" s="106">
        <v>0</v>
      </c>
      <c r="N62" s="106">
        <v>0</v>
      </c>
      <c r="O62" s="106">
        <v>0</v>
      </c>
      <c r="P62" s="106">
        <v>0</v>
      </c>
      <c r="Q62" s="106">
        <v>0</v>
      </c>
      <c r="R62" s="106">
        <v>0</v>
      </c>
      <c r="S62" s="106">
        <v>0</v>
      </c>
      <c r="T62" s="106">
        <v>0</v>
      </c>
      <c r="U62" s="106">
        <v>0</v>
      </c>
      <c r="V62" s="106">
        <v>0</v>
      </c>
      <c r="W62" s="106">
        <v>0</v>
      </c>
      <c r="X62" s="106">
        <v>0</v>
      </c>
      <c r="Y62" s="106">
        <v>0</v>
      </c>
      <c r="Z62" s="106">
        <v>0</v>
      </c>
      <c r="AA62" s="106">
        <v>0</v>
      </c>
      <c r="AB62" s="106">
        <v>0</v>
      </c>
      <c r="AC62" s="106">
        <v>0</v>
      </c>
      <c r="AD62" s="106">
        <v>0</v>
      </c>
      <c r="AE62" s="106">
        <v>0</v>
      </c>
      <c r="AF62" s="106">
        <v>0</v>
      </c>
      <c r="AG62" s="106">
        <v>0</v>
      </c>
      <c r="AH62" s="106">
        <v>0</v>
      </c>
      <c r="AI62" s="106">
        <v>0</v>
      </c>
      <c r="AJ62" s="106">
        <v>0</v>
      </c>
      <c r="AK62" s="106">
        <v>0</v>
      </c>
      <c r="AL62" s="106">
        <v>0</v>
      </c>
      <c r="AM62" s="106">
        <v>0</v>
      </c>
      <c r="AN62" s="106">
        <v>0</v>
      </c>
      <c r="AO62" s="106">
        <v>0</v>
      </c>
      <c r="AP62" s="106">
        <v>0</v>
      </c>
      <c r="AQ62" s="106">
        <v>0</v>
      </c>
      <c r="AR62" s="106">
        <v>0</v>
      </c>
      <c r="AS62" s="106">
        <v>0</v>
      </c>
      <c r="AT62" s="106">
        <v>0</v>
      </c>
      <c r="AU62" s="106">
        <v>0</v>
      </c>
      <c r="AV62" s="106">
        <v>0</v>
      </c>
      <c r="AW62" s="106">
        <v>0</v>
      </c>
      <c r="AX62" s="106">
        <v>0</v>
      </c>
      <c r="AY62" s="106">
        <v>0</v>
      </c>
      <c r="AZ62" s="106">
        <v>0</v>
      </c>
      <c r="BA62" s="106">
        <v>0</v>
      </c>
      <c r="BB62" s="106">
        <v>0</v>
      </c>
      <c r="BC62" s="106">
        <v>0</v>
      </c>
      <c r="BD62" s="106">
        <v>0</v>
      </c>
      <c r="BE62" s="106">
        <v>0</v>
      </c>
      <c r="BF62" s="106">
        <v>0</v>
      </c>
      <c r="BG62" s="106">
        <v>0</v>
      </c>
      <c r="BH62" s="106">
        <v>0</v>
      </c>
      <c r="BI62" s="106">
        <v>0</v>
      </c>
      <c r="BJ62" s="106">
        <v>0</v>
      </c>
      <c r="BK62" s="106">
        <v>0</v>
      </c>
      <c r="BL62" s="106">
        <v>0</v>
      </c>
      <c r="BM62" s="106">
        <v>0</v>
      </c>
      <c r="BN62" s="106">
        <v>0.05</v>
      </c>
      <c r="BO62" s="106">
        <v>0.05</v>
      </c>
      <c r="BP62" s="106">
        <v>0.05</v>
      </c>
      <c r="BQ62" s="106">
        <v>0.05</v>
      </c>
      <c r="BR62" s="106">
        <v>0.05</v>
      </c>
      <c r="BS62" s="106">
        <v>0.05</v>
      </c>
      <c r="BT62" s="106">
        <v>0.05</v>
      </c>
      <c r="BU62" s="106">
        <v>0.05</v>
      </c>
      <c r="BV62" s="106">
        <v>0.05</v>
      </c>
      <c r="BW62" s="106">
        <v>0.05</v>
      </c>
      <c r="BX62" s="106">
        <v>0.05</v>
      </c>
      <c r="BY62" s="106">
        <v>0.05</v>
      </c>
      <c r="BZ62" s="106">
        <v>0.05</v>
      </c>
      <c r="CA62" s="106">
        <v>0.05</v>
      </c>
      <c r="CB62" s="106">
        <v>0.05</v>
      </c>
      <c r="CC62" s="106">
        <v>0.05</v>
      </c>
      <c r="CD62" s="106">
        <v>0.1</v>
      </c>
      <c r="CE62" s="106">
        <v>0.1</v>
      </c>
      <c r="CG62" s="395"/>
    </row>
    <row r="65" spans="10:85">
      <c r="J65">
        <v>6</v>
      </c>
      <c r="L65" s="106">
        <v>0</v>
      </c>
      <c r="M65" s="106">
        <v>0</v>
      </c>
      <c r="N65" s="106">
        <v>0</v>
      </c>
      <c r="O65" s="106">
        <v>0</v>
      </c>
      <c r="P65" s="106">
        <v>0</v>
      </c>
      <c r="Q65" s="106">
        <v>0</v>
      </c>
      <c r="R65" s="106">
        <v>0</v>
      </c>
      <c r="S65" s="106">
        <v>0</v>
      </c>
      <c r="T65" s="106">
        <v>0</v>
      </c>
      <c r="U65" s="106">
        <v>0</v>
      </c>
      <c r="V65" s="106">
        <v>0</v>
      </c>
      <c r="W65" s="106">
        <v>0</v>
      </c>
      <c r="X65" s="106">
        <v>0</v>
      </c>
      <c r="Y65" s="106">
        <v>0</v>
      </c>
      <c r="Z65" s="106">
        <v>0</v>
      </c>
      <c r="AA65" s="106">
        <v>0</v>
      </c>
      <c r="AB65" s="106">
        <v>0</v>
      </c>
      <c r="AC65" s="106">
        <v>0</v>
      </c>
      <c r="AD65" s="106">
        <v>0</v>
      </c>
      <c r="AE65" s="106">
        <v>0</v>
      </c>
      <c r="AF65" s="106">
        <v>0</v>
      </c>
      <c r="AG65" s="106">
        <v>0</v>
      </c>
      <c r="AH65" s="106">
        <v>0</v>
      </c>
      <c r="AI65" s="106">
        <v>0</v>
      </c>
      <c r="AJ65" s="106">
        <v>0</v>
      </c>
      <c r="AK65" s="106">
        <v>0</v>
      </c>
      <c r="AL65" s="106">
        <v>0</v>
      </c>
      <c r="AM65" s="106">
        <v>0</v>
      </c>
      <c r="AN65" s="106">
        <v>0</v>
      </c>
      <c r="AO65" s="106">
        <v>0</v>
      </c>
      <c r="AP65" s="106">
        <v>0</v>
      </c>
      <c r="AQ65" s="106">
        <v>0</v>
      </c>
      <c r="AR65" s="106">
        <v>0</v>
      </c>
      <c r="AS65" s="106">
        <v>0</v>
      </c>
      <c r="AT65" s="106">
        <v>0</v>
      </c>
      <c r="AU65" s="106">
        <v>0</v>
      </c>
      <c r="AV65" s="106">
        <v>0</v>
      </c>
      <c r="AW65" s="106">
        <v>0</v>
      </c>
      <c r="AX65" s="106">
        <v>0</v>
      </c>
      <c r="AY65" s="106">
        <v>0</v>
      </c>
      <c r="AZ65" s="106">
        <v>0</v>
      </c>
      <c r="BA65" s="106">
        <v>0</v>
      </c>
      <c r="BB65" s="106">
        <v>0</v>
      </c>
      <c r="BC65" s="106">
        <v>0</v>
      </c>
      <c r="BD65" s="106">
        <v>0</v>
      </c>
      <c r="BE65" s="106">
        <v>0</v>
      </c>
      <c r="BF65" s="106">
        <v>0</v>
      </c>
      <c r="BG65" s="106">
        <v>0</v>
      </c>
      <c r="BH65" s="106">
        <v>0</v>
      </c>
      <c r="BI65" s="106">
        <v>0</v>
      </c>
      <c r="BJ65" s="106">
        <v>0</v>
      </c>
      <c r="BK65" s="106">
        <v>0</v>
      </c>
      <c r="BL65" s="106">
        <v>0</v>
      </c>
      <c r="BM65" s="106">
        <v>0</v>
      </c>
      <c r="BN65" s="106">
        <v>0</v>
      </c>
      <c r="BO65" s="106">
        <v>0</v>
      </c>
      <c r="BP65" s="106">
        <v>0</v>
      </c>
      <c r="BQ65" s="106">
        <v>0</v>
      </c>
      <c r="BR65" s="106">
        <v>0</v>
      </c>
      <c r="BS65" s="106">
        <v>0</v>
      </c>
      <c r="BT65" s="106">
        <v>0</v>
      </c>
      <c r="BU65" s="2495">
        <v>0.05</v>
      </c>
      <c r="BV65" s="2495">
        <v>0.05</v>
      </c>
      <c r="BW65" s="2495">
        <v>0.1</v>
      </c>
      <c r="BX65" s="2495">
        <v>0.1</v>
      </c>
      <c r="BY65" s="2495">
        <v>0.1</v>
      </c>
      <c r="BZ65" s="2495">
        <v>0.1</v>
      </c>
      <c r="CA65" s="2495">
        <v>0.1</v>
      </c>
      <c r="CB65" s="2495">
        <v>0.1</v>
      </c>
      <c r="CC65" s="2495">
        <v>0.1</v>
      </c>
      <c r="CD65" s="2495">
        <v>0.1</v>
      </c>
      <c r="CE65" s="2495">
        <v>0.1</v>
      </c>
      <c r="CG65" s="395">
        <f>SUM(L65:CE65)</f>
        <v>0.99999999999999989</v>
      </c>
    </row>
    <row r="66" spans="10:85">
      <c r="L66" s="106">
        <v>0</v>
      </c>
      <c r="M66" s="106">
        <v>0</v>
      </c>
      <c r="N66" s="106">
        <v>0</v>
      </c>
      <c r="O66" s="106">
        <v>0</v>
      </c>
      <c r="P66" s="106">
        <v>0</v>
      </c>
      <c r="Q66" s="106">
        <v>0</v>
      </c>
      <c r="R66" s="106">
        <v>0</v>
      </c>
      <c r="S66" s="106">
        <v>0</v>
      </c>
      <c r="T66" s="106">
        <v>0</v>
      </c>
      <c r="U66" s="106">
        <v>0</v>
      </c>
      <c r="V66" s="106">
        <v>0</v>
      </c>
      <c r="W66" s="106">
        <v>0</v>
      </c>
      <c r="X66" s="106">
        <v>0</v>
      </c>
      <c r="Y66" s="106">
        <v>0</v>
      </c>
      <c r="Z66" s="106">
        <v>0</v>
      </c>
      <c r="AA66" s="106">
        <v>0</v>
      </c>
      <c r="AB66" s="106">
        <v>0</v>
      </c>
      <c r="AC66" s="106">
        <v>0</v>
      </c>
      <c r="AD66" s="106">
        <v>0</v>
      </c>
      <c r="AE66" s="106">
        <v>0</v>
      </c>
      <c r="AF66" s="106">
        <v>0</v>
      </c>
      <c r="AG66" s="106">
        <v>0</v>
      </c>
      <c r="AH66" s="106">
        <v>0</v>
      </c>
      <c r="AI66" s="106">
        <v>0</v>
      </c>
      <c r="AJ66" s="106">
        <v>0</v>
      </c>
      <c r="AK66" s="106">
        <v>0</v>
      </c>
      <c r="AL66" s="106">
        <v>0</v>
      </c>
      <c r="AM66" s="106">
        <v>0</v>
      </c>
      <c r="AN66" s="106">
        <v>0</v>
      </c>
      <c r="AO66" s="106">
        <v>0</v>
      </c>
      <c r="AP66" s="106">
        <v>0</v>
      </c>
      <c r="AQ66" s="106">
        <v>0</v>
      </c>
      <c r="AR66" s="106">
        <v>0</v>
      </c>
      <c r="AS66" s="106">
        <v>0</v>
      </c>
      <c r="AT66" s="106">
        <v>0</v>
      </c>
      <c r="AU66" s="106">
        <v>0</v>
      </c>
      <c r="AV66" s="106">
        <v>0</v>
      </c>
      <c r="AW66" s="106">
        <v>0</v>
      </c>
      <c r="AX66" s="106">
        <v>0</v>
      </c>
      <c r="AY66" s="106">
        <v>0</v>
      </c>
      <c r="AZ66" s="106">
        <v>0</v>
      </c>
      <c r="BA66" s="106">
        <v>0</v>
      </c>
      <c r="BB66" s="106">
        <v>0</v>
      </c>
      <c r="BC66" s="106">
        <v>0</v>
      </c>
      <c r="BD66" s="106">
        <v>0</v>
      </c>
      <c r="BE66" s="106">
        <v>0</v>
      </c>
      <c r="BF66" s="106">
        <v>0</v>
      </c>
      <c r="BG66" s="106">
        <v>0</v>
      </c>
      <c r="BH66" s="106">
        <v>0</v>
      </c>
      <c r="BI66" s="106">
        <v>0</v>
      </c>
      <c r="BJ66" s="106">
        <v>0</v>
      </c>
      <c r="BK66" s="106">
        <v>0</v>
      </c>
      <c r="BL66" s="106">
        <v>0</v>
      </c>
      <c r="BM66" s="106">
        <v>0</v>
      </c>
      <c r="BN66" s="106">
        <v>0</v>
      </c>
      <c r="BO66" s="106">
        <v>0</v>
      </c>
      <c r="BP66" s="106">
        <v>0</v>
      </c>
      <c r="BQ66" s="106">
        <v>0</v>
      </c>
      <c r="BR66" s="106">
        <v>0</v>
      </c>
      <c r="BS66" s="106">
        <v>0</v>
      </c>
      <c r="BT66" s="106">
        <v>0</v>
      </c>
      <c r="BU66" s="2495">
        <v>0.05</v>
      </c>
      <c r="BV66" s="2495">
        <v>0.05</v>
      </c>
      <c r="BW66" s="2495">
        <v>0.1</v>
      </c>
      <c r="BX66" s="2495">
        <v>0.1</v>
      </c>
      <c r="BY66" s="2495">
        <v>0.1</v>
      </c>
      <c r="BZ66" s="2495">
        <v>0.1</v>
      </c>
      <c r="CA66" s="2495">
        <v>0.1</v>
      </c>
      <c r="CB66" s="2495">
        <v>0.1</v>
      </c>
      <c r="CC66" s="2495">
        <v>0.1</v>
      </c>
      <c r="CD66" s="2495">
        <v>0.1</v>
      </c>
      <c r="CE66" s="2495">
        <v>0.1</v>
      </c>
      <c r="CG66" s="395">
        <f t="shared" ref="CG66:CG73" si="5">SUM(L66:CE66)</f>
        <v>0.99999999999999989</v>
      </c>
    </row>
    <row r="67" spans="10:85">
      <c r="L67" s="106">
        <v>0</v>
      </c>
      <c r="M67" s="106">
        <v>0</v>
      </c>
      <c r="N67" s="106">
        <v>0</v>
      </c>
      <c r="O67" s="106">
        <v>0</v>
      </c>
      <c r="P67" s="106">
        <v>0</v>
      </c>
      <c r="Q67" s="106">
        <v>0</v>
      </c>
      <c r="R67" s="106">
        <v>0</v>
      </c>
      <c r="S67" s="106">
        <v>0</v>
      </c>
      <c r="T67" s="106">
        <v>0</v>
      </c>
      <c r="U67" s="106">
        <v>0</v>
      </c>
      <c r="V67" s="106">
        <v>0</v>
      </c>
      <c r="W67" s="106">
        <v>0</v>
      </c>
      <c r="X67" s="106">
        <v>0</v>
      </c>
      <c r="Y67" s="106">
        <v>0</v>
      </c>
      <c r="Z67" s="106">
        <v>0</v>
      </c>
      <c r="AA67" s="106">
        <v>0</v>
      </c>
      <c r="AB67" s="106">
        <v>0</v>
      </c>
      <c r="AC67" s="106">
        <v>0</v>
      </c>
      <c r="AD67" s="106">
        <v>0</v>
      </c>
      <c r="AE67" s="106">
        <v>0</v>
      </c>
      <c r="AF67" s="106">
        <v>0</v>
      </c>
      <c r="AG67" s="106">
        <v>0</v>
      </c>
      <c r="AH67" s="106">
        <v>0</v>
      </c>
      <c r="AI67" s="106">
        <v>0</v>
      </c>
      <c r="AJ67" s="106">
        <v>0</v>
      </c>
      <c r="AK67" s="106">
        <v>0</v>
      </c>
      <c r="AL67" s="106">
        <v>0</v>
      </c>
      <c r="AM67" s="106">
        <v>0</v>
      </c>
      <c r="AN67" s="106">
        <v>0</v>
      </c>
      <c r="AO67" s="106">
        <v>0</v>
      </c>
      <c r="AP67" s="106">
        <v>0</v>
      </c>
      <c r="AQ67" s="106">
        <v>0</v>
      </c>
      <c r="AR67" s="106">
        <v>0</v>
      </c>
      <c r="AS67" s="106">
        <v>0</v>
      </c>
      <c r="AT67" s="106">
        <v>0</v>
      </c>
      <c r="AU67" s="106">
        <v>0</v>
      </c>
      <c r="AV67" s="106">
        <v>0</v>
      </c>
      <c r="AW67" s="106">
        <v>0</v>
      </c>
      <c r="AX67" s="106">
        <v>0</v>
      </c>
      <c r="AY67" s="106">
        <v>0</v>
      </c>
      <c r="AZ67" s="106">
        <v>0</v>
      </c>
      <c r="BA67" s="106">
        <v>0</v>
      </c>
      <c r="BB67" s="106">
        <v>0</v>
      </c>
      <c r="BC67" s="106">
        <v>0</v>
      </c>
      <c r="BD67" s="106">
        <v>0</v>
      </c>
      <c r="BE67" s="106">
        <v>0</v>
      </c>
      <c r="BF67" s="106">
        <v>0</v>
      </c>
      <c r="BG67" s="106">
        <v>0</v>
      </c>
      <c r="BH67" s="106">
        <v>0</v>
      </c>
      <c r="BI67" s="106">
        <v>0</v>
      </c>
      <c r="BJ67" s="106">
        <v>0</v>
      </c>
      <c r="BK67" s="106">
        <v>0</v>
      </c>
      <c r="BL67" s="106">
        <v>0</v>
      </c>
      <c r="BM67" s="106">
        <v>0</v>
      </c>
      <c r="BN67" s="106">
        <v>0</v>
      </c>
      <c r="BO67" s="106">
        <v>0</v>
      </c>
      <c r="BP67" s="106">
        <v>0</v>
      </c>
      <c r="BQ67" s="106">
        <v>0</v>
      </c>
      <c r="BR67" s="106">
        <v>0</v>
      </c>
      <c r="BS67" s="106">
        <v>0</v>
      </c>
      <c r="BT67" s="106">
        <v>0</v>
      </c>
      <c r="BU67" s="2495">
        <v>0.05</v>
      </c>
      <c r="BV67" s="2495">
        <v>0.05</v>
      </c>
      <c r="BW67" s="2495">
        <v>0.1</v>
      </c>
      <c r="BX67" s="2495">
        <v>0.1</v>
      </c>
      <c r="BY67" s="2495">
        <v>0.1</v>
      </c>
      <c r="BZ67" s="2495">
        <v>0.1</v>
      </c>
      <c r="CA67" s="2495">
        <v>0.1</v>
      </c>
      <c r="CB67" s="2495">
        <v>0.1</v>
      </c>
      <c r="CC67" s="2495">
        <v>0.1</v>
      </c>
      <c r="CD67" s="2495">
        <v>0.1</v>
      </c>
      <c r="CE67" s="2495">
        <v>0.1</v>
      </c>
      <c r="CG67" s="395">
        <f t="shared" si="5"/>
        <v>0.99999999999999989</v>
      </c>
    </row>
    <row r="68" spans="10:85">
      <c r="L68" s="106">
        <v>0</v>
      </c>
      <c r="M68" s="106">
        <v>0</v>
      </c>
      <c r="N68" s="106">
        <v>0</v>
      </c>
      <c r="O68" s="106">
        <v>0</v>
      </c>
      <c r="P68" s="106">
        <v>0</v>
      </c>
      <c r="Q68" s="106">
        <v>0</v>
      </c>
      <c r="R68" s="106">
        <v>0</v>
      </c>
      <c r="S68" s="106">
        <v>0</v>
      </c>
      <c r="T68" s="106">
        <v>0</v>
      </c>
      <c r="U68" s="106">
        <v>0</v>
      </c>
      <c r="V68" s="106">
        <v>0</v>
      </c>
      <c r="W68" s="106">
        <v>0</v>
      </c>
      <c r="X68" s="106">
        <v>0</v>
      </c>
      <c r="Y68" s="106">
        <v>0</v>
      </c>
      <c r="Z68" s="106">
        <v>0</v>
      </c>
      <c r="AA68" s="106">
        <v>0</v>
      </c>
      <c r="AB68" s="106">
        <v>0</v>
      </c>
      <c r="AC68" s="106">
        <v>0</v>
      </c>
      <c r="AD68" s="106">
        <v>0</v>
      </c>
      <c r="AE68" s="106">
        <v>0</v>
      </c>
      <c r="AF68" s="106">
        <v>0</v>
      </c>
      <c r="AG68" s="106">
        <v>0</v>
      </c>
      <c r="AH68" s="106">
        <v>0</v>
      </c>
      <c r="AI68" s="106">
        <v>0</v>
      </c>
      <c r="AJ68" s="106">
        <v>0</v>
      </c>
      <c r="AK68" s="106">
        <v>0</v>
      </c>
      <c r="AL68" s="106">
        <v>0</v>
      </c>
      <c r="AM68" s="106">
        <v>0</v>
      </c>
      <c r="AN68" s="106">
        <v>0</v>
      </c>
      <c r="AO68" s="106">
        <v>0</v>
      </c>
      <c r="AP68" s="106">
        <v>0</v>
      </c>
      <c r="AQ68" s="106">
        <v>0</v>
      </c>
      <c r="AR68" s="106">
        <v>0</v>
      </c>
      <c r="AS68" s="106">
        <v>0</v>
      </c>
      <c r="AT68" s="106">
        <v>0</v>
      </c>
      <c r="AU68" s="106">
        <v>0</v>
      </c>
      <c r="AV68" s="106">
        <v>0</v>
      </c>
      <c r="AW68" s="106">
        <v>0</v>
      </c>
      <c r="AX68" s="106">
        <v>0</v>
      </c>
      <c r="AY68" s="106">
        <v>0</v>
      </c>
      <c r="AZ68" s="106">
        <v>0</v>
      </c>
      <c r="BA68" s="106">
        <v>0</v>
      </c>
      <c r="BB68" s="106">
        <v>0</v>
      </c>
      <c r="BC68" s="106">
        <v>0</v>
      </c>
      <c r="BD68" s="106">
        <v>0</v>
      </c>
      <c r="BE68" s="106">
        <v>0</v>
      </c>
      <c r="BF68" s="106">
        <v>0</v>
      </c>
      <c r="BG68" s="106">
        <v>0</v>
      </c>
      <c r="BH68" s="106">
        <v>0</v>
      </c>
      <c r="BI68" s="106">
        <v>0</v>
      </c>
      <c r="BJ68" s="106">
        <v>0</v>
      </c>
      <c r="BK68" s="106">
        <v>0</v>
      </c>
      <c r="BL68" s="106">
        <v>0</v>
      </c>
      <c r="BM68" s="106">
        <v>0</v>
      </c>
      <c r="BN68" s="106">
        <v>0</v>
      </c>
      <c r="BO68" s="106">
        <v>0</v>
      </c>
      <c r="BP68" s="106">
        <v>0</v>
      </c>
      <c r="BQ68" s="106">
        <v>0</v>
      </c>
      <c r="BR68" s="106">
        <v>0</v>
      </c>
      <c r="BS68" s="106">
        <v>0</v>
      </c>
      <c r="BT68" s="106">
        <v>0</v>
      </c>
      <c r="BU68" s="2495">
        <v>0.05</v>
      </c>
      <c r="BV68" s="2495">
        <v>0.05</v>
      </c>
      <c r="BW68" s="2495">
        <v>0.1</v>
      </c>
      <c r="BX68" s="2495">
        <v>0.1</v>
      </c>
      <c r="BY68" s="2495">
        <v>0.1</v>
      </c>
      <c r="BZ68" s="2495">
        <v>0.1</v>
      </c>
      <c r="CA68" s="2495">
        <v>0.1</v>
      </c>
      <c r="CB68" s="2495">
        <v>0.1</v>
      </c>
      <c r="CC68" s="2495">
        <v>0.1</v>
      </c>
      <c r="CD68" s="2495">
        <v>0.1</v>
      </c>
      <c r="CE68" s="2495">
        <v>0.1</v>
      </c>
      <c r="CG68" s="395">
        <f t="shared" si="5"/>
        <v>0.99999999999999989</v>
      </c>
    </row>
    <row r="69" spans="10:85">
      <c r="L69" s="106">
        <v>0</v>
      </c>
      <c r="M69" s="106">
        <v>0</v>
      </c>
      <c r="N69" s="106">
        <v>0</v>
      </c>
      <c r="O69" s="106">
        <v>0</v>
      </c>
      <c r="P69" s="106">
        <v>0</v>
      </c>
      <c r="Q69" s="106">
        <v>0</v>
      </c>
      <c r="R69" s="106">
        <v>0</v>
      </c>
      <c r="S69" s="106">
        <v>0</v>
      </c>
      <c r="T69" s="106">
        <v>0</v>
      </c>
      <c r="U69" s="106">
        <v>0</v>
      </c>
      <c r="V69" s="106">
        <v>0</v>
      </c>
      <c r="W69" s="106">
        <v>0</v>
      </c>
      <c r="X69" s="106">
        <v>0</v>
      </c>
      <c r="Y69" s="106">
        <v>0</v>
      </c>
      <c r="Z69" s="106">
        <v>0</v>
      </c>
      <c r="AA69" s="106">
        <v>0</v>
      </c>
      <c r="AB69" s="106">
        <v>0</v>
      </c>
      <c r="AC69" s="106">
        <v>0</v>
      </c>
      <c r="AD69" s="106">
        <v>0</v>
      </c>
      <c r="AE69" s="106">
        <v>0</v>
      </c>
      <c r="AF69" s="106">
        <v>0</v>
      </c>
      <c r="AG69" s="106">
        <v>0</v>
      </c>
      <c r="AH69" s="106">
        <v>0</v>
      </c>
      <c r="AI69" s="106">
        <v>0</v>
      </c>
      <c r="AJ69" s="106">
        <v>0</v>
      </c>
      <c r="AK69" s="106">
        <v>0</v>
      </c>
      <c r="AL69" s="106">
        <v>0</v>
      </c>
      <c r="AM69" s="106">
        <v>0</v>
      </c>
      <c r="AN69" s="106">
        <v>0</v>
      </c>
      <c r="AO69" s="106">
        <v>0</v>
      </c>
      <c r="AP69" s="106">
        <v>0</v>
      </c>
      <c r="AQ69" s="106">
        <v>0</v>
      </c>
      <c r="AR69" s="106">
        <v>0</v>
      </c>
      <c r="AS69" s="106">
        <v>0</v>
      </c>
      <c r="AT69" s="106">
        <v>0</v>
      </c>
      <c r="AU69" s="106">
        <v>0</v>
      </c>
      <c r="AV69" s="106">
        <v>0</v>
      </c>
      <c r="AW69" s="106">
        <v>0</v>
      </c>
      <c r="AX69" s="106">
        <v>0</v>
      </c>
      <c r="AY69" s="106">
        <v>0</v>
      </c>
      <c r="AZ69" s="106">
        <v>0</v>
      </c>
      <c r="BA69" s="106">
        <v>0</v>
      </c>
      <c r="BB69" s="106">
        <v>0</v>
      </c>
      <c r="BC69" s="106">
        <v>0</v>
      </c>
      <c r="BD69" s="106">
        <v>0</v>
      </c>
      <c r="BE69" s="106">
        <v>0</v>
      </c>
      <c r="BF69" s="106">
        <v>0</v>
      </c>
      <c r="BG69" s="106">
        <v>0</v>
      </c>
      <c r="BH69" s="106">
        <v>0</v>
      </c>
      <c r="BI69" s="106">
        <v>0</v>
      </c>
      <c r="BJ69" s="106">
        <v>0</v>
      </c>
      <c r="BK69" s="106">
        <v>0</v>
      </c>
      <c r="BL69" s="106">
        <v>0</v>
      </c>
      <c r="BM69" s="106">
        <v>0</v>
      </c>
      <c r="BN69" s="106">
        <v>0</v>
      </c>
      <c r="BO69" s="106">
        <v>0</v>
      </c>
      <c r="BP69" s="106">
        <v>0</v>
      </c>
      <c r="BQ69" s="106">
        <v>0</v>
      </c>
      <c r="BR69" s="106">
        <v>0</v>
      </c>
      <c r="BS69" s="106">
        <v>0</v>
      </c>
      <c r="BT69" s="106">
        <v>0</v>
      </c>
      <c r="BU69" s="2495">
        <v>0.05</v>
      </c>
      <c r="BV69" s="2495">
        <v>0.05</v>
      </c>
      <c r="BW69" s="2495">
        <v>0.1</v>
      </c>
      <c r="BX69" s="2495">
        <v>0.1</v>
      </c>
      <c r="BY69" s="2495">
        <v>0.1</v>
      </c>
      <c r="BZ69" s="2495">
        <v>0.1</v>
      </c>
      <c r="CA69" s="2495">
        <v>0.1</v>
      </c>
      <c r="CB69" s="2495">
        <v>0.1</v>
      </c>
      <c r="CC69" s="2495">
        <v>0.1</v>
      </c>
      <c r="CD69" s="2495">
        <v>0.1</v>
      </c>
      <c r="CE69" s="2495">
        <v>0.1</v>
      </c>
      <c r="CG69" s="395">
        <f t="shared" si="5"/>
        <v>0.99999999999999989</v>
      </c>
    </row>
    <row r="70" spans="10:85">
      <c r="L70" s="106">
        <v>0</v>
      </c>
      <c r="M70" s="106">
        <v>0</v>
      </c>
      <c r="N70" s="106">
        <v>0</v>
      </c>
      <c r="O70" s="106">
        <v>0</v>
      </c>
      <c r="P70" s="106">
        <v>0</v>
      </c>
      <c r="Q70" s="106">
        <v>0</v>
      </c>
      <c r="R70" s="106">
        <v>0</v>
      </c>
      <c r="S70" s="106">
        <v>0</v>
      </c>
      <c r="T70" s="106">
        <v>0</v>
      </c>
      <c r="U70" s="106">
        <v>0</v>
      </c>
      <c r="V70" s="106">
        <v>0</v>
      </c>
      <c r="W70" s="106">
        <v>0</v>
      </c>
      <c r="X70" s="106">
        <v>0</v>
      </c>
      <c r="Y70" s="106">
        <v>0</v>
      </c>
      <c r="Z70" s="106">
        <v>0</v>
      </c>
      <c r="AA70" s="106">
        <v>0</v>
      </c>
      <c r="AB70" s="106">
        <v>0</v>
      </c>
      <c r="AC70" s="106">
        <v>0</v>
      </c>
      <c r="AD70" s="106">
        <v>0</v>
      </c>
      <c r="AE70" s="106">
        <v>0</v>
      </c>
      <c r="AF70" s="106">
        <v>0</v>
      </c>
      <c r="AG70" s="106">
        <v>0</v>
      </c>
      <c r="AH70" s="106">
        <v>0</v>
      </c>
      <c r="AI70" s="106">
        <v>0</v>
      </c>
      <c r="AJ70" s="106">
        <v>0</v>
      </c>
      <c r="AK70" s="106">
        <v>0</v>
      </c>
      <c r="AL70" s="106">
        <v>0</v>
      </c>
      <c r="AM70" s="106">
        <v>0</v>
      </c>
      <c r="AN70" s="106">
        <v>0</v>
      </c>
      <c r="AO70" s="106">
        <v>0</v>
      </c>
      <c r="AP70" s="106">
        <v>0</v>
      </c>
      <c r="AQ70" s="106">
        <v>0</v>
      </c>
      <c r="AR70" s="106">
        <v>0</v>
      </c>
      <c r="AS70" s="106">
        <v>0</v>
      </c>
      <c r="AT70" s="106">
        <v>0</v>
      </c>
      <c r="AU70" s="106">
        <v>0</v>
      </c>
      <c r="AV70" s="106">
        <v>0</v>
      </c>
      <c r="AW70" s="106">
        <v>0</v>
      </c>
      <c r="AX70" s="106">
        <v>0</v>
      </c>
      <c r="AY70" s="106">
        <v>0</v>
      </c>
      <c r="AZ70" s="106">
        <v>0</v>
      </c>
      <c r="BA70" s="106">
        <v>0</v>
      </c>
      <c r="BB70" s="106">
        <v>0</v>
      </c>
      <c r="BC70" s="106">
        <v>0</v>
      </c>
      <c r="BD70" s="106">
        <v>0</v>
      </c>
      <c r="BE70" s="106">
        <v>0</v>
      </c>
      <c r="BF70" s="106">
        <v>0</v>
      </c>
      <c r="BG70" s="106">
        <v>0</v>
      </c>
      <c r="BH70" s="106">
        <v>0</v>
      </c>
      <c r="BI70" s="106">
        <v>0</v>
      </c>
      <c r="BJ70" s="106">
        <v>0</v>
      </c>
      <c r="BK70" s="106">
        <v>0</v>
      </c>
      <c r="BL70" s="106">
        <v>0</v>
      </c>
      <c r="BM70" s="106">
        <v>0</v>
      </c>
      <c r="BN70" s="106">
        <v>0</v>
      </c>
      <c r="BO70" s="106">
        <v>0</v>
      </c>
      <c r="BP70" s="106">
        <v>0</v>
      </c>
      <c r="BQ70" s="106">
        <v>0</v>
      </c>
      <c r="BR70" s="106">
        <v>0</v>
      </c>
      <c r="BS70" s="106">
        <v>0</v>
      </c>
      <c r="BT70" s="106">
        <v>0</v>
      </c>
      <c r="BU70" s="2495">
        <v>0.05</v>
      </c>
      <c r="BV70" s="2495">
        <v>0.05</v>
      </c>
      <c r="BW70" s="2495">
        <v>0.1</v>
      </c>
      <c r="BX70" s="2495">
        <v>0.1</v>
      </c>
      <c r="BY70" s="2495">
        <v>0.1</v>
      </c>
      <c r="BZ70" s="2495">
        <v>0.1</v>
      </c>
      <c r="CA70" s="2495">
        <v>0.1</v>
      </c>
      <c r="CB70" s="2495">
        <v>0.1</v>
      </c>
      <c r="CC70" s="2495">
        <v>0.1</v>
      </c>
      <c r="CD70" s="2495">
        <v>0.1</v>
      </c>
      <c r="CE70" s="2495">
        <v>0.1</v>
      </c>
      <c r="CG70" s="395">
        <f t="shared" si="5"/>
        <v>0.99999999999999989</v>
      </c>
    </row>
    <row r="71" spans="10:85">
      <c r="L71" s="106"/>
      <c r="M71" s="106"/>
      <c r="N71" s="106"/>
      <c r="O71" s="106"/>
      <c r="P71" s="106"/>
      <c r="Q71" s="106"/>
      <c r="R71" s="106"/>
      <c r="S71" s="106"/>
      <c r="T71" s="106"/>
      <c r="U71" s="106"/>
      <c r="V71" s="106"/>
      <c r="W71" s="106"/>
      <c r="X71" s="106"/>
      <c r="Y71" s="106"/>
      <c r="Z71" s="106"/>
      <c r="AA71" s="106"/>
      <c r="AB71" s="106"/>
      <c r="AC71" s="106"/>
      <c r="AD71" s="106"/>
      <c r="AE71" s="106"/>
      <c r="AF71" s="106"/>
      <c r="AG71" s="106"/>
      <c r="AH71" s="106"/>
      <c r="AI71" s="106"/>
      <c r="AJ71" s="106"/>
      <c r="AK71" s="106"/>
      <c r="AL71" s="106"/>
      <c r="AM71" s="106"/>
      <c r="AN71" s="106"/>
      <c r="AO71" s="106"/>
      <c r="AP71" s="106"/>
      <c r="AQ71" s="106"/>
      <c r="AR71" s="106"/>
      <c r="AS71" s="106"/>
      <c r="AT71" s="106"/>
      <c r="AU71" s="106"/>
      <c r="AV71" s="106"/>
      <c r="AW71" s="106"/>
      <c r="AX71" s="106"/>
      <c r="AY71" s="106"/>
      <c r="AZ71" s="106"/>
      <c r="BA71" s="106"/>
      <c r="BB71" s="106"/>
      <c r="BC71" s="106"/>
      <c r="BD71" s="106"/>
      <c r="BE71" s="106"/>
      <c r="BF71" s="106"/>
      <c r="BG71" s="106"/>
      <c r="BH71" s="106"/>
      <c r="BI71" s="106"/>
      <c r="BJ71" s="106"/>
      <c r="BK71" s="106"/>
      <c r="BL71" s="106"/>
      <c r="BM71" s="106"/>
      <c r="BN71" s="106"/>
      <c r="BO71" s="106"/>
      <c r="BP71" s="106"/>
      <c r="BQ71" s="106"/>
      <c r="BR71" s="106"/>
      <c r="BS71" s="106"/>
      <c r="BT71" s="106"/>
      <c r="BU71" s="2495">
        <v>0.05</v>
      </c>
      <c r="BV71" s="2495">
        <v>0.05</v>
      </c>
      <c r="BW71" s="2495">
        <v>0.1</v>
      </c>
      <c r="BX71" s="2495">
        <v>0.1</v>
      </c>
      <c r="BY71" s="2495">
        <v>0.1</v>
      </c>
      <c r="BZ71" s="2495">
        <v>0.1</v>
      </c>
      <c r="CA71" s="2495">
        <v>0.1</v>
      </c>
      <c r="CB71" s="2495">
        <v>0.1</v>
      </c>
      <c r="CC71" s="2495">
        <v>0.1</v>
      </c>
      <c r="CD71" s="2495">
        <v>0.1</v>
      </c>
      <c r="CE71" s="2495">
        <v>0.1</v>
      </c>
      <c r="CG71" s="395">
        <f t="shared" si="5"/>
        <v>0.99999999999999989</v>
      </c>
    </row>
    <row r="72" spans="10:85">
      <c r="L72" s="106">
        <v>0</v>
      </c>
      <c r="M72" s="106">
        <v>0</v>
      </c>
      <c r="N72" s="106">
        <v>0</v>
      </c>
      <c r="O72" s="106">
        <v>0</v>
      </c>
      <c r="P72" s="106">
        <v>0</v>
      </c>
      <c r="Q72" s="106">
        <v>0</v>
      </c>
      <c r="R72" s="106">
        <v>0</v>
      </c>
      <c r="S72" s="106">
        <v>0</v>
      </c>
      <c r="T72" s="106">
        <v>0</v>
      </c>
      <c r="U72" s="106">
        <v>0</v>
      </c>
      <c r="V72" s="106">
        <v>0</v>
      </c>
      <c r="W72" s="106">
        <v>0</v>
      </c>
      <c r="X72" s="106">
        <v>0</v>
      </c>
      <c r="Y72" s="106">
        <v>0</v>
      </c>
      <c r="Z72" s="106">
        <v>0</v>
      </c>
      <c r="AA72" s="106">
        <v>0</v>
      </c>
      <c r="AB72" s="106">
        <v>0</v>
      </c>
      <c r="AC72" s="106">
        <v>0</v>
      </c>
      <c r="AD72" s="106">
        <v>0</v>
      </c>
      <c r="AE72" s="106">
        <v>0</v>
      </c>
      <c r="AF72" s="106">
        <v>0</v>
      </c>
      <c r="AG72" s="106">
        <v>0</v>
      </c>
      <c r="AH72" s="106">
        <v>0</v>
      </c>
      <c r="AI72" s="106">
        <v>0</v>
      </c>
      <c r="AJ72" s="106">
        <v>0</v>
      </c>
      <c r="AK72" s="106">
        <v>0</v>
      </c>
      <c r="AL72" s="106">
        <v>0</v>
      </c>
      <c r="AM72" s="106">
        <v>0</v>
      </c>
      <c r="AN72" s="106">
        <v>0</v>
      </c>
      <c r="AO72" s="106">
        <v>0</v>
      </c>
      <c r="AP72" s="106">
        <v>0</v>
      </c>
      <c r="AQ72" s="106">
        <v>0</v>
      </c>
      <c r="AR72" s="106">
        <v>0</v>
      </c>
      <c r="AS72" s="106">
        <v>0</v>
      </c>
      <c r="AT72" s="106">
        <v>0</v>
      </c>
      <c r="AU72" s="106">
        <v>0</v>
      </c>
      <c r="AV72" s="106">
        <v>0</v>
      </c>
      <c r="AW72" s="106">
        <v>0</v>
      </c>
      <c r="AX72" s="106">
        <v>0</v>
      </c>
      <c r="AY72" s="106">
        <v>0</v>
      </c>
      <c r="AZ72" s="106">
        <v>0</v>
      </c>
      <c r="BA72" s="106">
        <v>0</v>
      </c>
      <c r="BB72" s="106">
        <v>0</v>
      </c>
      <c r="BC72" s="106">
        <v>0</v>
      </c>
      <c r="BD72" s="106">
        <v>0</v>
      </c>
      <c r="BE72" s="106">
        <v>0</v>
      </c>
      <c r="BF72" s="106">
        <v>0</v>
      </c>
      <c r="BG72" s="106">
        <v>0</v>
      </c>
      <c r="BH72" s="106">
        <v>0</v>
      </c>
      <c r="BI72" s="106">
        <v>0</v>
      </c>
      <c r="BJ72" s="106">
        <v>0</v>
      </c>
      <c r="BK72" s="106">
        <v>0</v>
      </c>
      <c r="BL72" s="106">
        <v>0</v>
      </c>
      <c r="BM72" s="106">
        <v>0</v>
      </c>
      <c r="BN72" s="106">
        <v>0</v>
      </c>
      <c r="BO72" s="106">
        <v>0</v>
      </c>
      <c r="BP72" s="106">
        <v>0</v>
      </c>
      <c r="BQ72" s="106">
        <v>0</v>
      </c>
      <c r="BR72" s="106">
        <v>0</v>
      </c>
      <c r="BS72" s="106">
        <v>0</v>
      </c>
      <c r="BT72" s="106">
        <v>0</v>
      </c>
      <c r="BU72" s="2495">
        <v>0.05</v>
      </c>
      <c r="BV72" s="2495">
        <v>0.05</v>
      </c>
      <c r="BW72" s="2495">
        <v>0.1</v>
      </c>
      <c r="BX72" s="2495">
        <v>0.1</v>
      </c>
      <c r="BY72" s="2495">
        <v>0.1</v>
      </c>
      <c r="BZ72" s="2495">
        <v>0.1</v>
      </c>
      <c r="CA72" s="2495">
        <v>0.1</v>
      </c>
      <c r="CB72" s="2495">
        <v>0.1</v>
      </c>
      <c r="CC72" s="2495">
        <v>0.1</v>
      </c>
      <c r="CD72" s="2495">
        <v>0.1</v>
      </c>
      <c r="CE72" s="2495">
        <v>0.1</v>
      </c>
      <c r="CG72" s="395">
        <f t="shared" si="5"/>
        <v>0.99999999999999989</v>
      </c>
    </row>
    <row r="73" spans="10:85">
      <c r="L73" s="106">
        <v>0</v>
      </c>
      <c r="M73" s="106">
        <v>0</v>
      </c>
      <c r="N73" s="106">
        <v>0</v>
      </c>
      <c r="O73" s="106">
        <v>0</v>
      </c>
      <c r="P73" s="106">
        <v>0</v>
      </c>
      <c r="Q73" s="106">
        <v>0</v>
      </c>
      <c r="R73" s="106">
        <v>0</v>
      </c>
      <c r="S73" s="106">
        <v>0</v>
      </c>
      <c r="T73" s="106">
        <v>0</v>
      </c>
      <c r="U73" s="106">
        <v>0</v>
      </c>
      <c r="V73" s="106">
        <v>0</v>
      </c>
      <c r="W73" s="106">
        <v>0</v>
      </c>
      <c r="X73" s="106">
        <v>0</v>
      </c>
      <c r="Y73" s="106">
        <v>0</v>
      </c>
      <c r="Z73" s="106">
        <v>0</v>
      </c>
      <c r="AA73" s="106">
        <v>0</v>
      </c>
      <c r="AB73" s="106">
        <v>0</v>
      </c>
      <c r="AC73" s="106">
        <v>0</v>
      </c>
      <c r="AD73" s="106">
        <v>0</v>
      </c>
      <c r="AE73" s="106">
        <v>0</v>
      </c>
      <c r="AF73" s="106">
        <v>0</v>
      </c>
      <c r="AG73" s="106">
        <v>0</v>
      </c>
      <c r="AH73" s="106">
        <v>0</v>
      </c>
      <c r="AI73" s="106">
        <v>0</v>
      </c>
      <c r="AJ73" s="106">
        <v>0</v>
      </c>
      <c r="AK73" s="106">
        <v>0</v>
      </c>
      <c r="AL73" s="106">
        <v>0</v>
      </c>
      <c r="AM73" s="106">
        <v>0</v>
      </c>
      <c r="AN73" s="106">
        <v>0</v>
      </c>
      <c r="AO73" s="106">
        <v>0</v>
      </c>
      <c r="AP73" s="106">
        <v>0</v>
      </c>
      <c r="AQ73" s="106">
        <v>0</v>
      </c>
      <c r="AR73" s="106">
        <v>0</v>
      </c>
      <c r="AS73" s="106">
        <v>0</v>
      </c>
      <c r="AT73" s="106">
        <v>0</v>
      </c>
      <c r="AU73" s="106">
        <v>0</v>
      </c>
      <c r="AV73" s="106">
        <v>0</v>
      </c>
      <c r="AW73" s="106">
        <v>0</v>
      </c>
      <c r="AX73" s="106">
        <v>0</v>
      </c>
      <c r="AY73" s="106">
        <v>0</v>
      </c>
      <c r="AZ73" s="106">
        <v>0</v>
      </c>
      <c r="BA73" s="106">
        <v>0</v>
      </c>
      <c r="BB73" s="106">
        <v>0</v>
      </c>
      <c r="BC73" s="106">
        <v>0</v>
      </c>
      <c r="BD73" s="106">
        <v>0</v>
      </c>
      <c r="BE73" s="106">
        <v>0</v>
      </c>
      <c r="BF73" s="106">
        <v>0</v>
      </c>
      <c r="BG73" s="106">
        <v>0</v>
      </c>
      <c r="BH73" s="106">
        <v>0</v>
      </c>
      <c r="BI73" s="106">
        <v>0</v>
      </c>
      <c r="BJ73" s="106">
        <v>0</v>
      </c>
      <c r="BK73" s="106">
        <v>0</v>
      </c>
      <c r="BL73" s="106">
        <v>0</v>
      </c>
      <c r="BM73" s="106">
        <v>0</v>
      </c>
      <c r="BN73" s="106">
        <v>0</v>
      </c>
      <c r="BO73" s="106">
        <v>0</v>
      </c>
      <c r="BP73" s="106">
        <v>0</v>
      </c>
      <c r="BQ73" s="106">
        <v>0</v>
      </c>
      <c r="BR73" s="106">
        <v>0</v>
      </c>
      <c r="BS73" s="106">
        <v>0</v>
      </c>
      <c r="BT73" s="106">
        <v>0</v>
      </c>
      <c r="BU73" s="2495">
        <v>0.05</v>
      </c>
      <c r="BV73" s="2495">
        <v>0.05</v>
      </c>
      <c r="BW73" s="2495">
        <v>0.1</v>
      </c>
      <c r="BX73" s="2495">
        <v>0.1</v>
      </c>
      <c r="BY73" s="2495">
        <v>0.1</v>
      </c>
      <c r="BZ73" s="2495">
        <v>0.1</v>
      </c>
      <c r="CA73" s="2495">
        <v>0.1</v>
      </c>
      <c r="CB73" s="2495">
        <v>0.1</v>
      </c>
      <c r="CC73" s="2495">
        <v>0.1</v>
      </c>
      <c r="CD73" s="2495">
        <v>0.1</v>
      </c>
      <c r="CE73" s="2495">
        <v>0.1</v>
      </c>
      <c r="CG73" s="395">
        <f t="shared" si="5"/>
        <v>0.99999999999999989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EC23-42DC-4012-BE89-846F9C111B73}">
  <sheetPr codeName="Sheet20">
    <tabColor theme="8" tint="-0.249977111117893"/>
    <outlinePr summaryBelow="0"/>
  </sheetPr>
  <dimension ref="A1:BB691"/>
  <sheetViews>
    <sheetView showGridLines="0" zoomScale="94" zoomScaleNormal="94" zoomScaleSheetLayoutView="102" workbookViewId="0">
      <selection activeCell="A9" sqref="A9"/>
    </sheetView>
  </sheetViews>
  <sheetFormatPr defaultColWidth="9.14453125" defaultRowHeight="11.25" outlineLevelRow="1"/>
  <cols>
    <col min="1" max="1" width="22.59765625" style="320" customWidth="1"/>
    <col min="2" max="2" width="38.47265625" style="320" customWidth="1"/>
    <col min="3" max="3" width="34.4375" style="320" customWidth="1"/>
    <col min="4" max="4" width="2.5546875" style="320" customWidth="1"/>
    <col min="5" max="5" width="1.4765625" style="320" customWidth="1"/>
    <col min="6" max="6" width="16.27734375" style="320" hidden="1" customWidth="1"/>
    <col min="7" max="7" width="6.9921875" style="320" customWidth="1"/>
    <col min="8" max="8" width="15.6015625" style="322" customWidth="1"/>
    <col min="9" max="9" width="22.59765625" style="323" customWidth="1"/>
    <col min="10" max="10" width="30.9375" style="320" customWidth="1"/>
    <col min="11" max="11" width="16.0078125" style="320" customWidth="1"/>
    <col min="12" max="12" width="9.55078125" style="320" customWidth="1"/>
    <col min="13" max="13" width="17.484375" style="320" customWidth="1"/>
    <col min="14" max="14" width="17.08203125" style="320" customWidth="1"/>
    <col min="15" max="15" width="14.390625" style="320" customWidth="1"/>
    <col min="16" max="16" width="14.9296875" style="320" customWidth="1"/>
    <col min="17" max="42" width="12.10546875" style="320" customWidth="1"/>
    <col min="43" max="52" width="12.10546875" style="320" hidden="1" customWidth="1"/>
    <col min="53" max="53" width="12.64453125" style="320" hidden="1" customWidth="1"/>
    <col min="54" max="54" width="5.37890625" style="320" customWidth="1"/>
    <col min="55" max="55" width="9.14453125" style="320" customWidth="1"/>
    <col min="56" max="16384" width="9.14453125" style="320"/>
  </cols>
  <sheetData>
    <row r="1" spans="1:54" s="2708" customFormat="1">
      <c r="A1" s="2707" t="s">
        <v>672</v>
      </c>
      <c r="C1" s="2708" t="s">
        <v>1543</v>
      </c>
      <c r="H1" s="2709"/>
      <c r="I1" s="2710"/>
    </row>
    <row r="2" spans="1:54" s="2704" customFormat="1">
      <c r="A2" s="2711" t="s">
        <v>2396</v>
      </c>
      <c r="B2" s="2711"/>
      <c r="C2" s="2711"/>
      <c r="D2" s="2711"/>
      <c r="E2" s="2711"/>
      <c r="F2" s="2711"/>
      <c r="G2" s="2711"/>
      <c r="H2" s="2711"/>
      <c r="I2" s="2711"/>
      <c r="J2" s="2711"/>
      <c r="K2" s="2711"/>
      <c r="L2" s="2711"/>
      <c r="M2" s="2711"/>
      <c r="N2" s="2711"/>
      <c r="O2" s="2711"/>
      <c r="P2" s="2711"/>
      <c r="Q2" s="2711"/>
      <c r="R2" s="2711"/>
      <c r="S2" s="2711"/>
      <c r="T2" s="2711"/>
      <c r="U2" s="2711"/>
      <c r="V2" s="2711"/>
      <c r="W2" s="2711"/>
      <c r="X2" s="2711"/>
      <c r="Y2" s="2711"/>
      <c r="Z2" s="2711"/>
      <c r="AA2" s="2711"/>
      <c r="AB2" s="2711"/>
      <c r="AC2" s="2711"/>
      <c r="AD2" s="2711"/>
      <c r="AE2" s="2711"/>
      <c r="AF2" s="2711"/>
      <c r="AG2" s="2711"/>
      <c r="AH2" s="2711"/>
      <c r="AI2" s="2711"/>
      <c r="AJ2" s="2711"/>
      <c r="AK2" s="2711"/>
      <c r="AL2" s="2711"/>
      <c r="AM2" s="2711"/>
      <c r="AN2" s="2711"/>
      <c r="AO2" s="2711"/>
      <c r="AP2" s="2711"/>
      <c r="AQ2" s="2711"/>
      <c r="AR2" s="2711"/>
      <c r="AS2" s="2711"/>
      <c r="AT2" s="2711"/>
      <c r="AU2" s="2711"/>
      <c r="AV2" s="2711"/>
      <c r="AW2" s="2711"/>
      <c r="AX2" s="2711"/>
      <c r="AY2" s="2711"/>
      <c r="AZ2" s="2711"/>
      <c r="BA2" s="2711"/>
    </row>
    <row r="3" spans="1:54" s="2704" customFormat="1">
      <c r="A3" s="2711" t="s">
        <v>2395</v>
      </c>
      <c r="H3" s="2712"/>
      <c r="I3" s="2713"/>
    </row>
    <row r="4" spans="1:54" s="2704" customFormat="1">
      <c r="A4" s="2704" t="s">
        <v>849</v>
      </c>
      <c r="H4" s="2712"/>
      <c r="I4" s="2713"/>
    </row>
    <row r="5" spans="1:54" s="2704" customFormat="1">
      <c r="A5" s="2704" t="s">
        <v>640</v>
      </c>
      <c r="H5" s="2712"/>
      <c r="I5" s="2713"/>
    </row>
    <row r="6" spans="1:54">
      <c r="A6" s="321" t="s">
        <v>674</v>
      </c>
    </row>
    <row r="7" spans="1:54" s="324" customFormat="1">
      <c r="A7" s="324" t="s">
        <v>675</v>
      </c>
      <c r="B7" s="325"/>
      <c r="H7" s="326"/>
      <c r="I7" s="327"/>
      <c r="L7" s="328"/>
      <c r="M7" s="328">
        <f>IF(L7=0,$J$15,L8+1)</f>
        <v>46388</v>
      </c>
      <c r="N7" s="328">
        <f>IF(M7=0,$J$15+1,M8+1)</f>
        <v>46753</v>
      </c>
      <c r="O7" s="328">
        <f t="shared" ref="O7:AP7" si="0">IF(N7=0,$J$15+1,N8+1)</f>
        <v>47119</v>
      </c>
      <c r="P7" s="328">
        <f t="shared" si="0"/>
        <v>47484</v>
      </c>
      <c r="Q7" s="328">
        <f t="shared" si="0"/>
        <v>47849</v>
      </c>
      <c r="R7" s="328">
        <f t="shared" si="0"/>
        <v>48214</v>
      </c>
      <c r="S7" s="328">
        <f t="shared" si="0"/>
        <v>48580</v>
      </c>
      <c r="T7" s="328">
        <f t="shared" si="0"/>
        <v>48945</v>
      </c>
      <c r="U7" s="328">
        <f t="shared" si="0"/>
        <v>49310</v>
      </c>
      <c r="V7" s="328">
        <f t="shared" si="0"/>
        <v>49675</v>
      </c>
      <c r="W7" s="328">
        <f t="shared" si="0"/>
        <v>50041</v>
      </c>
      <c r="X7" s="328">
        <f t="shared" si="0"/>
        <v>50406</v>
      </c>
      <c r="Y7" s="328">
        <f t="shared" si="0"/>
        <v>50771</v>
      </c>
      <c r="Z7" s="328">
        <f t="shared" si="0"/>
        <v>51136</v>
      </c>
      <c r="AA7" s="328">
        <f t="shared" si="0"/>
        <v>51502</v>
      </c>
      <c r="AB7" s="328">
        <f t="shared" si="0"/>
        <v>51867</v>
      </c>
      <c r="AC7" s="328">
        <f t="shared" si="0"/>
        <v>52232</v>
      </c>
      <c r="AD7" s="328">
        <f t="shared" si="0"/>
        <v>52597</v>
      </c>
      <c r="AE7" s="328">
        <f t="shared" si="0"/>
        <v>52963</v>
      </c>
      <c r="AF7" s="328">
        <f t="shared" si="0"/>
        <v>53328</v>
      </c>
      <c r="AG7" s="328">
        <f t="shared" si="0"/>
        <v>53693</v>
      </c>
      <c r="AH7" s="328">
        <f t="shared" si="0"/>
        <v>54058</v>
      </c>
      <c r="AI7" s="328">
        <f t="shared" si="0"/>
        <v>54424</v>
      </c>
      <c r="AJ7" s="328">
        <f t="shared" si="0"/>
        <v>54789</v>
      </c>
      <c r="AK7" s="328">
        <f t="shared" si="0"/>
        <v>55154</v>
      </c>
      <c r="AL7" s="328">
        <f t="shared" si="0"/>
        <v>55519</v>
      </c>
      <c r="AM7" s="328">
        <f t="shared" si="0"/>
        <v>55885</v>
      </c>
      <c r="AN7" s="328">
        <f t="shared" si="0"/>
        <v>56250</v>
      </c>
      <c r="AO7" s="328">
        <f t="shared" si="0"/>
        <v>56615</v>
      </c>
      <c r="AP7" s="328">
        <f t="shared" si="0"/>
        <v>56980</v>
      </c>
      <c r="AQ7" s="328"/>
      <c r="AR7" s="328"/>
      <c r="AS7" s="328"/>
      <c r="AT7" s="328"/>
      <c r="AU7" s="328"/>
      <c r="AV7" s="328"/>
      <c r="AW7" s="328"/>
      <c r="AX7" s="328"/>
      <c r="AY7" s="328"/>
      <c r="AZ7" s="328"/>
      <c r="BA7" s="328"/>
      <c r="BB7" s="328"/>
    </row>
    <row r="8" spans="1:54" s="324" customFormat="1">
      <c r="A8" s="324" t="s">
        <v>676</v>
      </c>
      <c r="H8" s="326"/>
      <c r="I8" s="327"/>
      <c r="M8" s="328">
        <f t="shared" ref="M8:AP8" si="1">EOMONTH(M7,MnthsInQtr-One)</f>
        <v>46752</v>
      </c>
      <c r="N8" s="328">
        <f t="shared" si="1"/>
        <v>47118</v>
      </c>
      <c r="O8" s="328">
        <f t="shared" si="1"/>
        <v>47483</v>
      </c>
      <c r="P8" s="328">
        <f t="shared" si="1"/>
        <v>47848</v>
      </c>
      <c r="Q8" s="328">
        <f t="shared" si="1"/>
        <v>48213</v>
      </c>
      <c r="R8" s="328">
        <f t="shared" si="1"/>
        <v>48579</v>
      </c>
      <c r="S8" s="328">
        <f t="shared" si="1"/>
        <v>48944</v>
      </c>
      <c r="T8" s="328">
        <f t="shared" si="1"/>
        <v>49309</v>
      </c>
      <c r="U8" s="328">
        <f t="shared" si="1"/>
        <v>49674</v>
      </c>
      <c r="V8" s="328">
        <f t="shared" si="1"/>
        <v>50040</v>
      </c>
      <c r="W8" s="328">
        <f t="shared" si="1"/>
        <v>50405</v>
      </c>
      <c r="X8" s="328">
        <f t="shared" si="1"/>
        <v>50770</v>
      </c>
      <c r="Y8" s="328">
        <f t="shared" si="1"/>
        <v>51135</v>
      </c>
      <c r="Z8" s="328">
        <f t="shared" si="1"/>
        <v>51501</v>
      </c>
      <c r="AA8" s="328">
        <f t="shared" si="1"/>
        <v>51866</v>
      </c>
      <c r="AB8" s="328">
        <f t="shared" si="1"/>
        <v>52231</v>
      </c>
      <c r="AC8" s="328">
        <f t="shared" si="1"/>
        <v>52596</v>
      </c>
      <c r="AD8" s="328">
        <f t="shared" si="1"/>
        <v>52962</v>
      </c>
      <c r="AE8" s="328">
        <f t="shared" si="1"/>
        <v>53327</v>
      </c>
      <c r="AF8" s="328">
        <f t="shared" si="1"/>
        <v>53692</v>
      </c>
      <c r="AG8" s="328">
        <f t="shared" si="1"/>
        <v>54057</v>
      </c>
      <c r="AH8" s="328">
        <f t="shared" si="1"/>
        <v>54423</v>
      </c>
      <c r="AI8" s="328">
        <f t="shared" si="1"/>
        <v>54788</v>
      </c>
      <c r="AJ8" s="328">
        <f t="shared" si="1"/>
        <v>55153</v>
      </c>
      <c r="AK8" s="328">
        <f t="shared" si="1"/>
        <v>55518</v>
      </c>
      <c r="AL8" s="328">
        <f t="shared" si="1"/>
        <v>55884</v>
      </c>
      <c r="AM8" s="328">
        <f t="shared" si="1"/>
        <v>56249</v>
      </c>
      <c r="AN8" s="328">
        <f t="shared" si="1"/>
        <v>56614</v>
      </c>
      <c r="AO8" s="328">
        <f t="shared" si="1"/>
        <v>56979</v>
      </c>
      <c r="AP8" s="328">
        <f t="shared" si="1"/>
        <v>57345</v>
      </c>
      <c r="AQ8" s="328"/>
      <c r="AR8" s="328"/>
      <c r="AS8" s="328"/>
      <c r="AT8" s="328"/>
      <c r="AU8" s="328"/>
      <c r="AV8" s="328"/>
      <c r="AW8" s="328"/>
      <c r="AX8" s="328"/>
      <c r="AY8" s="328"/>
      <c r="AZ8" s="328"/>
      <c r="BA8" s="328"/>
      <c r="BB8" s="328"/>
    </row>
    <row r="9" spans="1:54" s="324" customFormat="1">
      <c r="A9" s="324" t="s">
        <v>677</v>
      </c>
      <c r="H9" s="326"/>
      <c r="I9" s="327"/>
      <c r="L9" s="324">
        <v>0</v>
      </c>
      <c r="M9" s="324">
        <f>COUNT($M$8:M8)</f>
        <v>1</v>
      </c>
      <c r="N9" s="324">
        <f>COUNT($M$8:N8)</f>
        <v>2</v>
      </c>
      <c r="O9" s="324">
        <f>COUNT($M$8:O8)</f>
        <v>3</v>
      </c>
      <c r="P9" s="324">
        <f>COUNT($M$8:P8)</f>
        <v>4</v>
      </c>
      <c r="Q9" s="324">
        <f>COUNT($M$8:Q8)</f>
        <v>5</v>
      </c>
      <c r="R9" s="324">
        <f>COUNT($M$8:R8)</f>
        <v>6</v>
      </c>
      <c r="S9" s="324">
        <f>COUNT($M$8:S8)</f>
        <v>7</v>
      </c>
      <c r="T9" s="324">
        <f>COUNT($M$8:T8)</f>
        <v>8</v>
      </c>
      <c r="U9" s="324">
        <f>COUNT($M$8:U8)</f>
        <v>9</v>
      </c>
      <c r="V9" s="324">
        <f>COUNT($M$8:V8)</f>
        <v>10</v>
      </c>
      <c r="W9" s="324">
        <f>COUNT($M$8:W8)</f>
        <v>11</v>
      </c>
      <c r="X9" s="324">
        <f>COUNT($M$8:X8)</f>
        <v>12</v>
      </c>
      <c r="Y9" s="324">
        <f>COUNT($M$8:Y8)</f>
        <v>13</v>
      </c>
      <c r="Z9" s="324">
        <f>COUNT($M$8:Z8)</f>
        <v>14</v>
      </c>
      <c r="AA9" s="324">
        <f>COUNT($M$8:AA8)</f>
        <v>15</v>
      </c>
      <c r="AB9" s="324">
        <f>COUNT($M$8:AB8)</f>
        <v>16</v>
      </c>
      <c r="AC9" s="324">
        <f>COUNT($M$8:AC8)</f>
        <v>17</v>
      </c>
      <c r="AD9" s="324">
        <f>COUNT($M$8:AD8)</f>
        <v>18</v>
      </c>
      <c r="AE9" s="324">
        <f>COUNT($M$8:AE8)</f>
        <v>19</v>
      </c>
      <c r="AF9" s="324">
        <f>COUNT($M$8:AF8)</f>
        <v>20</v>
      </c>
      <c r="AG9" s="324">
        <f>COUNT($M$8:AG8)</f>
        <v>21</v>
      </c>
      <c r="AH9" s="324">
        <f>COUNT($M$8:AH8)</f>
        <v>22</v>
      </c>
      <c r="AI9" s="324">
        <f>COUNT($M$8:AI8)</f>
        <v>23</v>
      </c>
      <c r="AJ9" s="324">
        <f>COUNT($M$8:AJ8)</f>
        <v>24</v>
      </c>
      <c r="AK9" s="324">
        <f>COUNT($M$8:AK8)</f>
        <v>25</v>
      </c>
      <c r="AL9" s="324">
        <f>COUNT($M$8:AL8)</f>
        <v>26</v>
      </c>
      <c r="AM9" s="324">
        <f>COUNT($M$8:AM8)</f>
        <v>27</v>
      </c>
      <c r="AN9" s="324">
        <f>COUNT($M$8:AN8)</f>
        <v>28</v>
      </c>
      <c r="AO9" s="324">
        <f>COUNT($M$8:AO8)</f>
        <v>29</v>
      </c>
      <c r="AP9" s="324">
        <f>COUNT($M$8:AP8)</f>
        <v>30</v>
      </c>
    </row>
    <row r="10" spans="1:54" s="324" customFormat="1">
      <c r="A10" s="324" t="s">
        <v>678</v>
      </c>
      <c r="H10" s="326"/>
      <c r="I10" s="327"/>
      <c r="M10" s="324">
        <f>(M8-M7)+1</f>
        <v>365</v>
      </c>
      <c r="N10" s="324">
        <f t="shared" ref="N10:AP10" si="2">(N8-N7)+1</f>
        <v>366</v>
      </c>
      <c r="O10" s="324">
        <f t="shared" si="2"/>
        <v>365</v>
      </c>
      <c r="P10" s="324">
        <f t="shared" si="2"/>
        <v>365</v>
      </c>
      <c r="Q10" s="324">
        <f t="shared" si="2"/>
        <v>365</v>
      </c>
      <c r="R10" s="324">
        <f t="shared" si="2"/>
        <v>366</v>
      </c>
      <c r="S10" s="324">
        <f t="shared" si="2"/>
        <v>365</v>
      </c>
      <c r="T10" s="324">
        <f t="shared" si="2"/>
        <v>365</v>
      </c>
      <c r="U10" s="324">
        <f t="shared" si="2"/>
        <v>365</v>
      </c>
      <c r="V10" s="324">
        <f t="shared" si="2"/>
        <v>366</v>
      </c>
      <c r="W10" s="324">
        <f t="shared" si="2"/>
        <v>365</v>
      </c>
      <c r="X10" s="324">
        <f t="shared" si="2"/>
        <v>365</v>
      </c>
      <c r="Y10" s="324">
        <f t="shared" si="2"/>
        <v>365</v>
      </c>
      <c r="Z10" s="324">
        <f t="shared" si="2"/>
        <v>366</v>
      </c>
      <c r="AA10" s="324">
        <f t="shared" si="2"/>
        <v>365</v>
      </c>
      <c r="AB10" s="324">
        <f t="shared" si="2"/>
        <v>365</v>
      </c>
      <c r="AC10" s="324">
        <f t="shared" si="2"/>
        <v>365</v>
      </c>
      <c r="AD10" s="324">
        <f t="shared" si="2"/>
        <v>366</v>
      </c>
      <c r="AE10" s="324">
        <f t="shared" si="2"/>
        <v>365</v>
      </c>
      <c r="AF10" s="324">
        <f t="shared" si="2"/>
        <v>365</v>
      </c>
      <c r="AG10" s="324">
        <f t="shared" si="2"/>
        <v>365</v>
      </c>
      <c r="AH10" s="324">
        <f t="shared" si="2"/>
        <v>366</v>
      </c>
      <c r="AI10" s="324">
        <f t="shared" si="2"/>
        <v>365</v>
      </c>
      <c r="AJ10" s="324">
        <f t="shared" si="2"/>
        <v>365</v>
      </c>
      <c r="AK10" s="324">
        <f t="shared" si="2"/>
        <v>365</v>
      </c>
      <c r="AL10" s="324">
        <f t="shared" si="2"/>
        <v>366</v>
      </c>
      <c r="AM10" s="324">
        <f t="shared" si="2"/>
        <v>365</v>
      </c>
      <c r="AN10" s="324">
        <f t="shared" si="2"/>
        <v>365</v>
      </c>
      <c r="AO10" s="324">
        <f t="shared" si="2"/>
        <v>365</v>
      </c>
      <c r="AP10" s="324">
        <f t="shared" si="2"/>
        <v>366</v>
      </c>
    </row>
    <row r="11" spans="1:54" s="324" customFormat="1">
      <c r="A11" s="324" t="s">
        <v>679</v>
      </c>
      <c r="H11" s="326" t="s">
        <v>680</v>
      </c>
      <c r="I11" s="327" t="s">
        <v>681</v>
      </c>
      <c r="M11" s="324">
        <f>YEAR(M8)</f>
        <v>2027</v>
      </c>
      <c r="N11" s="324">
        <f t="shared" ref="N11:AP11" si="3">YEAR(N8)</f>
        <v>2028</v>
      </c>
      <c r="O11" s="324">
        <f t="shared" si="3"/>
        <v>2029</v>
      </c>
      <c r="P11" s="324">
        <f t="shared" si="3"/>
        <v>2030</v>
      </c>
      <c r="Q11" s="324">
        <f t="shared" si="3"/>
        <v>2031</v>
      </c>
      <c r="R11" s="324">
        <f t="shared" si="3"/>
        <v>2032</v>
      </c>
      <c r="S11" s="324">
        <f t="shared" si="3"/>
        <v>2033</v>
      </c>
      <c r="T11" s="324">
        <f t="shared" si="3"/>
        <v>2034</v>
      </c>
      <c r="U11" s="324">
        <f t="shared" si="3"/>
        <v>2035</v>
      </c>
      <c r="V11" s="324">
        <f t="shared" si="3"/>
        <v>2036</v>
      </c>
      <c r="W11" s="324">
        <f t="shared" si="3"/>
        <v>2037</v>
      </c>
      <c r="X11" s="324">
        <f t="shared" si="3"/>
        <v>2038</v>
      </c>
      <c r="Y11" s="324">
        <f t="shared" si="3"/>
        <v>2039</v>
      </c>
      <c r="Z11" s="324">
        <f t="shared" si="3"/>
        <v>2040</v>
      </c>
      <c r="AA11" s="324">
        <f t="shared" si="3"/>
        <v>2041</v>
      </c>
      <c r="AB11" s="324">
        <f t="shared" si="3"/>
        <v>2042</v>
      </c>
      <c r="AC11" s="324">
        <f t="shared" si="3"/>
        <v>2043</v>
      </c>
      <c r="AD11" s="324">
        <f t="shared" si="3"/>
        <v>2044</v>
      </c>
      <c r="AE11" s="324">
        <f t="shared" si="3"/>
        <v>2045</v>
      </c>
      <c r="AF11" s="324">
        <f t="shared" si="3"/>
        <v>2046</v>
      </c>
      <c r="AG11" s="324">
        <f t="shared" si="3"/>
        <v>2047</v>
      </c>
      <c r="AH11" s="324">
        <f t="shared" si="3"/>
        <v>2048</v>
      </c>
      <c r="AI11" s="324">
        <f t="shared" si="3"/>
        <v>2049</v>
      </c>
      <c r="AJ11" s="324">
        <f t="shared" si="3"/>
        <v>2050</v>
      </c>
      <c r="AK11" s="324">
        <f t="shared" si="3"/>
        <v>2051</v>
      </c>
      <c r="AL11" s="324">
        <f t="shared" si="3"/>
        <v>2052</v>
      </c>
      <c r="AM11" s="324">
        <f t="shared" si="3"/>
        <v>2053</v>
      </c>
      <c r="AN11" s="324">
        <f t="shared" si="3"/>
        <v>2054</v>
      </c>
      <c r="AO11" s="324">
        <f t="shared" si="3"/>
        <v>2055</v>
      </c>
      <c r="AP11" s="324">
        <f t="shared" si="3"/>
        <v>2056</v>
      </c>
    </row>
    <row r="12" spans="1:54" ht="12" thickBot="1"/>
    <row r="13" spans="1:54" s="330" customFormat="1" ht="12" thickBot="1">
      <c r="A13" s="329" t="s">
        <v>5</v>
      </c>
      <c r="H13" s="331"/>
      <c r="I13" s="332"/>
    </row>
    <row r="14" spans="1:54" outlineLevel="1">
      <c r="B14" s="320" t="s">
        <v>682</v>
      </c>
      <c r="AH14" s="333"/>
    </row>
    <row r="15" spans="1:54" outlineLevel="1">
      <c r="C15" s="320" t="s">
        <v>683</v>
      </c>
      <c r="I15" s="323" t="s">
        <v>41</v>
      </c>
      <c r="J15" s="1228">
        <v>46388</v>
      </c>
    </row>
    <row r="16" spans="1:54" outlineLevel="1">
      <c r="C16" s="320" t="s">
        <v>684</v>
      </c>
      <c r="I16" s="323" t="s">
        <v>48</v>
      </c>
      <c r="J16" s="1229" t="s">
        <v>685</v>
      </c>
    </row>
    <row r="17" spans="1:53" outlineLevel="1">
      <c r="C17" s="320" t="s">
        <v>686</v>
      </c>
      <c r="J17" s="1229">
        <v>30</v>
      </c>
    </row>
    <row r="18" spans="1:53" outlineLevel="1">
      <c r="C18" s="320" t="s">
        <v>24</v>
      </c>
      <c r="I18" s="323" t="s">
        <v>687</v>
      </c>
      <c r="J18" s="1230">
        <v>12</v>
      </c>
    </row>
    <row r="19" spans="1:53" outlineLevel="1">
      <c r="B19" s="334"/>
      <c r="C19" s="320" t="s">
        <v>688</v>
      </c>
      <c r="I19" s="323" t="s">
        <v>19</v>
      </c>
      <c r="J19" s="1230">
        <v>365</v>
      </c>
      <c r="L19" s="343"/>
      <c r="M19" s="343">
        <f>IF('Timing &amp; Flags'!I59=0,$J$152,'Assumption '!$J$153)</f>
        <v>351</v>
      </c>
      <c r="N19" s="343">
        <f>IF('Timing &amp; Flags'!J59=0,$J$152,'Assumption '!$J$153)</f>
        <v>351</v>
      </c>
      <c r="O19" s="343">
        <f>IF('Timing &amp; Flags'!K59=0,$J$152,'Assumption '!$J$153)</f>
        <v>335</v>
      </c>
      <c r="P19" s="343">
        <f>IF('Timing &amp; Flags'!L59=0,$J$152,'Assumption '!$J$153)</f>
        <v>351</v>
      </c>
      <c r="Q19" s="343">
        <f>IF('Timing &amp; Flags'!M59=0,$J$152,'Assumption '!$J$153)</f>
        <v>351</v>
      </c>
      <c r="R19" s="343">
        <f>IF('Timing &amp; Flags'!N59=0,$J$152,'Assumption '!$J$153)</f>
        <v>335</v>
      </c>
      <c r="S19" s="343">
        <f>IF('Timing &amp; Flags'!O59=0,$J$152,'Assumption '!$J$153)</f>
        <v>351</v>
      </c>
      <c r="T19" s="343">
        <f>IF('Timing &amp; Flags'!P59=0,$J$152,'Assumption '!$J$153)</f>
        <v>351</v>
      </c>
      <c r="U19" s="343">
        <f>IF('Timing &amp; Flags'!Q59=0,$J$152,'Assumption '!$J$153)</f>
        <v>335</v>
      </c>
      <c r="V19" s="343">
        <f>IF('Timing &amp; Flags'!R59=0,$J$152,'Assumption '!$J$153)</f>
        <v>351</v>
      </c>
      <c r="W19" s="343">
        <f>IF('Timing &amp; Flags'!S59=0,$J$152,'Assumption '!$J$153)</f>
        <v>351</v>
      </c>
      <c r="X19" s="343">
        <f>IF('Timing &amp; Flags'!T59=0,$J$152,'Assumption '!$J$153)</f>
        <v>335</v>
      </c>
      <c r="Y19" s="343">
        <f>IF('Timing &amp; Flags'!U59=0,$J$152,'Assumption '!$J$153)</f>
        <v>351</v>
      </c>
      <c r="Z19" s="343">
        <f>IF('Timing &amp; Flags'!V59=0,$J$152,'Assumption '!$J$153)</f>
        <v>351</v>
      </c>
      <c r="AA19" s="343">
        <f>IF('Timing &amp; Flags'!W59=0,$J$152,'Assumption '!$J$153)</f>
        <v>335</v>
      </c>
      <c r="AB19" s="343">
        <f>IF('Timing &amp; Flags'!X59=0,$J$152,'Assumption '!$J$153)</f>
        <v>351</v>
      </c>
      <c r="AC19" s="343">
        <f>IF('Timing &amp; Flags'!Y59=0,$J$152,'Assumption '!$J$153)</f>
        <v>351</v>
      </c>
      <c r="AD19" s="343">
        <f>IF('Timing &amp; Flags'!Z59=0,$J$152,'Assumption '!$J$153)</f>
        <v>335</v>
      </c>
      <c r="AE19" s="343">
        <f>IF('Timing &amp; Flags'!AA59=0,$J$152,'Assumption '!$J$153)</f>
        <v>351</v>
      </c>
      <c r="AF19" s="343">
        <f>IF('Timing &amp; Flags'!AB59=0,$J$152,'Assumption '!$J$153)</f>
        <v>351</v>
      </c>
      <c r="AG19" s="343">
        <f>IF('Timing &amp; Flags'!AC59=0,$J$152,'Assumption '!$J$153)</f>
        <v>335</v>
      </c>
      <c r="AH19" s="343">
        <f>IF('Timing &amp; Flags'!AD59=0,$J$152,'Assumption '!$J$153)</f>
        <v>351</v>
      </c>
      <c r="AI19" s="343">
        <f>IF('Timing &amp; Flags'!AE59=0,$J$152,'Assumption '!$J$153)</f>
        <v>351</v>
      </c>
      <c r="AJ19" s="343">
        <f>IF('Timing &amp; Flags'!AF59=0,$J$152,'Assumption '!$J$153)</f>
        <v>335</v>
      </c>
      <c r="AK19" s="343">
        <f>IF('Timing &amp; Flags'!AG59=0,$J$152,'Assumption '!$J$153)</f>
        <v>351</v>
      </c>
      <c r="AL19" s="343">
        <f>IF('Timing &amp; Flags'!AH59=0,$J$152,'Assumption '!$J$153)</f>
        <v>351</v>
      </c>
      <c r="AM19" s="343">
        <f>IF('Timing &amp; Flags'!AI59=0,$J$152,'Assumption '!$J$153)</f>
        <v>335</v>
      </c>
      <c r="AN19" s="343">
        <f>IF('Timing &amp; Flags'!AJ59=0,$J$152,'Assumption '!$J$153)</f>
        <v>351</v>
      </c>
      <c r="AO19" s="343">
        <f>IF('Timing &amp; Flags'!AK59=0,$J$152,'Assumption '!$J$153)</f>
        <v>351</v>
      </c>
      <c r="AP19" s="343">
        <f>IF('Timing &amp; Flags'!AL59=0,$J$152,'Assumption '!$J$153)</f>
        <v>335</v>
      </c>
      <c r="AQ19" s="343"/>
      <c r="AR19" s="343"/>
      <c r="AS19" s="343"/>
      <c r="AT19" s="343"/>
      <c r="AU19" s="343"/>
      <c r="AV19" s="343"/>
      <c r="AW19" s="343"/>
      <c r="AX19" s="343"/>
      <c r="AY19" s="343"/>
      <c r="AZ19" s="343"/>
      <c r="BA19" s="343"/>
    </row>
    <row r="20" spans="1:53" outlineLevel="1">
      <c r="B20" s="335"/>
      <c r="C20" s="320" t="s">
        <v>689</v>
      </c>
      <c r="I20" s="323" t="s">
        <v>690</v>
      </c>
      <c r="J20" s="1230">
        <v>4</v>
      </c>
    </row>
    <row r="21" spans="1:53" outlineLevel="1">
      <c r="B21" s="335"/>
      <c r="C21" s="320" t="s">
        <v>691</v>
      </c>
      <c r="I21" s="323" t="s">
        <v>692</v>
      </c>
      <c r="J21" s="1230">
        <v>52</v>
      </c>
    </row>
    <row r="22" spans="1:53" outlineLevel="1">
      <c r="C22" s="320" t="s">
        <v>693</v>
      </c>
      <c r="I22" s="323" t="s">
        <v>694</v>
      </c>
      <c r="J22" s="1231">
        <v>30</v>
      </c>
      <c r="M22" s="333"/>
      <c r="N22" s="333"/>
      <c r="O22" s="333"/>
      <c r="P22" s="333"/>
      <c r="Q22" s="333"/>
      <c r="R22" s="333"/>
    </row>
    <row r="23" spans="1:53" outlineLevel="1">
      <c r="C23" s="320" t="s">
        <v>695</v>
      </c>
      <c r="I23" s="323" t="s">
        <v>41</v>
      </c>
      <c r="J23" s="1232">
        <f>MAX(M8:BA8)</f>
        <v>57345</v>
      </c>
    </row>
    <row r="24" spans="1:53" outlineLevel="1">
      <c r="C24" s="320" t="s">
        <v>696</v>
      </c>
      <c r="I24" s="323" t="s">
        <v>251</v>
      </c>
      <c r="J24" s="1231">
        <f>MAX(M9:BA9)</f>
        <v>30</v>
      </c>
    </row>
    <row r="25" spans="1:53" outlineLevel="1">
      <c r="C25" s="320" t="s">
        <v>697</v>
      </c>
      <c r="I25" s="323" t="s">
        <v>698</v>
      </c>
      <c r="J25" s="1231">
        <f>YEAR(ModelStart)</f>
        <v>2027</v>
      </c>
    </row>
    <row r="26" spans="1:53" outlineLevel="1">
      <c r="C26" s="320" t="s">
        <v>699</v>
      </c>
      <c r="I26" s="323" t="s">
        <v>41</v>
      </c>
      <c r="J26" s="1228">
        <v>46752</v>
      </c>
    </row>
    <row r="27" spans="1:53" outlineLevel="1">
      <c r="C27" s="320" t="s">
        <v>700</v>
      </c>
      <c r="I27" s="323" t="s">
        <v>48</v>
      </c>
      <c r="J27" s="1230">
        <v>1</v>
      </c>
    </row>
    <row r="28" spans="1:53" ht="12" outlineLevel="1" thickBot="1">
      <c r="C28" s="320" t="s">
        <v>701</v>
      </c>
      <c r="I28" s="323" t="s">
        <v>48</v>
      </c>
      <c r="J28" s="1230">
        <v>1E-3</v>
      </c>
    </row>
    <row r="29" spans="1:53" ht="12" hidden="1" thickBot="1">
      <c r="C29" s="320" t="s">
        <v>2162</v>
      </c>
      <c r="J29" s="1230">
        <v>1</v>
      </c>
    </row>
    <row r="30" spans="1:53" s="330" customFormat="1" ht="12" thickBot="1">
      <c r="A30" s="329" t="s">
        <v>702</v>
      </c>
      <c r="H30" s="331"/>
      <c r="I30" s="332"/>
    </row>
    <row r="31" spans="1:53" outlineLevel="1">
      <c r="C31" s="320" t="s">
        <v>2332</v>
      </c>
      <c r="H31" s="322" t="s">
        <v>2333</v>
      </c>
      <c r="I31" s="323" t="s">
        <v>18</v>
      </c>
      <c r="J31" s="1233">
        <v>0.1004</v>
      </c>
    </row>
    <row r="32" spans="1:53" outlineLevel="1">
      <c r="C32" s="320" t="s">
        <v>703</v>
      </c>
      <c r="H32" s="322" t="s">
        <v>2348</v>
      </c>
      <c r="I32" s="323" t="s">
        <v>18</v>
      </c>
      <c r="J32" s="1233">
        <f>'nigeria-inflation-rate-cpi'!B78/100</f>
        <v>0.12866648000000003</v>
      </c>
      <c r="M32" s="336"/>
    </row>
    <row r="33" spans="3:53" outlineLevel="1">
      <c r="C33" s="320" t="s">
        <v>1234</v>
      </c>
      <c r="H33" s="322" t="s">
        <v>2333</v>
      </c>
      <c r="I33" s="323" t="s">
        <v>41</v>
      </c>
      <c r="J33" s="1228">
        <v>46388</v>
      </c>
    </row>
    <row r="34" spans="3:53" outlineLevel="1">
      <c r="C34" s="320" t="s">
        <v>1238</v>
      </c>
      <c r="I34" s="323" t="s">
        <v>18</v>
      </c>
      <c r="M34" s="1234">
        <f>'Data 2'!C11</f>
        <v>0.16020000000000001</v>
      </c>
      <c r="N34" s="1234">
        <f>'Data 2'!C12</f>
        <v>0.15380000000000002</v>
      </c>
      <c r="O34" s="1234">
        <f>'Data 2'!C13</f>
        <v>0.14000000000000001</v>
      </c>
      <c r="P34" s="1234">
        <f>'Data 2'!C14</f>
        <v>0.14000000000000001</v>
      </c>
      <c r="Q34" s="1234">
        <f>'Data 2'!C15</f>
        <v>0.12</v>
      </c>
      <c r="R34" s="1234">
        <f t="shared" ref="R34:AP34" si="4">IF(Q34=0,$J$31,IF(R8&lt;$J$33,Q34-($J$31-$J$32)/9,$J$32))</f>
        <v>0.12866648000000003</v>
      </c>
      <c r="S34" s="1234">
        <f t="shared" si="4"/>
        <v>0.12866648000000003</v>
      </c>
      <c r="T34" s="1234">
        <f t="shared" si="4"/>
        <v>0.12866648000000003</v>
      </c>
      <c r="U34" s="1234">
        <f t="shared" si="4"/>
        <v>0.12866648000000003</v>
      </c>
      <c r="V34" s="1234">
        <f t="shared" si="4"/>
        <v>0.12866648000000003</v>
      </c>
      <c r="W34" s="1234">
        <f t="shared" si="4"/>
        <v>0.12866648000000003</v>
      </c>
      <c r="X34" s="1234">
        <f t="shared" si="4"/>
        <v>0.12866648000000003</v>
      </c>
      <c r="Y34" s="1234">
        <f t="shared" si="4"/>
        <v>0.12866648000000003</v>
      </c>
      <c r="Z34" s="1234">
        <f t="shared" si="4"/>
        <v>0.12866648000000003</v>
      </c>
      <c r="AA34" s="1234">
        <f t="shared" si="4"/>
        <v>0.12866648000000003</v>
      </c>
      <c r="AB34" s="1234">
        <f t="shared" si="4"/>
        <v>0.12866648000000003</v>
      </c>
      <c r="AC34" s="1234">
        <f t="shared" si="4"/>
        <v>0.12866648000000003</v>
      </c>
      <c r="AD34" s="1234">
        <f t="shared" si="4"/>
        <v>0.12866648000000003</v>
      </c>
      <c r="AE34" s="1234">
        <f t="shared" si="4"/>
        <v>0.12866648000000003</v>
      </c>
      <c r="AF34" s="1234">
        <f t="shared" si="4"/>
        <v>0.12866648000000003</v>
      </c>
      <c r="AG34" s="1234">
        <f t="shared" si="4"/>
        <v>0.12866648000000003</v>
      </c>
      <c r="AH34" s="1234">
        <f t="shared" si="4"/>
        <v>0.12866648000000003</v>
      </c>
      <c r="AI34" s="1234">
        <f t="shared" si="4"/>
        <v>0.12866648000000003</v>
      </c>
      <c r="AJ34" s="1234">
        <f t="shared" si="4"/>
        <v>0.12866648000000003</v>
      </c>
      <c r="AK34" s="1234">
        <f t="shared" si="4"/>
        <v>0.12866648000000003</v>
      </c>
      <c r="AL34" s="1234">
        <f t="shared" si="4"/>
        <v>0.12866648000000003</v>
      </c>
      <c r="AM34" s="1234">
        <f t="shared" si="4"/>
        <v>0.12866648000000003</v>
      </c>
      <c r="AN34" s="1234">
        <f t="shared" si="4"/>
        <v>0.12866648000000003</v>
      </c>
      <c r="AO34" s="1234">
        <f t="shared" si="4"/>
        <v>0.12866648000000003</v>
      </c>
      <c r="AP34" s="1234">
        <f t="shared" si="4"/>
        <v>0.12866648000000003</v>
      </c>
      <c r="AQ34" s="1234"/>
      <c r="AR34" s="1234"/>
      <c r="AS34" s="1234"/>
      <c r="AT34" s="1234"/>
      <c r="AU34" s="1234"/>
      <c r="AV34" s="1234"/>
      <c r="AW34" s="1234"/>
      <c r="AX34" s="1234"/>
      <c r="AY34" s="1234"/>
      <c r="AZ34" s="1234"/>
      <c r="BA34" s="1234"/>
    </row>
    <row r="35" spans="3:53" outlineLevel="1">
      <c r="C35" s="320" t="s">
        <v>1239</v>
      </c>
      <c r="I35" s="323" t="s">
        <v>18</v>
      </c>
      <c r="L35" s="1235">
        <f t="shared" ref="L35:AP35" si="5">IF(K35=0,One,(One+L34)^(One/QtrsinaYr*QtrsinaYr))</f>
        <v>1</v>
      </c>
      <c r="M35" s="1235">
        <f t="shared" si="5"/>
        <v>1.1602000000000001</v>
      </c>
      <c r="N35" s="1235">
        <f t="shared" si="5"/>
        <v>1.1537999999999999</v>
      </c>
      <c r="O35" s="1235">
        <f t="shared" si="5"/>
        <v>1.1400000000000001</v>
      </c>
      <c r="P35" s="1235">
        <f t="shared" si="5"/>
        <v>1.1400000000000001</v>
      </c>
      <c r="Q35" s="1235">
        <f t="shared" si="5"/>
        <v>1.1200000000000001</v>
      </c>
      <c r="R35" s="1235">
        <f t="shared" si="5"/>
        <v>1.1286664800000001</v>
      </c>
      <c r="S35" s="1235">
        <f t="shared" si="5"/>
        <v>1.1286664800000001</v>
      </c>
      <c r="T35" s="1235">
        <f t="shared" si="5"/>
        <v>1.1286664800000001</v>
      </c>
      <c r="U35" s="1235">
        <f t="shared" si="5"/>
        <v>1.1286664800000001</v>
      </c>
      <c r="V35" s="1235">
        <f t="shared" si="5"/>
        <v>1.1286664800000001</v>
      </c>
      <c r="W35" s="1235">
        <f t="shared" si="5"/>
        <v>1.1286664800000001</v>
      </c>
      <c r="X35" s="1235">
        <f t="shared" si="5"/>
        <v>1.1286664800000001</v>
      </c>
      <c r="Y35" s="1235">
        <f t="shared" si="5"/>
        <v>1.1286664800000001</v>
      </c>
      <c r="Z35" s="1235">
        <f t="shared" si="5"/>
        <v>1.1286664800000001</v>
      </c>
      <c r="AA35" s="1235">
        <f t="shared" si="5"/>
        <v>1.1286664800000001</v>
      </c>
      <c r="AB35" s="1235">
        <f t="shared" si="5"/>
        <v>1.1286664800000001</v>
      </c>
      <c r="AC35" s="1235">
        <f t="shared" si="5"/>
        <v>1.1286664800000001</v>
      </c>
      <c r="AD35" s="1235">
        <f t="shared" si="5"/>
        <v>1.1286664800000001</v>
      </c>
      <c r="AE35" s="1235">
        <f t="shared" si="5"/>
        <v>1.1286664800000001</v>
      </c>
      <c r="AF35" s="1235">
        <f t="shared" si="5"/>
        <v>1.1286664800000001</v>
      </c>
      <c r="AG35" s="1235">
        <f t="shared" si="5"/>
        <v>1.1286664800000001</v>
      </c>
      <c r="AH35" s="1235">
        <f t="shared" si="5"/>
        <v>1.1286664800000001</v>
      </c>
      <c r="AI35" s="1235">
        <f t="shared" si="5"/>
        <v>1.1286664800000001</v>
      </c>
      <c r="AJ35" s="1235">
        <f t="shared" si="5"/>
        <v>1.1286664800000001</v>
      </c>
      <c r="AK35" s="1235">
        <f t="shared" si="5"/>
        <v>1.1286664800000001</v>
      </c>
      <c r="AL35" s="1235">
        <f t="shared" si="5"/>
        <v>1.1286664800000001</v>
      </c>
      <c r="AM35" s="1235">
        <f t="shared" si="5"/>
        <v>1.1286664800000001</v>
      </c>
      <c r="AN35" s="1235">
        <f t="shared" si="5"/>
        <v>1.1286664800000001</v>
      </c>
      <c r="AO35" s="1235">
        <f t="shared" si="5"/>
        <v>1.1286664800000001</v>
      </c>
      <c r="AP35" s="1235">
        <f t="shared" si="5"/>
        <v>1.1286664800000001</v>
      </c>
      <c r="AQ35" s="1235"/>
      <c r="AR35" s="1235"/>
      <c r="AS35" s="1235"/>
      <c r="AT35" s="1235"/>
      <c r="AU35" s="1235"/>
      <c r="AV35" s="1235"/>
      <c r="AW35" s="1235"/>
      <c r="AX35" s="1235"/>
      <c r="AY35" s="1235"/>
      <c r="AZ35" s="1235"/>
      <c r="BA35" s="1235"/>
    </row>
    <row r="36" spans="3:53" outlineLevel="1">
      <c r="C36" s="320" t="s">
        <v>1235</v>
      </c>
      <c r="M36" s="1235">
        <f>PRODUCT($M35:M$35)</f>
        <v>1.1602000000000001</v>
      </c>
      <c r="N36" s="1235">
        <f>PRODUCT($M35:N$35)</f>
        <v>1.33863876</v>
      </c>
      <c r="O36" s="1235">
        <f>PRODUCT($M35:O$35)</f>
        <v>1.5260481864000002</v>
      </c>
      <c r="P36" s="1235">
        <f>PRODUCT($M35:P$35)</f>
        <v>1.7396949324960005</v>
      </c>
      <c r="Q36" s="1235">
        <f>PRODUCT($M35:Q$35)</f>
        <v>1.9484583243955207</v>
      </c>
      <c r="R36" s="1235">
        <f>PRODUCT($M35:R$35)</f>
        <v>2.1991595984221908</v>
      </c>
      <c r="S36" s="1235">
        <f>PRODUCT($M35:S$35)</f>
        <v>2.482117722909388</v>
      </c>
      <c r="T36" s="1235">
        <f>PRODUCT($M35:T$35)</f>
        <v>2.8014830732617546</v>
      </c>
      <c r="U36" s="1235">
        <f>PRODUCT($M35:U$35)</f>
        <v>3.1619400390779271</v>
      </c>
      <c r="V36" s="1235">
        <f>PRODUCT($M35:V$35)</f>
        <v>3.5687757338771466</v>
      </c>
      <c r="W36" s="1235">
        <f>PRODUCT($M35:W$35)</f>
        <v>4.0279575454645364</v>
      </c>
      <c r="X36" s="1235">
        <f>PRODUCT($M35:X$35)</f>
        <v>4.5462206644288985</v>
      </c>
      <c r="Y36" s="1235">
        <f>PRODUCT($M35:Y$35)</f>
        <v>5.1311668746242267</v>
      </c>
      <c r="Z36" s="1235">
        <f>PRODUCT($M35:Z$35)</f>
        <v>5.7913760546747284</v>
      </c>
      <c r="AA36" s="1235">
        <f>PRODUCT($M35:AA$35)</f>
        <v>6.5365320259860145</v>
      </c>
      <c r="AB36" s="1235">
        <f>PRODUCT($M35:AB$35)</f>
        <v>7.3775645931769045</v>
      </c>
      <c r="AC36" s="1235">
        <f>PRODUCT($M35:AC$35)</f>
        <v>8.3268098603536096</v>
      </c>
      <c r="AD36" s="1235">
        <f>PRODUCT($M35:AD$35)</f>
        <v>9.3981911747146007</v>
      </c>
      <c r="AE36" s="1235">
        <f>PRODUCT($M35:AE$35)</f>
        <v>10.607423351532194</v>
      </c>
      <c r="AF36" s="1235">
        <f>PRODUCT($M35:AF$35)</f>
        <v>11.972243176043646</v>
      </c>
      <c r="AG36" s="1235">
        <f>PRODUCT($M35:AG$35)</f>
        <v>13.512669563209204</v>
      </c>
      <c r="AH36" s="1235">
        <f>PRODUCT($M35:AH$35)</f>
        <v>15.251297191310472</v>
      </c>
      <c r="AI36" s="1235">
        <f>PRODUCT($M35:AI$35)</f>
        <v>17.21362791635028</v>
      </c>
      <c r="AJ36" s="1235">
        <f>PRODUCT($M35:AJ$35)</f>
        <v>19.428444828376808</v>
      </c>
      <c r="AK36" s="1235">
        <f>PRODUCT($M35:AK$35)</f>
        <v>21.92823443631826</v>
      </c>
      <c r="AL36" s="1235">
        <f>PRODUCT($M35:AL$35)</f>
        <v>24.749663173854117</v>
      </c>
      <c r="AM36" s="1235">
        <f>PRODUCT($M35:AM$35)</f>
        <v>27.934115215619556</v>
      </c>
      <c r="AN36" s="1235">
        <f>PRODUCT($M35:AN$35)</f>
        <v>31.528299492327768</v>
      </c>
      <c r="AO36" s="1235">
        <f>PRODUCT($M35:AO$35)</f>
        <v>35.584934808391374</v>
      </c>
      <c r="AP36" s="1235">
        <f>PRODUCT($M35:AP$35)</f>
        <v>40.16352311121657</v>
      </c>
      <c r="AQ36" s="1235"/>
      <c r="AR36" s="1235"/>
      <c r="AS36" s="1235"/>
      <c r="AT36" s="1235"/>
      <c r="AU36" s="1235"/>
      <c r="AV36" s="1235"/>
      <c r="AW36" s="1235"/>
      <c r="AX36" s="1235"/>
      <c r="AY36" s="1235"/>
      <c r="AZ36" s="1235"/>
      <c r="BA36" s="1235"/>
    </row>
    <row r="37" spans="3:53" outlineLevel="1">
      <c r="M37" s="1235"/>
      <c r="N37" s="1235"/>
      <c r="O37" s="1235"/>
      <c r="P37" s="1235"/>
      <c r="Q37" s="1235"/>
      <c r="R37" s="1235"/>
      <c r="S37" s="1235"/>
      <c r="T37" s="1235"/>
      <c r="U37" s="1235"/>
      <c r="V37" s="1235"/>
      <c r="W37" s="1235"/>
      <c r="X37" s="1235"/>
      <c r="Y37" s="1235"/>
      <c r="Z37" s="1235"/>
      <c r="AA37" s="1235"/>
      <c r="AB37" s="1235"/>
      <c r="AC37" s="1235"/>
      <c r="AD37" s="1235"/>
      <c r="AE37" s="1235"/>
      <c r="AF37" s="1235"/>
      <c r="AG37" s="1235"/>
      <c r="AH37" s="1235"/>
      <c r="AI37" s="1235"/>
      <c r="AJ37" s="1235"/>
      <c r="AK37" s="1235"/>
      <c r="AL37" s="1235"/>
      <c r="AM37" s="1235"/>
      <c r="AN37" s="1235"/>
      <c r="AO37" s="1235"/>
      <c r="AP37" s="1235"/>
      <c r="AQ37" s="1235"/>
      <c r="AR37" s="1235"/>
      <c r="AS37" s="1235"/>
      <c r="AT37" s="1235"/>
      <c r="AU37" s="1235"/>
      <c r="AV37" s="1235"/>
      <c r="AW37" s="1235"/>
      <c r="AX37" s="1235"/>
      <c r="AY37" s="1235"/>
      <c r="AZ37" s="1235"/>
      <c r="BA37" s="1235"/>
    </row>
    <row r="38" spans="3:53" outlineLevel="1">
      <c r="C38" s="320" t="s">
        <v>704</v>
      </c>
      <c r="H38" s="322" t="s">
        <v>705</v>
      </c>
      <c r="I38" s="323" t="s">
        <v>18</v>
      </c>
      <c r="J38" s="1233">
        <v>2.4E-2</v>
      </c>
      <c r="L38" s="430"/>
      <c r="M38" s="1021">
        <f>'Data 2'!E10</f>
        <v>2.3E-2</v>
      </c>
      <c r="N38" s="1021">
        <f>'Data 2'!E11</f>
        <v>2.3E-2</v>
      </c>
      <c r="O38" s="1021">
        <f>'Data 2'!E12</f>
        <v>2.3E-2</v>
      </c>
      <c r="P38" s="1021">
        <f>'Data 2'!E13</f>
        <v>2.3E-2</v>
      </c>
      <c r="Q38" s="1021">
        <f>'Data 2'!E14</f>
        <v>2.3E-2</v>
      </c>
      <c r="R38" s="1021">
        <f>'Data 2'!E15</f>
        <v>2.4E-2</v>
      </c>
      <c r="S38" s="1021">
        <f>'Data 2'!E16</f>
        <v>2.4E-2</v>
      </c>
      <c r="T38" s="1021">
        <f>'Data 2'!E17</f>
        <v>2.4E-2</v>
      </c>
      <c r="U38" s="1021">
        <f>'Data 2'!E18</f>
        <v>2.4E-2</v>
      </c>
      <c r="V38" s="1021">
        <f>'Data 2'!E19</f>
        <v>2.4E-2</v>
      </c>
      <c r="W38" s="1021">
        <f>'Data 2'!E20</f>
        <v>2.4E-2</v>
      </c>
      <c r="X38" s="1021">
        <f>'Data 2'!E21</f>
        <v>2.4E-2</v>
      </c>
      <c r="Y38" s="1021">
        <f>'Data 2'!E22</f>
        <v>2.4E-2</v>
      </c>
      <c r="Z38" s="1021">
        <f>'Data 2'!E23</f>
        <v>2.4E-2</v>
      </c>
      <c r="AA38" s="1022">
        <f>'Data 2'!E24</f>
        <v>2.4E-2</v>
      </c>
      <c r="AB38" s="1021">
        <f>'Data 2'!E25</f>
        <v>2.4E-2</v>
      </c>
      <c r="AC38" s="1021">
        <f>'Data 2'!E26</f>
        <v>2.4E-2</v>
      </c>
      <c r="AD38" s="1021">
        <f>'Data 2'!E27</f>
        <v>2.4E-2</v>
      </c>
      <c r="AE38" s="1021">
        <f>'Data 2'!E28</f>
        <v>2.4E-2</v>
      </c>
      <c r="AF38" s="1021">
        <f>'Data 2'!E29</f>
        <v>2.4E-2</v>
      </c>
      <c r="AG38" s="1021">
        <f>'Data 2'!E30</f>
        <v>2.4E-2</v>
      </c>
      <c r="AH38" s="1021">
        <f>'Data 2'!E31</f>
        <v>2.4E-2</v>
      </c>
      <c r="AI38" s="1021">
        <f>'Data 2'!E32</f>
        <v>2.4E-2</v>
      </c>
      <c r="AJ38" s="1021">
        <f>'Data 2'!E33</f>
        <v>2.4E-2</v>
      </c>
      <c r="AK38" s="1021">
        <f>'Data 2'!E34</f>
        <v>2.4E-2</v>
      </c>
      <c r="AL38" s="1021">
        <f>'Data 2'!E35</f>
        <v>2.4E-2</v>
      </c>
      <c r="AM38" s="1021">
        <f t="shared" ref="AM38:AP38" si="6">$J$38</f>
        <v>2.4E-2</v>
      </c>
      <c r="AN38" s="1021">
        <f t="shared" si="6"/>
        <v>2.4E-2</v>
      </c>
      <c r="AO38" s="1021">
        <f t="shared" si="6"/>
        <v>2.4E-2</v>
      </c>
      <c r="AP38" s="1021">
        <f t="shared" si="6"/>
        <v>2.4E-2</v>
      </c>
      <c r="AQ38" s="1021"/>
      <c r="AR38" s="1021"/>
      <c r="AS38" s="1021"/>
      <c r="AT38" s="1021"/>
      <c r="AU38" s="1021"/>
      <c r="AV38" s="1021"/>
      <c r="AW38" s="1021"/>
      <c r="AX38" s="1021"/>
      <c r="AY38" s="1021"/>
      <c r="AZ38" s="1021"/>
      <c r="BA38" s="1021"/>
    </row>
    <row r="39" spans="3:53" outlineLevel="1">
      <c r="C39" s="320" t="s">
        <v>1237</v>
      </c>
      <c r="J39" s="1233"/>
      <c r="L39" s="1027">
        <f t="shared" ref="L39:AP39" si="7">IF(K39=0,One,(One+L38)^(One/QtrsinaYr*QtrsinaYr))</f>
        <v>1</v>
      </c>
      <c r="M39" s="1027">
        <f t="shared" si="7"/>
        <v>1.0229999999999999</v>
      </c>
      <c r="N39" s="1027">
        <f t="shared" si="7"/>
        <v>1.0229999999999999</v>
      </c>
      <c r="O39" s="1027">
        <f t="shared" si="7"/>
        <v>1.0229999999999999</v>
      </c>
      <c r="P39" s="1027">
        <f t="shared" si="7"/>
        <v>1.0229999999999999</v>
      </c>
      <c r="Q39" s="1027">
        <f t="shared" si="7"/>
        <v>1.0229999999999999</v>
      </c>
      <c r="R39" s="1027">
        <f t="shared" si="7"/>
        <v>1.024</v>
      </c>
      <c r="S39" s="1027">
        <f t="shared" si="7"/>
        <v>1.024</v>
      </c>
      <c r="T39" s="1027">
        <f t="shared" si="7"/>
        <v>1.024</v>
      </c>
      <c r="U39" s="1027">
        <f t="shared" si="7"/>
        <v>1.024</v>
      </c>
      <c r="V39" s="1027">
        <f t="shared" si="7"/>
        <v>1.024</v>
      </c>
      <c r="W39" s="1027">
        <f t="shared" si="7"/>
        <v>1.024</v>
      </c>
      <c r="X39" s="1027">
        <f t="shared" si="7"/>
        <v>1.024</v>
      </c>
      <c r="Y39" s="1027">
        <f t="shared" si="7"/>
        <v>1.024</v>
      </c>
      <c r="Z39" s="1027">
        <f t="shared" si="7"/>
        <v>1.024</v>
      </c>
      <c r="AA39" s="1027">
        <f t="shared" si="7"/>
        <v>1.024</v>
      </c>
      <c r="AB39" s="1027">
        <f t="shared" si="7"/>
        <v>1.024</v>
      </c>
      <c r="AC39" s="1027">
        <f t="shared" si="7"/>
        <v>1.024</v>
      </c>
      <c r="AD39" s="1027">
        <f t="shared" si="7"/>
        <v>1.024</v>
      </c>
      <c r="AE39" s="1027">
        <f t="shared" si="7"/>
        <v>1.024</v>
      </c>
      <c r="AF39" s="1027">
        <f t="shared" si="7"/>
        <v>1.024</v>
      </c>
      <c r="AG39" s="1027">
        <f t="shared" si="7"/>
        <v>1.024</v>
      </c>
      <c r="AH39" s="1027">
        <f t="shared" si="7"/>
        <v>1.024</v>
      </c>
      <c r="AI39" s="1027">
        <f t="shared" si="7"/>
        <v>1.024</v>
      </c>
      <c r="AJ39" s="1027">
        <f t="shared" si="7"/>
        <v>1.024</v>
      </c>
      <c r="AK39" s="1027">
        <f t="shared" si="7"/>
        <v>1.024</v>
      </c>
      <c r="AL39" s="1027">
        <f t="shared" si="7"/>
        <v>1.024</v>
      </c>
      <c r="AM39" s="1027">
        <f t="shared" si="7"/>
        <v>1.024</v>
      </c>
      <c r="AN39" s="1027">
        <f t="shared" si="7"/>
        <v>1.024</v>
      </c>
      <c r="AO39" s="1027">
        <f t="shared" si="7"/>
        <v>1.024</v>
      </c>
      <c r="AP39" s="1027">
        <f t="shared" si="7"/>
        <v>1.024</v>
      </c>
      <c r="AQ39" s="1027"/>
      <c r="AR39" s="1027"/>
      <c r="AS39" s="1027"/>
      <c r="AT39" s="1027"/>
      <c r="AU39" s="1027"/>
      <c r="AV39" s="1027"/>
      <c r="AW39" s="1027"/>
      <c r="AX39" s="1027"/>
      <c r="AY39" s="1027"/>
      <c r="AZ39" s="1027"/>
      <c r="BA39" s="1027"/>
    </row>
    <row r="40" spans="3:53" outlineLevel="1">
      <c r="C40" s="320" t="s">
        <v>1236</v>
      </c>
      <c r="M40" s="1235">
        <f>PRODUCT($M39:M$39)</f>
        <v>1.0229999999999999</v>
      </c>
      <c r="N40" s="1235">
        <f>PRODUCT($M39:N$39)</f>
        <v>1.0465289999999998</v>
      </c>
      <c r="O40" s="1235">
        <f>PRODUCT($M39:O$39)</f>
        <v>1.0705991669999997</v>
      </c>
      <c r="P40" s="1235">
        <f>PRODUCT($M39:P$39)</f>
        <v>1.0952229478409996</v>
      </c>
      <c r="Q40" s="1235">
        <f>PRODUCT($M39:Q$39)</f>
        <v>1.1204130756413424</v>
      </c>
      <c r="R40" s="1235">
        <f>PRODUCT($M39:R$39)</f>
        <v>1.1473029894567346</v>
      </c>
      <c r="S40" s="1235">
        <f>PRODUCT($M39:S$39)</f>
        <v>1.1748382612036963</v>
      </c>
      <c r="T40" s="1235">
        <f>PRODUCT($M39:T$39)</f>
        <v>1.2030343794725851</v>
      </c>
      <c r="U40" s="1235">
        <f>PRODUCT($M39:U$39)</f>
        <v>1.2319072045799271</v>
      </c>
      <c r="V40" s="1235">
        <f>PRODUCT($M39:V$39)</f>
        <v>1.2614729774898454</v>
      </c>
      <c r="W40" s="1235">
        <f>PRODUCT($M39:W$39)</f>
        <v>1.2917483289496017</v>
      </c>
      <c r="X40" s="1235">
        <f>PRODUCT($M39:X$39)</f>
        <v>1.3227502888443921</v>
      </c>
      <c r="Y40" s="1235">
        <f>PRODUCT($M39:Y$39)</f>
        <v>1.3544962957766575</v>
      </c>
      <c r="Z40" s="1235">
        <f>PRODUCT($M39:Z$39)</f>
        <v>1.3870042068752972</v>
      </c>
      <c r="AA40" s="1235">
        <f>PRODUCT($M39:AA$39)</f>
        <v>1.4202923078403045</v>
      </c>
      <c r="AB40" s="1235">
        <f>PRODUCT($M39:AB$39)</f>
        <v>1.4543793232284719</v>
      </c>
      <c r="AC40" s="1235">
        <f>PRODUCT($M39:AC$39)</f>
        <v>1.4892844269859553</v>
      </c>
      <c r="AD40" s="1235">
        <f>PRODUCT($M39:AD$39)</f>
        <v>1.5250272532336182</v>
      </c>
      <c r="AE40" s="1235">
        <f>PRODUCT($M39:AE$39)</f>
        <v>1.5616279073112251</v>
      </c>
      <c r="AF40" s="1235">
        <f>PRODUCT($M39:AF$39)</f>
        <v>1.5991069770866946</v>
      </c>
      <c r="AG40" s="1235">
        <f>PRODUCT($M39:AG$39)</f>
        <v>1.6374855445367753</v>
      </c>
      <c r="AH40" s="1235">
        <f>PRODUCT($M39:AH$39)</f>
        <v>1.676785197605658</v>
      </c>
      <c r="AI40" s="1235">
        <f>PRODUCT($M39:AI$39)</f>
        <v>1.7170280423481938</v>
      </c>
      <c r="AJ40" s="1235">
        <f>PRODUCT($M39:AJ$39)</f>
        <v>1.7582367153645506</v>
      </c>
      <c r="AK40" s="1235">
        <f>PRODUCT($M39:AK$39)</f>
        <v>1.8004343965332998</v>
      </c>
      <c r="AL40" s="1235">
        <f>PRODUCT($M39:AL$39)</f>
        <v>1.8436448220500992</v>
      </c>
      <c r="AM40" s="1235">
        <f>PRODUCT($M39:AM$39)</f>
        <v>1.8878922977793016</v>
      </c>
      <c r="AN40" s="1235">
        <f>PRODUCT($M39:AN$39)</f>
        <v>1.9332017129260048</v>
      </c>
      <c r="AO40" s="1235">
        <f>PRODUCT($M39:AO$39)</f>
        <v>1.9795985540362291</v>
      </c>
      <c r="AP40" s="1235">
        <f>PRODUCT($M39:AP$39)</f>
        <v>2.0271089193330987</v>
      </c>
      <c r="AQ40" s="1235"/>
      <c r="AR40" s="1235"/>
      <c r="AS40" s="1235"/>
      <c r="AT40" s="1235"/>
      <c r="AU40" s="1235"/>
      <c r="AV40" s="1235"/>
      <c r="AW40" s="1235"/>
      <c r="AX40" s="1235"/>
      <c r="AY40" s="1235"/>
      <c r="AZ40" s="1235"/>
      <c r="BA40" s="1235"/>
    </row>
    <row r="41" spans="3:53" outlineLevel="1">
      <c r="M41" s="1235"/>
      <c r="N41" s="1235"/>
      <c r="O41" s="1235"/>
      <c r="P41" s="1235"/>
      <c r="Q41" s="1235"/>
      <c r="R41" s="1235"/>
      <c r="S41" s="1235"/>
      <c r="T41" s="1235"/>
      <c r="U41" s="1235"/>
      <c r="V41" s="1235"/>
      <c r="W41" s="1235"/>
      <c r="X41" s="1235"/>
      <c r="Y41" s="1235"/>
      <c r="Z41" s="1235"/>
      <c r="AA41" s="1235"/>
      <c r="AB41" s="1235"/>
      <c r="AC41" s="1235"/>
      <c r="AD41" s="1235"/>
      <c r="AE41" s="1235"/>
      <c r="AF41" s="1235"/>
      <c r="AG41" s="1235"/>
      <c r="AH41" s="1235"/>
      <c r="AI41" s="1235"/>
      <c r="AJ41" s="1235"/>
      <c r="AK41" s="1235"/>
      <c r="AL41" s="1235"/>
      <c r="AM41" s="1235"/>
      <c r="AN41" s="1235"/>
      <c r="AO41" s="1235"/>
      <c r="AP41" s="1235"/>
      <c r="AQ41" s="1235"/>
      <c r="AR41" s="1235"/>
      <c r="AS41" s="1235"/>
      <c r="AT41" s="1235"/>
      <c r="AU41" s="1235"/>
      <c r="AV41" s="1235"/>
      <c r="AW41" s="1235"/>
      <c r="AX41" s="1235"/>
      <c r="AY41" s="1235"/>
      <c r="AZ41" s="1235"/>
      <c r="BA41" s="1235"/>
    </row>
    <row r="42" spans="3:53" outlineLevel="1">
      <c r="C42" s="320" t="s">
        <v>1275</v>
      </c>
      <c r="I42" s="323" t="s">
        <v>18</v>
      </c>
      <c r="J42" s="1233">
        <v>0.03</v>
      </c>
      <c r="M42" s="342">
        <f>$J$42</f>
        <v>0.03</v>
      </c>
      <c r="N42" s="342">
        <f t="shared" ref="N42:AP42" si="8">$J$42</f>
        <v>0.03</v>
      </c>
      <c r="O42" s="342">
        <f t="shared" si="8"/>
        <v>0.03</v>
      </c>
      <c r="P42" s="342">
        <f t="shared" si="8"/>
        <v>0.03</v>
      </c>
      <c r="Q42" s="342">
        <f t="shared" si="8"/>
        <v>0.03</v>
      </c>
      <c r="R42" s="342">
        <f t="shared" si="8"/>
        <v>0.03</v>
      </c>
      <c r="S42" s="342">
        <f t="shared" si="8"/>
        <v>0.03</v>
      </c>
      <c r="T42" s="342">
        <f t="shared" si="8"/>
        <v>0.03</v>
      </c>
      <c r="U42" s="342">
        <f t="shared" si="8"/>
        <v>0.03</v>
      </c>
      <c r="V42" s="342">
        <f t="shared" si="8"/>
        <v>0.03</v>
      </c>
      <c r="W42" s="342">
        <f t="shared" si="8"/>
        <v>0.03</v>
      </c>
      <c r="X42" s="342">
        <f t="shared" si="8"/>
        <v>0.03</v>
      </c>
      <c r="Y42" s="342">
        <f t="shared" si="8"/>
        <v>0.03</v>
      </c>
      <c r="Z42" s="342">
        <f t="shared" si="8"/>
        <v>0.03</v>
      </c>
      <c r="AA42" s="342">
        <f t="shared" si="8"/>
        <v>0.03</v>
      </c>
      <c r="AB42" s="342">
        <f t="shared" si="8"/>
        <v>0.03</v>
      </c>
      <c r="AC42" s="342">
        <f t="shared" si="8"/>
        <v>0.03</v>
      </c>
      <c r="AD42" s="342">
        <f t="shared" si="8"/>
        <v>0.03</v>
      </c>
      <c r="AE42" s="342">
        <f t="shared" si="8"/>
        <v>0.03</v>
      </c>
      <c r="AF42" s="342">
        <f t="shared" si="8"/>
        <v>0.03</v>
      </c>
      <c r="AG42" s="342">
        <f t="shared" si="8"/>
        <v>0.03</v>
      </c>
      <c r="AH42" s="342">
        <f t="shared" si="8"/>
        <v>0.03</v>
      </c>
      <c r="AI42" s="342">
        <f t="shared" si="8"/>
        <v>0.03</v>
      </c>
      <c r="AJ42" s="342">
        <f t="shared" si="8"/>
        <v>0.03</v>
      </c>
      <c r="AK42" s="342">
        <f t="shared" si="8"/>
        <v>0.03</v>
      </c>
      <c r="AL42" s="342">
        <f t="shared" si="8"/>
        <v>0.03</v>
      </c>
      <c r="AM42" s="342">
        <f t="shared" si="8"/>
        <v>0.03</v>
      </c>
      <c r="AN42" s="342">
        <f t="shared" si="8"/>
        <v>0.03</v>
      </c>
      <c r="AO42" s="342">
        <f t="shared" si="8"/>
        <v>0.03</v>
      </c>
      <c r="AP42" s="342">
        <f t="shared" si="8"/>
        <v>0.03</v>
      </c>
      <c r="AQ42" s="342"/>
      <c r="AR42" s="342"/>
      <c r="AS42" s="342"/>
      <c r="AT42" s="342"/>
      <c r="AU42" s="342"/>
      <c r="AV42" s="342"/>
      <c r="AW42" s="342"/>
      <c r="AX42" s="342"/>
      <c r="AY42" s="342"/>
      <c r="AZ42" s="342"/>
      <c r="BA42" s="342"/>
    </row>
    <row r="43" spans="3:53" outlineLevel="1">
      <c r="C43" s="320" t="s">
        <v>1276</v>
      </c>
      <c r="J43" s="1233"/>
      <c r="L43" s="1236">
        <f>IF(K43=0,One,(One+J42))</f>
        <v>1</v>
      </c>
      <c r="M43" s="1236">
        <f t="shared" ref="M43:AP43" si="9">IF(L43=0,One,(One+J42))</f>
        <v>1.03</v>
      </c>
      <c r="N43" s="1236">
        <f t="shared" si="9"/>
        <v>1</v>
      </c>
      <c r="O43" s="1236">
        <f t="shared" si="9"/>
        <v>1</v>
      </c>
      <c r="P43" s="1236">
        <f t="shared" si="9"/>
        <v>1.03</v>
      </c>
      <c r="Q43" s="1236">
        <f t="shared" si="9"/>
        <v>1.03</v>
      </c>
      <c r="R43" s="1236">
        <f t="shared" si="9"/>
        <v>1.03</v>
      </c>
      <c r="S43" s="1236">
        <f t="shared" si="9"/>
        <v>1.03</v>
      </c>
      <c r="T43" s="1236">
        <f t="shared" si="9"/>
        <v>1.03</v>
      </c>
      <c r="U43" s="1236">
        <f t="shared" si="9"/>
        <v>1.03</v>
      </c>
      <c r="V43" s="1236">
        <f t="shared" si="9"/>
        <v>1.03</v>
      </c>
      <c r="W43" s="1236">
        <f t="shared" si="9"/>
        <v>1.03</v>
      </c>
      <c r="X43" s="1236">
        <f t="shared" si="9"/>
        <v>1.03</v>
      </c>
      <c r="Y43" s="1236">
        <f t="shared" si="9"/>
        <v>1.03</v>
      </c>
      <c r="Z43" s="1236">
        <f t="shared" si="9"/>
        <v>1.03</v>
      </c>
      <c r="AA43" s="1236">
        <f t="shared" si="9"/>
        <v>1.03</v>
      </c>
      <c r="AB43" s="1236">
        <f t="shared" si="9"/>
        <v>1.03</v>
      </c>
      <c r="AC43" s="1236">
        <f t="shared" si="9"/>
        <v>1.03</v>
      </c>
      <c r="AD43" s="1236">
        <f t="shared" si="9"/>
        <v>1.03</v>
      </c>
      <c r="AE43" s="1236">
        <f t="shared" si="9"/>
        <v>1.03</v>
      </c>
      <c r="AF43" s="1236">
        <f t="shared" si="9"/>
        <v>1.03</v>
      </c>
      <c r="AG43" s="1236">
        <f t="shared" si="9"/>
        <v>1.03</v>
      </c>
      <c r="AH43" s="1236">
        <f t="shared" si="9"/>
        <v>1.03</v>
      </c>
      <c r="AI43" s="1236">
        <f t="shared" si="9"/>
        <v>1.03</v>
      </c>
      <c r="AJ43" s="1236">
        <f t="shared" si="9"/>
        <v>1.03</v>
      </c>
      <c r="AK43" s="1236">
        <f t="shared" si="9"/>
        <v>1.03</v>
      </c>
      <c r="AL43" s="1236">
        <f t="shared" si="9"/>
        <v>1.03</v>
      </c>
      <c r="AM43" s="1236">
        <f t="shared" si="9"/>
        <v>1.03</v>
      </c>
      <c r="AN43" s="1236">
        <f t="shared" si="9"/>
        <v>1.03</v>
      </c>
      <c r="AO43" s="1236">
        <f t="shared" si="9"/>
        <v>1.03</v>
      </c>
      <c r="AP43" s="1236">
        <f t="shared" si="9"/>
        <v>1.03</v>
      </c>
      <c r="AQ43" s="1236"/>
      <c r="AR43" s="1236"/>
      <c r="AS43" s="1236"/>
      <c r="AT43" s="1236"/>
      <c r="AU43" s="1236"/>
      <c r="AV43" s="1236"/>
      <c r="AW43" s="1236"/>
      <c r="AX43" s="1236"/>
      <c r="AY43" s="1236"/>
      <c r="AZ43" s="1236"/>
      <c r="BA43" s="1236"/>
    </row>
    <row r="44" spans="3:53" outlineLevel="1">
      <c r="C44" s="320" t="s">
        <v>1277</v>
      </c>
      <c r="M44" s="1236">
        <f>PRODUCT($M$43:M43)</f>
        <v>1.03</v>
      </c>
      <c r="N44" s="1236">
        <f>PRODUCT($M$43:N43)</f>
        <v>1.03</v>
      </c>
      <c r="O44" s="1236">
        <f>PRODUCT($M$43:O43)</f>
        <v>1.03</v>
      </c>
      <c r="P44" s="1236">
        <f>PRODUCT($M$43:P43)</f>
        <v>1.0609</v>
      </c>
      <c r="Q44" s="1236">
        <f>PRODUCT($M$43:Q43)</f>
        <v>1.092727</v>
      </c>
      <c r="R44" s="1236">
        <f>PRODUCT($M$43:R43)</f>
        <v>1.1255088100000001</v>
      </c>
      <c r="S44" s="1236">
        <f>PRODUCT($M$43:S43)</f>
        <v>1.1592740743000001</v>
      </c>
      <c r="T44" s="1236">
        <f>PRODUCT($M$43:T43)</f>
        <v>1.1940522965290001</v>
      </c>
      <c r="U44" s="1236">
        <f>PRODUCT($M$43:U43)</f>
        <v>1.2298738654248702</v>
      </c>
      <c r="V44" s="1236">
        <f>PRODUCT($M$43:V43)</f>
        <v>1.2667700813876164</v>
      </c>
      <c r="W44" s="1236">
        <f>PRODUCT($M$43:W43)</f>
        <v>1.3047731838292449</v>
      </c>
      <c r="X44" s="1236">
        <f>PRODUCT($M$43:X43)</f>
        <v>1.3439163793441222</v>
      </c>
      <c r="Y44" s="1236">
        <f>PRODUCT($M$43:Y43)</f>
        <v>1.3842338707244459</v>
      </c>
      <c r="Z44" s="1236">
        <f>PRODUCT($M$43:Z43)</f>
        <v>1.4257608868461793</v>
      </c>
      <c r="AA44" s="1236">
        <f>PRODUCT($M$43:AA43)</f>
        <v>1.4685337134515648</v>
      </c>
      <c r="AB44" s="1236">
        <f>PRODUCT($M$43:AB43)</f>
        <v>1.5125897248551119</v>
      </c>
      <c r="AC44" s="1236">
        <f>PRODUCT($M$43:AC43)</f>
        <v>1.5579674166007653</v>
      </c>
      <c r="AD44" s="1236">
        <f>PRODUCT($M$43:AD43)</f>
        <v>1.6047064390987884</v>
      </c>
      <c r="AE44" s="1236">
        <f>PRODUCT($M$43:AE43)</f>
        <v>1.652847632271752</v>
      </c>
      <c r="AF44" s="1236">
        <f>PRODUCT($M$43:AF43)</f>
        <v>1.7024330612399046</v>
      </c>
      <c r="AG44" s="1236">
        <f>PRODUCT($M$43:AG43)</f>
        <v>1.7535060530771018</v>
      </c>
      <c r="AH44" s="1236">
        <f>PRODUCT($M$43:AH43)</f>
        <v>1.806111234669415</v>
      </c>
      <c r="AI44" s="1236">
        <f>PRODUCT($M$43:AI43)</f>
        <v>1.8602945717094976</v>
      </c>
      <c r="AJ44" s="1236">
        <f>PRODUCT($M$43:AJ43)</f>
        <v>1.9161034088607827</v>
      </c>
      <c r="AK44" s="1236">
        <f>PRODUCT($M$43:AK43)</f>
        <v>1.9735865111266062</v>
      </c>
      <c r="AL44" s="1236">
        <f>PRODUCT($M$43:AL43)</f>
        <v>2.0327941064604045</v>
      </c>
      <c r="AM44" s="1236">
        <f>PRODUCT($M$43:AM43)</f>
        <v>2.0937779296542165</v>
      </c>
      <c r="AN44" s="1236">
        <f>PRODUCT($M$43:AN43)</f>
        <v>2.1565912675438432</v>
      </c>
      <c r="AO44" s="1236">
        <f>PRODUCT($M$43:AO43)</f>
        <v>2.2212890055701586</v>
      </c>
      <c r="AP44" s="1236">
        <f>PRODUCT($M$43:AP43)</f>
        <v>2.2879276757372633</v>
      </c>
      <c r="AQ44" s="1236"/>
      <c r="AR44" s="1236"/>
      <c r="AS44" s="1236"/>
      <c r="AT44" s="1236"/>
      <c r="AU44" s="1236"/>
      <c r="AV44" s="1236"/>
      <c r="AW44" s="1236"/>
      <c r="AX44" s="1236"/>
      <c r="AY44" s="1236"/>
      <c r="AZ44" s="1236"/>
      <c r="BA44" s="1236"/>
    </row>
    <row r="45" spans="3:53" outlineLevel="1">
      <c r="M45" s="1236"/>
      <c r="N45" s="1236"/>
      <c r="O45" s="1236"/>
      <c r="P45" s="1236"/>
      <c r="Q45" s="1236"/>
      <c r="R45" s="1236"/>
      <c r="S45" s="1236"/>
      <c r="T45" s="1236"/>
      <c r="U45" s="1236"/>
      <c r="V45" s="1236"/>
      <c r="W45" s="1236"/>
      <c r="X45" s="1236"/>
      <c r="Y45" s="1236"/>
      <c r="Z45" s="1236"/>
      <c r="AA45" s="1236"/>
      <c r="AB45" s="1236"/>
      <c r="AC45" s="1236"/>
      <c r="AD45" s="1236"/>
      <c r="AE45" s="1236"/>
      <c r="AF45" s="1236"/>
      <c r="AG45" s="1236"/>
      <c r="AH45" s="1236"/>
      <c r="AI45" s="1236"/>
      <c r="AJ45" s="1236"/>
      <c r="AK45" s="1236"/>
      <c r="AL45" s="1236"/>
      <c r="AM45" s="1236"/>
      <c r="AN45" s="1236"/>
      <c r="AO45" s="1236"/>
      <c r="AP45" s="1236"/>
      <c r="AQ45" s="1236"/>
      <c r="AR45" s="1236"/>
      <c r="AS45" s="1236"/>
      <c r="AT45" s="1236"/>
      <c r="AU45" s="1236"/>
      <c r="AV45" s="1236"/>
      <c r="AW45" s="1236"/>
      <c r="AX45" s="1236"/>
      <c r="AY45" s="1236"/>
      <c r="AZ45" s="1236"/>
      <c r="BA45" s="1236"/>
    </row>
    <row r="46" spans="3:53" outlineLevel="1">
      <c r="C46" s="320" t="s">
        <v>1278</v>
      </c>
      <c r="J46" s="1233">
        <v>0.18</v>
      </c>
      <c r="M46" s="342">
        <f>'Data 2'!C11</f>
        <v>0.16020000000000001</v>
      </c>
      <c r="N46" s="342">
        <f>'Data 2'!C12</f>
        <v>0.15380000000000002</v>
      </c>
      <c r="O46" s="342">
        <f>'Data 2'!C13</f>
        <v>0.14000000000000001</v>
      </c>
      <c r="P46" s="342">
        <f>'Data 2'!C14</f>
        <v>0.14000000000000001</v>
      </c>
      <c r="Q46" s="342">
        <f>'Data 2'!C15</f>
        <v>0.12</v>
      </c>
      <c r="R46" s="342">
        <f>'Data 2'!C16</f>
        <v>0.12</v>
      </c>
      <c r="S46" s="342">
        <f>'Data 2'!C17</f>
        <v>0.12</v>
      </c>
      <c r="T46" s="342">
        <f>'Data 2'!C18</f>
        <v>0.12</v>
      </c>
      <c r="U46" s="342">
        <f>'Data 2'!C19</f>
        <v>0.12</v>
      </c>
      <c r="V46" s="342">
        <f>'Data 2'!C20</f>
        <v>0.12</v>
      </c>
      <c r="W46" s="342">
        <f>'Data 2'!C21</f>
        <v>0.12</v>
      </c>
      <c r="X46" s="342">
        <f>'Data 2'!C22</f>
        <v>0.12</v>
      </c>
      <c r="Y46" s="342">
        <f>'Data 2'!C23</f>
        <v>0.12</v>
      </c>
      <c r="Z46" s="342">
        <f>'Data 2'!C24</f>
        <v>0.12</v>
      </c>
      <c r="AA46" s="342">
        <f>'Data 2'!C25</f>
        <v>0.12</v>
      </c>
      <c r="AB46" s="342">
        <f>'Data 2'!C26</f>
        <v>0.12</v>
      </c>
      <c r="AC46" s="342">
        <f>'Data 2'!C27</f>
        <v>0.12</v>
      </c>
      <c r="AD46" s="342">
        <f>'Data 2'!C28</f>
        <v>0.12</v>
      </c>
      <c r="AE46" s="342">
        <f>'Data 2'!C29</f>
        <v>0.12</v>
      </c>
      <c r="AF46" s="342">
        <f>'Data 2'!C30</f>
        <v>0.12</v>
      </c>
      <c r="AG46" s="342">
        <f>'Data 2'!C31</f>
        <v>0.12</v>
      </c>
      <c r="AH46" s="342">
        <f>'Data 2'!C32</f>
        <v>0.12</v>
      </c>
      <c r="AI46" s="342">
        <f>'Data 2'!C33</f>
        <v>0.12</v>
      </c>
      <c r="AJ46" s="342">
        <f>'Data 2'!C34</f>
        <v>0.12</v>
      </c>
      <c r="AK46" s="342">
        <f>'Data 2'!C35</f>
        <v>0.12</v>
      </c>
      <c r="AL46" s="342">
        <f>'Data 2'!C36</f>
        <v>0.12</v>
      </c>
      <c r="AM46" s="342">
        <f>'Data 2'!C37</f>
        <v>0.12</v>
      </c>
      <c r="AN46" s="342">
        <f>'Data 2'!C38</f>
        <v>0.12</v>
      </c>
      <c r="AO46" s="342">
        <f>'Data 2'!C39</f>
        <v>0.12</v>
      </c>
      <c r="AP46" s="342">
        <f>'Data 2'!C40</f>
        <v>0.12</v>
      </c>
      <c r="AQ46" s="342"/>
      <c r="AR46" s="342"/>
      <c r="AS46" s="342"/>
      <c r="AT46" s="342"/>
      <c r="AU46" s="342"/>
      <c r="AV46" s="342"/>
      <c r="AW46" s="342"/>
      <c r="AX46" s="342"/>
      <c r="AY46" s="342"/>
      <c r="AZ46" s="342"/>
      <c r="BA46" s="342"/>
    </row>
    <row r="47" spans="3:53" outlineLevel="1">
      <c r="C47" s="320" t="s">
        <v>1279</v>
      </c>
      <c r="J47" s="1233"/>
      <c r="L47" s="1236">
        <f t="shared" ref="L47:AP47" si="10">IF(K47=0,One,(One+L46)^(One/QtrsinaYr*QtrsinaYr))</f>
        <v>1</v>
      </c>
      <c r="M47" s="1236">
        <f t="shared" si="10"/>
        <v>1.1602000000000001</v>
      </c>
      <c r="N47" s="1236">
        <f t="shared" si="10"/>
        <v>1.1537999999999999</v>
      </c>
      <c r="O47" s="1236">
        <f t="shared" si="10"/>
        <v>1.1400000000000001</v>
      </c>
      <c r="P47" s="1236">
        <f t="shared" si="10"/>
        <v>1.1400000000000001</v>
      </c>
      <c r="Q47" s="1236">
        <f t="shared" si="10"/>
        <v>1.1200000000000001</v>
      </c>
      <c r="R47" s="1236">
        <f t="shared" si="10"/>
        <v>1.1200000000000001</v>
      </c>
      <c r="S47" s="1236">
        <f t="shared" si="10"/>
        <v>1.1200000000000001</v>
      </c>
      <c r="T47" s="1236">
        <f t="shared" si="10"/>
        <v>1.1200000000000001</v>
      </c>
      <c r="U47" s="1236">
        <f t="shared" si="10"/>
        <v>1.1200000000000001</v>
      </c>
      <c r="V47" s="1236">
        <f t="shared" si="10"/>
        <v>1.1200000000000001</v>
      </c>
      <c r="W47" s="1236">
        <f t="shared" si="10"/>
        <v>1.1200000000000001</v>
      </c>
      <c r="X47" s="1236">
        <f t="shared" si="10"/>
        <v>1.1200000000000001</v>
      </c>
      <c r="Y47" s="1236">
        <f t="shared" si="10"/>
        <v>1.1200000000000001</v>
      </c>
      <c r="Z47" s="1236">
        <f t="shared" si="10"/>
        <v>1.1200000000000001</v>
      </c>
      <c r="AA47" s="1236">
        <f t="shared" si="10"/>
        <v>1.1200000000000001</v>
      </c>
      <c r="AB47" s="1236">
        <f t="shared" si="10"/>
        <v>1.1200000000000001</v>
      </c>
      <c r="AC47" s="1236">
        <f t="shared" si="10"/>
        <v>1.1200000000000001</v>
      </c>
      <c r="AD47" s="1236">
        <f t="shared" si="10"/>
        <v>1.1200000000000001</v>
      </c>
      <c r="AE47" s="1236">
        <f t="shared" si="10"/>
        <v>1.1200000000000001</v>
      </c>
      <c r="AF47" s="1236">
        <f t="shared" si="10"/>
        <v>1.1200000000000001</v>
      </c>
      <c r="AG47" s="1236">
        <f t="shared" si="10"/>
        <v>1.1200000000000001</v>
      </c>
      <c r="AH47" s="1236">
        <f t="shared" si="10"/>
        <v>1.1200000000000001</v>
      </c>
      <c r="AI47" s="1236">
        <f t="shared" si="10"/>
        <v>1.1200000000000001</v>
      </c>
      <c r="AJ47" s="1236">
        <f t="shared" si="10"/>
        <v>1.1200000000000001</v>
      </c>
      <c r="AK47" s="1236">
        <f t="shared" si="10"/>
        <v>1.1200000000000001</v>
      </c>
      <c r="AL47" s="1236">
        <f t="shared" si="10"/>
        <v>1.1200000000000001</v>
      </c>
      <c r="AM47" s="1236">
        <f t="shared" si="10"/>
        <v>1.1200000000000001</v>
      </c>
      <c r="AN47" s="1236">
        <f t="shared" si="10"/>
        <v>1.1200000000000001</v>
      </c>
      <c r="AO47" s="1236">
        <f t="shared" si="10"/>
        <v>1.1200000000000001</v>
      </c>
      <c r="AP47" s="1236">
        <f t="shared" si="10"/>
        <v>1.1200000000000001</v>
      </c>
      <c r="AQ47" s="1236"/>
      <c r="AR47" s="1236"/>
      <c r="AS47" s="1236"/>
      <c r="AT47" s="1236"/>
      <c r="AU47" s="1236"/>
      <c r="AV47" s="1236"/>
      <c r="AW47" s="1236"/>
      <c r="AX47" s="1236"/>
      <c r="AY47" s="1236"/>
      <c r="AZ47" s="1236"/>
      <c r="BA47" s="1236"/>
    </row>
    <row r="48" spans="3:53" outlineLevel="1">
      <c r="C48" s="320" t="s">
        <v>1280</v>
      </c>
      <c r="J48" s="1233"/>
      <c r="L48" s="1235">
        <f t="shared" ref="L48:AP48" si="11">IF(K48=0,One,(One+$J$46)^(L9/1))</f>
        <v>1</v>
      </c>
      <c r="M48" s="1235">
        <f>IF(L48=0,One,(One+$J$46)^(M9/1))</f>
        <v>1.18</v>
      </c>
      <c r="N48" s="1235">
        <f t="shared" si="11"/>
        <v>1.3923999999999999</v>
      </c>
      <c r="O48" s="1235">
        <f t="shared" si="11"/>
        <v>1.6430319999999998</v>
      </c>
      <c r="P48" s="1235">
        <f t="shared" si="11"/>
        <v>1.9387777599999996</v>
      </c>
      <c r="Q48" s="1235">
        <f t="shared" si="11"/>
        <v>2.2877577567999992</v>
      </c>
      <c r="R48" s="1235">
        <f t="shared" si="11"/>
        <v>2.6995541530239993</v>
      </c>
      <c r="S48" s="1235">
        <f t="shared" si="11"/>
        <v>3.185473900568319</v>
      </c>
      <c r="T48" s="1235">
        <f t="shared" si="11"/>
        <v>3.758859202670616</v>
      </c>
      <c r="U48" s="1235">
        <f t="shared" si="11"/>
        <v>4.4354538591513268</v>
      </c>
      <c r="V48" s="1235">
        <f t="shared" si="11"/>
        <v>5.2338355537985652</v>
      </c>
      <c r="W48" s="1235">
        <f t="shared" si="11"/>
        <v>6.1759259534823068</v>
      </c>
      <c r="X48" s="1235">
        <f t="shared" si="11"/>
        <v>7.287592625109121</v>
      </c>
      <c r="Y48" s="1235">
        <f t="shared" si="11"/>
        <v>8.5993592976287623</v>
      </c>
      <c r="Z48" s="1235">
        <f t="shared" si="11"/>
        <v>10.14724397120194</v>
      </c>
      <c r="AA48" s="1235">
        <f t="shared" si="11"/>
        <v>11.973747886018289</v>
      </c>
      <c r="AB48" s="1235">
        <f t="shared" si="11"/>
        <v>14.129022505501579</v>
      </c>
      <c r="AC48" s="1235">
        <f t="shared" si="11"/>
        <v>16.672246556491864</v>
      </c>
      <c r="AD48" s="1235">
        <f t="shared" si="11"/>
        <v>19.673250936660398</v>
      </c>
      <c r="AE48" s="1235">
        <f t="shared" si="11"/>
        <v>23.214436105259267</v>
      </c>
      <c r="AF48" s="1235">
        <f t="shared" si="11"/>
        <v>27.393034604205933</v>
      </c>
      <c r="AG48" s="1235">
        <f t="shared" si="11"/>
        <v>32.323780832962996</v>
      </c>
      <c r="AH48" s="1235">
        <f t="shared" si="11"/>
        <v>38.142061382896337</v>
      </c>
      <c r="AI48" s="1235">
        <f t="shared" si="11"/>
        <v>45.007632431817676</v>
      </c>
      <c r="AJ48" s="1235">
        <f t="shared" si="11"/>
        <v>53.109006269544857</v>
      </c>
      <c r="AK48" s="1235">
        <f t="shared" si="11"/>
        <v>62.668627398062931</v>
      </c>
      <c r="AL48" s="1235">
        <f t="shared" si="11"/>
        <v>73.948980329714246</v>
      </c>
      <c r="AM48" s="1235">
        <f t="shared" si="11"/>
        <v>87.259796789062818</v>
      </c>
      <c r="AN48" s="1235">
        <f t="shared" si="11"/>
        <v>102.96656021109411</v>
      </c>
      <c r="AO48" s="1235">
        <f t="shared" si="11"/>
        <v>121.50054104909104</v>
      </c>
      <c r="AP48" s="1235">
        <f t="shared" si="11"/>
        <v>143.37063843792743</v>
      </c>
      <c r="AQ48" s="1235"/>
      <c r="AR48" s="1235"/>
      <c r="AS48" s="1235"/>
      <c r="AT48" s="1235"/>
      <c r="AU48" s="1235"/>
      <c r="AV48" s="1235"/>
      <c r="AW48" s="1235"/>
      <c r="AX48" s="1235"/>
      <c r="AY48" s="1235"/>
      <c r="AZ48" s="1235"/>
      <c r="BA48" s="1235"/>
    </row>
    <row r="49" spans="3:53" outlineLevel="1">
      <c r="M49" s="1236"/>
      <c r="N49" s="1235"/>
      <c r="O49" s="1235"/>
      <c r="P49" s="1235"/>
      <c r="Q49" s="1235"/>
      <c r="R49" s="1235"/>
      <c r="S49" s="1235"/>
      <c r="T49" s="1235"/>
      <c r="U49" s="1235"/>
      <c r="V49" s="1235"/>
      <c r="W49" s="1235"/>
      <c r="X49" s="1235"/>
      <c r="Y49" s="1235"/>
      <c r="Z49" s="1235"/>
      <c r="AA49" s="1235"/>
      <c r="AB49" s="1235"/>
      <c r="AC49" s="1235"/>
      <c r="AD49" s="1235"/>
      <c r="AE49" s="1235"/>
      <c r="AF49" s="1235"/>
      <c r="AG49" s="1235"/>
      <c r="AH49" s="1235"/>
      <c r="AI49" s="1235"/>
      <c r="AJ49" s="1235"/>
      <c r="AK49" s="1235"/>
      <c r="AL49" s="1235"/>
      <c r="AM49" s="1235"/>
      <c r="AN49" s="1235"/>
      <c r="AO49" s="1235"/>
      <c r="AP49" s="1235"/>
      <c r="AQ49" s="1235"/>
      <c r="AR49" s="1235"/>
      <c r="AS49" s="1235"/>
      <c r="AT49" s="1235"/>
      <c r="AU49" s="1235"/>
      <c r="AV49" s="1235"/>
      <c r="AW49" s="1235"/>
      <c r="AX49" s="1235"/>
      <c r="AY49" s="1235"/>
      <c r="AZ49" s="1235"/>
      <c r="BA49" s="1235"/>
    </row>
    <row r="51" spans="3:53" outlineLevel="1">
      <c r="C51" s="320" t="s">
        <v>706</v>
      </c>
      <c r="H51" s="322" t="s">
        <v>2333</v>
      </c>
      <c r="I51" s="323" t="s">
        <v>707</v>
      </c>
      <c r="J51" s="337">
        <v>1400</v>
      </c>
      <c r="L51" s="320">
        <f>Fx_Rate</f>
        <v>1400</v>
      </c>
      <c r="M51" s="343">
        <f>(L51*M52)*'Timing &amp; Flags'!I49</f>
        <v>1400</v>
      </c>
      <c r="N51" s="343">
        <f>(M51*N52)*'Timing &amp; Flags'!J49</f>
        <v>1484</v>
      </c>
      <c r="O51" s="343">
        <f>(N51*O52)*'Timing &amp; Flags'!K49</f>
        <v>1573.0400000000002</v>
      </c>
      <c r="P51" s="343">
        <f>(O51*P52)*'Timing &amp; Flags'!L49</f>
        <v>1667.4224000000004</v>
      </c>
      <c r="Q51" s="343">
        <f>(P51*Q52)*'Timing &amp; Flags'!M49</f>
        <v>1767.4677440000005</v>
      </c>
      <c r="R51" s="343">
        <f>(Q51*R52)*'Timing &amp; Flags'!N49</f>
        <v>1873.5158086400006</v>
      </c>
      <c r="S51" s="343">
        <f>(R51*S52)*'Timing &amp; Flags'!O49</f>
        <v>1985.9267571584007</v>
      </c>
      <c r="T51" s="343">
        <f>(S51*T52)*'Timing &amp; Flags'!P49</f>
        <v>2105.0823625879048</v>
      </c>
      <c r="U51" s="343">
        <f>(T51*U52)*'Timing &amp; Flags'!Q49</f>
        <v>2231.387304343179</v>
      </c>
      <c r="V51" s="343">
        <f>(U51*V52)*'Timing &amp; Flags'!R49</f>
        <v>2365.2705426037701</v>
      </c>
      <c r="W51" s="343">
        <f>(V51*W52)*'Timing &amp; Flags'!S49</f>
        <v>2507.1867751599966</v>
      </c>
      <c r="X51" s="343">
        <f>(W51*X52)*'Timing &amp; Flags'!T49</f>
        <v>2657.6179816695967</v>
      </c>
      <c r="Y51" s="343">
        <f>(X51*Y52)*'Timing &amp; Flags'!U49</f>
        <v>2817.0750605697726</v>
      </c>
      <c r="Z51" s="343">
        <f>(Y51*Z52)*'Timing &amp; Flags'!V49</f>
        <v>2986.0995642039593</v>
      </c>
      <c r="AA51" s="343">
        <f>(Z51*AA52)*'Timing &amp; Flags'!W49</f>
        <v>3165.2655380561969</v>
      </c>
      <c r="AB51" s="343">
        <f>(AA51*AB52)*'Timing &amp; Flags'!X49</f>
        <v>3355.1814703395689</v>
      </c>
      <c r="AC51" s="343">
        <f>(AB51*AC52)*'Timing &amp; Flags'!Y49</f>
        <v>3556.4923585599431</v>
      </c>
      <c r="AD51" s="343">
        <f>(AC51*AD52)*'Timing &amp; Flags'!Z49</f>
        <v>3769.8819000735398</v>
      </c>
      <c r="AE51" s="343">
        <f>(AD51*AE52)*'Timing &amp; Flags'!AA49</f>
        <v>3996.0748140779524</v>
      </c>
      <c r="AF51" s="343">
        <f>(AE51*AF52)*'Timing &amp; Flags'!AB49</f>
        <v>4235.8393029226299</v>
      </c>
      <c r="AG51" s="343">
        <f>(AF51*AG52)*'Timing &amp; Flags'!AC49</f>
        <v>4489.9896610979877</v>
      </c>
      <c r="AH51" s="343">
        <f>(AG51*AH52)*'Timing &amp; Flags'!AD49</f>
        <v>4759.3890407638673</v>
      </c>
      <c r="AI51" s="343">
        <f>(AH51*AI52)*'Timing &amp; Flags'!AE49</f>
        <v>5044.9523832096993</v>
      </c>
      <c r="AJ51" s="343">
        <f>(AI51*AJ52)*'Timing &amp; Flags'!AF49</f>
        <v>5347.6495262022818</v>
      </c>
      <c r="AK51" s="343">
        <f>(AJ51*AK52)*'Timing &amp; Flags'!AG49</f>
        <v>5668.5084977744191</v>
      </c>
      <c r="AL51" s="343">
        <f>(AK51*AL52)*'Timing &amp; Flags'!AH49</f>
        <v>6008.6190076408848</v>
      </c>
      <c r="AM51" s="343">
        <f>(AL51*AM52)*'Timing &amp; Flags'!AI49</f>
        <v>6369.1361480993382</v>
      </c>
      <c r="AN51" s="343">
        <f>(AM51*AN52)*'Timing &amp; Flags'!AJ49</f>
        <v>6751.2843169852986</v>
      </c>
      <c r="AO51" s="343">
        <f>(AN51*AO52)*'Timing &amp; Flags'!AK49</f>
        <v>7156.3613760044173</v>
      </c>
      <c r="AP51" s="343">
        <f>(AO51*AP52)*'Timing &amp; Flags'!AL49</f>
        <v>7585.7430585646825</v>
      </c>
      <c r="AQ51" s="343"/>
      <c r="AR51" s="343"/>
      <c r="AS51" s="343"/>
      <c r="AT51" s="343"/>
      <c r="AU51" s="343"/>
      <c r="AV51" s="343"/>
      <c r="AW51" s="343"/>
      <c r="AX51" s="343"/>
      <c r="AY51" s="343"/>
      <c r="AZ51" s="343"/>
      <c r="BA51" s="343"/>
    </row>
    <row r="52" spans="3:53" outlineLevel="1">
      <c r="C52" s="320" t="s">
        <v>1214</v>
      </c>
      <c r="J52" s="371">
        <v>0.06</v>
      </c>
      <c r="M52" s="1235">
        <f>IF(L52=0,One,(One+$J$52)^(M8/1))</f>
        <v>1</v>
      </c>
      <c r="N52" s="1235">
        <f t="shared" ref="N52:AP52" si="12">IF(M52=0,One,(One+$J$52))</f>
        <v>1.06</v>
      </c>
      <c r="O52" s="1235">
        <f t="shared" si="12"/>
        <v>1.06</v>
      </c>
      <c r="P52" s="1235">
        <f t="shared" si="12"/>
        <v>1.06</v>
      </c>
      <c r="Q52" s="1235">
        <f t="shared" si="12"/>
        <v>1.06</v>
      </c>
      <c r="R52" s="1235">
        <f t="shared" si="12"/>
        <v>1.06</v>
      </c>
      <c r="S52" s="1235">
        <f t="shared" si="12"/>
        <v>1.06</v>
      </c>
      <c r="T52" s="1235">
        <f t="shared" si="12"/>
        <v>1.06</v>
      </c>
      <c r="U52" s="1235">
        <f t="shared" si="12"/>
        <v>1.06</v>
      </c>
      <c r="V52" s="1235">
        <f t="shared" si="12"/>
        <v>1.06</v>
      </c>
      <c r="W52" s="1235">
        <f t="shared" si="12"/>
        <v>1.06</v>
      </c>
      <c r="X52" s="1235">
        <f t="shared" si="12"/>
        <v>1.06</v>
      </c>
      <c r="Y52" s="1235">
        <f t="shared" si="12"/>
        <v>1.06</v>
      </c>
      <c r="Z52" s="1235">
        <f t="shared" si="12"/>
        <v>1.06</v>
      </c>
      <c r="AA52" s="1235">
        <f t="shared" si="12"/>
        <v>1.06</v>
      </c>
      <c r="AB52" s="1235">
        <f t="shared" si="12"/>
        <v>1.06</v>
      </c>
      <c r="AC52" s="1235">
        <f t="shared" si="12"/>
        <v>1.06</v>
      </c>
      <c r="AD52" s="1235">
        <f t="shared" si="12"/>
        <v>1.06</v>
      </c>
      <c r="AE52" s="1235">
        <f t="shared" si="12"/>
        <v>1.06</v>
      </c>
      <c r="AF52" s="1235">
        <f t="shared" si="12"/>
        <v>1.06</v>
      </c>
      <c r="AG52" s="1235">
        <f t="shared" si="12"/>
        <v>1.06</v>
      </c>
      <c r="AH52" s="1235">
        <f t="shared" si="12"/>
        <v>1.06</v>
      </c>
      <c r="AI52" s="1235">
        <f t="shared" si="12"/>
        <v>1.06</v>
      </c>
      <c r="AJ52" s="1235">
        <f t="shared" si="12"/>
        <v>1.06</v>
      </c>
      <c r="AK52" s="1235">
        <f t="shared" si="12"/>
        <v>1.06</v>
      </c>
      <c r="AL52" s="1235">
        <f t="shared" si="12"/>
        <v>1.06</v>
      </c>
      <c r="AM52" s="1235">
        <f t="shared" si="12"/>
        <v>1.06</v>
      </c>
      <c r="AN52" s="1235">
        <f t="shared" si="12"/>
        <v>1.06</v>
      </c>
      <c r="AO52" s="1235">
        <f t="shared" si="12"/>
        <v>1.06</v>
      </c>
      <c r="AP52" s="1235">
        <f t="shared" si="12"/>
        <v>1.06</v>
      </c>
      <c r="AQ52" s="1235"/>
      <c r="AR52" s="1235"/>
      <c r="AS52" s="1235"/>
      <c r="AT52" s="1235"/>
      <c r="AU52" s="1235"/>
      <c r="AV52" s="1235"/>
      <c r="AW52" s="1235"/>
      <c r="AX52" s="1235"/>
      <c r="AY52" s="1235"/>
      <c r="AZ52" s="1235"/>
      <c r="BA52" s="1235"/>
    </row>
    <row r="54" spans="3:53" collapsed="1">
      <c r="C54" s="320" t="s">
        <v>921</v>
      </c>
      <c r="J54" s="1237">
        <v>0.03</v>
      </c>
      <c r="M54" s="342">
        <f t="shared" ref="M54:AP54" si="13">MAX($J$54,M38)</f>
        <v>0.03</v>
      </c>
      <c r="N54" s="342">
        <f t="shared" si="13"/>
        <v>0.03</v>
      </c>
      <c r="O54" s="342">
        <f t="shared" si="13"/>
        <v>0.03</v>
      </c>
      <c r="P54" s="342">
        <f>MAX($J$54,P38)</f>
        <v>0.03</v>
      </c>
      <c r="Q54" s="342">
        <f t="shared" si="13"/>
        <v>0.03</v>
      </c>
      <c r="R54" s="342">
        <f t="shared" si="13"/>
        <v>0.03</v>
      </c>
      <c r="S54" s="342">
        <f t="shared" si="13"/>
        <v>0.03</v>
      </c>
      <c r="T54" s="342">
        <f t="shared" si="13"/>
        <v>0.03</v>
      </c>
      <c r="U54" s="342">
        <f t="shared" si="13"/>
        <v>0.03</v>
      </c>
      <c r="V54" s="342">
        <f t="shared" si="13"/>
        <v>0.03</v>
      </c>
      <c r="W54" s="342">
        <f t="shared" si="13"/>
        <v>0.03</v>
      </c>
      <c r="X54" s="342">
        <f t="shared" si="13"/>
        <v>0.03</v>
      </c>
      <c r="Y54" s="342">
        <f t="shared" si="13"/>
        <v>0.03</v>
      </c>
      <c r="Z54" s="342">
        <f t="shared" si="13"/>
        <v>0.03</v>
      </c>
      <c r="AA54" s="342">
        <f t="shared" si="13"/>
        <v>0.03</v>
      </c>
      <c r="AB54" s="342">
        <f t="shared" si="13"/>
        <v>0.03</v>
      </c>
      <c r="AC54" s="342">
        <f t="shared" si="13"/>
        <v>0.03</v>
      </c>
      <c r="AD54" s="342">
        <f t="shared" si="13"/>
        <v>0.03</v>
      </c>
      <c r="AE54" s="342">
        <f t="shared" si="13"/>
        <v>0.03</v>
      </c>
      <c r="AF54" s="342">
        <f t="shared" si="13"/>
        <v>0.03</v>
      </c>
      <c r="AG54" s="342">
        <f t="shared" si="13"/>
        <v>0.03</v>
      </c>
      <c r="AH54" s="342">
        <f t="shared" si="13"/>
        <v>0.03</v>
      </c>
      <c r="AI54" s="342">
        <f t="shared" si="13"/>
        <v>0.03</v>
      </c>
      <c r="AJ54" s="342">
        <f t="shared" si="13"/>
        <v>0.03</v>
      </c>
      <c r="AK54" s="342">
        <f t="shared" si="13"/>
        <v>0.03</v>
      </c>
      <c r="AL54" s="342">
        <f t="shared" si="13"/>
        <v>0.03</v>
      </c>
      <c r="AM54" s="342">
        <f t="shared" si="13"/>
        <v>0.03</v>
      </c>
      <c r="AN54" s="342">
        <f t="shared" si="13"/>
        <v>0.03</v>
      </c>
      <c r="AO54" s="342">
        <f t="shared" si="13"/>
        <v>0.03</v>
      </c>
      <c r="AP54" s="342">
        <f t="shared" si="13"/>
        <v>0.03</v>
      </c>
      <c r="AQ54" s="342"/>
      <c r="AR54" s="342"/>
      <c r="AS54" s="342"/>
      <c r="AT54" s="342"/>
      <c r="AU54" s="342"/>
      <c r="AV54" s="342"/>
      <c r="AW54" s="342"/>
      <c r="AX54" s="342"/>
      <c r="AY54" s="342"/>
      <c r="AZ54" s="342"/>
      <c r="BA54" s="342"/>
    </row>
    <row r="55" spans="3:53" hidden="1" outlineLevel="1">
      <c r="C55" s="320" t="s">
        <v>921</v>
      </c>
      <c r="J55" s="1237"/>
      <c r="L55" s="1235">
        <f t="shared" ref="L55:AP55" si="14">IF(K55=0,One,(One+$M$54))</f>
        <v>1</v>
      </c>
      <c r="M55" s="1235">
        <f t="shared" si="14"/>
        <v>1.03</v>
      </c>
      <c r="N55" s="1235">
        <f t="shared" si="14"/>
        <v>1.03</v>
      </c>
      <c r="O55" s="1235">
        <f t="shared" si="14"/>
        <v>1.03</v>
      </c>
      <c r="P55" s="1235">
        <f t="shared" si="14"/>
        <v>1.03</v>
      </c>
      <c r="Q55" s="1235">
        <f t="shared" si="14"/>
        <v>1.03</v>
      </c>
      <c r="R55" s="1235">
        <f t="shared" si="14"/>
        <v>1.03</v>
      </c>
      <c r="S55" s="1235">
        <f t="shared" si="14"/>
        <v>1.03</v>
      </c>
      <c r="T55" s="1235">
        <f t="shared" si="14"/>
        <v>1.03</v>
      </c>
      <c r="U55" s="1235">
        <f t="shared" si="14"/>
        <v>1.03</v>
      </c>
      <c r="V55" s="1235">
        <f t="shared" si="14"/>
        <v>1.03</v>
      </c>
      <c r="W55" s="1235">
        <f t="shared" si="14"/>
        <v>1.03</v>
      </c>
      <c r="X55" s="1235">
        <f t="shared" si="14"/>
        <v>1.03</v>
      </c>
      <c r="Y55" s="1235">
        <f t="shared" si="14"/>
        <v>1.03</v>
      </c>
      <c r="Z55" s="1235">
        <f t="shared" si="14"/>
        <v>1.03</v>
      </c>
      <c r="AA55" s="1235">
        <f t="shared" si="14"/>
        <v>1.03</v>
      </c>
      <c r="AB55" s="1235">
        <f t="shared" si="14"/>
        <v>1.03</v>
      </c>
      <c r="AC55" s="1235">
        <f t="shared" si="14"/>
        <v>1.03</v>
      </c>
      <c r="AD55" s="1235">
        <f t="shared" si="14"/>
        <v>1.03</v>
      </c>
      <c r="AE55" s="1235">
        <f t="shared" si="14"/>
        <v>1.03</v>
      </c>
      <c r="AF55" s="1235">
        <f t="shared" si="14"/>
        <v>1.03</v>
      </c>
      <c r="AG55" s="1235">
        <f t="shared" si="14"/>
        <v>1.03</v>
      </c>
      <c r="AH55" s="1235">
        <f t="shared" si="14"/>
        <v>1.03</v>
      </c>
      <c r="AI55" s="1235">
        <f t="shared" si="14"/>
        <v>1.03</v>
      </c>
      <c r="AJ55" s="1235">
        <f t="shared" si="14"/>
        <v>1.03</v>
      </c>
      <c r="AK55" s="1235">
        <f t="shared" si="14"/>
        <v>1.03</v>
      </c>
      <c r="AL55" s="1235">
        <f t="shared" si="14"/>
        <v>1.03</v>
      </c>
      <c r="AM55" s="1235">
        <f t="shared" si="14"/>
        <v>1.03</v>
      </c>
      <c r="AN55" s="1235">
        <f t="shared" si="14"/>
        <v>1.03</v>
      </c>
      <c r="AO55" s="1235">
        <f t="shared" si="14"/>
        <v>1.03</v>
      </c>
      <c r="AP55" s="1235">
        <f t="shared" si="14"/>
        <v>1.03</v>
      </c>
      <c r="AQ55" s="1235"/>
      <c r="AR55" s="1235"/>
      <c r="AS55" s="1235"/>
      <c r="AT55" s="1235"/>
      <c r="AU55" s="1235"/>
      <c r="AV55" s="1235"/>
      <c r="AW55" s="1235"/>
      <c r="AX55" s="1235"/>
      <c r="AY55" s="1235"/>
      <c r="AZ55" s="1235"/>
      <c r="BA55" s="1235"/>
    </row>
    <row r="56" spans="3:53" hidden="1" outlineLevel="1">
      <c r="C56" s="320" t="s">
        <v>1241</v>
      </c>
      <c r="J56" s="1237"/>
      <c r="L56" s="1235"/>
      <c r="M56" s="1235">
        <f>PRODUCT($M$55:M55)</f>
        <v>1.03</v>
      </c>
      <c r="N56" s="1235">
        <f>PRODUCT($M$55:N55)</f>
        <v>1.0609</v>
      </c>
      <c r="O56" s="1235">
        <f>PRODUCT($M$55:O55)</f>
        <v>1.092727</v>
      </c>
      <c r="P56" s="1235">
        <f>PRODUCT($M$55:P55)</f>
        <v>1.1255088100000001</v>
      </c>
      <c r="Q56" s="1235">
        <f>PRODUCT($M$55:Q55)</f>
        <v>1.1592740743000001</v>
      </c>
      <c r="R56" s="1235">
        <f>PRODUCT($M$55:R55)</f>
        <v>1.1940522965290001</v>
      </c>
      <c r="S56" s="1235">
        <f>PRODUCT($M$55:S55)</f>
        <v>1.2298738654248702</v>
      </c>
      <c r="T56" s="1235">
        <f>PRODUCT($M$55:T55)</f>
        <v>1.2667700813876164</v>
      </c>
      <c r="U56" s="1235">
        <f>PRODUCT($M$55:U55)</f>
        <v>1.3047731838292449</v>
      </c>
      <c r="V56" s="1235">
        <f>PRODUCT($M$55:V55)</f>
        <v>1.3439163793441222</v>
      </c>
      <c r="W56" s="1235">
        <f>PRODUCT($M$55:W55)</f>
        <v>1.3842338707244459</v>
      </c>
      <c r="X56" s="1235">
        <f>PRODUCT($M$55:X55)</f>
        <v>1.4257608868461793</v>
      </c>
      <c r="Y56" s="1235">
        <f>PRODUCT($M$55:Y55)</f>
        <v>1.4685337134515648</v>
      </c>
      <c r="Z56" s="1235">
        <f>PRODUCT($M$55:Z55)</f>
        <v>1.5125897248551119</v>
      </c>
      <c r="AA56" s="1235">
        <f>PRODUCT($M$55:AA55)</f>
        <v>1.5579674166007653</v>
      </c>
      <c r="AB56" s="1235">
        <f>PRODUCT($M$55:AB55)</f>
        <v>1.6047064390987884</v>
      </c>
      <c r="AC56" s="1235">
        <f>PRODUCT($M$55:AC55)</f>
        <v>1.652847632271752</v>
      </c>
      <c r="AD56" s="1235">
        <f>PRODUCT($M$55:AD55)</f>
        <v>1.7024330612399046</v>
      </c>
      <c r="AE56" s="1235">
        <f>PRODUCT($M$55:AE55)</f>
        <v>1.7535060530771018</v>
      </c>
      <c r="AF56" s="1235">
        <f>PRODUCT($M$55:AF55)</f>
        <v>1.806111234669415</v>
      </c>
      <c r="AG56" s="1235">
        <f>PRODUCT($M$55:AG55)</f>
        <v>1.8602945717094976</v>
      </c>
      <c r="AH56" s="1235">
        <f>PRODUCT($M$55:AH55)</f>
        <v>1.9161034088607827</v>
      </c>
      <c r="AI56" s="1235">
        <f>PRODUCT($M$55:AI55)</f>
        <v>1.9735865111266062</v>
      </c>
      <c r="AJ56" s="1235">
        <f>PRODUCT($M$55:AJ55)</f>
        <v>2.0327941064604045</v>
      </c>
      <c r="AK56" s="1235">
        <f>PRODUCT($M$55:AK55)</f>
        <v>2.0937779296542165</v>
      </c>
      <c r="AL56" s="1235">
        <f>PRODUCT($M$55:AL55)</f>
        <v>2.1565912675438432</v>
      </c>
      <c r="AM56" s="1235">
        <f>PRODUCT($M$55:AM55)</f>
        <v>2.2212890055701586</v>
      </c>
      <c r="AN56" s="1235">
        <f>PRODUCT($M$55:AN55)</f>
        <v>2.2879276757372633</v>
      </c>
      <c r="AO56" s="1235">
        <f>PRODUCT($M$55:AO55)</f>
        <v>2.3565655060093813</v>
      </c>
      <c r="AP56" s="1235">
        <f>PRODUCT($M$55:AP55)</f>
        <v>2.4272624711896627</v>
      </c>
      <c r="AQ56" s="1235"/>
      <c r="AR56" s="1235"/>
      <c r="AS56" s="1235"/>
      <c r="AT56" s="1235"/>
      <c r="AU56" s="1235"/>
      <c r="AV56" s="1235"/>
      <c r="AW56" s="1235"/>
      <c r="AX56" s="1235"/>
      <c r="AY56" s="1235"/>
      <c r="AZ56" s="1235"/>
      <c r="BA56" s="1235"/>
    </row>
    <row r="57" spans="3:53" hidden="1" outlineLevel="1">
      <c r="J57" s="1237"/>
      <c r="M57" s="1235"/>
      <c r="N57" s="1235"/>
      <c r="O57" s="1235"/>
      <c r="P57" s="1235"/>
      <c r="Q57" s="1235"/>
      <c r="R57" s="1235"/>
      <c r="S57" s="1235"/>
      <c r="T57" s="1235"/>
      <c r="U57" s="1235"/>
      <c r="V57" s="1235"/>
      <c r="W57" s="1235"/>
      <c r="X57" s="1235"/>
      <c r="Y57" s="1235"/>
      <c r="Z57" s="1235"/>
      <c r="AA57" s="1235"/>
      <c r="AB57" s="1235"/>
      <c r="AC57" s="1235"/>
      <c r="AD57" s="1235"/>
      <c r="AE57" s="1235"/>
      <c r="AF57" s="1235"/>
      <c r="AG57" s="1235"/>
      <c r="AH57" s="1235"/>
      <c r="AI57" s="1235"/>
      <c r="AJ57" s="1235"/>
      <c r="AK57" s="1235"/>
      <c r="AL57" s="1235"/>
      <c r="AM57" s="1235"/>
      <c r="AN57" s="1235"/>
      <c r="AO57" s="1235"/>
      <c r="AP57" s="1235"/>
      <c r="AQ57" s="1235"/>
      <c r="AR57" s="1235"/>
      <c r="AS57" s="1235"/>
      <c r="AT57" s="1235"/>
      <c r="AU57" s="1235"/>
      <c r="AV57" s="1235"/>
      <c r="AW57" s="1235"/>
      <c r="AX57" s="1235"/>
      <c r="AY57" s="1235"/>
      <c r="AZ57" s="1235"/>
      <c r="BA57" s="1235"/>
    </row>
    <row r="58" spans="3:53" hidden="1" outlineLevel="1">
      <c r="C58" s="320" t="s">
        <v>1242</v>
      </c>
      <c r="J58" s="1237">
        <v>0.03</v>
      </c>
      <c r="L58" s="1235">
        <f>IF(L9&lt;=0,1,K58*(1+$J$58))</f>
        <v>1</v>
      </c>
      <c r="M58" s="1235">
        <f>IF(M9&lt;=0,1,L58*(1+$J$58))</f>
        <v>1.03</v>
      </c>
      <c r="N58" s="1235">
        <f t="shared" ref="N58:AP58" si="15">IF(N9&lt;=0,1,M58*(1+$J$58))</f>
        <v>1.0609</v>
      </c>
      <c r="O58" s="1235">
        <f t="shared" si="15"/>
        <v>1.092727</v>
      </c>
      <c r="P58" s="1235">
        <f t="shared" si="15"/>
        <v>1.1255088100000001</v>
      </c>
      <c r="Q58" s="1235">
        <f t="shared" si="15"/>
        <v>1.1592740743000001</v>
      </c>
      <c r="R58" s="1235">
        <f t="shared" si="15"/>
        <v>1.1940522965290001</v>
      </c>
      <c r="S58" s="1235">
        <f t="shared" si="15"/>
        <v>1.2298738654248702</v>
      </c>
      <c r="T58" s="1235">
        <f t="shared" si="15"/>
        <v>1.2667700813876164</v>
      </c>
      <c r="U58" s="1235">
        <f t="shared" si="15"/>
        <v>1.3047731838292449</v>
      </c>
      <c r="V58" s="1235">
        <f t="shared" si="15"/>
        <v>1.3439163793441222</v>
      </c>
      <c r="W58" s="1235">
        <f t="shared" si="15"/>
        <v>1.3842338707244459</v>
      </c>
      <c r="X58" s="1235">
        <f t="shared" si="15"/>
        <v>1.4257608868461793</v>
      </c>
      <c r="Y58" s="1235">
        <f t="shared" si="15"/>
        <v>1.4685337134515648</v>
      </c>
      <c r="Z58" s="1235">
        <f t="shared" si="15"/>
        <v>1.5125897248551119</v>
      </c>
      <c r="AA58" s="1235">
        <f t="shared" si="15"/>
        <v>1.5579674166007653</v>
      </c>
      <c r="AB58" s="1235">
        <f t="shared" si="15"/>
        <v>1.6047064390987884</v>
      </c>
      <c r="AC58" s="1235">
        <f t="shared" si="15"/>
        <v>1.652847632271752</v>
      </c>
      <c r="AD58" s="1235">
        <f t="shared" si="15"/>
        <v>1.7024330612399046</v>
      </c>
      <c r="AE58" s="1235">
        <f t="shared" si="15"/>
        <v>1.7535060530771018</v>
      </c>
      <c r="AF58" s="1235">
        <f t="shared" si="15"/>
        <v>1.806111234669415</v>
      </c>
      <c r="AG58" s="1235">
        <f t="shared" si="15"/>
        <v>1.8602945717094976</v>
      </c>
      <c r="AH58" s="1235">
        <f t="shared" si="15"/>
        <v>1.9161034088607827</v>
      </c>
      <c r="AI58" s="1235">
        <f t="shared" si="15"/>
        <v>1.9735865111266062</v>
      </c>
      <c r="AJ58" s="1235">
        <f t="shared" si="15"/>
        <v>2.0327941064604045</v>
      </c>
      <c r="AK58" s="1235">
        <f t="shared" si="15"/>
        <v>2.0937779296542165</v>
      </c>
      <c r="AL58" s="1235">
        <f t="shared" si="15"/>
        <v>2.1565912675438432</v>
      </c>
      <c r="AM58" s="1235">
        <f t="shared" si="15"/>
        <v>2.2212890055701586</v>
      </c>
      <c r="AN58" s="1235">
        <f t="shared" si="15"/>
        <v>2.2879276757372633</v>
      </c>
      <c r="AO58" s="1235">
        <f t="shared" si="15"/>
        <v>2.3565655060093813</v>
      </c>
      <c r="AP58" s="1235">
        <f t="shared" si="15"/>
        <v>2.4272624711896627</v>
      </c>
      <c r="AQ58" s="1235"/>
      <c r="AR58" s="1235"/>
      <c r="AS58" s="1235"/>
      <c r="AT58" s="1235"/>
      <c r="AU58" s="1235"/>
      <c r="AV58" s="1235"/>
      <c r="AW58" s="1235"/>
      <c r="AX58" s="1235"/>
      <c r="AY58" s="1235"/>
      <c r="AZ58" s="1235"/>
      <c r="BA58" s="1235"/>
    </row>
    <row r="59" spans="3:53" hidden="1" outlineLevel="1">
      <c r="C59" s="320" t="s">
        <v>926</v>
      </c>
      <c r="J59" s="1237">
        <v>0.03</v>
      </c>
      <c r="L59" s="1235">
        <f>IF(L9&lt;=0,1,K59*(1+$J$59))</f>
        <v>1</v>
      </c>
      <c r="M59" s="1235">
        <f>IF(M9&lt;=0,1,L59*(1+$J$59))</f>
        <v>1.03</v>
      </c>
      <c r="N59" s="1235">
        <f t="shared" ref="N59:AP59" si="16">IF(N9&lt;=0,1,M59*(1+$J$59))</f>
        <v>1.0609</v>
      </c>
      <c r="O59" s="1235">
        <f t="shared" si="16"/>
        <v>1.092727</v>
      </c>
      <c r="P59" s="1235">
        <f t="shared" si="16"/>
        <v>1.1255088100000001</v>
      </c>
      <c r="Q59" s="1235">
        <f t="shared" si="16"/>
        <v>1.1592740743000001</v>
      </c>
      <c r="R59" s="1235">
        <f t="shared" si="16"/>
        <v>1.1940522965290001</v>
      </c>
      <c r="S59" s="1235">
        <f t="shared" si="16"/>
        <v>1.2298738654248702</v>
      </c>
      <c r="T59" s="1235">
        <f t="shared" si="16"/>
        <v>1.2667700813876164</v>
      </c>
      <c r="U59" s="1235">
        <f t="shared" si="16"/>
        <v>1.3047731838292449</v>
      </c>
      <c r="V59" s="1235">
        <f t="shared" si="16"/>
        <v>1.3439163793441222</v>
      </c>
      <c r="W59" s="1235">
        <f t="shared" si="16"/>
        <v>1.3842338707244459</v>
      </c>
      <c r="X59" s="1235">
        <f t="shared" si="16"/>
        <v>1.4257608868461793</v>
      </c>
      <c r="Y59" s="1235">
        <f t="shared" si="16"/>
        <v>1.4685337134515648</v>
      </c>
      <c r="Z59" s="1235">
        <f t="shared" si="16"/>
        <v>1.5125897248551119</v>
      </c>
      <c r="AA59" s="1235">
        <f t="shared" si="16"/>
        <v>1.5579674166007653</v>
      </c>
      <c r="AB59" s="1235">
        <f t="shared" si="16"/>
        <v>1.6047064390987884</v>
      </c>
      <c r="AC59" s="1235">
        <f t="shared" si="16"/>
        <v>1.652847632271752</v>
      </c>
      <c r="AD59" s="1235">
        <f t="shared" si="16"/>
        <v>1.7024330612399046</v>
      </c>
      <c r="AE59" s="1235">
        <f t="shared" si="16"/>
        <v>1.7535060530771018</v>
      </c>
      <c r="AF59" s="1235">
        <f t="shared" si="16"/>
        <v>1.806111234669415</v>
      </c>
      <c r="AG59" s="1235">
        <f t="shared" si="16"/>
        <v>1.8602945717094976</v>
      </c>
      <c r="AH59" s="1235">
        <f t="shared" si="16"/>
        <v>1.9161034088607827</v>
      </c>
      <c r="AI59" s="1235">
        <f t="shared" si="16"/>
        <v>1.9735865111266062</v>
      </c>
      <c r="AJ59" s="1235">
        <f t="shared" si="16"/>
        <v>2.0327941064604045</v>
      </c>
      <c r="AK59" s="1235">
        <f t="shared" si="16"/>
        <v>2.0937779296542165</v>
      </c>
      <c r="AL59" s="1235">
        <f t="shared" si="16"/>
        <v>2.1565912675438432</v>
      </c>
      <c r="AM59" s="1235">
        <f t="shared" si="16"/>
        <v>2.2212890055701586</v>
      </c>
      <c r="AN59" s="1235">
        <f t="shared" si="16"/>
        <v>2.2879276757372633</v>
      </c>
      <c r="AO59" s="1235">
        <f t="shared" si="16"/>
        <v>2.3565655060093813</v>
      </c>
      <c r="AP59" s="1235">
        <f t="shared" si="16"/>
        <v>2.4272624711896627</v>
      </c>
      <c r="AQ59" s="1235"/>
      <c r="AR59" s="1235"/>
      <c r="AS59" s="1235"/>
      <c r="AT59" s="1235"/>
      <c r="AU59" s="1235"/>
      <c r="AV59" s="1235"/>
      <c r="AW59" s="1235"/>
      <c r="AX59" s="1235"/>
      <c r="AY59" s="1235"/>
      <c r="AZ59" s="1235"/>
      <c r="BA59" s="1235"/>
    </row>
    <row r="60" spans="3:53" hidden="1" outlineLevel="1">
      <c r="J60" s="1238"/>
      <c r="M60" s="1239"/>
      <c r="N60" s="1239"/>
      <c r="O60" s="1239"/>
      <c r="P60" s="1239"/>
      <c r="Q60" s="1239"/>
      <c r="R60" s="1239"/>
      <c r="S60" s="1239"/>
      <c r="T60" s="1239"/>
      <c r="U60" s="1239"/>
      <c r="V60" s="1239"/>
      <c r="W60" s="1239"/>
      <c r="X60" s="1239"/>
      <c r="Y60" s="1239"/>
      <c r="Z60" s="1239"/>
      <c r="AA60" s="1239"/>
      <c r="AB60" s="1239"/>
      <c r="AC60" s="1239"/>
      <c r="AD60" s="1239"/>
      <c r="AE60" s="1239"/>
      <c r="AF60" s="1239"/>
      <c r="AG60" s="1239"/>
      <c r="AH60" s="1239"/>
      <c r="AI60" s="1239"/>
      <c r="AJ60" s="1239"/>
      <c r="AK60" s="1239"/>
      <c r="AL60" s="1239"/>
      <c r="AM60" s="1239"/>
      <c r="AN60" s="1239"/>
      <c r="AO60" s="1239"/>
      <c r="AP60" s="1239"/>
      <c r="AQ60" s="1239"/>
      <c r="AR60" s="1239"/>
      <c r="AS60" s="1239"/>
      <c r="AT60" s="1239"/>
      <c r="AU60" s="1239"/>
      <c r="AV60" s="1239"/>
      <c r="AW60" s="1239"/>
      <c r="AX60" s="1239"/>
      <c r="AY60" s="1239"/>
      <c r="AZ60" s="1239"/>
      <c r="BA60" s="1239"/>
    </row>
    <row r="61" spans="3:53" hidden="1" outlineLevel="1">
      <c r="C61" s="344" t="s">
        <v>1083</v>
      </c>
      <c r="H61" s="320"/>
      <c r="J61" s="416"/>
      <c r="M61" s="1240"/>
      <c r="N61" s="1240"/>
      <c r="O61" s="1240"/>
      <c r="P61" s="1240"/>
      <c r="Q61" s="1240"/>
      <c r="R61" s="1240"/>
      <c r="S61" s="1240"/>
      <c r="T61" s="1240"/>
      <c r="U61" s="1240"/>
      <c r="V61" s="1240"/>
      <c r="W61" s="1240"/>
      <c r="X61" s="1240"/>
      <c r="Y61" s="1240"/>
      <c r="Z61" s="1240"/>
      <c r="AA61" s="1240"/>
      <c r="AB61" s="1240"/>
      <c r="AC61" s="1240"/>
      <c r="AD61" s="1240"/>
      <c r="AE61" s="1240"/>
      <c r="AF61" s="1240"/>
      <c r="AG61" s="1240"/>
      <c r="AH61" s="1240"/>
      <c r="AI61" s="1240"/>
      <c r="AJ61" s="1240"/>
      <c r="AK61" s="1240"/>
      <c r="AL61" s="1240"/>
      <c r="AM61" s="1240"/>
      <c r="AN61" s="1240"/>
      <c r="AO61" s="1240"/>
      <c r="AP61" s="1240"/>
      <c r="AQ61" s="1240"/>
      <c r="AR61" s="1240"/>
      <c r="AS61" s="1240"/>
      <c r="AT61" s="1240"/>
      <c r="AU61" s="1240"/>
      <c r="AV61" s="1240"/>
      <c r="AW61" s="1240"/>
      <c r="AX61" s="1240"/>
      <c r="AY61" s="1240"/>
      <c r="AZ61" s="1240"/>
      <c r="BA61" s="1240"/>
    </row>
    <row r="62" spans="3:53" hidden="1" outlineLevel="1">
      <c r="C62" s="352" t="s">
        <v>1267</v>
      </c>
      <c r="H62" s="320"/>
      <c r="I62" s="323" t="s">
        <v>1268</v>
      </c>
      <c r="J62" s="432">
        <f>'Urea Data  '!C25</f>
        <v>497000</v>
      </c>
      <c r="M62" s="1241">
        <f>$J$62*M36</f>
        <v>576619.4</v>
      </c>
      <c r="N62" s="1241">
        <f t="shared" ref="N62:AP62" si="17">$J$62*N36</f>
        <v>665303.46372</v>
      </c>
      <c r="O62" s="1241">
        <f t="shared" si="17"/>
        <v>758445.94864080008</v>
      </c>
      <c r="P62" s="1241">
        <f t="shared" si="17"/>
        <v>864628.38145051221</v>
      </c>
      <c r="Q62" s="1241">
        <f t="shared" si="17"/>
        <v>968383.78722457378</v>
      </c>
      <c r="R62" s="1241">
        <f t="shared" si="17"/>
        <v>1092982.3204158288</v>
      </c>
      <c r="S62" s="1241">
        <f t="shared" si="17"/>
        <v>1233612.5082859658</v>
      </c>
      <c r="T62" s="1241">
        <f t="shared" si="17"/>
        <v>1392337.0874110921</v>
      </c>
      <c r="U62" s="1241">
        <f t="shared" si="17"/>
        <v>1571484.1994217297</v>
      </c>
      <c r="V62" s="1241">
        <f t="shared" si="17"/>
        <v>1773681.5397369419</v>
      </c>
      <c r="W62" s="1241">
        <f t="shared" si="17"/>
        <v>2001894.9000958747</v>
      </c>
      <c r="X62" s="1241">
        <f t="shared" si="17"/>
        <v>2259471.6702211625</v>
      </c>
      <c r="Y62" s="1241">
        <f t="shared" si="17"/>
        <v>2550189.9366882406</v>
      </c>
      <c r="Z62" s="1241">
        <f t="shared" si="17"/>
        <v>2878313.8991733398</v>
      </c>
      <c r="AA62" s="1241">
        <f t="shared" si="17"/>
        <v>3248656.4169150493</v>
      </c>
      <c r="AB62" s="1241">
        <f t="shared" si="17"/>
        <v>3666649.6028089216</v>
      </c>
      <c r="AC62" s="1241">
        <f t="shared" si="17"/>
        <v>4138424.5005957438</v>
      </c>
      <c r="AD62" s="1241">
        <f t="shared" si="17"/>
        <v>4670901.0138331568</v>
      </c>
      <c r="AE62" s="1241">
        <f t="shared" si="17"/>
        <v>5271889.4057115009</v>
      </c>
      <c r="AF62" s="1241">
        <f t="shared" si="17"/>
        <v>5950204.8584936922</v>
      </c>
      <c r="AG62" s="1241">
        <f t="shared" si="17"/>
        <v>6715796.772914975</v>
      </c>
      <c r="AH62" s="1241">
        <f t="shared" si="17"/>
        <v>7579894.7040813044</v>
      </c>
      <c r="AI62" s="1241">
        <f t="shared" si="17"/>
        <v>8555173.0744260885</v>
      </c>
      <c r="AJ62" s="1241">
        <f t="shared" si="17"/>
        <v>9655937.0797032733</v>
      </c>
      <c r="AK62" s="1241">
        <f t="shared" si="17"/>
        <v>10898332.514850175</v>
      </c>
      <c r="AL62" s="1241">
        <f t="shared" si="17"/>
        <v>12300582.597405497</v>
      </c>
      <c r="AM62" s="1241">
        <f t="shared" si="17"/>
        <v>13883255.26216292</v>
      </c>
      <c r="AN62" s="1241">
        <f t="shared" si="17"/>
        <v>15669564.847686902</v>
      </c>
      <c r="AO62" s="1241">
        <f t="shared" si="17"/>
        <v>17685712.599770512</v>
      </c>
      <c r="AP62" s="1241">
        <f t="shared" si="17"/>
        <v>19961270.986274634</v>
      </c>
      <c r="AQ62" s="1241"/>
      <c r="AR62" s="1241"/>
      <c r="AS62" s="1241"/>
      <c r="AT62" s="1241"/>
      <c r="AU62" s="1241"/>
      <c r="AV62" s="1241"/>
      <c r="AW62" s="1241"/>
      <c r="AX62" s="1241"/>
      <c r="AY62" s="1241"/>
      <c r="AZ62" s="1241"/>
      <c r="BA62" s="1241"/>
    </row>
    <row r="63" spans="3:53" hidden="1" outlineLevel="1">
      <c r="C63" s="320" t="s">
        <v>923</v>
      </c>
      <c r="H63" s="320"/>
      <c r="I63" s="323" t="s">
        <v>924</v>
      </c>
      <c r="J63" s="432">
        <f>'Urea Data  '!C26</f>
        <v>355</v>
      </c>
      <c r="M63" s="1241">
        <f>IFERROR(M62/M51,0)</f>
        <v>411.87100000000004</v>
      </c>
      <c r="N63" s="1241">
        <f t="shared" ref="N63:AP63" si="18">IFERROR(N62/N51,0)</f>
        <v>448.31769792452832</v>
      </c>
      <c r="O63" s="1241">
        <f t="shared" si="18"/>
        <v>482.15299588109644</v>
      </c>
      <c r="P63" s="1241">
        <f t="shared" si="18"/>
        <v>518.54190123061323</v>
      </c>
      <c r="Q63" s="1241">
        <f t="shared" si="18"/>
        <v>547.89332960215734</v>
      </c>
      <c r="R63" s="1241">
        <f t="shared" si="18"/>
        <v>583.38569409202535</v>
      </c>
      <c r="S63" s="1241">
        <f t="shared" si="18"/>
        <v>621.1772432388708</v>
      </c>
      <c r="T63" s="1241">
        <f t="shared" si="18"/>
        <v>661.41691753067948</v>
      </c>
      <c r="U63" s="1241">
        <f t="shared" si="18"/>
        <v>704.26330577528518</v>
      </c>
      <c r="V63" s="1241">
        <f t="shared" si="18"/>
        <v>749.8852701156178</v>
      </c>
      <c r="W63" s="1241">
        <f t="shared" si="18"/>
        <v>798.46261153324861</v>
      </c>
      <c r="X63" s="1241">
        <f t="shared" si="18"/>
        <v>850.1867784630557</v>
      </c>
      <c r="Y63" s="1241">
        <f t="shared" si="18"/>
        <v>905.26162131173294</v>
      </c>
      <c r="Z63" s="1241">
        <f t="shared" si="18"/>
        <v>963.90419585377981</v>
      </c>
      <c r="AA63" s="1241">
        <f t="shared" si="18"/>
        <v>1026.3456186712422</v>
      </c>
      <c r="AB63" s="1241">
        <f t="shared" si="18"/>
        <v>1092.8319780085785</v>
      </c>
      <c r="AC63" s="1241">
        <f t="shared" si="18"/>
        <v>1163.6253036324335</v>
      </c>
      <c r="AD63" s="1241">
        <f t="shared" si="18"/>
        <v>1239.0045995186324</v>
      </c>
      <c r="AE63" s="1241">
        <f t="shared" si="18"/>
        <v>1319.2669434363249</v>
      </c>
      <c r="AF63" s="1241">
        <f t="shared" si="18"/>
        <v>1404.7286577628643</v>
      </c>
      <c r="AG63" s="1241">
        <f t="shared" si="18"/>
        <v>1495.7265561437141</v>
      </c>
      <c r="AH63" s="1241">
        <f t="shared" si="18"/>
        <v>1592.6192709106112</v>
      </c>
      <c r="AI63" s="1241">
        <f t="shared" si="18"/>
        <v>1695.7886664894777</v>
      </c>
      <c r="AJ63" s="1241">
        <f t="shared" si="18"/>
        <v>1805.6413443684651</v>
      </c>
      <c r="AK63" s="1241">
        <f t="shared" si="18"/>
        <v>1922.6102455573807</v>
      </c>
      <c r="AL63" s="1241">
        <f t="shared" si="18"/>
        <v>2047.1563568539477</v>
      </c>
      <c r="AM63" s="1241">
        <f t="shared" si="18"/>
        <v>2179.7705276414804</v>
      </c>
      <c r="AN63" s="1241">
        <f t="shared" si="18"/>
        <v>2320.9754043781627</v>
      </c>
      <c r="AO63" s="1241">
        <f t="shared" si="18"/>
        <v>2471.3274904019599</v>
      </c>
      <c r="AP63" s="1241">
        <f t="shared" si="18"/>
        <v>2631.4193391690696</v>
      </c>
      <c r="AQ63" s="1241"/>
      <c r="AR63" s="1241"/>
      <c r="AS63" s="1241"/>
      <c r="AT63" s="1241"/>
      <c r="AU63" s="1241"/>
      <c r="AV63" s="1241"/>
      <c r="AW63" s="1241"/>
      <c r="AX63" s="1241"/>
      <c r="AY63" s="1241"/>
      <c r="AZ63" s="1241"/>
      <c r="BA63" s="1241"/>
    </row>
    <row r="64" spans="3:53" hidden="1" outlineLevel="1">
      <c r="C64" s="320" t="s">
        <v>925</v>
      </c>
      <c r="H64" s="320"/>
      <c r="I64" s="323" t="s">
        <v>924</v>
      </c>
      <c r="J64" s="432">
        <f>'Methanol Margin Sheet '!I19</f>
        <v>527.25957399688559</v>
      </c>
      <c r="M64" s="1241">
        <f t="shared" ref="M64:AP64" si="19">$J$64*M59</f>
        <v>543.07736121679216</v>
      </c>
      <c r="N64" s="1241">
        <f t="shared" si="19"/>
        <v>559.36968205329595</v>
      </c>
      <c r="O64" s="1241">
        <f t="shared" si="19"/>
        <v>576.15077251489481</v>
      </c>
      <c r="P64" s="1241">
        <f t="shared" si="19"/>
        <v>593.43529569034172</v>
      </c>
      <c r="Q64" s="1241">
        <f t="shared" si="19"/>
        <v>611.23835456105189</v>
      </c>
      <c r="R64" s="1241">
        <f t="shared" si="19"/>
        <v>629.57550519788356</v>
      </c>
      <c r="S64" s="1241">
        <f t="shared" si="19"/>
        <v>648.46277035382002</v>
      </c>
      <c r="T64" s="1241">
        <f t="shared" si="19"/>
        <v>667.91665346443472</v>
      </c>
      <c r="U64" s="1241">
        <f t="shared" si="19"/>
        <v>687.95415306836776</v>
      </c>
      <c r="V64" s="1241">
        <f t="shared" si="19"/>
        <v>708.59277766041873</v>
      </c>
      <c r="W64" s="1241">
        <f t="shared" si="19"/>
        <v>729.85056099023132</v>
      </c>
      <c r="X64" s="1241">
        <f t="shared" si="19"/>
        <v>751.74607781993825</v>
      </c>
      <c r="Y64" s="1241">
        <f t="shared" si="19"/>
        <v>774.29846015453654</v>
      </c>
      <c r="Z64" s="1241">
        <f t="shared" si="19"/>
        <v>797.52741395917269</v>
      </c>
      <c r="AA64" s="1241">
        <f t="shared" si="19"/>
        <v>821.45323637794786</v>
      </c>
      <c r="AB64" s="1241">
        <f t="shared" si="19"/>
        <v>846.09683346928637</v>
      </c>
      <c r="AC64" s="1241">
        <f t="shared" si="19"/>
        <v>871.47973847336493</v>
      </c>
      <c r="AD64" s="1241">
        <f t="shared" si="19"/>
        <v>897.62413062756593</v>
      </c>
      <c r="AE64" s="1241">
        <f t="shared" si="19"/>
        <v>924.55285454639295</v>
      </c>
      <c r="AF64" s="1241">
        <f t="shared" si="19"/>
        <v>952.2894401827848</v>
      </c>
      <c r="AG64" s="1241">
        <f t="shared" si="19"/>
        <v>980.8581233882685</v>
      </c>
      <c r="AH64" s="1241">
        <f t="shared" si="19"/>
        <v>1010.2838670899166</v>
      </c>
      <c r="AI64" s="1241">
        <f t="shared" si="19"/>
        <v>1040.5923831026141</v>
      </c>
      <c r="AJ64" s="1241">
        <f t="shared" si="19"/>
        <v>1071.8101545956927</v>
      </c>
      <c r="AK64" s="1241">
        <f t="shared" si="19"/>
        <v>1103.9644592335633</v>
      </c>
      <c r="AL64" s="1241">
        <f t="shared" si="19"/>
        <v>1137.0833930105703</v>
      </c>
      <c r="AM64" s="1241">
        <f t="shared" si="19"/>
        <v>1171.1958948008876</v>
      </c>
      <c r="AN64" s="1241">
        <f t="shared" si="19"/>
        <v>1206.3317716449139</v>
      </c>
      <c r="AO64" s="1241">
        <f t="shared" si="19"/>
        <v>1242.5217247942614</v>
      </c>
      <c r="AP64" s="1241">
        <f t="shared" si="19"/>
        <v>1279.7973765380893</v>
      </c>
      <c r="AQ64" s="1241"/>
      <c r="AR64" s="1241"/>
      <c r="AS64" s="1241"/>
      <c r="AT64" s="1241"/>
      <c r="AU64" s="1241"/>
      <c r="AV64" s="1241"/>
      <c r="AW64" s="1241"/>
      <c r="AX64" s="1241"/>
      <c r="AY64" s="1241"/>
      <c r="AZ64" s="1241"/>
      <c r="BA64" s="1241"/>
    </row>
    <row r="65" spans="1:54" hidden="1" outlineLevel="1">
      <c r="H65" s="320"/>
      <c r="J65" s="432"/>
      <c r="M65" s="1241"/>
      <c r="N65" s="1241"/>
      <c r="O65" s="1241"/>
      <c r="P65" s="1241"/>
      <c r="Q65" s="1241"/>
      <c r="R65" s="1241"/>
      <c r="S65" s="1241"/>
      <c r="T65" s="1241"/>
      <c r="U65" s="1241"/>
      <c r="V65" s="1241"/>
      <c r="W65" s="1241"/>
      <c r="X65" s="1241"/>
      <c r="Y65" s="1241"/>
      <c r="Z65" s="1241"/>
      <c r="AA65" s="1241"/>
      <c r="AB65" s="1241"/>
      <c r="AC65" s="1241"/>
      <c r="AD65" s="1241"/>
      <c r="AE65" s="1241"/>
      <c r="AF65" s="1241"/>
      <c r="AG65" s="1241"/>
      <c r="AH65" s="1241"/>
      <c r="AI65" s="1241"/>
      <c r="AJ65" s="1241"/>
      <c r="AK65" s="1241"/>
      <c r="AL65" s="1241"/>
      <c r="AM65" s="1241"/>
      <c r="AN65" s="1241"/>
      <c r="AO65" s="1241"/>
      <c r="AP65" s="1241"/>
      <c r="AQ65" s="1241"/>
      <c r="AR65" s="1241"/>
      <c r="AS65" s="1241"/>
      <c r="AT65" s="1241"/>
      <c r="AU65" s="1241"/>
      <c r="AV65" s="1241"/>
      <c r="AW65" s="1241"/>
      <c r="AX65" s="1241"/>
      <c r="AY65" s="1241"/>
      <c r="AZ65" s="1241"/>
      <c r="BA65" s="1241"/>
    </row>
    <row r="66" spans="1:54" hidden="1" outlineLevel="1">
      <c r="J66" s="432"/>
      <c r="M66" s="1243"/>
      <c r="N66" s="1243"/>
      <c r="O66" s="1243"/>
      <c r="P66" s="1243"/>
      <c r="Q66" s="1243"/>
      <c r="R66" s="1243"/>
      <c r="S66" s="1243"/>
      <c r="T66" s="1243"/>
      <c r="U66" s="1243"/>
      <c r="V66" s="1243"/>
      <c r="W66" s="1243"/>
      <c r="X66" s="1243"/>
      <c r="Y66" s="1243"/>
      <c r="Z66" s="1243"/>
      <c r="AA66" s="1243"/>
      <c r="AB66" s="1243"/>
      <c r="AC66" s="1243"/>
      <c r="AD66" s="1243"/>
      <c r="AE66" s="1243"/>
      <c r="AF66" s="1243"/>
      <c r="AG66" s="1243"/>
      <c r="AH66" s="1243"/>
      <c r="AI66" s="1243"/>
      <c r="AJ66" s="1243"/>
      <c r="AK66" s="1243"/>
      <c r="AL66" s="1243"/>
      <c r="AM66" s="1243"/>
      <c r="AN66" s="1243"/>
      <c r="AO66" s="1243"/>
      <c r="AP66" s="1243"/>
      <c r="AQ66" s="1243"/>
      <c r="AR66" s="1243"/>
      <c r="AS66" s="1243"/>
      <c r="AT66" s="1243"/>
      <c r="AU66" s="1243"/>
      <c r="AV66" s="1243"/>
      <c r="AW66" s="1243"/>
      <c r="AX66" s="1243"/>
      <c r="AY66" s="1243"/>
      <c r="AZ66" s="1243"/>
      <c r="BA66" s="1243"/>
    </row>
    <row r="67" spans="1:54" hidden="1" outlineLevel="1">
      <c r="C67" s="485" t="s">
        <v>985</v>
      </c>
      <c r="H67" s="320"/>
      <c r="J67" s="416"/>
      <c r="M67" s="1235"/>
      <c r="N67" s="1235"/>
      <c r="O67" s="1235"/>
      <c r="P67" s="1235"/>
      <c r="Q67" s="1235"/>
      <c r="R67" s="1235"/>
      <c r="S67" s="1235"/>
      <c r="T67" s="1235"/>
      <c r="U67" s="1235"/>
      <c r="V67" s="1235"/>
      <c r="W67" s="1235"/>
      <c r="X67" s="1235"/>
      <c r="Y67" s="1235"/>
      <c r="Z67" s="1235"/>
      <c r="AA67" s="1235"/>
      <c r="AB67" s="1235"/>
      <c r="AC67" s="1235"/>
      <c r="AD67" s="1235"/>
      <c r="AE67" s="1235"/>
      <c r="AF67" s="1235"/>
      <c r="AG67" s="1235"/>
      <c r="AH67" s="1235"/>
      <c r="AI67" s="1235"/>
      <c r="AJ67" s="1235"/>
      <c r="AK67" s="1235"/>
      <c r="AL67" s="1235"/>
      <c r="AM67" s="1235"/>
      <c r="AN67" s="1235"/>
      <c r="AO67" s="1235"/>
      <c r="AP67" s="1235"/>
      <c r="AQ67" s="1235"/>
      <c r="AR67" s="1235"/>
      <c r="AS67" s="1235"/>
      <c r="AT67" s="1235"/>
      <c r="AU67" s="1235"/>
      <c r="AV67" s="1235"/>
      <c r="AW67" s="1235"/>
      <c r="AX67" s="1235"/>
      <c r="AY67" s="1235"/>
      <c r="AZ67" s="1235"/>
      <c r="BA67" s="1235"/>
    </row>
    <row r="68" spans="1:54" hidden="1" outlineLevel="1">
      <c r="C68" s="485" t="s">
        <v>1104</v>
      </c>
      <c r="H68" s="320"/>
      <c r="I68" s="323" t="s">
        <v>924</v>
      </c>
      <c r="J68" s="432">
        <f>'Urea Data  '!D17</f>
        <v>339.64357142857142</v>
      </c>
      <c r="M68" s="1235">
        <f t="shared" ref="M68:AP68" si="20">$J$68*M58</f>
        <v>349.83287857142858</v>
      </c>
      <c r="N68" s="1235">
        <f t="shared" si="20"/>
        <v>360.32786492857139</v>
      </c>
      <c r="O68" s="1235">
        <f t="shared" si="20"/>
        <v>371.13770087642854</v>
      </c>
      <c r="P68" s="1235">
        <f t="shared" si="20"/>
        <v>382.27183190272149</v>
      </c>
      <c r="Q68" s="1235">
        <f t="shared" si="20"/>
        <v>393.73998685980308</v>
      </c>
      <c r="R68" s="1235">
        <f t="shared" si="20"/>
        <v>405.55218646559717</v>
      </c>
      <c r="S68" s="1235">
        <f t="shared" si="20"/>
        <v>417.71875205956513</v>
      </c>
      <c r="T68" s="1235">
        <f t="shared" si="20"/>
        <v>430.25031462135212</v>
      </c>
      <c r="U68" s="1235">
        <f t="shared" si="20"/>
        <v>443.15782405999266</v>
      </c>
      <c r="V68" s="1235">
        <f t="shared" si="20"/>
        <v>456.45255878179245</v>
      </c>
      <c r="W68" s="1235">
        <f t="shared" si="20"/>
        <v>470.14613554524624</v>
      </c>
      <c r="X68" s="1235">
        <f t="shared" si="20"/>
        <v>484.25051961160364</v>
      </c>
      <c r="Y68" s="1235">
        <f t="shared" si="20"/>
        <v>498.77803519995177</v>
      </c>
      <c r="Z68" s="1235">
        <f t="shared" si="20"/>
        <v>513.7413762559504</v>
      </c>
      <c r="AA68" s="1235">
        <f t="shared" si="20"/>
        <v>529.15361754362891</v>
      </c>
      <c r="AB68" s="1235">
        <f t="shared" si="20"/>
        <v>545.02822606993789</v>
      </c>
      <c r="AC68" s="1235">
        <f t="shared" si="20"/>
        <v>561.37907285203596</v>
      </c>
      <c r="AD68" s="1235">
        <f t="shared" si="20"/>
        <v>578.22044503759707</v>
      </c>
      <c r="AE68" s="1235">
        <f t="shared" si="20"/>
        <v>595.56705838872494</v>
      </c>
      <c r="AF68" s="1235">
        <f t="shared" si="20"/>
        <v>613.43407014038678</v>
      </c>
      <c r="AG68" s="1235">
        <f t="shared" si="20"/>
        <v>631.83709224459847</v>
      </c>
      <c r="AH68" s="1235">
        <f t="shared" si="20"/>
        <v>650.7922050119364</v>
      </c>
      <c r="AI68" s="1235">
        <f t="shared" si="20"/>
        <v>670.31597116229455</v>
      </c>
      <c r="AJ68" s="1235">
        <f t="shared" si="20"/>
        <v>690.42545029716337</v>
      </c>
      <c r="AK68" s="1235">
        <f t="shared" si="20"/>
        <v>711.13821380607828</v>
      </c>
      <c r="AL68" s="1235">
        <f t="shared" si="20"/>
        <v>732.47236022026073</v>
      </c>
      <c r="AM68" s="1235">
        <f t="shared" si="20"/>
        <v>754.44653102686857</v>
      </c>
      <c r="AN68" s="1235">
        <f t="shared" si="20"/>
        <v>777.07992695767462</v>
      </c>
      <c r="AO68" s="1235">
        <f t="shared" si="20"/>
        <v>800.39232476640484</v>
      </c>
      <c r="AP68" s="1235">
        <f t="shared" si="20"/>
        <v>824.40409450939694</v>
      </c>
      <c r="AQ68" s="1235"/>
      <c r="AR68" s="1235"/>
      <c r="AS68" s="1235"/>
      <c r="AT68" s="1235"/>
      <c r="AU68" s="1235"/>
      <c r="AV68" s="1235"/>
      <c r="AW68" s="1235"/>
      <c r="AX68" s="1235"/>
      <c r="AY68" s="1235"/>
      <c r="AZ68" s="1235"/>
      <c r="BA68" s="1235"/>
    </row>
    <row r="69" spans="1:54" hidden="1" outlineLevel="1">
      <c r="C69" s="320" t="s">
        <v>1105</v>
      </c>
      <c r="H69" s="320"/>
      <c r="I69" s="323" t="s">
        <v>924</v>
      </c>
      <c r="J69" s="432">
        <f>'Methanol Data '!I44</f>
        <v>310.10000000000002</v>
      </c>
      <c r="M69" s="1235">
        <f t="shared" ref="M69:AP69" si="21">$J$69*M58</f>
        <v>319.40300000000002</v>
      </c>
      <c r="N69" s="1235">
        <f t="shared" si="21"/>
        <v>328.98509000000001</v>
      </c>
      <c r="O69" s="1235">
        <f t="shared" si="21"/>
        <v>338.8546427</v>
      </c>
      <c r="P69" s="1235">
        <f t="shared" si="21"/>
        <v>349.0202819810001</v>
      </c>
      <c r="Q69" s="1235">
        <f t="shared" si="21"/>
        <v>359.49089044043006</v>
      </c>
      <c r="R69" s="1235">
        <f t="shared" si="21"/>
        <v>370.27561715364294</v>
      </c>
      <c r="S69" s="1235">
        <f t="shared" si="21"/>
        <v>381.38388566825228</v>
      </c>
      <c r="T69" s="1235">
        <f t="shared" si="21"/>
        <v>392.82540223829989</v>
      </c>
      <c r="U69" s="1235">
        <f t="shared" si="21"/>
        <v>404.61016430544885</v>
      </c>
      <c r="V69" s="1235">
        <f t="shared" si="21"/>
        <v>416.74846923461234</v>
      </c>
      <c r="W69" s="1235">
        <f t="shared" si="21"/>
        <v>429.25092331165069</v>
      </c>
      <c r="X69" s="1235">
        <f t="shared" si="21"/>
        <v>442.12845101100021</v>
      </c>
      <c r="Y69" s="1235">
        <f t="shared" si="21"/>
        <v>455.3923045413303</v>
      </c>
      <c r="Z69" s="1235">
        <f t="shared" si="21"/>
        <v>469.05407367757022</v>
      </c>
      <c r="AA69" s="1235">
        <f t="shared" si="21"/>
        <v>483.12569588789734</v>
      </c>
      <c r="AB69" s="1235">
        <f t="shared" si="21"/>
        <v>497.61946676453431</v>
      </c>
      <c r="AC69" s="1235">
        <f t="shared" si="21"/>
        <v>512.54805076747039</v>
      </c>
      <c r="AD69" s="1235">
        <f t="shared" si="21"/>
        <v>527.92449229049441</v>
      </c>
      <c r="AE69" s="1235">
        <f t="shared" si="21"/>
        <v>543.76222705920929</v>
      </c>
      <c r="AF69" s="1235">
        <f t="shared" si="21"/>
        <v>560.0750938709856</v>
      </c>
      <c r="AG69" s="1235">
        <f t="shared" si="21"/>
        <v>576.87734668711528</v>
      </c>
      <c r="AH69" s="1235">
        <f t="shared" si="21"/>
        <v>594.18366708772874</v>
      </c>
      <c r="AI69" s="1235">
        <f t="shared" si="21"/>
        <v>612.0091771003606</v>
      </c>
      <c r="AJ69" s="1235">
        <f t="shared" si="21"/>
        <v>630.3694524133715</v>
      </c>
      <c r="AK69" s="1235">
        <f t="shared" si="21"/>
        <v>649.28053598577253</v>
      </c>
      <c r="AL69" s="1235">
        <f t="shared" si="21"/>
        <v>668.75895206534585</v>
      </c>
      <c r="AM69" s="1235">
        <f t="shared" si="21"/>
        <v>688.82172062730626</v>
      </c>
      <c r="AN69" s="1235">
        <f t="shared" si="21"/>
        <v>709.48637224612537</v>
      </c>
      <c r="AO69" s="1235">
        <f t="shared" si="21"/>
        <v>730.77096341350921</v>
      </c>
      <c r="AP69" s="1235">
        <f t="shared" si="21"/>
        <v>752.69409231591442</v>
      </c>
      <c r="AQ69" s="1235"/>
      <c r="AR69" s="1235"/>
      <c r="AS69" s="1235"/>
      <c r="AT69" s="1235"/>
      <c r="AU69" s="1235"/>
      <c r="AV69" s="1235"/>
      <c r="AW69" s="1235"/>
      <c r="AX69" s="1235"/>
      <c r="AY69" s="1235"/>
      <c r="AZ69" s="1235"/>
      <c r="BA69" s="1235"/>
    </row>
    <row r="70" spans="1:54" hidden="1" outlineLevel="1">
      <c r="J70" s="432"/>
      <c r="M70" s="1235"/>
      <c r="N70" s="1235"/>
      <c r="O70" s="1235"/>
      <c r="P70" s="1235"/>
      <c r="Q70" s="1235"/>
      <c r="R70" s="1235"/>
      <c r="S70" s="1235"/>
      <c r="T70" s="1235"/>
      <c r="U70" s="1235"/>
      <c r="V70" s="1235"/>
      <c r="W70" s="1235"/>
      <c r="X70" s="1235"/>
      <c r="Y70" s="1235"/>
      <c r="Z70" s="1235"/>
      <c r="AA70" s="1235"/>
      <c r="AB70" s="1235"/>
      <c r="AC70" s="1235"/>
      <c r="AD70" s="1235"/>
      <c r="AE70" s="1235"/>
      <c r="AF70" s="1235"/>
      <c r="AG70" s="1235"/>
      <c r="AH70" s="1235"/>
      <c r="AI70" s="1235"/>
      <c r="AJ70" s="1235"/>
      <c r="AK70" s="1235"/>
      <c r="AL70" s="1235"/>
      <c r="AM70" s="1235"/>
      <c r="AN70" s="1235"/>
      <c r="AO70" s="1235"/>
      <c r="AP70" s="1235"/>
      <c r="AQ70" s="1235"/>
      <c r="AR70" s="1235"/>
      <c r="AS70" s="1235"/>
      <c r="AT70" s="1235"/>
      <c r="AU70" s="1235"/>
      <c r="AV70" s="1235"/>
      <c r="AW70" s="1235"/>
      <c r="AX70" s="1235"/>
      <c r="AY70" s="1235"/>
      <c r="AZ70" s="1235"/>
      <c r="BA70" s="1235"/>
    </row>
    <row r="71" spans="1:54" ht="12" hidden="1" outlineLevel="1" thickBot="1">
      <c r="J71" s="1242"/>
      <c r="M71" s="1243"/>
      <c r="N71" s="1243"/>
      <c r="O71" s="1243"/>
      <c r="P71" s="1243"/>
      <c r="Q71" s="1243"/>
      <c r="R71" s="1243"/>
      <c r="S71" s="1243"/>
      <c r="T71" s="1243"/>
      <c r="U71" s="1243"/>
      <c r="V71" s="1243"/>
      <c r="W71" s="1243"/>
      <c r="X71" s="1243"/>
      <c r="Y71" s="1243"/>
      <c r="Z71" s="1243"/>
      <c r="AA71" s="1243"/>
      <c r="AB71" s="1243"/>
      <c r="AC71" s="1243"/>
      <c r="AD71" s="1243"/>
      <c r="AE71" s="1243"/>
      <c r="AF71" s="1243"/>
      <c r="AG71" s="1243"/>
      <c r="AH71" s="1243"/>
      <c r="AI71" s="1243"/>
      <c r="AJ71" s="1243"/>
      <c r="AK71" s="1243"/>
      <c r="AL71" s="1243"/>
      <c r="AM71" s="1243"/>
      <c r="AN71" s="1243"/>
      <c r="AO71" s="1243"/>
      <c r="AP71" s="1243"/>
      <c r="AQ71" s="1243"/>
      <c r="AR71" s="1243"/>
      <c r="AS71" s="1243"/>
      <c r="AT71" s="1243"/>
      <c r="AU71" s="1243"/>
      <c r="AV71" s="1243"/>
      <c r="AW71" s="1243"/>
      <c r="AX71" s="1243"/>
      <c r="AY71" s="1243"/>
      <c r="AZ71" s="1243"/>
      <c r="BA71" s="1243"/>
    </row>
    <row r="72" spans="1:54" s="330" customFormat="1" ht="12" hidden="1" outlineLevel="1" thickBot="1">
      <c r="A72" s="338" t="s">
        <v>828</v>
      </c>
      <c r="H72" s="331"/>
      <c r="I72" s="332"/>
      <c r="J72" s="2139"/>
      <c r="M72" s="1244"/>
      <c r="N72" s="1244"/>
      <c r="O72" s="1244"/>
      <c r="P72" s="1244"/>
      <c r="Q72" s="1244"/>
      <c r="R72" s="1244"/>
      <c r="S72" s="1244"/>
      <c r="T72" s="1244"/>
      <c r="U72" s="1244"/>
      <c r="V72" s="1244"/>
      <c r="W72" s="1244"/>
      <c r="X72" s="1244"/>
      <c r="Y72" s="1244"/>
      <c r="Z72" s="1244"/>
      <c r="AA72" s="1244"/>
      <c r="AB72" s="1244"/>
      <c r="AC72" s="1244"/>
      <c r="AD72" s="1244"/>
      <c r="AE72" s="1244"/>
      <c r="AF72" s="1244"/>
      <c r="AG72" s="1244"/>
      <c r="AH72" s="1244"/>
      <c r="AI72" s="1244"/>
      <c r="AJ72" s="1244"/>
      <c r="AK72" s="1244"/>
      <c r="AL72" s="1244"/>
      <c r="AM72" s="1244"/>
      <c r="AN72" s="1244"/>
      <c r="AO72" s="1244"/>
      <c r="AP72" s="1244"/>
      <c r="AQ72" s="1244"/>
      <c r="AR72" s="1244"/>
      <c r="AS72" s="1244"/>
      <c r="AT72" s="1244"/>
      <c r="AU72" s="1244"/>
      <c r="AV72" s="1244"/>
      <c r="AW72" s="1244"/>
      <c r="AX72" s="1244"/>
      <c r="AY72" s="1244"/>
      <c r="AZ72" s="1244"/>
      <c r="BA72" s="1244"/>
      <c r="BB72" s="958"/>
    </row>
    <row r="73" spans="1:54" s="485" customFormat="1" hidden="1" outlineLevel="1">
      <c r="A73" s="2140"/>
      <c r="C73" s="485" t="s">
        <v>1800</v>
      </c>
      <c r="H73" s="1731"/>
      <c r="I73" s="1166"/>
      <c r="J73" s="2141">
        <f>'Capex Phasing Urea'!D11</f>
        <v>1.5</v>
      </c>
      <c r="M73" s="1241">
        <f t="shared" ref="M73:AP73" si="22">($J$73*1000000)*M90</f>
        <v>1500000</v>
      </c>
      <c r="N73" s="1241">
        <f t="shared" si="22"/>
        <v>1500000</v>
      </c>
      <c r="O73" s="1241">
        <f t="shared" si="22"/>
        <v>1500000</v>
      </c>
      <c r="P73" s="1241">
        <f t="shared" si="22"/>
        <v>1500000</v>
      </c>
      <c r="Q73" s="1241">
        <f t="shared" si="22"/>
        <v>1500000</v>
      </c>
      <c r="R73" s="1241">
        <f t="shared" si="22"/>
        <v>1500000</v>
      </c>
      <c r="S73" s="1241">
        <f t="shared" si="22"/>
        <v>1500000</v>
      </c>
      <c r="T73" s="1241">
        <f t="shared" si="22"/>
        <v>1500000</v>
      </c>
      <c r="U73" s="1241">
        <f t="shared" si="22"/>
        <v>1500000</v>
      </c>
      <c r="V73" s="1241">
        <f t="shared" si="22"/>
        <v>1500000</v>
      </c>
      <c r="W73" s="1241">
        <f t="shared" si="22"/>
        <v>1500000</v>
      </c>
      <c r="X73" s="1241">
        <f t="shared" si="22"/>
        <v>1500000</v>
      </c>
      <c r="Y73" s="1241">
        <f t="shared" si="22"/>
        <v>1500000</v>
      </c>
      <c r="Z73" s="1241">
        <f t="shared" si="22"/>
        <v>1500000</v>
      </c>
      <c r="AA73" s="1241">
        <f t="shared" si="22"/>
        <v>1500000</v>
      </c>
      <c r="AB73" s="1241">
        <f t="shared" si="22"/>
        <v>1500000</v>
      </c>
      <c r="AC73" s="1241">
        <f t="shared" si="22"/>
        <v>1500000</v>
      </c>
      <c r="AD73" s="1241">
        <f t="shared" si="22"/>
        <v>1500000</v>
      </c>
      <c r="AE73" s="1241">
        <f t="shared" si="22"/>
        <v>1500000</v>
      </c>
      <c r="AF73" s="1241">
        <f t="shared" si="22"/>
        <v>1500000</v>
      </c>
      <c r="AG73" s="1241">
        <f t="shared" si="22"/>
        <v>1500000</v>
      </c>
      <c r="AH73" s="1241">
        <f t="shared" si="22"/>
        <v>1500000</v>
      </c>
      <c r="AI73" s="1241">
        <f t="shared" si="22"/>
        <v>1500000</v>
      </c>
      <c r="AJ73" s="1241">
        <f t="shared" si="22"/>
        <v>1500000</v>
      </c>
      <c r="AK73" s="1241">
        <f t="shared" si="22"/>
        <v>1500000</v>
      </c>
      <c r="AL73" s="1241">
        <f t="shared" si="22"/>
        <v>1500000</v>
      </c>
      <c r="AM73" s="1241">
        <f t="shared" si="22"/>
        <v>1500000</v>
      </c>
      <c r="AN73" s="1241">
        <f t="shared" si="22"/>
        <v>1500000</v>
      </c>
      <c r="AO73" s="1241">
        <f t="shared" si="22"/>
        <v>1500000</v>
      </c>
      <c r="AP73" s="1241">
        <f t="shared" si="22"/>
        <v>1500000</v>
      </c>
      <c r="AQ73" s="1241"/>
      <c r="AR73" s="1241"/>
      <c r="AS73" s="1241"/>
      <c r="AT73" s="1241"/>
      <c r="AU73" s="1241"/>
      <c r="AV73" s="1241"/>
      <c r="AW73" s="1241"/>
      <c r="AX73" s="1241"/>
      <c r="AY73" s="1241"/>
      <c r="AZ73" s="1241"/>
      <c r="BA73" s="1241"/>
    </row>
    <row r="74" spans="1:54" s="485" customFormat="1" hidden="1" outlineLevel="1">
      <c r="A74" s="2140"/>
      <c r="C74" s="485" t="s">
        <v>1801</v>
      </c>
      <c r="H74" s="1731"/>
      <c r="I74" s="1166"/>
      <c r="J74" s="2141">
        <f>'Capex Phasing Urea'!D12</f>
        <v>1</v>
      </c>
      <c r="M74" s="1241">
        <f t="shared" ref="M74:AP74" si="23">($J$74*1000000)*M91</f>
        <v>1000000</v>
      </c>
      <c r="N74" s="1241">
        <f t="shared" si="23"/>
        <v>1000000</v>
      </c>
      <c r="O74" s="1241">
        <f t="shared" si="23"/>
        <v>1000000</v>
      </c>
      <c r="P74" s="1241">
        <f t="shared" si="23"/>
        <v>1000000</v>
      </c>
      <c r="Q74" s="1241">
        <f t="shared" si="23"/>
        <v>1000000</v>
      </c>
      <c r="R74" s="1241">
        <f t="shared" si="23"/>
        <v>1000000</v>
      </c>
      <c r="S74" s="1241">
        <f t="shared" si="23"/>
        <v>1000000</v>
      </c>
      <c r="T74" s="1241">
        <f t="shared" si="23"/>
        <v>1000000</v>
      </c>
      <c r="U74" s="1241">
        <f t="shared" si="23"/>
        <v>1000000</v>
      </c>
      <c r="V74" s="1241">
        <f t="shared" si="23"/>
        <v>1000000</v>
      </c>
      <c r="W74" s="1241">
        <f t="shared" si="23"/>
        <v>1000000</v>
      </c>
      <c r="X74" s="1241">
        <f t="shared" si="23"/>
        <v>1000000</v>
      </c>
      <c r="Y74" s="1241">
        <f t="shared" si="23"/>
        <v>1000000</v>
      </c>
      <c r="Z74" s="1241">
        <f t="shared" si="23"/>
        <v>1000000</v>
      </c>
      <c r="AA74" s="1241">
        <f t="shared" si="23"/>
        <v>1000000</v>
      </c>
      <c r="AB74" s="1241">
        <f t="shared" si="23"/>
        <v>1000000</v>
      </c>
      <c r="AC74" s="1241">
        <f t="shared" si="23"/>
        <v>1000000</v>
      </c>
      <c r="AD74" s="1241">
        <f t="shared" si="23"/>
        <v>1000000</v>
      </c>
      <c r="AE74" s="1241">
        <f t="shared" si="23"/>
        <v>1000000</v>
      </c>
      <c r="AF74" s="1241">
        <f t="shared" si="23"/>
        <v>1000000</v>
      </c>
      <c r="AG74" s="1241">
        <f t="shared" si="23"/>
        <v>1000000</v>
      </c>
      <c r="AH74" s="1241">
        <f t="shared" si="23"/>
        <v>1000000</v>
      </c>
      <c r="AI74" s="1241">
        <f t="shared" si="23"/>
        <v>1000000</v>
      </c>
      <c r="AJ74" s="1241">
        <f t="shared" si="23"/>
        <v>1000000</v>
      </c>
      <c r="AK74" s="1241">
        <f t="shared" si="23"/>
        <v>1000000</v>
      </c>
      <c r="AL74" s="1241">
        <f t="shared" si="23"/>
        <v>1000000</v>
      </c>
      <c r="AM74" s="1241">
        <f t="shared" si="23"/>
        <v>1000000</v>
      </c>
      <c r="AN74" s="1241">
        <f t="shared" si="23"/>
        <v>1000000</v>
      </c>
      <c r="AO74" s="1241">
        <f t="shared" si="23"/>
        <v>1000000</v>
      </c>
      <c r="AP74" s="1241">
        <f t="shared" si="23"/>
        <v>1000000</v>
      </c>
      <c r="AQ74" s="1241"/>
      <c r="AR74" s="1241"/>
      <c r="AS74" s="1241"/>
      <c r="AT74" s="1241"/>
      <c r="AU74" s="1241"/>
      <c r="AV74" s="1241"/>
      <c r="AW74" s="1241"/>
      <c r="AX74" s="1241"/>
      <c r="AY74" s="1241"/>
      <c r="AZ74" s="1241"/>
      <c r="BA74" s="1241"/>
    </row>
    <row r="75" spans="1:54" s="2698" customFormat="1" hidden="1" outlineLevel="1">
      <c r="A75" s="2697"/>
      <c r="H75" s="2699"/>
      <c r="I75" s="2700"/>
      <c r="J75" s="2701"/>
      <c r="M75" s="2702"/>
      <c r="N75" s="2702"/>
      <c r="O75" s="2702"/>
      <c r="P75" s="2702"/>
      <c r="Q75" s="2702"/>
      <c r="R75" s="2702"/>
      <c r="S75" s="2702"/>
      <c r="T75" s="2702"/>
      <c r="U75" s="2702"/>
      <c r="V75" s="2702"/>
      <c r="W75" s="2702"/>
      <c r="X75" s="2702"/>
      <c r="Y75" s="2702"/>
      <c r="Z75" s="2702"/>
      <c r="AA75" s="2702"/>
      <c r="AB75" s="2702"/>
      <c r="AC75" s="2702"/>
      <c r="AD75" s="2702"/>
      <c r="AE75" s="2702"/>
      <c r="AF75" s="2702"/>
      <c r="AG75" s="2702"/>
      <c r="AH75" s="2702"/>
      <c r="AI75" s="2702"/>
      <c r="AJ75" s="2702"/>
      <c r="AK75" s="2702"/>
      <c r="AL75" s="2702"/>
      <c r="AM75" s="2702"/>
      <c r="AN75" s="2702"/>
      <c r="AO75" s="2702"/>
      <c r="AP75" s="2702"/>
      <c r="AQ75" s="2702"/>
      <c r="AR75" s="2702"/>
      <c r="AS75" s="2702"/>
      <c r="AT75" s="2702"/>
      <c r="AU75" s="2702"/>
      <c r="AV75" s="2702"/>
      <c r="AW75" s="2702"/>
      <c r="AX75" s="2702"/>
      <c r="AY75" s="2702"/>
      <c r="AZ75" s="2702"/>
      <c r="BA75" s="2702"/>
    </row>
    <row r="76" spans="1:54" s="2698" customFormat="1" hidden="1" outlineLevel="1">
      <c r="A76" s="2697"/>
      <c r="H76" s="2699"/>
      <c r="I76" s="2700"/>
      <c r="J76" s="2701"/>
      <c r="M76" s="2702"/>
      <c r="N76" s="2702"/>
      <c r="O76" s="2702"/>
      <c r="P76" s="2702"/>
      <c r="Q76" s="2702"/>
      <c r="R76" s="2702"/>
      <c r="S76" s="2702"/>
      <c r="T76" s="2702"/>
      <c r="U76" s="2702"/>
      <c r="V76" s="2702"/>
      <c r="W76" s="2702"/>
      <c r="X76" s="2702"/>
      <c r="Y76" s="2702"/>
      <c r="Z76" s="2702"/>
      <c r="AA76" s="2702"/>
      <c r="AB76" s="2702"/>
      <c r="AC76" s="2702"/>
      <c r="AD76" s="2702"/>
      <c r="AE76" s="2702"/>
      <c r="AF76" s="2702"/>
      <c r="AG76" s="2702"/>
      <c r="AH76" s="2702"/>
      <c r="AI76" s="2702"/>
      <c r="AJ76" s="2702"/>
      <c r="AK76" s="2702"/>
      <c r="AL76" s="2702"/>
      <c r="AM76" s="2702"/>
      <c r="AN76" s="2702"/>
      <c r="AO76" s="2702"/>
      <c r="AP76" s="2702"/>
      <c r="AQ76" s="2702"/>
      <c r="AR76" s="2702"/>
      <c r="AS76" s="2702"/>
      <c r="AT76" s="2702"/>
      <c r="AU76" s="2702"/>
      <c r="AV76" s="2702"/>
      <c r="AW76" s="2702"/>
      <c r="AX76" s="2702"/>
      <c r="AY76" s="2702"/>
      <c r="AZ76" s="2702"/>
      <c r="BA76" s="2702"/>
    </row>
    <row r="77" spans="1:54" s="485" customFormat="1" hidden="1" outlineLevel="1">
      <c r="A77" s="2140"/>
      <c r="C77" s="485" t="s">
        <v>1803</v>
      </c>
      <c r="H77" s="1731"/>
      <c r="I77" s="1166"/>
      <c r="J77" s="2141">
        <f>J81</f>
        <v>1</v>
      </c>
      <c r="M77" s="1241">
        <f>($J$77*1000000)*M93</f>
        <v>1000000</v>
      </c>
      <c r="N77" s="1241">
        <f t="shared" ref="N77:AP77" si="24">($J$77*1000000)*N93</f>
        <v>1000000</v>
      </c>
      <c r="O77" s="1241">
        <f t="shared" si="24"/>
        <v>1000000</v>
      </c>
      <c r="P77" s="1241">
        <f t="shared" si="24"/>
        <v>1000000</v>
      </c>
      <c r="Q77" s="1241">
        <f t="shared" si="24"/>
        <v>1000000</v>
      </c>
      <c r="R77" s="1241">
        <f t="shared" si="24"/>
        <v>1000000</v>
      </c>
      <c r="S77" s="1241">
        <f t="shared" si="24"/>
        <v>1000000</v>
      </c>
      <c r="T77" s="1241">
        <f t="shared" si="24"/>
        <v>1000000</v>
      </c>
      <c r="U77" s="1241">
        <f t="shared" si="24"/>
        <v>1000000</v>
      </c>
      <c r="V77" s="1241">
        <f t="shared" si="24"/>
        <v>1000000</v>
      </c>
      <c r="W77" s="1241">
        <f t="shared" si="24"/>
        <v>1000000</v>
      </c>
      <c r="X77" s="1241">
        <f t="shared" si="24"/>
        <v>1000000</v>
      </c>
      <c r="Y77" s="1241">
        <f t="shared" si="24"/>
        <v>1000000</v>
      </c>
      <c r="Z77" s="1241">
        <f t="shared" si="24"/>
        <v>1000000</v>
      </c>
      <c r="AA77" s="1241">
        <f t="shared" si="24"/>
        <v>1000000</v>
      </c>
      <c r="AB77" s="1241">
        <f t="shared" si="24"/>
        <v>1000000</v>
      </c>
      <c r="AC77" s="1241">
        <f t="shared" si="24"/>
        <v>1000000</v>
      </c>
      <c r="AD77" s="1241">
        <f t="shared" si="24"/>
        <v>1000000</v>
      </c>
      <c r="AE77" s="1241">
        <f t="shared" si="24"/>
        <v>1000000</v>
      </c>
      <c r="AF77" s="1241">
        <f t="shared" si="24"/>
        <v>1000000</v>
      </c>
      <c r="AG77" s="1241">
        <f t="shared" si="24"/>
        <v>1000000</v>
      </c>
      <c r="AH77" s="1241">
        <f t="shared" si="24"/>
        <v>1000000</v>
      </c>
      <c r="AI77" s="1241">
        <f t="shared" si="24"/>
        <v>1000000</v>
      </c>
      <c r="AJ77" s="1241">
        <f t="shared" si="24"/>
        <v>1000000</v>
      </c>
      <c r="AK77" s="1241">
        <f t="shared" si="24"/>
        <v>1000000</v>
      </c>
      <c r="AL77" s="1241">
        <f t="shared" si="24"/>
        <v>1000000</v>
      </c>
      <c r="AM77" s="1241">
        <f t="shared" si="24"/>
        <v>1000000</v>
      </c>
      <c r="AN77" s="1241">
        <f t="shared" si="24"/>
        <v>1000000</v>
      </c>
      <c r="AO77" s="1241">
        <f t="shared" si="24"/>
        <v>1000000</v>
      </c>
      <c r="AP77" s="1241">
        <f t="shared" si="24"/>
        <v>1000000</v>
      </c>
      <c r="AQ77" s="1241"/>
      <c r="AR77" s="1241"/>
      <c r="AS77" s="1241"/>
      <c r="AT77" s="1241"/>
      <c r="AU77" s="1241"/>
      <c r="AV77" s="1241"/>
      <c r="AW77" s="1241"/>
      <c r="AX77" s="1241"/>
      <c r="AY77" s="1241"/>
      <c r="AZ77" s="1241"/>
      <c r="BA77" s="1241"/>
    </row>
    <row r="78" spans="1:54" s="485" customFormat="1" hidden="1" outlineLevel="1">
      <c r="A78" s="2140"/>
      <c r="C78" s="485" t="s">
        <v>655</v>
      </c>
      <c r="H78" s="1731"/>
      <c r="I78" s="1166"/>
      <c r="J78" s="2142"/>
      <c r="M78" s="1241">
        <f t="shared" ref="M78:AP78" si="25">SUM(M73:M77)</f>
        <v>3500000</v>
      </c>
      <c r="N78" s="1241">
        <f t="shared" si="25"/>
        <v>3500000</v>
      </c>
      <c r="O78" s="1241">
        <f t="shared" si="25"/>
        <v>3500000</v>
      </c>
      <c r="P78" s="1241">
        <f t="shared" si="25"/>
        <v>3500000</v>
      </c>
      <c r="Q78" s="1241">
        <f t="shared" si="25"/>
        <v>3500000</v>
      </c>
      <c r="R78" s="1241">
        <f t="shared" si="25"/>
        <v>3500000</v>
      </c>
      <c r="S78" s="1241">
        <f t="shared" si="25"/>
        <v>3500000</v>
      </c>
      <c r="T78" s="1241">
        <f t="shared" si="25"/>
        <v>3500000</v>
      </c>
      <c r="U78" s="1241">
        <f t="shared" si="25"/>
        <v>3500000</v>
      </c>
      <c r="V78" s="1241">
        <f t="shared" si="25"/>
        <v>3500000</v>
      </c>
      <c r="W78" s="1241">
        <f t="shared" si="25"/>
        <v>3500000</v>
      </c>
      <c r="X78" s="1241">
        <f t="shared" si="25"/>
        <v>3500000</v>
      </c>
      <c r="Y78" s="1241">
        <f t="shared" si="25"/>
        <v>3500000</v>
      </c>
      <c r="Z78" s="1241">
        <f t="shared" si="25"/>
        <v>3500000</v>
      </c>
      <c r="AA78" s="1241">
        <f t="shared" si="25"/>
        <v>3500000</v>
      </c>
      <c r="AB78" s="1241">
        <f t="shared" si="25"/>
        <v>3500000</v>
      </c>
      <c r="AC78" s="1241">
        <f t="shared" si="25"/>
        <v>3500000</v>
      </c>
      <c r="AD78" s="1241">
        <f t="shared" si="25"/>
        <v>3500000</v>
      </c>
      <c r="AE78" s="1241">
        <f t="shared" si="25"/>
        <v>3500000</v>
      </c>
      <c r="AF78" s="1241">
        <f t="shared" si="25"/>
        <v>3500000</v>
      </c>
      <c r="AG78" s="1241">
        <f t="shared" si="25"/>
        <v>3500000</v>
      </c>
      <c r="AH78" s="1241">
        <f t="shared" si="25"/>
        <v>3500000</v>
      </c>
      <c r="AI78" s="1241">
        <f t="shared" si="25"/>
        <v>3500000</v>
      </c>
      <c r="AJ78" s="1241">
        <f t="shared" si="25"/>
        <v>3500000</v>
      </c>
      <c r="AK78" s="1241">
        <f t="shared" si="25"/>
        <v>3500000</v>
      </c>
      <c r="AL78" s="1241">
        <f t="shared" si="25"/>
        <v>3500000</v>
      </c>
      <c r="AM78" s="1241">
        <f t="shared" si="25"/>
        <v>3500000</v>
      </c>
      <c r="AN78" s="1241">
        <f t="shared" si="25"/>
        <v>3500000</v>
      </c>
      <c r="AO78" s="1241">
        <f t="shared" si="25"/>
        <v>3500000</v>
      </c>
      <c r="AP78" s="1241">
        <f t="shared" si="25"/>
        <v>3500000</v>
      </c>
      <c r="AQ78" s="1241"/>
      <c r="AR78" s="1241"/>
      <c r="AS78" s="1241"/>
      <c r="AT78" s="1241"/>
      <c r="AU78" s="1241"/>
      <c r="AV78" s="1241"/>
      <c r="AW78" s="1241"/>
      <c r="AX78" s="1241"/>
      <c r="AY78" s="1241"/>
      <c r="AZ78" s="1241"/>
      <c r="BA78" s="1241"/>
    </row>
    <row r="79" spans="1:54" s="485" customFormat="1" hidden="1" outlineLevel="1">
      <c r="A79" s="2140"/>
      <c r="H79" s="1731"/>
      <c r="I79" s="1166"/>
      <c r="J79" s="2143"/>
      <c r="M79" s="1241"/>
      <c r="N79" s="1241"/>
      <c r="O79" s="1241"/>
      <c r="P79" s="1241"/>
      <c r="Q79" s="1241"/>
      <c r="R79" s="1241"/>
      <c r="S79" s="1241"/>
      <c r="T79" s="1241"/>
      <c r="U79" s="1241"/>
      <c r="V79" s="1241"/>
      <c r="W79" s="1241"/>
      <c r="X79" s="1241"/>
      <c r="Y79" s="1241"/>
      <c r="Z79" s="1241"/>
      <c r="AA79" s="1241"/>
      <c r="AB79" s="1241"/>
      <c r="AC79" s="1241"/>
      <c r="AD79" s="1241"/>
      <c r="AE79" s="1241"/>
      <c r="AF79" s="1241"/>
      <c r="AG79" s="1241"/>
      <c r="AH79" s="1241"/>
      <c r="AI79" s="1241"/>
      <c r="AJ79" s="1241"/>
      <c r="AK79" s="1241"/>
      <c r="AL79" s="1241"/>
      <c r="AM79" s="1241"/>
      <c r="AN79" s="1241"/>
      <c r="AO79" s="1241"/>
      <c r="AP79" s="1241"/>
      <c r="AQ79" s="1241"/>
      <c r="AR79" s="1241"/>
      <c r="AS79" s="1241"/>
      <c r="AT79" s="1241"/>
      <c r="AU79" s="1241"/>
      <c r="AV79" s="1241"/>
      <c r="AW79" s="1241"/>
      <c r="AX79" s="1241"/>
      <c r="AY79" s="1241"/>
      <c r="AZ79" s="1241"/>
      <c r="BA79" s="1241"/>
    </row>
    <row r="80" spans="1:54" hidden="1" outlineLevel="1">
      <c r="A80" s="373"/>
      <c r="B80" s="485"/>
      <c r="C80" s="485" t="s">
        <v>1008</v>
      </c>
      <c r="D80" s="485"/>
      <c r="E80" s="485"/>
      <c r="F80" s="485"/>
      <c r="G80" s="485"/>
      <c r="H80" s="1731"/>
      <c r="I80" s="1166" t="s">
        <v>708</v>
      </c>
      <c r="J80" s="2141">
        <f>IF(J102=1,2.5,IF(J102=2,3,IF(J102=3,2,0)))</f>
        <v>2.5</v>
      </c>
      <c r="M80" s="1245">
        <f>$J$80*1000000</f>
        <v>2500000</v>
      </c>
      <c r="N80" s="1246">
        <f t="shared" ref="N80:AP80" si="26">$J$80*1000000</f>
        <v>2500000</v>
      </c>
      <c r="O80" s="1246">
        <f t="shared" si="26"/>
        <v>2500000</v>
      </c>
      <c r="P80" s="1245">
        <f t="shared" si="26"/>
        <v>2500000</v>
      </c>
      <c r="Q80" s="1246">
        <f t="shared" si="26"/>
        <v>2500000</v>
      </c>
      <c r="R80" s="1246">
        <f t="shared" si="26"/>
        <v>2500000</v>
      </c>
      <c r="S80" s="1246">
        <f t="shared" si="26"/>
        <v>2500000</v>
      </c>
      <c r="T80" s="1246">
        <f t="shared" si="26"/>
        <v>2500000</v>
      </c>
      <c r="U80" s="1246">
        <f t="shared" si="26"/>
        <v>2500000</v>
      </c>
      <c r="V80" s="1246">
        <f t="shared" si="26"/>
        <v>2500000</v>
      </c>
      <c r="W80" s="1246">
        <f t="shared" si="26"/>
        <v>2500000</v>
      </c>
      <c r="X80" s="1246">
        <f t="shared" si="26"/>
        <v>2500000</v>
      </c>
      <c r="Y80" s="1246">
        <f t="shared" si="26"/>
        <v>2500000</v>
      </c>
      <c r="Z80" s="1246">
        <f t="shared" si="26"/>
        <v>2500000</v>
      </c>
      <c r="AA80" s="1246">
        <f t="shared" si="26"/>
        <v>2500000</v>
      </c>
      <c r="AB80" s="1246">
        <f t="shared" si="26"/>
        <v>2500000</v>
      </c>
      <c r="AC80" s="1246">
        <f t="shared" si="26"/>
        <v>2500000</v>
      </c>
      <c r="AD80" s="1246">
        <f t="shared" si="26"/>
        <v>2500000</v>
      </c>
      <c r="AE80" s="1246">
        <f t="shared" si="26"/>
        <v>2500000</v>
      </c>
      <c r="AF80" s="1246">
        <f t="shared" si="26"/>
        <v>2500000</v>
      </c>
      <c r="AG80" s="1246">
        <f t="shared" si="26"/>
        <v>2500000</v>
      </c>
      <c r="AH80" s="1246">
        <f t="shared" si="26"/>
        <v>2500000</v>
      </c>
      <c r="AI80" s="1246">
        <f t="shared" si="26"/>
        <v>2500000</v>
      </c>
      <c r="AJ80" s="1246">
        <f t="shared" si="26"/>
        <v>2500000</v>
      </c>
      <c r="AK80" s="1246">
        <f t="shared" si="26"/>
        <v>2500000</v>
      </c>
      <c r="AL80" s="1246">
        <f t="shared" si="26"/>
        <v>2500000</v>
      </c>
      <c r="AM80" s="1246">
        <f t="shared" si="26"/>
        <v>2500000</v>
      </c>
      <c r="AN80" s="1246">
        <f t="shared" si="26"/>
        <v>2500000</v>
      </c>
      <c r="AO80" s="1246">
        <f t="shared" si="26"/>
        <v>2500000</v>
      </c>
      <c r="AP80" s="1246">
        <f t="shared" si="26"/>
        <v>2500000</v>
      </c>
      <c r="AQ80" s="1246"/>
      <c r="AR80" s="1246"/>
      <c r="AS80" s="1246"/>
      <c r="AT80" s="1246"/>
      <c r="AU80" s="1246"/>
      <c r="AV80" s="1246"/>
      <c r="AW80" s="1246"/>
      <c r="AX80" s="1246"/>
      <c r="AY80" s="1246"/>
      <c r="AZ80" s="1246"/>
      <c r="BA80" s="1246"/>
    </row>
    <row r="81" spans="1:53" hidden="1" outlineLevel="1">
      <c r="A81" s="373"/>
      <c r="B81" s="485"/>
      <c r="C81" s="485" t="s">
        <v>987</v>
      </c>
      <c r="D81" s="485"/>
      <c r="E81" s="485"/>
      <c r="F81" s="485"/>
      <c r="G81" s="485"/>
      <c r="H81" s="1731"/>
      <c r="I81" s="1166" t="s">
        <v>708</v>
      </c>
      <c r="J81" s="2141">
        <f>IF(J80=2,1.5,IF(J80=2.5,1,IF(J80=3,0.5,IF(J80=1.5,0.5,0))))</f>
        <v>1</v>
      </c>
      <c r="M81" s="1245">
        <f t="shared" ref="M81:AP81" si="27">$J$81*1000000</f>
        <v>1000000</v>
      </c>
      <c r="N81" s="1245">
        <f t="shared" si="27"/>
        <v>1000000</v>
      </c>
      <c r="O81" s="1245">
        <f t="shared" si="27"/>
        <v>1000000</v>
      </c>
      <c r="P81" s="1245">
        <f t="shared" si="27"/>
        <v>1000000</v>
      </c>
      <c r="Q81" s="1245">
        <f t="shared" si="27"/>
        <v>1000000</v>
      </c>
      <c r="R81" s="1245">
        <f t="shared" si="27"/>
        <v>1000000</v>
      </c>
      <c r="S81" s="1245">
        <f t="shared" si="27"/>
        <v>1000000</v>
      </c>
      <c r="T81" s="1245">
        <f t="shared" si="27"/>
        <v>1000000</v>
      </c>
      <c r="U81" s="1245">
        <f t="shared" si="27"/>
        <v>1000000</v>
      </c>
      <c r="V81" s="1245">
        <f t="shared" si="27"/>
        <v>1000000</v>
      </c>
      <c r="W81" s="1245">
        <f t="shared" si="27"/>
        <v>1000000</v>
      </c>
      <c r="X81" s="1245">
        <f t="shared" si="27"/>
        <v>1000000</v>
      </c>
      <c r="Y81" s="1245">
        <f t="shared" si="27"/>
        <v>1000000</v>
      </c>
      <c r="Z81" s="1245">
        <f t="shared" si="27"/>
        <v>1000000</v>
      </c>
      <c r="AA81" s="1245">
        <f t="shared" si="27"/>
        <v>1000000</v>
      </c>
      <c r="AB81" s="1245">
        <f t="shared" si="27"/>
        <v>1000000</v>
      </c>
      <c r="AC81" s="1245">
        <f t="shared" si="27"/>
        <v>1000000</v>
      </c>
      <c r="AD81" s="1245">
        <f t="shared" si="27"/>
        <v>1000000</v>
      </c>
      <c r="AE81" s="1245">
        <f t="shared" si="27"/>
        <v>1000000</v>
      </c>
      <c r="AF81" s="1245">
        <f t="shared" si="27"/>
        <v>1000000</v>
      </c>
      <c r="AG81" s="1245">
        <f t="shared" si="27"/>
        <v>1000000</v>
      </c>
      <c r="AH81" s="1245">
        <f t="shared" si="27"/>
        <v>1000000</v>
      </c>
      <c r="AI81" s="1245">
        <f t="shared" si="27"/>
        <v>1000000</v>
      </c>
      <c r="AJ81" s="1245">
        <f t="shared" si="27"/>
        <v>1000000</v>
      </c>
      <c r="AK81" s="1245">
        <f t="shared" si="27"/>
        <v>1000000</v>
      </c>
      <c r="AL81" s="1245">
        <f t="shared" si="27"/>
        <v>1000000</v>
      </c>
      <c r="AM81" s="1245">
        <f t="shared" si="27"/>
        <v>1000000</v>
      </c>
      <c r="AN81" s="1245">
        <f t="shared" si="27"/>
        <v>1000000</v>
      </c>
      <c r="AO81" s="1245">
        <f t="shared" si="27"/>
        <v>1000000</v>
      </c>
      <c r="AP81" s="1245">
        <f t="shared" si="27"/>
        <v>1000000</v>
      </c>
      <c r="AQ81" s="1245"/>
      <c r="AR81" s="1245"/>
      <c r="AS81" s="1245"/>
      <c r="AT81" s="1245"/>
      <c r="AU81" s="1245"/>
      <c r="AV81" s="1245"/>
      <c r="AW81" s="1245"/>
      <c r="AX81" s="1245"/>
      <c r="AY81" s="1245"/>
      <c r="AZ81" s="1245"/>
      <c r="BA81" s="1245"/>
    </row>
    <row r="82" spans="1:53" s="2704" customFormat="1" hidden="1" outlineLevel="1">
      <c r="A82" s="2703"/>
      <c r="B82" s="2698"/>
      <c r="C82" s="2698"/>
      <c r="D82" s="2698"/>
      <c r="E82" s="2698"/>
      <c r="F82" s="2698"/>
      <c r="G82" s="2698"/>
      <c r="H82" s="2699"/>
      <c r="I82" s="2700"/>
      <c r="J82" s="2701"/>
      <c r="M82" s="2705"/>
      <c r="N82" s="2705"/>
      <c r="O82" s="2705"/>
      <c r="P82" s="2705"/>
      <c r="Q82" s="2705"/>
      <c r="R82" s="2705"/>
      <c r="S82" s="2705"/>
      <c r="T82" s="2705"/>
      <c r="U82" s="2705"/>
      <c r="V82" s="2705"/>
      <c r="W82" s="2705"/>
      <c r="X82" s="2705"/>
      <c r="Y82" s="2705"/>
      <c r="Z82" s="2705"/>
      <c r="AA82" s="2705"/>
      <c r="AB82" s="2705"/>
      <c r="AC82" s="2705"/>
      <c r="AD82" s="2705"/>
      <c r="AE82" s="2705"/>
      <c r="AF82" s="2705"/>
      <c r="AG82" s="2705"/>
      <c r="AH82" s="2705"/>
      <c r="AI82" s="2705"/>
      <c r="AJ82" s="2705"/>
      <c r="AK82" s="2705"/>
      <c r="AL82" s="2705"/>
      <c r="AM82" s="2705"/>
      <c r="AN82" s="2705"/>
      <c r="AO82" s="2705"/>
      <c r="AP82" s="2705"/>
      <c r="AQ82" s="2705"/>
      <c r="AR82" s="2705"/>
      <c r="AS82" s="2705"/>
      <c r="AT82" s="2705"/>
      <c r="AU82" s="2705"/>
      <c r="AV82" s="2705"/>
      <c r="AW82" s="2705"/>
      <c r="AX82" s="2705"/>
      <c r="AY82" s="2705"/>
      <c r="AZ82" s="2705"/>
      <c r="BA82" s="2705"/>
    </row>
    <row r="83" spans="1:53" hidden="1" outlineLevel="1">
      <c r="A83" s="373"/>
      <c r="B83" s="485"/>
      <c r="C83" s="485" t="s">
        <v>1243</v>
      </c>
      <c r="D83" s="485"/>
      <c r="E83" s="485"/>
      <c r="F83" s="485"/>
      <c r="G83" s="485"/>
      <c r="H83" s="1731"/>
      <c r="I83" s="1166"/>
      <c r="J83" s="2141">
        <f>J80+J81</f>
        <v>3.5</v>
      </c>
      <c r="M83" s="1245">
        <f>SUM(M80:M82)</f>
        <v>3500000</v>
      </c>
      <c r="N83" s="1245">
        <f t="shared" ref="N83:AP83" si="28">SUM(N80:N82)</f>
        <v>3500000</v>
      </c>
      <c r="O83" s="1245">
        <f t="shared" si="28"/>
        <v>3500000</v>
      </c>
      <c r="P83" s="1245">
        <f t="shared" si="28"/>
        <v>3500000</v>
      </c>
      <c r="Q83" s="1245">
        <f t="shared" si="28"/>
        <v>3500000</v>
      </c>
      <c r="R83" s="1245">
        <f t="shared" si="28"/>
        <v>3500000</v>
      </c>
      <c r="S83" s="1245">
        <f t="shared" si="28"/>
        <v>3500000</v>
      </c>
      <c r="T83" s="1245">
        <f t="shared" si="28"/>
        <v>3500000</v>
      </c>
      <c r="U83" s="1245">
        <f t="shared" si="28"/>
        <v>3500000</v>
      </c>
      <c r="V83" s="1245">
        <f t="shared" si="28"/>
        <v>3500000</v>
      </c>
      <c r="W83" s="1245">
        <f t="shared" si="28"/>
        <v>3500000</v>
      </c>
      <c r="X83" s="1245">
        <f t="shared" si="28"/>
        <v>3500000</v>
      </c>
      <c r="Y83" s="1245">
        <f t="shared" si="28"/>
        <v>3500000</v>
      </c>
      <c r="Z83" s="1245">
        <f t="shared" si="28"/>
        <v>3500000</v>
      </c>
      <c r="AA83" s="1245">
        <f t="shared" si="28"/>
        <v>3500000</v>
      </c>
      <c r="AB83" s="1245">
        <f t="shared" si="28"/>
        <v>3500000</v>
      </c>
      <c r="AC83" s="1245">
        <f t="shared" si="28"/>
        <v>3500000</v>
      </c>
      <c r="AD83" s="1245">
        <f t="shared" si="28"/>
        <v>3500000</v>
      </c>
      <c r="AE83" s="1245">
        <f t="shared" si="28"/>
        <v>3500000</v>
      </c>
      <c r="AF83" s="1245">
        <f t="shared" si="28"/>
        <v>3500000</v>
      </c>
      <c r="AG83" s="1245">
        <f t="shared" si="28"/>
        <v>3500000</v>
      </c>
      <c r="AH83" s="1245">
        <f t="shared" si="28"/>
        <v>3500000</v>
      </c>
      <c r="AI83" s="1245">
        <f t="shared" si="28"/>
        <v>3500000</v>
      </c>
      <c r="AJ83" s="1245">
        <f t="shared" si="28"/>
        <v>3500000</v>
      </c>
      <c r="AK83" s="1245">
        <f t="shared" si="28"/>
        <v>3500000</v>
      </c>
      <c r="AL83" s="1245">
        <f t="shared" si="28"/>
        <v>3500000</v>
      </c>
      <c r="AM83" s="1245">
        <f t="shared" si="28"/>
        <v>3500000</v>
      </c>
      <c r="AN83" s="1245">
        <f t="shared" si="28"/>
        <v>3500000</v>
      </c>
      <c r="AO83" s="1245">
        <f t="shared" si="28"/>
        <v>3500000</v>
      </c>
      <c r="AP83" s="1245">
        <f t="shared" si="28"/>
        <v>3500000</v>
      </c>
      <c r="AQ83" s="1245"/>
      <c r="AR83" s="1245"/>
      <c r="AS83" s="1245"/>
      <c r="AT83" s="1245"/>
      <c r="AU83" s="1245"/>
      <c r="AV83" s="1245"/>
      <c r="AW83" s="1245"/>
      <c r="AX83" s="1245"/>
      <c r="AY83" s="1245"/>
      <c r="AZ83" s="1245"/>
      <c r="BA83" s="1245"/>
    </row>
    <row r="84" spans="1:53" hidden="1" outlineLevel="1">
      <c r="A84" s="373"/>
      <c r="B84" s="485"/>
      <c r="C84" s="485"/>
      <c r="D84" s="485"/>
      <c r="E84" s="485"/>
      <c r="F84" s="485"/>
      <c r="G84" s="485"/>
      <c r="H84" s="1731"/>
      <c r="I84" s="1166"/>
      <c r="J84" s="2144" t="s">
        <v>1602</v>
      </c>
      <c r="M84" s="1738">
        <f>IF(M78-M83&lt;0.01,0,"Error")</f>
        <v>0</v>
      </c>
      <c r="N84" s="1738">
        <f t="shared" ref="N84:AP84" si="29">IF(N78-N83&lt;0.01,0,"Error")</f>
        <v>0</v>
      </c>
      <c r="O84" s="1738">
        <f t="shared" si="29"/>
        <v>0</v>
      </c>
      <c r="P84" s="1738">
        <f t="shared" si="29"/>
        <v>0</v>
      </c>
      <c r="Q84" s="1738">
        <f t="shared" si="29"/>
        <v>0</v>
      </c>
      <c r="R84" s="1738">
        <f t="shared" si="29"/>
        <v>0</v>
      </c>
      <c r="S84" s="1738">
        <f t="shared" si="29"/>
        <v>0</v>
      </c>
      <c r="T84" s="1738">
        <f t="shared" si="29"/>
        <v>0</v>
      </c>
      <c r="U84" s="1738">
        <f t="shared" si="29"/>
        <v>0</v>
      </c>
      <c r="V84" s="1738">
        <f t="shared" si="29"/>
        <v>0</v>
      </c>
      <c r="W84" s="1738">
        <f t="shared" si="29"/>
        <v>0</v>
      </c>
      <c r="X84" s="1738">
        <f t="shared" si="29"/>
        <v>0</v>
      </c>
      <c r="Y84" s="1738">
        <f t="shared" si="29"/>
        <v>0</v>
      </c>
      <c r="Z84" s="1738">
        <f t="shared" si="29"/>
        <v>0</v>
      </c>
      <c r="AA84" s="1738">
        <f t="shared" si="29"/>
        <v>0</v>
      </c>
      <c r="AB84" s="1738">
        <f t="shared" si="29"/>
        <v>0</v>
      </c>
      <c r="AC84" s="1738">
        <f t="shared" si="29"/>
        <v>0</v>
      </c>
      <c r="AD84" s="1738">
        <f t="shared" si="29"/>
        <v>0</v>
      </c>
      <c r="AE84" s="1738">
        <f t="shared" si="29"/>
        <v>0</v>
      </c>
      <c r="AF84" s="1738">
        <f t="shared" si="29"/>
        <v>0</v>
      </c>
      <c r="AG84" s="1738">
        <f t="shared" si="29"/>
        <v>0</v>
      </c>
      <c r="AH84" s="1738">
        <f t="shared" si="29"/>
        <v>0</v>
      </c>
      <c r="AI84" s="1738">
        <f t="shared" si="29"/>
        <v>0</v>
      </c>
      <c r="AJ84" s="1738">
        <f t="shared" si="29"/>
        <v>0</v>
      </c>
      <c r="AK84" s="1738">
        <f t="shared" si="29"/>
        <v>0</v>
      </c>
      <c r="AL84" s="1738">
        <f t="shared" si="29"/>
        <v>0</v>
      </c>
      <c r="AM84" s="1738">
        <f t="shared" si="29"/>
        <v>0</v>
      </c>
      <c r="AN84" s="1738">
        <f t="shared" si="29"/>
        <v>0</v>
      </c>
      <c r="AO84" s="1738">
        <f t="shared" si="29"/>
        <v>0</v>
      </c>
      <c r="AP84" s="1738">
        <f t="shared" si="29"/>
        <v>0</v>
      </c>
      <c r="AQ84" s="1738"/>
      <c r="AR84" s="1738"/>
      <c r="AS84" s="1738"/>
      <c r="AT84" s="1738"/>
      <c r="AU84" s="1738"/>
      <c r="AV84" s="1738"/>
      <c r="AW84" s="1738"/>
      <c r="AX84" s="1738"/>
      <c r="AY84" s="1738"/>
      <c r="AZ84" s="1738"/>
      <c r="BA84" s="1738"/>
    </row>
    <row r="85" spans="1:53" hidden="1" outlineLevel="1">
      <c r="A85" s="373"/>
      <c r="B85" s="485"/>
      <c r="C85" s="485"/>
      <c r="D85" s="485"/>
      <c r="E85" s="485"/>
      <c r="F85" s="485"/>
      <c r="G85" s="485"/>
      <c r="H85" s="1731"/>
      <c r="I85" s="1166"/>
      <c r="J85" s="2142"/>
      <c r="M85" s="1245"/>
      <c r="N85" s="1245"/>
      <c r="O85" s="1245"/>
      <c r="P85" s="1245"/>
      <c r="Q85" s="1245"/>
      <c r="R85" s="1245"/>
      <c r="S85" s="1245"/>
      <c r="T85" s="1245"/>
      <c r="U85" s="1245"/>
      <c r="V85" s="1245"/>
      <c r="W85" s="1245"/>
      <c r="X85" s="1245"/>
      <c r="Y85" s="1245"/>
      <c r="Z85" s="1245"/>
      <c r="AA85" s="1245"/>
      <c r="AB85" s="1245"/>
      <c r="AC85" s="1245"/>
      <c r="AD85" s="1245"/>
      <c r="AE85" s="1245"/>
      <c r="AF85" s="1245"/>
      <c r="AG85" s="1245"/>
      <c r="AH85" s="1245"/>
      <c r="AI85" s="1245"/>
      <c r="AJ85" s="1245"/>
      <c r="AK85" s="1245"/>
      <c r="AL85" s="1245"/>
      <c r="AM85" s="1245"/>
      <c r="AN85" s="1245"/>
      <c r="AO85" s="1245"/>
      <c r="AP85" s="1245"/>
      <c r="AQ85" s="1245"/>
      <c r="AR85" s="1245"/>
      <c r="AS85" s="1245"/>
      <c r="AT85" s="1245"/>
      <c r="AU85" s="1245"/>
      <c r="AV85" s="1245"/>
      <c r="AW85" s="1245"/>
      <c r="AX85" s="1245"/>
      <c r="AY85" s="1245"/>
      <c r="AZ85" s="1245"/>
      <c r="BA85" s="1245"/>
    </row>
    <row r="86" spans="1:53" hidden="1" outlineLevel="1">
      <c r="A86" s="373"/>
      <c r="B86" s="485"/>
      <c r="C86" s="485" t="s">
        <v>1244</v>
      </c>
      <c r="D86" s="485"/>
      <c r="E86" s="485"/>
      <c r="F86" s="485"/>
      <c r="G86" s="485"/>
      <c r="H86" s="1731"/>
      <c r="I86" s="1166"/>
      <c r="J86" s="2145">
        <f>IF(J102=1,2,IF(J102=2,2,IF(J102=3,2,IF(J102=4,2,IF(J102=5,3,0)))))</f>
        <v>2</v>
      </c>
      <c r="M86" s="1245"/>
      <c r="N86" s="1245"/>
      <c r="O86" s="1245"/>
      <c r="P86" s="1245"/>
      <c r="Q86" s="1245"/>
      <c r="R86" s="1245"/>
      <c r="S86" s="1245"/>
      <c r="T86" s="1245"/>
      <c r="U86" s="1245"/>
      <c r="V86" s="1245"/>
      <c r="W86" s="1245"/>
      <c r="X86" s="1245"/>
      <c r="Y86" s="1245"/>
      <c r="Z86" s="1245"/>
      <c r="AA86" s="1245"/>
      <c r="AB86" s="1245"/>
      <c r="AC86" s="1245"/>
      <c r="AD86" s="1245"/>
      <c r="AE86" s="1245"/>
      <c r="AF86" s="1245"/>
      <c r="AG86" s="1245"/>
      <c r="AH86" s="1245"/>
      <c r="AI86" s="1245"/>
      <c r="AJ86" s="1245"/>
      <c r="AK86" s="1245"/>
      <c r="AL86" s="1245"/>
      <c r="AM86" s="1245"/>
      <c r="AN86" s="1245"/>
      <c r="AO86" s="1245"/>
      <c r="AP86" s="1245"/>
      <c r="AQ86" s="1245"/>
      <c r="AR86" s="1245"/>
      <c r="AS86" s="1245"/>
      <c r="AT86" s="1245"/>
      <c r="AU86" s="1245"/>
      <c r="AV86" s="1245"/>
      <c r="AW86" s="1245"/>
      <c r="AX86" s="1245"/>
      <c r="AY86" s="1245"/>
      <c r="AZ86" s="1245"/>
      <c r="BA86" s="1245"/>
    </row>
    <row r="87" spans="1:53" hidden="1" outlineLevel="1">
      <c r="A87" s="373"/>
      <c r="B87" s="485"/>
      <c r="C87" s="485" t="s">
        <v>1245</v>
      </c>
      <c r="D87" s="485"/>
      <c r="E87" s="485"/>
      <c r="F87" s="485"/>
      <c r="G87" s="485"/>
      <c r="H87" s="1731"/>
      <c r="I87" s="1166"/>
      <c r="J87" s="2146">
        <f>IF(J81=0.5,1,IF(J81=1,1,IF(J81=1.5,1,IF(J81=2,2,1))))</f>
        <v>1</v>
      </c>
      <c r="M87" s="1241"/>
      <c r="N87" s="1241"/>
      <c r="O87" s="1241"/>
      <c r="P87" s="1241"/>
      <c r="Q87" s="1241"/>
      <c r="R87" s="1241"/>
      <c r="S87" s="1241"/>
      <c r="T87" s="1241"/>
      <c r="U87" s="1241"/>
      <c r="V87" s="1241"/>
      <c r="W87" s="1241"/>
      <c r="X87" s="1241"/>
      <c r="Y87" s="1241"/>
      <c r="Z87" s="1241"/>
      <c r="AA87" s="1241"/>
      <c r="AB87" s="1241"/>
      <c r="AC87" s="1241"/>
      <c r="AD87" s="1241"/>
      <c r="AE87" s="1241"/>
      <c r="AF87" s="1241"/>
      <c r="AG87" s="1241"/>
      <c r="AH87" s="1241"/>
      <c r="AI87" s="1241"/>
      <c r="AJ87" s="1241"/>
      <c r="AK87" s="1241"/>
      <c r="AL87" s="1241"/>
      <c r="AM87" s="1241"/>
      <c r="AN87" s="1241"/>
      <c r="AO87" s="1241"/>
      <c r="AP87" s="1241"/>
      <c r="AQ87" s="1241"/>
      <c r="AR87" s="1241"/>
      <c r="AS87" s="1241"/>
      <c r="AT87" s="1241"/>
      <c r="AU87" s="1241"/>
      <c r="AV87" s="1241"/>
      <c r="AW87" s="1241"/>
      <c r="AX87" s="1241"/>
      <c r="AY87" s="1241"/>
      <c r="AZ87" s="1241"/>
      <c r="BA87" s="1241"/>
    </row>
    <row r="88" spans="1:53" hidden="1" outlineLevel="1">
      <c r="A88" s="373"/>
      <c r="B88" s="485"/>
      <c r="C88" s="485"/>
      <c r="D88" s="485"/>
      <c r="E88" s="485"/>
      <c r="F88" s="485"/>
      <c r="G88" s="485"/>
      <c r="H88" s="1731"/>
      <c r="I88" s="1166"/>
      <c r="J88" s="2375"/>
      <c r="M88" s="1241"/>
      <c r="N88" s="1241"/>
      <c r="O88" s="1241"/>
      <c r="P88" s="1241"/>
      <c r="Q88" s="1241"/>
      <c r="R88" s="1241"/>
      <c r="S88" s="1241"/>
      <c r="T88" s="1241"/>
      <c r="U88" s="1241"/>
      <c r="V88" s="1241"/>
      <c r="W88" s="1241"/>
      <c r="X88" s="1241"/>
      <c r="Y88" s="1241"/>
      <c r="Z88" s="1241"/>
      <c r="AA88" s="1241"/>
      <c r="AB88" s="1241"/>
      <c r="AC88" s="1241"/>
      <c r="AD88" s="1241"/>
      <c r="AE88" s="1241"/>
      <c r="AF88" s="1241"/>
      <c r="AG88" s="1241"/>
      <c r="AH88" s="1241"/>
      <c r="AI88" s="1241"/>
      <c r="AJ88" s="1241"/>
      <c r="AK88" s="1241"/>
      <c r="AL88" s="1241"/>
      <c r="AM88" s="1241"/>
      <c r="AN88" s="1241"/>
      <c r="AO88" s="1241"/>
      <c r="AP88" s="1241"/>
      <c r="AQ88" s="1241"/>
      <c r="AR88" s="1241"/>
      <c r="AS88" s="1241"/>
      <c r="AT88" s="1241"/>
      <c r="AU88" s="1241"/>
      <c r="AV88" s="1241"/>
      <c r="AW88" s="1241"/>
      <c r="AX88" s="1241"/>
      <c r="AY88" s="1241"/>
      <c r="AZ88" s="1241"/>
      <c r="BA88" s="1241"/>
    </row>
    <row r="89" spans="1:53" hidden="1" outlineLevel="1">
      <c r="A89" s="373"/>
      <c r="B89" s="485"/>
      <c r="C89" s="2147" t="s">
        <v>2215</v>
      </c>
      <c r="D89" s="485"/>
      <c r="E89" s="485"/>
      <c r="F89" s="485"/>
      <c r="G89" s="485"/>
      <c r="H89" s="1731"/>
      <c r="I89" s="1166"/>
      <c r="J89" s="2375"/>
      <c r="M89" s="1241"/>
      <c r="N89" s="1241"/>
      <c r="O89" s="1241"/>
      <c r="P89" s="1241"/>
      <c r="Q89" s="1241"/>
      <c r="R89" s="1241"/>
      <c r="S89" s="1241"/>
      <c r="T89" s="1241"/>
      <c r="U89" s="1241"/>
      <c r="V89" s="1241"/>
      <c r="W89" s="1241"/>
      <c r="X89" s="1241"/>
      <c r="Y89" s="1241"/>
      <c r="Z89" s="1241"/>
      <c r="AA89" s="1241"/>
      <c r="AB89" s="1241"/>
      <c r="AC89" s="1241"/>
      <c r="AD89" s="1241"/>
      <c r="AE89" s="1241"/>
      <c r="AF89" s="1241"/>
      <c r="AG89" s="1241"/>
      <c r="AH89" s="1241"/>
      <c r="AI89" s="1241"/>
      <c r="AJ89" s="1241"/>
      <c r="AK89" s="1241"/>
      <c r="AL89" s="1241"/>
      <c r="AM89" s="1241"/>
      <c r="AN89" s="1241"/>
      <c r="AO89" s="1241"/>
      <c r="AP89" s="1241"/>
      <c r="AQ89" s="1241"/>
      <c r="AR89" s="1241"/>
      <c r="AS89" s="1241"/>
      <c r="AT89" s="1241"/>
      <c r="AU89" s="1241"/>
      <c r="AV89" s="1241"/>
      <c r="AW89" s="1241"/>
      <c r="AX89" s="1241"/>
      <c r="AY89" s="1241"/>
      <c r="AZ89" s="1241"/>
      <c r="BA89" s="1241"/>
    </row>
    <row r="90" spans="1:53" hidden="1" outlineLevel="1">
      <c r="A90" s="373"/>
      <c r="B90" s="485"/>
      <c r="C90" s="485" t="s">
        <v>2210</v>
      </c>
      <c r="D90" s="485"/>
      <c r="E90" s="485"/>
      <c r="F90" s="485"/>
      <c r="G90" s="485"/>
      <c r="H90" s="1731"/>
      <c r="I90" s="1166"/>
      <c r="J90" s="2375">
        <v>1</v>
      </c>
      <c r="M90" s="1241">
        <f>IF($J$90&lt;=3,1,0)</f>
        <v>1</v>
      </c>
      <c r="N90" s="1241">
        <f t="shared" ref="N90:AP90" si="30">IF($J$90&lt;=3,1,0)</f>
        <v>1</v>
      </c>
      <c r="O90" s="1241">
        <f t="shared" si="30"/>
        <v>1</v>
      </c>
      <c r="P90" s="1241">
        <f t="shared" si="30"/>
        <v>1</v>
      </c>
      <c r="Q90" s="1241">
        <f t="shared" si="30"/>
        <v>1</v>
      </c>
      <c r="R90" s="1241">
        <f t="shared" si="30"/>
        <v>1</v>
      </c>
      <c r="S90" s="1241">
        <f t="shared" si="30"/>
        <v>1</v>
      </c>
      <c r="T90" s="1241">
        <f t="shared" si="30"/>
        <v>1</v>
      </c>
      <c r="U90" s="1241">
        <f t="shared" si="30"/>
        <v>1</v>
      </c>
      <c r="V90" s="1241">
        <f t="shared" si="30"/>
        <v>1</v>
      </c>
      <c r="W90" s="1241">
        <f t="shared" si="30"/>
        <v>1</v>
      </c>
      <c r="X90" s="1241">
        <f t="shared" si="30"/>
        <v>1</v>
      </c>
      <c r="Y90" s="1241">
        <f t="shared" si="30"/>
        <v>1</v>
      </c>
      <c r="Z90" s="1241">
        <f t="shared" si="30"/>
        <v>1</v>
      </c>
      <c r="AA90" s="1241">
        <f t="shared" si="30"/>
        <v>1</v>
      </c>
      <c r="AB90" s="1241">
        <f t="shared" si="30"/>
        <v>1</v>
      </c>
      <c r="AC90" s="1241">
        <f t="shared" si="30"/>
        <v>1</v>
      </c>
      <c r="AD90" s="1241">
        <f t="shared" si="30"/>
        <v>1</v>
      </c>
      <c r="AE90" s="1241">
        <f t="shared" si="30"/>
        <v>1</v>
      </c>
      <c r="AF90" s="1241">
        <f t="shared" si="30"/>
        <v>1</v>
      </c>
      <c r="AG90" s="1241">
        <f t="shared" si="30"/>
        <v>1</v>
      </c>
      <c r="AH90" s="1241">
        <f t="shared" si="30"/>
        <v>1</v>
      </c>
      <c r="AI90" s="1241">
        <f t="shared" si="30"/>
        <v>1</v>
      </c>
      <c r="AJ90" s="1241">
        <f t="shared" si="30"/>
        <v>1</v>
      </c>
      <c r="AK90" s="1241">
        <f t="shared" si="30"/>
        <v>1</v>
      </c>
      <c r="AL90" s="1241">
        <f t="shared" si="30"/>
        <v>1</v>
      </c>
      <c r="AM90" s="1241">
        <f t="shared" si="30"/>
        <v>1</v>
      </c>
      <c r="AN90" s="1241">
        <f t="shared" si="30"/>
        <v>1</v>
      </c>
      <c r="AO90" s="1241">
        <f t="shared" si="30"/>
        <v>1</v>
      </c>
      <c r="AP90" s="1241">
        <f t="shared" si="30"/>
        <v>1</v>
      </c>
      <c r="AQ90" s="1241"/>
      <c r="AR90" s="1241"/>
      <c r="AS90" s="1241"/>
      <c r="AT90" s="1241"/>
      <c r="AU90" s="1241"/>
      <c r="AV90" s="1241"/>
      <c r="AW90" s="1241"/>
      <c r="AX90" s="1241"/>
      <c r="AY90" s="1241"/>
      <c r="AZ90" s="1241"/>
      <c r="BA90" s="1241"/>
    </row>
    <row r="91" spans="1:53" hidden="1" outlineLevel="1">
      <c r="A91" s="373"/>
      <c r="B91" s="485"/>
      <c r="C91" s="485" t="s">
        <v>2211</v>
      </c>
      <c r="D91" s="485"/>
      <c r="E91" s="485"/>
      <c r="F91" s="485"/>
      <c r="G91" s="485"/>
      <c r="H91" s="1731"/>
      <c r="I91" s="1166"/>
      <c r="J91" s="2375">
        <v>2</v>
      </c>
      <c r="M91" s="1241">
        <f>IF($J$91=2,1,0)</f>
        <v>1</v>
      </c>
      <c r="N91" s="1241">
        <f t="shared" ref="N91:AP91" si="31">IF($J$91=2,1,0)</f>
        <v>1</v>
      </c>
      <c r="O91" s="1241">
        <f t="shared" si="31"/>
        <v>1</v>
      </c>
      <c r="P91" s="1241">
        <f t="shared" si="31"/>
        <v>1</v>
      </c>
      <c r="Q91" s="1241">
        <f t="shared" si="31"/>
        <v>1</v>
      </c>
      <c r="R91" s="1241">
        <f t="shared" si="31"/>
        <v>1</v>
      </c>
      <c r="S91" s="1241">
        <f t="shared" si="31"/>
        <v>1</v>
      </c>
      <c r="T91" s="1241">
        <f t="shared" si="31"/>
        <v>1</v>
      </c>
      <c r="U91" s="1241">
        <f t="shared" si="31"/>
        <v>1</v>
      </c>
      <c r="V91" s="1241">
        <f t="shared" si="31"/>
        <v>1</v>
      </c>
      <c r="W91" s="1241">
        <f t="shared" si="31"/>
        <v>1</v>
      </c>
      <c r="X91" s="1241">
        <f t="shared" si="31"/>
        <v>1</v>
      </c>
      <c r="Y91" s="1241">
        <f t="shared" si="31"/>
        <v>1</v>
      </c>
      <c r="Z91" s="1241">
        <f t="shared" si="31"/>
        <v>1</v>
      </c>
      <c r="AA91" s="1241">
        <f t="shared" si="31"/>
        <v>1</v>
      </c>
      <c r="AB91" s="1241">
        <f t="shared" si="31"/>
        <v>1</v>
      </c>
      <c r="AC91" s="1241">
        <f t="shared" si="31"/>
        <v>1</v>
      </c>
      <c r="AD91" s="1241">
        <f t="shared" si="31"/>
        <v>1</v>
      </c>
      <c r="AE91" s="1241">
        <f t="shared" si="31"/>
        <v>1</v>
      </c>
      <c r="AF91" s="1241">
        <f t="shared" si="31"/>
        <v>1</v>
      </c>
      <c r="AG91" s="1241">
        <f t="shared" si="31"/>
        <v>1</v>
      </c>
      <c r="AH91" s="1241">
        <f t="shared" si="31"/>
        <v>1</v>
      </c>
      <c r="AI91" s="1241">
        <f t="shared" si="31"/>
        <v>1</v>
      </c>
      <c r="AJ91" s="1241">
        <f t="shared" si="31"/>
        <v>1</v>
      </c>
      <c r="AK91" s="1241">
        <f t="shared" si="31"/>
        <v>1</v>
      </c>
      <c r="AL91" s="1241">
        <f t="shared" si="31"/>
        <v>1</v>
      </c>
      <c r="AM91" s="1241">
        <f t="shared" si="31"/>
        <v>1</v>
      </c>
      <c r="AN91" s="1241">
        <f t="shared" si="31"/>
        <v>1</v>
      </c>
      <c r="AO91" s="1241">
        <f t="shared" si="31"/>
        <v>1</v>
      </c>
      <c r="AP91" s="1241">
        <f t="shared" si="31"/>
        <v>1</v>
      </c>
      <c r="AQ91" s="1241"/>
      <c r="AR91" s="1241"/>
      <c r="AS91" s="1241"/>
      <c r="AT91" s="1241"/>
      <c r="AU91" s="1241"/>
      <c r="AV91" s="1241"/>
      <c r="AW91" s="1241"/>
      <c r="AX91" s="1241"/>
      <c r="AY91" s="1241"/>
      <c r="AZ91" s="1241"/>
      <c r="BA91" s="1241"/>
    </row>
    <row r="92" spans="1:53" s="2704" customFormat="1" ht="15.6" hidden="1" customHeight="1" outlineLevel="1">
      <c r="A92" s="2703"/>
      <c r="B92" s="2698"/>
      <c r="C92" s="2698"/>
      <c r="D92" s="2698"/>
      <c r="E92" s="2698"/>
      <c r="F92" s="2698"/>
      <c r="G92" s="2698"/>
      <c r="H92" s="2699"/>
      <c r="I92" s="2700"/>
      <c r="J92" s="2706"/>
      <c r="M92" s="2702"/>
      <c r="N92" s="2702"/>
      <c r="O92" s="2702"/>
      <c r="P92" s="2702"/>
      <c r="Q92" s="2702"/>
      <c r="R92" s="2702"/>
      <c r="S92" s="2702"/>
      <c r="T92" s="2702"/>
      <c r="U92" s="2702"/>
      <c r="V92" s="2702"/>
      <c r="W92" s="2702"/>
      <c r="X92" s="2702"/>
      <c r="Y92" s="2702"/>
      <c r="Z92" s="2702"/>
      <c r="AA92" s="2702"/>
      <c r="AB92" s="2702"/>
      <c r="AC92" s="2702"/>
      <c r="AD92" s="2702"/>
      <c r="AE92" s="2702"/>
      <c r="AF92" s="2702"/>
      <c r="AG92" s="2702"/>
      <c r="AH92" s="2702"/>
      <c r="AI92" s="2702"/>
      <c r="AJ92" s="2702"/>
      <c r="AK92" s="2702"/>
      <c r="AL92" s="2702"/>
      <c r="AM92" s="2702"/>
      <c r="AN92" s="2702"/>
      <c r="AO92" s="2702"/>
      <c r="AP92" s="2702"/>
      <c r="AQ92" s="2702"/>
      <c r="AR92" s="2702"/>
      <c r="AS92" s="2702"/>
      <c r="AT92" s="2702"/>
      <c r="AU92" s="2702"/>
      <c r="AV92" s="2702"/>
      <c r="AW92" s="2702"/>
      <c r="AX92" s="2702"/>
      <c r="AY92" s="2702"/>
      <c r="AZ92" s="2702"/>
      <c r="BA92" s="2702"/>
    </row>
    <row r="93" spans="1:53" ht="15.6" hidden="1" customHeight="1" outlineLevel="1">
      <c r="A93" s="373"/>
      <c r="B93" s="485"/>
      <c r="C93" s="485" t="s">
        <v>2214</v>
      </c>
      <c r="D93" s="485"/>
      <c r="E93" s="485"/>
      <c r="F93" s="485"/>
      <c r="G93" s="485"/>
      <c r="H93" s="1731"/>
      <c r="I93" s="1166"/>
      <c r="J93" s="2375">
        <v>1</v>
      </c>
      <c r="M93" s="1241">
        <f>IF($J$93=1,1,0)</f>
        <v>1</v>
      </c>
      <c r="N93" s="1241">
        <f t="shared" ref="N93:AP93" si="32">IF($J$93=1,1,0)</f>
        <v>1</v>
      </c>
      <c r="O93" s="1241">
        <f t="shared" si="32"/>
        <v>1</v>
      </c>
      <c r="P93" s="1241">
        <f t="shared" si="32"/>
        <v>1</v>
      </c>
      <c r="Q93" s="1241">
        <f t="shared" si="32"/>
        <v>1</v>
      </c>
      <c r="R93" s="1241">
        <f t="shared" si="32"/>
        <v>1</v>
      </c>
      <c r="S93" s="1241">
        <f t="shared" si="32"/>
        <v>1</v>
      </c>
      <c r="T93" s="1241">
        <f t="shared" si="32"/>
        <v>1</v>
      </c>
      <c r="U93" s="1241">
        <f t="shared" si="32"/>
        <v>1</v>
      </c>
      <c r="V93" s="1241">
        <f t="shared" si="32"/>
        <v>1</v>
      </c>
      <c r="W93" s="1241">
        <f t="shared" si="32"/>
        <v>1</v>
      </c>
      <c r="X93" s="1241">
        <f t="shared" si="32"/>
        <v>1</v>
      </c>
      <c r="Y93" s="1241">
        <f t="shared" si="32"/>
        <v>1</v>
      </c>
      <c r="Z93" s="1241">
        <f t="shared" si="32"/>
        <v>1</v>
      </c>
      <c r="AA93" s="1241">
        <f t="shared" si="32"/>
        <v>1</v>
      </c>
      <c r="AB93" s="1241">
        <f t="shared" si="32"/>
        <v>1</v>
      </c>
      <c r="AC93" s="1241">
        <f t="shared" si="32"/>
        <v>1</v>
      </c>
      <c r="AD93" s="1241">
        <f t="shared" si="32"/>
        <v>1</v>
      </c>
      <c r="AE93" s="1241">
        <f t="shared" si="32"/>
        <v>1</v>
      </c>
      <c r="AF93" s="1241">
        <f t="shared" si="32"/>
        <v>1</v>
      </c>
      <c r="AG93" s="1241">
        <f t="shared" si="32"/>
        <v>1</v>
      </c>
      <c r="AH93" s="1241">
        <f t="shared" si="32"/>
        <v>1</v>
      </c>
      <c r="AI93" s="1241">
        <f t="shared" si="32"/>
        <v>1</v>
      </c>
      <c r="AJ93" s="1241">
        <f t="shared" si="32"/>
        <v>1</v>
      </c>
      <c r="AK93" s="1241">
        <f t="shared" si="32"/>
        <v>1</v>
      </c>
      <c r="AL93" s="1241">
        <f t="shared" si="32"/>
        <v>1</v>
      </c>
      <c r="AM93" s="1241">
        <f t="shared" si="32"/>
        <v>1</v>
      </c>
      <c r="AN93" s="1241">
        <f t="shared" si="32"/>
        <v>1</v>
      </c>
      <c r="AO93" s="1241">
        <f t="shared" si="32"/>
        <v>1</v>
      </c>
      <c r="AP93" s="1241">
        <f t="shared" si="32"/>
        <v>1</v>
      </c>
      <c r="AQ93" s="1241"/>
      <c r="AR93" s="1241"/>
      <c r="AS93" s="1241"/>
      <c r="AT93" s="1241"/>
      <c r="AU93" s="1241"/>
      <c r="AV93" s="1241"/>
      <c r="AW93" s="1241"/>
      <c r="AX93" s="1241"/>
      <c r="AY93" s="1241"/>
      <c r="AZ93" s="1241"/>
      <c r="BA93" s="1241"/>
    </row>
    <row r="94" spans="1:53" ht="15.6" hidden="1" customHeight="1" outlineLevel="1">
      <c r="A94" s="373"/>
      <c r="B94" s="485"/>
      <c r="C94" s="485"/>
      <c r="D94" s="485"/>
      <c r="E94" s="485"/>
      <c r="F94" s="485"/>
      <c r="G94" s="485"/>
      <c r="H94" s="1731"/>
      <c r="I94" s="1166"/>
      <c r="J94" s="2376"/>
      <c r="M94" s="1241"/>
      <c r="N94" s="1241"/>
      <c r="O94" s="1241"/>
      <c r="P94" s="1241"/>
      <c r="Q94" s="1241"/>
      <c r="R94" s="1241"/>
      <c r="S94" s="1241"/>
      <c r="T94" s="1241"/>
      <c r="U94" s="1241"/>
      <c r="V94" s="1241"/>
      <c r="W94" s="1241"/>
      <c r="X94" s="1241"/>
      <c r="Y94" s="1241"/>
      <c r="Z94" s="1241"/>
      <c r="AA94" s="1241"/>
      <c r="AB94" s="1241"/>
      <c r="AC94" s="1241"/>
      <c r="AD94" s="1241"/>
      <c r="AE94" s="1241"/>
      <c r="AF94" s="1241"/>
      <c r="AG94" s="1241"/>
      <c r="AH94" s="1241"/>
      <c r="AI94" s="1241"/>
      <c r="AJ94" s="1241"/>
      <c r="AK94" s="1241"/>
      <c r="AL94" s="1241"/>
      <c r="AM94" s="1241"/>
      <c r="AN94" s="1241"/>
      <c r="AO94" s="1241"/>
      <c r="AP94" s="1241"/>
      <c r="AQ94" s="1241"/>
      <c r="AR94" s="1241"/>
      <c r="AS94" s="1241"/>
      <c r="AT94" s="1241"/>
      <c r="AU94" s="1241"/>
      <c r="AV94" s="1241"/>
      <c r="AW94" s="1241"/>
      <c r="AX94" s="1241"/>
      <c r="AY94" s="1241"/>
      <c r="AZ94" s="1241"/>
      <c r="BA94" s="1241"/>
    </row>
    <row r="95" spans="1:53" ht="15.6" hidden="1" customHeight="1" outlineLevel="1">
      <c r="A95" s="373"/>
      <c r="B95" s="485"/>
      <c r="C95" s="2147" t="s">
        <v>2216</v>
      </c>
      <c r="D95" s="485"/>
      <c r="E95" s="485"/>
      <c r="F95" s="485"/>
      <c r="G95" s="485"/>
      <c r="H95" s="1731"/>
      <c r="I95" s="1166"/>
      <c r="J95" s="2376"/>
      <c r="M95" s="1241"/>
      <c r="N95" s="1241"/>
      <c r="O95" s="1241"/>
      <c r="P95" s="1241"/>
      <c r="Q95" s="1241"/>
      <c r="R95" s="1241"/>
      <c r="S95" s="1241"/>
      <c r="T95" s="1241"/>
      <c r="U95" s="1241"/>
      <c r="V95" s="1241"/>
      <c r="W95" s="1241"/>
      <c r="X95" s="1241"/>
      <c r="Y95" s="1241"/>
      <c r="Z95" s="1241"/>
      <c r="AA95" s="1241"/>
      <c r="AB95" s="1241"/>
      <c r="AC95" s="1241"/>
      <c r="AD95" s="1241"/>
      <c r="AE95" s="1241"/>
      <c r="AF95" s="1241"/>
      <c r="AG95" s="1241"/>
      <c r="AH95" s="1241"/>
      <c r="AI95" s="1241"/>
      <c r="AJ95" s="1241"/>
      <c r="AK95" s="1241"/>
      <c r="AL95" s="1241"/>
      <c r="AM95" s="1241"/>
      <c r="AN95" s="1241"/>
      <c r="AO95" s="1241"/>
      <c r="AP95" s="1241"/>
      <c r="AQ95" s="1241"/>
      <c r="AR95" s="1241"/>
      <c r="AS95" s="1241"/>
      <c r="AT95" s="1241"/>
      <c r="AU95" s="1241"/>
      <c r="AV95" s="1241"/>
      <c r="AW95" s="1241"/>
      <c r="AX95" s="1241"/>
      <c r="AY95" s="1241"/>
      <c r="AZ95" s="1241"/>
      <c r="BA95" s="1241"/>
    </row>
    <row r="96" spans="1:53" ht="15.6" hidden="1" customHeight="1" outlineLevel="1">
      <c r="A96" s="373"/>
      <c r="B96" s="485"/>
      <c r="C96" s="485" t="s">
        <v>2210</v>
      </c>
      <c r="D96" s="485"/>
      <c r="E96" s="485"/>
      <c r="F96" s="485"/>
      <c r="G96" s="485"/>
      <c r="H96" s="1731"/>
      <c r="I96" s="1166"/>
      <c r="J96" s="2375">
        <v>1</v>
      </c>
      <c r="M96" s="1241" t="s">
        <v>2218</v>
      </c>
      <c r="N96" s="1241"/>
      <c r="O96" s="1241"/>
      <c r="P96" s="1241"/>
      <c r="Q96" s="1241"/>
      <c r="R96" s="1241"/>
      <c r="S96" s="1241"/>
      <c r="T96" s="1241"/>
      <c r="U96" s="1241"/>
      <c r="V96" s="1241"/>
      <c r="W96" s="1241"/>
      <c r="X96" s="1241"/>
      <c r="Y96" s="1241"/>
      <c r="Z96" s="1241"/>
      <c r="AA96" s="1241"/>
      <c r="AB96" s="1241"/>
      <c r="AC96" s="1241"/>
      <c r="AD96" s="1241"/>
      <c r="AE96" s="1241"/>
      <c r="AF96" s="1241"/>
      <c r="AG96" s="1241"/>
      <c r="AH96" s="1241"/>
      <c r="AI96" s="1241"/>
      <c r="AJ96" s="1241"/>
      <c r="AK96" s="1241"/>
      <c r="AL96" s="1241"/>
      <c r="AM96" s="1241"/>
      <c r="AN96" s="1241"/>
      <c r="AO96" s="1241"/>
      <c r="AP96" s="1241"/>
      <c r="AQ96" s="1241"/>
      <c r="AR96" s="1241"/>
      <c r="AS96" s="1241"/>
      <c r="AT96" s="1241"/>
      <c r="AU96" s="1241"/>
      <c r="AV96" s="1241"/>
      <c r="AW96" s="1241"/>
      <c r="AX96" s="1241"/>
      <c r="AY96" s="1241"/>
      <c r="AZ96" s="1241"/>
      <c r="BA96" s="1241"/>
    </row>
    <row r="97" spans="1:53" ht="15.6" hidden="1" customHeight="1" outlineLevel="1">
      <c r="A97" s="373"/>
      <c r="B97" s="485"/>
      <c r="C97" s="485" t="s">
        <v>2211</v>
      </c>
      <c r="D97" s="485"/>
      <c r="E97" s="485"/>
      <c r="F97" s="485"/>
      <c r="G97" s="485"/>
      <c r="H97" s="1731"/>
      <c r="I97" s="1166"/>
      <c r="J97" s="2375">
        <v>2</v>
      </c>
      <c r="M97" s="1241" t="s">
        <v>2218</v>
      </c>
      <c r="N97" s="1241"/>
      <c r="O97" s="1241"/>
      <c r="P97" s="1241"/>
      <c r="Q97" s="1241"/>
      <c r="R97" s="1241"/>
      <c r="S97" s="1241"/>
      <c r="T97" s="1241"/>
      <c r="U97" s="1241"/>
      <c r="V97" s="1241"/>
      <c r="W97" s="1241"/>
      <c r="X97" s="1241"/>
      <c r="Y97" s="1241"/>
      <c r="Z97" s="1241"/>
      <c r="AA97" s="1241"/>
      <c r="AB97" s="1241"/>
      <c r="AC97" s="1241"/>
      <c r="AD97" s="1241"/>
      <c r="AE97" s="1241"/>
      <c r="AF97" s="1241"/>
      <c r="AG97" s="1241"/>
      <c r="AH97" s="1241"/>
      <c r="AI97" s="1241"/>
      <c r="AJ97" s="1241"/>
      <c r="AK97" s="1241"/>
      <c r="AL97" s="1241"/>
      <c r="AM97" s="1241"/>
      <c r="AN97" s="1241"/>
      <c r="AO97" s="1241"/>
      <c r="AP97" s="1241"/>
      <c r="AQ97" s="1241"/>
      <c r="AR97" s="1241"/>
      <c r="AS97" s="1241"/>
      <c r="AT97" s="1241"/>
      <c r="AU97" s="1241"/>
      <c r="AV97" s="1241"/>
      <c r="AW97" s="1241"/>
      <c r="AX97" s="1241"/>
      <c r="AY97" s="1241"/>
      <c r="AZ97" s="1241"/>
      <c r="BA97" s="1241"/>
    </row>
    <row r="98" spans="1:53" s="2704" customFormat="1" ht="15" hidden="1" customHeight="1" outlineLevel="1">
      <c r="A98" s="2703"/>
      <c r="B98" s="2698"/>
      <c r="C98" s="2698"/>
      <c r="D98" s="2698"/>
      <c r="E98" s="2698"/>
      <c r="F98" s="2698"/>
      <c r="G98" s="2698"/>
      <c r="H98" s="2699"/>
      <c r="I98" s="2700"/>
      <c r="J98" s="2706"/>
      <c r="M98" s="2702"/>
      <c r="N98" s="2702"/>
      <c r="O98" s="2702"/>
      <c r="P98" s="2702"/>
      <c r="Q98" s="2702"/>
      <c r="R98" s="2702"/>
      <c r="S98" s="2702"/>
      <c r="T98" s="2702"/>
      <c r="U98" s="2702"/>
      <c r="V98" s="2702"/>
      <c r="W98" s="2702"/>
      <c r="X98" s="2702"/>
      <c r="Y98" s="2702"/>
      <c r="Z98" s="2702"/>
      <c r="AA98" s="2702"/>
      <c r="AB98" s="2702"/>
      <c r="AC98" s="2702"/>
      <c r="AD98" s="2702"/>
      <c r="AE98" s="2702"/>
      <c r="AF98" s="2702"/>
      <c r="AG98" s="2702"/>
      <c r="AH98" s="2702"/>
      <c r="AI98" s="2702"/>
      <c r="AJ98" s="2702"/>
      <c r="AK98" s="2702"/>
      <c r="AL98" s="2702"/>
      <c r="AM98" s="2702"/>
      <c r="AN98" s="2702"/>
      <c r="AO98" s="2702"/>
      <c r="AP98" s="2702"/>
      <c r="AQ98" s="2702"/>
      <c r="AR98" s="2702"/>
      <c r="AS98" s="2702"/>
      <c r="AT98" s="2702"/>
      <c r="AU98" s="2702"/>
      <c r="AV98" s="2702"/>
      <c r="AW98" s="2702"/>
      <c r="AX98" s="2702"/>
      <c r="AY98" s="2702"/>
      <c r="AZ98" s="2702"/>
      <c r="BA98" s="2702"/>
    </row>
    <row r="99" spans="1:53" ht="15.6" hidden="1" customHeight="1" outlineLevel="1">
      <c r="A99" s="373"/>
      <c r="B99" s="485"/>
      <c r="C99" s="485" t="s">
        <v>2214</v>
      </c>
      <c r="D99" s="485"/>
      <c r="E99" s="485"/>
      <c r="F99" s="485"/>
      <c r="G99" s="485"/>
      <c r="H99" s="1731"/>
      <c r="I99" s="1166"/>
      <c r="J99" s="2375">
        <v>1</v>
      </c>
      <c r="M99" s="1241" t="s">
        <v>2218</v>
      </c>
      <c r="N99" s="1241"/>
      <c r="O99" s="1241"/>
      <c r="P99" s="1241"/>
      <c r="Q99" s="1241"/>
      <c r="R99" s="1241"/>
      <c r="S99" s="1241"/>
      <c r="T99" s="1241"/>
      <c r="U99" s="1241"/>
      <c r="V99" s="1241"/>
      <c r="W99" s="1241"/>
      <c r="X99" s="1241"/>
      <c r="Y99" s="1241"/>
      <c r="Z99" s="1241"/>
      <c r="AA99" s="1241"/>
      <c r="AB99" s="1241"/>
      <c r="AC99" s="1241"/>
      <c r="AD99" s="1241"/>
      <c r="AE99" s="1241"/>
      <c r="AF99" s="1241"/>
      <c r="AG99" s="1241"/>
      <c r="AH99" s="1241"/>
      <c r="AI99" s="1241"/>
      <c r="AJ99" s="1241"/>
      <c r="AK99" s="1241"/>
      <c r="AL99" s="1241"/>
      <c r="AM99" s="1241"/>
      <c r="AN99" s="1241"/>
      <c r="AO99" s="1241"/>
      <c r="AP99" s="1241"/>
      <c r="AQ99" s="1241"/>
      <c r="AR99" s="1241"/>
      <c r="AS99" s="1241"/>
      <c r="AT99" s="1241"/>
      <c r="AU99" s="1241"/>
      <c r="AV99" s="1241"/>
      <c r="AW99" s="1241"/>
      <c r="AX99" s="1241"/>
      <c r="AY99" s="1241"/>
      <c r="AZ99" s="1241"/>
      <c r="BA99" s="1241"/>
    </row>
    <row r="100" spans="1:53" ht="15.6" hidden="1" customHeight="1" outlineLevel="1">
      <c r="A100" s="373"/>
      <c r="B100" s="485"/>
      <c r="C100" s="485"/>
      <c r="D100" s="485"/>
      <c r="E100" s="485"/>
      <c r="F100" s="485"/>
      <c r="G100" s="485"/>
      <c r="H100" s="1731"/>
      <c r="I100" s="1166"/>
      <c r="J100" s="2376"/>
      <c r="M100" s="1241"/>
      <c r="N100" s="1241"/>
      <c r="O100" s="1241"/>
      <c r="P100" s="1241"/>
      <c r="Q100" s="1241"/>
      <c r="R100" s="1241"/>
      <c r="S100" s="1241"/>
      <c r="T100" s="1241"/>
      <c r="U100" s="1241"/>
      <c r="V100" s="1241"/>
      <c r="W100" s="1241"/>
      <c r="X100" s="1241"/>
      <c r="Y100" s="1241"/>
      <c r="Z100" s="1241"/>
      <c r="AA100" s="1241"/>
      <c r="AB100" s="1241"/>
      <c r="AC100" s="1241"/>
      <c r="AD100" s="1241"/>
      <c r="AE100" s="1241"/>
      <c r="AF100" s="1241"/>
      <c r="AG100" s="1241"/>
      <c r="AH100" s="1241"/>
      <c r="AI100" s="1241"/>
      <c r="AJ100" s="1241"/>
      <c r="AK100" s="1241"/>
      <c r="AL100" s="1241"/>
      <c r="AM100" s="1241"/>
      <c r="AN100" s="1241"/>
      <c r="AO100" s="1241"/>
      <c r="AP100" s="1241"/>
      <c r="AQ100" s="1241"/>
      <c r="AR100" s="1241"/>
      <c r="AS100" s="1241"/>
      <c r="AT100" s="1241"/>
      <c r="AU100" s="1241"/>
      <c r="AV100" s="1241"/>
      <c r="AW100" s="1241"/>
      <c r="AX100" s="1241"/>
      <c r="AY100" s="1241"/>
      <c r="AZ100" s="1241"/>
      <c r="BA100" s="1241"/>
    </row>
    <row r="101" spans="1:53" ht="12" hidden="1" outlineLevel="1" thickBot="1">
      <c r="A101" s="373"/>
      <c r="B101" s="485"/>
      <c r="C101" s="2147" t="s">
        <v>1246</v>
      </c>
      <c r="D101" s="485"/>
      <c r="E101" s="485"/>
      <c r="F101" s="485"/>
      <c r="G101" s="485"/>
      <c r="H101" s="1731"/>
      <c r="I101" s="1166"/>
      <c r="J101" s="2376"/>
      <c r="M101" s="1241"/>
      <c r="N101" s="1241"/>
      <c r="O101" s="1241"/>
      <c r="P101" s="1241"/>
      <c r="Q101" s="1241"/>
      <c r="R101" s="1241"/>
      <c r="S101" s="1241"/>
      <c r="T101" s="1241"/>
      <c r="U101" s="1241"/>
      <c r="V101" s="1241"/>
      <c r="W101" s="1241"/>
      <c r="X101" s="1241"/>
      <c r="Y101" s="1241"/>
      <c r="Z101" s="1241"/>
      <c r="AA101" s="1241"/>
      <c r="AB101" s="1241"/>
      <c r="AC101" s="1241"/>
      <c r="AD101" s="1241"/>
      <c r="AE101" s="1241"/>
      <c r="AF101" s="1241"/>
      <c r="AG101" s="1241"/>
      <c r="AH101" s="1241"/>
      <c r="AI101" s="1241"/>
      <c r="AJ101" s="1241"/>
      <c r="AK101" s="1241"/>
      <c r="AL101" s="1241"/>
      <c r="AM101" s="1241"/>
      <c r="AN101" s="1241"/>
      <c r="AO101" s="1241"/>
      <c r="AP101" s="1241"/>
      <c r="AQ101" s="1241"/>
      <c r="AR101" s="1241"/>
      <c r="AS101" s="1241"/>
      <c r="AT101" s="1241"/>
      <c r="AU101" s="1241"/>
      <c r="AV101" s="1241"/>
      <c r="AW101" s="1241"/>
      <c r="AX101" s="1241"/>
      <c r="AY101" s="1241"/>
      <c r="AZ101" s="1241"/>
      <c r="BA101" s="1241"/>
    </row>
    <row r="102" spans="1:53" ht="13.9" hidden="1" customHeight="1" outlineLevel="1" thickBot="1">
      <c r="A102" s="373"/>
      <c r="B102" s="485"/>
      <c r="C102" s="485" t="s">
        <v>1395</v>
      </c>
      <c r="D102" s="485"/>
      <c r="E102" s="485"/>
      <c r="F102" s="485"/>
      <c r="G102" s="485"/>
      <c r="H102" s="1731"/>
      <c r="I102" s="1166"/>
      <c r="J102" s="1924">
        <v>1</v>
      </c>
      <c r="M102" s="1245"/>
      <c r="N102" s="1245"/>
      <c r="O102" s="1245"/>
      <c r="P102" s="1245"/>
      <c r="Q102" s="1245"/>
      <c r="R102" s="1245"/>
      <c r="S102" s="1245"/>
      <c r="T102" s="1245"/>
      <c r="U102" s="1245"/>
      <c r="V102" s="1245"/>
      <c r="W102" s="1245"/>
      <c r="X102" s="1245"/>
      <c r="Y102" s="1245"/>
      <c r="Z102" s="1245"/>
      <c r="AA102" s="1245"/>
      <c r="AB102" s="1245"/>
      <c r="AC102" s="1245"/>
      <c r="AD102" s="1245"/>
      <c r="AE102" s="1245"/>
      <c r="AF102" s="1245"/>
      <c r="AG102" s="1245"/>
      <c r="AH102" s="1245"/>
      <c r="AI102" s="1245"/>
      <c r="AJ102" s="1245"/>
      <c r="AK102" s="1245"/>
      <c r="AL102" s="1245"/>
      <c r="AM102" s="1245"/>
      <c r="AN102" s="1245"/>
      <c r="AO102" s="1245"/>
      <c r="AP102" s="1245"/>
      <c r="AQ102" s="1245"/>
      <c r="AR102" s="1245"/>
      <c r="AS102" s="1245"/>
      <c r="AT102" s="1245"/>
      <c r="AU102" s="1245"/>
      <c r="AV102" s="1245"/>
      <c r="AW102" s="1245"/>
      <c r="AX102" s="1245"/>
      <c r="AY102" s="1245"/>
      <c r="AZ102" s="1245"/>
      <c r="BA102" s="358"/>
    </row>
    <row r="103" spans="1:53" ht="13.9" hidden="1" customHeight="1" outlineLevel="1" thickBot="1">
      <c r="A103" s="373"/>
      <c r="B103" s="485"/>
      <c r="C103" s="485"/>
      <c r="D103" s="485"/>
      <c r="E103" s="485"/>
      <c r="F103" s="485"/>
      <c r="G103" s="485"/>
      <c r="H103" s="1731"/>
      <c r="I103" s="1166"/>
      <c r="J103" s="2148"/>
      <c r="M103" s="1245"/>
      <c r="N103" s="1245"/>
      <c r="O103" s="1245"/>
      <c r="P103" s="1245"/>
      <c r="Q103" s="1245"/>
      <c r="R103" s="1245"/>
      <c r="S103" s="1245"/>
      <c r="T103" s="1245"/>
      <c r="U103" s="1245"/>
      <c r="V103" s="1245"/>
      <c r="W103" s="1245"/>
      <c r="X103" s="1245"/>
      <c r="Y103" s="1245"/>
      <c r="Z103" s="1245"/>
      <c r="AA103" s="1245"/>
      <c r="AB103" s="1245"/>
      <c r="AC103" s="1245"/>
      <c r="AD103" s="1245"/>
      <c r="AE103" s="1245"/>
      <c r="AF103" s="1245"/>
      <c r="AG103" s="1245"/>
      <c r="AH103" s="1245"/>
      <c r="AI103" s="1245"/>
      <c r="AJ103" s="1245"/>
      <c r="AK103" s="1245"/>
      <c r="AL103" s="1245"/>
      <c r="AM103" s="1245"/>
      <c r="AN103" s="1245"/>
      <c r="AO103" s="1245"/>
      <c r="AP103" s="1245"/>
      <c r="AQ103" s="1245"/>
      <c r="AR103" s="1245"/>
      <c r="AS103" s="1245"/>
      <c r="AT103" s="1245"/>
      <c r="AU103" s="1245"/>
      <c r="AV103" s="1245"/>
      <c r="AW103" s="1245"/>
      <c r="AX103" s="1245"/>
      <c r="AY103" s="1245"/>
      <c r="AZ103" s="1245"/>
      <c r="BA103" s="358"/>
    </row>
    <row r="104" spans="1:53" ht="13.9" hidden="1" customHeight="1" outlineLevel="1" thickBot="1">
      <c r="A104" s="373"/>
      <c r="B104" s="485"/>
      <c r="C104" s="485" t="s">
        <v>1823</v>
      </c>
      <c r="D104" s="485"/>
      <c r="E104" s="485"/>
      <c r="F104" s="485"/>
      <c r="G104" s="485"/>
      <c r="H104" s="1731"/>
      <c r="I104" s="1166"/>
      <c r="J104" s="1924" t="s">
        <v>2334</v>
      </c>
      <c r="M104" s="1245"/>
      <c r="N104" s="1245"/>
      <c r="O104" s="1245"/>
      <c r="P104" s="1245"/>
      <c r="Q104" s="1245"/>
      <c r="R104" s="1245"/>
      <c r="S104" s="1245"/>
      <c r="T104" s="1245"/>
      <c r="U104" s="1245"/>
      <c r="V104" s="1245"/>
      <c r="W104" s="1245"/>
      <c r="X104" s="1245"/>
      <c r="Y104" s="1245"/>
      <c r="Z104" s="1245"/>
      <c r="AA104" s="1245"/>
      <c r="AB104" s="1245"/>
      <c r="AC104" s="1245"/>
      <c r="AD104" s="1245"/>
      <c r="AE104" s="1245"/>
      <c r="AF104" s="1245"/>
      <c r="AG104" s="1245"/>
      <c r="AH104" s="1245"/>
      <c r="AI104" s="1245"/>
      <c r="AJ104" s="1245"/>
      <c r="AK104" s="1245"/>
      <c r="AL104" s="1245"/>
      <c r="AM104" s="1245"/>
      <c r="AN104" s="1245"/>
      <c r="AO104" s="1245"/>
      <c r="AP104" s="1245"/>
      <c r="AQ104" s="1245"/>
      <c r="AR104" s="1245"/>
      <c r="AS104" s="1245"/>
      <c r="AT104" s="1245"/>
      <c r="AU104" s="1245"/>
      <c r="AV104" s="1245"/>
      <c r="AW104" s="1245"/>
      <c r="AX104" s="1245"/>
      <c r="AY104" s="1245"/>
      <c r="AZ104" s="1245"/>
      <c r="BA104" s="358"/>
    </row>
    <row r="105" spans="1:53" ht="13.9" hidden="1" customHeight="1" outlineLevel="1" thickBot="1">
      <c r="A105" s="485"/>
      <c r="B105" s="485"/>
      <c r="C105" s="485" t="s">
        <v>2233</v>
      </c>
      <c r="D105" s="485"/>
      <c r="E105" s="485"/>
      <c r="F105" s="485"/>
      <c r="G105" s="485"/>
      <c r="H105" s="1731"/>
      <c r="I105" s="2377"/>
      <c r="J105" s="2374">
        <v>1</v>
      </c>
      <c r="M105" s="1245"/>
      <c r="N105" s="1245"/>
      <c r="O105" s="1245"/>
      <c r="P105" s="1245"/>
      <c r="Q105" s="1245"/>
      <c r="R105" s="1245"/>
      <c r="S105" s="1245"/>
      <c r="T105" s="1245"/>
      <c r="U105" s="1245"/>
      <c r="V105" s="1245"/>
      <c r="W105" s="1245"/>
      <c r="X105" s="1245"/>
      <c r="Y105" s="1245"/>
      <c r="Z105" s="1245"/>
      <c r="AA105" s="1245"/>
      <c r="AB105" s="1245"/>
      <c r="AC105" s="1245"/>
      <c r="AD105" s="1245"/>
      <c r="AE105" s="1245"/>
      <c r="AF105" s="1245"/>
      <c r="AG105" s="1245"/>
      <c r="AH105" s="1245"/>
      <c r="AI105" s="1245"/>
      <c r="AJ105" s="1245"/>
      <c r="AK105" s="1245"/>
      <c r="AL105" s="1245"/>
      <c r="AM105" s="1245"/>
      <c r="AN105" s="1245"/>
      <c r="AO105" s="1245"/>
      <c r="AP105" s="1245"/>
      <c r="AQ105" s="1245"/>
      <c r="AR105" s="1245"/>
      <c r="AS105" s="1245"/>
      <c r="AT105" s="1245"/>
      <c r="AU105" s="1245"/>
      <c r="AV105" s="1245"/>
      <c r="AW105" s="1245"/>
      <c r="AX105" s="1245"/>
      <c r="AY105" s="1245"/>
      <c r="AZ105" s="1245"/>
      <c r="BA105" s="358"/>
    </row>
    <row r="106" spans="1:53" ht="12" hidden="1" outlineLevel="1" thickBot="1">
      <c r="A106" s="373"/>
      <c r="B106" s="485"/>
      <c r="C106" s="2147" t="s">
        <v>1247</v>
      </c>
      <c r="D106" s="485"/>
      <c r="E106" s="485"/>
      <c r="F106" s="485"/>
      <c r="G106" s="485"/>
      <c r="H106" s="1731"/>
      <c r="I106" s="1166"/>
      <c r="J106" s="2149"/>
      <c r="M106" s="1245"/>
      <c r="N106" s="1245"/>
      <c r="O106" s="1245"/>
      <c r="P106" s="1245"/>
      <c r="Q106" s="1245"/>
      <c r="R106" s="1245"/>
      <c r="S106" s="1245"/>
      <c r="T106" s="1245"/>
      <c r="U106" s="1245"/>
      <c r="V106" s="1245"/>
      <c r="W106" s="1245"/>
      <c r="X106" s="1245"/>
      <c r="Y106" s="1245"/>
      <c r="Z106" s="1245"/>
      <c r="AA106" s="1245"/>
      <c r="AB106" s="1245"/>
      <c r="AC106" s="1245"/>
      <c r="AD106" s="1245"/>
      <c r="AE106" s="1245"/>
      <c r="AF106" s="1245"/>
      <c r="AG106" s="1245"/>
      <c r="AH106" s="1245"/>
      <c r="AI106" s="1245"/>
      <c r="AJ106" s="1245"/>
      <c r="AK106" s="1245"/>
      <c r="AL106" s="1245"/>
      <c r="AM106" s="1245"/>
      <c r="AN106" s="1245"/>
      <c r="AO106" s="1245"/>
      <c r="AP106" s="1245"/>
      <c r="AQ106" s="1245"/>
      <c r="AR106" s="1245"/>
      <c r="AS106" s="1245"/>
      <c r="AT106" s="1245"/>
      <c r="AU106" s="1245"/>
      <c r="AV106" s="1245"/>
      <c r="AW106" s="1245"/>
      <c r="AX106" s="1245"/>
      <c r="AY106" s="1245"/>
      <c r="AZ106" s="1245"/>
      <c r="BA106" s="1245"/>
    </row>
    <row r="107" spans="1:53" ht="12.6" hidden="1" customHeight="1" outlineLevel="1" thickBot="1">
      <c r="A107" s="373"/>
      <c r="B107" s="485"/>
      <c r="C107" s="1730" t="s">
        <v>1509</v>
      </c>
      <c r="D107" s="485"/>
      <c r="E107" s="485"/>
      <c r="F107" s="485"/>
      <c r="G107" s="485"/>
      <c r="H107" s="1731"/>
      <c r="I107" s="1166"/>
      <c r="J107" s="1474" t="s">
        <v>1289</v>
      </c>
      <c r="M107" s="1245"/>
      <c r="N107" s="1245"/>
      <c r="O107" s="1245"/>
      <c r="P107" s="1245"/>
      <c r="Q107" s="1245"/>
      <c r="R107" s="1245"/>
      <c r="S107" s="1245"/>
      <c r="T107" s="1245"/>
      <c r="U107" s="1245"/>
      <c r="V107" s="1245"/>
      <c r="W107" s="1245"/>
      <c r="X107" s="1245"/>
      <c r="Y107" s="1245"/>
      <c r="Z107" s="1245"/>
      <c r="AA107" s="1245"/>
      <c r="AB107" s="1245"/>
      <c r="AC107" s="1245"/>
      <c r="AD107" s="1245"/>
      <c r="AE107" s="1245"/>
      <c r="AF107" s="1245"/>
      <c r="AG107" s="1245"/>
      <c r="AH107" s="1245"/>
      <c r="AI107" s="1245"/>
      <c r="AJ107" s="1245"/>
      <c r="AK107" s="1245"/>
      <c r="AL107" s="1245"/>
      <c r="AM107" s="1245"/>
      <c r="AN107" s="1245"/>
      <c r="AO107" s="1245"/>
      <c r="AP107" s="1245"/>
      <c r="AQ107" s="1245"/>
      <c r="AR107" s="1245"/>
      <c r="AS107" s="1245"/>
      <c r="AT107" s="1245"/>
      <c r="AU107" s="1245"/>
      <c r="AV107" s="1245"/>
      <c r="AW107" s="1245"/>
      <c r="AX107" s="1245"/>
      <c r="AY107" s="1245"/>
      <c r="AZ107" s="1245"/>
      <c r="BA107" s="1245"/>
    </row>
    <row r="108" spans="1:53" hidden="1" outlineLevel="1">
      <c r="A108" s="373"/>
      <c r="B108" s="485"/>
      <c r="C108" s="485" t="s">
        <v>1248</v>
      </c>
      <c r="D108" s="485"/>
      <c r="E108" s="485"/>
      <c r="F108" s="485"/>
      <c r="G108" s="485"/>
      <c r="H108" s="1731"/>
      <c r="I108" s="1166"/>
      <c r="J108" s="2150">
        <v>180</v>
      </c>
      <c r="M108" s="1245"/>
      <c r="N108" s="1245"/>
      <c r="O108" s="1245"/>
      <c r="P108" s="1245"/>
      <c r="Q108" s="1245"/>
      <c r="R108" s="1245"/>
      <c r="S108" s="1245"/>
      <c r="T108" s="1245"/>
      <c r="U108" s="1245"/>
      <c r="V108" s="1245"/>
      <c r="W108" s="1245"/>
      <c r="X108" s="1245"/>
      <c r="Y108" s="1245"/>
      <c r="Z108" s="1245"/>
      <c r="AA108" s="1245"/>
      <c r="AB108" s="1245"/>
      <c r="AC108" s="1245"/>
      <c r="AD108" s="1245"/>
      <c r="AE108" s="1245"/>
      <c r="AF108" s="1245"/>
      <c r="AG108" s="1245"/>
      <c r="AH108" s="1245"/>
      <c r="AI108" s="1245"/>
      <c r="AJ108" s="1245"/>
      <c r="AK108" s="1245"/>
      <c r="AL108" s="1245"/>
      <c r="AM108" s="1245"/>
      <c r="AN108" s="1245"/>
      <c r="AO108" s="1245"/>
      <c r="AP108" s="1245"/>
      <c r="AQ108" s="1245"/>
      <c r="AR108" s="1245"/>
      <c r="AS108" s="1245"/>
      <c r="AT108" s="1245"/>
      <c r="AU108" s="1245"/>
      <c r="AV108" s="1245"/>
      <c r="AW108" s="1245"/>
      <c r="AX108" s="1245"/>
      <c r="AY108" s="1245"/>
      <c r="AZ108" s="1245"/>
      <c r="BA108" s="1245"/>
    </row>
    <row r="109" spans="1:53" s="606" customFormat="1" hidden="1" outlineLevel="1">
      <c r="A109" s="2151"/>
      <c r="B109" s="2152"/>
      <c r="C109" s="2152" t="s">
        <v>1047</v>
      </c>
      <c r="D109" s="2152"/>
      <c r="E109" s="2152"/>
      <c r="F109" s="2152"/>
      <c r="G109" s="2152"/>
      <c r="H109" s="2153"/>
      <c r="I109" s="2154"/>
      <c r="J109" s="2155">
        <f>IF(J107="No",0,J108)</f>
        <v>180</v>
      </c>
      <c r="M109" s="1245">
        <f>$J$109</f>
        <v>180</v>
      </c>
      <c r="N109" s="1245">
        <f t="shared" ref="N109:AP109" si="33">$J$109</f>
        <v>180</v>
      </c>
      <c r="O109" s="1245">
        <f t="shared" si="33"/>
        <v>180</v>
      </c>
      <c r="P109" s="1245">
        <f t="shared" si="33"/>
        <v>180</v>
      </c>
      <c r="Q109" s="1245">
        <f t="shared" si="33"/>
        <v>180</v>
      </c>
      <c r="R109" s="1245">
        <f t="shared" si="33"/>
        <v>180</v>
      </c>
      <c r="S109" s="1245">
        <f t="shared" si="33"/>
        <v>180</v>
      </c>
      <c r="T109" s="1245">
        <f t="shared" si="33"/>
        <v>180</v>
      </c>
      <c r="U109" s="1245">
        <f t="shared" si="33"/>
        <v>180</v>
      </c>
      <c r="V109" s="1245">
        <f t="shared" si="33"/>
        <v>180</v>
      </c>
      <c r="W109" s="1245">
        <f t="shared" si="33"/>
        <v>180</v>
      </c>
      <c r="X109" s="1245">
        <f t="shared" si="33"/>
        <v>180</v>
      </c>
      <c r="Y109" s="1245">
        <f t="shared" si="33"/>
        <v>180</v>
      </c>
      <c r="Z109" s="1245">
        <f t="shared" si="33"/>
        <v>180</v>
      </c>
      <c r="AA109" s="1245">
        <f t="shared" si="33"/>
        <v>180</v>
      </c>
      <c r="AB109" s="1245">
        <f t="shared" si="33"/>
        <v>180</v>
      </c>
      <c r="AC109" s="1245">
        <f t="shared" si="33"/>
        <v>180</v>
      </c>
      <c r="AD109" s="1245">
        <f t="shared" si="33"/>
        <v>180</v>
      </c>
      <c r="AE109" s="1245">
        <f t="shared" si="33"/>
        <v>180</v>
      </c>
      <c r="AF109" s="1245">
        <f t="shared" si="33"/>
        <v>180</v>
      </c>
      <c r="AG109" s="1245">
        <f t="shared" si="33"/>
        <v>180</v>
      </c>
      <c r="AH109" s="1245">
        <f t="shared" si="33"/>
        <v>180</v>
      </c>
      <c r="AI109" s="1245">
        <f t="shared" si="33"/>
        <v>180</v>
      </c>
      <c r="AJ109" s="1245">
        <f t="shared" si="33"/>
        <v>180</v>
      </c>
      <c r="AK109" s="1245">
        <f t="shared" si="33"/>
        <v>180</v>
      </c>
      <c r="AL109" s="1245">
        <f t="shared" si="33"/>
        <v>180</v>
      </c>
      <c r="AM109" s="1245">
        <f t="shared" si="33"/>
        <v>180</v>
      </c>
      <c r="AN109" s="1245">
        <f t="shared" si="33"/>
        <v>180</v>
      </c>
      <c r="AO109" s="1245">
        <f t="shared" si="33"/>
        <v>180</v>
      </c>
      <c r="AP109" s="1245">
        <f t="shared" si="33"/>
        <v>180</v>
      </c>
      <c r="AQ109" s="1245"/>
      <c r="AR109" s="1245"/>
      <c r="AS109" s="1245"/>
      <c r="AT109" s="1245"/>
      <c r="AU109" s="1245"/>
      <c r="AV109" s="1245"/>
      <c r="AW109" s="1245"/>
      <c r="AX109" s="1245"/>
      <c r="AY109" s="1245"/>
      <c r="AZ109" s="1245"/>
      <c r="BA109" s="1245"/>
    </row>
    <row r="110" spans="1:53" s="606" customFormat="1" hidden="1" outlineLevel="1">
      <c r="A110" s="2151"/>
      <c r="B110" s="2152"/>
      <c r="C110" s="2152"/>
      <c r="D110" s="2152"/>
      <c r="E110" s="2152"/>
      <c r="F110" s="2152"/>
      <c r="G110" s="2152"/>
      <c r="H110" s="2153"/>
      <c r="I110" s="2154"/>
      <c r="J110" s="2155"/>
      <c r="M110" s="1245"/>
      <c r="N110" s="1245"/>
      <c r="O110" s="1245"/>
      <c r="P110" s="1245"/>
      <c r="Q110" s="1245"/>
      <c r="R110" s="1245"/>
      <c r="S110" s="1245"/>
      <c r="T110" s="1245"/>
      <c r="U110" s="1245"/>
      <c r="V110" s="1245"/>
      <c r="W110" s="1245"/>
      <c r="X110" s="1245"/>
      <c r="Y110" s="1245"/>
      <c r="Z110" s="1245"/>
      <c r="AA110" s="1245"/>
      <c r="AB110" s="1245"/>
      <c r="AC110" s="1245"/>
      <c r="AD110" s="1245"/>
      <c r="AE110" s="1245"/>
      <c r="AF110" s="1245"/>
      <c r="AG110" s="1245"/>
      <c r="AH110" s="1245"/>
      <c r="AI110" s="1245"/>
      <c r="AJ110" s="1245"/>
      <c r="AK110" s="1245"/>
      <c r="AL110" s="1245"/>
      <c r="AM110" s="1245"/>
      <c r="AN110" s="1245"/>
      <c r="AO110" s="1245"/>
      <c r="AP110" s="1245"/>
      <c r="AQ110" s="1245"/>
      <c r="AR110" s="1245"/>
      <c r="AS110" s="1245"/>
      <c r="AT110" s="1245"/>
      <c r="AU110" s="1245"/>
      <c r="AV110" s="1245"/>
      <c r="AW110" s="1245"/>
      <c r="AX110" s="1245"/>
      <c r="AY110" s="1245"/>
      <c r="AZ110" s="1245"/>
      <c r="BA110" s="1245"/>
    </row>
    <row r="111" spans="1:53" s="606" customFormat="1" hidden="1" outlineLevel="1">
      <c r="A111" s="2151"/>
      <c r="B111" s="2152"/>
      <c r="C111" s="2152" t="s">
        <v>1634</v>
      </c>
      <c r="D111" s="2152"/>
      <c r="E111" s="2152"/>
      <c r="F111" s="2152"/>
      <c r="G111" s="2152"/>
      <c r="H111" s="2153"/>
      <c r="I111" s="2154"/>
      <c r="J111" s="2156">
        <f>2.4+0.9</f>
        <v>3.3</v>
      </c>
      <c r="M111" s="1245"/>
      <c r="N111" s="1245"/>
      <c r="O111" s="1245"/>
      <c r="P111" s="1245"/>
      <c r="Q111" s="1245"/>
      <c r="R111" s="1245"/>
      <c r="S111" s="1245"/>
      <c r="T111" s="1245"/>
      <c r="U111" s="1245"/>
      <c r="V111" s="1245"/>
      <c r="W111" s="1245"/>
      <c r="X111" s="1245"/>
      <c r="Y111" s="1245"/>
      <c r="Z111" s="1245"/>
      <c r="AA111" s="1245"/>
      <c r="AB111" s="1245"/>
      <c r="AC111" s="1245"/>
      <c r="AD111" s="1245"/>
      <c r="AE111" s="1245"/>
      <c r="AF111" s="1245"/>
      <c r="AG111" s="1245"/>
      <c r="AH111" s="1245"/>
      <c r="AI111" s="1245"/>
      <c r="AJ111" s="1245"/>
      <c r="AK111" s="1245"/>
      <c r="AL111" s="1245"/>
      <c r="AM111" s="1245"/>
      <c r="AN111" s="1245"/>
      <c r="AO111" s="1245"/>
      <c r="AP111" s="1245"/>
      <c r="AQ111" s="1245"/>
      <c r="AR111" s="1245"/>
      <c r="AS111" s="1245"/>
      <c r="AT111" s="1245"/>
      <c r="AU111" s="1245"/>
      <c r="AV111" s="1245"/>
      <c r="AW111" s="1245"/>
      <c r="AX111" s="1245"/>
      <c r="AY111" s="1245"/>
      <c r="AZ111" s="1245"/>
      <c r="BA111" s="1245"/>
    </row>
    <row r="112" spans="1:53" s="606" customFormat="1" hidden="1" outlineLevel="1">
      <c r="A112" s="2151"/>
      <c r="B112" s="2152"/>
      <c r="C112" s="2152"/>
      <c r="D112" s="2152"/>
      <c r="E112" s="2152"/>
      <c r="F112" s="2152"/>
      <c r="G112" s="2152"/>
      <c r="H112" s="2153"/>
      <c r="I112" s="2154"/>
      <c r="J112" s="2155"/>
      <c r="M112" s="1245"/>
      <c r="N112" s="1245"/>
      <c r="O112" s="1245"/>
      <c r="P112" s="1245"/>
      <c r="Q112" s="1245"/>
      <c r="R112" s="1245"/>
      <c r="S112" s="1245"/>
      <c r="T112" s="1245"/>
      <c r="U112" s="1245"/>
      <c r="V112" s="1245"/>
      <c r="W112" s="1245"/>
      <c r="X112" s="1245"/>
      <c r="Y112" s="1245"/>
      <c r="Z112" s="1245"/>
      <c r="AA112" s="1245"/>
      <c r="AB112" s="1245"/>
      <c r="AC112" s="1245"/>
      <c r="AD112" s="1245"/>
      <c r="AE112" s="1245"/>
      <c r="AF112" s="1245"/>
      <c r="AG112" s="1245"/>
      <c r="AH112" s="1245"/>
      <c r="AI112" s="1245"/>
      <c r="AJ112" s="1245"/>
      <c r="AK112" s="1245"/>
      <c r="AL112" s="1245"/>
      <c r="AM112" s="1245"/>
      <c r="AN112" s="1245"/>
      <c r="AO112" s="1245"/>
      <c r="AP112" s="1245"/>
      <c r="AQ112" s="1245"/>
      <c r="AR112" s="1245"/>
      <c r="AS112" s="1245"/>
      <c r="AT112" s="1245"/>
      <c r="AU112" s="1245"/>
      <c r="AV112" s="1245"/>
      <c r="AW112" s="1245"/>
      <c r="AX112" s="1245"/>
      <c r="AY112" s="1245"/>
      <c r="AZ112" s="1245"/>
      <c r="BA112" s="1245"/>
    </row>
    <row r="113" spans="1:53" s="606" customFormat="1" ht="14.25" hidden="1" outlineLevel="1">
      <c r="A113" s="2151"/>
      <c r="B113" s="2152"/>
      <c r="C113" s="2220" t="s">
        <v>2081</v>
      </c>
      <c r="D113" s="2152"/>
      <c r="E113" s="2152"/>
      <c r="F113" s="2152"/>
      <c r="G113" s="2152"/>
      <c r="H113" s="2153"/>
      <c r="I113" s="2154"/>
      <c r="J113" s="2155"/>
      <c r="M113" s="1245"/>
      <c r="N113" s="1245"/>
      <c r="O113" s="1245"/>
      <c r="P113" s="1245"/>
      <c r="Q113" s="1245"/>
      <c r="R113" s="1245"/>
      <c r="S113" s="1245"/>
      <c r="T113" s="1245"/>
      <c r="U113" s="1245"/>
      <c r="V113" s="1245"/>
      <c r="W113" s="1245"/>
      <c r="X113" s="1245"/>
      <c r="Y113" s="1245"/>
      <c r="Z113" s="1245"/>
      <c r="AA113" s="1245"/>
      <c r="AB113" s="1245"/>
      <c r="AC113" s="1245"/>
      <c r="AD113" s="1245"/>
      <c r="AE113" s="1245"/>
      <c r="AF113" s="1245"/>
      <c r="AG113" s="1245"/>
      <c r="AH113" s="1245"/>
      <c r="AI113" s="1245"/>
      <c r="AJ113" s="1245"/>
      <c r="AK113" s="1245"/>
      <c r="AL113" s="1245"/>
      <c r="AM113" s="1245"/>
      <c r="AN113" s="1245"/>
      <c r="AO113" s="1245"/>
      <c r="AP113" s="1245"/>
      <c r="AQ113" s="1245"/>
      <c r="AR113" s="1245"/>
      <c r="AS113" s="1245"/>
      <c r="AT113" s="1245"/>
      <c r="AU113" s="1245"/>
      <c r="AV113" s="1245"/>
      <c r="AW113" s="1245"/>
      <c r="AX113" s="1245"/>
      <c r="AY113" s="1245"/>
      <c r="AZ113" s="1245"/>
      <c r="BA113" s="1245"/>
    </row>
    <row r="114" spans="1:53" s="606" customFormat="1" ht="14.25" hidden="1" outlineLevel="1">
      <c r="A114" s="2151"/>
      <c r="B114" s="2152"/>
      <c r="C114" s="2221" t="s">
        <v>1223</v>
      </c>
      <c r="D114" s="2152"/>
      <c r="E114" s="2152"/>
      <c r="F114" s="2152"/>
      <c r="G114" s="2152"/>
      <c r="H114" s="2153"/>
      <c r="I114" s="2154"/>
      <c r="J114" s="2157">
        <f>IF(Power_Switch="No",0,'Power '!E34)</f>
        <v>43271455.281119995</v>
      </c>
      <c r="M114" s="1245"/>
      <c r="N114" s="1245"/>
      <c r="O114" s="1245"/>
      <c r="P114" s="1245"/>
      <c r="Q114" s="1245"/>
      <c r="R114" s="1245"/>
      <c r="S114" s="1245"/>
      <c r="T114" s="1245"/>
      <c r="U114" s="1245"/>
      <c r="V114" s="1245"/>
      <c r="W114" s="1245"/>
      <c r="X114" s="1245"/>
      <c r="Y114" s="1245"/>
      <c r="Z114" s="1245"/>
      <c r="AA114" s="1245"/>
      <c r="AB114" s="1245"/>
      <c r="AC114" s="1245"/>
      <c r="AD114" s="1245"/>
      <c r="AE114" s="1245"/>
      <c r="AF114" s="1245"/>
      <c r="AG114" s="1245"/>
      <c r="AH114" s="1245"/>
      <c r="AI114" s="1245"/>
      <c r="AJ114" s="1245"/>
      <c r="AK114" s="1245"/>
      <c r="AL114" s="1245"/>
      <c r="AM114" s="1245"/>
      <c r="AN114" s="1245"/>
      <c r="AO114" s="1245"/>
      <c r="AP114" s="1245"/>
      <c r="AQ114" s="1245"/>
      <c r="AR114" s="1245"/>
      <c r="AS114" s="1245"/>
      <c r="AT114" s="1245"/>
      <c r="AU114" s="1245"/>
      <c r="AV114" s="1245"/>
      <c r="AW114" s="1245"/>
      <c r="AX114" s="1245"/>
      <c r="AY114" s="1245"/>
      <c r="AZ114" s="1245"/>
      <c r="BA114" s="1245"/>
    </row>
    <row r="115" spans="1:53" s="606" customFormat="1" ht="15" hidden="1" outlineLevel="1">
      <c r="A115" s="2151"/>
      <c r="B115" s="2152"/>
      <c r="C115" s="394" t="s">
        <v>1478</v>
      </c>
      <c r="D115" s="2152"/>
      <c r="E115" s="2152"/>
      <c r="F115" s="2152"/>
      <c r="G115" s="2152"/>
      <c r="H115" s="2153"/>
      <c r="I115" s="2154"/>
      <c r="J115" s="2157">
        <f>IF(Power_Switch="No",0,'Power '!E35)</f>
        <v>0</v>
      </c>
      <c r="M115" s="1245"/>
      <c r="N115" s="1245"/>
      <c r="O115" s="1245"/>
      <c r="P115" s="1245"/>
      <c r="Q115" s="1245"/>
      <c r="R115" s="1245"/>
      <c r="S115" s="1245"/>
      <c r="T115" s="1245"/>
      <c r="U115" s="1245"/>
      <c r="V115" s="1245"/>
      <c r="W115" s="1245"/>
      <c r="X115" s="1245"/>
      <c r="Y115" s="1245"/>
      <c r="Z115" s="1245"/>
      <c r="AA115" s="1245"/>
      <c r="AB115" s="1245"/>
      <c r="AC115" s="1245"/>
      <c r="AD115" s="1245"/>
      <c r="AE115" s="1245"/>
      <c r="AF115" s="1245"/>
      <c r="AG115" s="1245"/>
      <c r="AH115" s="1245"/>
      <c r="AI115" s="1245"/>
      <c r="AJ115" s="1245"/>
      <c r="AK115" s="1245"/>
      <c r="AL115" s="1245"/>
      <c r="AM115" s="1245"/>
      <c r="AN115" s="1245"/>
      <c r="AO115" s="1245"/>
      <c r="AP115" s="1245"/>
      <c r="AQ115" s="1245"/>
      <c r="AR115" s="1245"/>
      <c r="AS115" s="1245"/>
      <c r="AT115" s="1245"/>
      <c r="AU115" s="1245"/>
      <c r="AV115" s="1245"/>
      <c r="AW115" s="1245"/>
      <c r="AX115" s="1245"/>
      <c r="AY115" s="1245"/>
      <c r="AZ115" s="1245"/>
      <c r="BA115" s="1245"/>
    </row>
    <row r="116" spans="1:53" s="606" customFormat="1" ht="15" hidden="1" outlineLevel="1">
      <c r="A116" s="2151"/>
      <c r="B116" s="2152"/>
      <c r="C116" s="394" t="s">
        <v>1018</v>
      </c>
      <c r="D116" s="2152"/>
      <c r="E116" s="2152"/>
      <c r="F116" s="2152"/>
      <c r="G116" s="2152"/>
      <c r="H116" s="2153"/>
      <c r="I116" s="2154"/>
      <c r="J116" s="2157">
        <f>IF(Power_Switch="No",0,'Power '!E36)</f>
        <v>0</v>
      </c>
      <c r="M116" s="1245"/>
      <c r="N116" s="1245"/>
      <c r="O116" s="1245"/>
      <c r="P116" s="1245"/>
      <c r="Q116" s="1245"/>
      <c r="R116" s="1245"/>
      <c r="S116" s="1245"/>
      <c r="T116" s="1245"/>
      <c r="U116" s="1245"/>
      <c r="V116" s="1245"/>
      <c r="W116" s="1245"/>
      <c r="X116" s="1245"/>
      <c r="Y116" s="1245"/>
      <c r="Z116" s="1245"/>
      <c r="AA116" s="1245"/>
      <c r="AB116" s="1245"/>
      <c r="AC116" s="1245"/>
      <c r="AD116" s="1245"/>
      <c r="AE116" s="1245"/>
      <c r="AF116" s="1245"/>
      <c r="AG116" s="1245"/>
      <c r="AH116" s="1245"/>
      <c r="AI116" s="1245"/>
      <c r="AJ116" s="1245"/>
      <c r="AK116" s="1245"/>
      <c r="AL116" s="1245"/>
      <c r="AM116" s="1245"/>
      <c r="AN116" s="1245"/>
      <c r="AO116" s="1245"/>
      <c r="AP116" s="1245"/>
      <c r="AQ116" s="1245"/>
      <c r="AR116" s="1245"/>
      <c r="AS116" s="1245"/>
      <c r="AT116" s="1245"/>
      <c r="AU116" s="1245"/>
      <c r="AV116" s="1245"/>
      <c r="AW116" s="1245"/>
      <c r="AX116" s="1245"/>
      <c r="AY116" s="1245"/>
      <c r="AZ116" s="1245"/>
      <c r="BA116" s="1245"/>
    </row>
    <row r="117" spans="1:53" s="606" customFormat="1" ht="15" hidden="1" outlineLevel="1">
      <c r="A117" s="2151"/>
      <c r="B117" s="2152"/>
      <c r="C117" s="394" t="s">
        <v>969</v>
      </c>
      <c r="D117" s="2152"/>
      <c r="E117" s="2152"/>
      <c r="F117" s="2152"/>
      <c r="G117" s="2152"/>
      <c r="H117" s="2153"/>
      <c r="I117" s="2154"/>
      <c r="J117" s="2157">
        <f>IF(Power_Switch="No",0,'Power '!E37)</f>
        <v>907600.04409657163</v>
      </c>
      <c r="M117" s="1245"/>
      <c r="N117" s="1245"/>
      <c r="O117" s="1245"/>
      <c r="P117" s="1245"/>
      <c r="Q117" s="1245"/>
      <c r="R117" s="1245"/>
      <c r="S117" s="1245"/>
      <c r="T117" s="1245"/>
      <c r="U117" s="1245"/>
      <c r="V117" s="1245"/>
      <c r="W117" s="1245"/>
      <c r="X117" s="1245"/>
      <c r="Y117" s="1245"/>
      <c r="Z117" s="1245"/>
      <c r="AA117" s="1245"/>
      <c r="AB117" s="1245"/>
      <c r="AC117" s="1245"/>
      <c r="AD117" s="1245"/>
      <c r="AE117" s="1245"/>
      <c r="AF117" s="1245"/>
      <c r="AG117" s="1245"/>
      <c r="AH117" s="1245"/>
      <c r="AI117" s="1245"/>
      <c r="AJ117" s="1245"/>
      <c r="AK117" s="1245"/>
      <c r="AL117" s="1245"/>
      <c r="AM117" s="1245"/>
      <c r="AN117" s="1245"/>
      <c r="AO117" s="1245"/>
      <c r="AP117" s="1245"/>
      <c r="AQ117" s="1245"/>
      <c r="AR117" s="1245"/>
      <c r="AS117" s="1245"/>
      <c r="AT117" s="1245"/>
      <c r="AU117" s="1245"/>
      <c r="AV117" s="1245"/>
      <c r="AW117" s="1245"/>
      <c r="AX117" s="1245"/>
      <c r="AY117" s="1245"/>
      <c r="AZ117" s="1245"/>
      <c r="BA117" s="1245"/>
    </row>
    <row r="118" spans="1:53" s="606" customFormat="1" ht="15" hidden="1" outlineLevel="1">
      <c r="A118" s="2151"/>
      <c r="B118" s="2152"/>
      <c r="C118" s="394" t="s">
        <v>970</v>
      </c>
      <c r="D118" s="2152"/>
      <c r="E118" s="2152"/>
      <c r="F118" s="2152"/>
      <c r="G118" s="2152"/>
      <c r="H118" s="2153"/>
      <c r="I118" s="2154"/>
      <c r="J118" s="2157">
        <f>IF(Power_Switch="No",0,'Power '!E38)</f>
        <v>11194323.942233492</v>
      </c>
      <c r="M118" s="1245"/>
      <c r="N118" s="1245"/>
      <c r="O118" s="1245"/>
      <c r="P118" s="1245"/>
      <c r="Q118" s="1245"/>
      <c r="R118" s="1245"/>
      <c r="S118" s="1245"/>
      <c r="T118" s="1245"/>
      <c r="U118" s="1245"/>
      <c r="V118" s="1245"/>
      <c r="W118" s="1245"/>
      <c r="X118" s="1245"/>
      <c r="Y118" s="1245"/>
      <c r="Z118" s="1245"/>
      <c r="AA118" s="1245"/>
      <c r="AB118" s="1245"/>
      <c r="AC118" s="1245"/>
      <c r="AD118" s="1245"/>
      <c r="AE118" s="1245"/>
      <c r="AF118" s="1245"/>
      <c r="AG118" s="1245"/>
      <c r="AH118" s="1245"/>
      <c r="AI118" s="1245"/>
      <c r="AJ118" s="1245"/>
      <c r="AK118" s="1245"/>
      <c r="AL118" s="1245"/>
      <c r="AM118" s="1245"/>
      <c r="AN118" s="1245"/>
      <c r="AO118" s="1245"/>
      <c r="AP118" s="1245"/>
      <c r="AQ118" s="1245"/>
      <c r="AR118" s="1245"/>
      <c r="AS118" s="1245"/>
      <c r="AT118" s="1245"/>
      <c r="AU118" s="1245"/>
      <c r="AV118" s="1245"/>
      <c r="AW118" s="1245"/>
      <c r="AX118" s="1245"/>
      <c r="AY118" s="1245"/>
      <c r="AZ118" s="1245"/>
      <c r="BA118" s="1245"/>
    </row>
    <row r="119" spans="1:53" s="606" customFormat="1" ht="15" hidden="1" outlineLevel="1">
      <c r="A119" s="2151"/>
      <c r="B119" s="2152"/>
      <c r="C119" s="394" t="s">
        <v>971</v>
      </c>
      <c r="D119" s="2152"/>
      <c r="E119" s="2152"/>
      <c r="F119" s="2152"/>
      <c r="G119" s="2152"/>
      <c r="H119" s="2153"/>
      <c r="I119" s="2154"/>
      <c r="J119" s="2157">
        <f>IF(Power_Switch="No",0,'Power '!E39)</f>
        <v>273963.53213537647</v>
      </c>
      <c r="M119" s="1245"/>
      <c r="N119" s="1245"/>
      <c r="O119" s="1245"/>
      <c r="P119" s="1245"/>
      <c r="Q119" s="1245"/>
      <c r="R119" s="1245"/>
      <c r="S119" s="1245"/>
      <c r="T119" s="1245"/>
      <c r="U119" s="1245"/>
      <c r="V119" s="1245"/>
      <c r="W119" s="1245"/>
      <c r="X119" s="1245"/>
      <c r="Y119" s="1245"/>
      <c r="Z119" s="1245"/>
      <c r="AA119" s="1245"/>
      <c r="AB119" s="1245"/>
      <c r="AC119" s="1245"/>
      <c r="AD119" s="1245"/>
      <c r="AE119" s="1245"/>
      <c r="AF119" s="1245"/>
      <c r="AG119" s="1245"/>
      <c r="AH119" s="1245"/>
      <c r="AI119" s="1245"/>
      <c r="AJ119" s="1245"/>
      <c r="AK119" s="1245"/>
      <c r="AL119" s="1245"/>
      <c r="AM119" s="1245"/>
      <c r="AN119" s="1245"/>
      <c r="AO119" s="1245"/>
      <c r="AP119" s="1245"/>
      <c r="AQ119" s="1245"/>
      <c r="AR119" s="1245"/>
      <c r="AS119" s="1245"/>
      <c r="AT119" s="1245"/>
      <c r="AU119" s="1245"/>
      <c r="AV119" s="1245"/>
      <c r="AW119" s="1245"/>
      <c r="AX119" s="1245"/>
      <c r="AY119" s="1245"/>
      <c r="AZ119" s="1245"/>
      <c r="BA119" s="1245"/>
    </row>
    <row r="120" spans="1:53" s="606" customFormat="1" ht="15" hidden="1" outlineLevel="1">
      <c r="A120" s="2151"/>
      <c r="B120" s="2152"/>
      <c r="C120" s="394" t="s">
        <v>972</v>
      </c>
      <c r="D120" s="2152"/>
      <c r="E120" s="2152"/>
      <c r="F120" s="2152"/>
      <c r="G120" s="2152"/>
      <c r="H120" s="2153"/>
      <c r="I120" s="2154"/>
      <c r="J120" s="2157">
        <f>IF(Power_Switch="No",0,'Power '!E40)</f>
        <v>2030098.7763201413</v>
      </c>
      <c r="M120" s="1245"/>
      <c r="N120" s="1245"/>
      <c r="O120" s="1245"/>
      <c r="P120" s="1245"/>
      <c r="Q120" s="1245"/>
      <c r="R120" s="1245"/>
      <c r="S120" s="1245"/>
      <c r="T120" s="1245"/>
      <c r="U120" s="1245"/>
      <c r="V120" s="1245"/>
      <c r="W120" s="1245"/>
      <c r="X120" s="1245"/>
      <c r="Y120" s="1245"/>
      <c r="Z120" s="1245"/>
      <c r="AA120" s="1245"/>
      <c r="AB120" s="1245"/>
      <c r="AC120" s="1245"/>
      <c r="AD120" s="1245"/>
      <c r="AE120" s="1245"/>
      <c r="AF120" s="1245"/>
      <c r="AG120" s="1245"/>
      <c r="AH120" s="1245"/>
      <c r="AI120" s="1245"/>
      <c r="AJ120" s="1245"/>
      <c r="AK120" s="1245"/>
      <c r="AL120" s="1245"/>
      <c r="AM120" s="1245"/>
      <c r="AN120" s="1245"/>
      <c r="AO120" s="1245"/>
      <c r="AP120" s="1245"/>
      <c r="AQ120" s="1245"/>
      <c r="AR120" s="1245"/>
      <c r="AS120" s="1245"/>
      <c r="AT120" s="1245"/>
      <c r="AU120" s="1245"/>
      <c r="AV120" s="1245"/>
      <c r="AW120" s="1245"/>
      <c r="AX120" s="1245"/>
      <c r="AY120" s="1245"/>
      <c r="AZ120" s="1245"/>
      <c r="BA120" s="1245"/>
    </row>
    <row r="121" spans="1:53" s="606" customFormat="1" ht="15" hidden="1" outlineLevel="1">
      <c r="A121" s="2151"/>
      <c r="B121" s="2152"/>
      <c r="C121" s="394" t="s">
        <v>973</v>
      </c>
      <c r="D121" s="2152"/>
      <c r="E121" s="2152"/>
      <c r="F121" s="2152"/>
      <c r="G121" s="2152"/>
      <c r="H121" s="2153"/>
      <c r="I121" s="2154"/>
      <c r="J121" s="2158">
        <f>IF(Power_Switch="No",0,'Power '!E41)</f>
        <v>714013.70521441964</v>
      </c>
      <c r="M121" s="1245"/>
      <c r="N121" s="1245"/>
      <c r="O121" s="1245"/>
      <c r="P121" s="1245"/>
      <c r="Q121" s="1245"/>
      <c r="R121" s="1245"/>
      <c r="S121" s="1245"/>
      <c r="T121" s="1245"/>
      <c r="U121" s="1245"/>
      <c r="V121" s="1245"/>
      <c r="W121" s="1245"/>
      <c r="X121" s="1245"/>
      <c r="Y121" s="1245"/>
      <c r="Z121" s="1245"/>
      <c r="AA121" s="1245"/>
      <c r="AB121" s="1245"/>
      <c r="AC121" s="1245"/>
      <c r="AD121" s="1245"/>
      <c r="AE121" s="1245"/>
      <c r="AF121" s="1245"/>
      <c r="AG121" s="1245"/>
      <c r="AH121" s="1245"/>
      <c r="AI121" s="1245"/>
      <c r="AJ121" s="1245"/>
      <c r="AK121" s="1245"/>
      <c r="AL121" s="1245"/>
      <c r="AM121" s="1245"/>
      <c r="AN121" s="1245"/>
      <c r="AO121" s="1245"/>
      <c r="AP121" s="1245"/>
      <c r="AQ121" s="1245"/>
      <c r="AR121" s="1245"/>
      <c r="AS121" s="1245"/>
      <c r="AT121" s="1245"/>
      <c r="AU121" s="1245"/>
      <c r="AV121" s="1245"/>
      <c r="AW121" s="1245"/>
      <c r="AX121" s="1245"/>
      <c r="AY121" s="1245"/>
      <c r="AZ121" s="1245"/>
      <c r="BA121" s="1245"/>
    </row>
    <row r="122" spans="1:53" s="606" customFormat="1" ht="15" hidden="1" outlineLevel="1" thickBot="1">
      <c r="A122" s="2159"/>
      <c r="B122" s="2160"/>
      <c r="C122" s="2222" t="s">
        <v>1624</v>
      </c>
      <c r="D122" s="2216"/>
      <c r="E122" s="2216"/>
      <c r="F122" s="2216"/>
      <c r="G122" s="2216"/>
      <c r="H122" s="2217"/>
      <c r="I122" s="2218"/>
      <c r="J122" s="2219">
        <f>SUM(J113:J121)</f>
        <v>58391455.281120002</v>
      </c>
      <c r="M122" s="1245"/>
      <c r="N122" s="1245"/>
      <c r="O122" s="1245"/>
      <c r="P122" s="1245"/>
      <c r="Q122" s="1245"/>
      <c r="R122" s="1245"/>
      <c r="S122" s="1245"/>
      <c r="T122" s="1245"/>
      <c r="U122" s="1245"/>
      <c r="V122" s="1245"/>
      <c r="W122" s="1245"/>
      <c r="X122" s="1245"/>
      <c r="Y122" s="1245"/>
      <c r="Z122" s="1245"/>
      <c r="AA122" s="1245"/>
      <c r="AB122" s="1245"/>
      <c r="AC122" s="1245"/>
      <c r="AD122" s="1245"/>
      <c r="AE122" s="1245"/>
      <c r="AF122" s="1245"/>
      <c r="AG122" s="1245"/>
      <c r="AH122" s="1245"/>
      <c r="AI122" s="1245"/>
      <c r="AJ122" s="1245"/>
      <c r="AK122" s="1245"/>
      <c r="AL122" s="1245"/>
      <c r="AM122" s="1245"/>
      <c r="AN122" s="1245"/>
      <c r="AO122" s="1245"/>
      <c r="AP122" s="1245"/>
      <c r="AQ122" s="1245"/>
      <c r="AR122" s="1245"/>
      <c r="AS122" s="1245"/>
      <c r="AT122" s="1245"/>
      <c r="AU122" s="1245"/>
      <c r="AV122" s="1245"/>
      <c r="AW122" s="1245"/>
      <c r="AX122" s="1245"/>
      <c r="AY122" s="1245"/>
      <c r="AZ122" s="1245"/>
      <c r="BA122" s="1245"/>
    </row>
    <row r="123" spans="1:53" s="606" customFormat="1" hidden="1" outlineLevel="1">
      <c r="H123" s="607"/>
      <c r="I123" s="608"/>
      <c r="J123" s="1522"/>
      <c r="M123" s="1245"/>
      <c r="N123" s="1245"/>
      <c r="O123" s="1245"/>
      <c r="P123" s="1245"/>
      <c r="Q123" s="1245"/>
      <c r="R123" s="1245"/>
      <c r="S123" s="1245"/>
      <c r="T123" s="1245"/>
      <c r="U123" s="1245"/>
      <c r="V123" s="1245"/>
      <c r="W123" s="1245"/>
      <c r="X123" s="1245"/>
      <c r="Y123" s="1245"/>
      <c r="Z123" s="1245"/>
      <c r="AA123" s="1245"/>
      <c r="AB123" s="1245"/>
      <c r="AC123" s="1245"/>
      <c r="AD123" s="1245"/>
      <c r="AE123" s="1245"/>
      <c r="AF123" s="1245"/>
      <c r="AG123" s="1245"/>
      <c r="AH123" s="1245"/>
      <c r="AI123" s="1245"/>
      <c r="AJ123" s="1245"/>
      <c r="AK123" s="1245"/>
      <c r="AL123" s="1245"/>
      <c r="AM123" s="1245"/>
      <c r="AN123" s="1245"/>
      <c r="AO123" s="1245"/>
      <c r="AP123" s="1245"/>
      <c r="AQ123" s="1245"/>
      <c r="AR123" s="1245"/>
      <c r="AS123" s="1245"/>
      <c r="AT123" s="1245"/>
      <c r="AU123" s="1245"/>
      <c r="AV123" s="1245"/>
      <c r="AW123" s="1245"/>
      <c r="AX123" s="1245"/>
      <c r="AY123" s="1245"/>
      <c r="AZ123" s="1245"/>
      <c r="BA123" s="1245"/>
    </row>
    <row r="124" spans="1:53" s="606" customFormat="1" hidden="1" outlineLevel="1">
      <c r="H124" s="607"/>
      <c r="I124" s="608"/>
      <c r="J124" s="1248"/>
      <c r="M124" s="1245"/>
      <c r="N124" s="1245"/>
      <c r="O124" s="1245"/>
      <c r="P124" s="1245"/>
      <c r="Q124" s="1245"/>
      <c r="R124" s="1245"/>
      <c r="S124" s="1245"/>
      <c r="T124" s="1245"/>
      <c r="U124" s="1245"/>
      <c r="V124" s="1245"/>
      <c r="W124" s="1245"/>
      <c r="X124" s="1245"/>
      <c r="Y124" s="1245"/>
      <c r="Z124" s="1245"/>
      <c r="AA124" s="1245"/>
      <c r="AB124" s="1245"/>
      <c r="AC124" s="1245"/>
      <c r="AD124" s="1245"/>
      <c r="AE124" s="1245"/>
      <c r="AF124" s="1245"/>
      <c r="AG124" s="1245"/>
      <c r="AH124" s="1245"/>
      <c r="AI124" s="1245"/>
      <c r="AJ124" s="1245"/>
      <c r="AK124" s="1245"/>
      <c r="AL124" s="1245"/>
      <c r="AM124" s="1245"/>
      <c r="AN124" s="1245"/>
      <c r="AO124" s="1245"/>
      <c r="AP124" s="1245"/>
      <c r="AQ124" s="1245"/>
      <c r="AR124" s="1245"/>
      <c r="AS124" s="1245"/>
      <c r="AT124" s="1245"/>
      <c r="AU124" s="1245"/>
      <c r="AV124" s="1245"/>
      <c r="AW124" s="1245"/>
      <c r="AX124" s="1245"/>
      <c r="AY124" s="1245"/>
      <c r="AZ124" s="1245"/>
      <c r="BA124" s="1245"/>
    </row>
    <row r="125" spans="1:53" s="606" customFormat="1" hidden="1" outlineLevel="1">
      <c r="H125" s="607"/>
      <c r="I125" s="608"/>
      <c r="J125" s="1248"/>
      <c r="M125" s="1245"/>
      <c r="N125" s="1245"/>
      <c r="O125" s="1245"/>
      <c r="P125" s="1245"/>
      <c r="Q125" s="1245"/>
      <c r="R125" s="1245"/>
      <c r="S125" s="1245"/>
      <c r="T125" s="1245"/>
      <c r="U125" s="1245"/>
      <c r="V125" s="1245"/>
      <c r="W125" s="1245"/>
      <c r="X125" s="1245"/>
      <c r="Y125" s="1245"/>
      <c r="Z125" s="1245"/>
      <c r="AA125" s="1245"/>
      <c r="AB125" s="1245"/>
      <c r="AC125" s="1245"/>
      <c r="AD125" s="1245"/>
      <c r="AE125" s="1245"/>
      <c r="AF125" s="1245"/>
      <c r="AG125" s="1245"/>
      <c r="AH125" s="1245"/>
      <c r="AI125" s="1245"/>
      <c r="AJ125" s="1245"/>
      <c r="AK125" s="1245"/>
      <c r="AL125" s="1245"/>
      <c r="AM125" s="1245"/>
      <c r="AN125" s="1245"/>
      <c r="AO125" s="1245"/>
      <c r="AP125" s="1245"/>
      <c r="AQ125" s="1245"/>
      <c r="AR125" s="1245"/>
      <c r="AS125" s="1245"/>
      <c r="AT125" s="1245"/>
      <c r="AU125" s="1245"/>
      <c r="AV125" s="1245"/>
      <c r="AW125" s="1245"/>
      <c r="AX125" s="1245"/>
      <c r="AY125" s="1245"/>
      <c r="AZ125" s="1245"/>
      <c r="BA125" s="1245"/>
    </row>
    <row r="126" spans="1:53" s="606" customFormat="1" hidden="1" outlineLevel="1">
      <c r="H126" s="607"/>
      <c r="I126" s="608"/>
      <c r="J126" s="1248"/>
      <c r="M126" s="1245"/>
      <c r="N126" s="1245"/>
      <c r="O126" s="1245"/>
      <c r="P126" s="1245"/>
      <c r="Q126" s="1245"/>
      <c r="R126" s="1245"/>
      <c r="S126" s="1245"/>
      <c r="T126" s="1245"/>
      <c r="U126" s="1245"/>
      <c r="V126" s="1245"/>
      <c r="W126" s="1245"/>
      <c r="X126" s="1245"/>
      <c r="Y126" s="1245"/>
      <c r="Z126" s="1245"/>
      <c r="AA126" s="1245"/>
      <c r="AB126" s="1245"/>
      <c r="AC126" s="1245"/>
      <c r="AD126" s="1245"/>
      <c r="AE126" s="1245"/>
      <c r="AF126" s="1245"/>
      <c r="AG126" s="1245"/>
      <c r="AH126" s="1245"/>
      <c r="AI126" s="1245"/>
      <c r="AJ126" s="1245"/>
      <c r="AK126" s="1245"/>
      <c r="AL126" s="1245"/>
      <c r="AM126" s="1245"/>
      <c r="AN126" s="1245"/>
      <c r="AO126" s="1245"/>
      <c r="AP126" s="1245"/>
      <c r="AQ126" s="1245"/>
      <c r="AR126" s="1245"/>
      <c r="AS126" s="1245"/>
      <c r="AT126" s="1245"/>
      <c r="AU126" s="1245"/>
      <c r="AV126" s="1245"/>
      <c r="AW126" s="1245"/>
      <c r="AX126" s="1245"/>
      <c r="AY126" s="1245"/>
      <c r="AZ126" s="1245"/>
      <c r="BA126" s="1245"/>
    </row>
    <row r="127" spans="1:53" s="606" customFormat="1" hidden="1" outlineLevel="1">
      <c r="H127" s="607"/>
      <c r="I127" s="608"/>
      <c r="J127" s="1249"/>
      <c r="M127" s="1245"/>
      <c r="N127" s="1245"/>
      <c r="O127" s="1245"/>
      <c r="P127" s="1245"/>
      <c r="Q127" s="1245"/>
      <c r="R127" s="1245"/>
      <c r="S127" s="1245"/>
      <c r="T127" s="1245"/>
      <c r="U127" s="1245"/>
      <c r="V127" s="1245"/>
      <c r="W127" s="1245"/>
      <c r="X127" s="1245"/>
      <c r="Y127" s="1245"/>
      <c r="Z127" s="1245"/>
      <c r="AA127" s="1245"/>
      <c r="AB127" s="1245"/>
      <c r="AC127" s="1245"/>
      <c r="AD127" s="1245"/>
      <c r="AE127" s="1245"/>
      <c r="AF127" s="1245"/>
      <c r="AG127" s="1245"/>
      <c r="AH127" s="1245"/>
      <c r="AI127" s="1245"/>
      <c r="AJ127" s="1245"/>
      <c r="AK127" s="1245"/>
      <c r="AL127" s="1245"/>
      <c r="AM127" s="1245"/>
      <c r="AN127" s="1245"/>
      <c r="AO127" s="1245"/>
      <c r="AP127" s="1245"/>
      <c r="AQ127" s="1245"/>
      <c r="AR127" s="1245"/>
      <c r="AS127" s="1245"/>
      <c r="AT127" s="1245"/>
      <c r="AU127" s="1245"/>
      <c r="AV127" s="1245"/>
      <c r="AW127" s="1245"/>
      <c r="AX127" s="1245"/>
      <c r="AY127" s="1245"/>
      <c r="AZ127" s="1245"/>
      <c r="BA127" s="1245"/>
    </row>
    <row r="128" spans="1:53" ht="16.899999999999999" hidden="1" customHeight="1" outlineLevel="1">
      <c r="C128" s="344" t="s">
        <v>1249</v>
      </c>
      <c r="J128" s="1250"/>
      <c r="M128" s="1241"/>
      <c r="N128" s="1241"/>
      <c r="O128" s="1241"/>
      <c r="P128" s="1241"/>
      <c r="Q128" s="1241"/>
      <c r="R128" s="1241"/>
      <c r="S128" s="1241"/>
      <c r="T128" s="1241"/>
      <c r="U128" s="1241"/>
      <c r="V128" s="1241"/>
      <c r="W128" s="1241"/>
      <c r="X128" s="1241"/>
      <c r="Y128" s="1241"/>
      <c r="Z128" s="1241"/>
      <c r="AA128" s="1241"/>
      <c r="AB128" s="1241"/>
      <c r="AC128" s="1241"/>
      <c r="AD128" s="1241"/>
      <c r="AE128" s="1241"/>
      <c r="AF128" s="1241"/>
      <c r="AG128" s="1241"/>
      <c r="AH128" s="1241"/>
      <c r="AI128" s="1241"/>
      <c r="AJ128" s="1241"/>
      <c r="AK128" s="1241"/>
      <c r="AL128" s="1241"/>
      <c r="AM128" s="1241"/>
      <c r="AN128" s="1241"/>
      <c r="AO128" s="1241"/>
      <c r="AP128" s="1241"/>
      <c r="AQ128" s="1241"/>
      <c r="AR128" s="1241"/>
      <c r="AS128" s="1241"/>
      <c r="AT128" s="1241"/>
      <c r="AU128" s="1241"/>
      <c r="AV128" s="1241"/>
      <c r="AW128" s="1241"/>
      <c r="AX128" s="1241"/>
      <c r="AY128" s="1241"/>
      <c r="AZ128" s="1241"/>
      <c r="BA128" s="1241"/>
    </row>
    <row r="129" spans="3:53" ht="16.899999999999999" hidden="1" customHeight="1" outlineLevel="1">
      <c r="C129" s="606" t="s">
        <v>2112</v>
      </c>
      <c r="J129" s="1251">
        <v>0.65</v>
      </c>
      <c r="M129" s="342">
        <f t="shared" ref="M129:AP129" si="34">IF(M7=Train_1_Ops_Start,$J$130,MIN(L129*M133,$J$131))</f>
        <v>0</v>
      </c>
      <c r="N129" s="342">
        <f t="shared" si="34"/>
        <v>0.65</v>
      </c>
      <c r="O129" s="342">
        <f t="shared" ca="1" si="34"/>
        <v>0.8125</v>
      </c>
      <c r="P129" s="1021">
        <f t="shared" ca="1" si="34"/>
        <v>0.95</v>
      </c>
      <c r="Q129" s="342">
        <f t="shared" ca="1" si="34"/>
        <v>0.95</v>
      </c>
      <c r="R129" s="342">
        <f t="shared" ca="1" si="34"/>
        <v>0.95</v>
      </c>
      <c r="S129" s="342">
        <f t="shared" ca="1" si="34"/>
        <v>0.95</v>
      </c>
      <c r="T129" s="342">
        <f t="shared" ca="1" si="34"/>
        <v>0.95</v>
      </c>
      <c r="U129" s="342">
        <f t="shared" ca="1" si="34"/>
        <v>0.95</v>
      </c>
      <c r="V129" s="342">
        <f t="shared" ca="1" si="34"/>
        <v>0.95</v>
      </c>
      <c r="W129" s="342">
        <f t="shared" ca="1" si="34"/>
        <v>0.95</v>
      </c>
      <c r="X129" s="342">
        <f t="shared" ca="1" si="34"/>
        <v>0.95</v>
      </c>
      <c r="Y129" s="342">
        <f t="shared" ca="1" si="34"/>
        <v>0.95</v>
      </c>
      <c r="Z129" s="342">
        <f t="shared" ca="1" si="34"/>
        <v>0.95</v>
      </c>
      <c r="AA129" s="342">
        <f t="shared" ca="1" si="34"/>
        <v>0.95</v>
      </c>
      <c r="AB129" s="342">
        <f t="shared" ca="1" si="34"/>
        <v>0.95</v>
      </c>
      <c r="AC129" s="342">
        <f t="shared" ca="1" si="34"/>
        <v>0.95</v>
      </c>
      <c r="AD129" s="342">
        <f t="shared" ca="1" si="34"/>
        <v>0.95</v>
      </c>
      <c r="AE129" s="342">
        <f t="shared" ca="1" si="34"/>
        <v>0.95</v>
      </c>
      <c r="AF129" s="342">
        <f t="shared" ca="1" si="34"/>
        <v>0.95</v>
      </c>
      <c r="AG129" s="342">
        <f t="shared" ca="1" si="34"/>
        <v>0.95</v>
      </c>
      <c r="AH129" s="342">
        <f t="shared" ca="1" si="34"/>
        <v>0.95</v>
      </c>
      <c r="AI129" s="342">
        <f t="shared" ca="1" si="34"/>
        <v>0.95</v>
      </c>
      <c r="AJ129" s="342">
        <f t="shared" ca="1" si="34"/>
        <v>0.95</v>
      </c>
      <c r="AK129" s="342">
        <f t="shared" ca="1" si="34"/>
        <v>0.95</v>
      </c>
      <c r="AL129" s="342">
        <f t="shared" ca="1" si="34"/>
        <v>0.95</v>
      </c>
      <c r="AM129" s="342">
        <f t="shared" ca="1" si="34"/>
        <v>0.95</v>
      </c>
      <c r="AN129" s="342">
        <f t="shared" ca="1" si="34"/>
        <v>0.95</v>
      </c>
      <c r="AO129" s="342">
        <f t="shared" ca="1" si="34"/>
        <v>0.95</v>
      </c>
      <c r="AP129" s="342">
        <f t="shared" ca="1" si="34"/>
        <v>0.95</v>
      </c>
      <c r="AQ129" s="342"/>
      <c r="AR129" s="342"/>
      <c r="AS129" s="342"/>
      <c r="AT129" s="342"/>
      <c r="AU129" s="342"/>
      <c r="AV129" s="342"/>
      <c r="AW129" s="342"/>
      <c r="AX129" s="342"/>
      <c r="AY129" s="342"/>
      <c r="AZ129" s="342"/>
      <c r="BA129" s="342"/>
    </row>
    <row r="130" spans="3:53" s="606" customFormat="1" hidden="1" outlineLevel="1">
      <c r="C130" s="606" t="s">
        <v>2080</v>
      </c>
      <c r="H130" s="607"/>
      <c r="I130" s="608"/>
      <c r="J130" s="1251">
        <v>0.65</v>
      </c>
      <c r="M130" s="342">
        <f t="shared" ref="M130:AP130" si="35">IF(M7=Ops_start,$J$130,MIN(L130*M134,$J$131))</f>
        <v>0</v>
      </c>
      <c r="N130" s="342">
        <f t="shared" si="35"/>
        <v>0</v>
      </c>
      <c r="O130" s="342">
        <f t="shared" si="35"/>
        <v>0.65</v>
      </c>
      <c r="P130" s="342">
        <f t="shared" ca="1" si="35"/>
        <v>0.8125</v>
      </c>
      <c r="Q130" s="342">
        <f t="shared" ca="1" si="35"/>
        <v>0.95</v>
      </c>
      <c r="R130" s="342">
        <f t="shared" ca="1" si="35"/>
        <v>0.95</v>
      </c>
      <c r="S130" s="342">
        <f t="shared" ca="1" si="35"/>
        <v>0.95</v>
      </c>
      <c r="T130" s="342">
        <f t="shared" ca="1" si="35"/>
        <v>0.95</v>
      </c>
      <c r="U130" s="342">
        <f t="shared" ca="1" si="35"/>
        <v>0.95</v>
      </c>
      <c r="V130" s="342">
        <f t="shared" ca="1" si="35"/>
        <v>0.95</v>
      </c>
      <c r="W130" s="342">
        <f t="shared" ca="1" si="35"/>
        <v>0.95</v>
      </c>
      <c r="X130" s="342">
        <f t="shared" ca="1" si="35"/>
        <v>0.95</v>
      </c>
      <c r="Y130" s="342">
        <f t="shared" ca="1" si="35"/>
        <v>0.95</v>
      </c>
      <c r="Z130" s="342">
        <f t="shared" ca="1" si="35"/>
        <v>0.95</v>
      </c>
      <c r="AA130" s="342">
        <f t="shared" ca="1" si="35"/>
        <v>0.95</v>
      </c>
      <c r="AB130" s="342">
        <f t="shared" ca="1" si="35"/>
        <v>0.95</v>
      </c>
      <c r="AC130" s="342">
        <f t="shared" ca="1" si="35"/>
        <v>0.95</v>
      </c>
      <c r="AD130" s="342">
        <f t="shared" ca="1" si="35"/>
        <v>0.95</v>
      </c>
      <c r="AE130" s="342">
        <f t="shared" ca="1" si="35"/>
        <v>0.95</v>
      </c>
      <c r="AF130" s="342">
        <f t="shared" ca="1" si="35"/>
        <v>0.95</v>
      </c>
      <c r="AG130" s="342">
        <f t="shared" ca="1" si="35"/>
        <v>0.95</v>
      </c>
      <c r="AH130" s="342">
        <f t="shared" ca="1" si="35"/>
        <v>0.95</v>
      </c>
      <c r="AI130" s="342">
        <f t="shared" ca="1" si="35"/>
        <v>0.95</v>
      </c>
      <c r="AJ130" s="342">
        <f t="shared" ca="1" si="35"/>
        <v>0.95</v>
      </c>
      <c r="AK130" s="342">
        <f t="shared" ca="1" si="35"/>
        <v>0.95</v>
      </c>
      <c r="AL130" s="342">
        <f t="shared" ca="1" si="35"/>
        <v>0.95</v>
      </c>
      <c r="AM130" s="342">
        <f t="shared" ca="1" si="35"/>
        <v>0.95</v>
      </c>
      <c r="AN130" s="342">
        <f t="shared" ca="1" si="35"/>
        <v>0.95</v>
      </c>
      <c r="AO130" s="342">
        <f t="shared" ca="1" si="35"/>
        <v>0.95</v>
      </c>
      <c r="AP130" s="342">
        <f t="shared" ca="1" si="35"/>
        <v>0.95</v>
      </c>
      <c r="AQ130" s="342"/>
      <c r="AR130" s="342"/>
      <c r="AS130" s="342"/>
      <c r="AT130" s="342"/>
      <c r="AU130" s="342"/>
      <c r="AV130" s="342"/>
      <c r="AW130" s="342"/>
      <c r="AX130" s="342"/>
      <c r="AY130" s="342"/>
      <c r="AZ130" s="342"/>
      <c r="BA130" s="342"/>
    </row>
    <row r="131" spans="3:53" hidden="1" outlineLevel="1">
      <c r="C131" s="320" t="s">
        <v>709</v>
      </c>
      <c r="J131" s="341">
        <v>0.95</v>
      </c>
      <c r="M131" s="1252"/>
      <c r="N131" s="1252"/>
      <c r="O131" s="1252"/>
      <c r="P131" s="1252"/>
      <c r="Q131" s="1252"/>
      <c r="R131" s="1252"/>
      <c r="S131" s="1252"/>
      <c r="T131" s="1252"/>
      <c r="U131" s="1252"/>
      <c r="V131" s="1252"/>
      <c r="W131" s="1252"/>
      <c r="X131" s="1252"/>
      <c r="Y131" s="1252"/>
      <c r="Z131" s="1252"/>
      <c r="AA131" s="1252"/>
      <c r="AB131" s="1252"/>
      <c r="AC131" s="1252"/>
      <c r="AD131" s="1252"/>
      <c r="AE131" s="1252"/>
      <c r="AF131" s="1252"/>
      <c r="AG131" s="1252"/>
      <c r="AH131" s="1252"/>
      <c r="AI131" s="1252"/>
      <c r="AJ131" s="1252"/>
      <c r="AK131" s="1252"/>
      <c r="AL131" s="1252"/>
      <c r="AM131" s="1252"/>
      <c r="AN131" s="1252"/>
      <c r="AO131" s="1252"/>
      <c r="AP131" s="1252"/>
      <c r="AQ131" s="1252"/>
      <c r="AR131" s="1252"/>
      <c r="AS131" s="1252"/>
      <c r="AT131" s="1252"/>
      <c r="AU131" s="1252"/>
      <c r="AV131" s="1252"/>
      <c r="AW131" s="1252"/>
      <c r="AX131" s="1252"/>
      <c r="AY131" s="1252"/>
      <c r="AZ131" s="1252"/>
      <c r="BA131" s="1252"/>
    </row>
    <row r="132" spans="3:53" s="606" customFormat="1" hidden="1" outlineLevel="1">
      <c r="H132" s="607"/>
      <c r="I132" s="608"/>
      <c r="J132" s="609"/>
      <c r="M132" s="1253"/>
      <c r="N132" s="1253"/>
      <c r="O132" s="1253"/>
      <c r="P132" s="1253"/>
      <c r="Q132" s="1253"/>
      <c r="R132" s="1253"/>
      <c r="S132" s="1253"/>
      <c r="T132" s="1253"/>
      <c r="U132" s="1253"/>
      <c r="V132" s="1253"/>
      <c r="W132" s="1253"/>
      <c r="X132" s="1253"/>
      <c r="Y132" s="1253"/>
      <c r="Z132" s="1253"/>
      <c r="AA132" s="1253"/>
      <c r="AB132" s="1253"/>
      <c r="AC132" s="1253"/>
      <c r="AD132" s="1253"/>
      <c r="AE132" s="1253"/>
      <c r="AF132" s="1253"/>
      <c r="AG132" s="1253"/>
      <c r="AH132" s="1253"/>
      <c r="AI132" s="1253"/>
      <c r="AJ132" s="1253"/>
      <c r="AK132" s="1253"/>
      <c r="AL132" s="1253"/>
      <c r="AM132" s="1253"/>
      <c r="AN132" s="1253"/>
      <c r="AO132" s="1253"/>
      <c r="AP132" s="1253"/>
      <c r="AQ132" s="1253"/>
      <c r="AR132" s="1253"/>
      <c r="AS132" s="1253"/>
      <c r="AT132" s="1253"/>
      <c r="AU132" s="1253"/>
      <c r="AV132" s="1253"/>
      <c r="AW132" s="1253"/>
      <c r="AX132" s="1253"/>
      <c r="AY132" s="1253"/>
      <c r="AZ132" s="1253"/>
      <c r="BA132" s="1253"/>
    </row>
    <row r="133" spans="3:53" s="606" customFormat="1" hidden="1" outlineLevel="1">
      <c r="C133" s="320" t="s">
        <v>1814</v>
      </c>
      <c r="H133" s="607"/>
      <c r="I133" s="608"/>
      <c r="J133" s="341">
        <v>0.25</v>
      </c>
      <c r="M133" s="1235">
        <f>IF('Timing &amp; Flags'!I158=0,One,(One+$J$133))</f>
        <v>1</v>
      </c>
      <c r="N133" s="1235">
        <f>IF('Timing &amp; Flags'!J158=0,One,(One+$J$133))</f>
        <v>1</v>
      </c>
      <c r="O133" s="1235">
        <f ca="1">IF('Timing &amp; Flags'!K158=0,One,(One+$J$133))</f>
        <v>1.25</v>
      </c>
      <c r="P133" s="1235">
        <f ca="1">IF('Timing &amp; Flags'!L158=0,One,(One+$J$133))</f>
        <v>1.25</v>
      </c>
      <c r="Q133" s="1235">
        <f ca="1">IF('Timing &amp; Flags'!M158=0,One,(One+$J$133))</f>
        <v>1.25</v>
      </c>
      <c r="R133" s="1235">
        <f ca="1">IF('Timing &amp; Flags'!N158=0,One,(One+$J$133))</f>
        <v>1.25</v>
      </c>
      <c r="S133" s="1235">
        <f ca="1">IF('Timing &amp; Flags'!O158=0,One,(One+$J$133))</f>
        <v>1.25</v>
      </c>
      <c r="T133" s="1235">
        <f ca="1">IF('Timing &amp; Flags'!P158=0,One,(One+$J$133))</f>
        <v>1.25</v>
      </c>
      <c r="U133" s="1235">
        <f ca="1">IF('Timing &amp; Flags'!Q158=0,One,(One+$J$133))</f>
        <v>1.25</v>
      </c>
      <c r="V133" s="1235">
        <f ca="1">IF('Timing &amp; Flags'!R158=0,One,(One+$J$133))</f>
        <v>1.25</v>
      </c>
      <c r="W133" s="1235">
        <f ca="1">IF('Timing &amp; Flags'!S158=0,One,(One+$J$133))</f>
        <v>1.25</v>
      </c>
      <c r="X133" s="1235">
        <f ca="1">IF('Timing &amp; Flags'!T158=0,One,(One+$J$133))</f>
        <v>1.25</v>
      </c>
      <c r="Y133" s="1235">
        <f ca="1">IF('Timing &amp; Flags'!U158=0,One,(One+$J$133))</f>
        <v>1.25</v>
      </c>
      <c r="Z133" s="1235">
        <f ca="1">IF('Timing &amp; Flags'!V158=0,One,(One+$J$133))</f>
        <v>1.25</v>
      </c>
      <c r="AA133" s="1235">
        <f ca="1">IF('Timing &amp; Flags'!W158=0,One,(One+$J$133))</f>
        <v>1.25</v>
      </c>
      <c r="AB133" s="1235">
        <f ca="1">IF('Timing &amp; Flags'!X158=0,One,(One+$J$133))</f>
        <v>1.25</v>
      </c>
      <c r="AC133" s="1235">
        <f ca="1">IF('Timing &amp; Flags'!Y158=0,One,(One+$J$133))</f>
        <v>1.25</v>
      </c>
      <c r="AD133" s="1235">
        <f ca="1">IF('Timing &amp; Flags'!Z158=0,One,(One+$J$133))</f>
        <v>1.25</v>
      </c>
      <c r="AE133" s="1235">
        <f ca="1">IF('Timing &amp; Flags'!AA158=0,One,(One+$J$133))</f>
        <v>1.25</v>
      </c>
      <c r="AF133" s="1235">
        <f ca="1">IF('Timing &amp; Flags'!AB158=0,One,(One+$J$133))</f>
        <v>1.25</v>
      </c>
      <c r="AG133" s="1235">
        <f ca="1">IF('Timing &amp; Flags'!AC158=0,One,(One+$J$133))</f>
        <v>1.25</v>
      </c>
      <c r="AH133" s="1235">
        <f ca="1">IF('Timing &amp; Flags'!AD158=0,One,(One+$J$133))</f>
        <v>1.25</v>
      </c>
      <c r="AI133" s="1235">
        <f ca="1">IF('Timing &amp; Flags'!AE158=0,One,(One+$J$133))</f>
        <v>1.25</v>
      </c>
      <c r="AJ133" s="1235">
        <f ca="1">IF('Timing &amp; Flags'!AF158=0,One,(One+$J$133))</f>
        <v>1.25</v>
      </c>
      <c r="AK133" s="1235">
        <f ca="1">IF('Timing &amp; Flags'!AG158=0,One,(One+$J$133))</f>
        <v>1.25</v>
      </c>
      <c r="AL133" s="1235">
        <f ca="1">IF('Timing &amp; Flags'!AH158=0,One,(One+$J$133))</f>
        <v>1.25</v>
      </c>
      <c r="AM133" s="1235">
        <f ca="1">IF('Timing &amp; Flags'!AI158=0,One,(One+$J$133))</f>
        <v>1.25</v>
      </c>
      <c r="AN133" s="1235">
        <f ca="1">IF('Timing &amp; Flags'!AJ158=0,One,(One+$J$133))</f>
        <v>1.25</v>
      </c>
      <c r="AO133" s="1235">
        <f ca="1">IF('Timing &amp; Flags'!AK158=0,One,(One+$J$133))</f>
        <v>1.25</v>
      </c>
      <c r="AP133" s="1235">
        <f ca="1">IF('Timing &amp; Flags'!AL158=0,One,(One+$J$133))</f>
        <v>1.25</v>
      </c>
      <c r="AQ133" s="1235"/>
      <c r="AR133" s="1235"/>
      <c r="AS133" s="1235"/>
      <c r="AT133" s="1235"/>
      <c r="AU133" s="1235"/>
      <c r="AV133" s="1235"/>
      <c r="AW133" s="1235"/>
      <c r="AX133" s="1235"/>
      <c r="AY133" s="1235"/>
      <c r="AZ133" s="1235"/>
      <c r="BA133" s="1235"/>
    </row>
    <row r="134" spans="3:53" hidden="1" outlineLevel="1">
      <c r="C134" s="320" t="s">
        <v>2079</v>
      </c>
      <c r="J134" s="341">
        <v>0.25</v>
      </c>
      <c r="M134" s="1235">
        <f>IF('Timing &amp; Flags'!I55=0,One,(One+$J$134))</f>
        <v>1</v>
      </c>
      <c r="N134" s="1235">
        <f>IF('Timing &amp; Flags'!J55=0,One,(One+$J$134))</f>
        <v>1</v>
      </c>
      <c r="O134" s="1235">
        <f>IF('Timing &amp; Flags'!K55=0,One,(One+$J$134))</f>
        <v>1</v>
      </c>
      <c r="P134" s="1235">
        <f ca="1">IF('Timing &amp; Flags'!L55=0,One,(One+$J$134))</f>
        <v>1.25</v>
      </c>
      <c r="Q134" s="1235">
        <f ca="1">IF('Timing &amp; Flags'!M55=0,One,(One+$J$134))</f>
        <v>1.25</v>
      </c>
      <c r="R134" s="1235">
        <f ca="1">IF('Timing &amp; Flags'!N55=0,One,(One+$J$134))</f>
        <v>1.25</v>
      </c>
      <c r="S134" s="1235">
        <f ca="1">IF('Timing &amp; Flags'!O55=0,One,(One+$J$134))</f>
        <v>1.25</v>
      </c>
      <c r="T134" s="1235">
        <f ca="1">IF('Timing &amp; Flags'!P55=0,One,(One+$J$134))</f>
        <v>1.25</v>
      </c>
      <c r="U134" s="1235">
        <f ca="1">IF('Timing &amp; Flags'!Q55=0,One,(One+$J$134))</f>
        <v>1.25</v>
      </c>
      <c r="V134" s="1235">
        <f ca="1">IF('Timing &amp; Flags'!R55=0,One,(One+$J$134))</f>
        <v>1.25</v>
      </c>
      <c r="W134" s="1235">
        <f ca="1">IF('Timing &amp; Flags'!S55=0,One,(One+$J$134))</f>
        <v>1.25</v>
      </c>
      <c r="X134" s="1235">
        <f ca="1">IF('Timing &amp; Flags'!T55=0,One,(One+$J$134))</f>
        <v>1.25</v>
      </c>
      <c r="Y134" s="1235">
        <f ca="1">IF('Timing &amp; Flags'!U55=0,One,(One+$J$134))</f>
        <v>1.25</v>
      </c>
      <c r="Z134" s="1235">
        <f ca="1">IF('Timing &amp; Flags'!V55=0,One,(One+$J$134))</f>
        <v>1.25</v>
      </c>
      <c r="AA134" s="1235">
        <f ca="1">IF('Timing &amp; Flags'!W55=0,One,(One+$J$134))</f>
        <v>1.25</v>
      </c>
      <c r="AB134" s="1235">
        <f ca="1">IF('Timing &amp; Flags'!X55=0,One,(One+$J$134))</f>
        <v>1.25</v>
      </c>
      <c r="AC134" s="1235">
        <f ca="1">IF('Timing &amp; Flags'!Y55=0,One,(One+$J$134))</f>
        <v>1.25</v>
      </c>
      <c r="AD134" s="1235">
        <f ca="1">IF('Timing &amp; Flags'!Z55=0,One,(One+$J$134))</f>
        <v>1.25</v>
      </c>
      <c r="AE134" s="1235">
        <f ca="1">IF('Timing &amp; Flags'!AA55=0,One,(One+$J$134))</f>
        <v>1.25</v>
      </c>
      <c r="AF134" s="1235">
        <f ca="1">IF('Timing &amp; Flags'!AB55=0,One,(One+$J$134))</f>
        <v>1.25</v>
      </c>
      <c r="AG134" s="1235">
        <f ca="1">IF('Timing &amp; Flags'!AC55=0,One,(One+$J$134))</f>
        <v>1.25</v>
      </c>
      <c r="AH134" s="1235">
        <f ca="1">IF('Timing &amp; Flags'!AD55=0,One,(One+$J$134))</f>
        <v>1.25</v>
      </c>
      <c r="AI134" s="1235">
        <f ca="1">IF('Timing &amp; Flags'!AE55=0,One,(One+$J$134))</f>
        <v>1.25</v>
      </c>
      <c r="AJ134" s="1235">
        <f ca="1">IF('Timing &amp; Flags'!AF55=0,One,(One+$J$134))</f>
        <v>1.25</v>
      </c>
      <c r="AK134" s="1235">
        <f ca="1">IF('Timing &amp; Flags'!AG55=0,One,(One+$J$134))</f>
        <v>1.25</v>
      </c>
      <c r="AL134" s="1235">
        <f ca="1">IF('Timing &amp; Flags'!AH55=0,One,(One+$J$134))</f>
        <v>1.25</v>
      </c>
      <c r="AM134" s="1235">
        <f ca="1">IF('Timing &amp; Flags'!AI55=0,One,(One+$J$134))</f>
        <v>1.25</v>
      </c>
      <c r="AN134" s="1235">
        <f ca="1">IF('Timing &amp; Flags'!AJ55=0,One,(One+$J$134))</f>
        <v>1.25</v>
      </c>
      <c r="AO134" s="1235">
        <f ca="1">IF('Timing &amp; Flags'!AK55=0,One,(One+$J$134))</f>
        <v>1.25</v>
      </c>
      <c r="AP134" s="1235">
        <f ca="1">IF('Timing &amp; Flags'!AL55=0,One,(One+$J$134))</f>
        <v>1.25</v>
      </c>
      <c r="AQ134" s="1235"/>
      <c r="AR134" s="1235"/>
      <c r="AS134" s="1235"/>
      <c r="AT134" s="1235"/>
      <c r="AU134" s="1235"/>
      <c r="AV134" s="1235"/>
      <c r="AW134" s="1235"/>
      <c r="AX134" s="1235"/>
      <c r="AY134" s="1235"/>
      <c r="AZ134" s="1235"/>
      <c r="BA134" s="1235"/>
    </row>
    <row r="135" spans="3:53" hidden="1" outlineLevel="1">
      <c r="J135" s="341"/>
      <c r="M135" s="1235"/>
      <c r="N135" s="1235"/>
      <c r="O135" s="1235"/>
      <c r="P135" s="1235"/>
      <c r="Q135" s="1235"/>
      <c r="R135" s="1235"/>
      <c r="S135" s="1235"/>
      <c r="T135" s="1235"/>
      <c r="U135" s="1235"/>
      <c r="V135" s="1235"/>
      <c r="W135" s="1235"/>
      <c r="X135" s="1235"/>
      <c r="Y135" s="1235"/>
      <c r="Z135" s="1235"/>
      <c r="AA135" s="1235"/>
      <c r="AB135" s="1235"/>
      <c r="AC135" s="1235"/>
      <c r="AD135" s="1235"/>
      <c r="AE135" s="1235"/>
      <c r="AF135" s="1235"/>
      <c r="AG135" s="1235"/>
      <c r="AH135" s="1235"/>
      <c r="AI135" s="1235"/>
      <c r="AJ135" s="1235"/>
      <c r="AK135" s="1235"/>
      <c r="AL135" s="1235"/>
      <c r="AM135" s="1235"/>
      <c r="AN135" s="1235"/>
      <c r="AO135" s="1235"/>
      <c r="AP135" s="1235"/>
      <c r="AQ135" s="1235"/>
      <c r="AR135" s="1235"/>
      <c r="AS135" s="1235"/>
      <c r="AT135" s="1235"/>
      <c r="AU135" s="1235"/>
      <c r="AV135" s="1235"/>
      <c r="AW135" s="1235"/>
      <c r="AX135" s="1235"/>
      <c r="AY135" s="1235"/>
      <c r="AZ135" s="1235"/>
      <c r="BA135" s="1235"/>
    </row>
    <row r="136" spans="3:53" hidden="1" outlineLevel="1">
      <c r="C136" s="344" t="s">
        <v>1813</v>
      </c>
      <c r="J136" s="341"/>
      <c r="M136" s="1235"/>
      <c r="N136" s="1235"/>
      <c r="O136" s="1235"/>
      <c r="P136" s="1235"/>
      <c r="Q136" s="1235"/>
      <c r="R136" s="1235"/>
      <c r="S136" s="1235"/>
      <c r="T136" s="1235"/>
      <c r="U136" s="1235"/>
      <c r="V136" s="1235"/>
      <c r="W136" s="1235"/>
      <c r="X136" s="1235"/>
      <c r="Y136" s="1235"/>
      <c r="Z136" s="1235"/>
      <c r="AA136" s="1235"/>
      <c r="AB136" s="1235"/>
      <c r="AC136" s="1235"/>
      <c r="AD136" s="1235"/>
      <c r="AE136" s="1235"/>
      <c r="AF136" s="1235"/>
      <c r="AG136" s="1235"/>
      <c r="AH136" s="1235"/>
      <c r="AI136" s="1235"/>
      <c r="AJ136" s="1235"/>
      <c r="AK136" s="1235"/>
      <c r="AL136" s="1235"/>
      <c r="AM136" s="1235"/>
      <c r="AN136" s="1235"/>
      <c r="AO136" s="1235"/>
      <c r="AP136" s="1235"/>
      <c r="AQ136" s="1235"/>
      <c r="AR136" s="1235"/>
      <c r="AS136" s="1235"/>
      <c r="AT136" s="1235"/>
      <c r="AU136" s="1235"/>
      <c r="AV136" s="1235"/>
      <c r="AW136" s="1235"/>
      <c r="AX136" s="1235"/>
      <c r="AY136" s="1235"/>
      <c r="AZ136" s="1235"/>
      <c r="BA136" s="1235"/>
    </row>
    <row r="137" spans="3:53" hidden="1" outlineLevel="1">
      <c r="C137" s="485" t="s">
        <v>1800</v>
      </c>
      <c r="J137" s="341"/>
      <c r="M137" s="1241">
        <f t="shared" ref="M137:AP137" si="36">M73*M129</f>
        <v>0</v>
      </c>
      <c r="N137" s="1241">
        <f t="shared" si="36"/>
        <v>975000</v>
      </c>
      <c r="O137" s="1241">
        <f t="shared" ca="1" si="36"/>
        <v>1218750</v>
      </c>
      <c r="P137" s="1241">
        <f t="shared" ca="1" si="36"/>
        <v>1425000</v>
      </c>
      <c r="Q137" s="1241">
        <f t="shared" ca="1" si="36"/>
        <v>1425000</v>
      </c>
      <c r="R137" s="1241">
        <f t="shared" ca="1" si="36"/>
        <v>1425000</v>
      </c>
      <c r="S137" s="1241">
        <f t="shared" ca="1" si="36"/>
        <v>1425000</v>
      </c>
      <c r="T137" s="1241">
        <f t="shared" ca="1" si="36"/>
        <v>1425000</v>
      </c>
      <c r="U137" s="1241">
        <f t="shared" ca="1" si="36"/>
        <v>1425000</v>
      </c>
      <c r="V137" s="1241">
        <f t="shared" ca="1" si="36"/>
        <v>1425000</v>
      </c>
      <c r="W137" s="1241">
        <f t="shared" ca="1" si="36"/>
        <v>1425000</v>
      </c>
      <c r="X137" s="1241">
        <f t="shared" ca="1" si="36"/>
        <v>1425000</v>
      </c>
      <c r="Y137" s="1241">
        <f t="shared" ca="1" si="36"/>
        <v>1425000</v>
      </c>
      <c r="Z137" s="1241">
        <f t="shared" ca="1" si="36"/>
        <v>1425000</v>
      </c>
      <c r="AA137" s="1241">
        <f t="shared" ca="1" si="36"/>
        <v>1425000</v>
      </c>
      <c r="AB137" s="1241">
        <f t="shared" ca="1" si="36"/>
        <v>1425000</v>
      </c>
      <c r="AC137" s="1241">
        <f t="shared" ca="1" si="36"/>
        <v>1425000</v>
      </c>
      <c r="AD137" s="1241">
        <f t="shared" ca="1" si="36"/>
        <v>1425000</v>
      </c>
      <c r="AE137" s="1241">
        <f t="shared" ca="1" si="36"/>
        <v>1425000</v>
      </c>
      <c r="AF137" s="1241">
        <f t="shared" ca="1" si="36"/>
        <v>1425000</v>
      </c>
      <c r="AG137" s="1241">
        <f t="shared" ca="1" si="36"/>
        <v>1425000</v>
      </c>
      <c r="AH137" s="1241">
        <f t="shared" ca="1" si="36"/>
        <v>1425000</v>
      </c>
      <c r="AI137" s="1241">
        <f t="shared" ca="1" si="36"/>
        <v>1425000</v>
      </c>
      <c r="AJ137" s="1241">
        <f t="shared" ca="1" si="36"/>
        <v>1425000</v>
      </c>
      <c r="AK137" s="1241">
        <f t="shared" ca="1" si="36"/>
        <v>1425000</v>
      </c>
      <c r="AL137" s="1241">
        <f t="shared" ca="1" si="36"/>
        <v>1425000</v>
      </c>
      <c r="AM137" s="1241">
        <f t="shared" ca="1" si="36"/>
        <v>1425000</v>
      </c>
      <c r="AN137" s="1241">
        <f t="shared" ca="1" si="36"/>
        <v>1425000</v>
      </c>
      <c r="AO137" s="1241">
        <f t="shared" ca="1" si="36"/>
        <v>1425000</v>
      </c>
      <c r="AP137" s="1241">
        <f t="shared" ca="1" si="36"/>
        <v>1425000</v>
      </c>
      <c r="AQ137" s="1241"/>
      <c r="AR137" s="1241"/>
      <c r="AS137" s="1241"/>
      <c r="AT137" s="1241"/>
      <c r="AU137" s="1241"/>
      <c r="AV137" s="1241"/>
      <c r="AW137" s="1241"/>
      <c r="AX137" s="1241"/>
      <c r="AY137" s="1241"/>
      <c r="AZ137" s="1241"/>
      <c r="BA137" s="1241"/>
    </row>
    <row r="138" spans="3:53" hidden="1" outlineLevel="1">
      <c r="C138" s="485" t="s">
        <v>1801</v>
      </c>
      <c r="J138" s="341"/>
      <c r="M138" s="1241">
        <f t="shared" ref="M138:AP138" si="37">M74*M130</f>
        <v>0</v>
      </c>
      <c r="N138" s="1241">
        <f t="shared" si="37"/>
        <v>0</v>
      </c>
      <c r="O138" s="1241">
        <f t="shared" si="37"/>
        <v>650000</v>
      </c>
      <c r="P138" s="1241">
        <f t="shared" ca="1" si="37"/>
        <v>812500</v>
      </c>
      <c r="Q138" s="1241">
        <f t="shared" ca="1" si="37"/>
        <v>950000</v>
      </c>
      <c r="R138" s="1241">
        <f t="shared" ca="1" si="37"/>
        <v>950000</v>
      </c>
      <c r="S138" s="1241">
        <f t="shared" ca="1" si="37"/>
        <v>950000</v>
      </c>
      <c r="T138" s="1241">
        <f t="shared" ca="1" si="37"/>
        <v>950000</v>
      </c>
      <c r="U138" s="1241">
        <f t="shared" ca="1" si="37"/>
        <v>950000</v>
      </c>
      <c r="V138" s="1241">
        <f t="shared" ca="1" si="37"/>
        <v>950000</v>
      </c>
      <c r="W138" s="1241">
        <f t="shared" ca="1" si="37"/>
        <v>950000</v>
      </c>
      <c r="X138" s="1241">
        <f t="shared" ca="1" si="37"/>
        <v>950000</v>
      </c>
      <c r="Y138" s="1241">
        <f t="shared" ca="1" si="37"/>
        <v>950000</v>
      </c>
      <c r="Z138" s="1241">
        <f t="shared" ca="1" si="37"/>
        <v>950000</v>
      </c>
      <c r="AA138" s="1241">
        <f t="shared" ca="1" si="37"/>
        <v>950000</v>
      </c>
      <c r="AB138" s="1241">
        <f t="shared" ca="1" si="37"/>
        <v>950000</v>
      </c>
      <c r="AC138" s="1241">
        <f t="shared" ca="1" si="37"/>
        <v>950000</v>
      </c>
      <c r="AD138" s="1241">
        <f t="shared" ca="1" si="37"/>
        <v>950000</v>
      </c>
      <c r="AE138" s="1241">
        <f t="shared" ca="1" si="37"/>
        <v>950000</v>
      </c>
      <c r="AF138" s="1241">
        <f t="shared" ca="1" si="37"/>
        <v>950000</v>
      </c>
      <c r="AG138" s="1241">
        <f t="shared" ca="1" si="37"/>
        <v>950000</v>
      </c>
      <c r="AH138" s="1241">
        <f t="shared" ca="1" si="37"/>
        <v>950000</v>
      </c>
      <c r="AI138" s="1241">
        <f t="shared" ca="1" si="37"/>
        <v>950000</v>
      </c>
      <c r="AJ138" s="1241">
        <f t="shared" ca="1" si="37"/>
        <v>950000</v>
      </c>
      <c r="AK138" s="1241">
        <f t="shared" ca="1" si="37"/>
        <v>950000</v>
      </c>
      <c r="AL138" s="1241">
        <f t="shared" ca="1" si="37"/>
        <v>950000</v>
      </c>
      <c r="AM138" s="1241">
        <f t="shared" ca="1" si="37"/>
        <v>950000</v>
      </c>
      <c r="AN138" s="1241">
        <f t="shared" ca="1" si="37"/>
        <v>950000</v>
      </c>
      <c r="AO138" s="1241">
        <f t="shared" ca="1" si="37"/>
        <v>950000</v>
      </c>
      <c r="AP138" s="1241">
        <f t="shared" ca="1" si="37"/>
        <v>950000</v>
      </c>
      <c r="AQ138" s="1241"/>
      <c r="AR138" s="1241"/>
      <c r="AS138" s="1241"/>
      <c r="AT138" s="1241"/>
      <c r="AU138" s="1241"/>
      <c r="AV138" s="1241"/>
      <c r="AW138" s="1241"/>
      <c r="AX138" s="1241"/>
      <c r="AY138" s="1241"/>
      <c r="AZ138" s="1241"/>
      <c r="BA138" s="1241"/>
    </row>
    <row r="139" spans="3:53" hidden="1" outlineLevel="1">
      <c r="C139" s="485" t="s">
        <v>1802</v>
      </c>
      <c r="J139" s="341"/>
      <c r="M139" s="1241">
        <f>M76*M129</f>
        <v>0</v>
      </c>
      <c r="N139" s="1241">
        <f t="shared" ref="N139:AP139" si="38">N75*N130</f>
        <v>0</v>
      </c>
      <c r="O139" s="1241">
        <f t="shared" si="38"/>
        <v>0</v>
      </c>
      <c r="P139" s="1241">
        <f t="shared" ca="1" si="38"/>
        <v>0</v>
      </c>
      <c r="Q139" s="1241">
        <f t="shared" ca="1" si="38"/>
        <v>0</v>
      </c>
      <c r="R139" s="1241">
        <f t="shared" ca="1" si="38"/>
        <v>0</v>
      </c>
      <c r="S139" s="1241">
        <f t="shared" ca="1" si="38"/>
        <v>0</v>
      </c>
      <c r="T139" s="1241">
        <f t="shared" ca="1" si="38"/>
        <v>0</v>
      </c>
      <c r="U139" s="1241">
        <f t="shared" ca="1" si="38"/>
        <v>0</v>
      </c>
      <c r="V139" s="1241">
        <f t="shared" ca="1" si="38"/>
        <v>0</v>
      </c>
      <c r="W139" s="1241">
        <f t="shared" ca="1" si="38"/>
        <v>0</v>
      </c>
      <c r="X139" s="1241">
        <f t="shared" ca="1" si="38"/>
        <v>0</v>
      </c>
      <c r="Y139" s="1241">
        <f t="shared" ca="1" si="38"/>
        <v>0</v>
      </c>
      <c r="Z139" s="1241">
        <f t="shared" ca="1" si="38"/>
        <v>0</v>
      </c>
      <c r="AA139" s="1241">
        <f t="shared" ca="1" si="38"/>
        <v>0</v>
      </c>
      <c r="AB139" s="1241">
        <f t="shared" ca="1" si="38"/>
        <v>0</v>
      </c>
      <c r="AC139" s="1241">
        <f t="shared" ca="1" si="38"/>
        <v>0</v>
      </c>
      <c r="AD139" s="1241">
        <f t="shared" ca="1" si="38"/>
        <v>0</v>
      </c>
      <c r="AE139" s="1241">
        <f t="shared" ca="1" si="38"/>
        <v>0</v>
      </c>
      <c r="AF139" s="1241">
        <f t="shared" ca="1" si="38"/>
        <v>0</v>
      </c>
      <c r="AG139" s="1241">
        <f t="shared" ca="1" si="38"/>
        <v>0</v>
      </c>
      <c r="AH139" s="1241">
        <f t="shared" ca="1" si="38"/>
        <v>0</v>
      </c>
      <c r="AI139" s="1241">
        <f t="shared" ca="1" si="38"/>
        <v>0</v>
      </c>
      <c r="AJ139" s="1241">
        <f t="shared" ca="1" si="38"/>
        <v>0</v>
      </c>
      <c r="AK139" s="1241">
        <f t="shared" ca="1" si="38"/>
        <v>0</v>
      </c>
      <c r="AL139" s="1241">
        <f t="shared" ca="1" si="38"/>
        <v>0</v>
      </c>
      <c r="AM139" s="1241">
        <f t="shared" ca="1" si="38"/>
        <v>0</v>
      </c>
      <c r="AN139" s="1241">
        <f t="shared" ca="1" si="38"/>
        <v>0</v>
      </c>
      <c r="AO139" s="1241">
        <f t="shared" ca="1" si="38"/>
        <v>0</v>
      </c>
      <c r="AP139" s="1241">
        <f t="shared" ca="1" si="38"/>
        <v>0</v>
      </c>
      <c r="AQ139" s="1241"/>
      <c r="AR139" s="1241"/>
      <c r="AS139" s="1241"/>
      <c r="AT139" s="1241"/>
      <c r="AU139" s="1241"/>
      <c r="AV139" s="1241"/>
      <c r="AW139" s="1241"/>
      <c r="AX139" s="1241"/>
      <c r="AY139" s="1241"/>
      <c r="AZ139" s="1241"/>
      <c r="BA139" s="1241"/>
    </row>
    <row r="140" spans="3:53" hidden="1" outlineLevel="1">
      <c r="C140" s="485" t="s">
        <v>2114</v>
      </c>
      <c r="J140" s="341"/>
      <c r="M140" s="1241">
        <f t="shared" ref="M140:AP140" si="39">M76*M129</f>
        <v>0</v>
      </c>
      <c r="N140" s="1241">
        <f t="shared" si="39"/>
        <v>0</v>
      </c>
      <c r="O140" s="1241">
        <f t="shared" ca="1" si="39"/>
        <v>0</v>
      </c>
      <c r="P140" s="1241">
        <f t="shared" ca="1" si="39"/>
        <v>0</v>
      </c>
      <c r="Q140" s="1241">
        <f t="shared" ca="1" si="39"/>
        <v>0</v>
      </c>
      <c r="R140" s="1241">
        <f t="shared" ca="1" si="39"/>
        <v>0</v>
      </c>
      <c r="S140" s="1241">
        <f t="shared" ca="1" si="39"/>
        <v>0</v>
      </c>
      <c r="T140" s="1241">
        <f t="shared" ca="1" si="39"/>
        <v>0</v>
      </c>
      <c r="U140" s="1241">
        <f t="shared" ca="1" si="39"/>
        <v>0</v>
      </c>
      <c r="V140" s="1241">
        <f t="shared" ca="1" si="39"/>
        <v>0</v>
      </c>
      <c r="W140" s="1241">
        <f t="shared" ca="1" si="39"/>
        <v>0</v>
      </c>
      <c r="X140" s="1241">
        <f t="shared" ca="1" si="39"/>
        <v>0</v>
      </c>
      <c r="Y140" s="1241">
        <f t="shared" ca="1" si="39"/>
        <v>0</v>
      </c>
      <c r="Z140" s="1241">
        <f t="shared" ca="1" si="39"/>
        <v>0</v>
      </c>
      <c r="AA140" s="1241">
        <f t="shared" ca="1" si="39"/>
        <v>0</v>
      </c>
      <c r="AB140" s="1241">
        <f t="shared" ca="1" si="39"/>
        <v>0</v>
      </c>
      <c r="AC140" s="1241">
        <f t="shared" ca="1" si="39"/>
        <v>0</v>
      </c>
      <c r="AD140" s="1241">
        <f t="shared" ca="1" si="39"/>
        <v>0</v>
      </c>
      <c r="AE140" s="1241">
        <f t="shared" ca="1" si="39"/>
        <v>0</v>
      </c>
      <c r="AF140" s="1241">
        <f t="shared" ca="1" si="39"/>
        <v>0</v>
      </c>
      <c r="AG140" s="1241">
        <f t="shared" ca="1" si="39"/>
        <v>0</v>
      </c>
      <c r="AH140" s="1241">
        <f t="shared" ca="1" si="39"/>
        <v>0</v>
      </c>
      <c r="AI140" s="1241">
        <f t="shared" ca="1" si="39"/>
        <v>0</v>
      </c>
      <c r="AJ140" s="1241">
        <f t="shared" ca="1" si="39"/>
        <v>0</v>
      </c>
      <c r="AK140" s="1241">
        <f t="shared" ca="1" si="39"/>
        <v>0</v>
      </c>
      <c r="AL140" s="1241">
        <f t="shared" ca="1" si="39"/>
        <v>0</v>
      </c>
      <c r="AM140" s="1241">
        <f t="shared" ca="1" si="39"/>
        <v>0</v>
      </c>
      <c r="AN140" s="1241">
        <f t="shared" ca="1" si="39"/>
        <v>0</v>
      </c>
      <c r="AO140" s="1241">
        <f t="shared" ca="1" si="39"/>
        <v>0</v>
      </c>
      <c r="AP140" s="1241">
        <f t="shared" ca="1" si="39"/>
        <v>0</v>
      </c>
      <c r="AQ140" s="1241"/>
      <c r="AR140" s="1241"/>
      <c r="AS140" s="1241"/>
      <c r="AT140" s="1241"/>
      <c r="AU140" s="1241"/>
      <c r="AV140" s="1241"/>
      <c r="AW140" s="1241"/>
      <c r="AX140" s="1241"/>
      <c r="AY140" s="1241"/>
      <c r="AZ140" s="1241"/>
      <c r="BA140" s="1241"/>
    </row>
    <row r="141" spans="3:53" hidden="1" outlineLevel="1">
      <c r="C141" s="485" t="s">
        <v>1803</v>
      </c>
      <c r="J141" s="341"/>
      <c r="M141" s="1596">
        <f>M77*M129</f>
        <v>0</v>
      </c>
      <c r="N141" s="1596">
        <f>N77*N129</f>
        <v>650000</v>
      </c>
      <c r="O141" s="1596">
        <f t="shared" ref="O141:AP141" ca="1" si="40">O77*O129</f>
        <v>812500</v>
      </c>
      <c r="P141" s="1596">
        <f t="shared" ca="1" si="40"/>
        <v>950000</v>
      </c>
      <c r="Q141" s="1596">
        <f t="shared" ca="1" si="40"/>
        <v>950000</v>
      </c>
      <c r="R141" s="1596">
        <f t="shared" ca="1" si="40"/>
        <v>950000</v>
      </c>
      <c r="S141" s="1596">
        <f t="shared" ca="1" si="40"/>
        <v>950000</v>
      </c>
      <c r="T141" s="1596">
        <f t="shared" ca="1" si="40"/>
        <v>950000</v>
      </c>
      <c r="U141" s="1596">
        <f t="shared" ca="1" si="40"/>
        <v>950000</v>
      </c>
      <c r="V141" s="1596">
        <f t="shared" ca="1" si="40"/>
        <v>950000</v>
      </c>
      <c r="W141" s="1596">
        <f t="shared" ca="1" si="40"/>
        <v>950000</v>
      </c>
      <c r="X141" s="1596">
        <f t="shared" ca="1" si="40"/>
        <v>950000</v>
      </c>
      <c r="Y141" s="1596">
        <f t="shared" ca="1" si="40"/>
        <v>950000</v>
      </c>
      <c r="Z141" s="1596">
        <f t="shared" ca="1" si="40"/>
        <v>950000</v>
      </c>
      <c r="AA141" s="1596">
        <f t="shared" ca="1" si="40"/>
        <v>950000</v>
      </c>
      <c r="AB141" s="1596">
        <f t="shared" ca="1" si="40"/>
        <v>950000</v>
      </c>
      <c r="AC141" s="1596">
        <f t="shared" ca="1" si="40"/>
        <v>950000</v>
      </c>
      <c r="AD141" s="1596">
        <f t="shared" ca="1" si="40"/>
        <v>950000</v>
      </c>
      <c r="AE141" s="1596">
        <f t="shared" ca="1" si="40"/>
        <v>950000</v>
      </c>
      <c r="AF141" s="1596">
        <f t="shared" ca="1" si="40"/>
        <v>950000</v>
      </c>
      <c r="AG141" s="1596">
        <f t="shared" ca="1" si="40"/>
        <v>950000</v>
      </c>
      <c r="AH141" s="1596">
        <f t="shared" ca="1" si="40"/>
        <v>950000</v>
      </c>
      <c r="AI141" s="1596">
        <f t="shared" ca="1" si="40"/>
        <v>950000</v>
      </c>
      <c r="AJ141" s="1596">
        <f t="shared" ca="1" si="40"/>
        <v>950000</v>
      </c>
      <c r="AK141" s="1596">
        <f t="shared" ca="1" si="40"/>
        <v>950000</v>
      </c>
      <c r="AL141" s="1596">
        <f t="shared" ca="1" si="40"/>
        <v>950000</v>
      </c>
      <c r="AM141" s="1596">
        <f t="shared" ca="1" si="40"/>
        <v>950000</v>
      </c>
      <c r="AN141" s="1596">
        <f t="shared" ca="1" si="40"/>
        <v>950000</v>
      </c>
      <c r="AO141" s="1596">
        <f t="shared" ca="1" si="40"/>
        <v>950000</v>
      </c>
      <c r="AP141" s="1596">
        <f t="shared" ca="1" si="40"/>
        <v>950000</v>
      </c>
      <c r="AQ141" s="1596"/>
      <c r="AR141" s="1596"/>
      <c r="AS141" s="1596"/>
      <c r="AT141" s="1596"/>
      <c r="AU141" s="1596"/>
      <c r="AV141" s="1596"/>
      <c r="AW141" s="1596"/>
      <c r="AX141" s="1596"/>
      <c r="AY141" s="1596"/>
      <c r="AZ141" s="1596"/>
      <c r="BA141" s="1596"/>
    </row>
    <row r="142" spans="3:53" hidden="1" outlineLevel="1">
      <c r="C142" s="485"/>
      <c r="J142" s="341"/>
      <c r="M142" s="1265"/>
      <c r="N142" s="1265"/>
      <c r="O142" s="1265"/>
      <c r="P142" s="1265"/>
      <c r="Q142" s="1265"/>
      <c r="R142" s="1265"/>
      <c r="S142" s="1265"/>
      <c r="T142" s="1265"/>
      <c r="U142" s="1265"/>
      <c r="V142" s="1265"/>
      <c r="W142" s="1265"/>
      <c r="X142" s="1265"/>
      <c r="Y142" s="1265"/>
      <c r="Z142" s="1265"/>
      <c r="AA142" s="1265"/>
      <c r="AB142" s="1265"/>
      <c r="AC142" s="1265"/>
      <c r="AD142" s="1265"/>
      <c r="AE142" s="1265"/>
      <c r="AF142" s="1265"/>
      <c r="AG142" s="1265"/>
      <c r="AH142" s="1265"/>
      <c r="AI142" s="1265"/>
      <c r="AJ142" s="1265"/>
      <c r="AK142" s="1265"/>
      <c r="AL142" s="1265"/>
      <c r="AM142" s="1265"/>
      <c r="AN142" s="1265"/>
      <c r="AO142" s="1265"/>
      <c r="AP142" s="1265"/>
      <c r="AQ142" s="1265"/>
      <c r="AR142" s="1265"/>
      <c r="AS142" s="1265"/>
      <c r="AT142" s="1265"/>
      <c r="AU142" s="1265"/>
      <c r="AV142" s="1265"/>
      <c r="AW142" s="1265"/>
      <c r="AX142" s="1265"/>
      <c r="AY142" s="1265"/>
      <c r="AZ142" s="1265"/>
      <c r="BA142" s="1265"/>
    </row>
    <row r="143" spans="3:53" ht="12" hidden="1" outlineLevel="1" thickBot="1">
      <c r="J143" s="341"/>
      <c r="M143" s="1739">
        <f>SUM(M137:M141)</f>
        <v>0</v>
      </c>
      <c r="N143" s="1739">
        <f>SUM(N137:N141)</f>
        <v>1625000</v>
      </c>
      <c r="O143" s="1739">
        <f ca="1">SUM(O137:O141)</f>
        <v>2681250</v>
      </c>
      <c r="P143" s="1739">
        <f t="shared" ref="P143:AP143" ca="1" si="41">SUM(P137:P141)</f>
        <v>3187500</v>
      </c>
      <c r="Q143" s="1739">
        <f t="shared" ca="1" si="41"/>
        <v>3325000</v>
      </c>
      <c r="R143" s="1739">
        <f t="shared" ca="1" si="41"/>
        <v>3325000</v>
      </c>
      <c r="S143" s="1739">
        <f t="shared" ca="1" si="41"/>
        <v>3325000</v>
      </c>
      <c r="T143" s="1739">
        <f t="shared" ca="1" si="41"/>
        <v>3325000</v>
      </c>
      <c r="U143" s="1739">
        <f t="shared" ca="1" si="41"/>
        <v>3325000</v>
      </c>
      <c r="V143" s="1739">
        <f t="shared" ca="1" si="41"/>
        <v>3325000</v>
      </c>
      <c r="W143" s="1739">
        <f t="shared" ca="1" si="41"/>
        <v>3325000</v>
      </c>
      <c r="X143" s="1739">
        <f t="shared" ca="1" si="41"/>
        <v>3325000</v>
      </c>
      <c r="Y143" s="1739">
        <f t="shared" ca="1" si="41"/>
        <v>3325000</v>
      </c>
      <c r="Z143" s="1739">
        <f t="shared" ca="1" si="41"/>
        <v>3325000</v>
      </c>
      <c r="AA143" s="1739">
        <f t="shared" ca="1" si="41"/>
        <v>3325000</v>
      </c>
      <c r="AB143" s="1739">
        <f t="shared" ca="1" si="41"/>
        <v>3325000</v>
      </c>
      <c r="AC143" s="1739">
        <f t="shared" ca="1" si="41"/>
        <v>3325000</v>
      </c>
      <c r="AD143" s="1739">
        <f t="shared" ca="1" si="41"/>
        <v>3325000</v>
      </c>
      <c r="AE143" s="1739">
        <f t="shared" ca="1" si="41"/>
        <v>3325000</v>
      </c>
      <c r="AF143" s="1739">
        <f t="shared" ca="1" si="41"/>
        <v>3325000</v>
      </c>
      <c r="AG143" s="1739">
        <f t="shared" ca="1" si="41"/>
        <v>3325000</v>
      </c>
      <c r="AH143" s="1739">
        <f t="shared" ca="1" si="41"/>
        <v>3325000</v>
      </c>
      <c r="AI143" s="1739">
        <f t="shared" ca="1" si="41"/>
        <v>3325000</v>
      </c>
      <c r="AJ143" s="1739">
        <f t="shared" ca="1" si="41"/>
        <v>3325000</v>
      </c>
      <c r="AK143" s="1739">
        <f t="shared" ca="1" si="41"/>
        <v>3325000</v>
      </c>
      <c r="AL143" s="1739">
        <f t="shared" ca="1" si="41"/>
        <v>3325000</v>
      </c>
      <c r="AM143" s="1739">
        <f t="shared" ca="1" si="41"/>
        <v>3325000</v>
      </c>
      <c r="AN143" s="1739">
        <f t="shared" ca="1" si="41"/>
        <v>3325000</v>
      </c>
      <c r="AO143" s="1739">
        <f t="shared" ca="1" si="41"/>
        <v>3325000</v>
      </c>
      <c r="AP143" s="1739">
        <f t="shared" ca="1" si="41"/>
        <v>3325000</v>
      </c>
      <c r="AQ143" s="1739"/>
      <c r="AR143" s="1739"/>
      <c r="AS143" s="1739"/>
      <c r="AT143" s="1739"/>
      <c r="AU143" s="1739"/>
      <c r="AV143" s="1739"/>
      <c r="AW143" s="1739"/>
      <c r="AX143" s="1739"/>
      <c r="AY143" s="1739"/>
      <c r="AZ143" s="1739"/>
      <c r="BA143" s="1739"/>
    </row>
    <row r="144" spans="3:53" ht="12" hidden="1" outlineLevel="1" thickTop="1">
      <c r="C144" s="348" t="s">
        <v>1260</v>
      </c>
      <c r="J144" s="341"/>
      <c r="M144" s="1257"/>
      <c r="N144" s="1257"/>
      <c r="O144" s="1257"/>
      <c r="P144" s="1257"/>
      <c r="Q144" s="1257"/>
      <c r="R144" s="1257"/>
      <c r="S144" s="1257"/>
      <c r="T144" s="1257"/>
      <c r="U144" s="1257"/>
      <c r="V144" s="1257"/>
      <c r="W144" s="1257"/>
      <c r="X144" s="1257"/>
      <c r="Y144" s="1257"/>
      <c r="Z144" s="1257"/>
      <c r="AA144" s="1257"/>
      <c r="AB144" s="1257"/>
      <c r="AC144" s="1257"/>
      <c r="AD144" s="1257"/>
      <c r="AE144" s="1257"/>
      <c r="AF144" s="1257"/>
      <c r="AG144" s="1257"/>
      <c r="AH144" s="1257"/>
      <c r="AI144" s="1257"/>
      <c r="AJ144" s="1257"/>
      <c r="AK144" s="1257"/>
      <c r="AL144" s="1257"/>
      <c r="AM144" s="1257"/>
      <c r="AN144" s="1257"/>
      <c r="AO144" s="1257"/>
      <c r="AP144" s="1257"/>
      <c r="AQ144" s="1257"/>
      <c r="AR144" s="1257"/>
      <c r="AS144" s="1257"/>
      <c r="AT144" s="1257"/>
      <c r="AU144" s="1257"/>
      <c r="AV144" s="1257"/>
      <c r="AW144" s="1257"/>
      <c r="AX144" s="1257"/>
      <c r="AY144" s="1257"/>
      <c r="AZ144" s="1257"/>
      <c r="BA144" s="1257"/>
    </row>
    <row r="145" spans="1:54" s="1031" customFormat="1" hidden="1" outlineLevel="1">
      <c r="A145" s="606"/>
      <c r="B145" s="606"/>
      <c r="C145" s="606" t="s">
        <v>927</v>
      </c>
      <c r="D145" s="606"/>
      <c r="E145" s="606"/>
      <c r="G145" s="606"/>
      <c r="H145" s="607"/>
      <c r="I145" s="608" t="s">
        <v>930</v>
      </c>
      <c r="J145" s="339">
        <f>J80*1000000</f>
        <v>2500000</v>
      </c>
      <c r="K145" s="606"/>
      <c r="L145" s="606"/>
      <c r="M145" s="1241">
        <f>M137+M138+M139</f>
        <v>0</v>
      </c>
      <c r="N145" s="1241">
        <f t="shared" ref="N145:AP145" si="42">N137+N138+N139</f>
        <v>975000</v>
      </c>
      <c r="O145" s="1241">
        <f t="shared" ca="1" si="42"/>
        <v>1868750</v>
      </c>
      <c r="P145" s="1241">
        <f t="shared" ca="1" si="42"/>
        <v>2237500</v>
      </c>
      <c r="Q145" s="1241">
        <f t="shared" ca="1" si="42"/>
        <v>2375000</v>
      </c>
      <c r="R145" s="1241">
        <f t="shared" ca="1" si="42"/>
        <v>2375000</v>
      </c>
      <c r="S145" s="1241">
        <f t="shared" ca="1" si="42"/>
        <v>2375000</v>
      </c>
      <c r="T145" s="1241">
        <f t="shared" ca="1" si="42"/>
        <v>2375000</v>
      </c>
      <c r="U145" s="1241">
        <f t="shared" ca="1" si="42"/>
        <v>2375000</v>
      </c>
      <c r="V145" s="1241">
        <f t="shared" ca="1" si="42"/>
        <v>2375000</v>
      </c>
      <c r="W145" s="1241">
        <f t="shared" ca="1" si="42"/>
        <v>2375000</v>
      </c>
      <c r="X145" s="1241">
        <f t="shared" ca="1" si="42"/>
        <v>2375000</v>
      </c>
      <c r="Y145" s="1241">
        <f t="shared" ca="1" si="42"/>
        <v>2375000</v>
      </c>
      <c r="Z145" s="1241">
        <f t="shared" ca="1" si="42"/>
        <v>2375000</v>
      </c>
      <c r="AA145" s="1241">
        <f t="shared" ca="1" si="42"/>
        <v>2375000</v>
      </c>
      <c r="AB145" s="1241">
        <f t="shared" ca="1" si="42"/>
        <v>2375000</v>
      </c>
      <c r="AC145" s="1241">
        <f t="shared" ca="1" si="42"/>
        <v>2375000</v>
      </c>
      <c r="AD145" s="1241">
        <f t="shared" ca="1" si="42"/>
        <v>2375000</v>
      </c>
      <c r="AE145" s="1241">
        <f t="shared" ca="1" si="42"/>
        <v>2375000</v>
      </c>
      <c r="AF145" s="1241">
        <f t="shared" ca="1" si="42"/>
        <v>2375000</v>
      </c>
      <c r="AG145" s="1241">
        <f t="shared" ca="1" si="42"/>
        <v>2375000</v>
      </c>
      <c r="AH145" s="1241">
        <f t="shared" ca="1" si="42"/>
        <v>2375000</v>
      </c>
      <c r="AI145" s="1241">
        <f t="shared" ca="1" si="42"/>
        <v>2375000</v>
      </c>
      <c r="AJ145" s="1241">
        <f t="shared" ca="1" si="42"/>
        <v>2375000</v>
      </c>
      <c r="AK145" s="1241">
        <f t="shared" ca="1" si="42"/>
        <v>2375000</v>
      </c>
      <c r="AL145" s="1241">
        <f t="shared" ca="1" si="42"/>
        <v>2375000</v>
      </c>
      <c r="AM145" s="1241">
        <f t="shared" ca="1" si="42"/>
        <v>2375000</v>
      </c>
      <c r="AN145" s="1241">
        <f t="shared" ca="1" si="42"/>
        <v>2375000</v>
      </c>
      <c r="AO145" s="1241">
        <f t="shared" ca="1" si="42"/>
        <v>2375000</v>
      </c>
      <c r="AP145" s="1241">
        <f t="shared" ca="1" si="42"/>
        <v>2375000</v>
      </c>
      <c r="AQ145" s="1241"/>
      <c r="AR145" s="1241"/>
      <c r="AS145" s="1241"/>
      <c r="AT145" s="1241"/>
      <c r="AU145" s="1241"/>
      <c r="AV145" s="1241"/>
      <c r="AW145" s="1241"/>
      <c r="AX145" s="1241"/>
      <c r="AY145" s="1241"/>
      <c r="AZ145" s="1241"/>
      <c r="BA145" s="1241"/>
      <c r="BB145" s="606"/>
    </row>
    <row r="146" spans="1:54" s="1031" customFormat="1" hidden="1" outlineLevel="1">
      <c r="A146" s="606"/>
      <c r="B146" s="606"/>
      <c r="C146" s="606"/>
      <c r="D146" s="606"/>
      <c r="E146" s="606"/>
      <c r="G146" s="606"/>
      <c r="H146" s="607"/>
      <c r="I146" s="608"/>
      <c r="J146" s="339"/>
      <c r="K146" s="606"/>
      <c r="L146" s="606"/>
      <c r="M146" s="1241"/>
      <c r="N146" s="1241"/>
      <c r="O146" s="1241"/>
      <c r="P146" s="1241"/>
      <c r="Q146" s="1241"/>
      <c r="R146" s="1241"/>
      <c r="S146" s="1241"/>
      <c r="T146" s="1241"/>
      <c r="U146" s="1241"/>
      <c r="V146" s="1241"/>
      <c r="W146" s="1241"/>
      <c r="X146" s="1241"/>
      <c r="Y146" s="1241"/>
      <c r="Z146" s="1241"/>
      <c r="AA146" s="1241"/>
      <c r="AB146" s="1241"/>
      <c r="AC146" s="1241"/>
      <c r="AD146" s="1241"/>
      <c r="AE146" s="1241"/>
      <c r="AF146" s="1241"/>
      <c r="AG146" s="1241"/>
      <c r="AH146" s="1241"/>
      <c r="AI146" s="1241"/>
      <c r="AJ146" s="1241"/>
      <c r="AK146" s="1241"/>
      <c r="AL146" s="1241"/>
      <c r="AM146" s="1241"/>
      <c r="AN146" s="1241"/>
      <c r="AO146" s="1241"/>
      <c r="AP146" s="1241"/>
      <c r="AQ146" s="1241"/>
      <c r="AR146" s="1241"/>
      <c r="AS146" s="1241"/>
      <c r="AT146" s="1241"/>
      <c r="AU146" s="1241"/>
      <c r="AV146" s="1241"/>
      <c r="AW146" s="1241"/>
      <c r="AX146" s="1241"/>
      <c r="AY146" s="1241"/>
      <c r="AZ146" s="1241"/>
      <c r="BA146" s="1241"/>
      <c r="BB146" s="606"/>
    </row>
    <row r="147" spans="1:54" s="1031" customFormat="1" hidden="1" outlineLevel="1">
      <c r="A147" s="606"/>
      <c r="B147" s="606"/>
      <c r="C147" s="606" t="s">
        <v>928</v>
      </c>
      <c r="D147" s="606"/>
      <c r="E147" s="606"/>
      <c r="G147" s="606"/>
      <c r="H147" s="607"/>
      <c r="I147" s="608" t="s">
        <v>930</v>
      </c>
      <c r="J147" s="339">
        <f>J81*1000000</f>
        <v>1000000</v>
      </c>
      <c r="K147" s="606"/>
      <c r="L147" s="606"/>
      <c r="M147" s="1241">
        <f>M141</f>
        <v>0</v>
      </c>
      <c r="N147" s="1241">
        <f t="shared" ref="N147:AP147" si="43">N141</f>
        <v>650000</v>
      </c>
      <c r="O147" s="1241">
        <f t="shared" ca="1" si="43"/>
        <v>812500</v>
      </c>
      <c r="P147" s="1241">
        <f t="shared" ca="1" si="43"/>
        <v>950000</v>
      </c>
      <c r="Q147" s="1241">
        <f t="shared" ca="1" si="43"/>
        <v>950000</v>
      </c>
      <c r="R147" s="1241">
        <f t="shared" ca="1" si="43"/>
        <v>950000</v>
      </c>
      <c r="S147" s="1241">
        <f t="shared" ca="1" si="43"/>
        <v>950000</v>
      </c>
      <c r="T147" s="1241">
        <f t="shared" ca="1" si="43"/>
        <v>950000</v>
      </c>
      <c r="U147" s="1241">
        <f t="shared" ca="1" si="43"/>
        <v>950000</v>
      </c>
      <c r="V147" s="1241">
        <f t="shared" ca="1" si="43"/>
        <v>950000</v>
      </c>
      <c r="W147" s="1241">
        <f t="shared" ca="1" si="43"/>
        <v>950000</v>
      </c>
      <c r="X147" s="1241">
        <f t="shared" ca="1" si="43"/>
        <v>950000</v>
      </c>
      <c r="Y147" s="1241">
        <f t="shared" ca="1" si="43"/>
        <v>950000</v>
      </c>
      <c r="Z147" s="1241">
        <f t="shared" ca="1" si="43"/>
        <v>950000</v>
      </c>
      <c r="AA147" s="1241">
        <f t="shared" ca="1" si="43"/>
        <v>950000</v>
      </c>
      <c r="AB147" s="1241">
        <f t="shared" ca="1" si="43"/>
        <v>950000</v>
      </c>
      <c r="AC147" s="1241">
        <f t="shared" ca="1" si="43"/>
        <v>950000</v>
      </c>
      <c r="AD147" s="1241">
        <f t="shared" ca="1" si="43"/>
        <v>950000</v>
      </c>
      <c r="AE147" s="1241">
        <f t="shared" ca="1" si="43"/>
        <v>950000</v>
      </c>
      <c r="AF147" s="1241">
        <f t="shared" ca="1" si="43"/>
        <v>950000</v>
      </c>
      <c r="AG147" s="1241">
        <f t="shared" ca="1" si="43"/>
        <v>950000</v>
      </c>
      <c r="AH147" s="1241">
        <f t="shared" ca="1" si="43"/>
        <v>950000</v>
      </c>
      <c r="AI147" s="1241">
        <f t="shared" ca="1" si="43"/>
        <v>950000</v>
      </c>
      <c r="AJ147" s="1241">
        <f t="shared" ca="1" si="43"/>
        <v>950000</v>
      </c>
      <c r="AK147" s="1241">
        <f t="shared" ca="1" si="43"/>
        <v>950000</v>
      </c>
      <c r="AL147" s="1241">
        <f t="shared" ca="1" si="43"/>
        <v>950000</v>
      </c>
      <c r="AM147" s="1241">
        <f t="shared" ca="1" si="43"/>
        <v>950000</v>
      </c>
      <c r="AN147" s="1241">
        <f t="shared" ca="1" si="43"/>
        <v>950000</v>
      </c>
      <c r="AO147" s="1241">
        <f t="shared" ca="1" si="43"/>
        <v>950000</v>
      </c>
      <c r="AP147" s="1241">
        <f t="shared" ca="1" si="43"/>
        <v>950000</v>
      </c>
      <c r="AQ147" s="1241"/>
      <c r="AR147" s="1241"/>
      <c r="AS147" s="1241"/>
      <c r="AT147" s="1241"/>
      <c r="AU147" s="1241"/>
      <c r="AV147" s="1241"/>
      <c r="AW147" s="1241"/>
      <c r="AX147" s="1241"/>
      <c r="AY147" s="1241"/>
      <c r="AZ147" s="1241"/>
      <c r="BA147" s="1241"/>
      <c r="BB147" s="606"/>
    </row>
    <row r="148" spans="1:54" hidden="1" outlineLevel="1">
      <c r="I148" s="320"/>
      <c r="M148" s="1537">
        <f>SUM(M145:M147)</f>
        <v>0</v>
      </c>
      <c r="N148" s="1537">
        <f>SUM(N145:N147)</f>
        <v>1625000</v>
      </c>
      <c r="O148" s="1537">
        <f ca="1">SUM(O145:O147)</f>
        <v>2681250</v>
      </c>
      <c r="P148" s="1537">
        <f t="shared" ref="P148:AP148" ca="1" si="44">SUM(P145:P147)</f>
        <v>3187500</v>
      </c>
      <c r="Q148" s="1537">
        <f t="shared" ca="1" si="44"/>
        <v>3325000</v>
      </c>
      <c r="R148" s="1537">
        <f t="shared" ca="1" si="44"/>
        <v>3325000</v>
      </c>
      <c r="S148" s="1537">
        <f t="shared" ca="1" si="44"/>
        <v>3325000</v>
      </c>
      <c r="T148" s="1537">
        <f t="shared" ca="1" si="44"/>
        <v>3325000</v>
      </c>
      <c r="U148" s="1537">
        <f t="shared" ca="1" si="44"/>
        <v>3325000</v>
      </c>
      <c r="V148" s="1537">
        <f t="shared" ca="1" si="44"/>
        <v>3325000</v>
      </c>
      <c r="W148" s="1537">
        <f t="shared" ca="1" si="44"/>
        <v>3325000</v>
      </c>
      <c r="X148" s="1537">
        <f t="shared" ca="1" si="44"/>
        <v>3325000</v>
      </c>
      <c r="Y148" s="1537">
        <f t="shared" ca="1" si="44"/>
        <v>3325000</v>
      </c>
      <c r="Z148" s="1537">
        <f t="shared" ca="1" si="44"/>
        <v>3325000</v>
      </c>
      <c r="AA148" s="1537">
        <f t="shared" ca="1" si="44"/>
        <v>3325000</v>
      </c>
      <c r="AB148" s="1537">
        <f t="shared" ca="1" si="44"/>
        <v>3325000</v>
      </c>
      <c r="AC148" s="1537">
        <f t="shared" ca="1" si="44"/>
        <v>3325000</v>
      </c>
      <c r="AD148" s="1537">
        <f t="shared" ca="1" si="44"/>
        <v>3325000</v>
      </c>
      <c r="AE148" s="1537">
        <f t="shared" ca="1" si="44"/>
        <v>3325000</v>
      </c>
      <c r="AF148" s="1537">
        <f t="shared" ca="1" si="44"/>
        <v>3325000</v>
      </c>
      <c r="AG148" s="1537">
        <f t="shared" ca="1" si="44"/>
        <v>3325000</v>
      </c>
      <c r="AH148" s="1537">
        <f t="shared" ca="1" si="44"/>
        <v>3325000</v>
      </c>
      <c r="AI148" s="1537">
        <f t="shared" ca="1" si="44"/>
        <v>3325000</v>
      </c>
      <c r="AJ148" s="1537">
        <f t="shared" ca="1" si="44"/>
        <v>3325000</v>
      </c>
      <c r="AK148" s="1537">
        <f t="shared" ca="1" si="44"/>
        <v>3325000</v>
      </c>
      <c r="AL148" s="1537">
        <f t="shared" ca="1" si="44"/>
        <v>3325000</v>
      </c>
      <c r="AM148" s="1537">
        <f t="shared" ca="1" si="44"/>
        <v>3325000</v>
      </c>
      <c r="AN148" s="1537">
        <f t="shared" ca="1" si="44"/>
        <v>3325000</v>
      </c>
      <c r="AO148" s="1537">
        <f t="shared" ca="1" si="44"/>
        <v>3325000</v>
      </c>
      <c r="AP148" s="1537">
        <f t="shared" ca="1" si="44"/>
        <v>3325000</v>
      </c>
      <c r="AQ148" s="1537"/>
      <c r="AR148" s="1537"/>
      <c r="AS148" s="1537"/>
      <c r="AT148" s="1537"/>
      <c r="AU148" s="1537"/>
      <c r="AV148" s="1537"/>
      <c r="AW148" s="1537"/>
      <c r="AX148" s="1537"/>
      <c r="AY148" s="1537"/>
      <c r="AZ148" s="1537"/>
      <c r="BA148" s="1537"/>
      <c r="BB148" s="606"/>
    </row>
    <row r="149" spans="1:54" hidden="1" outlineLevel="1">
      <c r="J149" s="341"/>
      <c r="K149" s="1867"/>
      <c r="M149" s="342"/>
      <c r="N149" s="342"/>
      <c r="O149" s="342"/>
      <c r="P149" s="342"/>
      <c r="Q149" s="342"/>
      <c r="R149" s="342"/>
      <c r="S149" s="342"/>
      <c r="T149" s="342"/>
      <c r="U149" s="342"/>
      <c r="V149" s="342"/>
      <c r="W149" s="342"/>
      <c r="X149" s="342"/>
      <c r="Y149" s="342"/>
      <c r="Z149" s="342"/>
      <c r="AA149" s="342"/>
      <c r="AB149" s="342"/>
      <c r="AC149" s="342"/>
      <c r="AD149" s="342"/>
      <c r="AE149" s="342"/>
      <c r="AF149" s="342"/>
      <c r="AG149" s="342"/>
      <c r="AH149" s="342"/>
      <c r="AI149" s="342"/>
      <c r="AJ149" s="342"/>
      <c r="AK149" s="342"/>
      <c r="AL149" s="342"/>
      <c r="AM149" s="342"/>
      <c r="AN149" s="342"/>
      <c r="AO149" s="342"/>
      <c r="AP149" s="342"/>
      <c r="AQ149" s="342"/>
      <c r="AR149" s="342"/>
      <c r="AS149" s="342"/>
      <c r="AT149" s="342"/>
      <c r="AU149" s="342"/>
      <c r="AV149" s="342"/>
      <c r="AW149" s="342"/>
      <c r="AX149" s="342"/>
      <c r="AY149" s="342"/>
      <c r="AZ149" s="342"/>
      <c r="BA149" s="342"/>
    </row>
    <row r="150" spans="1:54" hidden="1" outlineLevel="1">
      <c r="C150" s="344" t="s">
        <v>1250</v>
      </c>
      <c r="J150" s="341"/>
      <c r="M150" s="343">
        <f t="shared" ref="M150:AP150" si="45">M80*M149</f>
        <v>0</v>
      </c>
      <c r="N150" s="343">
        <f t="shared" si="45"/>
        <v>0</v>
      </c>
      <c r="O150" s="343">
        <f t="shared" si="45"/>
        <v>0</v>
      </c>
      <c r="P150" s="343">
        <f t="shared" si="45"/>
        <v>0</v>
      </c>
      <c r="Q150" s="343">
        <f t="shared" si="45"/>
        <v>0</v>
      </c>
      <c r="R150" s="343">
        <f t="shared" si="45"/>
        <v>0</v>
      </c>
      <c r="S150" s="343">
        <f t="shared" si="45"/>
        <v>0</v>
      </c>
      <c r="T150" s="343">
        <f t="shared" si="45"/>
        <v>0</v>
      </c>
      <c r="U150" s="343">
        <f t="shared" si="45"/>
        <v>0</v>
      </c>
      <c r="V150" s="343">
        <f t="shared" si="45"/>
        <v>0</v>
      </c>
      <c r="W150" s="343">
        <f t="shared" si="45"/>
        <v>0</v>
      </c>
      <c r="X150" s="343">
        <f t="shared" si="45"/>
        <v>0</v>
      </c>
      <c r="Y150" s="343">
        <f t="shared" si="45"/>
        <v>0</v>
      </c>
      <c r="Z150" s="343">
        <f t="shared" si="45"/>
        <v>0</v>
      </c>
      <c r="AA150" s="343">
        <f t="shared" si="45"/>
        <v>0</v>
      </c>
      <c r="AB150" s="343">
        <f t="shared" si="45"/>
        <v>0</v>
      </c>
      <c r="AC150" s="343">
        <f t="shared" si="45"/>
        <v>0</v>
      </c>
      <c r="AD150" s="343">
        <f t="shared" si="45"/>
        <v>0</v>
      </c>
      <c r="AE150" s="343">
        <f t="shared" si="45"/>
        <v>0</v>
      </c>
      <c r="AF150" s="343">
        <f t="shared" si="45"/>
        <v>0</v>
      </c>
      <c r="AG150" s="343">
        <f t="shared" si="45"/>
        <v>0</v>
      </c>
      <c r="AH150" s="343">
        <f t="shared" si="45"/>
        <v>0</v>
      </c>
      <c r="AI150" s="343">
        <f t="shared" si="45"/>
        <v>0</v>
      </c>
      <c r="AJ150" s="343">
        <f t="shared" si="45"/>
        <v>0</v>
      </c>
      <c r="AK150" s="343">
        <f t="shared" si="45"/>
        <v>0</v>
      </c>
      <c r="AL150" s="343">
        <f t="shared" si="45"/>
        <v>0</v>
      </c>
      <c r="AM150" s="343">
        <f t="shared" si="45"/>
        <v>0</v>
      </c>
      <c r="AN150" s="343">
        <f t="shared" si="45"/>
        <v>0</v>
      </c>
      <c r="AO150" s="343">
        <f t="shared" si="45"/>
        <v>0</v>
      </c>
      <c r="AP150" s="343">
        <f t="shared" si="45"/>
        <v>0</v>
      </c>
      <c r="AQ150" s="343"/>
      <c r="AR150" s="343"/>
      <c r="AS150" s="343"/>
      <c r="AT150" s="343"/>
      <c r="AU150" s="343"/>
      <c r="AV150" s="343"/>
      <c r="AW150" s="343"/>
      <c r="AX150" s="343"/>
      <c r="AY150" s="343"/>
      <c r="AZ150" s="343"/>
      <c r="BA150" s="343"/>
    </row>
    <row r="151" spans="1:54" hidden="1" outlineLevel="1">
      <c r="C151" s="320" t="s">
        <v>1393</v>
      </c>
      <c r="I151" s="323" t="s">
        <v>1252</v>
      </c>
      <c r="J151" s="339">
        <v>8000</v>
      </c>
      <c r="M151" s="343"/>
      <c r="N151" s="343"/>
      <c r="O151" s="343"/>
      <c r="P151" s="343"/>
      <c r="Q151" s="343"/>
      <c r="R151" s="343"/>
      <c r="S151" s="343"/>
      <c r="T151" s="343"/>
      <c r="U151" s="343"/>
      <c r="V151" s="343"/>
      <c r="W151" s="343"/>
      <c r="X151" s="343"/>
      <c r="Y151" s="343"/>
      <c r="Z151" s="343"/>
      <c r="AA151" s="343"/>
      <c r="AB151" s="343"/>
      <c r="AC151" s="343"/>
      <c r="AD151" s="343"/>
      <c r="AE151" s="343"/>
      <c r="AF151" s="343"/>
      <c r="AG151" s="343"/>
      <c r="AH151" s="343"/>
      <c r="AI151" s="343"/>
      <c r="AJ151" s="343"/>
      <c r="AK151" s="343"/>
      <c r="AL151" s="343"/>
      <c r="AM151" s="343"/>
      <c r="AN151" s="343"/>
      <c r="AO151" s="343"/>
      <c r="AP151" s="343"/>
      <c r="AQ151" s="343"/>
      <c r="AR151" s="343"/>
      <c r="AS151" s="343"/>
      <c r="AT151" s="343"/>
      <c r="AU151" s="343"/>
      <c r="AV151" s="343"/>
      <c r="AW151" s="343"/>
      <c r="AX151" s="343"/>
      <c r="AY151" s="343"/>
      <c r="AZ151" s="343"/>
      <c r="BA151" s="343"/>
    </row>
    <row r="152" spans="1:54" ht="11.45" hidden="1" customHeight="1" outlineLevel="1">
      <c r="C152" s="320" t="s">
        <v>827</v>
      </c>
      <c r="I152" s="323" t="s">
        <v>913</v>
      </c>
      <c r="J152" s="339">
        <f>365-J155</f>
        <v>351</v>
      </c>
      <c r="M152" s="343">
        <f t="shared" ref="M152:AP152" si="46">M149*M109</f>
        <v>0</v>
      </c>
      <c r="N152" s="343">
        <f t="shared" si="46"/>
        <v>0</v>
      </c>
      <c r="O152" s="343">
        <f t="shared" si="46"/>
        <v>0</v>
      </c>
      <c r="P152" s="343">
        <f t="shared" si="46"/>
        <v>0</v>
      </c>
      <c r="Q152" s="343">
        <f t="shared" si="46"/>
        <v>0</v>
      </c>
      <c r="R152" s="343">
        <f t="shared" si="46"/>
        <v>0</v>
      </c>
      <c r="S152" s="343">
        <f t="shared" si="46"/>
        <v>0</v>
      </c>
      <c r="T152" s="343">
        <f t="shared" si="46"/>
        <v>0</v>
      </c>
      <c r="U152" s="343">
        <f t="shared" si="46"/>
        <v>0</v>
      </c>
      <c r="V152" s="343">
        <f t="shared" si="46"/>
        <v>0</v>
      </c>
      <c r="W152" s="343">
        <f t="shared" si="46"/>
        <v>0</v>
      </c>
      <c r="X152" s="343">
        <f t="shared" si="46"/>
        <v>0</v>
      </c>
      <c r="Y152" s="343">
        <f t="shared" si="46"/>
        <v>0</v>
      </c>
      <c r="Z152" s="343">
        <f t="shared" si="46"/>
        <v>0</v>
      </c>
      <c r="AA152" s="343">
        <f t="shared" si="46"/>
        <v>0</v>
      </c>
      <c r="AB152" s="343">
        <f t="shared" si="46"/>
        <v>0</v>
      </c>
      <c r="AC152" s="343">
        <f t="shared" si="46"/>
        <v>0</v>
      </c>
      <c r="AD152" s="343">
        <f t="shared" si="46"/>
        <v>0</v>
      </c>
      <c r="AE152" s="343">
        <f t="shared" si="46"/>
        <v>0</v>
      </c>
      <c r="AF152" s="343">
        <f t="shared" si="46"/>
        <v>0</v>
      </c>
      <c r="AG152" s="343">
        <f t="shared" si="46"/>
        <v>0</v>
      </c>
      <c r="AH152" s="343">
        <f t="shared" si="46"/>
        <v>0</v>
      </c>
      <c r="AI152" s="343">
        <f t="shared" si="46"/>
        <v>0</v>
      </c>
      <c r="AJ152" s="343">
        <f t="shared" si="46"/>
        <v>0</v>
      </c>
      <c r="AK152" s="343">
        <f t="shared" si="46"/>
        <v>0</v>
      </c>
      <c r="AL152" s="343">
        <f t="shared" si="46"/>
        <v>0</v>
      </c>
      <c r="AM152" s="343">
        <f t="shared" si="46"/>
        <v>0</v>
      </c>
      <c r="AN152" s="343">
        <f t="shared" si="46"/>
        <v>0</v>
      </c>
      <c r="AO152" s="343">
        <f t="shared" si="46"/>
        <v>0</v>
      </c>
      <c r="AP152" s="343">
        <f t="shared" si="46"/>
        <v>0</v>
      </c>
      <c r="AQ152" s="343"/>
      <c r="AR152" s="343"/>
      <c r="AS152" s="343"/>
      <c r="AT152" s="343"/>
      <c r="AU152" s="343"/>
      <c r="AV152" s="343"/>
      <c r="AW152" s="343"/>
      <c r="AX152" s="343"/>
      <c r="AY152" s="343"/>
      <c r="AZ152" s="343"/>
      <c r="BA152" s="343"/>
    </row>
    <row r="153" spans="1:54" hidden="1" outlineLevel="1">
      <c r="C153" s="320" t="s">
        <v>1251</v>
      </c>
      <c r="I153" s="323" t="s">
        <v>913</v>
      </c>
      <c r="J153" s="339">
        <f>365-30</f>
        <v>335</v>
      </c>
      <c r="M153" s="343">
        <f t="shared" ref="M153:AP153" si="47">M149*M81</f>
        <v>0</v>
      </c>
      <c r="N153" s="343">
        <f t="shared" si="47"/>
        <v>0</v>
      </c>
      <c r="O153" s="343">
        <f t="shared" si="47"/>
        <v>0</v>
      </c>
      <c r="P153" s="343">
        <f t="shared" si="47"/>
        <v>0</v>
      </c>
      <c r="Q153" s="343">
        <f t="shared" si="47"/>
        <v>0</v>
      </c>
      <c r="R153" s="343">
        <f t="shared" si="47"/>
        <v>0</v>
      </c>
      <c r="S153" s="343">
        <f t="shared" si="47"/>
        <v>0</v>
      </c>
      <c r="T153" s="343">
        <f t="shared" si="47"/>
        <v>0</v>
      </c>
      <c r="U153" s="343">
        <f t="shared" si="47"/>
        <v>0</v>
      </c>
      <c r="V153" s="343">
        <f t="shared" si="47"/>
        <v>0</v>
      </c>
      <c r="W153" s="343">
        <f t="shared" si="47"/>
        <v>0</v>
      </c>
      <c r="X153" s="343">
        <f t="shared" si="47"/>
        <v>0</v>
      </c>
      <c r="Y153" s="343">
        <f t="shared" si="47"/>
        <v>0</v>
      </c>
      <c r="Z153" s="343">
        <f t="shared" si="47"/>
        <v>0</v>
      </c>
      <c r="AA153" s="343">
        <f t="shared" si="47"/>
        <v>0</v>
      </c>
      <c r="AB153" s="343">
        <f t="shared" si="47"/>
        <v>0</v>
      </c>
      <c r="AC153" s="343">
        <f t="shared" si="47"/>
        <v>0</v>
      </c>
      <c r="AD153" s="343">
        <f t="shared" si="47"/>
        <v>0</v>
      </c>
      <c r="AE153" s="343">
        <f t="shared" si="47"/>
        <v>0</v>
      </c>
      <c r="AF153" s="343">
        <f t="shared" si="47"/>
        <v>0</v>
      </c>
      <c r="AG153" s="343">
        <f t="shared" si="47"/>
        <v>0</v>
      </c>
      <c r="AH153" s="343">
        <f t="shared" si="47"/>
        <v>0</v>
      </c>
      <c r="AI153" s="343">
        <f t="shared" si="47"/>
        <v>0</v>
      </c>
      <c r="AJ153" s="343">
        <f t="shared" si="47"/>
        <v>0</v>
      </c>
      <c r="AK153" s="343">
        <f t="shared" si="47"/>
        <v>0</v>
      </c>
      <c r="AL153" s="343">
        <f t="shared" si="47"/>
        <v>0</v>
      </c>
      <c r="AM153" s="343">
        <f t="shared" si="47"/>
        <v>0</v>
      </c>
      <c r="AN153" s="343">
        <f t="shared" si="47"/>
        <v>0</v>
      </c>
      <c r="AO153" s="343">
        <f t="shared" si="47"/>
        <v>0</v>
      </c>
      <c r="AP153" s="343">
        <f t="shared" si="47"/>
        <v>0</v>
      </c>
      <c r="AQ153" s="343"/>
      <c r="AR153" s="343"/>
      <c r="AS153" s="343"/>
      <c r="AT153" s="343"/>
      <c r="AU153" s="343"/>
      <c r="AV153" s="343"/>
      <c r="AW153" s="343"/>
      <c r="AX153" s="343"/>
      <c r="AY153" s="343"/>
      <c r="AZ153" s="343"/>
      <c r="BA153" s="343"/>
    </row>
    <row r="154" spans="1:54" hidden="1" outlineLevel="1">
      <c r="C154" s="320" t="s">
        <v>911</v>
      </c>
      <c r="J154" s="1226">
        <v>3</v>
      </c>
      <c r="M154" s="343"/>
      <c r="N154" s="343"/>
      <c r="O154" s="343"/>
      <c r="P154" s="343"/>
      <c r="Q154" s="343"/>
      <c r="R154" s="343"/>
      <c r="S154" s="343"/>
      <c r="T154" s="343"/>
      <c r="U154" s="343"/>
      <c r="V154" s="343"/>
      <c r="W154" s="343"/>
      <c r="X154" s="343"/>
      <c r="Y154" s="343"/>
      <c r="Z154" s="343"/>
      <c r="AA154" s="343"/>
      <c r="AB154" s="343"/>
      <c r="AC154" s="343"/>
      <c r="AD154" s="343"/>
      <c r="AE154" s="343"/>
      <c r="AF154" s="343"/>
      <c r="AG154" s="343"/>
      <c r="AH154" s="343"/>
      <c r="AI154" s="343"/>
      <c r="AJ154" s="343"/>
      <c r="AK154" s="343"/>
      <c r="AL154" s="343"/>
      <c r="AM154" s="343"/>
      <c r="AN154" s="343"/>
      <c r="AO154" s="343"/>
      <c r="AP154" s="343"/>
      <c r="AQ154" s="343"/>
      <c r="AR154" s="343"/>
      <c r="AS154" s="343"/>
      <c r="AT154" s="343"/>
      <c r="AU154" s="343"/>
      <c r="AV154" s="343"/>
      <c r="AW154" s="343"/>
      <c r="AX154" s="343"/>
      <c r="AY154" s="343"/>
      <c r="AZ154" s="343"/>
      <c r="BA154" s="343"/>
    </row>
    <row r="155" spans="1:54" hidden="1" outlineLevel="1">
      <c r="C155" s="320" t="s">
        <v>912</v>
      </c>
      <c r="I155" s="323" t="s">
        <v>913</v>
      </c>
      <c r="J155" s="1227">
        <v>14</v>
      </c>
      <c r="M155" s="343"/>
      <c r="N155" s="343"/>
      <c r="O155" s="343"/>
      <c r="P155" s="343"/>
      <c r="Q155" s="343"/>
      <c r="R155" s="343"/>
      <c r="S155" s="343"/>
      <c r="T155" s="343"/>
      <c r="U155" s="343"/>
      <c r="V155" s="343"/>
      <c r="W155" s="343"/>
      <c r="X155" s="343"/>
      <c r="Y155" s="343"/>
      <c r="Z155" s="343"/>
      <c r="AA155" s="343"/>
      <c r="AB155" s="343"/>
      <c r="AC155" s="343"/>
      <c r="AD155" s="343"/>
      <c r="AE155" s="343"/>
      <c r="AF155" s="343"/>
      <c r="AG155" s="343"/>
      <c r="AH155" s="343"/>
      <c r="AI155" s="343"/>
      <c r="AJ155" s="343"/>
      <c r="AK155" s="343"/>
      <c r="AL155" s="343"/>
      <c r="AM155" s="343"/>
      <c r="AN155" s="343"/>
      <c r="AO155" s="343"/>
      <c r="AP155" s="343"/>
      <c r="AQ155" s="343"/>
      <c r="AR155" s="343"/>
      <c r="AS155" s="343"/>
      <c r="AT155" s="343"/>
      <c r="AU155" s="343"/>
      <c r="AV155" s="343"/>
      <c r="AW155" s="343"/>
      <c r="AX155" s="343"/>
      <c r="AY155" s="343"/>
      <c r="AZ155" s="343"/>
      <c r="BA155" s="343"/>
    </row>
    <row r="156" spans="1:54" hidden="1" outlineLevel="1">
      <c r="C156" s="320" t="s">
        <v>1394</v>
      </c>
      <c r="H156" s="320"/>
      <c r="I156" s="320"/>
      <c r="J156" s="1227">
        <v>30</v>
      </c>
      <c r="M156" s="343"/>
      <c r="N156" s="343"/>
      <c r="O156" s="343"/>
      <c r="P156" s="343"/>
      <c r="Q156" s="343"/>
      <c r="R156" s="343"/>
      <c r="S156" s="343"/>
      <c r="T156" s="343"/>
      <c r="U156" s="343"/>
      <c r="V156" s="343"/>
      <c r="W156" s="343"/>
      <c r="X156" s="343"/>
      <c r="Y156" s="343"/>
      <c r="Z156" s="343"/>
      <c r="AA156" s="343"/>
      <c r="AB156" s="343"/>
      <c r="AC156" s="343"/>
      <c r="AD156" s="343"/>
      <c r="AE156" s="343"/>
      <c r="AF156" s="343"/>
      <c r="AG156" s="343"/>
      <c r="AH156" s="343"/>
      <c r="AI156" s="343"/>
      <c r="AJ156" s="343"/>
      <c r="AK156" s="343"/>
      <c r="AL156" s="343"/>
      <c r="AM156" s="343"/>
      <c r="AN156" s="343"/>
      <c r="AO156" s="343"/>
      <c r="AP156" s="343"/>
      <c r="AQ156" s="343"/>
      <c r="AR156" s="343"/>
      <c r="AS156" s="343"/>
      <c r="AT156" s="343"/>
      <c r="AU156" s="343"/>
      <c r="AV156" s="343"/>
      <c r="AW156" s="343"/>
      <c r="AX156" s="343"/>
      <c r="AY156" s="343"/>
      <c r="AZ156" s="343"/>
      <c r="BA156" s="343"/>
    </row>
    <row r="157" spans="1:54" hidden="1" outlineLevel="1">
      <c r="J157" s="341"/>
      <c r="M157" s="343"/>
      <c r="N157" s="343"/>
      <c r="O157" s="343"/>
      <c r="P157" s="343"/>
      <c r="Q157" s="343"/>
      <c r="R157" s="343"/>
      <c r="S157" s="343"/>
      <c r="T157" s="343"/>
      <c r="U157" s="343"/>
      <c r="V157" s="343"/>
      <c r="W157" s="343"/>
      <c r="X157" s="343"/>
      <c r="Y157" s="343"/>
      <c r="Z157" s="343"/>
      <c r="AA157" s="343"/>
      <c r="AB157" s="343"/>
      <c r="AC157" s="343"/>
      <c r="AD157" s="343"/>
      <c r="AE157" s="343"/>
      <c r="AF157" s="343"/>
      <c r="AG157" s="343"/>
      <c r="AH157" s="343"/>
      <c r="AI157" s="343"/>
      <c r="AJ157" s="343"/>
      <c r="AK157" s="343"/>
      <c r="AL157" s="343"/>
      <c r="AM157" s="343"/>
      <c r="AN157" s="343"/>
      <c r="AO157" s="343"/>
      <c r="AP157" s="343"/>
      <c r="AQ157" s="343"/>
      <c r="AR157" s="343"/>
      <c r="AS157" s="343"/>
      <c r="AT157" s="343"/>
      <c r="AU157" s="343"/>
      <c r="AV157" s="343"/>
      <c r="AW157" s="343"/>
      <c r="AX157" s="343"/>
      <c r="AY157" s="343"/>
      <c r="AZ157" s="343"/>
      <c r="BA157" s="343"/>
    </row>
    <row r="158" spans="1:54" hidden="1" outlineLevel="1">
      <c r="C158" s="344" t="s">
        <v>967</v>
      </c>
      <c r="J158" s="341"/>
      <c r="M158" s="1235"/>
      <c r="N158" s="1235"/>
      <c r="O158" s="1235"/>
      <c r="P158" s="1235"/>
      <c r="Q158" s="1235"/>
      <c r="R158" s="1235"/>
      <c r="S158" s="1235"/>
      <c r="T158" s="1235"/>
      <c r="U158" s="1235"/>
      <c r="V158" s="1235"/>
      <c r="W158" s="1235"/>
      <c r="X158" s="1235"/>
      <c r="Y158" s="1235"/>
      <c r="Z158" s="1235"/>
      <c r="AA158" s="1235"/>
      <c r="AB158" s="1235"/>
      <c r="AC158" s="1235"/>
      <c r="AD158" s="1235"/>
      <c r="AE158" s="1235"/>
      <c r="AF158" s="1235"/>
      <c r="AG158" s="1235"/>
      <c r="AH158" s="1235"/>
      <c r="AI158" s="1235"/>
      <c r="AJ158" s="1235"/>
      <c r="AK158" s="1235"/>
      <c r="AL158" s="1235"/>
      <c r="AM158" s="1235"/>
      <c r="AN158" s="1235"/>
      <c r="AO158" s="1235"/>
      <c r="AP158" s="1235"/>
      <c r="AQ158" s="1235"/>
      <c r="AR158" s="1235"/>
      <c r="AS158" s="1235"/>
      <c r="AT158" s="1235"/>
      <c r="AU158" s="1235"/>
      <c r="AV158" s="1235"/>
      <c r="AW158" s="1235"/>
      <c r="AX158" s="1235"/>
      <c r="AY158" s="1235"/>
      <c r="AZ158" s="1235"/>
      <c r="BA158" s="1235"/>
    </row>
    <row r="159" spans="1:54" hidden="1" outlineLevel="1">
      <c r="J159" s="417"/>
      <c r="M159" s="1235"/>
      <c r="N159" s="1235"/>
      <c r="O159" s="1235"/>
      <c r="P159" s="1235"/>
      <c r="Q159" s="1235"/>
      <c r="R159" s="1235"/>
      <c r="S159" s="1235"/>
      <c r="T159" s="1235"/>
      <c r="U159" s="1235"/>
      <c r="V159" s="1235"/>
      <c r="W159" s="1235"/>
      <c r="X159" s="1235"/>
      <c r="Y159" s="1235"/>
      <c r="Z159" s="1235"/>
      <c r="AA159" s="1235"/>
      <c r="AB159" s="1235"/>
      <c r="AC159" s="1235"/>
      <c r="AD159" s="1235"/>
      <c r="AE159" s="1235"/>
      <c r="AF159" s="1235"/>
      <c r="AG159" s="1235"/>
      <c r="AH159" s="1235"/>
      <c r="AI159" s="1235"/>
      <c r="AJ159" s="1235"/>
      <c r="AK159" s="1235"/>
      <c r="AL159" s="1235"/>
      <c r="AM159" s="1235"/>
      <c r="AN159" s="1235"/>
      <c r="AO159" s="1235"/>
      <c r="AP159" s="1235"/>
      <c r="AQ159" s="1235"/>
      <c r="AR159" s="1235"/>
      <c r="AS159" s="1235"/>
      <c r="AT159" s="1235"/>
      <c r="AU159" s="1235"/>
      <c r="AV159" s="1235"/>
      <c r="AW159" s="1235"/>
      <c r="AX159" s="1235"/>
      <c r="AY159" s="1235"/>
      <c r="AZ159" s="1235"/>
      <c r="BA159" s="1235"/>
    </row>
    <row r="160" spans="1:54" hidden="1" outlineLevel="1">
      <c r="C160" s="344" t="s">
        <v>866</v>
      </c>
      <c r="J160" s="432"/>
      <c r="M160" s="1241">
        <f>$J$160</f>
        <v>0</v>
      </c>
      <c r="N160" s="1241">
        <f t="shared" ref="N160:AP160" si="48">$J$160</f>
        <v>0</v>
      </c>
      <c r="O160" s="1241">
        <f t="shared" si="48"/>
        <v>0</v>
      </c>
      <c r="P160" s="1241">
        <f t="shared" si="48"/>
        <v>0</v>
      </c>
      <c r="Q160" s="1241">
        <f t="shared" si="48"/>
        <v>0</v>
      </c>
      <c r="R160" s="1241">
        <f t="shared" si="48"/>
        <v>0</v>
      </c>
      <c r="S160" s="1241">
        <f t="shared" si="48"/>
        <v>0</v>
      </c>
      <c r="T160" s="1241">
        <f t="shared" si="48"/>
        <v>0</v>
      </c>
      <c r="U160" s="1241">
        <f t="shared" si="48"/>
        <v>0</v>
      </c>
      <c r="V160" s="1241">
        <f t="shared" si="48"/>
        <v>0</v>
      </c>
      <c r="W160" s="1241">
        <f t="shared" si="48"/>
        <v>0</v>
      </c>
      <c r="X160" s="1241">
        <f t="shared" si="48"/>
        <v>0</v>
      </c>
      <c r="Y160" s="1241">
        <f t="shared" si="48"/>
        <v>0</v>
      </c>
      <c r="Z160" s="1241">
        <f t="shared" si="48"/>
        <v>0</v>
      </c>
      <c r="AA160" s="1241">
        <f t="shared" si="48"/>
        <v>0</v>
      </c>
      <c r="AB160" s="1241">
        <f t="shared" si="48"/>
        <v>0</v>
      </c>
      <c r="AC160" s="1241">
        <f t="shared" si="48"/>
        <v>0</v>
      </c>
      <c r="AD160" s="1241">
        <f t="shared" si="48"/>
        <v>0</v>
      </c>
      <c r="AE160" s="1241">
        <f t="shared" si="48"/>
        <v>0</v>
      </c>
      <c r="AF160" s="1241">
        <f t="shared" si="48"/>
        <v>0</v>
      </c>
      <c r="AG160" s="1241">
        <f t="shared" si="48"/>
        <v>0</v>
      </c>
      <c r="AH160" s="1241">
        <f t="shared" si="48"/>
        <v>0</v>
      </c>
      <c r="AI160" s="1241">
        <f t="shared" si="48"/>
        <v>0</v>
      </c>
      <c r="AJ160" s="1241">
        <f t="shared" si="48"/>
        <v>0</v>
      </c>
      <c r="AK160" s="1241">
        <f t="shared" si="48"/>
        <v>0</v>
      </c>
      <c r="AL160" s="1241">
        <f t="shared" si="48"/>
        <v>0</v>
      </c>
      <c r="AM160" s="1241">
        <f t="shared" si="48"/>
        <v>0</v>
      </c>
      <c r="AN160" s="1241">
        <f t="shared" si="48"/>
        <v>0</v>
      </c>
      <c r="AO160" s="1241">
        <f t="shared" si="48"/>
        <v>0</v>
      </c>
      <c r="AP160" s="1241">
        <f t="shared" si="48"/>
        <v>0</v>
      </c>
      <c r="AQ160" s="1241"/>
      <c r="AR160" s="1241"/>
      <c r="AS160" s="1241"/>
      <c r="AT160" s="1241"/>
      <c r="AU160" s="1241"/>
      <c r="AV160" s="1241"/>
      <c r="AW160" s="1241"/>
      <c r="AX160" s="1241"/>
      <c r="AY160" s="1241"/>
      <c r="AZ160" s="1241"/>
      <c r="BA160" s="1241"/>
    </row>
    <row r="161" spans="3:53" hidden="1" outlineLevel="1">
      <c r="C161" s="320" t="s">
        <v>847</v>
      </c>
      <c r="I161" s="323" t="s">
        <v>1416</v>
      </c>
      <c r="J161" s="1222">
        <f>IF(J102=1,'Capex Phasing Urea'!F113,IF('Assumption '!J102=2,'Capex Phasing Urea'!F114,IF('Assumption '!J102=3,'Capex Phasing Urea'!F115,IF('Assumption '!J102=4,'Capex Phasing Urea'!F116,IF('Assumption '!J102=5,'Capex Phasing Urea'!F117,0)))))</f>
        <v>21.489978510000004</v>
      </c>
      <c r="M161" s="2274">
        <f t="shared" ref="M161:AP161" si="49">$J$161</f>
        <v>21.489978510000004</v>
      </c>
      <c r="N161" s="343">
        <f t="shared" si="49"/>
        <v>21.489978510000004</v>
      </c>
      <c r="O161" s="343">
        <f t="shared" si="49"/>
        <v>21.489978510000004</v>
      </c>
      <c r="P161" s="343">
        <f t="shared" si="49"/>
        <v>21.489978510000004</v>
      </c>
      <c r="Q161" s="343">
        <f t="shared" si="49"/>
        <v>21.489978510000004</v>
      </c>
      <c r="R161" s="343">
        <f t="shared" si="49"/>
        <v>21.489978510000004</v>
      </c>
      <c r="S161" s="343">
        <f t="shared" si="49"/>
        <v>21.489978510000004</v>
      </c>
      <c r="T161" s="343">
        <f t="shared" si="49"/>
        <v>21.489978510000004</v>
      </c>
      <c r="U161" s="343">
        <f t="shared" si="49"/>
        <v>21.489978510000004</v>
      </c>
      <c r="V161" s="343">
        <f t="shared" si="49"/>
        <v>21.489978510000004</v>
      </c>
      <c r="W161" s="343">
        <f t="shared" si="49"/>
        <v>21.489978510000004</v>
      </c>
      <c r="X161" s="343">
        <f t="shared" si="49"/>
        <v>21.489978510000004</v>
      </c>
      <c r="Y161" s="343">
        <f t="shared" si="49"/>
        <v>21.489978510000004</v>
      </c>
      <c r="Z161" s="343">
        <f t="shared" si="49"/>
        <v>21.489978510000004</v>
      </c>
      <c r="AA161" s="343">
        <f t="shared" si="49"/>
        <v>21.489978510000004</v>
      </c>
      <c r="AB161" s="343">
        <f t="shared" si="49"/>
        <v>21.489978510000004</v>
      </c>
      <c r="AC161" s="343">
        <f t="shared" si="49"/>
        <v>21.489978510000004</v>
      </c>
      <c r="AD161" s="343">
        <f t="shared" si="49"/>
        <v>21.489978510000004</v>
      </c>
      <c r="AE161" s="343">
        <f t="shared" si="49"/>
        <v>21.489978510000004</v>
      </c>
      <c r="AF161" s="343">
        <f t="shared" si="49"/>
        <v>21.489978510000004</v>
      </c>
      <c r="AG161" s="343">
        <f t="shared" si="49"/>
        <v>21.489978510000004</v>
      </c>
      <c r="AH161" s="343">
        <f t="shared" si="49"/>
        <v>21.489978510000004</v>
      </c>
      <c r="AI161" s="343">
        <f t="shared" si="49"/>
        <v>21.489978510000004</v>
      </c>
      <c r="AJ161" s="343">
        <f t="shared" si="49"/>
        <v>21.489978510000004</v>
      </c>
      <c r="AK161" s="343">
        <f t="shared" si="49"/>
        <v>21.489978510000004</v>
      </c>
      <c r="AL161" s="343">
        <f t="shared" si="49"/>
        <v>21.489978510000004</v>
      </c>
      <c r="AM161" s="343">
        <f t="shared" si="49"/>
        <v>21.489978510000004</v>
      </c>
      <c r="AN161" s="343">
        <f t="shared" si="49"/>
        <v>21.489978510000004</v>
      </c>
      <c r="AO161" s="343">
        <f t="shared" si="49"/>
        <v>21.489978510000004</v>
      </c>
      <c r="AP161" s="343">
        <f t="shared" si="49"/>
        <v>21.489978510000004</v>
      </c>
      <c r="AQ161" s="343"/>
      <c r="AR161" s="343"/>
      <c r="AS161" s="343"/>
      <c r="AT161" s="343"/>
      <c r="AU161" s="343"/>
      <c r="AV161" s="343"/>
      <c r="AW161" s="343"/>
      <c r="AX161" s="343"/>
      <c r="AY161" s="343"/>
      <c r="AZ161" s="343"/>
      <c r="BA161" s="343"/>
    </row>
    <row r="162" spans="3:53" hidden="1" outlineLevel="1">
      <c r="C162" s="320" t="s">
        <v>1258</v>
      </c>
      <c r="I162" s="323" t="s">
        <v>848</v>
      </c>
      <c r="J162" s="1029"/>
      <c r="M162" s="1241">
        <f t="shared" ref="M162:AP162" si="50">M161*M145</f>
        <v>0</v>
      </c>
      <c r="N162" s="1241">
        <f t="shared" si="50"/>
        <v>20952729.047250003</v>
      </c>
      <c r="O162" s="1241">
        <f ca="1">O161*O145</f>
        <v>40159397.340562508</v>
      </c>
      <c r="P162" s="1241">
        <f t="shared" ca="1" si="50"/>
        <v>48083826.916125007</v>
      </c>
      <c r="Q162" s="1241">
        <f t="shared" ca="1" si="50"/>
        <v>51038698.961250007</v>
      </c>
      <c r="R162" s="1241">
        <f t="shared" ca="1" si="50"/>
        <v>51038698.961250007</v>
      </c>
      <c r="S162" s="1241">
        <f t="shared" ca="1" si="50"/>
        <v>51038698.961250007</v>
      </c>
      <c r="T162" s="1241">
        <f t="shared" ca="1" si="50"/>
        <v>51038698.961250007</v>
      </c>
      <c r="U162" s="1241">
        <f t="shared" ca="1" si="50"/>
        <v>51038698.961250007</v>
      </c>
      <c r="V162" s="1241">
        <f t="shared" ca="1" si="50"/>
        <v>51038698.961250007</v>
      </c>
      <c r="W162" s="1241">
        <f t="shared" ca="1" si="50"/>
        <v>51038698.961250007</v>
      </c>
      <c r="X162" s="1241">
        <f t="shared" ca="1" si="50"/>
        <v>51038698.961250007</v>
      </c>
      <c r="Y162" s="1241">
        <f t="shared" ca="1" si="50"/>
        <v>51038698.961250007</v>
      </c>
      <c r="Z162" s="1241">
        <f t="shared" ca="1" si="50"/>
        <v>51038698.961250007</v>
      </c>
      <c r="AA162" s="1241">
        <f t="shared" ca="1" si="50"/>
        <v>51038698.961250007</v>
      </c>
      <c r="AB162" s="1241">
        <f t="shared" ca="1" si="50"/>
        <v>51038698.961250007</v>
      </c>
      <c r="AC162" s="1241">
        <f t="shared" ca="1" si="50"/>
        <v>51038698.961250007</v>
      </c>
      <c r="AD162" s="1241">
        <f t="shared" ca="1" si="50"/>
        <v>51038698.961250007</v>
      </c>
      <c r="AE162" s="1241">
        <f t="shared" ca="1" si="50"/>
        <v>51038698.961250007</v>
      </c>
      <c r="AF162" s="1241">
        <f t="shared" ca="1" si="50"/>
        <v>51038698.961250007</v>
      </c>
      <c r="AG162" s="1241">
        <f t="shared" ca="1" si="50"/>
        <v>51038698.961250007</v>
      </c>
      <c r="AH162" s="1241">
        <f t="shared" ca="1" si="50"/>
        <v>51038698.961250007</v>
      </c>
      <c r="AI162" s="1241">
        <f t="shared" ca="1" si="50"/>
        <v>51038698.961250007</v>
      </c>
      <c r="AJ162" s="1241">
        <f t="shared" ca="1" si="50"/>
        <v>51038698.961250007</v>
      </c>
      <c r="AK162" s="1241">
        <f t="shared" ca="1" si="50"/>
        <v>51038698.961250007</v>
      </c>
      <c r="AL162" s="1241">
        <f t="shared" ca="1" si="50"/>
        <v>51038698.961250007</v>
      </c>
      <c r="AM162" s="1241">
        <f t="shared" ca="1" si="50"/>
        <v>51038698.961250007</v>
      </c>
      <c r="AN162" s="1241">
        <f t="shared" ca="1" si="50"/>
        <v>51038698.961250007</v>
      </c>
      <c r="AO162" s="1241">
        <f t="shared" ca="1" si="50"/>
        <v>51038698.961250007</v>
      </c>
      <c r="AP162" s="1241">
        <f t="shared" ca="1" si="50"/>
        <v>51038698.961250007</v>
      </c>
      <c r="AQ162" s="1241"/>
      <c r="AR162" s="1241"/>
      <c r="AS162" s="1241"/>
      <c r="AT162" s="1241"/>
      <c r="AU162" s="1241"/>
      <c r="AV162" s="1241"/>
      <c r="AW162" s="1241"/>
      <c r="AX162" s="1241"/>
      <c r="AY162" s="1241"/>
      <c r="AZ162" s="1241"/>
      <c r="BA162" s="1241"/>
    </row>
    <row r="163" spans="3:53" hidden="1" outlineLevel="1">
      <c r="J163" s="1029"/>
      <c r="M163" s="1241"/>
      <c r="N163" s="1241"/>
      <c r="O163" s="1241"/>
      <c r="P163" s="1241"/>
      <c r="Q163" s="1241"/>
      <c r="R163" s="1241"/>
      <c r="S163" s="1241"/>
      <c r="T163" s="1241"/>
      <c r="U163" s="1241"/>
      <c r="V163" s="1241"/>
      <c r="W163" s="1241"/>
      <c r="X163" s="1241"/>
      <c r="Y163" s="1241"/>
      <c r="Z163" s="1241"/>
      <c r="AA163" s="1241"/>
      <c r="AB163" s="1241"/>
      <c r="AC163" s="1241"/>
      <c r="AD163" s="1241"/>
      <c r="AE163" s="1241"/>
      <c r="AF163" s="1241"/>
      <c r="AG163" s="1241"/>
      <c r="AH163" s="1241"/>
      <c r="AI163" s="1241"/>
      <c r="AJ163" s="1241"/>
      <c r="AK163" s="1241"/>
      <c r="AL163" s="1241"/>
      <c r="AM163" s="1241"/>
      <c r="AN163" s="1241"/>
      <c r="AO163" s="1241"/>
      <c r="AP163" s="1241"/>
      <c r="AQ163" s="1241"/>
      <c r="AR163" s="1241"/>
      <c r="AS163" s="1241"/>
      <c r="AT163" s="1241"/>
      <c r="AU163" s="1241"/>
      <c r="AV163" s="1241"/>
      <c r="AW163" s="1241"/>
      <c r="AX163" s="1241"/>
      <c r="AY163" s="1241"/>
      <c r="AZ163" s="1241"/>
      <c r="BA163" s="1241"/>
    </row>
    <row r="164" spans="3:53" hidden="1" outlineLevel="1">
      <c r="C164" s="320" t="s">
        <v>1253</v>
      </c>
      <c r="I164" s="323" t="s">
        <v>1417</v>
      </c>
      <c r="J164" s="1222">
        <f>IF(J102=1,'Capex Phasing Methanol'!C107,IF('Assumption '!J102=2,'Capex Phasing Methanol'!C108,IF('Assumption '!J102=3,'Capex Phasing Methanol'!C109,0)))</f>
        <v>30.228636438000002</v>
      </c>
      <c r="M164" s="1240">
        <f t="shared" ref="M164:AP164" si="51">Nat_Gas_Consumption_Methanol</f>
        <v>30.228636438000002</v>
      </c>
      <c r="N164" s="1240">
        <f t="shared" si="51"/>
        <v>30.228636438000002</v>
      </c>
      <c r="O164" s="1240">
        <f t="shared" si="51"/>
        <v>30.228636438000002</v>
      </c>
      <c r="P164" s="1240">
        <f t="shared" si="51"/>
        <v>30.228636438000002</v>
      </c>
      <c r="Q164" s="1240">
        <f t="shared" si="51"/>
        <v>30.228636438000002</v>
      </c>
      <c r="R164" s="1240">
        <f t="shared" si="51"/>
        <v>30.228636438000002</v>
      </c>
      <c r="S164" s="1240">
        <f t="shared" si="51"/>
        <v>30.228636438000002</v>
      </c>
      <c r="T164" s="1240">
        <f t="shared" si="51"/>
        <v>30.228636438000002</v>
      </c>
      <c r="U164" s="1240">
        <f t="shared" si="51"/>
        <v>30.228636438000002</v>
      </c>
      <c r="V164" s="1240">
        <f t="shared" si="51"/>
        <v>30.228636438000002</v>
      </c>
      <c r="W164" s="1240">
        <f t="shared" si="51"/>
        <v>30.228636438000002</v>
      </c>
      <c r="X164" s="1240">
        <f t="shared" si="51"/>
        <v>30.228636438000002</v>
      </c>
      <c r="Y164" s="1240">
        <f t="shared" si="51"/>
        <v>30.228636438000002</v>
      </c>
      <c r="Z164" s="1240">
        <f t="shared" si="51"/>
        <v>30.228636438000002</v>
      </c>
      <c r="AA164" s="1240">
        <f t="shared" si="51"/>
        <v>30.228636438000002</v>
      </c>
      <c r="AB164" s="1240">
        <f t="shared" si="51"/>
        <v>30.228636438000002</v>
      </c>
      <c r="AC164" s="1240">
        <f t="shared" si="51"/>
        <v>30.228636438000002</v>
      </c>
      <c r="AD164" s="1240">
        <f t="shared" si="51"/>
        <v>30.228636438000002</v>
      </c>
      <c r="AE164" s="1240">
        <f t="shared" si="51"/>
        <v>30.228636438000002</v>
      </c>
      <c r="AF164" s="1240">
        <f t="shared" si="51"/>
        <v>30.228636438000002</v>
      </c>
      <c r="AG164" s="1240">
        <f t="shared" si="51"/>
        <v>30.228636438000002</v>
      </c>
      <c r="AH164" s="1240">
        <f t="shared" si="51"/>
        <v>30.228636438000002</v>
      </c>
      <c r="AI164" s="1240">
        <f t="shared" si="51"/>
        <v>30.228636438000002</v>
      </c>
      <c r="AJ164" s="1240">
        <f t="shared" si="51"/>
        <v>30.228636438000002</v>
      </c>
      <c r="AK164" s="1240">
        <f t="shared" si="51"/>
        <v>30.228636438000002</v>
      </c>
      <c r="AL164" s="1240">
        <f t="shared" si="51"/>
        <v>30.228636438000002</v>
      </c>
      <c r="AM164" s="1240">
        <f t="shared" si="51"/>
        <v>30.228636438000002</v>
      </c>
      <c r="AN164" s="1240">
        <f t="shared" si="51"/>
        <v>30.228636438000002</v>
      </c>
      <c r="AO164" s="1240">
        <f t="shared" si="51"/>
        <v>30.228636438000002</v>
      </c>
      <c r="AP164" s="1240">
        <f t="shared" si="51"/>
        <v>30.228636438000002</v>
      </c>
      <c r="AQ164" s="1240"/>
      <c r="AR164" s="1240"/>
      <c r="AS164" s="1240"/>
      <c r="AT164" s="1240"/>
      <c r="AU164" s="1240"/>
      <c r="AV164" s="1240"/>
      <c r="AW164" s="1240"/>
      <c r="AX164" s="1240"/>
      <c r="AY164" s="1240"/>
      <c r="AZ164" s="1240"/>
      <c r="BA164" s="1240"/>
    </row>
    <row r="165" spans="3:53" hidden="1" outlineLevel="1">
      <c r="C165" s="320" t="s">
        <v>1259</v>
      </c>
      <c r="I165" s="323" t="s">
        <v>848</v>
      </c>
      <c r="J165" s="477"/>
      <c r="M165" s="1241">
        <f>M164*M147</f>
        <v>0</v>
      </c>
      <c r="N165" s="1241">
        <f t="shared" ref="N165:AP165" si="52">N164*N147</f>
        <v>19648613.684700001</v>
      </c>
      <c r="O165" s="1241">
        <f ca="1">O164*O147</f>
        <v>24560767.105875</v>
      </c>
      <c r="P165" s="1241">
        <f t="shared" ca="1" si="52"/>
        <v>28717204.616100002</v>
      </c>
      <c r="Q165" s="1241">
        <f t="shared" ca="1" si="52"/>
        <v>28717204.616100002</v>
      </c>
      <c r="R165" s="1241">
        <f t="shared" ca="1" si="52"/>
        <v>28717204.616100002</v>
      </c>
      <c r="S165" s="1241">
        <f t="shared" ca="1" si="52"/>
        <v>28717204.616100002</v>
      </c>
      <c r="T165" s="1241">
        <f t="shared" ca="1" si="52"/>
        <v>28717204.616100002</v>
      </c>
      <c r="U165" s="1241">
        <f t="shared" ca="1" si="52"/>
        <v>28717204.616100002</v>
      </c>
      <c r="V165" s="1241">
        <f t="shared" ca="1" si="52"/>
        <v>28717204.616100002</v>
      </c>
      <c r="W165" s="1241">
        <f t="shared" ca="1" si="52"/>
        <v>28717204.616100002</v>
      </c>
      <c r="X165" s="1241">
        <f t="shared" ca="1" si="52"/>
        <v>28717204.616100002</v>
      </c>
      <c r="Y165" s="1241">
        <f t="shared" ca="1" si="52"/>
        <v>28717204.616100002</v>
      </c>
      <c r="Z165" s="1241">
        <f t="shared" ca="1" si="52"/>
        <v>28717204.616100002</v>
      </c>
      <c r="AA165" s="1241">
        <f t="shared" ca="1" si="52"/>
        <v>28717204.616100002</v>
      </c>
      <c r="AB165" s="1241">
        <f t="shared" ca="1" si="52"/>
        <v>28717204.616100002</v>
      </c>
      <c r="AC165" s="1241">
        <f t="shared" ca="1" si="52"/>
        <v>28717204.616100002</v>
      </c>
      <c r="AD165" s="1241">
        <f t="shared" ca="1" si="52"/>
        <v>28717204.616100002</v>
      </c>
      <c r="AE165" s="1241">
        <f t="shared" ca="1" si="52"/>
        <v>28717204.616100002</v>
      </c>
      <c r="AF165" s="1241">
        <f t="shared" ca="1" si="52"/>
        <v>28717204.616100002</v>
      </c>
      <c r="AG165" s="1241">
        <f t="shared" ca="1" si="52"/>
        <v>28717204.616100002</v>
      </c>
      <c r="AH165" s="1241">
        <f t="shared" ca="1" si="52"/>
        <v>28717204.616100002</v>
      </c>
      <c r="AI165" s="1241">
        <f t="shared" ca="1" si="52"/>
        <v>28717204.616100002</v>
      </c>
      <c r="AJ165" s="1241">
        <f t="shared" ca="1" si="52"/>
        <v>28717204.616100002</v>
      </c>
      <c r="AK165" s="1241">
        <f t="shared" ca="1" si="52"/>
        <v>28717204.616100002</v>
      </c>
      <c r="AL165" s="1241">
        <f t="shared" ca="1" si="52"/>
        <v>28717204.616100002</v>
      </c>
      <c r="AM165" s="1241">
        <f t="shared" ca="1" si="52"/>
        <v>28717204.616100002</v>
      </c>
      <c r="AN165" s="1241">
        <f t="shared" ca="1" si="52"/>
        <v>28717204.616100002</v>
      </c>
      <c r="AO165" s="1241">
        <f t="shared" ca="1" si="52"/>
        <v>28717204.616100002</v>
      </c>
      <c r="AP165" s="1241">
        <f t="shared" ca="1" si="52"/>
        <v>28717204.616100002</v>
      </c>
      <c r="AQ165" s="1241"/>
      <c r="AR165" s="1241"/>
      <c r="AS165" s="1241"/>
      <c r="AT165" s="1241"/>
      <c r="AU165" s="1241"/>
      <c r="AV165" s="1241"/>
      <c r="AW165" s="1241"/>
      <c r="AX165" s="1241"/>
      <c r="AY165" s="1241"/>
      <c r="AZ165" s="1241"/>
      <c r="BA165" s="1241"/>
    </row>
    <row r="166" spans="3:53" hidden="1" outlineLevel="1">
      <c r="J166" s="477"/>
      <c r="M166" s="1241"/>
      <c r="N166" s="1241"/>
      <c r="O166" s="1241"/>
      <c r="P166" s="1241"/>
      <c r="Q166" s="1241"/>
      <c r="R166" s="1241"/>
      <c r="S166" s="1241"/>
      <c r="T166" s="1241"/>
      <c r="U166" s="1241"/>
      <c r="V166" s="1241"/>
      <c r="W166" s="1241"/>
      <c r="X166" s="1241"/>
      <c r="Y166" s="1241"/>
      <c r="Z166" s="1241"/>
      <c r="AA166" s="1241"/>
      <c r="AB166" s="1241"/>
      <c r="AC166" s="1241"/>
      <c r="AD166" s="1241"/>
      <c r="AE166" s="1241"/>
      <c r="AF166" s="1241"/>
      <c r="AG166" s="1241"/>
      <c r="AH166" s="1241"/>
      <c r="AI166" s="1241"/>
      <c r="AJ166" s="1241"/>
      <c r="AK166" s="1241"/>
      <c r="AL166" s="1241"/>
      <c r="AM166" s="1241"/>
      <c r="AN166" s="1241"/>
      <c r="AO166" s="1241"/>
      <c r="AP166" s="1241"/>
      <c r="AQ166" s="1241"/>
      <c r="AR166" s="1241"/>
      <c r="AS166" s="1241"/>
      <c r="AT166" s="1241"/>
      <c r="AU166" s="1241"/>
      <c r="AV166" s="1241"/>
      <c r="AW166" s="1241"/>
      <c r="AX166" s="1241"/>
      <c r="AY166" s="1241"/>
      <c r="AZ166" s="1241"/>
      <c r="BA166" s="1241"/>
    </row>
    <row r="167" spans="3:53" hidden="1" outlineLevel="1">
      <c r="J167" s="477"/>
      <c r="M167" s="1240"/>
      <c r="N167" s="1240"/>
      <c r="O167" s="1240"/>
      <c r="P167" s="1240"/>
      <c r="Q167" s="1240"/>
      <c r="R167" s="1240"/>
      <c r="S167" s="1240"/>
      <c r="T167" s="1240"/>
      <c r="U167" s="1240"/>
      <c r="V167" s="1240"/>
      <c r="W167" s="1240"/>
      <c r="X167" s="1240"/>
      <c r="Y167" s="1240"/>
      <c r="Z167" s="1240"/>
      <c r="AA167" s="1240"/>
      <c r="AB167" s="1240"/>
      <c r="AC167" s="1240"/>
      <c r="AD167" s="1240"/>
      <c r="AE167" s="1240"/>
      <c r="AF167" s="1240"/>
      <c r="AG167" s="1240"/>
      <c r="AH167" s="1240"/>
      <c r="AI167" s="1240"/>
      <c r="AJ167" s="1240"/>
      <c r="AK167" s="1240"/>
      <c r="AL167" s="1240"/>
      <c r="AM167" s="1240"/>
      <c r="AN167" s="1240"/>
      <c r="AO167" s="1240"/>
      <c r="AP167" s="1240"/>
      <c r="AQ167" s="1240"/>
      <c r="AR167" s="1240"/>
      <c r="AS167" s="1240"/>
      <c r="AT167" s="1240"/>
      <c r="AU167" s="1240"/>
      <c r="AV167" s="1240"/>
      <c r="AW167" s="1240"/>
      <c r="AX167" s="1240"/>
      <c r="AY167" s="1240"/>
      <c r="AZ167" s="1240"/>
      <c r="BA167" s="1240"/>
    </row>
    <row r="168" spans="3:53" hidden="1" outlineLevel="1">
      <c r="J168" s="477"/>
      <c r="M168" s="1241"/>
      <c r="N168" s="1241"/>
      <c r="O168" s="1241"/>
      <c r="P168" s="1241"/>
      <c r="Q168" s="1241"/>
      <c r="R168" s="1241"/>
      <c r="S168" s="1241"/>
      <c r="T168" s="1241"/>
      <c r="U168" s="1241"/>
      <c r="V168" s="1241"/>
      <c r="W168" s="1241"/>
      <c r="X168" s="1241"/>
      <c r="Y168" s="1241"/>
      <c r="Z168" s="1241"/>
      <c r="AA168" s="1241"/>
      <c r="AB168" s="1241"/>
      <c r="AC168" s="1241"/>
      <c r="AD168" s="1241"/>
      <c r="AE168" s="1241"/>
      <c r="AF168" s="1241"/>
      <c r="AG168" s="1241"/>
      <c r="AH168" s="1241"/>
      <c r="AI168" s="1241"/>
      <c r="AJ168" s="1241"/>
      <c r="AK168" s="1241"/>
      <c r="AL168" s="1241"/>
      <c r="AM168" s="1241"/>
      <c r="AN168" s="1241"/>
      <c r="AO168" s="1241"/>
      <c r="AP168" s="1241"/>
      <c r="AQ168" s="1241"/>
      <c r="AR168" s="1241"/>
      <c r="AS168" s="1241"/>
      <c r="AT168" s="1241"/>
      <c r="AU168" s="1241"/>
      <c r="AV168" s="1241"/>
      <c r="AW168" s="1241"/>
      <c r="AX168" s="1241"/>
      <c r="AY168" s="1241"/>
      <c r="AZ168" s="1241"/>
      <c r="BA168" s="1241"/>
    </row>
    <row r="169" spans="3:53" hidden="1" outlineLevel="1">
      <c r="J169" s="477"/>
      <c r="M169" s="1241"/>
      <c r="N169" s="1241"/>
      <c r="O169" s="1241"/>
      <c r="P169" s="1241"/>
      <c r="Q169" s="1241"/>
      <c r="R169" s="1241"/>
      <c r="S169" s="1241"/>
      <c r="T169" s="1241"/>
      <c r="U169" s="1241"/>
      <c r="V169" s="1241"/>
      <c r="W169" s="1241"/>
      <c r="X169" s="1241"/>
      <c r="Y169" s="1241"/>
      <c r="Z169" s="1241"/>
      <c r="AA169" s="1241"/>
      <c r="AB169" s="1241"/>
      <c r="AC169" s="1241"/>
      <c r="AD169" s="1241"/>
      <c r="AE169" s="1241"/>
      <c r="AF169" s="1241"/>
      <c r="AG169" s="1241"/>
      <c r="AH169" s="1241"/>
      <c r="AI169" s="1241"/>
      <c r="AJ169" s="1241"/>
      <c r="AK169" s="1241"/>
      <c r="AL169" s="1241"/>
      <c r="AM169" s="1241"/>
      <c r="AN169" s="1241"/>
      <c r="AO169" s="1241"/>
      <c r="AP169" s="1241"/>
      <c r="AQ169" s="1241"/>
      <c r="AR169" s="1241"/>
      <c r="AS169" s="1241"/>
      <c r="AT169" s="1241"/>
      <c r="AU169" s="1241"/>
      <c r="AV169" s="1241"/>
      <c r="AW169" s="1241"/>
      <c r="AX169" s="1241"/>
      <c r="AY169" s="1241"/>
      <c r="AZ169" s="1241"/>
      <c r="BA169" s="1241"/>
    </row>
    <row r="170" spans="3:53" hidden="1" outlineLevel="1">
      <c r="J170" s="477"/>
      <c r="M170" s="1241"/>
      <c r="N170" s="1241"/>
      <c r="O170" s="1241"/>
      <c r="P170" s="1241"/>
      <c r="Q170" s="1241"/>
      <c r="R170" s="1241"/>
      <c r="S170" s="1241"/>
      <c r="T170" s="1241"/>
      <c r="U170" s="1241"/>
      <c r="V170" s="1241"/>
      <c r="W170" s="1241"/>
      <c r="X170" s="1241"/>
      <c r="Y170" s="1241"/>
      <c r="Z170" s="1241"/>
      <c r="AA170" s="1241"/>
      <c r="AB170" s="1241"/>
      <c r="AC170" s="1241"/>
      <c r="AD170" s="1241"/>
      <c r="AE170" s="1241"/>
      <c r="AF170" s="1241"/>
      <c r="AG170" s="1241"/>
      <c r="AH170" s="1241"/>
      <c r="AI170" s="1241"/>
      <c r="AJ170" s="1241"/>
      <c r="AK170" s="1241"/>
      <c r="AL170" s="1241"/>
      <c r="AM170" s="1241"/>
      <c r="AN170" s="1241"/>
      <c r="AO170" s="1241"/>
      <c r="AP170" s="1241"/>
      <c r="AQ170" s="1241"/>
      <c r="AR170" s="1241"/>
      <c r="AS170" s="1241"/>
      <c r="AT170" s="1241"/>
      <c r="AU170" s="1241"/>
      <c r="AV170" s="1241"/>
      <c r="AW170" s="1241"/>
      <c r="AX170" s="1241"/>
      <c r="AY170" s="1241"/>
      <c r="AZ170" s="1241"/>
      <c r="BA170" s="1241"/>
    </row>
    <row r="171" spans="3:53" hidden="1" outlineLevel="1">
      <c r="C171" s="320" t="s">
        <v>1256</v>
      </c>
      <c r="I171" s="323" t="s">
        <v>916</v>
      </c>
      <c r="J171" s="1023">
        <f>J243</f>
        <v>3.32</v>
      </c>
      <c r="M171" s="1235">
        <f>M243</f>
        <v>3.4196</v>
      </c>
      <c r="N171" s="1235">
        <f t="shared" ref="N171:AP171" si="53">N243</f>
        <v>3.5221879999999999</v>
      </c>
      <c r="O171" s="1235">
        <f t="shared" si="53"/>
        <v>3.6278536400000001</v>
      </c>
      <c r="P171" s="1235">
        <f t="shared" si="53"/>
        <v>3.7366892492000003</v>
      </c>
      <c r="Q171" s="1235">
        <f t="shared" si="53"/>
        <v>3.848789926676</v>
      </c>
      <c r="R171" s="1235">
        <f t="shared" si="53"/>
        <v>3.9642536244762807</v>
      </c>
      <c r="S171" s="1235">
        <f t="shared" si="53"/>
        <v>4.0831812332105688</v>
      </c>
      <c r="T171" s="1235">
        <f t="shared" si="53"/>
        <v>4.205676670206886</v>
      </c>
      <c r="U171" s="1235">
        <f t="shared" si="53"/>
        <v>4.3318469703130926</v>
      </c>
      <c r="V171" s="1235">
        <f t="shared" si="53"/>
        <v>4.4618023794224859</v>
      </c>
      <c r="W171" s="1235">
        <f t="shared" si="53"/>
        <v>4.5956564508051603</v>
      </c>
      <c r="X171" s="1235">
        <f t="shared" si="53"/>
        <v>4.7335261443293151</v>
      </c>
      <c r="Y171" s="1235">
        <f t="shared" si="53"/>
        <v>4.8755319286591945</v>
      </c>
      <c r="Z171" s="1235">
        <f t="shared" si="53"/>
        <v>5.0217978865189714</v>
      </c>
      <c r="AA171" s="1235">
        <f t="shared" si="53"/>
        <v>5.1724518231145407</v>
      </c>
      <c r="AB171" s="1235">
        <f t="shared" si="53"/>
        <v>5.3276253778079772</v>
      </c>
      <c r="AC171" s="1235">
        <f t="shared" si="53"/>
        <v>5.4874541391422165</v>
      </c>
      <c r="AD171" s="1235">
        <f t="shared" si="53"/>
        <v>5.6520777633164823</v>
      </c>
      <c r="AE171" s="1235">
        <f t="shared" si="53"/>
        <v>5.8216400962159787</v>
      </c>
      <c r="AF171" s="1235">
        <f t="shared" si="53"/>
        <v>5.9962892991024574</v>
      </c>
      <c r="AG171" s="1235">
        <f t="shared" si="53"/>
        <v>6.1761779780755317</v>
      </c>
      <c r="AH171" s="1235">
        <f t="shared" si="53"/>
        <v>6.3614633174177975</v>
      </c>
      <c r="AI171" s="1235">
        <f t="shared" si="53"/>
        <v>6.5523072169403331</v>
      </c>
      <c r="AJ171" s="1235">
        <f t="shared" si="53"/>
        <v>6.7488764334485429</v>
      </c>
      <c r="AK171" s="1235">
        <f t="shared" si="53"/>
        <v>6.9513427264519985</v>
      </c>
      <c r="AL171" s="1235">
        <f t="shared" si="53"/>
        <v>7.1598830082455596</v>
      </c>
      <c r="AM171" s="1235">
        <f t="shared" si="53"/>
        <v>7.3746794984929265</v>
      </c>
      <c r="AN171" s="1235">
        <f t="shared" si="53"/>
        <v>7.5959198834477135</v>
      </c>
      <c r="AO171" s="1235">
        <f t="shared" si="53"/>
        <v>7.8237974799511454</v>
      </c>
      <c r="AP171" s="1235">
        <f t="shared" si="53"/>
        <v>8.0585114043496802</v>
      </c>
      <c r="AQ171" s="1235"/>
      <c r="AR171" s="1235"/>
      <c r="AS171" s="1235"/>
      <c r="AT171" s="1235"/>
      <c r="AU171" s="1235"/>
      <c r="AV171" s="1235"/>
      <c r="AW171" s="1235"/>
      <c r="AX171" s="1235"/>
      <c r="AY171" s="1235"/>
      <c r="AZ171" s="1235"/>
      <c r="BA171" s="1235"/>
    </row>
    <row r="172" spans="3:53" hidden="1" outlineLevel="1">
      <c r="C172" s="352" t="s">
        <v>1581</v>
      </c>
      <c r="H172" s="320"/>
      <c r="I172" s="323" t="s">
        <v>1418</v>
      </c>
      <c r="J172" s="1023"/>
      <c r="M172" s="1241">
        <f t="shared" ref="M172:AP172" si="54">M162*M171</f>
        <v>0</v>
      </c>
      <c r="N172" s="1241">
        <f t="shared" si="54"/>
        <v>73799450.817475393</v>
      </c>
      <c r="O172" s="1241">
        <f t="shared" ca="1" si="54"/>
        <v>145692415.82216603</v>
      </c>
      <c r="P172" s="1241">
        <f t="shared" ca="1" si="54"/>
        <v>179674319.09787792</v>
      </c>
      <c r="Q172" s="1241">
        <f t="shared" ca="1" si="54"/>
        <v>196437230.43270785</v>
      </c>
      <c r="R172" s="1241">
        <f t="shared" ca="1" si="54"/>
        <v>202330347.34568912</v>
      </c>
      <c r="S172" s="1241">
        <f t="shared" ca="1" si="54"/>
        <v>208400257.76605979</v>
      </c>
      <c r="T172" s="1241">
        <f t="shared" ca="1" si="54"/>
        <v>214652265.49904159</v>
      </c>
      <c r="U172" s="1241">
        <f t="shared" ca="1" si="54"/>
        <v>221091833.46401283</v>
      </c>
      <c r="V172" s="1241">
        <f t="shared" ca="1" si="54"/>
        <v>227724588.46793324</v>
      </c>
      <c r="W172" s="1241">
        <f t="shared" ca="1" si="54"/>
        <v>234556326.12197122</v>
      </c>
      <c r="X172" s="1241">
        <f t="shared" ca="1" si="54"/>
        <v>241593015.90563035</v>
      </c>
      <c r="Y172" s="1241">
        <f t="shared" ca="1" si="54"/>
        <v>248840806.38279927</v>
      </c>
      <c r="Z172" s="1241">
        <f t="shared" ca="1" si="54"/>
        <v>256306030.5742833</v>
      </c>
      <c r="AA172" s="1241">
        <f t="shared" ca="1" si="54"/>
        <v>263995211.49151182</v>
      </c>
      <c r="AB172" s="1241">
        <f t="shared" ca="1" si="54"/>
        <v>271915067.83625716</v>
      </c>
      <c r="AC172" s="1241">
        <f t="shared" ca="1" si="54"/>
        <v>280072519.87134492</v>
      </c>
      <c r="AD172" s="1241">
        <f t="shared" ca="1" si="54"/>
        <v>288474695.46748519</v>
      </c>
      <c r="AE172" s="1241">
        <f t="shared" ca="1" si="54"/>
        <v>297128936.33150989</v>
      </c>
      <c r="AF172" s="1241">
        <f t="shared" ca="1" si="54"/>
        <v>306042804.42145514</v>
      </c>
      <c r="AG172" s="1241">
        <f t="shared" ca="1" si="54"/>
        <v>315224088.55409878</v>
      </c>
      <c r="AH172" s="1241">
        <f t="shared" ca="1" si="54"/>
        <v>324680811.21072179</v>
      </c>
      <c r="AI172" s="1241">
        <f t="shared" ca="1" si="54"/>
        <v>334421235.5470435</v>
      </c>
      <c r="AJ172" s="1241">
        <f t="shared" ca="1" si="54"/>
        <v>344453872.61345482</v>
      </c>
      <c r="AK172" s="1241">
        <f t="shared" ca="1" si="54"/>
        <v>354787488.79185843</v>
      </c>
      <c r="AL172" s="1241">
        <f t="shared" ca="1" si="54"/>
        <v>365431113.45561421</v>
      </c>
      <c r="AM172" s="1241">
        <f t="shared" ca="1" si="54"/>
        <v>376394046.85928267</v>
      </c>
      <c r="AN172" s="1241">
        <f t="shared" ca="1" si="54"/>
        <v>387685868.26506108</v>
      </c>
      <c r="AO172" s="1241">
        <f t="shared" ca="1" si="54"/>
        <v>399316444.31301296</v>
      </c>
      <c r="AP172" s="1241">
        <f t="shared" ca="1" si="54"/>
        <v>411295937.64240336</v>
      </c>
      <c r="AQ172" s="1241"/>
      <c r="AR172" s="1241"/>
      <c r="AS172" s="1241"/>
      <c r="AT172" s="1241"/>
      <c r="AU172" s="1241"/>
      <c r="AV172" s="1241"/>
      <c r="AW172" s="1241"/>
      <c r="AX172" s="1241"/>
      <c r="AY172" s="1241"/>
      <c r="AZ172" s="1241"/>
      <c r="BA172" s="1241"/>
    </row>
    <row r="173" spans="3:53" hidden="1" outlineLevel="1">
      <c r="C173" s="352"/>
      <c r="H173" s="320"/>
      <c r="J173" s="1023"/>
      <c r="M173" s="1241"/>
      <c r="N173" s="1241"/>
      <c r="O173" s="1241"/>
      <c r="P173" s="1241"/>
      <c r="Q173" s="1241"/>
      <c r="R173" s="1241"/>
      <c r="S173" s="1241"/>
      <c r="T173" s="1241"/>
      <c r="U173" s="1241"/>
      <c r="V173" s="1241"/>
      <c r="W173" s="1241"/>
      <c r="X173" s="1241"/>
      <c r="Y173" s="1241"/>
      <c r="Z173" s="1241"/>
      <c r="AA173" s="1241"/>
      <c r="AB173" s="1241"/>
      <c r="AC173" s="1241"/>
      <c r="AD173" s="1241"/>
      <c r="AE173" s="1241"/>
      <c r="AF173" s="1241"/>
      <c r="AG173" s="1241"/>
      <c r="AH173" s="1241"/>
      <c r="AI173" s="1241"/>
      <c r="AJ173" s="1241"/>
      <c r="AK173" s="1241"/>
      <c r="AL173" s="1241"/>
      <c r="AM173" s="1241"/>
      <c r="AN173" s="1241"/>
      <c r="AO173" s="1241"/>
      <c r="AP173" s="1241"/>
      <c r="AQ173" s="1241"/>
      <c r="AR173" s="1241"/>
      <c r="AS173" s="1241"/>
      <c r="AT173" s="1241"/>
      <c r="AU173" s="1241"/>
      <c r="AV173" s="1241"/>
      <c r="AW173" s="1241"/>
      <c r="AX173" s="1241"/>
      <c r="AY173" s="1241"/>
      <c r="AZ173" s="1241"/>
      <c r="BA173" s="1241"/>
    </row>
    <row r="174" spans="3:53" hidden="1" outlineLevel="1">
      <c r="C174" s="320" t="s">
        <v>1257</v>
      </c>
      <c r="H174" s="320"/>
      <c r="J174" s="1023"/>
      <c r="M174" s="1235">
        <f>M256</f>
        <v>3.4196</v>
      </c>
      <c r="N174" s="1235">
        <f t="shared" ref="N174:AP174" si="55">N256</f>
        <v>3.5221879999999999</v>
      </c>
      <c r="O174" s="1235">
        <f t="shared" si="55"/>
        <v>3.6278536400000001</v>
      </c>
      <c r="P174" s="1235">
        <f t="shared" si="55"/>
        <v>3.7366892492000003</v>
      </c>
      <c r="Q174" s="1235">
        <f t="shared" si="55"/>
        <v>3.848789926676</v>
      </c>
      <c r="R174" s="1235">
        <f t="shared" si="55"/>
        <v>3.9642536244762807</v>
      </c>
      <c r="S174" s="1235">
        <f t="shared" si="55"/>
        <v>4.0831812332105688</v>
      </c>
      <c r="T174" s="1235">
        <f t="shared" si="55"/>
        <v>4.205676670206886</v>
      </c>
      <c r="U174" s="1235">
        <f t="shared" si="55"/>
        <v>4.3318469703130926</v>
      </c>
      <c r="V174" s="1235">
        <f t="shared" si="55"/>
        <v>4.4618023794224859</v>
      </c>
      <c r="W174" s="1235">
        <f t="shared" si="55"/>
        <v>4.5956564508051603</v>
      </c>
      <c r="X174" s="1235">
        <f t="shared" si="55"/>
        <v>4.7335261443293151</v>
      </c>
      <c r="Y174" s="1235">
        <f t="shared" si="55"/>
        <v>4.8755319286591945</v>
      </c>
      <c r="Z174" s="1235">
        <f t="shared" si="55"/>
        <v>5.0217978865189714</v>
      </c>
      <c r="AA174" s="1235">
        <f t="shared" si="55"/>
        <v>5.1724518231145407</v>
      </c>
      <c r="AB174" s="1235">
        <f t="shared" si="55"/>
        <v>5.3276253778079772</v>
      </c>
      <c r="AC174" s="1235">
        <f t="shared" si="55"/>
        <v>5.4874541391422165</v>
      </c>
      <c r="AD174" s="1235">
        <f t="shared" si="55"/>
        <v>5.5321897551159136</v>
      </c>
      <c r="AE174" s="1235">
        <f t="shared" si="55"/>
        <v>5.578155447769392</v>
      </c>
      <c r="AF174" s="1235">
        <f t="shared" si="55"/>
        <v>5.6255001112024736</v>
      </c>
      <c r="AG174" s="1235">
        <f t="shared" si="55"/>
        <v>5.6742651145385476</v>
      </c>
      <c r="AH174" s="1235">
        <f t="shared" si="55"/>
        <v>5.7244930679747039</v>
      </c>
      <c r="AI174" s="1235">
        <f t="shared" si="55"/>
        <v>5.7762278600139458</v>
      </c>
      <c r="AJ174" s="1235">
        <f t="shared" si="55"/>
        <v>5.829514695814364</v>
      </c>
      <c r="AK174" s="1235">
        <f t="shared" si="55"/>
        <v>5.8844001366887948</v>
      </c>
      <c r="AL174" s="1235">
        <f t="shared" si="55"/>
        <v>5.9409321407894584</v>
      </c>
      <c r="AM174" s="1235">
        <f t="shared" si="55"/>
        <v>5.9991601050131429</v>
      </c>
      <c r="AN174" s="1235">
        <f t="shared" si="55"/>
        <v>6.0591349081635375</v>
      </c>
      <c r="AO174" s="1235">
        <f t="shared" si="55"/>
        <v>6.120908955408443</v>
      </c>
      <c r="AP174" s="1235">
        <f t="shared" si="55"/>
        <v>6.1845362240706958</v>
      </c>
      <c r="AQ174" s="1235"/>
      <c r="AR174" s="1235"/>
      <c r="AS174" s="1235"/>
      <c r="AT174" s="1235"/>
      <c r="AU174" s="1235"/>
      <c r="AV174" s="1235"/>
      <c r="AW174" s="1235"/>
      <c r="AX174" s="1235"/>
      <c r="AY174" s="1235"/>
      <c r="AZ174" s="1235"/>
      <c r="BA174" s="1235"/>
    </row>
    <row r="175" spans="3:53" ht="11.45" hidden="1" customHeight="1" outlineLevel="1">
      <c r="C175" s="352" t="s">
        <v>1257</v>
      </c>
      <c r="H175" s="320"/>
      <c r="I175" s="323" t="s">
        <v>1419</v>
      </c>
      <c r="J175" s="1023"/>
      <c r="M175" s="1241">
        <f>M165*M174</f>
        <v>0</v>
      </c>
      <c r="N175" s="1241">
        <f t="shared" ref="N175:AP175" si="56">N165*N174</f>
        <v>69206111.336886123</v>
      </c>
      <c r="O175" s="1241">
        <f t="shared" ca="1" si="56"/>
        <v>89102868.346240893</v>
      </c>
      <c r="P175" s="1241">
        <f t="shared" ca="1" si="56"/>
        <v>107307269.7560575</v>
      </c>
      <c r="Q175" s="1241">
        <f t="shared" ca="1" si="56"/>
        <v>110526487.84873922</v>
      </c>
      <c r="R175" s="1241">
        <f t="shared" ca="1" si="56"/>
        <v>113842282.48420142</v>
      </c>
      <c r="S175" s="1241">
        <f t="shared" ca="1" si="56"/>
        <v>117257550.95872745</v>
      </c>
      <c r="T175" s="1241">
        <f t="shared" ca="1" si="56"/>
        <v>120775277.48748927</v>
      </c>
      <c r="U175" s="1241">
        <f t="shared" ca="1" si="56"/>
        <v>124398535.81211396</v>
      </c>
      <c r="V175" s="1241">
        <f t="shared" ca="1" si="56"/>
        <v>128130491.88647738</v>
      </c>
      <c r="W175" s="1241">
        <f t="shared" ca="1" si="56"/>
        <v>131974406.6430717</v>
      </c>
      <c r="X175" s="1241">
        <f t="shared" ca="1" si="56"/>
        <v>135933638.84236386</v>
      </c>
      <c r="Y175" s="1241">
        <f t="shared" ca="1" si="56"/>
        <v>140011648.00763476</v>
      </c>
      <c r="Z175" s="1241">
        <f t="shared" ca="1" si="56"/>
        <v>144211997.44786385</v>
      </c>
      <c r="AA175" s="1241">
        <f t="shared" ca="1" si="56"/>
        <v>148538357.37129974</v>
      </c>
      <c r="AB175" s="1241">
        <f t="shared" ca="1" si="56"/>
        <v>152994508.09243876</v>
      </c>
      <c r="AC175" s="1241">
        <f t="shared" ca="1" si="56"/>
        <v>157584343.33521193</v>
      </c>
      <c r="AD175" s="1241">
        <f t="shared" ca="1" si="56"/>
        <v>158869025.17275587</v>
      </c>
      <c r="AE175" s="1241">
        <f t="shared" ca="1" si="56"/>
        <v>160189031.37400657</v>
      </c>
      <c r="AF175" s="1241">
        <f t="shared" ca="1" si="56"/>
        <v>161548637.76129475</v>
      </c>
      <c r="AG175" s="1241">
        <f t="shared" ca="1" si="56"/>
        <v>162949032.34020159</v>
      </c>
      <c r="AH175" s="1241">
        <f t="shared" ca="1" si="56"/>
        <v>164391438.75647563</v>
      </c>
      <c r="AI175" s="1241">
        <f t="shared" ca="1" si="56"/>
        <v>165877117.36523792</v>
      </c>
      <c r="AJ175" s="1241">
        <f t="shared" ca="1" si="56"/>
        <v>167407366.33226305</v>
      </c>
      <c r="AK175" s="1241">
        <f t="shared" ca="1" si="56"/>
        <v>168983522.76829895</v>
      </c>
      <c r="AL175" s="1241">
        <f t="shared" ca="1" si="56"/>
        <v>170606963.89741591</v>
      </c>
      <c r="AM175" s="1241">
        <f t="shared" ca="1" si="56"/>
        <v>172279108.2604064</v>
      </c>
      <c r="AN175" s="1241">
        <f t="shared" ca="1" si="56"/>
        <v>174001416.95428661</v>
      </c>
      <c r="AO175" s="1241">
        <f t="shared" ca="1" si="56"/>
        <v>175775394.90898317</v>
      </c>
      <c r="AP175" s="1241">
        <f t="shared" ca="1" si="56"/>
        <v>177602592.20232067</v>
      </c>
      <c r="AQ175" s="1241"/>
      <c r="AR175" s="1241"/>
      <c r="AS175" s="1241"/>
      <c r="AT175" s="1241"/>
      <c r="AU175" s="1241"/>
      <c r="AV175" s="1241"/>
      <c r="AW175" s="1241"/>
      <c r="AX175" s="1241"/>
      <c r="AY175" s="1241"/>
      <c r="AZ175" s="1241"/>
      <c r="BA175" s="1241"/>
    </row>
    <row r="176" spans="3:53" ht="11.45" hidden="1" customHeight="1" outlineLevel="1">
      <c r="C176" s="352"/>
      <c r="H176" s="320"/>
      <c r="J176" s="1023"/>
      <c r="M176" s="1241"/>
      <c r="N176" s="1241"/>
      <c r="O176" s="1241"/>
      <c r="P176" s="1241"/>
      <c r="Q176" s="1241"/>
      <c r="R176" s="1241"/>
      <c r="S176" s="1241"/>
      <c r="T176" s="1241"/>
      <c r="U176" s="1241"/>
      <c r="V176" s="1241"/>
      <c r="W176" s="1241"/>
      <c r="X176" s="1241"/>
      <c r="Y176" s="1241"/>
      <c r="Z176" s="1241"/>
      <c r="AA176" s="1241"/>
      <c r="AB176" s="1241"/>
      <c r="AC176" s="1241"/>
      <c r="AD176" s="1241"/>
      <c r="AE176" s="1241"/>
      <c r="AF176" s="1241"/>
      <c r="AG176" s="1241"/>
      <c r="AH176" s="1241"/>
      <c r="AI176" s="1241"/>
      <c r="AJ176" s="1241"/>
      <c r="AK176" s="1241"/>
      <c r="AL176" s="1241"/>
      <c r="AM176" s="1241"/>
      <c r="AN176" s="1241"/>
      <c r="AO176" s="1241"/>
      <c r="AP176" s="1241"/>
      <c r="AQ176" s="1241"/>
      <c r="AR176" s="1241"/>
      <c r="AS176" s="1241"/>
      <c r="AT176" s="1241"/>
      <c r="AU176" s="1241"/>
      <c r="AV176" s="1241"/>
      <c r="AW176" s="1241"/>
      <c r="AX176" s="1241"/>
      <c r="AY176" s="1241"/>
      <c r="AZ176" s="1241"/>
      <c r="BA176" s="1241"/>
    </row>
    <row r="177" spans="3:53" ht="11.45" hidden="1" customHeight="1" outlineLevel="1">
      <c r="C177" s="352"/>
      <c r="H177" s="320"/>
      <c r="J177" s="1023"/>
      <c r="M177" s="1241"/>
      <c r="N177" s="1241"/>
      <c r="O177" s="1241"/>
      <c r="P177" s="1241"/>
      <c r="Q177" s="1241"/>
      <c r="R177" s="1241"/>
      <c r="S177" s="1241"/>
      <c r="T177" s="1241"/>
      <c r="U177" s="1241"/>
      <c r="V177" s="1241"/>
      <c r="W177" s="1241"/>
      <c r="X177" s="1241"/>
      <c r="Y177" s="1241"/>
      <c r="Z177" s="1241"/>
      <c r="AA177" s="1241"/>
      <c r="AB177" s="1241"/>
      <c r="AC177" s="1241"/>
      <c r="AD177" s="1241"/>
      <c r="AE177" s="1241"/>
      <c r="AF177" s="1241"/>
      <c r="AG177" s="1241"/>
      <c r="AH177" s="1241"/>
      <c r="AI177" s="1241"/>
      <c r="AJ177" s="1241"/>
      <c r="AK177" s="1241"/>
      <c r="AL177" s="1241"/>
      <c r="AM177" s="1241"/>
      <c r="AN177" s="1241"/>
      <c r="AO177" s="1241"/>
      <c r="AP177" s="1241"/>
      <c r="AQ177" s="1241"/>
      <c r="AR177" s="1241"/>
      <c r="AS177" s="1241"/>
      <c r="AT177" s="1241"/>
      <c r="AU177" s="1241"/>
      <c r="AV177" s="1241"/>
      <c r="AW177" s="1241"/>
      <c r="AX177" s="1241"/>
      <c r="AY177" s="1241"/>
      <c r="AZ177" s="1241"/>
      <c r="BA177" s="1241"/>
    </row>
    <row r="178" spans="3:53" ht="11.45" hidden="1" customHeight="1" outlineLevel="1">
      <c r="C178" s="352"/>
      <c r="H178" s="320"/>
      <c r="J178" s="1023"/>
      <c r="M178" s="1235"/>
      <c r="N178" s="1235"/>
      <c r="O178" s="1235"/>
      <c r="P178" s="1235"/>
      <c r="Q178" s="1235"/>
      <c r="R178" s="1235"/>
      <c r="S178" s="1235"/>
      <c r="T178" s="1235"/>
      <c r="U178" s="1235"/>
      <c r="V178" s="1235"/>
      <c r="W178" s="1235"/>
      <c r="X178" s="1235"/>
      <c r="Y178" s="1235"/>
      <c r="Z178" s="1235"/>
      <c r="AA178" s="1235"/>
      <c r="AB178" s="1235"/>
      <c r="AC178" s="1235"/>
      <c r="AD178" s="1235"/>
      <c r="AE178" s="1235"/>
      <c r="AF178" s="1235"/>
      <c r="AG178" s="1235"/>
      <c r="AH178" s="1235"/>
      <c r="AI178" s="1235"/>
      <c r="AJ178" s="1235"/>
      <c r="AK178" s="1235"/>
      <c r="AL178" s="1235"/>
      <c r="AM178" s="1235"/>
      <c r="AN178" s="1235"/>
      <c r="AO178" s="1235"/>
      <c r="AP178" s="1235"/>
      <c r="AQ178" s="1235"/>
      <c r="AR178" s="1235"/>
      <c r="AS178" s="1235"/>
      <c r="AT178" s="1235"/>
      <c r="AU178" s="1235"/>
      <c r="AV178" s="1235"/>
      <c r="AW178" s="1235"/>
      <c r="AX178" s="1235"/>
      <c r="AY178" s="1235"/>
      <c r="AZ178" s="1235"/>
      <c r="BA178" s="1235"/>
    </row>
    <row r="179" spans="3:53" ht="19.149999999999999" hidden="1" customHeight="1" outlineLevel="1">
      <c r="C179" s="352"/>
      <c r="H179" s="320"/>
      <c r="J179" s="1023"/>
      <c r="M179" s="1241">
        <f t="shared" ref="M179:AP179" si="57">M178*M168</f>
        <v>0</v>
      </c>
      <c r="N179" s="1241">
        <f t="shared" si="57"/>
        <v>0</v>
      </c>
      <c r="O179" s="1241">
        <f t="shared" si="57"/>
        <v>0</v>
      </c>
      <c r="P179" s="1241">
        <f t="shared" si="57"/>
        <v>0</v>
      </c>
      <c r="Q179" s="1241">
        <f t="shared" si="57"/>
        <v>0</v>
      </c>
      <c r="R179" s="1241">
        <f t="shared" si="57"/>
        <v>0</v>
      </c>
      <c r="S179" s="1241">
        <f t="shared" si="57"/>
        <v>0</v>
      </c>
      <c r="T179" s="1241">
        <f t="shared" si="57"/>
        <v>0</v>
      </c>
      <c r="U179" s="1241">
        <f t="shared" si="57"/>
        <v>0</v>
      </c>
      <c r="V179" s="1241">
        <f t="shared" si="57"/>
        <v>0</v>
      </c>
      <c r="W179" s="1241">
        <f t="shared" si="57"/>
        <v>0</v>
      </c>
      <c r="X179" s="1241">
        <f t="shared" si="57"/>
        <v>0</v>
      </c>
      <c r="Y179" s="1241">
        <f t="shared" si="57"/>
        <v>0</v>
      </c>
      <c r="Z179" s="1241">
        <f t="shared" si="57"/>
        <v>0</v>
      </c>
      <c r="AA179" s="1241">
        <f t="shared" si="57"/>
        <v>0</v>
      </c>
      <c r="AB179" s="1241">
        <f t="shared" si="57"/>
        <v>0</v>
      </c>
      <c r="AC179" s="1241">
        <f t="shared" si="57"/>
        <v>0</v>
      </c>
      <c r="AD179" s="1241">
        <f t="shared" si="57"/>
        <v>0</v>
      </c>
      <c r="AE179" s="1241">
        <f t="shared" si="57"/>
        <v>0</v>
      </c>
      <c r="AF179" s="1241">
        <f t="shared" si="57"/>
        <v>0</v>
      </c>
      <c r="AG179" s="1241">
        <f t="shared" si="57"/>
        <v>0</v>
      </c>
      <c r="AH179" s="1241">
        <f t="shared" si="57"/>
        <v>0</v>
      </c>
      <c r="AI179" s="1241">
        <f t="shared" si="57"/>
        <v>0</v>
      </c>
      <c r="AJ179" s="1241">
        <f t="shared" si="57"/>
        <v>0</v>
      </c>
      <c r="AK179" s="1241">
        <f t="shared" si="57"/>
        <v>0</v>
      </c>
      <c r="AL179" s="1241">
        <f t="shared" si="57"/>
        <v>0</v>
      </c>
      <c r="AM179" s="1241">
        <f t="shared" si="57"/>
        <v>0</v>
      </c>
      <c r="AN179" s="1241">
        <f t="shared" si="57"/>
        <v>0</v>
      </c>
      <c r="AO179" s="1241">
        <f t="shared" si="57"/>
        <v>0</v>
      </c>
      <c r="AP179" s="1241">
        <f t="shared" si="57"/>
        <v>0</v>
      </c>
      <c r="AQ179" s="1241"/>
      <c r="AR179" s="1241"/>
      <c r="AS179" s="1241"/>
      <c r="AT179" s="1241"/>
      <c r="AU179" s="1241"/>
      <c r="AV179" s="1241"/>
      <c r="AW179" s="1241"/>
      <c r="AX179" s="1241"/>
      <c r="AY179" s="1241"/>
      <c r="AZ179" s="1241"/>
      <c r="BA179" s="1241"/>
    </row>
    <row r="180" spans="3:53" hidden="1" outlineLevel="1">
      <c r="C180" s="352"/>
      <c r="H180" s="320"/>
      <c r="J180" s="1023"/>
      <c r="M180" s="1241"/>
      <c r="N180" s="1241"/>
      <c r="O180" s="1241"/>
      <c r="P180" s="1241"/>
      <c r="Q180" s="1241"/>
      <c r="R180" s="1241"/>
      <c r="S180" s="1241"/>
      <c r="T180" s="1241"/>
      <c r="U180" s="1241"/>
      <c r="V180" s="1241"/>
      <c r="W180" s="1241"/>
      <c r="X180" s="1241"/>
      <c r="Y180" s="1241"/>
      <c r="Z180" s="1241"/>
      <c r="AA180" s="1241"/>
      <c r="AB180" s="1241"/>
      <c r="AC180" s="1241"/>
      <c r="AD180" s="1241"/>
      <c r="AE180" s="1241"/>
      <c r="AF180" s="1241"/>
      <c r="AG180" s="1241"/>
      <c r="AH180" s="1241"/>
      <c r="AI180" s="1241"/>
      <c r="AJ180" s="1241"/>
      <c r="AK180" s="1241"/>
      <c r="AL180" s="1241"/>
      <c r="AM180" s="1241"/>
      <c r="AN180" s="1241"/>
      <c r="AO180" s="1241"/>
      <c r="AP180" s="1241"/>
      <c r="AQ180" s="1241"/>
      <c r="AR180" s="1241"/>
      <c r="AS180" s="1241"/>
      <c r="AT180" s="1241"/>
      <c r="AU180" s="1241"/>
      <c r="AV180" s="1241"/>
      <c r="AW180" s="1241"/>
      <c r="AX180" s="1241"/>
      <c r="AY180" s="1241"/>
      <c r="AZ180" s="1241"/>
      <c r="BA180" s="1241"/>
    </row>
    <row r="181" spans="3:53" hidden="1" outlineLevel="1">
      <c r="C181" s="320" t="s">
        <v>1420</v>
      </c>
      <c r="I181" s="323" t="s">
        <v>1421</v>
      </c>
      <c r="J181" s="477"/>
      <c r="M181" s="1241">
        <f>M172+M175+M179</f>
        <v>0</v>
      </c>
      <c r="N181" s="1241">
        <f t="shared" ref="N181:AP181" si="58">N172+N175+N179</f>
        <v>143005562.15436152</v>
      </c>
      <c r="O181" s="1241">
        <f t="shared" ca="1" si="58"/>
        <v>234795284.1684069</v>
      </c>
      <c r="P181" s="1241">
        <f t="shared" ca="1" si="58"/>
        <v>286981588.85393542</v>
      </c>
      <c r="Q181" s="1241">
        <f t="shared" ca="1" si="58"/>
        <v>306963718.28144705</v>
      </c>
      <c r="R181" s="1241">
        <f t="shared" ca="1" si="58"/>
        <v>316172629.82989055</v>
      </c>
      <c r="S181" s="1241">
        <f t="shared" ca="1" si="58"/>
        <v>325657808.72478724</v>
      </c>
      <c r="T181" s="1241">
        <f t="shared" ca="1" si="58"/>
        <v>335427542.98653084</v>
      </c>
      <c r="U181" s="1241">
        <f t="shared" ca="1" si="58"/>
        <v>345490369.2761268</v>
      </c>
      <c r="V181" s="1241">
        <f t="shared" ca="1" si="58"/>
        <v>355855080.35441065</v>
      </c>
      <c r="W181" s="1241">
        <f t="shared" ca="1" si="58"/>
        <v>366530732.7650429</v>
      </c>
      <c r="X181" s="1241">
        <f t="shared" ca="1" si="58"/>
        <v>377526654.74799418</v>
      </c>
      <c r="Y181" s="1241">
        <f t="shared" ca="1" si="58"/>
        <v>388852454.39043403</v>
      </c>
      <c r="Z181" s="1241">
        <f t="shared" ca="1" si="58"/>
        <v>400518028.02214718</v>
      </c>
      <c r="AA181" s="1241">
        <f t="shared" ca="1" si="58"/>
        <v>412533568.86281157</v>
      </c>
      <c r="AB181" s="1241">
        <f t="shared" ca="1" si="58"/>
        <v>424909575.92869592</v>
      </c>
      <c r="AC181" s="1241">
        <f t="shared" ca="1" si="58"/>
        <v>437656863.20655686</v>
      </c>
      <c r="AD181" s="1241">
        <f t="shared" ca="1" si="58"/>
        <v>447343720.64024103</v>
      </c>
      <c r="AE181" s="1241">
        <f t="shared" ca="1" si="58"/>
        <v>457317967.70551646</v>
      </c>
      <c r="AF181" s="1241">
        <f t="shared" ca="1" si="58"/>
        <v>467591442.18274987</v>
      </c>
      <c r="AG181" s="1241">
        <f t="shared" ca="1" si="58"/>
        <v>478173120.89430034</v>
      </c>
      <c r="AH181" s="1241">
        <f t="shared" ca="1" si="58"/>
        <v>489072249.96719742</v>
      </c>
      <c r="AI181" s="1241">
        <f t="shared" ca="1" si="58"/>
        <v>500298352.91228139</v>
      </c>
      <c r="AJ181" s="1241">
        <f t="shared" ca="1" si="58"/>
        <v>511861238.94571787</v>
      </c>
      <c r="AK181" s="1241">
        <f t="shared" ca="1" si="58"/>
        <v>523771011.56015742</v>
      </c>
      <c r="AL181" s="1241">
        <f t="shared" ca="1" si="58"/>
        <v>536038077.35303009</v>
      </c>
      <c r="AM181" s="1241">
        <f t="shared" ca="1" si="58"/>
        <v>548673155.11968911</v>
      </c>
      <c r="AN181" s="1241">
        <f t="shared" ca="1" si="58"/>
        <v>561687285.21934772</v>
      </c>
      <c r="AO181" s="1241">
        <f t="shared" ca="1" si="58"/>
        <v>575091839.22199607</v>
      </c>
      <c r="AP181" s="1241">
        <f t="shared" ca="1" si="58"/>
        <v>588898529.84472406</v>
      </c>
      <c r="AQ181" s="1241"/>
      <c r="AR181" s="1241"/>
      <c r="AS181" s="1241"/>
      <c r="AT181" s="1241"/>
      <c r="AU181" s="1241"/>
      <c r="AV181" s="1241"/>
      <c r="AW181" s="1241"/>
      <c r="AX181" s="1241"/>
      <c r="AY181" s="1241"/>
      <c r="AZ181" s="1241"/>
      <c r="BA181" s="1241"/>
    </row>
    <row r="182" spans="3:53" hidden="1" outlineLevel="1">
      <c r="J182" s="477"/>
      <c r="M182" s="1241"/>
      <c r="N182" s="1241"/>
      <c r="O182" s="1241"/>
      <c r="P182" s="1241"/>
      <c r="Q182" s="1241"/>
      <c r="R182" s="1241"/>
      <c r="S182" s="1241"/>
      <c r="T182" s="1241"/>
      <c r="U182" s="1241"/>
      <c r="V182" s="1241"/>
      <c r="W182" s="1241"/>
      <c r="X182" s="1241"/>
      <c r="Y182" s="1241"/>
      <c r="Z182" s="1241"/>
      <c r="AA182" s="1241"/>
      <c r="AB182" s="1241"/>
      <c r="AC182" s="1241"/>
      <c r="AD182" s="1241"/>
      <c r="AE182" s="1241"/>
      <c r="AF182" s="1241"/>
      <c r="AG182" s="1241"/>
      <c r="AH182" s="1241"/>
      <c r="AI182" s="1241"/>
      <c r="AJ182" s="1241"/>
      <c r="AK182" s="1241"/>
      <c r="AL182" s="1241"/>
      <c r="AM182" s="1241"/>
      <c r="AN182" s="1241"/>
      <c r="AO182" s="1241"/>
      <c r="AP182" s="1241"/>
      <c r="AQ182" s="1241"/>
      <c r="AR182" s="1241"/>
      <c r="AS182" s="1241"/>
      <c r="AT182" s="1241"/>
      <c r="AU182" s="1241"/>
      <c r="AV182" s="1241"/>
      <c r="AW182" s="1241"/>
      <c r="AX182" s="1241"/>
      <c r="AY182" s="1241"/>
      <c r="AZ182" s="1241"/>
      <c r="BA182" s="1241"/>
    </row>
    <row r="183" spans="3:53" ht="13.5" hidden="1" outlineLevel="1">
      <c r="C183" s="320" t="s">
        <v>1439</v>
      </c>
      <c r="I183" s="323" t="s">
        <v>2076</v>
      </c>
      <c r="J183" s="1023">
        <f>IF(J102=1,'Capex Phasing Urea'!E127,IF('Assumption '!J102=2,'Capex Phasing Urea'!E128,IF('Assumption '!J102=3,'Capex Phasing Urea'!E129,IF('Assumption '!J102=4,'Capex Phasing Urea'!#REF!,IF('Assumption '!J102=5,'Capex Phasing Urea'!#REF!,0)))))</f>
        <v>4.6535571743951625</v>
      </c>
      <c r="M183" s="1254">
        <f ca="1">$J$183*'Timing &amp; Flags'!I54</f>
        <v>4.6535571743951625</v>
      </c>
      <c r="N183" s="1254">
        <f ca="1">$J$183*'Timing &amp; Flags'!J54</f>
        <v>4.6408425373066509</v>
      </c>
      <c r="O183" s="1254">
        <f ca="1">$J$183*'Timing &amp; Flags'!K54</f>
        <v>4.6663066461058342</v>
      </c>
      <c r="P183" s="1254">
        <f ca="1">O183</f>
        <v>4.6663066461058342</v>
      </c>
      <c r="Q183" s="1254">
        <f>$J$183*'Timing &amp; Flags'!M54</f>
        <v>0</v>
      </c>
      <c r="R183" s="1254">
        <f>$J$183*'Timing &amp; Flags'!N54</f>
        <v>0</v>
      </c>
      <c r="S183" s="1254">
        <f>$J$183*'Timing &amp; Flags'!O54</f>
        <v>0</v>
      </c>
      <c r="T183" s="1254">
        <f>$J$183*'Timing &amp; Flags'!P54</f>
        <v>0</v>
      </c>
      <c r="U183" s="1254">
        <f>$J$183*'Timing &amp; Flags'!Q54</f>
        <v>0</v>
      </c>
      <c r="V183" s="1254">
        <f>$J$183*'Timing &amp; Flags'!R54</f>
        <v>0</v>
      </c>
      <c r="W183" s="1254">
        <f>$J$183*'Timing &amp; Flags'!S54</f>
        <v>0</v>
      </c>
      <c r="X183" s="1254">
        <f>$J$183*'Timing &amp; Flags'!T54</f>
        <v>0</v>
      </c>
      <c r="Y183" s="1254">
        <f>$J$183*'Timing &amp; Flags'!U54</f>
        <v>0</v>
      </c>
      <c r="Z183" s="1254">
        <f>$J$183*'Timing &amp; Flags'!V54</f>
        <v>0</v>
      </c>
      <c r="AA183" s="1254">
        <f>$J$183*'Timing &amp; Flags'!W54</f>
        <v>0</v>
      </c>
      <c r="AB183" s="1254">
        <f>$J$183*'Timing &amp; Flags'!X54</f>
        <v>0</v>
      </c>
      <c r="AC183" s="1254">
        <f>$J$183*'Timing &amp; Flags'!Y54</f>
        <v>0</v>
      </c>
      <c r="AD183" s="1254">
        <f>$J$183*'Timing &amp; Flags'!Z54</f>
        <v>0</v>
      </c>
      <c r="AE183" s="1254">
        <f>$J$183*'Timing &amp; Flags'!AA54</f>
        <v>0</v>
      </c>
      <c r="AF183" s="1254">
        <f>$J$183*'Timing &amp; Flags'!AB54</f>
        <v>0</v>
      </c>
      <c r="AG183" s="1254">
        <f>$J$183*'Timing &amp; Flags'!AC54</f>
        <v>0</v>
      </c>
      <c r="AH183" s="1254">
        <f>$J$183*'Timing &amp; Flags'!AD54</f>
        <v>0</v>
      </c>
      <c r="AI183" s="1254">
        <f>$J$183*'Timing &amp; Flags'!AE54</f>
        <v>0</v>
      </c>
      <c r="AJ183" s="1254">
        <f>$J$183*'Timing &amp; Flags'!AF54</f>
        <v>0</v>
      </c>
      <c r="AK183" s="1254">
        <f>$J$183*'Timing &amp; Flags'!AG54</f>
        <v>0</v>
      </c>
      <c r="AL183" s="1254">
        <f>$J$183*'Timing &amp; Flags'!AH54</f>
        <v>0</v>
      </c>
      <c r="AM183" s="1254">
        <f>$J$183*'Timing &amp; Flags'!AI54</f>
        <v>0</v>
      </c>
      <c r="AN183" s="1254">
        <f>$J$183*'Timing &amp; Flags'!AJ54</f>
        <v>0</v>
      </c>
      <c r="AO183" s="1254">
        <f>$J$183*'Timing &amp; Flags'!AK54</f>
        <v>0</v>
      </c>
      <c r="AP183" s="1254">
        <f>$J$183*'Timing &amp; Flags'!AL54</f>
        <v>0</v>
      </c>
      <c r="AQ183" s="1254"/>
      <c r="AR183" s="1254"/>
      <c r="AS183" s="1254"/>
      <c r="AT183" s="1254"/>
      <c r="AU183" s="1254"/>
      <c r="AV183" s="1254"/>
      <c r="AW183" s="1254"/>
      <c r="AX183" s="1254"/>
      <c r="AY183" s="1254"/>
      <c r="AZ183" s="1254"/>
      <c r="BA183" s="1254"/>
    </row>
    <row r="184" spans="3:53" s="354" customFormat="1" ht="13.5" hidden="1" outlineLevel="1">
      <c r="C184" s="354" t="s">
        <v>1435</v>
      </c>
      <c r="H184" s="1032"/>
      <c r="I184" s="323" t="s">
        <v>2076</v>
      </c>
      <c r="J184" s="1023">
        <f>IF(J102=1,'Capex Phasing Urea'!F127,IF('Assumption '!J102=2,'Capex Phasing Urea'!F128,IF('Assumption '!J102=3,'Capex Phasing Urea'!F129,IF('Assumption '!J102=4,'Capex Phasing Urea'!#REF!,IF('Assumption '!J102=5,'Capex Phasing Urea'!#REF!,0)))))</f>
        <v>0.59643757560483868</v>
      </c>
      <c r="M184" s="1254">
        <f>$J$184</f>
        <v>0.59643757560483868</v>
      </c>
      <c r="N184" s="1254">
        <f t="shared" ref="N184:AP184" si="59">$J$184</f>
        <v>0.59643757560483868</v>
      </c>
      <c r="O184" s="1254">
        <f t="shared" si="59"/>
        <v>0.59643757560483868</v>
      </c>
      <c r="P184" s="1254">
        <f t="shared" si="59"/>
        <v>0.59643757560483868</v>
      </c>
      <c r="Q184" s="1254">
        <f t="shared" si="59"/>
        <v>0.59643757560483868</v>
      </c>
      <c r="R184" s="1254">
        <f t="shared" si="59"/>
        <v>0.59643757560483868</v>
      </c>
      <c r="S184" s="1254">
        <f t="shared" si="59"/>
        <v>0.59643757560483868</v>
      </c>
      <c r="T184" s="1254">
        <f t="shared" si="59"/>
        <v>0.59643757560483868</v>
      </c>
      <c r="U184" s="1254">
        <f t="shared" si="59"/>
        <v>0.59643757560483868</v>
      </c>
      <c r="V184" s="1254">
        <f t="shared" si="59"/>
        <v>0.59643757560483868</v>
      </c>
      <c r="W184" s="1254">
        <f t="shared" si="59"/>
        <v>0.59643757560483868</v>
      </c>
      <c r="X184" s="1254">
        <f t="shared" si="59"/>
        <v>0.59643757560483868</v>
      </c>
      <c r="Y184" s="1254">
        <f t="shared" si="59"/>
        <v>0.59643757560483868</v>
      </c>
      <c r="Z184" s="1254">
        <f t="shared" si="59"/>
        <v>0.59643757560483868</v>
      </c>
      <c r="AA184" s="1254">
        <f t="shared" si="59"/>
        <v>0.59643757560483868</v>
      </c>
      <c r="AB184" s="1254">
        <f t="shared" si="59"/>
        <v>0.59643757560483868</v>
      </c>
      <c r="AC184" s="1254">
        <f t="shared" si="59"/>
        <v>0.59643757560483868</v>
      </c>
      <c r="AD184" s="1254">
        <f t="shared" si="59"/>
        <v>0.59643757560483868</v>
      </c>
      <c r="AE184" s="1254">
        <f t="shared" si="59"/>
        <v>0.59643757560483868</v>
      </c>
      <c r="AF184" s="1254">
        <f t="shared" si="59"/>
        <v>0.59643757560483868</v>
      </c>
      <c r="AG184" s="1254">
        <f t="shared" si="59"/>
        <v>0.59643757560483868</v>
      </c>
      <c r="AH184" s="1254">
        <f t="shared" si="59"/>
        <v>0.59643757560483868</v>
      </c>
      <c r="AI184" s="1254">
        <f t="shared" si="59"/>
        <v>0.59643757560483868</v>
      </c>
      <c r="AJ184" s="1254">
        <f t="shared" si="59"/>
        <v>0.59643757560483868</v>
      </c>
      <c r="AK184" s="1254">
        <f t="shared" si="59"/>
        <v>0.59643757560483868</v>
      </c>
      <c r="AL184" s="1254">
        <f t="shared" si="59"/>
        <v>0.59643757560483868</v>
      </c>
      <c r="AM184" s="1254">
        <f t="shared" si="59"/>
        <v>0.59643757560483868</v>
      </c>
      <c r="AN184" s="1254">
        <f t="shared" si="59"/>
        <v>0.59643757560483868</v>
      </c>
      <c r="AO184" s="1254">
        <f t="shared" si="59"/>
        <v>0.59643757560483868</v>
      </c>
      <c r="AP184" s="1254">
        <f t="shared" si="59"/>
        <v>0.59643757560483868</v>
      </c>
      <c r="AQ184" s="1254"/>
      <c r="AR184" s="1254"/>
      <c r="AS184" s="1254"/>
      <c r="AT184" s="1254"/>
      <c r="AU184" s="1254"/>
      <c r="AV184" s="1254"/>
      <c r="AW184" s="1254"/>
      <c r="AX184" s="1254"/>
      <c r="AY184" s="1254"/>
      <c r="AZ184" s="1254"/>
      <c r="BA184" s="1254"/>
    </row>
    <row r="185" spans="3:53" s="354" customFormat="1" hidden="1" outlineLevel="1">
      <c r="H185" s="1032"/>
      <c r="I185" s="1033"/>
      <c r="J185" s="1295"/>
      <c r="K185" s="354" t="s">
        <v>1073</v>
      </c>
      <c r="M185" s="1254">
        <f ca="1">SUM(M183:M184)</f>
        <v>5.2499947500000008</v>
      </c>
      <c r="N185" s="1254">
        <f t="shared" ref="N185:V185" ca="1" si="60">SUM(N183:N184)</f>
        <v>5.2372801129114892</v>
      </c>
      <c r="O185" s="1254">
        <f t="shared" ca="1" si="60"/>
        <v>5.2627442217106726</v>
      </c>
      <c r="P185" s="1254">
        <f t="shared" ca="1" si="60"/>
        <v>5.2627442217106726</v>
      </c>
      <c r="Q185" s="1254">
        <f t="shared" si="60"/>
        <v>0.59643757560483868</v>
      </c>
      <c r="R185" s="1254">
        <f t="shared" si="60"/>
        <v>0.59643757560483868</v>
      </c>
      <c r="S185" s="1254">
        <f t="shared" si="60"/>
        <v>0.59643757560483868</v>
      </c>
      <c r="T185" s="1254">
        <f t="shared" si="60"/>
        <v>0.59643757560483868</v>
      </c>
      <c r="U185" s="1254">
        <f t="shared" si="60"/>
        <v>0.59643757560483868</v>
      </c>
      <c r="V185" s="1254">
        <f t="shared" si="60"/>
        <v>0.59643757560483868</v>
      </c>
      <c r="W185" s="1254">
        <f t="shared" ref="W185:AP185" si="61">SUM(W183:W184)</f>
        <v>0.59643757560483868</v>
      </c>
      <c r="X185" s="1254">
        <f t="shared" si="61"/>
        <v>0.59643757560483868</v>
      </c>
      <c r="Y185" s="1254">
        <f t="shared" si="61"/>
        <v>0.59643757560483868</v>
      </c>
      <c r="Z185" s="1254">
        <f t="shared" si="61"/>
        <v>0.59643757560483868</v>
      </c>
      <c r="AA185" s="1254">
        <f t="shared" si="61"/>
        <v>0.59643757560483868</v>
      </c>
      <c r="AB185" s="1254">
        <f t="shared" si="61"/>
        <v>0.59643757560483868</v>
      </c>
      <c r="AC185" s="1254">
        <f t="shared" si="61"/>
        <v>0.59643757560483868</v>
      </c>
      <c r="AD185" s="1254">
        <f t="shared" si="61"/>
        <v>0.59643757560483868</v>
      </c>
      <c r="AE185" s="1254">
        <f t="shared" si="61"/>
        <v>0.59643757560483868</v>
      </c>
      <c r="AF185" s="1254">
        <f t="shared" si="61"/>
        <v>0.59643757560483868</v>
      </c>
      <c r="AG185" s="1254">
        <f t="shared" si="61"/>
        <v>0.59643757560483868</v>
      </c>
      <c r="AH185" s="1254">
        <f t="shared" si="61"/>
        <v>0.59643757560483868</v>
      </c>
      <c r="AI185" s="1254">
        <f t="shared" si="61"/>
        <v>0.59643757560483868</v>
      </c>
      <c r="AJ185" s="1254">
        <f t="shared" si="61"/>
        <v>0.59643757560483868</v>
      </c>
      <c r="AK185" s="1254">
        <f t="shared" si="61"/>
        <v>0.59643757560483868</v>
      </c>
      <c r="AL185" s="1254">
        <f t="shared" si="61"/>
        <v>0.59643757560483868</v>
      </c>
      <c r="AM185" s="1254">
        <f t="shared" si="61"/>
        <v>0.59643757560483868</v>
      </c>
      <c r="AN185" s="1254">
        <f t="shared" si="61"/>
        <v>0.59643757560483868</v>
      </c>
      <c r="AO185" s="1254">
        <f t="shared" si="61"/>
        <v>0.59643757560483868</v>
      </c>
      <c r="AP185" s="1254">
        <f t="shared" si="61"/>
        <v>0.59643757560483868</v>
      </c>
      <c r="AQ185" s="1254"/>
      <c r="AR185" s="1254"/>
      <c r="AS185" s="1254"/>
      <c r="AT185" s="1254"/>
      <c r="AU185" s="1254"/>
      <c r="AV185" s="1254"/>
      <c r="AW185" s="1254"/>
      <c r="AX185" s="1254"/>
      <c r="AY185" s="1254"/>
      <c r="AZ185" s="1254"/>
      <c r="BA185" s="1254"/>
    </row>
    <row r="186" spans="3:53" s="354" customFormat="1" ht="13.5" hidden="1" outlineLevel="1">
      <c r="C186" s="1315" t="s">
        <v>1458</v>
      </c>
      <c r="H186" s="1032"/>
      <c r="I186" s="1033"/>
      <c r="J186" s="1295"/>
      <c r="M186" s="1254"/>
      <c r="N186" s="1254"/>
      <c r="O186" s="1254"/>
      <c r="P186" s="1254"/>
      <c r="Q186" s="1254"/>
      <c r="R186" s="1254"/>
      <c r="S186" s="1254"/>
      <c r="T186" s="1254"/>
      <c r="U186" s="1254"/>
      <c r="V186" s="1254"/>
      <c r="W186" s="1254"/>
      <c r="X186" s="1254"/>
      <c r="Y186" s="1254"/>
      <c r="Z186" s="1254"/>
      <c r="AA186" s="1254"/>
      <c r="AB186" s="1254"/>
      <c r="AC186" s="1254"/>
      <c r="AD186" s="1254"/>
      <c r="AE186" s="1254"/>
      <c r="AF186" s="1254"/>
      <c r="AG186" s="1254"/>
      <c r="AH186" s="1254"/>
      <c r="AI186" s="1254"/>
      <c r="AJ186" s="1254"/>
      <c r="AK186" s="1254"/>
      <c r="AL186" s="1254"/>
      <c r="AM186" s="1254"/>
      <c r="AN186" s="1254"/>
      <c r="AO186" s="1254"/>
      <c r="AP186" s="1254"/>
      <c r="AQ186" s="1254"/>
      <c r="AR186" s="1254"/>
      <c r="AS186" s="1254"/>
      <c r="AT186" s="1254"/>
      <c r="AU186" s="1254"/>
      <c r="AV186" s="1254"/>
      <c r="AW186" s="1254"/>
      <c r="AX186" s="1254"/>
      <c r="AY186" s="1254"/>
      <c r="AZ186" s="1254"/>
      <c r="BA186" s="1254"/>
    </row>
    <row r="187" spans="3:53" s="354" customFormat="1" hidden="1" outlineLevel="1">
      <c r="C187" s="354" t="s">
        <v>1446</v>
      </c>
      <c r="H187" s="1032"/>
      <c r="I187" s="1033" t="s">
        <v>1421</v>
      </c>
      <c r="J187" s="1295"/>
      <c r="M187" s="1254">
        <f ca="1">((M183*M145)/M19)*'Timing &amp; Flags'!I37</f>
        <v>0</v>
      </c>
      <c r="N187" s="1254">
        <f ca="1">((N183*N145)/N19)*'Timing &amp; Flags'!J37</f>
        <v>12891.229270296253</v>
      </c>
      <c r="O187" s="1241">
        <f ca="1">((O183*O145)/O19)*'Timing &amp; Flags'!K37</f>
        <v>26030.329984806802</v>
      </c>
      <c r="P187" s="1254">
        <f ca="1">((P183*P145)/P19)*'Timing &amp; Flags'!L37</f>
        <v>0</v>
      </c>
      <c r="Q187" s="1254">
        <f ca="1">((Q183*Q145)/Q19)*'Timing &amp; Flags'!M37</f>
        <v>0</v>
      </c>
      <c r="R187" s="1254">
        <f ca="1">((R183*R145)/R19)*'Timing &amp; Flags'!N37</f>
        <v>0</v>
      </c>
      <c r="S187" s="1254">
        <f ca="1">((S183*S145)/S19)*'Timing &amp; Flags'!O37</f>
        <v>0</v>
      </c>
      <c r="T187" s="1254">
        <f ca="1">((T183*T145)/T19)*'Timing &amp; Flags'!P37</f>
        <v>0</v>
      </c>
      <c r="U187" s="1254">
        <f ca="1">((U183*U145)/U19)*'Timing &amp; Flags'!Q37</f>
        <v>0</v>
      </c>
      <c r="V187" s="1254">
        <f ca="1">((V183*V145)/V19)*'Timing &amp; Flags'!R37</f>
        <v>0</v>
      </c>
      <c r="W187" s="1254">
        <f ca="1">((W183*W145)/W19)*'Timing &amp; Flags'!S37</f>
        <v>0</v>
      </c>
      <c r="X187" s="1254">
        <f ca="1">((X183*X145)/X19)*'Timing &amp; Flags'!T37</f>
        <v>0</v>
      </c>
      <c r="Y187" s="1254">
        <f ca="1">((Y183*Y145)/Y19)*'Timing &amp; Flags'!U37</f>
        <v>0</v>
      </c>
      <c r="Z187" s="1254">
        <f ca="1">((Z183*Z145)/Z19)*'Timing &amp; Flags'!V37</f>
        <v>0</v>
      </c>
      <c r="AA187" s="1254">
        <f ca="1">((AA183*AA145)/AA19)*'Timing &amp; Flags'!W37</f>
        <v>0</v>
      </c>
      <c r="AB187" s="1254">
        <f ca="1">((AB183*AB145)/AB19)*'Timing &amp; Flags'!X37</f>
        <v>0</v>
      </c>
      <c r="AC187" s="1254">
        <f ca="1">((AC183*AC145)/AC19)*'Timing &amp; Flags'!Y37</f>
        <v>0</v>
      </c>
      <c r="AD187" s="1254">
        <f ca="1">((AD183*AD145)/AD19)*'Timing &amp; Flags'!Z37</f>
        <v>0</v>
      </c>
      <c r="AE187" s="1254">
        <f ca="1">((AE183*AE145)/AE19)*'Timing &amp; Flags'!AA37</f>
        <v>0</v>
      </c>
      <c r="AF187" s="1254">
        <f ca="1">((AF183*AF145)/AF19)*'Timing &amp; Flags'!AB37</f>
        <v>0</v>
      </c>
      <c r="AG187" s="1254">
        <f ca="1">((AG183*AG145)/AG19)*'Timing &amp; Flags'!AC37</f>
        <v>0</v>
      </c>
      <c r="AH187" s="1254">
        <f ca="1">((AH183*AH145)/AH19)*'Timing &amp; Flags'!AD37</f>
        <v>0</v>
      </c>
      <c r="AI187" s="1254">
        <f ca="1">((AI183*AI145)/AI19)*'Timing &amp; Flags'!AE37</f>
        <v>0</v>
      </c>
      <c r="AJ187" s="1254">
        <f ca="1">((AJ183*AJ145)/AJ19)*'Timing &amp; Flags'!AF37</f>
        <v>0</v>
      </c>
      <c r="AK187" s="1254">
        <f ca="1">((AK183*AK145)/AK19)*'Timing &amp; Flags'!AG37</f>
        <v>0</v>
      </c>
      <c r="AL187" s="1254">
        <f ca="1">((AL183*AL145)/AL19)*'Timing &amp; Flags'!AH37</f>
        <v>0</v>
      </c>
      <c r="AM187" s="1254">
        <f ca="1">((AM183*AM145)/AM19)*'Timing &amp; Flags'!AI37</f>
        <v>0</v>
      </c>
      <c r="AN187" s="1254">
        <f ca="1">((AN183*AN145)/AN19)*'Timing &amp; Flags'!AJ37</f>
        <v>0</v>
      </c>
      <c r="AO187" s="1254">
        <f ca="1">((AO183*AO145)/AO19)*'Timing &amp; Flags'!AK37</f>
        <v>0</v>
      </c>
      <c r="AP187" s="1254">
        <f ca="1">((AP183*AP145)/AP19)*'Timing &amp; Flags'!AL37</f>
        <v>0</v>
      </c>
      <c r="AQ187" s="1254"/>
      <c r="AR187" s="1254"/>
      <c r="AS187" s="1254"/>
      <c r="AT187" s="1254"/>
      <c r="AU187" s="1254"/>
      <c r="AV187" s="1254"/>
      <c r="AW187" s="1254"/>
      <c r="AX187" s="1254"/>
      <c r="AY187" s="1254"/>
      <c r="AZ187" s="1254"/>
      <c r="BA187" s="1254"/>
    </row>
    <row r="188" spans="3:53" s="354" customFormat="1" hidden="1" outlineLevel="1">
      <c r="C188" s="354" t="s">
        <v>1447</v>
      </c>
      <c r="H188" s="1032"/>
      <c r="I188" s="1033" t="s">
        <v>1421</v>
      </c>
      <c r="J188" s="1295"/>
      <c r="M188" s="1254">
        <f>M184*M145</f>
        <v>0</v>
      </c>
      <c r="N188" s="1254">
        <f>N184*N145</f>
        <v>581526.63621471776</v>
      </c>
      <c r="O188" s="1241">
        <f ca="1">O184*O145</f>
        <v>1114592.7194115422</v>
      </c>
      <c r="P188" s="1241">
        <f t="shared" ref="P188:AP188" ca="1" si="62">P184*P145</f>
        <v>1334529.0754158266</v>
      </c>
      <c r="Q188" s="1241">
        <f t="shared" ca="1" si="62"/>
        <v>1416539.2420614918</v>
      </c>
      <c r="R188" s="1241">
        <f t="shared" ca="1" si="62"/>
        <v>1416539.2420614918</v>
      </c>
      <c r="S188" s="1241">
        <f t="shared" ca="1" si="62"/>
        <v>1416539.2420614918</v>
      </c>
      <c r="T188" s="1241">
        <f t="shared" ca="1" si="62"/>
        <v>1416539.2420614918</v>
      </c>
      <c r="U188" s="1241">
        <f t="shared" ca="1" si="62"/>
        <v>1416539.2420614918</v>
      </c>
      <c r="V188" s="1241">
        <f t="shared" ca="1" si="62"/>
        <v>1416539.2420614918</v>
      </c>
      <c r="W188" s="1241">
        <f t="shared" ca="1" si="62"/>
        <v>1416539.2420614918</v>
      </c>
      <c r="X188" s="1241">
        <f t="shared" ca="1" si="62"/>
        <v>1416539.2420614918</v>
      </c>
      <c r="Y188" s="1241">
        <f t="shared" ca="1" si="62"/>
        <v>1416539.2420614918</v>
      </c>
      <c r="Z188" s="1241">
        <f t="shared" ca="1" si="62"/>
        <v>1416539.2420614918</v>
      </c>
      <c r="AA188" s="1241">
        <f t="shared" ca="1" si="62"/>
        <v>1416539.2420614918</v>
      </c>
      <c r="AB188" s="1241">
        <f t="shared" ca="1" si="62"/>
        <v>1416539.2420614918</v>
      </c>
      <c r="AC188" s="1241">
        <f t="shared" ca="1" si="62"/>
        <v>1416539.2420614918</v>
      </c>
      <c r="AD188" s="1241">
        <f t="shared" ca="1" si="62"/>
        <v>1416539.2420614918</v>
      </c>
      <c r="AE188" s="1241">
        <f t="shared" ca="1" si="62"/>
        <v>1416539.2420614918</v>
      </c>
      <c r="AF188" s="1241">
        <f t="shared" ca="1" si="62"/>
        <v>1416539.2420614918</v>
      </c>
      <c r="AG188" s="1241">
        <f t="shared" ca="1" si="62"/>
        <v>1416539.2420614918</v>
      </c>
      <c r="AH188" s="1241">
        <f t="shared" ca="1" si="62"/>
        <v>1416539.2420614918</v>
      </c>
      <c r="AI188" s="1241">
        <f t="shared" ca="1" si="62"/>
        <v>1416539.2420614918</v>
      </c>
      <c r="AJ188" s="1241">
        <f t="shared" ca="1" si="62"/>
        <v>1416539.2420614918</v>
      </c>
      <c r="AK188" s="1241">
        <f t="shared" ca="1" si="62"/>
        <v>1416539.2420614918</v>
      </c>
      <c r="AL188" s="1241">
        <f t="shared" ca="1" si="62"/>
        <v>1416539.2420614918</v>
      </c>
      <c r="AM188" s="1241">
        <f t="shared" ca="1" si="62"/>
        <v>1416539.2420614918</v>
      </c>
      <c r="AN188" s="1241">
        <f t="shared" ca="1" si="62"/>
        <v>1416539.2420614918</v>
      </c>
      <c r="AO188" s="1241">
        <f t="shared" ca="1" si="62"/>
        <v>1416539.2420614918</v>
      </c>
      <c r="AP188" s="1241">
        <f t="shared" ca="1" si="62"/>
        <v>1416539.2420614918</v>
      </c>
      <c r="AQ188" s="1241"/>
      <c r="AR188" s="1241"/>
      <c r="AS188" s="1241"/>
      <c r="AT188" s="1241"/>
      <c r="AU188" s="1241"/>
      <c r="AV188" s="1241"/>
      <c r="AW188" s="1241"/>
      <c r="AX188" s="1241"/>
      <c r="AY188" s="1241"/>
      <c r="AZ188" s="1241"/>
      <c r="BA188" s="1241"/>
    </row>
    <row r="189" spans="3:53" s="354" customFormat="1" hidden="1" outlineLevel="1">
      <c r="C189" s="1223" t="s">
        <v>1441</v>
      </c>
      <c r="H189" s="1032"/>
      <c r="I189" s="1033" t="s">
        <v>1421</v>
      </c>
      <c r="J189" s="1295"/>
      <c r="M189" s="1254">
        <f ca="1">SUM(M187:M188)</f>
        <v>0</v>
      </c>
      <c r="N189" s="1254">
        <f t="shared" ref="N189:AP189" ca="1" si="63">SUM(N187:N188)</f>
        <v>594417.86548501404</v>
      </c>
      <c r="O189" s="1241">
        <f ca="1">SUM(O187:O188)</f>
        <v>1140623.0493963489</v>
      </c>
      <c r="P189" s="343">
        <f t="shared" ca="1" si="63"/>
        <v>1334529.0754158266</v>
      </c>
      <c r="Q189" s="343">
        <f t="shared" ca="1" si="63"/>
        <v>1416539.2420614918</v>
      </c>
      <c r="R189" s="343">
        <f t="shared" ca="1" si="63"/>
        <v>1416539.2420614918</v>
      </c>
      <c r="S189" s="343">
        <f t="shared" ca="1" si="63"/>
        <v>1416539.2420614918</v>
      </c>
      <c r="T189" s="343">
        <f t="shared" ca="1" si="63"/>
        <v>1416539.2420614918</v>
      </c>
      <c r="U189" s="343">
        <f t="shared" ca="1" si="63"/>
        <v>1416539.2420614918</v>
      </c>
      <c r="V189" s="343">
        <f t="shared" ca="1" si="63"/>
        <v>1416539.2420614918</v>
      </c>
      <c r="W189" s="343">
        <f t="shared" ca="1" si="63"/>
        <v>1416539.2420614918</v>
      </c>
      <c r="X189" s="343">
        <f t="shared" ca="1" si="63"/>
        <v>1416539.2420614918</v>
      </c>
      <c r="Y189" s="343">
        <f t="shared" ca="1" si="63"/>
        <v>1416539.2420614918</v>
      </c>
      <c r="Z189" s="343">
        <f t="shared" ca="1" si="63"/>
        <v>1416539.2420614918</v>
      </c>
      <c r="AA189" s="343">
        <f t="shared" ca="1" si="63"/>
        <v>1416539.2420614918</v>
      </c>
      <c r="AB189" s="343">
        <f t="shared" ca="1" si="63"/>
        <v>1416539.2420614918</v>
      </c>
      <c r="AC189" s="343">
        <f t="shared" ca="1" si="63"/>
        <v>1416539.2420614918</v>
      </c>
      <c r="AD189" s="343">
        <f t="shared" ca="1" si="63"/>
        <v>1416539.2420614918</v>
      </c>
      <c r="AE189" s="343">
        <f t="shared" ca="1" si="63"/>
        <v>1416539.2420614918</v>
      </c>
      <c r="AF189" s="343">
        <f t="shared" ca="1" si="63"/>
        <v>1416539.2420614918</v>
      </c>
      <c r="AG189" s="343">
        <f t="shared" ca="1" si="63"/>
        <v>1416539.2420614918</v>
      </c>
      <c r="AH189" s="343">
        <f t="shared" ca="1" si="63"/>
        <v>1416539.2420614918</v>
      </c>
      <c r="AI189" s="343">
        <f t="shared" ca="1" si="63"/>
        <v>1416539.2420614918</v>
      </c>
      <c r="AJ189" s="343">
        <f t="shared" ca="1" si="63"/>
        <v>1416539.2420614918</v>
      </c>
      <c r="AK189" s="343">
        <f t="shared" ca="1" si="63"/>
        <v>1416539.2420614918</v>
      </c>
      <c r="AL189" s="343">
        <f t="shared" ca="1" si="63"/>
        <v>1416539.2420614918</v>
      </c>
      <c r="AM189" s="343">
        <f t="shared" ca="1" si="63"/>
        <v>1416539.2420614918</v>
      </c>
      <c r="AN189" s="343">
        <f t="shared" ca="1" si="63"/>
        <v>1416539.2420614918</v>
      </c>
      <c r="AO189" s="343">
        <f t="shared" ca="1" si="63"/>
        <v>1416539.2420614918</v>
      </c>
      <c r="AP189" s="343">
        <f t="shared" ca="1" si="63"/>
        <v>1416539.2420614918</v>
      </c>
      <c r="AQ189" s="343"/>
      <c r="AR189" s="343"/>
      <c r="AS189" s="343"/>
      <c r="AT189" s="343"/>
      <c r="AU189" s="343"/>
      <c r="AV189" s="343"/>
      <c r="AW189" s="343"/>
      <c r="AX189" s="343"/>
      <c r="AY189" s="343"/>
      <c r="AZ189" s="343"/>
      <c r="BA189" s="343"/>
    </row>
    <row r="190" spans="3:53" s="354" customFormat="1" hidden="1" outlineLevel="1">
      <c r="H190" s="1032"/>
      <c r="I190" s="1033"/>
      <c r="J190" s="1295"/>
      <c r="M190" s="1254"/>
      <c r="N190" s="1254"/>
      <c r="O190" s="1254"/>
      <c r="P190" s="1254"/>
      <c r="Q190" s="1254"/>
      <c r="R190" s="1254"/>
      <c r="S190" s="1254"/>
      <c r="T190" s="1254"/>
      <c r="U190" s="1254"/>
      <c r="V190" s="1254"/>
      <c r="W190" s="1254"/>
      <c r="X190" s="1254"/>
      <c r="Y190" s="1254"/>
      <c r="Z190" s="1254"/>
      <c r="AA190" s="1254"/>
      <c r="AB190" s="1254"/>
      <c r="AC190" s="1254"/>
      <c r="AD190" s="1254"/>
      <c r="AE190" s="1254"/>
      <c r="AF190" s="1254"/>
      <c r="AG190" s="1254"/>
      <c r="AH190" s="1254"/>
      <c r="AI190" s="1254"/>
      <c r="AJ190" s="1254"/>
      <c r="AK190" s="1254"/>
      <c r="AL190" s="1254"/>
      <c r="AM190" s="1254"/>
      <c r="AN190" s="1254"/>
      <c r="AO190" s="1254"/>
      <c r="AP190" s="1254"/>
      <c r="AQ190" s="1254"/>
      <c r="AR190" s="1254"/>
      <c r="AS190" s="1254"/>
      <c r="AT190" s="1254"/>
      <c r="AU190" s="1254"/>
      <c r="AV190" s="1254"/>
      <c r="AW190" s="1254"/>
      <c r="AX190" s="1254"/>
      <c r="AY190" s="1254"/>
      <c r="AZ190" s="1254"/>
      <c r="BA190" s="1254"/>
    </row>
    <row r="191" spans="3:53" ht="13.5" hidden="1" outlineLevel="1">
      <c r="C191" s="320" t="s">
        <v>1444</v>
      </c>
      <c r="I191" s="323" t="s">
        <v>2076</v>
      </c>
      <c r="J191" s="477">
        <f>IF(J102=1,'Capex Phasing Methanol'!C113,IF('Assumption '!J102=2,'Capex Phasing Methanol'!C114,IF('Assumption '!J102=3,'Capex Phasing Methanol'!C115,0)))</f>
        <v>5.8353274980000007</v>
      </c>
      <c r="M191" s="1240">
        <f ca="1">$J$191*'Timing &amp; Flags'!I54</f>
        <v>5.8353274980000007</v>
      </c>
      <c r="N191" s="1240">
        <f ca="1">$J$191*'Timing &amp; Flags'!J54</f>
        <v>5.8193839802459024</v>
      </c>
      <c r="O191" s="1240">
        <f ca="1">$J$191*'Timing &amp; Flags'!K54</f>
        <v>5.8513146966246588</v>
      </c>
      <c r="P191" s="1240">
        <f ca="1">O191</f>
        <v>5.8513146966246588</v>
      </c>
      <c r="Q191" s="1254">
        <f>$J$191*'Timing &amp; Flags'!M54</f>
        <v>0</v>
      </c>
      <c r="R191" s="1254">
        <f>$J$191*'Timing &amp; Flags'!N54</f>
        <v>0</v>
      </c>
      <c r="S191" s="1254">
        <f>$J$191*'Timing &amp; Flags'!O54</f>
        <v>0</v>
      </c>
      <c r="T191" s="1254">
        <f>$J$191*'Timing &amp; Flags'!P54</f>
        <v>0</v>
      </c>
      <c r="U191" s="1254">
        <f>$J$191*'Timing &amp; Flags'!Q54</f>
        <v>0</v>
      </c>
      <c r="V191" s="1254">
        <f>$J$191*'Timing &amp; Flags'!R54</f>
        <v>0</v>
      </c>
      <c r="W191" s="1254">
        <f>$J$191*'Timing &amp; Flags'!S54</f>
        <v>0</v>
      </c>
      <c r="X191" s="1254">
        <f>$J$191*'Timing &amp; Flags'!T54</f>
        <v>0</v>
      </c>
      <c r="Y191" s="1254">
        <f>$J$191*'Timing &amp; Flags'!U54</f>
        <v>0</v>
      </c>
      <c r="Z191" s="1254">
        <f>$J$191*'Timing &amp; Flags'!V54</f>
        <v>0</v>
      </c>
      <c r="AA191" s="1254">
        <f>$J$191*'Timing &amp; Flags'!W54</f>
        <v>0</v>
      </c>
      <c r="AB191" s="1254">
        <f>$J$191*'Timing &amp; Flags'!X54</f>
        <v>0</v>
      </c>
      <c r="AC191" s="1254">
        <f>$J$191*'Timing &amp; Flags'!Y54</f>
        <v>0</v>
      </c>
      <c r="AD191" s="1254">
        <f>$J$191*'Timing &amp; Flags'!Z54</f>
        <v>0</v>
      </c>
      <c r="AE191" s="1254">
        <f>$J$191*'Timing &amp; Flags'!AA54</f>
        <v>0</v>
      </c>
      <c r="AF191" s="1254">
        <f>$J$191*'Timing &amp; Flags'!AB54</f>
        <v>0</v>
      </c>
      <c r="AG191" s="1254">
        <f>$J$191*'Timing &amp; Flags'!AC54</f>
        <v>0</v>
      </c>
      <c r="AH191" s="1254">
        <f>$J$191*'Timing &amp; Flags'!AD54</f>
        <v>0</v>
      </c>
      <c r="AI191" s="1254">
        <f>$J$191*'Timing &amp; Flags'!AE54</f>
        <v>0</v>
      </c>
      <c r="AJ191" s="1254">
        <f>$J$191*'Timing &amp; Flags'!AF54</f>
        <v>0</v>
      </c>
      <c r="AK191" s="1254">
        <f>$J$191*'Timing &amp; Flags'!AG54</f>
        <v>0</v>
      </c>
      <c r="AL191" s="1254">
        <f>$J$191*'Timing &amp; Flags'!AH54</f>
        <v>0</v>
      </c>
      <c r="AM191" s="1254">
        <f>$J$191*'Timing &amp; Flags'!AI54</f>
        <v>0</v>
      </c>
      <c r="AN191" s="1254">
        <f>$J$191*'Timing &amp; Flags'!AJ54</f>
        <v>0</v>
      </c>
      <c r="AO191" s="1254">
        <f>$J$191*'Timing &amp; Flags'!AK54</f>
        <v>0</v>
      </c>
      <c r="AP191" s="1254">
        <f>$J$191*'Timing &amp; Flags'!AL54</f>
        <v>0</v>
      </c>
      <c r="AQ191" s="1254"/>
      <c r="AR191" s="1254"/>
      <c r="AS191" s="1254"/>
      <c r="AT191" s="1254"/>
      <c r="AU191" s="1254"/>
      <c r="AV191" s="1254"/>
      <c r="AW191" s="1254"/>
      <c r="AX191" s="1254"/>
      <c r="AY191" s="1254"/>
      <c r="AZ191" s="1254"/>
      <c r="BA191" s="1254"/>
    </row>
    <row r="192" spans="3:53" ht="13.5" hidden="1" outlineLevel="1">
      <c r="C192" s="320" t="s">
        <v>1445</v>
      </c>
      <c r="I192" s="323" t="s">
        <v>2076</v>
      </c>
      <c r="J192" s="477">
        <f>IF(J102=1,'Capex Phasing Methanol'!D113,IF('Assumption '!J102=2,'Capex Phasing Methanol'!D114,IF('Assumption '!J102=3,'Capex Phasing Methanol'!D115,0)))</f>
        <v>0.75333258000000003</v>
      </c>
      <c r="M192" s="1240">
        <f t="shared" ref="M192:AP192" si="64">$J$192</f>
        <v>0.75333258000000003</v>
      </c>
      <c r="N192" s="1240">
        <f t="shared" si="64"/>
        <v>0.75333258000000003</v>
      </c>
      <c r="O192" s="1240">
        <f t="shared" si="64"/>
        <v>0.75333258000000003</v>
      </c>
      <c r="P192" s="1240">
        <f t="shared" si="64"/>
        <v>0.75333258000000003</v>
      </c>
      <c r="Q192" s="1240">
        <f t="shared" si="64"/>
        <v>0.75333258000000003</v>
      </c>
      <c r="R192" s="1240">
        <f t="shared" si="64"/>
        <v>0.75333258000000003</v>
      </c>
      <c r="S192" s="1240">
        <f t="shared" si="64"/>
        <v>0.75333258000000003</v>
      </c>
      <c r="T192" s="1240">
        <f t="shared" si="64"/>
        <v>0.75333258000000003</v>
      </c>
      <c r="U192" s="1240">
        <f t="shared" si="64"/>
        <v>0.75333258000000003</v>
      </c>
      <c r="V192" s="1240">
        <f t="shared" si="64"/>
        <v>0.75333258000000003</v>
      </c>
      <c r="W192" s="1240">
        <f t="shared" si="64"/>
        <v>0.75333258000000003</v>
      </c>
      <c r="X192" s="1240">
        <f t="shared" si="64"/>
        <v>0.75333258000000003</v>
      </c>
      <c r="Y192" s="1240">
        <f t="shared" si="64"/>
        <v>0.75333258000000003</v>
      </c>
      <c r="Z192" s="1240">
        <f t="shared" si="64"/>
        <v>0.75333258000000003</v>
      </c>
      <c r="AA192" s="1240">
        <f t="shared" si="64"/>
        <v>0.75333258000000003</v>
      </c>
      <c r="AB192" s="1240">
        <f t="shared" si="64"/>
        <v>0.75333258000000003</v>
      </c>
      <c r="AC192" s="1240">
        <f t="shared" si="64"/>
        <v>0.75333258000000003</v>
      </c>
      <c r="AD192" s="1240">
        <f t="shared" si="64"/>
        <v>0.75333258000000003</v>
      </c>
      <c r="AE192" s="1240">
        <f t="shared" si="64"/>
        <v>0.75333258000000003</v>
      </c>
      <c r="AF192" s="1240">
        <f t="shared" si="64"/>
        <v>0.75333258000000003</v>
      </c>
      <c r="AG192" s="1240">
        <f t="shared" si="64"/>
        <v>0.75333258000000003</v>
      </c>
      <c r="AH192" s="1240">
        <f t="shared" si="64"/>
        <v>0.75333258000000003</v>
      </c>
      <c r="AI192" s="1240">
        <f t="shared" si="64"/>
        <v>0.75333258000000003</v>
      </c>
      <c r="AJ192" s="1240">
        <f t="shared" si="64"/>
        <v>0.75333258000000003</v>
      </c>
      <c r="AK192" s="1240">
        <f t="shared" si="64"/>
        <v>0.75333258000000003</v>
      </c>
      <c r="AL192" s="1240">
        <f t="shared" si="64"/>
        <v>0.75333258000000003</v>
      </c>
      <c r="AM192" s="1240">
        <f t="shared" si="64"/>
        <v>0.75333258000000003</v>
      </c>
      <c r="AN192" s="1240">
        <f t="shared" si="64"/>
        <v>0.75333258000000003</v>
      </c>
      <c r="AO192" s="1240">
        <f t="shared" si="64"/>
        <v>0.75333258000000003</v>
      </c>
      <c r="AP192" s="1240">
        <f t="shared" si="64"/>
        <v>0.75333258000000003</v>
      </c>
      <c r="AQ192" s="1240"/>
      <c r="AR192" s="1240"/>
      <c r="AS192" s="1240"/>
      <c r="AT192" s="1240"/>
      <c r="AU192" s="1240"/>
      <c r="AV192" s="1240"/>
      <c r="AW192" s="1240"/>
      <c r="AX192" s="1240"/>
      <c r="AY192" s="1240"/>
      <c r="AZ192" s="1240"/>
      <c r="BA192" s="1240"/>
    </row>
    <row r="193" spans="3:53" hidden="1" outlineLevel="1">
      <c r="J193" s="477"/>
      <c r="M193" s="1240"/>
      <c r="N193" s="1240"/>
      <c r="O193" s="1240"/>
      <c r="P193" s="1240"/>
      <c r="Q193" s="1240"/>
      <c r="R193" s="1240"/>
      <c r="S193" s="1240"/>
      <c r="T193" s="1240"/>
      <c r="U193" s="1240"/>
      <c r="V193" s="1240"/>
      <c r="W193" s="1240"/>
      <c r="X193" s="1240"/>
      <c r="Y193" s="1240"/>
      <c r="Z193" s="1240"/>
      <c r="AA193" s="1240"/>
      <c r="AB193" s="1240"/>
      <c r="AC193" s="1240"/>
      <c r="AD193" s="1240"/>
      <c r="AE193" s="1240"/>
      <c r="AF193" s="1240"/>
      <c r="AG193" s="1240"/>
      <c r="AH193" s="1240"/>
      <c r="AI193" s="1240"/>
      <c r="AJ193" s="1240"/>
      <c r="AK193" s="1240"/>
      <c r="AL193" s="1240"/>
      <c r="AM193" s="1240"/>
      <c r="AN193" s="1240"/>
      <c r="AO193" s="1240"/>
      <c r="AP193" s="1240"/>
      <c r="AQ193" s="1240"/>
      <c r="AR193" s="1240"/>
      <c r="AS193" s="1240"/>
      <c r="AT193" s="1240"/>
      <c r="AU193" s="1240"/>
      <c r="AV193" s="1240"/>
      <c r="AW193" s="1240"/>
      <c r="AX193" s="1240"/>
      <c r="AY193" s="1240"/>
      <c r="AZ193" s="1240"/>
      <c r="BA193" s="1240"/>
    </row>
    <row r="194" spans="3:53" hidden="1" outlineLevel="1">
      <c r="J194" s="1295"/>
      <c r="M194" s="1240"/>
      <c r="N194" s="1240"/>
      <c r="O194" s="1240"/>
      <c r="P194" s="1240"/>
      <c r="Q194" s="1240"/>
      <c r="R194" s="1240"/>
      <c r="S194" s="1240"/>
      <c r="T194" s="1240"/>
      <c r="U194" s="1240"/>
      <c r="V194" s="1240"/>
      <c r="W194" s="1240"/>
      <c r="X194" s="1240"/>
      <c r="Y194" s="1240"/>
      <c r="Z194" s="1240"/>
      <c r="AA194" s="1240"/>
      <c r="AB194" s="1240"/>
      <c r="AC194" s="1240"/>
      <c r="AD194" s="1240"/>
      <c r="AE194" s="1240"/>
      <c r="AF194" s="1240"/>
      <c r="AG194" s="1240"/>
      <c r="AH194" s="1240"/>
      <c r="AI194" s="1240"/>
      <c r="AJ194" s="1240"/>
      <c r="AK194" s="1240"/>
      <c r="AL194" s="1240"/>
      <c r="AM194" s="1240"/>
      <c r="AN194" s="1240"/>
      <c r="AO194" s="1240"/>
      <c r="AP194" s="1240"/>
      <c r="AQ194" s="1240"/>
      <c r="AR194" s="1240"/>
      <c r="AS194" s="1240"/>
      <c r="AT194" s="1240"/>
      <c r="AU194" s="1240"/>
      <c r="AV194" s="1240"/>
      <c r="AW194" s="1240"/>
      <c r="AX194" s="1240"/>
      <c r="AY194" s="1240"/>
      <c r="AZ194" s="1240"/>
      <c r="BA194" s="1240"/>
    </row>
    <row r="195" spans="3:53" hidden="1" outlineLevel="1">
      <c r="J195" s="1295"/>
      <c r="K195" s="354">
        <f ca="1">P183*O147</f>
        <v>3791374.1499609905</v>
      </c>
      <c r="M195" s="1240">
        <f t="shared" ref="M195:AP195" ca="1" si="65">SUM(M191:M192)</f>
        <v>6.5886600780000011</v>
      </c>
      <c r="N195" s="1240">
        <f t="shared" ca="1" si="65"/>
        <v>6.5727165602459028</v>
      </c>
      <c r="O195" s="1240">
        <f t="shared" ca="1" si="65"/>
        <v>6.6046472766246591</v>
      </c>
      <c r="P195" s="1240">
        <f t="shared" ca="1" si="65"/>
        <v>6.6046472766246591</v>
      </c>
      <c r="Q195" s="1240">
        <f t="shared" si="65"/>
        <v>0.75333258000000003</v>
      </c>
      <c r="R195" s="1240">
        <f t="shared" si="65"/>
        <v>0.75333258000000003</v>
      </c>
      <c r="S195" s="1240">
        <f t="shared" si="65"/>
        <v>0.75333258000000003</v>
      </c>
      <c r="T195" s="1240">
        <f t="shared" si="65"/>
        <v>0.75333258000000003</v>
      </c>
      <c r="U195" s="1240">
        <f t="shared" si="65"/>
        <v>0.75333258000000003</v>
      </c>
      <c r="V195" s="1240">
        <f t="shared" si="65"/>
        <v>0.75333258000000003</v>
      </c>
      <c r="W195" s="1240">
        <f t="shared" si="65"/>
        <v>0.75333258000000003</v>
      </c>
      <c r="X195" s="1240">
        <f t="shared" si="65"/>
        <v>0.75333258000000003</v>
      </c>
      <c r="Y195" s="1240">
        <f t="shared" si="65"/>
        <v>0.75333258000000003</v>
      </c>
      <c r="Z195" s="1240">
        <f t="shared" si="65"/>
        <v>0.75333258000000003</v>
      </c>
      <c r="AA195" s="1240">
        <f t="shared" si="65"/>
        <v>0.75333258000000003</v>
      </c>
      <c r="AB195" s="1240">
        <f t="shared" si="65"/>
        <v>0.75333258000000003</v>
      </c>
      <c r="AC195" s="1240">
        <f t="shared" si="65"/>
        <v>0.75333258000000003</v>
      </c>
      <c r="AD195" s="1240">
        <f t="shared" si="65"/>
        <v>0.75333258000000003</v>
      </c>
      <c r="AE195" s="1240">
        <f t="shared" si="65"/>
        <v>0.75333258000000003</v>
      </c>
      <c r="AF195" s="1240">
        <f t="shared" si="65"/>
        <v>0.75333258000000003</v>
      </c>
      <c r="AG195" s="1240">
        <f t="shared" si="65"/>
        <v>0.75333258000000003</v>
      </c>
      <c r="AH195" s="1240">
        <f t="shared" si="65"/>
        <v>0.75333258000000003</v>
      </c>
      <c r="AI195" s="1240">
        <f t="shared" si="65"/>
        <v>0.75333258000000003</v>
      </c>
      <c r="AJ195" s="1240">
        <f t="shared" si="65"/>
        <v>0.75333258000000003</v>
      </c>
      <c r="AK195" s="1240">
        <f t="shared" si="65"/>
        <v>0.75333258000000003</v>
      </c>
      <c r="AL195" s="1240">
        <f t="shared" si="65"/>
        <v>0.75333258000000003</v>
      </c>
      <c r="AM195" s="1240">
        <f t="shared" si="65"/>
        <v>0.75333258000000003</v>
      </c>
      <c r="AN195" s="1240">
        <f t="shared" si="65"/>
        <v>0.75333258000000003</v>
      </c>
      <c r="AO195" s="1240">
        <f t="shared" si="65"/>
        <v>0.75333258000000003</v>
      </c>
      <c r="AP195" s="1240">
        <f t="shared" si="65"/>
        <v>0.75333258000000003</v>
      </c>
      <c r="AQ195" s="1240"/>
      <c r="AR195" s="1240"/>
      <c r="AS195" s="1240"/>
      <c r="AT195" s="1240"/>
      <c r="AU195" s="1240"/>
      <c r="AV195" s="1240"/>
      <c r="AW195" s="1240"/>
      <c r="AX195" s="1240"/>
      <c r="AY195" s="1240"/>
      <c r="AZ195" s="1240"/>
      <c r="BA195" s="1240"/>
    </row>
    <row r="196" spans="3:53" ht="13.15" hidden="1" customHeight="1" outlineLevel="1">
      <c r="J196" s="1295"/>
      <c r="K196" s="354">
        <f ca="1">O191*O145</f>
        <v>10934644.339317331</v>
      </c>
      <c r="M196" s="1254"/>
      <c r="N196" s="1254"/>
      <c r="O196" s="1254"/>
      <c r="P196" s="1254"/>
      <c r="Q196" s="1254"/>
      <c r="R196" s="1254"/>
      <c r="S196" s="1254"/>
      <c r="T196" s="1254"/>
      <c r="U196" s="1254"/>
      <c r="V196" s="1254"/>
      <c r="W196" s="1254"/>
      <c r="X196" s="1254"/>
      <c r="Y196" s="1254"/>
      <c r="Z196" s="1254"/>
      <c r="AA196" s="1254"/>
      <c r="AB196" s="1254"/>
      <c r="AC196" s="1254"/>
      <c r="AD196" s="1254"/>
      <c r="AE196" s="1254"/>
      <c r="AF196" s="1254"/>
      <c r="AG196" s="1254"/>
      <c r="AH196" s="1254"/>
      <c r="AI196" s="1254"/>
      <c r="AJ196" s="1254"/>
      <c r="AK196" s="1254"/>
      <c r="AL196" s="1254"/>
      <c r="AM196" s="1254"/>
      <c r="AN196" s="1254"/>
      <c r="AO196" s="1254"/>
      <c r="AP196" s="1254"/>
      <c r="AQ196" s="1254"/>
      <c r="AR196" s="1254"/>
      <c r="AS196" s="1254"/>
      <c r="AT196" s="1254"/>
      <c r="AU196" s="1254"/>
      <c r="AV196" s="1254"/>
      <c r="AW196" s="1254"/>
      <c r="AX196" s="1254"/>
      <c r="AY196" s="1254"/>
      <c r="AZ196" s="1254"/>
      <c r="BA196" s="1254"/>
    </row>
    <row r="199" spans="3:53" ht="13.15" customHeight="1" outlineLevel="1">
      <c r="J199" s="1295"/>
      <c r="K199" s="354"/>
      <c r="M199" s="1254"/>
      <c r="N199" s="1254"/>
      <c r="O199" s="1254"/>
      <c r="P199" s="1254"/>
      <c r="Q199" s="1254"/>
      <c r="R199" s="1254"/>
      <c r="S199" s="1254"/>
      <c r="T199" s="1254"/>
      <c r="U199" s="1254"/>
      <c r="V199" s="1254"/>
      <c r="W199" s="1254"/>
      <c r="X199" s="1254"/>
      <c r="Y199" s="1254"/>
      <c r="Z199" s="1254"/>
      <c r="AA199" s="1254"/>
      <c r="AB199" s="1254"/>
      <c r="AC199" s="1254"/>
      <c r="AD199" s="1254"/>
      <c r="AE199" s="1254"/>
      <c r="AF199" s="1254"/>
      <c r="AG199" s="1254"/>
      <c r="AH199" s="1254"/>
      <c r="AI199" s="1254"/>
      <c r="AJ199" s="1254"/>
      <c r="AK199" s="1254"/>
      <c r="AL199" s="1254"/>
      <c r="AM199" s="1254"/>
      <c r="AN199" s="1254"/>
      <c r="AO199" s="1254"/>
      <c r="AP199" s="1254"/>
      <c r="AQ199" s="1254"/>
      <c r="AR199" s="1254"/>
      <c r="AS199" s="1254"/>
      <c r="AT199" s="1254"/>
      <c r="AU199" s="1254"/>
      <c r="AV199" s="1254"/>
      <c r="AW199" s="1254"/>
      <c r="AX199" s="1254"/>
      <c r="AY199" s="1254"/>
      <c r="AZ199" s="1254"/>
      <c r="BA199" s="1254"/>
    </row>
    <row r="200" spans="3:53" outlineLevel="1">
      <c r="J200" s="1295"/>
      <c r="M200" s="1254"/>
      <c r="N200" s="1254"/>
      <c r="O200" s="1254"/>
      <c r="P200" s="1254"/>
      <c r="Q200" s="1254"/>
      <c r="R200" s="1254"/>
      <c r="S200" s="1254"/>
      <c r="T200" s="1254"/>
      <c r="U200" s="1254"/>
      <c r="V200" s="1254"/>
      <c r="W200" s="1254"/>
      <c r="X200" s="1254"/>
      <c r="Y200" s="1254"/>
      <c r="Z200" s="1254"/>
      <c r="AA200" s="1254"/>
      <c r="AB200" s="1254"/>
      <c r="AC200" s="1254"/>
      <c r="AD200" s="1254"/>
      <c r="AE200" s="1254"/>
      <c r="AF200" s="1254"/>
      <c r="AG200" s="1254"/>
      <c r="AH200" s="1254"/>
      <c r="AI200" s="1254"/>
      <c r="AJ200" s="1254"/>
      <c r="AK200" s="1254"/>
      <c r="AL200" s="1254"/>
      <c r="AM200" s="1254"/>
      <c r="AN200" s="1254"/>
      <c r="AO200" s="1254"/>
      <c r="AP200" s="1254"/>
      <c r="AQ200" s="1254"/>
      <c r="AR200" s="1254"/>
      <c r="AS200" s="1254"/>
      <c r="AT200" s="1254"/>
      <c r="AU200" s="1254"/>
      <c r="AV200" s="1254"/>
      <c r="AW200" s="1254"/>
      <c r="AX200" s="1254"/>
      <c r="AY200" s="1254"/>
      <c r="AZ200" s="1254"/>
      <c r="BA200" s="1254"/>
    </row>
    <row r="201" spans="3:53" outlineLevel="1">
      <c r="C201" s="320" t="s">
        <v>1953</v>
      </c>
      <c r="J201" s="1295"/>
      <c r="M201" s="1254"/>
      <c r="N201" s="1254"/>
      <c r="O201" s="1254"/>
      <c r="P201" s="1254"/>
      <c r="Q201" s="1254"/>
      <c r="R201" s="1254"/>
      <c r="S201" s="1254"/>
      <c r="T201" s="1254"/>
      <c r="U201" s="1254"/>
      <c r="V201" s="1254"/>
      <c r="W201" s="1254"/>
      <c r="X201" s="1254"/>
      <c r="Y201" s="1254"/>
      <c r="Z201" s="1254"/>
      <c r="AA201" s="1254"/>
      <c r="AB201" s="1254"/>
      <c r="AC201" s="1254"/>
      <c r="AD201" s="1254"/>
      <c r="AE201" s="1254"/>
      <c r="AF201" s="1254"/>
      <c r="AG201" s="1254"/>
      <c r="AH201" s="1254"/>
      <c r="AI201" s="1254"/>
      <c r="AJ201" s="1254"/>
      <c r="AK201" s="1254"/>
      <c r="AL201" s="1254"/>
      <c r="AM201" s="1254"/>
      <c r="AN201" s="1254"/>
      <c r="AO201" s="1254"/>
      <c r="AP201" s="1254"/>
      <c r="AQ201" s="1254"/>
      <c r="AR201" s="1254"/>
      <c r="AS201" s="1254"/>
      <c r="AT201" s="1254"/>
      <c r="AU201" s="1254"/>
      <c r="AV201" s="1254"/>
      <c r="AW201" s="1254"/>
      <c r="AX201" s="1254"/>
      <c r="AY201" s="1254"/>
      <c r="AZ201" s="1254"/>
      <c r="BA201" s="1254"/>
    </row>
    <row r="202" spans="3:53" outlineLevel="1">
      <c r="C202" s="354" t="s">
        <v>1446</v>
      </c>
      <c r="J202" s="1295"/>
      <c r="M202" s="1241">
        <f ca="1">((M191*M147)/M19)*'Timing &amp; Flags'!I37</f>
        <v>0</v>
      </c>
      <c r="N202" s="1241">
        <f ca="1">((N191*N147)/N19)*'Timing &amp; Flags'!J37</f>
        <v>10776.637000455376</v>
      </c>
      <c r="O202" s="1241">
        <f ca="1">((O191*O147)/O19)*'Timing &amp; Flags'!K37</f>
        <v>14191.621465694134</v>
      </c>
      <c r="P202" s="1241">
        <f ca="1">((P191*P147)/P19)*'Timing &amp; Flags'!L37</f>
        <v>0</v>
      </c>
      <c r="Q202" s="1241">
        <f ca="1">((Q191*Q147)/Q19)*'Timing &amp; Flags'!M37</f>
        <v>0</v>
      </c>
      <c r="R202" s="1241">
        <f ca="1">((R191*R147)/R19)*'Timing &amp; Flags'!N37</f>
        <v>0</v>
      </c>
      <c r="S202" s="1241">
        <f ca="1">((S191*S147)/S19)*'Timing &amp; Flags'!O37</f>
        <v>0</v>
      </c>
      <c r="T202" s="1241">
        <f t="shared" ref="T202:AP202" ca="1" si="66">T191*T147</f>
        <v>0</v>
      </c>
      <c r="U202" s="1241">
        <f t="shared" ca="1" si="66"/>
        <v>0</v>
      </c>
      <c r="V202" s="1241">
        <f t="shared" ca="1" si="66"/>
        <v>0</v>
      </c>
      <c r="W202" s="1241">
        <f t="shared" ca="1" si="66"/>
        <v>0</v>
      </c>
      <c r="X202" s="1241">
        <f t="shared" ca="1" si="66"/>
        <v>0</v>
      </c>
      <c r="Y202" s="1241">
        <f t="shared" ca="1" si="66"/>
        <v>0</v>
      </c>
      <c r="Z202" s="1241">
        <f t="shared" ca="1" si="66"/>
        <v>0</v>
      </c>
      <c r="AA202" s="1241">
        <f t="shared" ca="1" si="66"/>
        <v>0</v>
      </c>
      <c r="AB202" s="1241">
        <f t="shared" ca="1" si="66"/>
        <v>0</v>
      </c>
      <c r="AC202" s="1241">
        <f t="shared" ca="1" si="66"/>
        <v>0</v>
      </c>
      <c r="AD202" s="1241">
        <f t="shared" ca="1" si="66"/>
        <v>0</v>
      </c>
      <c r="AE202" s="1241">
        <f t="shared" ca="1" si="66"/>
        <v>0</v>
      </c>
      <c r="AF202" s="1241">
        <f t="shared" ca="1" si="66"/>
        <v>0</v>
      </c>
      <c r="AG202" s="1241">
        <f t="shared" ca="1" si="66"/>
        <v>0</v>
      </c>
      <c r="AH202" s="1241">
        <f t="shared" ca="1" si="66"/>
        <v>0</v>
      </c>
      <c r="AI202" s="1241">
        <f t="shared" ca="1" si="66"/>
        <v>0</v>
      </c>
      <c r="AJ202" s="1241">
        <f t="shared" ca="1" si="66"/>
        <v>0</v>
      </c>
      <c r="AK202" s="1241">
        <f t="shared" ca="1" si="66"/>
        <v>0</v>
      </c>
      <c r="AL202" s="1241">
        <f t="shared" ca="1" si="66"/>
        <v>0</v>
      </c>
      <c r="AM202" s="1241">
        <f t="shared" ca="1" si="66"/>
        <v>0</v>
      </c>
      <c r="AN202" s="1241">
        <f t="shared" ca="1" si="66"/>
        <v>0</v>
      </c>
      <c r="AO202" s="1241">
        <f t="shared" ca="1" si="66"/>
        <v>0</v>
      </c>
      <c r="AP202" s="1241">
        <f t="shared" ca="1" si="66"/>
        <v>0</v>
      </c>
      <c r="AQ202" s="1241"/>
      <c r="AR202" s="1241"/>
      <c r="AS202" s="1241"/>
      <c r="AT202" s="1241"/>
      <c r="AU202" s="1241"/>
      <c r="AV202" s="1241"/>
      <c r="AW202" s="1241"/>
      <c r="AX202" s="1241"/>
      <c r="AY202" s="1241"/>
      <c r="AZ202" s="1241"/>
      <c r="BA202" s="1241"/>
    </row>
    <row r="203" spans="3:53" outlineLevel="1">
      <c r="C203" s="354" t="s">
        <v>1447</v>
      </c>
      <c r="J203" s="1295"/>
      <c r="M203" s="1241">
        <f t="shared" ref="M203:AP203" si="67">M192*M147</f>
        <v>0</v>
      </c>
      <c r="N203" s="1241">
        <f t="shared" si="67"/>
        <v>489666.17700000003</v>
      </c>
      <c r="O203" s="1241">
        <f t="shared" ca="1" si="67"/>
        <v>612082.72125000006</v>
      </c>
      <c r="P203" s="1241">
        <f t="shared" ca="1" si="67"/>
        <v>715665.951</v>
      </c>
      <c r="Q203" s="1241">
        <f t="shared" ca="1" si="67"/>
        <v>715665.951</v>
      </c>
      <c r="R203" s="1241">
        <f t="shared" ca="1" si="67"/>
        <v>715665.951</v>
      </c>
      <c r="S203" s="1241">
        <f t="shared" ca="1" si="67"/>
        <v>715665.951</v>
      </c>
      <c r="T203" s="1241">
        <f t="shared" ca="1" si="67"/>
        <v>715665.951</v>
      </c>
      <c r="U203" s="1241">
        <f t="shared" ca="1" si="67"/>
        <v>715665.951</v>
      </c>
      <c r="V203" s="1241">
        <f t="shared" ca="1" si="67"/>
        <v>715665.951</v>
      </c>
      <c r="W203" s="1241">
        <f t="shared" ca="1" si="67"/>
        <v>715665.951</v>
      </c>
      <c r="X203" s="1241">
        <f t="shared" ca="1" si="67"/>
        <v>715665.951</v>
      </c>
      <c r="Y203" s="1241">
        <f t="shared" ca="1" si="67"/>
        <v>715665.951</v>
      </c>
      <c r="Z203" s="1241">
        <f t="shared" ca="1" si="67"/>
        <v>715665.951</v>
      </c>
      <c r="AA203" s="1241">
        <f t="shared" ca="1" si="67"/>
        <v>715665.951</v>
      </c>
      <c r="AB203" s="1241">
        <f t="shared" ca="1" si="67"/>
        <v>715665.951</v>
      </c>
      <c r="AC203" s="1241">
        <f t="shared" ca="1" si="67"/>
        <v>715665.951</v>
      </c>
      <c r="AD203" s="1241">
        <f t="shared" ca="1" si="67"/>
        <v>715665.951</v>
      </c>
      <c r="AE203" s="1241">
        <f t="shared" ca="1" si="67"/>
        <v>715665.951</v>
      </c>
      <c r="AF203" s="1241">
        <f t="shared" ca="1" si="67"/>
        <v>715665.951</v>
      </c>
      <c r="AG203" s="1241">
        <f t="shared" ca="1" si="67"/>
        <v>715665.951</v>
      </c>
      <c r="AH203" s="1241">
        <f t="shared" ca="1" si="67"/>
        <v>715665.951</v>
      </c>
      <c r="AI203" s="1241">
        <f t="shared" ca="1" si="67"/>
        <v>715665.951</v>
      </c>
      <c r="AJ203" s="1241">
        <f t="shared" ca="1" si="67"/>
        <v>715665.951</v>
      </c>
      <c r="AK203" s="1241">
        <f t="shared" ca="1" si="67"/>
        <v>715665.951</v>
      </c>
      <c r="AL203" s="1241">
        <f t="shared" ca="1" si="67"/>
        <v>715665.951</v>
      </c>
      <c r="AM203" s="1241">
        <f t="shared" ca="1" si="67"/>
        <v>715665.951</v>
      </c>
      <c r="AN203" s="1241">
        <f t="shared" ca="1" si="67"/>
        <v>715665.951</v>
      </c>
      <c r="AO203" s="1241">
        <f t="shared" ca="1" si="67"/>
        <v>715665.951</v>
      </c>
      <c r="AP203" s="1241">
        <f t="shared" ca="1" si="67"/>
        <v>715665.951</v>
      </c>
      <c r="AQ203" s="1241"/>
      <c r="AR203" s="1241"/>
      <c r="AS203" s="1241"/>
      <c r="AT203" s="1241"/>
      <c r="AU203" s="1241"/>
      <c r="AV203" s="1241"/>
      <c r="AW203" s="1241"/>
      <c r="AX203" s="1241"/>
      <c r="AY203" s="1241"/>
      <c r="AZ203" s="1241"/>
      <c r="BA203" s="1241"/>
    </row>
    <row r="204" spans="3:53" outlineLevel="1">
      <c r="C204" s="1223" t="s">
        <v>1441</v>
      </c>
      <c r="J204" s="1295"/>
      <c r="M204" s="1241">
        <f ca="1">M202+M203</f>
        <v>0</v>
      </c>
      <c r="N204" s="1241">
        <f ca="1">N202+N203</f>
        <v>500442.81400045543</v>
      </c>
      <c r="O204" s="1241">
        <f ca="1">O202+O203</f>
        <v>626274.34271569422</v>
      </c>
      <c r="P204" s="1241">
        <f ca="1">P202+P203</f>
        <v>715665.951</v>
      </c>
      <c r="Q204" s="1241">
        <f t="shared" ref="Q204:AP204" ca="1" si="68">Q202+Q203</f>
        <v>715665.951</v>
      </c>
      <c r="R204" s="1241">
        <f t="shared" ca="1" si="68"/>
        <v>715665.951</v>
      </c>
      <c r="S204" s="1241">
        <f t="shared" ca="1" si="68"/>
        <v>715665.951</v>
      </c>
      <c r="T204" s="1241">
        <f t="shared" ca="1" si="68"/>
        <v>715665.951</v>
      </c>
      <c r="U204" s="1241">
        <f t="shared" ca="1" si="68"/>
        <v>715665.951</v>
      </c>
      <c r="V204" s="1241">
        <f t="shared" ca="1" si="68"/>
        <v>715665.951</v>
      </c>
      <c r="W204" s="1241">
        <f t="shared" ca="1" si="68"/>
        <v>715665.951</v>
      </c>
      <c r="X204" s="1241">
        <f t="shared" ca="1" si="68"/>
        <v>715665.951</v>
      </c>
      <c r="Y204" s="1241">
        <f t="shared" ca="1" si="68"/>
        <v>715665.951</v>
      </c>
      <c r="Z204" s="1241">
        <f t="shared" ca="1" si="68"/>
        <v>715665.951</v>
      </c>
      <c r="AA204" s="1241">
        <f t="shared" ca="1" si="68"/>
        <v>715665.951</v>
      </c>
      <c r="AB204" s="1241">
        <f t="shared" ca="1" si="68"/>
        <v>715665.951</v>
      </c>
      <c r="AC204" s="1241">
        <f t="shared" ca="1" si="68"/>
        <v>715665.951</v>
      </c>
      <c r="AD204" s="1241">
        <f t="shared" ca="1" si="68"/>
        <v>715665.951</v>
      </c>
      <c r="AE204" s="1241">
        <f t="shared" ca="1" si="68"/>
        <v>715665.951</v>
      </c>
      <c r="AF204" s="1241">
        <f t="shared" ca="1" si="68"/>
        <v>715665.951</v>
      </c>
      <c r="AG204" s="1241">
        <f t="shared" ca="1" si="68"/>
        <v>715665.951</v>
      </c>
      <c r="AH204" s="1241">
        <f t="shared" ca="1" si="68"/>
        <v>715665.951</v>
      </c>
      <c r="AI204" s="1241">
        <f t="shared" ca="1" si="68"/>
        <v>715665.951</v>
      </c>
      <c r="AJ204" s="1241">
        <f t="shared" ca="1" si="68"/>
        <v>715665.951</v>
      </c>
      <c r="AK204" s="1241">
        <f t="shared" ca="1" si="68"/>
        <v>715665.951</v>
      </c>
      <c r="AL204" s="1241">
        <f t="shared" ca="1" si="68"/>
        <v>715665.951</v>
      </c>
      <c r="AM204" s="1241">
        <f t="shared" ca="1" si="68"/>
        <v>715665.951</v>
      </c>
      <c r="AN204" s="1241">
        <f t="shared" ca="1" si="68"/>
        <v>715665.951</v>
      </c>
      <c r="AO204" s="1241">
        <f t="shared" ca="1" si="68"/>
        <v>715665.951</v>
      </c>
      <c r="AP204" s="1241">
        <f t="shared" ca="1" si="68"/>
        <v>715665.951</v>
      </c>
      <c r="AQ204" s="1241"/>
      <c r="AR204" s="1241"/>
      <c r="AS204" s="1241"/>
      <c r="AT204" s="1241"/>
      <c r="AU204" s="1241"/>
      <c r="AV204" s="1241"/>
      <c r="AW204" s="1241"/>
      <c r="AX204" s="1241"/>
      <c r="AY204" s="1241"/>
      <c r="AZ204" s="1241"/>
      <c r="BA204" s="1241"/>
    </row>
    <row r="205" spans="3:53" outlineLevel="1">
      <c r="J205" s="432"/>
      <c r="M205" s="1241"/>
      <c r="N205" s="1241"/>
      <c r="O205" s="1241"/>
      <c r="P205" s="1241"/>
      <c r="Q205" s="1241"/>
      <c r="R205" s="1241"/>
      <c r="S205" s="1241"/>
      <c r="T205" s="1241"/>
      <c r="U205" s="1241"/>
      <c r="V205" s="1241"/>
      <c r="W205" s="1241"/>
      <c r="X205" s="1241"/>
      <c r="Y205" s="1241"/>
      <c r="Z205" s="1241"/>
      <c r="AA205" s="1241"/>
      <c r="AB205" s="1241"/>
      <c r="AC205" s="1241"/>
      <c r="AD205" s="1241"/>
      <c r="AE205" s="1241"/>
      <c r="AF205" s="1241"/>
      <c r="AG205" s="1241"/>
      <c r="AH205" s="1241"/>
      <c r="AI205" s="1241"/>
      <c r="AJ205" s="1241"/>
      <c r="AK205" s="1241"/>
      <c r="AL205" s="1241"/>
      <c r="AM205" s="1241"/>
      <c r="AN205" s="1241"/>
      <c r="AO205" s="1241"/>
      <c r="AP205" s="1241"/>
      <c r="AQ205" s="1241"/>
      <c r="AR205" s="1241"/>
      <c r="AS205" s="1241"/>
      <c r="AT205" s="1241"/>
      <c r="AU205" s="1241"/>
      <c r="AV205" s="1241"/>
      <c r="AW205" s="1241"/>
      <c r="AX205" s="1241"/>
      <c r="AY205" s="1241"/>
      <c r="AZ205" s="1241"/>
      <c r="BA205" s="1241"/>
    </row>
    <row r="206" spans="3:53" outlineLevel="1">
      <c r="J206" s="432"/>
      <c r="M206" s="1241"/>
      <c r="N206" s="1241"/>
      <c r="O206" s="1241"/>
      <c r="P206" s="1241"/>
      <c r="Q206" s="1241"/>
      <c r="R206" s="1241"/>
      <c r="S206" s="1241"/>
      <c r="T206" s="1241"/>
      <c r="U206" s="1241"/>
      <c r="V206" s="1241"/>
      <c r="W206" s="1241"/>
      <c r="X206" s="1241"/>
      <c r="Y206" s="1241"/>
      <c r="Z206" s="1241"/>
      <c r="AA206" s="1241"/>
      <c r="AB206" s="1241"/>
      <c r="AC206" s="1241"/>
      <c r="AD206" s="1241"/>
      <c r="AE206" s="1241"/>
      <c r="AF206" s="1241"/>
      <c r="AG206" s="1241"/>
      <c r="AH206" s="1241"/>
      <c r="AI206" s="1241"/>
      <c r="AJ206" s="1241"/>
      <c r="AK206" s="1241"/>
      <c r="AL206" s="1241"/>
      <c r="AM206" s="1241"/>
      <c r="AN206" s="1241"/>
      <c r="AO206" s="1241"/>
      <c r="AP206" s="1241"/>
      <c r="AQ206" s="1241"/>
      <c r="AR206" s="1241"/>
      <c r="AS206" s="1241"/>
      <c r="AT206" s="1241"/>
      <c r="AU206" s="1241"/>
      <c r="AV206" s="1241"/>
      <c r="AW206" s="1241"/>
      <c r="AX206" s="1241"/>
      <c r="AY206" s="1241"/>
      <c r="AZ206" s="1241"/>
      <c r="BA206" s="1241"/>
    </row>
    <row r="207" spans="3:53" ht="13.15" customHeight="1" outlineLevel="1">
      <c r="C207" s="320" t="s">
        <v>2374</v>
      </c>
      <c r="J207" s="477">
        <f>'Power '!F80</f>
        <v>1.5391111111111111</v>
      </c>
      <c r="K207" s="354"/>
      <c r="M207" s="1254">
        <f ca="1">$J$207*'Timing &amp; Flags'!I54</f>
        <v>1.5391111111111111</v>
      </c>
      <c r="N207" s="1254">
        <f ca="1">$J$207*'Timing &amp; Flags'!J54</f>
        <v>1.5349058894960534</v>
      </c>
      <c r="O207" s="1254">
        <f ca="1">$J$207*'Timing &amp; Flags'!K54</f>
        <v>1.5433278538812787</v>
      </c>
      <c r="P207" s="1254">
        <f>$J$207*'Timing &amp; Flags'!L54</f>
        <v>0</v>
      </c>
      <c r="Q207" s="1254">
        <f>$J$207*'Timing &amp; Flags'!M54</f>
        <v>0</v>
      </c>
      <c r="R207" s="1254">
        <f>$J$207*'Timing &amp; Flags'!N54</f>
        <v>0</v>
      </c>
      <c r="S207" s="1254">
        <f>$J$207*'Timing &amp; Flags'!O54</f>
        <v>0</v>
      </c>
      <c r="T207" s="1254">
        <f>$J$207*'Timing &amp; Flags'!P54</f>
        <v>0</v>
      </c>
      <c r="U207" s="1254">
        <f>$J$207*'Timing &amp; Flags'!Q54</f>
        <v>0</v>
      </c>
      <c r="V207" s="1254">
        <f>$J$207*'Timing &amp; Flags'!R54</f>
        <v>0</v>
      </c>
      <c r="W207" s="1254">
        <f>$J$207*'Timing &amp; Flags'!S54</f>
        <v>0</v>
      </c>
      <c r="X207" s="1254">
        <f>$J$207*'Timing &amp; Flags'!T54</f>
        <v>0</v>
      </c>
      <c r="Y207" s="1254">
        <f>$J$207*'Timing &amp; Flags'!U54</f>
        <v>0</v>
      </c>
      <c r="Z207" s="1254">
        <f>$J$207*'Timing &amp; Flags'!V54</f>
        <v>0</v>
      </c>
      <c r="AA207" s="1254">
        <f>$J$207*'Timing &amp; Flags'!W54</f>
        <v>0</v>
      </c>
      <c r="AB207" s="1254">
        <f>$J$207*'Timing &amp; Flags'!X54</f>
        <v>0</v>
      </c>
      <c r="AC207" s="1254">
        <f>$J$207*'Timing &amp; Flags'!Y54</f>
        <v>0</v>
      </c>
      <c r="AD207" s="1254">
        <f>$J$207*'Timing &amp; Flags'!Z54</f>
        <v>0</v>
      </c>
      <c r="AE207" s="1254">
        <f>$J$207*'Timing &amp; Flags'!AA54</f>
        <v>0</v>
      </c>
      <c r="AF207" s="1254">
        <f>$J$207*'Timing &amp; Flags'!AB54</f>
        <v>0</v>
      </c>
      <c r="AG207" s="1254">
        <f>$J$207*'Timing &amp; Flags'!AC54</f>
        <v>0</v>
      </c>
      <c r="AH207" s="1254">
        <f>$J$207*'Timing &amp; Flags'!AD54</f>
        <v>0</v>
      </c>
      <c r="AI207" s="1254">
        <f>$J$207*'Timing &amp; Flags'!AE54</f>
        <v>0</v>
      </c>
      <c r="AJ207" s="1254">
        <f>$J$207*'Timing &amp; Flags'!AF54</f>
        <v>0</v>
      </c>
      <c r="AK207" s="1254">
        <f>$J$207*'Timing &amp; Flags'!AG54</f>
        <v>0</v>
      </c>
      <c r="AL207" s="1254">
        <f>$J$207*'Timing &amp; Flags'!AH54</f>
        <v>0</v>
      </c>
      <c r="AM207" s="1254">
        <f>$J$207*'Timing &amp; Flags'!AI54</f>
        <v>0</v>
      </c>
      <c r="AN207" s="1254">
        <f>$J$207*'Timing &amp; Flags'!AJ54</f>
        <v>0</v>
      </c>
      <c r="AO207" s="1254">
        <f>$J$207*'Timing &amp; Flags'!AK54</f>
        <v>0</v>
      </c>
      <c r="AP207" s="1254">
        <f>$J$207*'Timing &amp; Flags'!AL54</f>
        <v>0</v>
      </c>
      <c r="AQ207" s="1254"/>
      <c r="AR207" s="1254"/>
      <c r="AS207" s="1254"/>
      <c r="AT207" s="1254"/>
      <c r="AU207" s="1254"/>
      <c r="AV207" s="1254"/>
      <c r="AW207" s="1254"/>
      <c r="AX207" s="1254"/>
      <c r="AY207" s="1254"/>
      <c r="AZ207" s="1254"/>
      <c r="BA207" s="1254"/>
    </row>
    <row r="208" spans="3:53" ht="13.15" customHeight="1" outlineLevel="1">
      <c r="C208" s="320" t="s">
        <v>2375</v>
      </c>
      <c r="J208" s="477">
        <f>'Power '!G80</f>
        <v>0.39444444444444443</v>
      </c>
      <c r="K208" s="354"/>
      <c r="M208" s="1254">
        <f t="shared" ref="M208:AP208" si="69">$J$208</f>
        <v>0.39444444444444443</v>
      </c>
      <c r="N208" s="1254">
        <f t="shared" si="69"/>
        <v>0.39444444444444443</v>
      </c>
      <c r="O208" s="1254">
        <f t="shared" si="69"/>
        <v>0.39444444444444443</v>
      </c>
      <c r="P208" s="1254">
        <f t="shared" si="69"/>
        <v>0.39444444444444443</v>
      </c>
      <c r="Q208" s="1254">
        <f t="shared" si="69"/>
        <v>0.39444444444444443</v>
      </c>
      <c r="R208" s="1254">
        <f t="shared" si="69"/>
        <v>0.39444444444444443</v>
      </c>
      <c r="S208" s="1254">
        <f t="shared" si="69"/>
        <v>0.39444444444444443</v>
      </c>
      <c r="T208" s="1254">
        <f t="shared" si="69"/>
        <v>0.39444444444444443</v>
      </c>
      <c r="U208" s="1254">
        <f t="shared" si="69"/>
        <v>0.39444444444444443</v>
      </c>
      <c r="V208" s="1254">
        <f t="shared" si="69"/>
        <v>0.39444444444444443</v>
      </c>
      <c r="W208" s="1254">
        <f t="shared" si="69"/>
        <v>0.39444444444444443</v>
      </c>
      <c r="X208" s="1254">
        <f t="shared" si="69"/>
        <v>0.39444444444444443</v>
      </c>
      <c r="Y208" s="1254">
        <f t="shared" si="69"/>
        <v>0.39444444444444443</v>
      </c>
      <c r="Z208" s="1254">
        <f t="shared" si="69"/>
        <v>0.39444444444444443</v>
      </c>
      <c r="AA208" s="1254">
        <f t="shared" si="69"/>
        <v>0.39444444444444443</v>
      </c>
      <c r="AB208" s="1254">
        <f t="shared" si="69"/>
        <v>0.39444444444444443</v>
      </c>
      <c r="AC208" s="1254">
        <f t="shared" si="69"/>
        <v>0.39444444444444443</v>
      </c>
      <c r="AD208" s="1254">
        <f t="shared" si="69"/>
        <v>0.39444444444444443</v>
      </c>
      <c r="AE208" s="1254">
        <f t="shared" si="69"/>
        <v>0.39444444444444443</v>
      </c>
      <c r="AF208" s="1254">
        <f t="shared" si="69"/>
        <v>0.39444444444444443</v>
      </c>
      <c r="AG208" s="1254">
        <f t="shared" si="69"/>
        <v>0.39444444444444443</v>
      </c>
      <c r="AH208" s="1254">
        <f t="shared" si="69"/>
        <v>0.39444444444444443</v>
      </c>
      <c r="AI208" s="1254">
        <f t="shared" si="69"/>
        <v>0.39444444444444443</v>
      </c>
      <c r="AJ208" s="1254">
        <f t="shared" si="69"/>
        <v>0.39444444444444443</v>
      </c>
      <c r="AK208" s="1254">
        <f t="shared" si="69"/>
        <v>0.39444444444444443</v>
      </c>
      <c r="AL208" s="1254">
        <f t="shared" si="69"/>
        <v>0.39444444444444443</v>
      </c>
      <c r="AM208" s="1254">
        <f t="shared" si="69"/>
        <v>0.39444444444444443</v>
      </c>
      <c r="AN208" s="1254">
        <f t="shared" si="69"/>
        <v>0.39444444444444443</v>
      </c>
      <c r="AO208" s="1254">
        <f t="shared" si="69"/>
        <v>0.39444444444444443</v>
      </c>
      <c r="AP208" s="1254">
        <f t="shared" si="69"/>
        <v>0.39444444444444443</v>
      </c>
      <c r="AQ208" s="1254"/>
      <c r="AR208" s="1254"/>
      <c r="AS208" s="1254"/>
      <c r="AT208" s="1254"/>
      <c r="AU208" s="1254"/>
      <c r="AV208" s="1254"/>
      <c r="AW208" s="1254"/>
      <c r="AX208" s="1254"/>
      <c r="AY208" s="1254"/>
      <c r="AZ208" s="1254"/>
      <c r="BA208" s="1254"/>
    </row>
    <row r="209" spans="3:53" outlineLevel="1">
      <c r="J209" s="432"/>
      <c r="M209" s="1241"/>
      <c r="N209" s="1241"/>
      <c r="O209" s="1241"/>
      <c r="P209" s="1241"/>
      <c r="Q209" s="1241"/>
      <c r="R209" s="1241"/>
      <c r="S209" s="1241"/>
      <c r="T209" s="1241"/>
      <c r="U209" s="1241"/>
      <c r="V209" s="1241"/>
      <c r="W209" s="1241"/>
      <c r="X209" s="1241"/>
      <c r="Y209" s="1241"/>
      <c r="Z209" s="1241"/>
      <c r="AA209" s="1241"/>
      <c r="AB209" s="1241"/>
      <c r="AC209" s="1241"/>
      <c r="AD209" s="1241"/>
      <c r="AE209" s="1241"/>
      <c r="AF209" s="1241"/>
      <c r="AG209" s="1241"/>
      <c r="AH209" s="1241"/>
      <c r="AI209" s="1241"/>
      <c r="AJ209" s="1241"/>
      <c r="AK209" s="1241"/>
      <c r="AL209" s="1241"/>
      <c r="AM209" s="1241"/>
      <c r="AN209" s="1241"/>
      <c r="AO209" s="1241"/>
      <c r="AP209" s="1241"/>
      <c r="AQ209" s="1241"/>
      <c r="AR209" s="1241"/>
      <c r="AS209" s="1241"/>
      <c r="AT209" s="1241"/>
      <c r="AU209" s="1241"/>
      <c r="AV209" s="1241"/>
      <c r="AW209" s="1241"/>
      <c r="AX209" s="1241"/>
      <c r="AY209" s="1241"/>
      <c r="AZ209" s="1241"/>
      <c r="BA209" s="1241"/>
    </row>
    <row r="210" spans="3:53" outlineLevel="1">
      <c r="C210" s="348" t="s">
        <v>2376</v>
      </c>
      <c r="J210" s="432"/>
      <c r="M210" s="1241">
        <f ca="1">((M207*M148)/M19)*'Timing &amp; Flags'!I37</f>
        <v>0</v>
      </c>
      <c r="N210" s="1241">
        <f ca="1">((N207*N148)/N19)*'Timing &amp; Flags'!J37</f>
        <v>7106.0457847039506</v>
      </c>
      <c r="O210" s="1241">
        <f ca="1">((O207*O148)/O19)*'Timing &amp; Flags'!K37</f>
        <v>12352.381517072175</v>
      </c>
      <c r="P210" s="1241">
        <f ca="1">((P207*P148)/P19)*'Timing &amp; Flags'!L37</f>
        <v>0</v>
      </c>
      <c r="Q210" s="1241">
        <f ca="1">((Q207*Q148)/Q19)*'Timing &amp; Flags'!M37</f>
        <v>0</v>
      </c>
      <c r="R210" s="1241">
        <f ca="1">((R207*R148)/R19)*'Timing &amp; Flags'!N37</f>
        <v>0</v>
      </c>
      <c r="S210" s="1241">
        <f ca="1">((S207*S148)/S19)*'Timing &amp; Flags'!O37</f>
        <v>0</v>
      </c>
      <c r="T210" s="1241">
        <f ca="1">((T207*T148)/T19)*'Timing &amp; Flags'!P37</f>
        <v>0</v>
      </c>
      <c r="U210" s="1241">
        <f ca="1">((U207*U148)/U19)*'Timing &amp; Flags'!Q37</f>
        <v>0</v>
      </c>
      <c r="V210" s="1241">
        <f ca="1">((V207*V148)/V19)*'Timing &amp; Flags'!R37</f>
        <v>0</v>
      </c>
      <c r="W210" s="1241">
        <f ca="1">((W207*W148)/W19)*'Timing &amp; Flags'!S37</f>
        <v>0</v>
      </c>
      <c r="X210" s="1241">
        <f ca="1">((X207*X148)/X19)*'Timing &amp; Flags'!T37</f>
        <v>0</v>
      </c>
      <c r="Y210" s="1241">
        <f ca="1">((Y207*Y148)/Y19)*'Timing &amp; Flags'!U37</f>
        <v>0</v>
      </c>
      <c r="Z210" s="1241">
        <f ca="1">((Z207*Z148)/Z19)*'Timing &amp; Flags'!V37</f>
        <v>0</v>
      </c>
      <c r="AA210" s="1241">
        <f ca="1">((AA207*AA148)/AA19)*'Timing &amp; Flags'!W37</f>
        <v>0</v>
      </c>
      <c r="AB210" s="1241">
        <f ca="1">((AB207*AB148)/AB19)*'Timing &amp; Flags'!X37</f>
        <v>0</v>
      </c>
      <c r="AC210" s="1241">
        <f ca="1">((AC207*AC148)/AC19)*'Timing &amp; Flags'!Y37</f>
        <v>0</v>
      </c>
      <c r="AD210" s="1241">
        <f ca="1">((AD207*AD148)/AD19)*'Timing &amp; Flags'!Z37</f>
        <v>0</v>
      </c>
      <c r="AE210" s="1241">
        <f ca="1">((AE207*AE148)/AE19)*'Timing &amp; Flags'!AA37</f>
        <v>0</v>
      </c>
      <c r="AF210" s="1241">
        <f ca="1">((AF207*AF148)/AF19)*'Timing &amp; Flags'!AB37</f>
        <v>0</v>
      </c>
      <c r="AG210" s="1241">
        <f ca="1">((AG207*AG148)/AG19)*'Timing &amp; Flags'!AC37</f>
        <v>0</v>
      </c>
      <c r="AH210" s="1241">
        <f ca="1">((AH207*AH148)/AH19)*'Timing &amp; Flags'!AD37</f>
        <v>0</v>
      </c>
      <c r="AI210" s="1241">
        <f ca="1">((AI207*AI148)/AI19)*'Timing &amp; Flags'!AE37</f>
        <v>0</v>
      </c>
      <c r="AJ210" s="1241">
        <f ca="1">((AJ207*AJ148)/AJ19)*'Timing &amp; Flags'!AF37</f>
        <v>0</v>
      </c>
      <c r="AK210" s="1241">
        <f ca="1">((AK207*AK148)/AK19)*'Timing &amp; Flags'!AG37</f>
        <v>0</v>
      </c>
      <c r="AL210" s="1241">
        <f ca="1">((AL207*AL148)/AL19)*'Timing &amp; Flags'!AH37</f>
        <v>0</v>
      </c>
      <c r="AM210" s="1241">
        <f ca="1">((AM207*AM148)/AM19)*'Timing &amp; Flags'!AI37</f>
        <v>0</v>
      </c>
      <c r="AN210" s="1241">
        <f ca="1">((AN207*AN148)/AN19)*'Timing &amp; Flags'!AJ37</f>
        <v>0</v>
      </c>
      <c r="AO210" s="1241">
        <f ca="1">((AO207*AO148)/AO19)*'Timing &amp; Flags'!AK37</f>
        <v>0</v>
      </c>
      <c r="AP210" s="1241">
        <f ca="1">((AP207*AP148)/AP19)*'Timing &amp; Flags'!AL37</f>
        <v>0</v>
      </c>
      <c r="AQ210" s="1241"/>
      <c r="AR210" s="1241"/>
      <c r="AS210" s="1241"/>
      <c r="AT210" s="1241"/>
      <c r="AU210" s="1241"/>
      <c r="AV210" s="1241"/>
      <c r="AW210" s="1241"/>
      <c r="AX210" s="1241"/>
      <c r="AY210" s="1241"/>
      <c r="AZ210" s="1241"/>
      <c r="BA210" s="1241"/>
    </row>
    <row r="211" spans="3:53" outlineLevel="1">
      <c r="C211" s="354" t="s">
        <v>1446</v>
      </c>
      <c r="J211" s="432"/>
      <c r="M211" s="1241">
        <f>M208*M148</f>
        <v>0</v>
      </c>
      <c r="N211" s="1241">
        <f t="shared" ref="N211:O211" si="70">N208*N148</f>
        <v>640972.22222222225</v>
      </c>
      <c r="O211" s="1241">
        <f t="shared" ca="1" si="70"/>
        <v>1057604.1666666667</v>
      </c>
      <c r="P211" s="1241">
        <f t="shared" ref="P211:AP211" ca="1" si="71">P208*P148</f>
        <v>1257291.6666666665</v>
      </c>
      <c r="Q211" s="1241">
        <f t="shared" ca="1" si="71"/>
        <v>1311527.7777777778</v>
      </c>
      <c r="R211" s="1241">
        <f t="shared" ca="1" si="71"/>
        <v>1311527.7777777778</v>
      </c>
      <c r="S211" s="1241">
        <f t="shared" ca="1" si="71"/>
        <v>1311527.7777777778</v>
      </c>
      <c r="T211" s="1241">
        <f t="shared" ca="1" si="71"/>
        <v>1311527.7777777778</v>
      </c>
      <c r="U211" s="1241">
        <f t="shared" ca="1" si="71"/>
        <v>1311527.7777777778</v>
      </c>
      <c r="V211" s="1241">
        <f t="shared" ca="1" si="71"/>
        <v>1311527.7777777778</v>
      </c>
      <c r="W211" s="1241">
        <f t="shared" ca="1" si="71"/>
        <v>1311527.7777777778</v>
      </c>
      <c r="X211" s="1241">
        <f t="shared" ca="1" si="71"/>
        <v>1311527.7777777778</v>
      </c>
      <c r="Y211" s="1241">
        <f t="shared" ca="1" si="71"/>
        <v>1311527.7777777778</v>
      </c>
      <c r="Z211" s="1241">
        <f t="shared" ca="1" si="71"/>
        <v>1311527.7777777778</v>
      </c>
      <c r="AA211" s="1241">
        <f t="shared" ca="1" si="71"/>
        <v>1311527.7777777778</v>
      </c>
      <c r="AB211" s="1241">
        <f t="shared" ca="1" si="71"/>
        <v>1311527.7777777778</v>
      </c>
      <c r="AC211" s="1241">
        <f t="shared" ca="1" si="71"/>
        <v>1311527.7777777778</v>
      </c>
      <c r="AD211" s="1241">
        <f t="shared" ca="1" si="71"/>
        <v>1311527.7777777778</v>
      </c>
      <c r="AE211" s="1241">
        <f t="shared" ca="1" si="71"/>
        <v>1311527.7777777778</v>
      </c>
      <c r="AF211" s="1241">
        <f t="shared" ca="1" si="71"/>
        <v>1311527.7777777778</v>
      </c>
      <c r="AG211" s="1241">
        <f t="shared" ca="1" si="71"/>
        <v>1311527.7777777778</v>
      </c>
      <c r="AH211" s="1241">
        <f t="shared" ca="1" si="71"/>
        <v>1311527.7777777778</v>
      </c>
      <c r="AI211" s="1241">
        <f t="shared" ca="1" si="71"/>
        <v>1311527.7777777778</v>
      </c>
      <c r="AJ211" s="1241">
        <f t="shared" ca="1" si="71"/>
        <v>1311527.7777777778</v>
      </c>
      <c r="AK211" s="1241">
        <f t="shared" ca="1" si="71"/>
        <v>1311527.7777777778</v>
      </c>
      <c r="AL211" s="1241">
        <f t="shared" ca="1" si="71"/>
        <v>1311527.7777777778</v>
      </c>
      <c r="AM211" s="1241">
        <f t="shared" ca="1" si="71"/>
        <v>1311527.7777777778</v>
      </c>
      <c r="AN211" s="1241">
        <f t="shared" ca="1" si="71"/>
        <v>1311527.7777777778</v>
      </c>
      <c r="AO211" s="1241">
        <f t="shared" ca="1" si="71"/>
        <v>1311527.7777777778</v>
      </c>
      <c r="AP211" s="1241">
        <f t="shared" ca="1" si="71"/>
        <v>1311527.7777777778</v>
      </c>
      <c r="AQ211" s="1241"/>
      <c r="AR211" s="1241"/>
      <c r="AS211" s="1241"/>
      <c r="AT211" s="1241"/>
      <c r="AU211" s="1241"/>
      <c r="AV211" s="1241"/>
      <c r="AW211" s="1241"/>
      <c r="AX211" s="1241"/>
      <c r="AY211" s="1241"/>
      <c r="AZ211" s="1241"/>
      <c r="BA211" s="1241"/>
    </row>
    <row r="212" spans="3:53" outlineLevel="1">
      <c r="C212" s="354" t="s">
        <v>1447</v>
      </c>
      <c r="J212" s="432"/>
      <c r="M212" s="1241">
        <f ca="1">M210+M211</f>
        <v>0</v>
      </c>
      <c r="N212" s="1241">
        <f ca="1">N210+N211</f>
        <v>648078.26800692617</v>
      </c>
      <c r="O212" s="1241">
        <f t="shared" ref="O212:AP212" ca="1" si="72">O210+O211</f>
        <v>1069956.548183739</v>
      </c>
      <c r="P212" s="1241">
        <f t="shared" ca="1" si="72"/>
        <v>1257291.6666666665</v>
      </c>
      <c r="Q212" s="1241">
        <f t="shared" ca="1" si="72"/>
        <v>1311527.7777777778</v>
      </c>
      <c r="R212" s="1241">
        <f t="shared" ca="1" si="72"/>
        <v>1311527.7777777778</v>
      </c>
      <c r="S212" s="1241">
        <f t="shared" ca="1" si="72"/>
        <v>1311527.7777777778</v>
      </c>
      <c r="T212" s="1241">
        <f t="shared" ca="1" si="72"/>
        <v>1311527.7777777778</v>
      </c>
      <c r="U212" s="1241">
        <f t="shared" ca="1" si="72"/>
        <v>1311527.7777777778</v>
      </c>
      <c r="V212" s="1241">
        <f t="shared" ca="1" si="72"/>
        <v>1311527.7777777778</v>
      </c>
      <c r="W212" s="1241">
        <f t="shared" ca="1" si="72"/>
        <v>1311527.7777777778</v>
      </c>
      <c r="X212" s="1241">
        <f t="shared" ca="1" si="72"/>
        <v>1311527.7777777778</v>
      </c>
      <c r="Y212" s="1241">
        <f t="shared" ca="1" si="72"/>
        <v>1311527.7777777778</v>
      </c>
      <c r="Z212" s="1241">
        <f t="shared" ca="1" si="72"/>
        <v>1311527.7777777778</v>
      </c>
      <c r="AA212" s="1241">
        <f t="shared" ca="1" si="72"/>
        <v>1311527.7777777778</v>
      </c>
      <c r="AB212" s="1241">
        <f t="shared" ca="1" si="72"/>
        <v>1311527.7777777778</v>
      </c>
      <c r="AC212" s="1241">
        <f t="shared" ca="1" si="72"/>
        <v>1311527.7777777778</v>
      </c>
      <c r="AD212" s="1241">
        <f t="shared" ca="1" si="72"/>
        <v>1311527.7777777778</v>
      </c>
      <c r="AE212" s="1241">
        <f t="shared" ca="1" si="72"/>
        <v>1311527.7777777778</v>
      </c>
      <c r="AF212" s="1241">
        <f t="shared" ca="1" si="72"/>
        <v>1311527.7777777778</v>
      </c>
      <c r="AG212" s="1241">
        <f t="shared" ca="1" si="72"/>
        <v>1311527.7777777778</v>
      </c>
      <c r="AH212" s="1241">
        <f t="shared" ca="1" si="72"/>
        <v>1311527.7777777778</v>
      </c>
      <c r="AI212" s="1241">
        <f t="shared" ca="1" si="72"/>
        <v>1311527.7777777778</v>
      </c>
      <c r="AJ212" s="1241">
        <f t="shared" ca="1" si="72"/>
        <v>1311527.7777777778</v>
      </c>
      <c r="AK212" s="1241">
        <f t="shared" ca="1" si="72"/>
        <v>1311527.7777777778</v>
      </c>
      <c r="AL212" s="1241">
        <f t="shared" ca="1" si="72"/>
        <v>1311527.7777777778</v>
      </c>
      <c r="AM212" s="1241">
        <f t="shared" ca="1" si="72"/>
        <v>1311527.7777777778</v>
      </c>
      <c r="AN212" s="1241">
        <f t="shared" ca="1" si="72"/>
        <v>1311527.7777777778</v>
      </c>
      <c r="AO212" s="1241">
        <f t="shared" ca="1" si="72"/>
        <v>1311527.7777777778</v>
      </c>
      <c r="AP212" s="1241">
        <f t="shared" ca="1" si="72"/>
        <v>1311527.7777777778</v>
      </c>
      <c r="AQ212" s="1241"/>
      <c r="AR212" s="1241"/>
      <c r="AS212" s="1241"/>
      <c r="AT212" s="1241"/>
      <c r="AU212" s="1241"/>
      <c r="AV212" s="1241"/>
      <c r="AW212" s="1241"/>
      <c r="AX212" s="1241"/>
      <c r="AY212" s="1241"/>
      <c r="AZ212" s="1241"/>
      <c r="BA212" s="1241"/>
    </row>
    <row r="213" spans="3:53" outlineLevel="1">
      <c r="C213" s="1223" t="s">
        <v>2377</v>
      </c>
      <c r="J213" s="432"/>
      <c r="M213" s="1241"/>
      <c r="N213" s="1241"/>
      <c r="O213" s="1241"/>
      <c r="P213" s="1241"/>
      <c r="Q213" s="1241"/>
      <c r="R213" s="1241"/>
      <c r="S213" s="1241"/>
      <c r="T213" s="1241"/>
      <c r="U213" s="1241"/>
      <c r="V213" s="1241"/>
      <c r="W213" s="1241"/>
      <c r="X213" s="1241"/>
      <c r="Y213" s="1241"/>
      <c r="Z213" s="1241"/>
      <c r="AA213" s="1241"/>
      <c r="AB213" s="1241"/>
      <c r="AC213" s="1241"/>
      <c r="AD213" s="1241"/>
      <c r="AE213" s="1241"/>
      <c r="AF213" s="1241"/>
      <c r="AG213" s="1241"/>
      <c r="AH213" s="1241"/>
      <c r="AI213" s="1241"/>
      <c r="AJ213" s="1241"/>
      <c r="AK213" s="1241"/>
      <c r="AL213" s="1241"/>
      <c r="AM213" s="1241"/>
      <c r="AN213" s="1241"/>
      <c r="AO213" s="1241"/>
      <c r="AP213" s="1241"/>
      <c r="AQ213" s="1241"/>
      <c r="AR213" s="1241"/>
      <c r="AS213" s="1241"/>
      <c r="AT213" s="1241"/>
      <c r="AU213" s="1241"/>
      <c r="AV213" s="1241"/>
      <c r="AW213" s="1241"/>
      <c r="AX213" s="1241"/>
      <c r="AY213" s="1241"/>
      <c r="AZ213" s="1241"/>
      <c r="BA213" s="1241"/>
    </row>
    <row r="214" spans="3:53" outlineLevel="1">
      <c r="J214" s="432"/>
      <c r="M214" s="1241"/>
      <c r="N214" s="1241"/>
      <c r="O214" s="1241"/>
      <c r="P214" s="1241"/>
      <c r="Q214" s="1241"/>
      <c r="R214" s="1241"/>
      <c r="S214" s="1241"/>
      <c r="T214" s="1241"/>
      <c r="U214" s="1241"/>
      <c r="V214" s="1241"/>
      <c r="W214" s="1241"/>
      <c r="X214" s="1241"/>
      <c r="Y214" s="1241"/>
      <c r="Z214" s="1241"/>
      <c r="AA214" s="1241"/>
      <c r="AB214" s="1241"/>
      <c r="AC214" s="1241"/>
      <c r="AD214" s="1241"/>
      <c r="AE214" s="1241"/>
      <c r="AF214" s="1241"/>
      <c r="AG214" s="1241"/>
      <c r="AH214" s="1241"/>
      <c r="AI214" s="1241"/>
      <c r="AJ214" s="1241"/>
      <c r="AK214" s="1241"/>
      <c r="AL214" s="1241"/>
      <c r="AM214" s="1241"/>
      <c r="AN214" s="1241"/>
      <c r="AO214" s="1241"/>
      <c r="AP214" s="1241"/>
      <c r="AQ214" s="1241"/>
      <c r="AR214" s="1241"/>
      <c r="AS214" s="1241"/>
      <c r="AT214" s="1241"/>
      <c r="AU214" s="1241"/>
      <c r="AV214" s="1241"/>
      <c r="AW214" s="1241"/>
      <c r="AX214" s="1241"/>
      <c r="AY214" s="1241"/>
      <c r="AZ214" s="1241"/>
      <c r="BA214" s="1241"/>
    </row>
    <row r="215" spans="3:53" outlineLevel="1">
      <c r="J215" s="432"/>
      <c r="M215" s="1241"/>
      <c r="N215" s="1241"/>
      <c r="O215" s="1241"/>
      <c r="P215" s="1241"/>
      <c r="Q215" s="1241"/>
      <c r="R215" s="1241"/>
      <c r="S215" s="1241"/>
      <c r="T215" s="1241"/>
      <c r="U215" s="1241"/>
      <c r="V215" s="1241"/>
      <c r="W215" s="1241"/>
      <c r="X215" s="1241"/>
      <c r="Y215" s="1241"/>
      <c r="Z215" s="1241"/>
      <c r="AA215" s="1241"/>
      <c r="AB215" s="1241"/>
      <c r="AC215" s="1241"/>
      <c r="AD215" s="1241"/>
      <c r="AE215" s="1241"/>
      <c r="AF215" s="1241"/>
      <c r="AG215" s="1241"/>
      <c r="AH215" s="1241"/>
      <c r="AI215" s="1241"/>
      <c r="AJ215" s="1241"/>
      <c r="AK215" s="1241"/>
      <c r="AL215" s="1241"/>
      <c r="AM215" s="1241"/>
      <c r="AN215" s="1241"/>
      <c r="AO215" s="1241"/>
      <c r="AP215" s="1241"/>
      <c r="AQ215" s="1241"/>
      <c r="AR215" s="1241"/>
      <c r="AS215" s="1241"/>
      <c r="AT215" s="1241"/>
      <c r="AU215" s="1241"/>
      <c r="AV215" s="1241"/>
      <c r="AW215" s="1241"/>
      <c r="AX215" s="1241"/>
      <c r="AY215" s="1241"/>
      <c r="AZ215" s="1241"/>
      <c r="BA215" s="1241"/>
    </row>
    <row r="216" spans="3:53" outlineLevel="1">
      <c r="J216" s="432"/>
      <c r="M216" s="1241"/>
      <c r="N216" s="1241"/>
      <c r="O216" s="1241"/>
      <c r="P216" s="1241"/>
      <c r="Q216" s="1241"/>
      <c r="R216" s="1241"/>
      <c r="S216" s="1241"/>
      <c r="T216" s="1241"/>
      <c r="U216" s="1241"/>
      <c r="V216" s="1241"/>
      <c r="W216" s="1241"/>
      <c r="X216" s="1241"/>
      <c r="Y216" s="1241"/>
      <c r="Z216" s="1241"/>
      <c r="AA216" s="1241"/>
      <c r="AB216" s="1241"/>
      <c r="AC216" s="1241"/>
      <c r="AD216" s="1241"/>
      <c r="AE216" s="1241"/>
      <c r="AF216" s="1241"/>
      <c r="AG216" s="1241"/>
      <c r="AH216" s="1241"/>
      <c r="AI216" s="1241"/>
      <c r="AJ216" s="1241"/>
      <c r="AK216" s="1241"/>
      <c r="AL216" s="1241"/>
      <c r="AM216" s="1241"/>
      <c r="AN216" s="1241"/>
      <c r="AO216" s="1241"/>
      <c r="AP216" s="1241"/>
      <c r="AQ216" s="1241"/>
      <c r="AR216" s="1241"/>
      <c r="AS216" s="1241"/>
      <c r="AT216" s="1241"/>
      <c r="AU216" s="1241"/>
      <c r="AV216" s="1241"/>
      <c r="AW216" s="1241"/>
      <c r="AX216" s="1241"/>
      <c r="AY216" s="1241"/>
      <c r="AZ216" s="1241"/>
      <c r="BA216" s="1241"/>
    </row>
    <row r="217" spans="3:53" ht="13.5" outlineLevel="1">
      <c r="C217" s="320" t="s">
        <v>1440</v>
      </c>
      <c r="H217" s="320"/>
      <c r="I217" s="323" t="s">
        <v>1390</v>
      </c>
      <c r="J217" s="1023">
        <v>1</v>
      </c>
      <c r="M217" s="1235">
        <f t="shared" ref="M217:AP217" si="73">Cost_of_Water*M40</f>
        <v>1.0229999999999999</v>
      </c>
      <c r="N217" s="1235">
        <f t="shared" si="73"/>
        <v>1.0465289999999998</v>
      </c>
      <c r="O217" s="1235">
        <f t="shared" si="73"/>
        <v>1.0705991669999997</v>
      </c>
      <c r="P217" s="1235">
        <f t="shared" si="73"/>
        <v>1.0952229478409996</v>
      </c>
      <c r="Q217" s="1235">
        <f t="shared" si="73"/>
        <v>1.1204130756413424</v>
      </c>
      <c r="R217" s="1235">
        <f t="shared" si="73"/>
        <v>1.1473029894567346</v>
      </c>
      <c r="S217" s="1235">
        <f t="shared" si="73"/>
        <v>1.1748382612036963</v>
      </c>
      <c r="T217" s="1235">
        <f t="shared" si="73"/>
        <v>1.2030343794725851</v>
      </c>
      <c r="U217" s="1235">
        <f t="shared" si="73"/>
        <v>1.2319072045799271</v>
      </c>
      <c r="V217" s="1235">
        <f t="shared" si="73"/>
        <v>1.2614729774898454</v>
      </c>
      <c r="W217" s="1235">
        <f t="shared" si="73"/>
        <v>1.2917483289496017</v>
      </c>
      <c r="X217" s="1235">
        <f t="shared" si="73"/>
        <v>1.3227502888443921</v>
      </c>
      <c r="Y217" s="1235">
        <f t="shared" si="73"/>
        <v>1.3544962957766575</v>
      </c>
      <c r="Z217" s="1235">
        <f t="shared" si="73"/>
        <v>1.3870042068752972</v>
      </c>
      <c r="AA217" s="1235">
        <f t="shared" si="73"/>
        <v>1.4202923078403045</v>
      </c>
      <c r="AB217" s="1235">
        <f t="shared" si="73"/>
        <v>1.4543793232284719</v>
      </c>
      <c r="AC217" s="1235">
        <f t="shared" si="73"/>
        <v>1.4892844269859553</v>
      </c>
      <c r="AD217" s="1235">
        <f t="shared" si="73"/>
        <v>1.5250272532336182</v>
      </c>
      <c r="AE217" s="1235">
        <f t="shared" si="73"/>
        <v>1.5616279073112251</v>
      </c>
      <c r="AF217" s="1235">
        <f t="shared" si="73"/>
        <v>1.5991069770866946</v>
      </c>
      <c r="AG217" s="1235">
        <f t="shared" si="73"/>
        <v>1.6374855445367753</v>
      </c>
      <c r="AH217" s="1235">
        <f t="shared" si="73"/>
        <v>1.676785197605658</v>
      </c>
      <c r="AI217" s="1235">
        <f t="shared" si="73"/>
        <v>1.7170280423481938</v>
      </c>
      <c r="AJ217" s="1235">
        <f t="shared" si="73"/>
        <v>1.7582367153645506</v>
      </c>
      <c r="AK217" s="1235">
        <f t="shared" si="73"/>
        <v>1.8004343965332998</v>
      </c>
      <c r="AL217" s="1235">
        <f t="shared" si="73"/>
        <v>1.8436448220500992</v>
      </c>
      <c r="AM217" s="1235">
        <f t="shared" si="73"/>
        <v>1.8878922977793016</v>
      </c>
      <c r="AN217" s="1235">
        <f t="shared" si="73"/>
        <v>1.9332017129260048</v>
      </c>
      <c r="AO217" s="1235">
        <f t="shared" si="73"/>
        <v>1.9795985540362291</v>
      </c>
      <c r="AP217" s="1235">
        <f t="shared" si="73"/>
        <v>2.0271089193330987</v>
      </c>
      <c r="AQ217" s="1235"/>
      <c r="AR217" s="1235"/>
      <c r="AS217" s="1235"/>
      <c r="AT217" s="1235"/>
      <c r="AU217" s="1235"/>
      <c r="AV217" s="1235"/>
      <c r="AW217" s="1235"/>
      <c r="AX217" s="1235"/>
      <c r="AY217" s="1235"/>
      <c r="AZ217" s="1235"/>
      <c r="BA217" s="1235"/>
    </row>
    <row r="218" spans="3:53" s="354" customFormat="1" ht="13.5" outlineLevel="1">
      <c r="C218" s="1223"/>
      <c r="I218" s="323" t="s">
        <v>1448</v>
      </c>
      <c r="J218" s="1224">
        <f>Cost_of_Water*Fx_Rate</f>
        <v>1400</v>
      </c>
      <c r="M218" s="343">
        <f t="shared" ref="M218:AP218" si="74">M217*M51</f>
        <v>1432.1999999999998</v>
      </c>
      <c r="N218" s="343">
        <f t="shared" si="74"/>
        <v>1553.0490359999997</v>
      </c>
      <c r="O218" s="343">
        <f t="shared" si="74"/>
        <v>1684.0953136576798</v>
      </c>
      <c r="P218" s="343">
        <f t="shared" si="74"/>
        <v>1826.1992762241148</v>
      </c>
      <c r="Q218" s="343">
        <f t="shared" si="74"/>
        <v>1980.2939711519055</v>
      </c>
      <c r="R218" s="343">
        <f t="shared" si="74"/>
        <v>2149.4902880471241</v>
      </c>
      <c r="S218" s="343">
        <f t="shared" si="74"/>
        <v>2333.1427382578709</v>
      </c>
      <c r="T218" s="343">
        <f t="shared" si="74"/>
        <v>2532.4864538146235</v>
      </c>
      <c r="U218" s="343">
        <f t="shared" si="74"/>
        <v>2748.8620964285446</v>
      </c>
      <c r="V218" s="343">
        <f t="shared" si="74"/>
        <v>2983.7248739474003</v>
      </c>
      <c r="W218" s="343">
        <f t="shared" si="74"/>
        <v>3238.6543271774663</v>
      </c>
      <c r="X218" s="343">
        <f t="shared" si="74"/>
        <v>3515.3649528915093</v>
      </c>
      <c r="Y218" s="343">
        <f t="shared" si="74"/>
        <v>3815.7177344665602</v>
      </c>
      <c r="Z218" s="343">
        <f t="shared" si="74"/>
        <v>4141.7326576993837</v>
      </c>
      <c r="AA218" s="343">
        <f t="shared" si="74"/>
        <v>4495.602295973219</v>
      </c>
      <c r="AB218" s="343">
        <f t="shared" si="74"/>
        <v>4879.7065561411709</v>
      </c>
      <c r="AC218" s="343">
        <f t="shared" si="74"/>
        <v>5296.6286842978734</v>
      </c>
      <c r="AD218" s="343">
        <f t="shared" si="74"/>
        <v>5749.1726390842841</v>
      </c>
      <c r="AE218" s="343">
        <f t="shared" si="74"/>
        <v>6240.3819493676456</v>
      </c>
      <c r="AF218" s="343">
        <f t="shared" si="74"/>
        <v>6773.5601831216181</v>
      </c>
      <c r="AG218" s="343">
        <f t="shared" si="74"/>
        <v>7352.2931651675299</v>
      </c>
      <c r="AH218" s="343">
        <f t="shared" si="74"/>
        <v>7980.4730931994445</v>
      </c>
      <c r="AI218" s="343">
        <f t="shared" si="74"/>
        <v>8662.3247142824057</v>
      </c>
      <c r="AJ218" s="343">
        <f t="shared" si="74"/>
        <v>9402.433737870695</v>
      </c>
      <c r="AK218" s="343">
        <f t="shared" si="74"/>
        <v>10205.777676434369</v>
      </c>
      <c r="AL218" s="343">
        <f t="shared" si="74"/>
        <v>11077.759321108922</v>
      </c>
      <c r="AM218" s="343">
        <f t="shared" si="74"/>
        <v>12024.24307750447</v>
      </c>
      <c r="AN218" s="343">
        <f t="shared" si="74"/>
        <v>13051.594406046452</v>
      </c>
      <c r="AO218" s="343">
        <f t="shared" si="74"/>
        <v>14166.722632099063</v>
      </c>
      <c r="AP218" s="343">
        <f t="shared" si="74"/>
        <v>15377.127413785609</v>
      </c>
      <c r="AQ218" s="343"/>
      <c r="AR218" s="343"/>
      <c r="AS218" s="343"/>
      <c r="AT218" s="343"/>
      <c r="AU218" s="343"/>
      <c r="AV218" s="343"/>
      <c r="AW218" s="343"/>
      <c r="AX218" s="343"/>
      <c r="AY218" s="343"/>
      <c r="AZ218" s="343"/>
      <c r="BA218" s="343"/>
    </row>
    <row r="219" spans="3:53" s="354" customFormat="1" outlineLevel="1">
      <c r="C219" s="1223"/>
      <c r="I219" s="323"/>
      <c r="J219" s="1224"/>
      <c r="M219" s="343"/>
      <c r="N219" s="343"/>
      <c r="O219" s="343"/>
      <c r="P219" s="343"/>
      <c r="Q219" s="343"/>
      <c r="R219" s="343"/>
      <c r="S219" s="343"/>
      <c r="T219" s="343"/>
      <c r="U219" s="343"/>
      <c r="V219" s="343"/>
      <c r="W219" s="343"/>
      <c r="X219" s="343"/>
      <c r="Y219" s="343"/>
      <c r="Z219" s="343"/>
      <c r="AA219" s="343"/>
      <c r="AB219" s="343"/>
      <c r="AC219" s="343"/>
      <c r="AD219" s="343"/>
      <c r="AE219" s="343"/>
      <c r="AF219" s="343"/>
      <c r="AG219" s="343"/>
      <c r="AH219" s="343"/>
      <c r="AI219" s="343"/>
      <c r="AJ219" s="343"/>
      <c r="AK219" s="343"/>
      <c r="AL219" s="343"/>
      <c r="AM219" s="343"/>
      <c r="AN219" s="343"/>
      <c r="AO219" s="343"/>
      <c r="AP219" s="343"/>
      <c r="AQ219" s="343"/>
      <c r="AR219" s="343"/>
      <c r="AS219" s="343"/>
      <c r="AT219" s="343"/>
      <c r="AU219" s="343"/>
      <c r="AV219" s="343"/>
      <c r="AW219" s="343"/>
      <c r="AX219" s="343"/>
      <c r="AY219" s="343"/>
      <c r="AZ219" s="343"/>
      <c r="BA219" s="343"/>
    </row>
    <row r="220" spans="3:53" s="354" customFormat="1" outlineLevel="1">
      <c r="C220" s="1223"/>
      <c r="I220" s="323"/>
      <c r="J220" s="1224"/>
      <c r="M220" s="343"/>
      <c r="N220" s="343"/>
      <c r="O220" s="343"/>
      <c r="P220" s="343"/>
      <c r="Q220" s="343"/>
      <c r="R220" s="343"/>
      <c r="S220" s="343"/>
      <c r="T220" s="343"/>
      <c r="U220" s="343"/>
      <c r="V220" s="343"/>
      <c r="W220" s="343"/>
      <c r="X220" s="343"/>
      <c r="Y220" s="343"/>
      <c r="Z220" s="343"/>
      <c r="AA220" s="343"/>
      <c r="AB220" s="343"/>
      <c r="AC220" s="343"/>
      <c r="AD220" s="343"/>
      <c r="AE220" s="343"/>
      <c r="AF220" s="343"/>
      <c r="AG220" s="343"/>
      <c r="AH220" s="343"/>
      <c r="AI220" s="343"/>
      <c r="AJ220" s="343"/>
      <c r="AK220" s="343"/>
      <c r="AL220" s="343"/>
      <c r="AM220" s="343"/>
      <c r="AN220" s="343"/>
      <c r="AO220" s="343"/>
      <c r="AP220" s="343"/>
      <c r="AQ220" s="343"/>
      <c r="AR220" s="343"/>
      <c r="AS220" s="343"/>
      <c r="AT220" s="343"/>
      <c r="AU220" s="343"/>
      <c r="AV220" s="343"/>
      <c r="AW220" s="343"/>
      <c r="AX220" s="343"/>
      <c r="AY220" s="343"/>
      <c r="AZ220" s="343"/>
      <c r="BA220" s="343"/>
    </row>
    <row r="221" spans="3:53" s="354" customFormat="1" ht="13.5" outlineLevel="1">
      <c r="C221" s="1315" t="s">
        <v>1450</v>
      </c>
      <c r="I221" s="323"/>
      <c r="J221" s="1224"/>
      <c r="M221" s="343"/>
      <c r="N221" s="343"/>
      <c r="O221" s="343"/>
      <c r="P221" s="343"/>
      <c r="Q221" s="343"/>
      <c r="R221" s="343"/>
      <c r="S221" s="343"/>
      <c r="T221" s="343"/>
      <c r="U221" s="343"/>
      <c r="V221" s="343"/>
      <c r="W221" s="343"/>
      <c r="X221" s="343"/>
      <c r="Y221" s="343"/>
      <c r="Z221" s="343"/>
      <c r="AA221" s="343"/>
      <c r="AB221" s="343"/>
      <c r="AC221" s="343"/>
      <c r="AD221" s="343"/>
      <c r="AE221" s="343"/>
      <c r="AF221" s="343"/>
      <c r="AG221" s="343"/>
      <c r="AH221" s="343"/>
      <c r="AI221" s="343"/>
      <c r="AJ221" s="343"/>
      <c r="AK221" s="343"/>
      <c r="AL221" s="343"/>
      <c r="AM221" s="343"/>
      <c r="AN221" s="343"/>
      <c r="AO221" s="343"/>
      <c r="AP221" s="343"/>
      <c r="AQ221" s="343"/>
      <c r="AR221" s="343"/>
      <c r="AS221" s="343"/>
      <c r="AT221" s="343"/>
      <c r="AU221" s="343"/>
      <c r="AV221" s="343"/>
      <c r="AW221" s="343"/>
      <c r="AX221" s="343"/>
      <c r="AY221" s="343"/>
      <c r="AZ221" s="343"/>
      <c r="BA221" s="343"/>
    </row>
    <row r="222" spans="3:53" s="354" customFormat="1" outlineLevel="1">
      <c r="C222" s="1223"/>
      <c r="I222" s="323"/>
      <c r="J222" s="1224"/>
      <c r="M222" s="343"/>
      <c r="N222" s="343"/>
      <c r="O222" s="343"/>
      <c r="P222" s="343"/>
      <c r="Q222" s="343"/>
      <c r="R222" s="343"/>
      <c r="S222" s="343"/>
      <c r="T222" s="343"/>
      <c r="U222" s="343"/>
      <c r="V222" s="343"/>
      <c r="W222" s="343"/>
      <c r="X222" s="343"/>
      <c r="Y222" s="343"/>
      <c r="Z222" s="343"/>
      <c r="AA222" s="343"/>
      <c r="AB222" s="343"/>
      <c r="AC222" s="343"/>
      <c r="AD222" s="343"/>
      <c r="AE222" s="343"/>
      <c r="AF222" s="343"/>
      <c r="AG222" s="343"/>
      <c r="AH222" s="343"/>
      <c r="AI222" s="343"/>
      <c r="AJ222" s="343"/>
      <c r="AK222" s="343"/>
      <c r="AL222" s="343"/>
      <c r="AM222" s="343"/>
      <c r="AN222" s="343"/>
      <c r="AO222" s="343"/>
      <c r="AP222" s="343"/>
      <c r="AQ222" s="343"/>
      <c r="AR222" s="343"/>
      <c r="AS222" s="343"/>
      <c r="AT222" s="343"/>
      <c r="AU222" s="343"/>
      <c r="AV222" s="343"/>
      <c r="AW222" s="343"/>
      <c r="AX222" s="343"/>
      <c r="AY222" s="343"/>
      <c r="AZ222" s="343"/>
      <c r="BA222" s="343"/>
    </row>
    <row r="223" spans="3:53" s="354" customFormat="1" outlineLevel="1">
      <c r="C223" s="356" t="s">
        <v>1468</v>
      </c>
      <c r="I223" s="323"/>
      <c r="J223" s="1347">
        <f>IF(J102=1,'Capex Phasing Urea'!E134,IF('Assumption '!J102=2,'Capex Phasing Urea'!E135,0))</f>
        <v>1.3333320000000001E-5</v>
      </c>
      <c r="M223" s="1348">
        <f>$J$223</f>
        <v>1.3333320000000001E-5</v>
      </c>
      <c r="N223" s="1348">
        <f t="shared" ref="N223:AP223" si="75">$J$223</f>
        <v>1.3333320000000001E-5</v>
      </c>
      <c r="O223" s="1348">
        <f t="shared" si="75"/>
        <v>1.3333320000000001E-5</v>
      </c>
      <c r="P223" s="1348">
        <f t="shared" si="75"/>
        <v>1.3333320000000001E-5</v>
      </c>
      <c r="Q223" s="1348">
        <f t="shared" si="75"/>
        <v>1.3333320000000001E-5</v>
      </c>
      <c r="R223" s="1348">
        <f t="shared" si="75"/>
        <v>1.3333320000000001E-5</v>
      </c>
      <c r="S223" s="1348">
        <f t="shared" si="75"/>
        <v>1.3333320000000001E-5</v>
      </c>
      <c r="T223" s="1348">
        <f t="shared" si="75"/>
        <v>1.3333320000000001E-5</v>
      </c>
      <c r="U223" s="1348">
        <f t="shared" si="75"/>
        <v>1.3333320000000001E-5</v>
      </c>
      <c r="V223" s="1348">
        <f t="shared" si="75"/>
        <v>1.3333320000000001E-5</v>
      </c>
      <c r="W223" s="1348">
        <f t="shared" si="75"/>
        <v>1.3333320000000001E-5</v>
      </c>
      <c r="X223" s="1348">
        <f t="shared" si="75"/>
        <v>1.3333320000000001E-5</v>
      </c>
      <c r="Y223" s="1348">
        <f t="shared" si="75"/>
        <v>1.3333320000000001E-5</v>
      </c>
      <c r="Z223" s="1348">
        <f t="shared" si="75"/>
        <v>1.3333320000000001E-5</v>
      </c>
      <c r="AA223" s="1348">
        <f t="shared" si="75"/>
        <v>1.3333320000000001E-5</v>
      </c>
      <c r="AB223" s="1348">
        <f t="shared" si="75"/>
        <v>1.3333320000000001E-5</v>
      </c>
      <c r="AC223" s="1348">
        <f t="shared" si="75"/>
        <v>1.3333320000000001E-5</v>
      </c>
      <c r="AD223" s="1348">
        <f t="shared" si="75"/>
        <v>1.3333320000000001E-5</v>
      </c>
      <c r="AE223" s="1348">
        <f t="shared" si="75"/>
        <v>1.3333320000000001E-5</v>
      </c>
      <c r="AF223" s="1348">
        <f t="shared" si="75"/>
        <v>1.3333320000000001E-5</v>
      </c>
      <c r="AG223" s="1348">
        <f t="shared" si="75"/>
        <v>1.3333320000000001E-5</v>
      </c>
      <c r="AH223" s="1348">
        <f t="shared" si="75"/>
        <v>1.3333320000000001E-5</v>
      </c>
      <c r="AI223" s="1348">
        <f t="shared" si="75"/>
        <v>1.3333320000000001E-5</v>
      </c>
      <c r="AJ223" s="1348">
        <f t="shared" si="75"/>
        <v>1.3333320000000001E-5</v>
      </c>
      <c r="AK223" s="1348">
        <f t="shared" si="75"/>
        <v>1.3333320000000001E-5</v>
      </c>
      <c r="AL223" s="1348">
        <f t="shared" si="75"/>
        <v>1.3333320000000001E-5</v>
      </c>
      <c r="AM223" s="1348">
        <f t="shared" si="75"/>
        <v>1.3333320000000001E-5</v>
      </c>
      <c r="AN223" s="1348">
        <f t="shared" si="75"/>
        <v>1.3333320000000001E-5</v>
      </c>
      <c r="AO223" s="1348">
        <f t="shared" si="75"/>
        <v>1.3333320000000001E-5</v>
      </c>
      <c r="AP223" s="1348">
        <f t="shared" si="75"/>
        <v>1.3333320000000001E-5</v>
      </c>
      <c r="AQ223" s="1348"/>
      <c r="AR223" s="1348"/>
      <c r="AS223" s="1348"/>
      <c r="AT223" s="1348"/>
      <c r="AU223" s="1348"/>
      <c r="AV223" s="1348"/>
      <c r="AW223" s="1348"/>
      <c r="AX223" s="1348"/>
      <c r="AY223" s="1348"/>
      <c r="AZ223" s="1348"/>
      <c r="BA223" s="1348"/>
    </row>
    <row r="224" spans="3:53" s="354" customFormat="1" outlineLevel="1">
      <c r="C224" s="356" t="s">
        <v>1469</v>
      </c>
      <c r="I224" s="323"/>
      <c r="J224" s="1224"/>
      <c r="M224" s="343">
        <f t="shared" ref="M224:AP224" si="76">M223*M145</f>
        <v>0</v>
      </c>
      <c r="N224" s="343">
        <f t="shared" si="76"/>
        <v>12.999987000000001</v>
      </c>
      <c r="O224" s="343">
        <f t="shared" ca="1" si="76"/>
        <v>24.916641750000004</v>
      </c>
      <c r="P224" s="343">
        <f t="shared" ca="1" si="76"/>
        <v>29.833303500000003</v>
      </c>
      <c r="Q224" s="343">
        <f t="shared" ca="1" si="76"/>
        <v>31.666635000000003</v>
      </c>
      <c r="R224" s="343">
        <f t="shared" ca="1" si="76"/>
        <v>31.666635000000003</v>
      </c>
      <c r="S224" s="343">
        <f t="shared" ca="1" si="76"/>
        <v>31.666635000000003</v>
      </c>
      <c r="T224" s="343">
        <f t="shared" ca="1" si="76"/>
        <v>31.666635000000003</v>
      </c>
      <c r="U224" s="343">
        <f t="shared" ca="1" si="76"/>
        <v>31.666635000000003</v>
      </c>
      <c r="V224" s="343">
        <f t="shared" ca="1" si="76"/>
        <v>31.666635000000003</v>
      </c>
      <c r="W224" s="343">
        <f t="shared" ca="1" si="76"/>
        <v>31.666635000000003</v>
      </c>
      <c r="X224" s="343">
        <f t="shared" ca="1" si="76"/>
        <v>31.666635000000003</v>
      </c>
      <c r="Y224" s="343">
        <f t="shared" ca="1" si="76"/>
        <v>31.666635000000003</v>
      </c>
      <c r="Z224" s="343">
        <f t="shared" ca="1" si="76"/>
        <v>31.666635000000003</v>
      </c>
      <c r="AA224" s="343">
        <f t="shared" ca="1" si="76"/>
        <v>31.666635000000003</v>
      </c>
      <c r="AB224" s="343">
        <f t="shared" ca="1" si="76"/>
        <v>31.666635000000003</v>
      </c>
      <c r="AC224" s="343">
        <f t="shared" ca="1" si="76"/>
        <v>31.666635000000003</v>
      </c>
      <c r="AD224" s="343">
        <f t="shared" ca="1" si="76"/>
        <v>31.666635000000003</v>
      </c>
      <c r="AE224" s="343">
        <f t="shared" ca="1" si="76"/>
        <v>31.666635000000003</v>
      </c>
      <c r="AF224" s="343">
        <f t="shared" ca="1" si="76"/>
        <v>31.666635000000003</v>
      </c>
      <c r="AG224" s="343">
        <f t="shared" ca="1" si="76"/>
        <v>31.666635000000003</v>
      </c>
      <c r="AH224" s="343">
        <f t="shared" ca="1" si="76"/>
        <v>31.666635000000003</v>
      </c>
      <c r="AI224" s="343">
        <f t="shared" ca="1" si="76"/>
        <v>31.666635000000003</v>
      </c>
      <c r="AJ224" s="343">
        <f t="shared" ca="1" si="76"/>
        <v>31.666635000000003</v>
      </c>
      <c r="AK224" s="343">
        <f t="shared" ca="1" si="76"/>
        <v>31.666635000000003</v>
      </c>
      <c r="AL224" s="343">
        <f t="shared" ca="1" si="76"/>
        <v>31.666635000000003</v>
      </c>
      <c r="AM224" s="343">
        <f t="shared" ca="1" si="76"/>
        <v>31.666635000000003</v>
      </c>
      <c r="AN224" s="343">
        <f t="shared" ca="1" si="76"/>
        <v>31.666635000000003</v>
      </c>
      <c r="AO224" s="343">
        <f t="shared" ca="1" si="76"/>
        <v>31.666635000000003</v>
      </c>
      <c r="AP224" s="343">
        <f t="shared" ca="1" si="76"/>
        <v>31.666635000000003</v>
      </c>
      <c r="AQ224" s="343"/>
      <c r="AR224" s="343"/>
      <c r="AS224" s="343"/>
      <c r="AT224" s="343"/>
      <c r="AU224" s="343"/>
      <c r="AV224" s="343"/>
      <c r="AW224" s="343"/>
      <c r="AX224" s="343"/>
      <c r="AY224" s="343"/>
      <c r="AZ224" s="343"/>
      <c r="BA224" s="343"/>
    </row>
    <row r="225" spans="3:53" outlineLevel="1">
      <c r="C225" s="1349" t="s">
        <v>1470</v>
      </c>
      <c r="I225" s="1346" t="s">
        <v>2077</v>
      </c>
      <c r="J225" s="432">
        <v>2400</v>
      </c>
      <c r="M225" s="1241">
        <f t="shared" ref="M225:AP225" si="77">$J$225*M44</f>
        <v>2472</v>
      </c>
      <c r="N225" s="1241">
        <f t="shared" si="77"/>
        <v>2472</v>
      </c>
      <c r="O225" s="1241">
        <f t="shared" si="77"/>
        <v>2472</v>
      </c>
      <c r="P225" s="1241">
        <f t="shared" si="77"/>
        <v>2546.16</v>
      </c>
      <c r="Q225" s="1241">
        <f t="shared" si="77"/>
        <v>2622.5448000000001</v>
      </c>
      <c r="R225" s="1241">
        <f t="shared" si="77"/>
        <v>2701.2211440000005</v>
      </c>
      <c r="S225" s="1241">
        <f t="shared" si="77"/>
        <v>2782.2577783199999</v>
      </c>
      <c r="T225" s="1241">
        <f t="shared" si="77"/>
        <v>2865.7255116696001</v>
      </c>
      <c r="U225" s="1241">
        <f t="shared" si="77"/>
        <v>2951.6972770196885</v>
      </c>
      <c r="V225" s="1241">
        <f t="shared" si="77"/>
        <v>3040.2481953302795</v>
      </c>
      <c r="W225" s="1241">
        <f t="shared" si="77"/>
        <v>3131.4556411901876</v>
      </c>
      <c r="X225" s="1241">
        <f t="shared" si="77"/>
        <v>3225.3993104258934</v>
      </c>
      <c r="Y225" s="1241">
        <f t="shared" si="77"/>
        <v>3322.1612897386703</v>
      </c>
      <c r="Z225" s="1241">
        <f t="shared" si="77"/>
        <v>3421.8261284308305</v>
      </c>
      <c r="AA225" s="1241">
        <f t="shared" si="77"/>
        <v>3524.4809122837555</v>
      </c>
      <c r="AB225" s="1241">
        <f t="shared" si="77"/>
        <v>3630.2153396522685</v>
      </c>
      <c r="AC225" s="1241">
        <f t="shared" si="77"/>
        <v>3739.1217998418369</v>
      </c>
      <c r="AD225" s="1241">
        <f t="shared" si="77"/>
        <v>3851.2954538370923</v>
      </c>
      <c r="AE225" s="1241">
        <f t="shared" si="77"/>
        <v>3966.8343174522047</v>
      </c>
      <c r="AF225" s="1241">
        <f t="shared" si="77"/>
        <v>4085.8393469757712</v>
      </c>
      <c r="AG225" s="1241">
        <f t="shared" si="77"/>
        <v>4208.4145273850445</v>
      </c>
      <c r="AH225" s="1241">
        <f t="shared" si="77"/>
        <v>4334.6669632065959</v>
      </c>
      <c r="AI225" s="1241">
        <f t="shared" si="77"/>
        <v>4464.7069721027947</v>
      </c>
      <c r="AJ225" s="1241">
        <f t="shared" si="77"/>
        <v>4598.6481812658785</v>
      </c>
      <c r="AK225" s="1241">
        <f t="shared" si="77"/>
        <v>4736.6076267038552</v>
      </c>
      <c r="AL225" s="1241">
        <f t="shared" si="77"/>
        <v>4878.7058555049707</v>
      </c>
      <c r="AM225" s="1241">
        <f t="shared" si="77"/>
        <v>5025.0670311701197</v>
      </c>
      <c r="AN225" s="1241">
        <f t="shared" si="77"/>
        <v>5175.8190421052241</v>
      </c>
      <c r="AO225" s="1241">
        <f t="shared" si="77"/>
        <v>5331.0936133683808</v>
      </c>
      <c r="AP225" s="1241">
        <f t="shared" si="77"/>
        <v>5491.0264217694321</v>
      </c>
      <c r="AQ225" s="1241"/>
      <c r="AR225" s="1241"/>
      <c r="AS225" s="1241"/>
      <c r="AT225" s="1241"/>
      <c r="AU225" s="1241"/>
      <c r="AV225" s="1241"/>
      <c r="AW225" s="1241"/>
      <c r="AX225" s="1241"/>
      <c r="AY225" s="1241"/>
      <c r="AZ225" s="1241"/>
      <c r="BA225" s="1241"/>
    </row>
    <row r="226" spans="3:53" outlineLevel="1">
      <c r="C226" s="1349" t="s">
        <v>1471</v>
      </c>
      <c r="J226" s="432"/>
      <c r="M226" s="1241">
        <f>M225*M224</f>
        <v>0</v>
      </c>
      <c r="N226" s="1241">
        <f t="shared" ref="N226:AP226" si="78">N225*N224</f>
        <v>32135.967864000002</v>
      </c>
      <c r="O226" s="1241">
        <f ca="1">O225*O224</f>
        <v>61593.938406000008</v>
      </c>
      <c r="P226" s="1241">
        <f t="shared" ca="1" si="78"/>
        <v>75960.364039560009</v>
      </c>
      <c r="Q226" s="1241">
        <f t="shared" ca="1" si="78"/>
        <v>83047.168952748005</v>
      </c>
      <c r="R226" s="1241">
        <f t="shared" ca="1" si="78"/>
        <v>85538.584021330462</v>
      </c>
      <c r="S226" s="1241">
        <f t="shared" ca="1" si="78"/>
        <v>88104.741541970361</v>
      </c>
      <c r="T226" s="1241">
        <f t="shared" ca="1" si="78"/>
        <v>90747.883788229476</v>
      </c>
      <c r="U226" s="1241">
        <f t="shared" ca="1" si="78"/>
        <v>93470.320301876374</v>
      </c>
      <c r="V226" s="1241">
        <f t="shared" ca="1" si="78"/>
        <v>96274.429910932668</v>
      </c>
      <c r="W226" s="1241">
        <f t="shared" ca="1" si="78"/>
        <v>99162.662808260648</v>
      </c>
      <c r="X226" s="1241">
        <f t="shared" ca="1" si="78"/>
        <v>102137.54269250848</v>
      </c>
      <c r="Y226" s="1241">
        <f t="shared" ca="1" si="78"/>
        <v>105201.66897328373</v>
      </c>
      <c r="Z226" s="1241">
        <f t="shared" ca="1" si="78"/>
        <v>108357.71904248225</v>
      </c>
      <c r="AA226" s="1241">
        <f t="shared" ca="1" si="78"/>
        <v>111608.45061375671</v>
      </c>
      <c r="AB226" s="1241">
        <f t="shared" ca="1" si="78"/>
        <v>114956.70413216943</v>
      </c>
      <c r="AC226" s="1241">
        <f t="shared" ca="1" si="78"/>
        <v>118405.40525613452</v>
      </c>
      <c r="AD226" s="1241">
        <f t="shared" ca="1" si="78"/>
        <v>121957.56741381856</v>
      </c>
      <c r="AE226" s="1241">
        <f t="shared" ca="1" si="78"/>
        <v>125616.2944362331</v>
      </c>
      <c r="AF226" s="1241">
        <f t="shared" ca="1" si="78"/>
        <v>129384.78326932011</v>
      </c>
      <c r="AG226" s="1241">
        <f t="shared" ca="1" si="78"/>
        <v>133266.32676739973</v>
      </c>
      <c r="AH226" s="1241">
        <f t="shared" ca="1" si="78"/>
        <v>137264.31657042171</v>
      </c>
      <c r="AI226" s="1241">
        <f t="shared" ca="1" si="78"/>
        <v>141382.2460675344</v>
      </c>
      <c r="AJ226" s="1241">
        <f t="shared" ca="1" si="78"/>
        <v>145623.71344956043</v>
      </c>
      <c r="AK226" s="1241">
        <f t="shared" ca="1" si="78"/>
        <v>149992.42485304724</v>
      </c>
      <c r="AL226" s="1241">
        <f t="shared" ca="1" si="78"/>
        <v>154492.19759863865</v>
      </c>
      <c r="AM226" s="1241">
        <f t="shared" ca="1" si="78"/>
        <v>159126.96352659783</v>
      </c>
      <c r="AN226" s="1241">
        <f t="shared" ca="1" si="78"/>
        <v>163900.77243239578</v>
      </c>
      <c r="AO226" s="1241">
        <f t="shared" ca="1" si="78"/>
        <v>168817.79560536766</v>
      </c>
      <c r="AP226" s="1241">
        <f t="shared" ca="1" si="78"/>
        <v>173882.32947352869</v>
      </c>
      <c r="AQ226" s="1241"/>
      <c r="AR226" s="1241"/>
      <c r="AS226" s="1241"/>
      <c r="AT226" s="1241"/>
      <c r="AU226" s="1241"/>
      <c r="AV226" s="1241"/>
      <c r="AW226" s="1241"/>
      <c r="AX226" s="1241"/>
      <c r="AY226" s="1241"/>
      <c r="AZ226" s="1241"/>
      <c r="BA226" s="1241"/>
    </row>
    <row r="227" spans="3:53" outlineLevel="1">
      <c r="J227" s="432"/>
      <c r="M227" s="1241"/>
      <c r="N227" s="1241"/>
      <c r="O227" s="1241"/>
      <c r="P227" s="1241"/>
      <c r="Q227" s="1241"/>
      <c r="R227" s="1241"/>
      <c r="S227" s="1241"/>
      <c r="T227" s="1241"/>
      <c r="U227" s="1241"/>
      <c r="V227" s="1241"/>
      <c r="W227" s="1241"/>
      <c r="X227" s="1241"/>
      <c r="Y227" s="1241"/>
      <c r="Z227" s="1241"/>
      <c r="AA227" s="1241"/>
      <c r="AB227" s="1241"/>
      <c r="AC227" s="1241"/>
      <c r="AD227" s="1241"/>
      <c r="AE227" s="1241"/>
      <c r="AF227" s="1241"/>
      <c r="AG227" s="1241"/>
      <c r="AH227" s="1241"/>
      <c r="AI227" s="1241"/>
      <c r="AJ227" s="1241"/>
      <c r="AK227" s="1241"/>
      <c r="AL227" s="1241"/>
      <c r="AM227" s="1241"/>
      <c r="AN227" s="1241"/>
      <c r="AO227" s="1241"/>
      <c r="AP227" s="1241"/>
      <c r="AQ227" s="1241"/>
      <c r="AR227" s="1241"/>
      <c r="AS227" s="1241"/>
      <c r="AT227" s="1241"/>
      <c r="AU227" s="1241"/>
      <c r="AV227" s="1241"/>
      <c r="AW227" s="1241"/>
      <c r="AX227" s="1241"/>
      <c r="AY227" s="1241"/>
      <c r="AZ227" s="1241"/>
      <c r="BA227" s="1241"/>
    </row>
    <row r="228" spans="3:53" outlineLevel="1">
      <c r="J228" s="432"/>
      <c r="M228" s="1241"/>
      <c r="N228" s="1241"/>
      <c r="O228" s="1241"/>
      <c r="P228" s="1241"/>
      <c r="Q228" s="1241"/>
      <c r="R228" s="1241"/>
      <c r="S228" s="1241"/>
      <c r="T228" s="1241"/>
      <c r="U228" s="1241"/>
      <c r="V228" s="1241"/>
      <c r="W228" s="1241"/>
      <c r="X228" s="1241"/>
      <c r="Y228" s="1241"/>
      <c r="Z228" s="1241"/>
      <c r="AA228" s="1241"/>
      <c r="AB228" s="1241"/>
      <c r="AC228" s="1241"/>
      <c r="AD228" s="1241"/>
      <c r="AE228" s="1241"/>
      <c r="AF228" s="1241"/>
      <c r="AG228" s="1241"/>
      <c r="AH228" s="1241"/>
      <c r="AI228" s="1241"/>
      <c r="AJ228" s="1241"/>
      <c r="AK228" s="1241"/>
      <c r="AL228" s="1241"/>
      <c r="AM228" s="1241"/>
      <c r="AN228" s="1241"/>
      <c r="AO228" s="1241"/>
      <c r="AP228" s="1241"/>
      <c r="AQ228" s="1241"/>
      <c r="AR228" s="1241"/>
      <c r="AS228" s="1241"/>
      <c r="AT228" s="1241"/>
      <c r="AU228" s="1241"/>
      <c r="AV228" s="1241"/>
      <c r="AW228" s="1241"/>
      <c r="AX228" s="1241"/>
      <c r="AY228" s="1241"/>
      <c r="AZ228" s="1241"/>
      <c r="BA228" s="1241"/>
    </row>
    <row r="229" spans="3:53" ht="11.45" customHeight="1" outlineLevel="1">
      <c r="J229" s="432"/>
      <c r="M229" s="1241"/>
      <c r="N229" s="1241"/>
      <c r="O229" s="1241"/>
      <c r="P229" s="1241"/>
      <c r="Q229" s="1241"/>
      <c r="R229" s="1241"/>
      <c r="S229" s="1241"/>
      <c r="T229" s="1241"/>
      <c r="U229" s="1241"/>
      <c r="V229" s="1241"/>
      <c r="W229" s="1241"/>
      <c r="X229" s="1241"/>
      <c r="Y229" s="1241"/>
      <c r="Z229" s="1241"/>
      <c r="AA229" s="1241"/>
      <c r="AB229" s="1241"/>
      <c r="AC229" s="1241"/>
      <c r="AD229" s="1241"/>
      <c r="AE229" s="1241"/>
      <c r="AF229" s="1241"/>
      <c r="AG229" s="1241"/>
      <c r="AH229" s="1241"/>
      <c r="AI229" s="1241"/>
      <c r="AJ229" s="1241"/>
      <c r="AK229" s="1241"/>
      <c r="AL229" s="1241"/>
      <c r="AM229" s="1241"/>
      <c r="AN229" s="1241"/>
      <c r="AO229" s="1241"/>
      <c r="AP229" s="1241"/>
      <c r="AQ229" s="1241"/>
      <c r="AR229" s="1241"/>
      <c r="AS229" s="1241"/>
      <c r="AT229" s="1241"/>
      <c r="AU229" s="1241"/>
      <c r="AV229" s="1241"/>
      <c r="AW229" s="1241"/>
      <c r="AX229" s="1241"/>
      <c r="AY229" s="1241"/>
      <c r="AZ229" s="1241"/>
      <c r="BA229" s="1241"/>
    </row>
    <row r="230" spans="3:53" outlineLevel="1">
      <c r="J230" s="477"/>
      <c r="M230" s="1241"/>
      <c r="N230" s="1241"/>
      <c r="O230" s="1241"/>
      <c r="P230" s="1241"/>
      <c r="Q230" s="1241"/>
      <c r="R230" s="1241"/>
      <c r="S230" s="1241"/>
      <c r="T230" s="1241"/>
      <c r="U230" s="1241"/>
      <c r="V230" s="1241"/>
      <c r="W230" s="1241"/>
      <c r="X230" s="1241"/>
      <c r="Y230" s="1241"/>
      <c r="Z230" s="1241"/>
      <c r="AA230" s="1241"/>
      <c r="AB230" s="1241"/>
      <c r="AC230" s="1241"/>
      <c r="AD230" s="1241"/>
      <c r="AE230" s="1241"/>
      <c r="AF230" s="1241"/>
      <c r="AG230" s="1241"/>
      <c r="AH230" s="1241"/>
      <c r="AI230" s="1241"/>
      <c r="AJ230" s="1241"/>
      <c r="AK230" s="1241"/>
      <c r="AL230" s="1241"/>
      <c r="AM230" s="1241"/>
      <c r="AN230" s="1241"/>
      <c r="AO230" s="1241"/>
      <c r="AP230" s="1241"/>
      <c r="AQ230" s="1241"/>
      <c r="AR230" s="1241"/>
      <c r="AS230" s="1241"/>
      <c r="AT230" s="1241"/>
      <c r="AU230" s="1241"/>
      <c r="AV230" s="1241"/>
      <c r="AW230" s="1241"/>
      <c r="AX230" s="1241"/>
      <c r="AY230" s="1241"/>
      <c r="AZ230" s="1241"/>
      <c r="BA230" s="1241"/>
    </row>
    <row r="231" spans="3:53" ht="12" outlineLevel="1" thickBot="1">
      <c r="J231" s="1597"/>
      <c r="M231" s="1241"/>
      <c r="N231" s="1241"/>
      <c r="O231" s="1241"/>
      <c r="P231" s="1241"/>
      <c r="Q231" s="1241"/>
      <c r="R231" s="1241"/>
      <c r="S231" s="1241"/>
      <c r="T231" s="1241"/>
      <c r="U231" s="1241"/>
      <c r="V231" s="1241"/>
      <c r="W231" s="1241"/>
      <c r="X231" s="1241"/>
      <c r="Y231" s="1241"/>
      <c r="Z231" s="1241"/>
      <c r="AA231" s="1241"/>
      <c r="AB231" s="1241"/>
      <c r="AC231" s="1241"/>
      <c r="AD231" s="1241"/>
      <c r="AE231" s="1241"/>
      <c r="AF231" s="1241"/>
      <c r="AG231" s="1241"/>
      <c r="AH231" s="1241"/>
      <c r="AI231" s="1241"/>
      <c r="AJ231" s="1241"/>
      <c r="AK231" s="1241"/>
      <c r="AL231" s="1241"/>
      <c r="AM231" s="1241"/>
      <c r="AN231" s="1241"/>
      <c r="AO231" s="1241"/>
      <c r="AP231" s="1241"/>
      <c r="AQ231" s="1241"/>
      <c r="AR231" s="1241"/>
      <c r="AS231" s="1241"/>
      <c r="AT231" s="1241"/>
      <c r="AU231" s="1241"/>
      <c r="AV231" s="1241"/>
      <c r="AW231" s="1241"/>
      <c r="AX231" s="1241"/>
      <c r="AY231" s="1241"/>
      <c r="AZ231" s="1241"/>
      <c r="BA231" s="1241"/>
    </row>
    <row r="232" spans="3:53" ht="18" customHeight="1" outlineLevel="1">
      <c r="C232" s="2392" t="s">
        <v>1570</v>
      </c>
      <c r="D232" s="2393"/>
      <c r="E232" s="2393"/>
      <c r="F232" s="2393"/>
      <c r="G232" s="2393"/>
      <c r="H232" s="2393"/>
      <c r="I232" s="2393"/>
      <c r="J232" s="2394"/>
    </row>
    <row r="233" spans="3:53" ht="14.25" outlineLevel="1">
      <c r="C233" s="1598" t="s">
        <v>1574</v>
      </c>
      <c r="D233" s="1599"/>
      <c r="E233" s="1599"/>
      <c r="F233" s="1599"/>
      <c r="G233" s="1599"/>
      <c r="H233" s="1599"/>
      <c r="I233" s="1599"/>
      <c r="J233" s="2407" t="s">
        <v>1226</v>
      </c>
      <c r="M233" s="1235"/>
      <c r="N233" s="1235"/>
      <c r="O233" s="1235"/>
      <c r="P233" s="1235"/>
      <c r="Q233" s="1235"/>
      <c r="R233" s="1235"/>
      <c r="S233" s="1235"/>
      <c r="T233" s="1235"/>
      <c r="U233" s="1235"/>
      <c r="V233" s="1235"/>
      <c r="W233" s="1235"/>
      <c r="X233" s="1235"/>
      <c r="Y233" s="1235"/>
      <c r="Z233" s="1235"/>
      <c r="AA233" s="1235"/>
      <c r="AB233" s="1235"/>
      <c r="AC233" s="1235"/>
      <c r="AD233" s="1235"/>
      <c r="AE233" s="1235"/>
      <c r="AF233" s="1235"/>
      <c r="AG233" s="1235"/>
      <c r="AH233" s="1235"/>
      <c r="AI233" s="1235"/>
      <c r="AJ233" s="1235"/>
      <c r="AK233" s="1235"/>
      <c r="AL233" s="1235"/>
      <c r="AM233" s="1235"/>
      <c r="AN233" s="1235"/>
      <c r="AO233" s="1235"/>
      <c r="AP233" s="1235"/>
      <c r="AQ233" s="1235"/>
      <c r="AR233" s="1235"/>
      <c r="AS233" s="1235"/>
      <c r="AT233" s="1235"/>
      <c r="AU233" s="1235"/>
      <c r="AV233" s="1235"/>
      <c r="AW233" s="1235"/>
      <c r="AX233" s="1235"/>
      <c r="AY233" s="1235"/>
      <c r="AZ233" s="1235"/>
      <c r="BA233" s="1235"/>
    </row>
    <row r="234" spans="3:53" ht="14.25" outlineLevel="1">
      <c r="C234" s="1598" t="s">
        <v>918</v>
      </c>
      <c r="D234" s="1599"/>
      <c r="E234" s="1599"/>
      <c r="F234" s="1599"/>
      <c r="G234" s="1599"/>
      <c r="H234" s="1599"/>
      <c r="I234" s="1600" t="s">
        <v>1576</v>
      </c>
      <c r="J234" s="2408">
        <v>1</v>
      </c>
      <c r="M234" s="1235"/>
      <c r="N234" s="1235"/>
      <c r="O234" s="1235"/>
      <c r="P234" s="1235"/>
      <c r="Q234" s="1235"/>
      <c r="R234" s="1235"/>
      <c r="S234" s="1235"/>
      <c r="T234" s="1235"/>
      <c r="U234" s="1235"/>
      <c r="V234" s="1235"/>
      <c r="W234" s="1235"/>
      <c r="X234" s="1235"/>
      <c r="Y234" s="1235"/>
      <c r="Z234" s="1235"/>
      <c r="AA234" s="1235"/>
      <c r="AB234" s="1235"/>
      <c r="AC234" s="1235"/>
      <c r="AD234" s="1235"/>
      <c r="AE234" s="1235"/>
      <c r="AF234" s="1235"/>
      <c r="AG234" s="1235"/>
      <c r="AH234" s="1235"/>
      <c r="AI234" s="1235"/>
      <c r="AJ234" s="1235"/>
      <c r="AK234" s="1235"/>
      <c r="AL234" s="1235"/>
      <c r="AM234" s="1235"/>
      <c r="AN234" s="1235"/>
      <c r="AO234" s="1235"/>
      <c r="AP234" s="1235"/>
      <c r="AQ234" s="1235"/>
      <c r="AR234" s="1235"/>
      <c r="AS234" s="1235"/>
      <c r="AT234" s="1235"/>
      <c r="AU234" s="1235"/>
      <c r="AV234" s="1235"/>
      <c r="AW234" s="1235"/>
      <c r="AX234" s="1235"/>
      <c r="AY234" s="1235"/>
      <c r="AZ234" s="1235"/>
      <c r="BA234" s="1235"/>
    </row>
    <row r="235" spans="3:53" ht="11.45" customHeight="1" outlineLevel="1">
      <c r="C235" s="1598" t="s">
        <v>1219</v>
      </c>
      <c r="D235" s="1599"/>
      <c r="E235" s="1599"/>
      <c r="F235" s="1599"/>
      <c r="G235" s="1599"/>
      <c r="H235" s="1599"/>
      <c r="I235" s="1600" t="s">
        <v>1576</v>
      </c>
      <c r="J235" s="2408">
        <v>2.42</v>
      </c>
      <c r="M235" s="1235"/>
      <c r="N235" s="1235"/>
      <c r="O235" s="1235"/>
      <c r="P235" s="1235"/>
      <c r="Q235" s="1235"/>
      <c r="R235" s="1235"/>
      <c r="S235" s="1235"/>
      <c r="T235" s="1235"/>
      <c r="U235" s="1235"/>
      <c r="V235" s="1235"/>
      <c r="W235" s="1235"/>
      <c r="X235" s="1235"/>
      <c r="Y235" s="1235"/>
      <c r="Z235" s="1235"/>
      <c r="AA235" s="1235"/>
      <c r="AB235" s="1235"/>
      <c r="AC235" s="1235"/>
      <c r="AD235" s="1235"/>
      <c r="AE235" s="1235"/>
      <c r="AF235" s="1235"/>
      <c r="AG235" s="1235"/>
      <c r="AH235" s="1235"/>
      <c r="AI235" s="1235"/>
      <c r="AJ235" s="1235"/>
      <c r="AK235" s="1235"/>
      <c r="AL235" s="1235"/>
      <c r="AM235" s="1235"/>
      <c r="AN235" s="1235"/>
      <c r="AO235" s="1235"/>
      <c r="AP235" s="1235"/>
      <c r="AQ235" s="1235"/>
      <c r="AR235" s="1235"/>
      <c r="AS235" s="1235"/>
      <c r="AT235" s="1235"/>
      <c r="AU235" s="1235"/>
      <c r="AV235" s="1235"/>
      <c r="AW235" s="1235"/>
      <c r="AX235" s="1235"/>
      <c r="AY235" s="1235"/>
      <c r="AZ235" s="1235"/>
      <c r="BA235" s="1235"/>
    </row>
    <row r="236" spans="3:53" ht="16.899999999999999" customHeight="1" outlineLevel="1">
      <c r="C236" s="1601" t="s">
        <v>919</v>
      </c>
      <c r="D236" s="1599"/>
      <c r="E236" s="1599"/>
      <c r="F236" s="1599"/>
      <c r="G236" s="1599"/>
      <c r="H236" s="1599"/>
      <c r="I236" s="1602"/>
      <c r="J236" s="2408"/>
      <c r="M236" s="1235"/>
      <c r="N236" s="1235"/>
      <c r="O236" s="1235"/>
      <c r="P236" s="1235"/>
      <c r="Q236" s="1235"/>
      <c r="R236" s="1235"/>
      <c r="S236" s="1235"/>
      <c r="T236" s="1235"/>
      <c r="U236" s="1235"/>
      <c r="V236" s="1235"/>
      <c r="W236" s="1235"/>
      <c r="X236" s="1235"/>
      <c r="Y236" s="1235"/>
      <c r="Z236" s="1235"/>
      <c r="AA236" s="1235"/>
      <c r="AB236" s="1235"/>
      <c r="AC236" s="1235"/>
      <c r="AD236" s="1235"/>
      <c r="AE236" s="1235"/>
      <c r="AF236" s="1235"/>
      <c r="AG236" s="1235"/>
      <c r="AH236" s="1235"/>
      <c r="AI236" s="1235"/>
      <c r="AJ236" s="1235"/>
      <c r="AK236" s="1235"/>
      <c r="AL236" s="1235"/>
      <c r="AM236" s="1235"/>
      <c r="AN236" s="1235"/>
      <c r="AO236" s="1235"/>
      <c r="AP236" s="1235"/>
      <c r="AQ236" s="1235"/>
      <c r="AR236" s="1235"/>
      <c r="AS236" s="1235"/>
      <c r="AT236" s="1235"/>
      <c r="AU236" s="1235"/>
      <c r="AV236" s="1235"/>
      <c r="AW236" s="1235"/>
      <c r="AX236" s="1235"/>
      <c r="AY236" s="1235"/>
      <c r="AZ236" s="1235"/>
      <c r="BA236" s="1235"/>
    </row>
    <row r="237" spans="3:53" ht="16.899999999999999" customHeight="1" outlineLevel="1">
      <c r="C237" s="1598" t="s">
        <v>1571</v>
      </c>
      <c r="D237" s="1599"/>
      <c r="E237" s="1599"/>
      <c r="F237" s="1599"/>
      <c r="G237" s="1599"/>
      <c r="H237" s="1599"/>
      <c r="I237" s="1602" t="s">
        <v>1222</v>
      </c>
      <c r="J237" s="2408">
        <f>J63</f>
        <v>355</v>
      </c>
      <c r="M237" s="1235"/>
      <c r="N237" s="1235"/>
      <c r="O237" s="1235"/>
      <c r="P237" s="1235"/>
      <c r="Q237" s="1235"/>
      <c r="R237" s="1235"/>
      <c r="S237" s="1235"/>
      <c r="T237" s="1235"/>
      <c r="U237" s="1235"/>
      <c r="V237" s="1235"/>
      <c r="W237" s="1235"/>
      <c r="X237" s="1235"/>
      <c r="Y237" s="1235"/>
      <c r="Z237" s="1235"/>
      <c r="AA237" s="1235"/>
      <c r="AB237" s="1235"/>
      <c r="AC237" s="1235"/>
      <c r="AD237" s="1235"/>
      <c r="AE237" s="1235"/>
      <c r="AF237" s="1235"/>
      <c r="AG237" s="1235"/>
      <c r="AH237" s="1235"/>
      <c r="AI237" s="1235"/>
      <c r="AJ237" s="1235"/>
      <c r="AK237" s="1235"/>
      <c r="AL237" s="1235"/>
      <c r="AM237" s="1235"/>
      <c r="AN237" s="1235"/>
      <c r="AO237" s="1235"/>
      <c r="AP237" s="1235"/>
      <c r="AQ237" s="1235"/>
      <c r="AR237" s="1235"/>
      <c r="AS237" s="1235"/>
      <c r="AT237" s="1235"/>
      <c r="AU237" s="1235"/>
      <c r="AV237" s="1235"/>
      <c r="AW237" s="1235"/>
      <c r="AX237" s="1235"/>
      <c r="AY237" s="1235"/>
      <c r="AZ237" s="1235"/>
      <c r="BA237" s="1235"/>
    </row>
    <row r="238" spans="3:53" ht="14.45" customHeight="1" outlineLevel="1">
      <c r="C238" s="1598" t="s">
        <v>1572</v>
      </c>
      <c r="D238" s="1599"/>
      <c r="E238" s="1599"/>
      <c r="F238" s="1599"/>
      <c r="G238" s="1599"/>
      <c r="H238" s="1599"/>
      <c r="I238" s="1602" t="s">
        <v>1580</v>
      </c>
      <c r="J238" s="2408">
        <v>250</v>
      </c>
      <c r="M238" s="1235"/>
      <c r="N238" s="1235"/>
      <c r="O238" s="1235"/>
      <c r="P238" s="1235"/>
      <c r="Q238" s="1235"/>
      <c r="R238" s="1235"/>
      <c r="S238" s="1235"/>
      <c r="T238" s="1235"/>
      <c r="U238" s="1235"/>
      <c r="V238" s="1235"/>
      <c r="W238" s="1235"/>
      <c r="X238" s="1235"/>
      <c r="Y238" s="1235"/>
      <c r="Z238" s="1235"/>
      <c r="AA238" s="1235"/>
      <c r="AB238" s="1235"/>
      <c r="AC238" s="1235"/>
      <c r="AD238" s="1235"/>
      <c r="AE238" s="1235"/>
      <c r="AF238" s="1235"/>
      <c r="AG238" s="1235"/>
      <c r="AH238" s="1235"/>
      <c r="AI238" s="1235"/>
      <c r="AJ238" s="1235"/>
      <c r="AK238" s="1235"/>
      <c r="AL238" s="1235"/>
      <c r="AM238" s="1235"/>
      <c r="AN238" s="1235"/>
      <c r="AO238" s="1235"/>
      <c r="AP238" s="1235"/>
      <c r="AQ238" s="1235"/>
      <c r="AR238" s="1235"/>
      <c r="AS238" s="1235"/>
      <c r="AT238" s="1235"/>
      <c r="AU238" s="1235"/>
      <c r="AV238" s="1235"/>
      <c r="AW238" s="1235"/>
      <c r="AX238" s="1235"/>
      <c r="AY238" s="1235"/>
      <c r="AZ238" s="1235"/>
      <c r="BA238" s="1235"/>
    </row>
    <row r="239" spans="3:53" ht="14.45" customHeight="1" outlineLevel="1">
      <c r="C239" s="1598" t="s">
        <v>1225</v>
      </c>
      <c r="D239" s="1599"/>
      <c r="E239" s="1599"/>
      <c r="F239" s="1599"/>
      <c r="G239" s="1599"/>
      <c r="H239" s="1599"/>
      <c r="I239" s="1602" t="s">
        <v>916</v>
      </c>
      <c r="J239" s="2408">
        <f>(J237-J238)/J238</f>
        <v>0.42</v>
      </c>
      <c r="M239" s="1235"/>
      <c r="N239" s="1235"/>
      <c r="O239" s="1235"/>
      <c r="P239" s="1235"/>
      <c r="Q239" s="1235"/>
      <c r="R239" s="1235"/>
      <c r="S239" s="1235"/>
      <c r="T239" s="1235"/>
      <c r="U239" s="1235"/>
      <c r="V239" s="1235"/>
      <c r="W239" s="1235"/>
      <c r="X239" s="1235"/>
      <c r="Y239" s="1235"/>
      <c r="Z239" s="1235"/>
      <c r="AA239" s="1235"/>
      <c r="AB239" s="1235"/>
      <c r="AC239" s="1235"/>
      <c r="AD239" s="1235"/>
      <c r="AE239" s="1235"/>
      <c r="AF239" s="1235"/>
      <c r="AG239" s="1235"/>
      <c r="AH239" s="1235"/>
      <c r="AI239" s="1235"/>
      <c r="AJ239" s="1235"/>
      <c r="AK239" s="1235"/>
      <c r="AL239" s="1235"/>
      <c r="AM239" s="1235"/>
      <c r="AN239" s="1235"/>
      <c r="AO239" s="1235"/>
      <c r="AP239" s="1235"/>
      <c r="AQ239" s="1235"/>
      <c r="AR239" s="1235"/>
      <c r="AS239" s="1235"/>
      <c r="AT239" s="1235"/>
      <c r="AU239" s="1235"/>
      <c r="AV239" s="1235"/>
      <c r="AW239" s="1235"/>
      <c r="AX239" s="1235"/>
      <c r="AY239" s="1235"/>
      <c r="AZ239" s="1235"/>
      <c r="BA239" s="1235"/>
    </row>
    <row r="240" spans="3:53" ht="16.899999999999999" customHeight="1" outlineLevel="1">
      <c r="C240" s="1598" t="s">
        <v>1569</v>
      </c>
      <c r="D240" s="1599"/>
      <c r="E240" s="1599"/>
      <c r="F240" s="1599"/>
      <c r="G240" s="1599"/>
      <c r="H240" s="1599"/>
      <c r="I240" s="1602"/>
      <c r="J240" s="2408">
        <f>J235</f>
        <v>2.42</v>
      </c>
      <c r="M240" s="1235">
        <f t="shared" ref="M240:AP240" si="79">MIN(Currrent_Gas_Price_Urea*M56,J259)</f>
        <v>2.4925999999999999</v>
      </c>
      <c r="N240" s="1235">
        <f t="shared" si="79"/>
        <v>2.5673779999999997</v>
      </c>
      <c r="O240" s="1235">
        <f t="shared" si="79"/>
        <v>2.6443993400000001</v>
      </c>
      <c r="P240" s="1235">
        <f t="shared" si="79"/>
        <v>2.7237313202000002</v>
      </c>
      <c r="Q240" s="1235">
        <f t="shared" si="79"/>
        <v>2.8054432598060002</v>
      </c>
      <c r="R240" s="1235">
        <f t="shared" si="79"/>
        <v>2.8896065576001804</v>
      </c>
      <c r="S240" s="1235">
        <f t="shared" si="79"/>
        <v>2.9762947543281859</v>
      </c>
      <c r="T240" s="1235">
        <f t="shared" si="79"/>
        <v>3.0655835969580316</v>
      </c>
      <c r="U240" s="1235">
        <f t="shared" si="79"/>
        <v>3.1575511048667724</v>
      </c>
      <c r="V240" s="1235">
        <f t="shared" si="79"/>
        <v>3.2522776380127758</v>
      </c>
      <c r="W240" s="1235">
        <f t="shared" si="79"/>
        <v>3.3498459671531591</v>
      </c>
      <c r="X240" s="1235">
        <f t="shared" si="79"/>
        <v>3.4503413461677539</v>
      </c>
      <c r="Y240" s="1235">
        <f t="shared" si="79"/>
        <v>3.5538515865527867</v>
      </c>
      <c r="Z240" s="1235">
        <f t="shared" si="79"/>
        <v>3.6604671341493709</v>
      </c>
      <c r="AA240" s="1235">
        <f t="shared" si="79"/>
        <v>3.7702811481738521</v>
      </c>
      <c r="AB240" s="1235">
        <f t="shared" si="79"/>
        <v>3.8833895826190679</v>
      </c>
      <c r="AC240" s="1235">
        <f t="shared" si="79"/>
        <v>3.9998912700976397</v>
      </c>
      <c r="AD240" s="1235">
        <f t="shared" si="79"/>
        <v>4.1198880082005687</v>
      </c>
      <c r="AE240" s="1235">
        <f t="shared" si="79"/>
        <v>4.2434846484465867</v>
      </c>
      <c r="AF240" s="1235">
        <f t="shared" si="79"/>
        <v>4.3707891878999838</v>
      </c>
      <c r="AG240" s="1235">
        <f t="shared" si="79"/>
        <v>4.5019128635369841</v>
      </c>
      <c r="AH240" s="1235">
        <f t="shared" si="79"/>
        <v>4.6369702494430936</v>
      </c>
      <c r="AI240" s="1235">
        <f t="shared" si="79"/>
        <v>4.7760793569263873</v>
      </c>
      <c r="AJ240" s="1235">
        <f t="shared" si="79"/>
        <v>4.9193617376341789</v>
      </c>
      <c r="AK240" s="1235">
        <f t="shared" si="79"/>
        <v>5.0669425897632037</v>
      </c>
      <c r="AL240" s="1235">
        <f t="shared" si="79"/>
        <v>5.2189508674561003</v>
      </c>
      <c r="AM240" s="1235">
        <f t="shared" si="79"/>
        <v>5.3755193934797836</v>
      </c>
      <c r="AN240" s="1235">
        <f t="shared" si="79"/>
        <v>5.5367849752841769</v>
      </c>
      <c r="AO240" s="1235">
        <f t="shared" si="79"/>
        <v>5.7028885245427023</v>
      </c>
      <c r="AP240" s="1235">
        <f t="shared" si="79"/>
        <v>5.8739751802789835</v>
      </c>
      <c r="AQ240" s="1235"/>
      <c r="AR240" s="1235"/>
      <c r="AS240" s="1235"/>
      <c r="AT240" s="1235"/>
      <c r="AU240" s="1235"/>
      <c r="AV240" s="1235"/>
      <c r="AW240" s="1235"/>
      <c r="AX240" s="1235"/>
      <c r="AY240" s="1235"/>
      <c r="AZ240" s="1235"/>
      <c r="BA240" s="1235"/>
    </row>
    <row r="241" spans="3:53" ht="14.25" outlineLevel="1">
      <c r="C241" s="1598" t="s">
        <v>922</v>
      </c>
      <c r="D241" s="1599"/>
      <c r="E241" s="1599"/>
      <c r="F241" s="1599"/>
      <c r="G241" s="1599"/>
      <c r="H241" s="1599"/>
      <c r="I241" s="1602" t="s">
        <v>916</v>
      </c>
      <c r="J241" s="2408">
        <v>0.9</v>
      </c>
      <c r="M241" s="1235">
        <f t="shared" ref="M241:AP241" si="80">Gas_Transportation_Price*M56</f>
        <v>0.92700000000000005</v>
      </c>
      <c r="N241" s="1235">
        <f t="shared" si="80"/>
        <v>0.95480999999999994</v>
      </c>
      <c r="O241" s="1235">
        <f t="shared" si="80"/>
        <v>0.9834543</v>
      </c>
      <c r="P241" s="1235">
        <f t="shared" si="80"/>
        <v>1.0129579290000001</v>
      </c>
      <c r="Q241" s="1235">
        <f t="shared" si="80"/>
        <v>1.04334666687</v>
      </c>
      <c r="R241" s="1235">
        <f t="shared" si="80"/>
        <v>1.0746470668761001</v>
      </c>
      <c r="S241" s="1235">
        <f t="shared" si="80"/>
        <v>1.1068864788823831</v>
      </c>
      <c r="T241" s="1235">
        <f t="shared" si="80"/>
        <v>1.1400930732488548</v>
      </c>
      <c r="U241" s="1235">
        <f t="shared" si="80"/>
        <v>1.1742958654463205</v>
      </c>
      <c r="V241" s="1235">
        <f t="shared" si="80"/>
        <v>1.2095247414097101</v>
      </c>
      <c r="W241" s="1235">
        <f t="shared" si="80"/>
        <v>1.2458104836520014</v>
      </c>
      <c r="X241" s="1235">
        <f t="shared" si="80"/>
        <v>1.2831847981615614</v>
      </c>
      <c r="Y241" s="1235">
        <f t="shared" si="80"/>
        <v>1.3216803421064083</v>
      </c>
      <c r="Z241" s="1235">
        <f t="shared" si="80"/>
        <v>1.3613307523696008</v>
      </c>
      <c r="AA241" s="1235">
        <f t="shared" si="80"/>
        <v>1.4021706749406888</v>
      </c>
      <c r="AB241" s="1235">
        <f t="shared" si="80"/>
        <v>1.4442357951889095</v>
      </c>
      <c r="AC241" s="1235">
        <f t="shared" si="80"/>
        <v>1.4875628690445768</v>
      </c>
      <c r="AD241" s="1235">
        <f t="shared" si="80"/>
        <v>1.532189755115914</v>
      </c>
      <c r="AE241" s="1235">
        <f t="shared" si="80"/>
        <v>1.5781554477693918</v>
      </c>
      <c r="AF241" s="1235">
        <f t="shared" si="80"/>
        <v>1.6255001112024736</v>
      </c>
      <c r="AG241" s="1235">
        <f t="shared" si="80"/>
        <v>1.6742651145385479</v>
      </c>
      <c r="AH241" s="1235">
        <f t="shared" si="80"/>
        <v>1.7244930679747044</v>
      </c>
      <c r="AI241" s="1235">
        <f t="shared" si="80"/>
        <v>1.7762278600139456</v>
      </c>
      <c r="AJ241" s="1235">
        <f t="shared" si="80"/>
        <v>1.829514695814364</v>
      </c>
      <c r="AK241" s="1235">
        <f t="shared" si="80"/>
        <v>1.8844001366887948</v>
      </c>
      <c r="AL241" s="1235">
        <f t="shared" si="80"/>
        <v>1.9409321407894589</v>
      </c>
      <c r="AM241" s="1235">
        <f t="shared" si="80"/>
        <v>1.9991601050131429</v>
      </c>
      <c r="AN241" s="1235">
        <f t="shared" si="80"/>
        <v>2.0591349081635371</v>
      </c>
      <c r="AO241" s="1235">
        <f t="shared" si="80"/>
        <v>2.120908955408443</v>
      </c>
      <c r="AP241" s="1235">
        <f t="shared" si="80"/>
        <v>2.1845362240706963</v>
      </c>
      <c r="AQ241" s="1235"/>
      <c r="AR241" s="1235"/>
      <c r="AS241" s="1235"/>
      <c r="AT241" s="1235"/>
      <c r="AU241" s="1235"/>
      <c r="AV241" s="1235"/>
      <c r="AW241" s="1235"/>
      <c r="AX241" s="1235"/>
      <c r="AY241" s="1235"/>
      <c r="AZ241" s="1235"/>
      <c r="BA241" s="1235"/>
    </row>
    <row r="242" spans="3:53" ht="14.25" outlineLevel="1">
      <c r="C242" s="1598"/>
      <c r="D242" s="1599"/>
      <c r="E242" s="1599"/>
      <c r="F242" s="1599"/>
      <c r="G242" s="1599"/>
      <c r="H242" s="1599"/>
      <c r="I242" s="1602"/>
      <c r="J242" s="2409"/>
      <c r="M242" s="1235"/>
      <c r="N242" s="1235"/>
      <c r="O242" s="1235"/>
      <c r="P242" s="1235"/>
      <c r="Q242" s="1235"/>
      <c r="R242" s="1235"/>
      <c r="S242" s="1235"/>
      <c r="T242" s="1235"/>
      <c r="U242" s="1235"/>
      <c r="V242" s="1235"/>
      <c r="W242" s="1235"/>
      <c r="X242" s="1235"/>
      <c r="Y242" s="1235"/>
      <c r="Z242" s="1235"/>
      <c r="AA242" s="1235"/>
      <c r="AB242" s="1235"/>
      <c r="AC242" s="1235"/>
      <c r="AD242" s="1235"/>
      <c r="AE242" s="1235"/>
      <c r="AF242" s="1235"/>
      <c r="AG242" s="1235"/>
      <c r="AH242" s="1235"/>
      <c r="AI242" s="1235"/>
      <c r="AJ242" s="1235"/>
      <c r="AK242" s="1235"/>
      <c r="AL242" s="1235"/>
      <c r="AM242" s="1235"/>
      <c r="AN242" s="1235"/>
      <c r="AO242" s="1235"/>
      <c r="AP242" s="1235"/>
      <c r="AQ242" s="1235"/>
      <c r="AR242" s="1235"/>
      <c r="AS242" s="1235"/>
      <c r="AT242" s="1235"/>
      <c r="AU242" s="1235"/>
      <c r="AV242" s="1235"/>
      <c r="AW242" s="1235"/>
      <c r="AX242" s="1235"/>
      <c r="AY242" s="1235"/>
      <c r="AZ242" s="1235"/>
      <c r="BA242" s="1235"/>
    </row>
    <row r="243" spans="3:53" ht="15.75" outlineLevel="1" thickBot="1">
      <c r="C243" s="2395" t="s">
        <v>920</v>
      </c>
      <c r="D243" s="2396"/>
      <c r="E243" s="2396"/>
      <c r="F243" s="2396"/>
      <c r="G243" s="2396"/>
      <c r="H243" s="2396"/>
      <c r="I243" s="2397" t="s">
        <v>916</v>
      </c>
      <c r="J243" s="2398">
        <f>J240+J241+J242</f>
        <v>3.32</v>
      </c>
      <c r="M243" s="1235">
        <f>M240+M241</f>
        <v>3.4196</v>
      </c>
      <c r="N243" s="1235">
        <f t="shared" ref="N243:AP243" si="81">N240+N241</f>
        <v>3.5221879999999999</v>
      </c>
      <c r="O243" s="1235">
        <f t="shared" si="81"/>
        <v>3.6278536400000001</v>
      </c>
      <c r="P243" s="1235">
        <f t="shared" si="81"/>
        <v>3.7366892492000003</v>
      </c>
      <c r="Q243" s="1235">
        <f t="shared" si="81"/>
        <v>3.848789926676</v>
      </c>
      <c r="R243" s="1235">
        <f t="shared" si="81"/>
        <v>3.9642536244762807</v>
      </c>
      <c r="S243" s="1235">
        <f t="shared" si="81"/>
        <v>4.0831812332105688</v>
      </c>
      <c r="T243" s="1235">
        <f t="shared" si="81"/>
        <v>4.205676670206886</v>
      </c>
      <c r="U243" s="1235">
        <f t="shared" si="81"/>
        <v>4.3318469703130926</v>
      </c>
      <c r="V243" s="1235">
        <f t="shared" si="81"/>
        <v>4.4618023794224859</v>
      </c>
      <c r="W243" s="1235">
        <f t="shared" si="81"/>
        <v>4.5956564508051603</v>
      </c>
      <c r="X243" s="1235">
        <f t="shared" si="81"/>
        <v>4.7335261443293151</v>
      </c>
      <c r="Y243" s="1235">
        <f t="shared" si="81"/>
        <v>4.8755319286591945</v>
      </c>
      <c r="Z243" s="1235">
        <f t="shared" si="81"/>
        <v>5.0217978865189714</v>
      </c>
      <c r="AA243" s="1235">
        <f t="shared" si="81"/>
        <v>5.1724518231145407</v>
      </c>
      <c r="AB243" s="1235">
        <f t="shared" si="81"/>
        <v>5.3276253778079772</v>
      </c>
      <c r="AC243" s="1235">
        <f t="shared" si="81"/>
        <v>5.4874541391422165</v>
      </c>
      <c r="AD243" s="1235">
        <f t="shared" si="81"/>
        <v>5.6520777633164823</v>
      </c>
      <c r="AE243" s="1235">
        <f t="shared" si="81"/>
        <v>5.8216400962159787</v>
      </c>
      <c r="AF243" s="1235">
        <f t="shared" si="81"/>
        <v>5.9962892991024574</v>
      </c>
      <c r="AG243" s="1235">
        <f t="shared" si="81"/>
        <v>6.1761779780755317</v>
      </c>
      <c r="AH243" s="1235">
        <f t="shared" si="81"/>
        <v>6.3614633174177975</v>
      </c>
      <c r="AI243" s="1235">
        <f t="shared" si="81"/>
        <v>6.5523072169403331</v>
      </c>
      <c r="AJ243" s="1235">
        <f t="shared" si="81"/>
        <v>6.7488764334485429</v>
      </c>
      <c r="AK243" s="1235">
        <f t="shared" si="81"/>
        <v>6.9513427264519985</v>
      </c>
      <c r="AL243" s="1235">
        <f t="shared" si="81"/>
        <v>7.1598830082455596</v>
      </c>
      <c r="AM243" s="1235">
        <f t="shared" si="81"/>
        <v>7.3746794984929265</v>
      </c>
      <c r="AN243" s="1235">
        <f t="shared" si="81"/>
        <v>7.5959198834477135</v>
      </c>
      <c r="AO243" s="1235">
        <f t="shared" si="81"/>
        <v>7.8237974799511454</v>
      </c>
      <c r="AP243" s="1235">
        <f t="shared" si="81"/>
        <v>8.0585114043496802</v>
      </c>
      <c r="AQ243" s="1235"/>
      <c r="AR243" s="1235"/>
      <c r="AS243" s="1235"/>
      <c r="AT243" s="1235"/>
      <c r="AU243" s="1235"/>
      <c r="AV243" s="1235"/>
      <c r="AW243" s="1235"/>
      <c r="AX243" s="1235"/>
      <c r="AY243" s="1235"/>
      <c r="AZ243" s="1235"/>
      <c r="BA243" s="1235"/>
    </row>
    <row r="244" spans="3:53" ht="10.9" customHeight="1" outlineLevel="1" thickBot="1">
      <c r="C244" s="352"/>
      <c r="D244" s="352"/>
      <c r="E244" s="352"/>
      <c r="F244" s="352"/>
      <c r="G244" s="352"/>
      <c r="H244" s="352"/>
      <c r="I244" s="1030"/>
      <c r="M244" s="1254"/>
      <c r="N244" s="1254"/>
      <c r="O244" s="1254"/>
      <c r="P244" s="1254"/>
      <c r="Q244" s="1254"/>
      <c r="R244" s="1254"/>
      <c r="S244" s="1254"/>
      <c r="T244" s="1254"/>
      <c r="U244" s="1254"/>
      <c r="V244" s="1254"/>
      <c r="W244" s="1254"/>
      <c r="X244" s="1254"/>
      <c r="Y244" s="1254"/>
      <c r="Z244" s="1254"/>
      <c r="AA244" s="1254"/>
      <c r="AB244" s="1254"/>
      <c r="AC244" s="1254"/>
      <c r="AD244" s="1254"/>
      <c r="AE244" s="1254"/>
      <c r="AF244" s="1254"/>
      <c r="AG244" s="1254"/>
      <c r="AH244" s="1254"/>
      <c r="AI244" s="1254"/>
      <c r="AJ244" s="1254"/>
      <c r="AK244" s="1254"/>
      <c r="AL244" s="1254"/>
      <c r="AM244" s="1254"/>
      <c r="AN244" s="1254"/>
      <c r="AO244" s="1254"/>
      <c r="AP244" s="1254"/>
      <c r="AQ244" s="1254"/>
      <c r="AR244" s="1254"/>
      <c r="AS244" s="1254"/>
      <c r="AT244" s="1254"/>
      <c r="AU244" s="1254"/>
      <c r="AV244" s="1254"/>
      <c r="AW244" s="1254"/>
      <c r="AX244" s="1254"/>
      <c r="AY244" s="1254"/>
      <c r="AZ244" s="1254"/>
      <c r="BA244" s="1254"/>
    </row>
    <row r="245" spans="3:53" ht="12.6" customHeight="1" outlineLevel="1">
      <c r="C245" s="2399" t="s">
        <v>1573</v>
      </c>
      <c r="D245" s="2400"/>
      <c r="E245" s="2400"/>
      <c r="F245" s="2400"/>
      <c r="G245" s="2400"/>
      <c r="H245" s="2400"/>
      <c r="I245" s="2401"/>
      <c r="J245" s="2402"/>
      <c r="M245" s="1254"/>
      <c r="N245" s="1254"/>
      <c r="O245" s="1254"/>
      <c r="P245" s="1254"/>
      <c r="Q245" s="1254"/>
      <c r="R245" s="1254"/>
      <c r="S245" s="1254"/>
      <c r="T245" s="1254"/>
      <c r="U245" s="1254"/>
      <c r="V245" s="1254"/>
      <c r="W245" s="1254"/>
      <c r="X245" s="1254"/>
      <c r="Y245" s="1254"/>
      <c r="Z245" s="1254"/>
      <c r="AA245" s="1254"/>
      <c r="AB245" s="1254"/>
      <c r="AC245" s="1254"/>
      <c r="AD245" s="1254"/>
      <c r="AE245" s="1254"/>
      <c r="AF245" s="1254"/>
      <c r="AG245" s="1254"/>
      <c r="AH245" s="1254"/>
      <c r="AI245" s="1254"/>
      <c r="AJ245" s="1254"/>
      <c r="AK245" s="1254"/>
      <c r="AL245" s="1254"/>
      <c r="AM245" s="1254"/>
      <c r="AN245" s="1254"/>
      <c r="AO245" s="1254"/>
      <c r="AP245" s="1254"/>
      <c r="AQ245" s="1254"/>
      <c r="AR245" s="1254"/>
      <c r="AS245" s="1254"/>
      <c r="AT245" s="1254"/>
      <c r="AU245" s="1254"/>
      <c r="AV245" s="1254"/>
      <c r="AW245" s="1254"/>
      <c r="AX245" s="1254"/>
      <c r="AY245" s="1254"/>
      <c r="AZ245" s="1254"/>
      <c r="BA245" s="1254"/>
    </row>
    <row r="246" spans="3:53" ht="12.6" customHeight="1" outlineLevel="1">
      <c r="C246" s="1598" t="s">
        <v>1574</v>
      </c>
      <c r="D246" s="1603"/>
      <c r="E246" s="1603"/>
      <c r="F246" s="1603"/>
      <c r="G246" s="1603"/>
      <c r="H246" s="1603"/>
      <c r="I246" s="1604" t="s">
        <v>1575</v>
      </c>
      <c r="J246" s="2407" t="s">
        <v>1226</v>
      </c>
      <c r="M246" s="1254"/>
      <c r="N246" s="1254"/>
      <c r="O246" s="1254"/>
      <c r="P246" s="1254"/>
      <c r="Q246" s="1254"/>
      <c r="R246" s="1254"/>
      <c r="S246" s="1254"/>
      <c r="T246" s="1254"/>
      <c r="U246" s="1254"/>
      <c r="V246" s="1254"/>
      <c r="W246" s="1254"/>
      <c r="X246" s="1254"/>
      <c r="Y246" s="1254"/>
      <c r="Z246" s="1254"/>
      <c r="AA246" s="1254"/>
      <c r="AB246" s="1254"/>
      <c r="AC246" s="1254"/>
      <c r="AD246" s="1254"/>
      <c r="AE246" s="1254"/>
      <c r="AF246" s="1254"/>
      <c r="AG246" s="1254"/>
      <c r="AH246" s="1254"/>
      <c r="AI246" s="1254"/>
      <c r="AJ246" s="1254"/>
      <c r="AK246" s="1254"/>
      <c r="AL246" s="1254"/>
      <c r="AM246" s="1254"/>
      <c r="AN246" s="1254"/>
      <c r="AO246" s="1254"/>
      <c r="AP246" s="1254"/>
      <c r="AQ246" s="1254"/>
      <c r="AR246" s="1254"/>
      <c r="AS246" s="1254"/>
      <c r="AT246" s="1254"/>
      <c r="AU246" s="1254"/>
      <c r="AV246" s="1254"/>
      <c r="AW246" s="1254"/>
      <c r="AX246" s="1254"/>
      <c r="AY246" s="1254"/>
      <c r="AZ246" s="1254"/>
      <c r="BA246" s="1254"/>
    </row>
    <row r="247" spans="3:53" ht="12.6" customHeight="1" outlineLevel="1">
      <c r="C247" s="1598" t="s">
        <v>918</v>
      </c>
      <c r="D247" s="1603"/>
      <c r="E247" s="1603"/>
      <c r="F247" s="1603"/>
      <c r="G247" s="1603"/>
      <c r="H247" s="1603"/>
      <c r="I247" s="1600" t="s">
        <v>1576</v>
      </c>
      <c r="J247" s="2410">
        <v>1</v>
      </c>
      <c r="M247" s="1254"/>
      <c r="N247" s="1254"/>
      <c r="O247" s="1254"/>
      <c r="P247" s="1254"/>
      <c r="Q247" s="1254"/>
      <c r="R247" s="1254"/>
      <c r="S247" s="1254"/>
      <c r="T247" s="1254"/>
      <c r="U247" s="1254"/>
      <c r="V247" s="1254"/>
      <c r="W247" s="1254"/>
      <c r="X247" s="1254"/>
      <c r="Y247" s="1254"/>
      <c r="Z247" s="1254"/>
      <c r="AA247" s="1254"/>
      <c r="AB247" s="1254"/>
      <c r="AC247" s="1254"/>
      <c r="AD247" s="1254"/>
      <c r="AE247" s="1254"/>
      <c r="AF247" s="1254"/>
      <c r="AG247" s="1254"/>
      <c r="AH247" s="1254"/>
      <c r="AI247" s="1254"/>
      <c r="AJ247" s="1254"/>
      <c r="AK247" s="1254"/>
      <c r="AL247" s="1254"/>
      <c r="AM247" s="1254"/>
      <c r="AN247" s="1254"/>
      <c r="AO247" s="1254"/>
      <c r="AP247" s="1254"/>
      <c r="AQ247" s="1254"/>
      <c r="AR247" s="1254"/>
      <c r="AS247" s="1254"/>
      <c r="AT247" s="1254"/>
      <c r="AU247" s="1254"/>
      <c r="AV247" s="1254"/>
      <c r="AW247" s="1254"/>
      <c r="AX247" s="1254"/>
      <c r="AY247" s="1254"/>
      <c r="AZ247" s="1254"/>
      <c r="BA247" s="1254"/>
    </row>
    <row r="248" spans="3:53" ht="12.6" customHeight="1" outlineLevel="1">
      <c r="C248" s="1598" t="s">
        <v>1219</v>
      </c>
      <c r="D248" s="1603"/>
      <c r="E248" s="1603"/>
      <c r="F248" s="1603"/>
      <c r="G248" s="1603"/>
      <c r="H248" s="1603"/>
      <c r="I248" s="1600" t="s">
        <v>1576</v>
      </c>
      <c r="J248" s="2410">
        <v>2.42</v>
      </c>
      <c r="M248" s="1254"/>
      <c r="N248" s="1254"/>
      <c r="O248" s="1254"/>
      <c r="P248" s="1254"/>
      <c r="Q248" s="1254"/>
      <c r="R248" s="1254"/>
      <c r="S248" s="1254"/>
      <c r="T248" s="1254"/>
      <c r="U248" s="1254"/>
      <c r="V248" s="1254"/>
      <c r="W248" s="1254"/>
      <c r="X248" s="1254"/>
      <c r="Y248" s="1254"/>
      <c r="Z248" s="1254"/>
      <c r="AA248" s="1254"/>
      <c r="AB248" s="1254"/>
      <c r="AC248" s="1254"/>
      <c r="AD248" s="1254"/>
      <c r="AE248" s="1254"/>
      <c r="AF248" s="1254"/>
      <c r="AG248" s="1254"/>
      <c r="AH248" s="1254"/>
      <c r="AI248" s="1254"/>
      <c r="AJ248" s="1254"/>
      <c r="AK248" s="1254"/>
      <c r="AL248" s="1254"/>
      <c r="AM248" s="1254"/>
      <c r="AN248" s="1254"/>
      <c r="AO248" s="1254"/>
      <c r="AP248" s="1254"/>
      <c r="AQ248" s="1254"/>
      <c r="AR248" s="1254"/>
      <c r="AS248" s="1254"/>
      <c r="AT248" s="1254"/>
      <c r="AU248" s="1254"/>
      <c r="AV248" s="1254"/>
      <c r="AW248" s="1254"/>
      <c r="AX248" s="1254"/>
      <c r="AY248" s="1254"/>
      <c r="AZ248" s="1254"/>
      <c r="BA248" s="1254"/>
    </row>
    <row r="249" spans="3:53" ht="12.6" customHeight="1" outlineLevel="1">
      <c r="C249" s="1601" t="s">
        <v>919</v>
      </c>
      <c r="D249" s="1603"/>
      <c r="E249" s="1603"/>
      <c r="F249" s="1603"/>
      <c r="G249" s="1603"/>
      <c r="H249" s="1603"/>
      <c r="I249" s="1600"/>
      <c r="J249" s="2410"/>
      <c r="M249" s="1254"/>
      <c r="N249" s="1254"/>
      <c r="O249" s="1254"/>
      <c r="P249" s="1254"/>
      <c r="Q249" s="1254"/>
      <c r="R249" s="1254"/>
      <c r="S249" s="1254"/>
      <c r="T249" s="1254"/>
      <c r="U249" s="1254"/>
      <c r="V249" s="1254"/>
      <c r="W249" s="1254"/>
      <c r="X249" s="1254"/>
      <c r="Y249" s="1254"/>
      <c r="Z249" s="1254"/>
      <c r="AA249" s="1254"/>
      <c r="AB249" s="1254"/>
      <c r="AC249" s="1254"/>
      <c r="AD249" s="1254"/>
      <c r="AE249" s="1254"/>
      <c r="AF249" s="1254"/>
      <c r="AG249" s="1254"/>
      <c r="AH249" s="1254"/>
      <c r="AI249" s="1254"/>
      <c r="AJ249" s="1254"/>
      <c r="AK249" s="1254"/>
      <c r="AL249" s="1254"/>
      <c r="AM249" s="1254"/>
      <c r="AN249" s="1254"/>
      <c r="AO249" s="1254"/>
      <c r="AP249" s="1254"/>
      <c r="AQ249" s="1254"/>
      <c r="AR249" s="1254"/>
      <c r="AS249" s="1254"/>
      <c r="AT249" s="1254"/>
      <c r="AU249" s="1254"/>
      <c r="AV249" s="1254"/>
      <c r="AW249" s="1254"/>
      <c r="AX249" s="1254"/>
      <c r="AY249" s="1254"/>
      <c r="AZ249" s="1254"/>
      <c r="BA249" s="1254"/>
    </row>
    <row r="250" spans="3:53" ht="12.6" customHeight="1" outlineLevel="1">
      <c r="C250" s="1598" t="s">
        <v>1577</v>
      </c>
      <c r="D250" s="1603"/>
      <c r="E250" s="1603"/>
      <c r="F250" s="1603"/>
      <c r="G250" s="1603"/>
      <c r="H250" s="1603"/>
      <c r="I250" s="1602" t="s">
        <v>1222</v>
      </c>
      <c r="J250" s="2410">
        <f>J64</f>
        <v>527.25957399688559</v>
      </c>
      <c r="M250" s="1254"/>
      <c r="N250" s="1254"/>
      <c r="O250" s="1254"/>
      <c r="P250" s="1254"/>
      <c r="Q250" s="1254"/>
      <c r="R250" s="1254"/>
      <c r="S250" s="1254"/>
      <c r="T250" s="1254"/>
      <c r="U250" s="1254"/>
      <c r="V250" s="1254"/>
      <c r="W250" s="1254"/>
      <c r="X250" s="1254"/>
      <c r="Y250" s="1254"/>
      <c r="Z250" s="1254"/>
      <c r="AA250" s="1254"/>
      <c r="AB250" s="1254"/>
      <c r="AC250" s="1254"/>
      <c r="AD250" s="1254"/>
      <c r="AE250" s="1254"/>
      <c r="AF250" s="1254"/>
      <c r="AG250" s="1254"/>
      <c r="AH250" s="1254"/>
      <c r="AI250" s="1254"/>
      <c r="AJ250" s="1254"/>
      <c r="AK250" s="1254"/>
      <c r="AL250" s="1254"/>
      <c r="AM250" s="1254"/>
      <c r="AN250" s="1254"/>
      <c r="AO250" s="1254"/>
      <c r="AP250" s="1254"/>
      <c r="AQ250" s="1254"/>
      <c r="AR250" s="1254"/>
      <c r="AS250" s="1254"/>
      <c r="AT250" s="1254"/>
      <c r="AU250" s="1254"/>
      <c r="AV250" s="1254"/>
      <c r="AW250" s="1254"/>
      <c r="AX250" s="1254"/>
      <c r="AY250" s="1254"/>
      <c r="AZ250" s="1254"/>
      <c r="BA250" s="1254"/>
    </row>
    <row r="251" spans="3:53" ht="12.6" customHeight="1" outlineLevel="1">
      <c r="C251" s="1598" t="s">
        <v>1578</v>
      </c>
      <c r="D251" s="1603"/>
      <c r="E251" s="1603"/>
      <c r="F251" s="1603"/>
      <c r="G251" s="1603"/>
      <c r="H251" s="1603"/>
      <c r="I251" s="1602" t="s">
        <v>1580</v>
      </c>
      <c r="J251" s="2410">
        <v>250</v>
      </c>
      <c r="M251" s="1254"/>
      <c r="N251" s="1254"/>
      <c r="O251" s="1254"/>
      <c r="P251" s="1254"/>
      <c r="Q251" s="1254"/>
      <c r="R251" s="1254"/>
      <c r="S251" s="1254"/>
      <c r="T251" s="1254"/>
      <c r="U251" s="1254"/>
      <c r="V251" s="1254"/>
      <c r="W251" s="1254"/>
      <c r="X251" s="1254"/>
      <c r="Y251" s="1254"/>
      <c r="Z251" s="1254"/>
      <c r="AA251" s="1254"/>
      <c r="AB251" s="1254"/>
      <c r="AC251" s="1254"/>
      <c r="AD251" s="1254"/>
      <c r="AE251" s="1254"/>
      <c r="AF251" s="1254"/>
      <c r="AG251" s="1254"/>
      <c r="AH251" s="1254"/>
      <c r="AI251" s="1254"/>
      <c r="AJ251" s="1254"/>
      <c r="AK251" s="1254"/>
      <c r="AL251" s="1254"/>
      <c r="AM251" s="1254"/>
      <c r="AN251" s="1254"/>
      <c r="AO251" s="1254"/>
      <c r="AP251" s="1254"/>
      <c r="AQ251" s="1254"/>
      <c r="AR251" s="1254"/>
      <c r="AS251" s="1254"/>
      <c r="AT251" s="1254"/>
      <c r="AU251" s="1254"/>
      <c r="AV251" s="1254"/>
      <c r="AW251" s="1254"/>
      <c r="AX251" s="1254"/>
      <c r="AY251" s="1254"/>
      <c r="AZ251" s="1254"/>
      <c r="BA251" s="1254"/>
    </row>
    <row r="252" spans="3:53" ht="12.6" customHeight="1" outlineLevel="1">
      <c r="C252" s="1598" t="s">
        <v>1225</v>
      </c>
      <c r="D252" s="1603"/>
      <c r="E252" s="1603"/>
      <c r="F252" s="1603"/>
      <c r="G252" s="1603"/>
      <c r="H252" s="1603"/>
      <c r="I252" s="1602" t="s">
        <v>916</v>
      </c>
      <c r="J252" s="2410">
        <f>(J250-J251)/J251</f>
        <v>1.1090382959875424</v>
      </c>
      <c r="M252" s="1254"/>
      <c r="N252" s="1254"/>
      <c r="O252" s="1254"/>
      <c r="P252" s="1254"/>
      <c r="Q252" s="1254"/>
      <c r="R252" s="1254"/>
      <c r="S252" s="1254"/>
      <c r="T252" s="1254"/>
      <c r="U252" s="1254"/>
      <c r="V252" s="1254"/>
      <c r="W252" s="1254"/>
      <c r="X252" s="1254"/>
      <c r="Y252" s="1254"/>
      <c r="Z252" s="1254"/>
      <c r="AA252" s="1254"/>
      <c r="AB252" s="1254"/>
      <c r="AC252" s="1254"/>
      <c r="AD252" s="1254"/>
      <c r="AE252" s="1254"/>
      <c r="AF252" s="1254"/>
      <c r="AG252" s="1254"/>
      <c r="AH252" s="1254"/>
      <c r="AI252" s="1254"/>
      <c r="AJ252" s="1254"/>
      <c r="AK252" s="1254"/>
      <c r="AL252" s="1254"/>
      <c r="AM252" s="1254"/>
      <c r="AN252" s="1254"/>
      <c r="AO252" s="1254"/>
      <c r="AP252" s="1254"/>
      <c r="AQ252" s="1254"/>
      <c r="AR252" s="1254"/>
      <c r="AS252" s="1254"/>
      <c r="AT252" s="1254"/>
      <c r="AU252" s="1254"/>
      <c r="AV252" s="1254"/>
      <c r="AW252" s="1254"/>
      <c r="AX252" s="1254"/>
      <c r="AY252" s="1254"/>
      <c r="AZ252" s="1254"/>
      <c r="BA252" s="1254"/>
    </row>
    <row r="253" spans="3:53" ht="12.6" customHeight="1" outlineLevel="1">
      <c r="C253" s="1598" t="s">
        <v>1579</v>
      </c>
      <c r="D253" s="1603"/>
      <c r="E253" s="1603"/>
      <c r="F253" s="1603"/>
      <c r="G253" s="1603"/>
      <c r="H253" s="1603"/>
      <c r="I253" s="1602"/>
      <c r="J253" s="2410">
        <f>J248</f>
        <v>2.42</v>
      </c>
      <c r="M253" s="1235">
        <f t="shared" ref="M253:AP253" si="82">MIN($J$253*M56,$J$259)</f>
        <v>2.4925999999999999</v>
      </c>
      <c r="N253" s="1235">
        <f t="shared" si="82"/>
        <v>2.5673779999999997</v>
      </c>
      <c r="O253" s="1235">
        <f t="shared" si="82"/>
        <v>2.6443993400000001</v>
      </c>
      <c r="P253" s="1235">
        <f t="shared" si="82"/>
        <v>2.7237313202000002</v>
      </c>
      <c r="Q253" s="1235">
        <f t="shared" si="82"/>
        <v>2.8054432598060002</v>
      </c>
      <c r="R253" s="1235">
        <f t="shared" si="82"/>
        <v>2.8896065576001804</v>
      </c>
      <c r="S253" s="1235">
        <f t="shared" si="82"/>
        <v>2.9762947543281859</v>
      </c>
      <c r="T253" s="1235">
        <f t="shared" si="82"/>
        <v>3.0655835969580316</v>
      </c>
      <c r="U253" s="1235">
        <f t="shared" si="82"/>
        <v>3.1575511048667724</v>
      </c>
      <c r="V253" s="1235">
        <f t="shared" si="82"/>
        <v>3.2522776380127758</v>
      </c>
      <c r="W253" s="1235">
        <f t="shared" si="82"/>
        <v>3.3498459671531591</v>
      </c>
      <c r="X253" s="1235">
        <f t="shared" si="82"/>
        <v>3.4503413461677539</v>
      </c>
      <c r="Y253" s="1235">
        <f t="shared" si="82"/>
        <v>3.5538515865527867</v>
      </c>
      <c r="Z253" s="1235">
        <f t="shared" si="82"/>
        <v>3.6604671341493709</v>
      </c>
      <c r="AA253" s="1235">
        <f t="shared" si="82"/>
        <v>3.7702811481738521</v>
      </c>
      <c r="AB253" s="1235">
        <f t="shared" si="82"/>
        <v>3.8833895826190679</v>
      </c>
      <c r="AC253" s="1235">
        <f t="shared" si="82"/>
        <v>3.9998912700976397</v>
      </c>
      <c r="AD253" s="1235">
        <f t="shared" si="82"/>
        <v>4</v>
      </c>
      <c r="AE253" s="1235">
        <f t="shared" si="82"/>
        <v>4</v>
      </c>
      <c r="AF253" s="1235">
        <f t="shared" si="82"/>
        <v>4</v>
      </c>
      <c r="AG253" s="1235">
        <f t="shared" si="82"/>
        <v>4</v>
      </c>
      <c r="AH253" s="1235">
        <f t="shared" si="82"/>
        <v>4</v>
      </c>
      <c r="AI253" s="1235">
        <f t="shared" si="82"/>
        <v>4</v>
      </c>
      <c r="AJ253" s="1235">
        <f t="shared" si="82"/>
        <v>4</v>
      </c>
      <c r="AK253" s="1235">
        <f t="shared" si="82"/>
        <v>4</v>
      </c>
      <c r="AL253" s="1235">
        <f t="shared" si="82"/>
        <v>4</v>
      </c>
      <c r="AM253" s="1235">
        <f t="shared" si="82"/>
        <v>4</v>
      </c>
      <c r="AN253" s="1235">
        <f t="shared" si="82"/>
        <v>4</v>
      </c>
      <c r="AO253" s="1235">
        <f t="shared" si="82"/>
        <v>4</v>
      </c>
      <c r="AP253" s="1235">
        <f t="shared" si="82"/>
        <v>4</v>
      </c>
      <c r="AQ253" s="1235"/>
      <c r="AR253" s="1235"/>
      <c r="AS253" s="1235"/>
      <c r="AT253" s="1235"/>
      <c r="AU253" s="1235"/>
      <c r="AV253" s="1235"/>
      <c r="AW253" s="1235"/>
      <c r="AX253" s="1235"/>
      <c r="AY253" s="1235"/>
      <c r="AZ253" s="1235"/>
      <c r="BA253" s="1235"/>
    </row>
    <row r="254" spans="3:53" ht="12.6" customHeight="1" outlineLevel="1">
      <c r="C254" s="1598" t="s">
        <v>922</v>
      </c>
      <c r="D254" s="1603"/>
      <c r="E254" s="1603"/>
      <c r="F254" s="1603"/>
      <c r="G254" s="1603"/>
      <c r="H254" s="1603"/>
      <c r="I254" s="1602" t="s">
        <v>916</v>
      </c>
      <c r="J254" s="2410">
        <v>0.9</v>
      </c>
      <c r="M254" s="1235">
        <f t="shared" ref="M254:AP254" si="83">$J$254*M56</f>
        <v>0.92700000000000005</v>
      </c>
      <c r="N254" s="1235">
        <f t="shared" si="83"/>
        <v>0.95480999999999994</v>
      </c>
      <c r="O254" s="1235">
        <f t="shared" si="83"/>
        <v>0.9834543</v>
      </c>
      <c r="P254" s="1235">
        <f t="shared" si="83"/>
        <v>1.0129579290000001</v>
      </c>
      <c r="Q254" s="1235">
        <f t="shared" si="83"/>
        <v>1.04334666687</v>
      </c>
      <c r="R254" s="1235">
        <f t="shared" si="83"/>
        <v>1.0746470668761001</v>
      </c>
      <c r="S254" s="1235">
        <f t="shared" si="83"/>
        <v>1.1068864788823831</v>
      </c>
      <c r="T254" s="1235">
        <f t="shared" si="83"/>
        <v>1.1400930732488548</v>
      </c>
      <c r="U254" s="1235">
        <f t="shared" si="83"/>
        <v>1.1742958654463205</v>
      </c>
      <c r="V254" s="1235">
        <f t="shared" si="83"/>
        <v>1.2095247414097101</v>
      </c>
      <c r="W254" s="1235">
        <f t="shared" si="83"/>
        <v>1.2458104836520014</v>
      </c>
      <c r="X254" s="1235">
        <f t="shared" si="83"/>
        <v>1.2831847981615614</v>
      </c>
      <c r="Y254" s="1235">
        <f t="shared" si="83"/>
        <v>1.3216803421064083</v>
      </c>
      <c r="Z254" s="1235">
        <f t="shared" si="83"/>
        <v>1.3613307523696008</v>
      </c>
      <c r="AA254" s="1235">
        <f t="shared" si="83"/>
        <v>1.4021706749406888</v>
      </c>
      <c r="AB254" s="1235">
        <f t="shared" si="83"/>
        <v>1.4442357951889095</v>
      </c>
      <c r="AC254" s="1235">
        <f t="shared" si="83"/>
        <v>1.4875628690445768</v>
      </c>
      <c r="AD254" s="1235">
        <f t="shared" si="83"/>
        <v>1.532189755115914</v>
      </c>
      <c r="AE254" s="1235">
        <f t="shared" si="83"/>
        <v>1.5781554477693918</v>
      </c>
      <c r="AF254" s="1235">
        <f t="shared" si="83"/>
        <v>1.6255001112024736</v>
      </c>
      <c r="AG254" s="1235">
        <f t="shared" si="83"/>
        <v>1.6742651145385479</v>
      </c>
      <c r="AH254" s="1235">
        <f t="shared" si="83"/>
        <v>1.7244930679747044</v>
      </c>
      <c r="AI254" s="1235">
        <f t="shared" si="83"/>
        <v>1.7762278600139456</v>
      </c>
      <c r="AJ254" s="1235">
        <f t="shared" si="83"/>
        <v>1.829514695814364</v>
      </c>
      <c r="AK254" s="1235">
        <f t="shared" si="83"/>
        <v>1.8844001366887948</v>
      </c>
      <c r="AL254" s="1235">
        <f t="shared" si="83"/>
        <v>1.9409321407894589</v>
      </c>
      <c r="AM254" s="1235">
        <f t="shared" si="83"/>
        <v>1.9991601050131429</v>
      </c>
      <c r="AN254" s="1235">
        <f t="shared" si="83"/>
        <v>2.0591349081635371</v>
      </c>
      <c r="AO254" s="1235">
        <f t="shared" si="83"/>
        <v>2.120908955408443</v>
      </c>
      <c r="AP254" s="1235">
        <f t="shared" si="83"/>
        <v>2.1845362240706963</v>
      </c>
      <c r="AQ254" s="1235"/>
      <c r="AR254" s="1235"/>
      <c r="AS254" s="1235"/>
      <c r="AT254" s="1235"/>
      <c r="AU254" s="1235"/>
      <c r="AV254" s="1235"/>
      <c r="AW254" s="1235"/>
      <c r="AX254" s="1235"/>
      <c r="AY254" s="1235"/>
      <c r="AZ254" s="1235"/>
      <c r="BA254" s="1235"/>
    </row>
    <row r="255" spans="3:53" ht="12.6" customHeight="1" outlineLevel="1" thickBot="1">
      <c r="C255" s="1605"/>
      <c r="D255" s="1606"/>
      <c r="E255" s="1606"/>
      <c r="F255" s="1606"/>
      <c r="G255" s="1606"/>
      <c r="H255" s="1606"/>
      <c r="I255" s="1607"/>
      <c r="J255" s="2411"/>
      <c r="M255" s="1235"/>
      <c r="N255" s="1235"/>
      <c r="O255" s="1235"/>
      <c r="P255" s="1235"/>
      <c r="Q255" s="1235"/>
      <c r="R255" s="1235"/>
      <c r="S255" s="1235"/>
      <c r="T255" s="1235"/>
      <c r="U255" s="1235"/>
      <c r="V255" s="1235"/>
      <c r="W255" s="1235"/>
      <c r="X255" s="1235"/>
      <c r="Y255" s="1235"/>
      <c r="Z255" s="1235"/>
      <c r="AA255" s="1235"/>
      <c r="AB255" s="1235"/>
      <c r="AC255" s="1235"/>
      <c r="AD255" s="1235"/>
      <c r="AE255" s="1235"/>
      <c r="AF255" s="1235"/>
      <c r="AG255" s="1235"/>
      <c r="AH255" s="1235"/>
      <c r="AI255" s="1235"/>
      <c r="AJ255" s="1235"/>
      <c r="AK255" s="1235"/>
      <c r="AL255" s="1235"/>
      <c r="AM255" s="1235"/>
      <c r="AN255" s="1235"/>
      <c r="AO255" s="1235"/>
      <c r="AP255" s="1235"/>
      <c r="AQ255" s="1235"/>
      <c r="AR255" s="1235"/>
      <c r="AS255" s="1235"/>
      <c r="AT255" s="1235"/>
      <c r="AU255" s="1235"/>
      <c r="AV255" s="1235"/>
      <c r="AW255" s="1235"/>
      <c r="AX255" s="1235"/>
      <c r="AY255" s="1235"/>
      <c r="AZ255" s="1235"/>
      <c r="BA255" s="1235"/>
    </row>
    <row r="256" spans="3:53" ht="12.6" customHeight="1" outlineLevel="1" thickBot="1">
      <c r="C256" s="2403" t="s">
        <v>920</v>
      </c>
      <c r="D256" s="2404"/>
      <c r="E256" s="2404"/>
      <c r="F256" s="2404"/>
      <c r="G256" s="2404"/>
      <c r="H256" s="2404"/>
      <c r="I256" s="2405"/>
      <c r="J256" s="2406">
        <f>J253+J254+J255</f>
        <v>3.32</v>
      </c>
      <c r="M256" s="1235">
        <f>SUM(M253:M254)</f>
        <v>3.4196</v>
      </c>
      <c r="N256" s="1235">
        <f t="shared" ref="N256:AP256" si="84">SUM(N253:N254)</f>
        <v>3.5221879999999999</v>
      </c>
      <c r="O256" s="1235">
        <f t="shared" si="84"/>
        <v>3.6278536400000001</v>
      </c>
      <c r="P256" s="1235">
        <f t="shared" si="84"/>
        <v>3.7366892492000003</v>
      </c>
      <c r="Q256" s="1235">
        <f t="shared" si="84"/>
        <v>3.848789926676</v>
      </c>
      <c r="R256" s="1235">
        <f t="shared" si="84"/>
        <v>3.9642536244762807</v>
      </c>
      <c r="S256" s="1235">
        <f t="shared" si="84"/>
        <v>4.0831812332105688</v>
      </c>
      <c r="T256" s="1235">
        <f t="shared" si="84"/>
        <v>4.205676670206886</v>
      </c>
      <c r="U256" s="1235">
        <f t="shared" si="84"/>
        <v>4.3318469703130926</v>
      </c>
      <c r="V256" s="1235">
        <f t="shared" si="84"/>
        <v>4.4618023794224859</v>
      </c>
      <c r="W256" s="1235">
        <f t="shared" si="84"/>
        <v>4.5956564508051603</v>
      </c>
      <c r="X256" s="1235">
        <f t="shared" si="84"/>
        <v>4.7335261443293151</v>
      </c>
      <c r="Y256" s="1235">
        <f t="shared" si="84"/>
        <v>4.8755319286591945</v>
      </c>
      <c r="Z256" s="1235">
        <f t="shared" si="84"/>
        <v>5.0217978865189714</v>
      </c>
      <c r="AA256" s="1235">
        <f t="shared" si="84"/>
        <v>5.1724518231145407</v>
      </c>
      <c r="AB256" s="1235">
        <f t="shared" si="84"/>
        <v>5.3276253778079772</v>
      </c>
      <c r="AC256" s="1235">
        <f t="shared" si="84"/>
        <v>5.4874541391422165</v>
      </c>
      <c r="AD256" s="1235">
        <f t="shared" si="84"/>
        <v>5.5321897551159136</v>
      </c>
      <c r="AE256" s="1235">
        <f t="shared" si="84"/>
        <v>5.578155447769392</v>
      </c>
      <c r="AF256" s="1235">
        <f t="shared" si="84"/>
        <v>5.6255001112024736</v>
      </c>
      <c r="AG256" s="1235">
        <f t="shared" si="84"/>
        <v>5.6742651145385476</v>
      </c>
      <c r="AH256" s="1235">
        <f t="shared" si="84"/>
        <v>5.7244930679747039</v>
      </c>
      <c r="AI256" s="1235">
        <f t="shared" si="84"/>
        <v>5.7762278600139458</v>
      </c>
      <c r="AJ256" s="1235">
        <f t="shared" si="84"/>
        <v>5.829514695814364</v>
      </c>
      <c r="AK256" s="1235">
        <f t="shared" si="84"/>
        <v>5.8844001366887948</v>
      </c>
      <c r="AL256" s="1235">
        <f t="shared" si="84"/>
        <v>5.9409321407894584</v>
      </c>
      <c r="AM256" s="1235">
        <f t="shared" si="84"/>
        <v>5.9991601050131429</v>
      </c>
      <c r="AN256" s="1235">
        <f t="shared" si="84"/>
        <v>6.0591349081635375</v>
      </c>
      <c r="AO256" s="1235">
        <f t="shared" si="84"/>
        <v>6.120908955408443</v>
      </c>
      <c r="AP256" s="1235">
        <f t="shared" si="84"/>
        <v>6.1845362240706958</v>
      </c>
      <c r="AQ256" s="1235"/>
      <c r="AR256" s="1235"/>
      <c r="AS256" s="1235"/>
      <c r="AT256" s="1235"/>
      <c r="AU256" s="1235"/>
      <c r="AV256" s="1235"/>
      <c r="AW256" s="1235"/>
      <c r="AX256" s="1235"/>
      <c r="AY256" s="1235"/>
      <c r="AZ256" s="1235"/>
      <c r="BA256" s="1235"/>
    </row>
    <row r="257" spans="3:53" ht="12.6" customHeight="1" outlineLevel="1">
      <c r="H257" s="320"/>
      <c r="I257" s="320"/>
      <c r="M257" s="1254"/>
      <c r="N257" s="1254"/>
      <c r="O257" s="1254"/>
      <c r="P257" s="1254"/>
      <c r="Q257" s="1254"/>
      <c r="R257" s="1254"/>
      <c r="S257" s="1254"/>
      <c r="T257" s="1254"/>
      <c r="U257" s="1254"/>
      <c r="V257" s="1254"/>
      <c r="W257" s="1254"/>
      <c r="X257" s="1254"/>
      <c r="Y257" s="1254"/>
      <c r="Z257" s="1254"/>
      <c r="AA257" s="1254"/>
      <c r="AB257" s="1254"/>
      <c r="AC257" s="1254"/>
      <c r="AD257" s="1254"/>
      <c r="AE257" s="1254"/>
      <c r="AF257" s="1254"/>
      <c r="AG257" s="1254"/>
      <c r="AH257" s="1254"/>
      <c r="AI257" s="1254"/>
      <c r="AJ257" s="1254"/>
      <c r="AK257" s="1254"/>
      <c r="AL257" s="1254"/>
      <c r="AM257" s="1254"/>
      <c r="AN257" s="1254"/>
      <c r="AO257" s="1254"/>
      <c r="AP257" s="1254"/>
      <c r="AQ257" s="1254"/>
      <c r="AR257" s="1254"/>
      <c r="AS257" s="1254"/>
      <c r="AT257" s="1254"/>
      <c r="AU257" s="1254"/>
      <c r="AV257" s="1254"/>
      <c r="AW257" s="1254"/>
      <c r="AX257" s="1254"/>
      <c r="AY257" s="1254"/>
      <c r="AZ257" s="1254"/>
      <c r="BA257" s="1254"/>
    </row>
    <row r="258" spans="3:53" ht="12.6" customHeight="1" outlineLevel="1">
      <c r="D258" s="352"/>
      <c r="E258" s="352"/>
      <c r="F258" s="352"/>
      <c r="G258" s="352"/>
      <c r="H258" s="352"/>
      <c r="I258" s="1030"/>
      <c r="J258" s="1509"/>
      <c r="M258" s="1254"/>
      <c r="N258" s="1254"/>
      <c r="O258" s="1254"/>
      <c r="P258" s="1254"/>
      <c r="Q258" s="1254"/>
      <c r="R258" s="1254"/>
      <c r="S258" s="1254"/>
      <c r="T258" s="1254"/>
      <c r="U258" s="1254"/>
      <c r="V258" s="1254"/>
      <c r="W258" s="1254"/>
      <c r="X258" s="1254"/>
      <c r="Y258" s="1254"/>
      <c r="Z258" s="1254"/>
      <c r="AA258" s="1254"/>
      <c r="AB258" s="1254"/>
      <c r="AC258" s="1254"/>
      <c r="AD258" s="1254"/>
      <c r="AE258" s="1254"/>
      <c r="AF258" s="1254"/>
      <c r="AG258" s="1254"/>
      <c r="AH258" s="1254"/>
      <c r="AI258" s="1254"/>
      <c r="AJ258" s="1254"/>
      <c r="AK258" s="1254"/>
      <c r="AL258" s="1254"/>
      <c r="AM258" s="1254"/>
      <c r="AN258" s="1254"/>
      <c r="AO258" s="1254"/>
      <c r="AP258" s="1254"/>
      <c r="AQ258" s="1254"/>
      <c r="AR258" s="1254"/>
      <c r="AS258" s="1254"/>
      <c r="AT258" s="1254"/>
      <c r="AU258" s="1254"/>
      <c r="AV258" s="1254"/>
      <c r="AW258" s="1254"/>
      <c r="AX258" s="1254"/>
      <c r="AY258" s="1254"/>
      <c r="AZ258" s="1254"/>
      <c r="BA258" s="1254"/>
    </row>
    <row r="259" spans="3:53" outlineLevel="1">
      <c r="C259" s="320" t="s">
        <v>1240</v>
      </c>
      <c r="H259" s="320"/>
      <c r="I259" s="323" t="s">
        <v>916</v>
      </c>
      <c r="J259" s="416">
        <v>4</v>
      </c>
      <c r="M259" s="1240"/>
      <c r="N259" s="1240"/>
      <c r="O259" s="1240"/>
      <c r="P259" s="1240"/>
      <c r="Q259" s="1240"/>
      <c r="R259" s="1240"/>
      <c r="S259" s="1240"/>
      <c r="T259" s="1240"/>
      <c r="U259" s="1240"/>
      <c r="V259" s="1240"/>
      <c r="W259" s="1240"/>
      <c r="X259" s="1240"/>
      <c r="Y259" s="1240"/>
      <c r="Z259" s="1240"/>
      <c r="AA259" s="1240"/>
      <c r="AB259" s="1240"/>
      <c r="AC259" s="1240"/>
      <c r="AD259" s="1240"/>
      <c r="AE259" s="1240"/>
      <c r="AF259" s="1240"/>
      <c r="AG259" s="1240"/>
      <c r="AH259" s="1240"/>
      <c r="AI259" s="1240"/>
      <c r="AJ259" s="1240"/>
      <c r="AK259" s="1240"/>
      <c r="AL259" s="1240"/>
      <c r="AM259" s="1240"/>
      <c r="AN259" s="1240"/>
      <c r="AO259" s="1240"/>
      <c r="AP259" s="1240"/>
      <c r="AQ259" s="1240"/>
      <c r="AR259" s="1240"/>
      <c r="AS259" s="1240"/>
      <c r="AT259" s="1240"/>
      <c r="AU259" s="1240"/>
      <c r="AV259" s="1240"/>
      <c r="AW259" s="1240"/>
      <c r="AX259" s="1240"/>
      <c r="AY259" s="1240"/>
      <c r="AZ259" s="1240"/>
      <c r="BA259" s="1240"/>
    </row>
    <row r="260" spans="3:53" ht="11.45" customHeight="1" outlineLevel="1">
      <c r="C260" s="320" t="s">
        <v>1117</v>
      </c>
      <c r="H260" s="320"/>
      <c r="I260" s="323" t="s">
        <v>916</v>
      </c>
      <c r="J260" s="416">
        <v>1</v>
      </c>
      <c r="M260" s="1240"/>
      <c r="N260" s="1240"/>
      <c r="O260" s="1240"/>
      <c r="P260" s="1240"/>
      <c r="Q260" s="1240"/>
      <c r="R260" s="1240"/>
      <c r="S260" s="1240"/>
      <c r="T260" s="1240"/>
      <c r="U260" s="1240"/>
      <c r="V260" s="1240"/>
      <c r="W260" s="1240"/>
      <c r="X260" s="1240"/>
      <c r="Y260" s="1240"/>
      <c r="Z260" s="1240"/>
      <c r="AA260" s="1240"/>
      <c r="AB260" s="1240"/>
      <c r="AC260" s="1240"/>
      <c r="AD260" s="1240"/>
      <c r="AE260" s="1240"/>
      <c r="AF260" s="1240"/>
      <c r="AG260" s="1240"/>
      <c r="AH260" s="1240"/>
      <c r="AI260" s="1240"/>
      <c r="AJ260" s="1240"/>
      <c r="AK260" s="1240"/>
      <c r="AL260" s="1240"/>
      <c r="AM260" s="1240"/>
      <c r="AN260" s="1240"/>
      <c r="AO260" s="1240"/>
      <c r="AP260" s="1240"/>
      <c r="AQ260" s="1240"/>
      <c r="AR260" s="1240"/>
      <c r="AS260" s="1240"/>
      <c r="AT260" s="1240"/>
      <c r="AU260" s="1240"/>
      <c r="AV260" s="1240"/>
      <c r="AW260" s="1240"/>
      <c r="AX260" s="1240"/>
      <c r="AY260" s="1240"/>
      <c r="AZ260" s="1240"/>
      <c r="BA260" s="1240"/>
    </row>
    <row r="261" spans="3:53" ht="11.45" customHeight="1" outlineLevel="1">
      <c r="H261" s="320"/>
      <c r="I261" s="320"/>
      <c r="M261" s="1240"/>
      <c r="N261" s="1240"/>
      <c r="O261" s="1240"/>
      <c r="P261" s="1240"/>
      <c r="Q261" s="1240"/>
      <c r="R261" s="1240"/>
      <c r="S261" s="1240"/>
      <c r="T261" s="1240"/>
      <c r="U261" s="1240"/>
      <c r="V261" s="1240"/>
      <c r="W261" s="1240"/>
      <c r="X261" s="1240"/>
      <c r="Y261" s="1240"/>
      <c r="Z261" s="1240"/>
      <c r="AA261" s="1240"/>
      <c r="AB261" s="1240"/>
      <c r="AC261" s="1240"/>
      <c r="AD261" s="1240"/>
      <c r="AE261" s="1240"/>
      <c r="AF261" s="1240"/>
      <c r="AG261" s="1240"/>
      <c r="AH261" s="1240"/>
      <c r="AI261" s="1240"/>
      <c r="AJ261" s="1240"/>
      <c r="AK261" s="1240"/>
      <c r="AL261" s="1240"/>
      <c r="AM261" s="1240"/>
      <c r="AN261" s="1240"/>
      <c r="AO261" s="1240"/>
      <c r="AP261" s="1240"/>
      <c r="AQ261" s="1240"/>
      <c r="AR261" s="1240"/>
      <c r="AS261" s="1240"/>
      <c r="AT261" s="1240"/>
      <c r="AU261" s="1240"/>
      <c r="AV261" s="1240"/>
      <c r="AW261" s="1240"/>
      <c r="AX261" s="1240"/>
      <c r="AY261" s="1240"/>
      <c r="AZ261" s="1240"/>
      <c r="BA261" s="1240"/>
    </row>
    <row r="262" spans="3:53" ht="12.75" outlineLevel="1">
      <c r="D262" s="1255"/>
      <c r="H262" s="320"/>
      <c r="J262" s="416"/>
      <c r="M262" s="1235"/>
      <c r="N262" s="1235"/>
      <c r="O262" s="1235"/>
      <c r="P262" s="1235"/>
      <c r="Q262" s="1235"/>
      <c r="R262" s="1235"/>
      <c r="S262" s="1235"/>
      <c r="T262" s="1235"/>
      <c r="U262" s="1235"/>
      <c r="V262" s="1235"/>
      <c r="W262" s="1235"/>
      <c r="X262" s="1235"/>
      <c r="Y262" s="1235"/>
      <c r="Z262" s="1235"/>
      <c r="AA262" s="1235"/>
      <c r="AB262" s="1235"/>
      <c r="AC262" s="1235"/>
      <c r="AD262" s="1235"/>
      <c r="AE262" s="1235"/>
      <c r="AF262" s="1235"/>
      <c r="AG262" s="1235"/>
      <c r="AH262" s="1235"/>
      <c r="AI262" s="1235"/>
      <c r="AJ262" s="1235"/>
      <c r="AK262" s="1235"/>
      <c r="AL262" s="1235"/>
      <c r="AM262" s="1235"/>
      <c r="AN262" s="1235"/>
      <c r="AO262" s="1235"/>
      <c r="AP262" s="1235"/>
      <c r="AQ262" s="1235"/>
      <c r="AR262" s="1235"/>
      <c r="AS262" s="1235"/>
      <c r="AT262" s="1235"/>
      <c r="AU262" s="1235"/>
      <c r="AV262" s="1235"/>
      <c r="AW262" s="1235"/>
      <c r="AX262" s="1235"/>
      <c r="AY262" s="1235"/>
      <c r="AZ262" s="1235"/>
      <c r="BA262" s="1235"/>
    </row>
    <row r="263" spans="3:53" ht="12.75" outlineLevel="1">
      <c r="D263" s="1255"/>
      <c r="H263" s="320"/>
      <c r="J263" s="416"/>
      <c r="M263" s="1235"/>
      <c r="N263" s="1235"/>
      <c r="O263" s="1235"/>
      <c r="P263" s="1235"/>
      <c r="Q263" s="1235"/>
      <c r="R263" s="1235"/>
      <c r="S263" s="1235"/>
      <c r="T263" s="1235"/>
      <c r="U263" s="1235"/>
      <c r="V263" s="1235"/>
      <c r="W263" s="1235"/>
      <c r="X263" s="1235"/>
      <c r="Y263" s="1235"/>
      <c r="Z263" s="1235"/>
      <c r="AA263" s="1235"/>
      <c r="AB263" s="1235"/>
      <c r="AC263" s="1235"/>
      <c r="AD263" s="1235"/>
      <c r="AE263" s="1235"/>
      <c r="AF263" s="1235"/>
      <c r="AG263" s="1235"/>
      <c r="AH263" s="1235"/>
      <c r="AI263" s="1235"/>
      <c r="AJ263" s="1235"/>
      <c r="AK263" s="1235"/>
      <c r="AL263" s="1235"/>
      <c r="AM263" s="1235"/>
      <c r="AN263" s="1235"/>
      <c r="AO263" s="1235"/>
      <c r="AP263" s="1235"/>
      <c r="AQ263" s="1235"/>
      <c r="AR263" s="1235"/>
      <c r="AS263" s="1235"/>
      <c r="AT263" s="1235"/>
      <c r="AU263" s="1235"/>
      <c r="AV263" s="1235"/>
      <c r="AW263" s="1235"/>
      <c r="AX263" s="1235"/>
      <c r="AY263" s="1235"/>
      <c r="AZ263" s="1235"/>
      <c r="BA263" s="1235"/>
    </row>
    <row r="264" spans="3:53" ht="12.75" outlineLevel="1">
      <c r="C264" s="344" t="s">
        <v>982</v>
      </c>
      <c r="D264" s="1255"/>
      <c r="H264" s="320"/>
      <c r="J264" s="416"/>
      <c r="M264" s="1235"/>
      <c r="N264" s="1235"/>
      <c r="O264" s="1235"/>
      <c r="P264" s="1235"/>
      <c r="Q264" s="1235"/>
      <c r="R264" s="1235"/>
      <c r="S264" s="1235"/>
      <c r="T264" s="1235"/>
      <c r="U264" s="1235"/>
      <c r="V264" s="1235"/>
      <c r="W264" s="1235"/>
      <c r="X264" s="1235"/>
      <c r="Y264" s="1235"/>
      <c r="Z264" s="1235"/>
      <c r="AA264" s="1235"/>
      <c r="AB264" s="1235"/>
      <c r="AC264" s="1235"/>
      <c r="AD264" s="1235"/>
      <c r="AE264" s="1235"/>
      <c r="AF264" s="1235"/>
      <c r="AG264" s="1235"/>
      <c r="AH264" s="1235"/>
      <c r="AI264" s="1235"/>
      <c r="AJ264" s="1235"/>
      <c r="AK264" s="1235"/>
      <c r="AL264" s="1235"/>
      <c r="AM264" s="1235"/>
      <c r="AN264" s="1235"/>
      <c r="AO264" s="1235"/>
      <c r="AP264" s="1235"/>
      <c r="AQ264" s="1235"/>
      <c r="AR264" s="1235"/>
      <c r="AS264" s="1235"/>
      <c r="AT264" s="1235"/>
      <c r="AU264" s="1235"/>
      <c r="AV264" s="1235"/>
      <c r="AW264" s="1235"/>
      <c r="AX264" s="1235"/>
      <c r="AY264" s="1235"/>
      <c r="AZ264" s="1235"/>
      <c r="BA264" s="1235"/>
    </row>
    <row r="265" spans="3:53" ht="12.75" outlineLevel="1">
      <c r="C265" s="320" t="s">
        <v>927</v>
      </c>
      <c r="D265" s="1255"/>
      <c r="H265" s="320"/>
      <c r="J265" s="952">
        <v>0.3</v>
      </c>
      <c r="M265" s="1241">
        <f t="shared" ref="M265:AP265" si="85">$J$265*M145</f>
        <v>0</v>
      </c>
      <c r="N265" s="1235">
        <f t="shared" si="85"/>
        <v>292500</v>
      </c>
      <c r="O265" s="1235">
        <f t="shared" ca="1" si="85"/>
        <v>560625</v>
      </c>
      <c r="P265" s="1241">
        <f t="shared" ca="1" si="85"/>
        <v>671250</v>
      </c>
      <c r="Q265" s="1235">
        <f t="shared" ca="1" si="85"/>
        <v>712500</v>
      </c>
      <c r="R265" s="1235">
        <f t="shared" ca="1" si="85"/>
        <v>712500</v>
      </c>
      <c r="S265" s="1235">
        <f t="shared" ca="1" si="85"/>
        <v>712500</v>
      </c>
      <c r="T265" s="1235">
        <f t="shared" ca="1" si="85"/>
        <v>712500</v>
      </c>
      <c r="U265" s="1235">
        <f t="shared" ca="1" si="85"/>
        <v>712500</v>
      </c>
      <c r="V265" s="1235">
        <f t="shared" ca="1" si="85"/>
        <v>712500</v>
      </c>
      <c r="W265" s="1235">
        <f t="shared" ca="1" si="85"/>
        <v>712500</v>
      </c>
      <c r="X265" s="1235">
        <f t="shared" ca="1" si="85"/>
        <v>712500</v>
      </c>
      <c r="Y265" s="1235">
        <f t="shared" ca="1" si="85"/>
        <v>712500</v>
      </c>
      <c r="Z265" s="1235">
        <f t="shared" ca="1" si="85"/>
        <v>712500</v>
      </c>
      <c r="AA265" s="1235">
        <f t="shared" ca="1" si="85"/>
        <v>712500</v>
      </c>
      <c r="AB265" s="1235">
        <f t="shared" ca="1" si="85"/>
        <v>712500</v>
      </c>
      <c r="AC265" s="1235">
        <f t="shared" ca="1" si="85"/>
        <v>712500</v>
      </c>
      <c r="AD265" s="1235">
        <f t="shared" ca="1" si="85"/>
        <v>712500</v>
      </c>
      <c r="AE265" s="1235">
        <f t="shared" ca="1" si="85"/>
        <v>712500</v>
      </c>
      <c r="AF265" s="1235">
        <f t="shared" ca="1" si="85"/>
        <v>712500</v>
      </c>
      <c r="AG265" s="1235">
        <f t="shared" ca="1" si="85"/>
        <v>712500</v>
      </c>
      <c r="AH265" s="1235">
        <f t="shared" ca="1" si="85"/>
        <v>712500</v>
      </c>
      <c r="AI265" s="1235">
        <f t="shared" ca="1" si="85"/>
        <v>712500</v>
      </c>
      <c r="AJ265" s="1235">
        <f t="shared" ca="1" si="85"/>
        <v>712500</v>
      </c>
      <c r="AK265" s="1235">
        <f t="shared" ca="1" si="85"/>
        <v>712500</v>
      </c>
      <c r="AL265" s="1235">
        <f t="shared" ca="1" si="85"/>
        <v>712500</v>
      </c>
      <c r="AM265" s="1235">
        <f t="shared" ca="1" si="85"/>
        <v>712500</v>
      </c>
      <c r="AN265" s="1235">
        <f t="shared" ca="1" si="85"/>
        <v>712500</v>
      </c>
      <c r="AO265" s="1235">
        <f t="shared" ca="1" si="85"/>
        <v>712500</v>
      </c>
      <c r="AP265" s="1235">
        <f t="shared" ca="1" si="85"/>
        <v>712500</v>
      </c>
      <c r="AQ265" s="1235"/>
      <c r="AR265" s="1235"/>
      <c r="AS265" s="1235"/>
      <c r="AT265" s="1235"/>
      <c r="AU265" s="1235"/>
      <c r="AV265" s="1235"/>
      <c r="AW265" s="1235"/>
      <c r="AX265" s="1235"/>
      <c r="AY265" s="1235"/>
      <c r="AZ265" s="1235"/>
      <c r="BA265" s="1235"/>
    </row>
    <row r="266" spans="3:53" ht="12.75" outlineLevel="1">
      <c r="C266" s="320" t="s">
        <v>2115</v>
      </c>
      <c r="D266" s="1255"/>
      <c r="H266" s="320"/>
      <c r="J266" s="952">
        <v>1</v>
      </c>
      <c r="M266" s="1241">
        <f t="shared" ref="M266:AP266" si="86">$J$266*M146</f>
        <v>0</v>
      </c>
      <c r="N266" s="1241">
        <f t="shared" si="86"/>
        <v>0</v>
      </c>
      <c r="O266" s="1241">
        <f t="shared" si="86"/>
        <v>0</v>
      </c>
      <c r="P266" s="1241">
        <f t="shared" si="86"/>
        <v>0</v>
      </c>
      <c r="Q266" s="1241">
        <f t="shared" si="86"/>
        <v>0</v>
      </c>
      <c r="R266" s="1241">
        <f t="shared" si="86"/>
        <v>0</v>
      </c>
      <c r="S266" s="1241">
        <f t="shared" si="86"/>
        <v>0</v>
      </c>
      <c r="T266" s="1241">
        <f t="shared" si="86"/>
        <v>0</v>
      </c>
      <c r="U266" s="1241">
        <f t="shared" si="86"/>
        <v>0</v>
      </c>
      <c r="V266" s="1241">
        <f t="shared" si="86"/>
        <v>0</v>
      </c>
      <c r="W266" s="1241">
        <f t="shared" si="86"/>
        <v>0</v>
      </c>
      <c r="X266" s="1241">
        <f t="shared" si="86"/>
        <v>0</v>
      </c>
      <c r="Y266" s="1241">
        <f t="shared" si="86"/>
        <v>0</v>
      </c>
      <c r="Z266" s="1241">
        <f t="shared" si="86"/>
        <v>0</v>
      </c>
      <c r="AA266" s="1241">
        <f t="shared" si="86"/>
        <v>0</v>
      </c>
      <c r="AB266" s="1241">
        <f t="shared" si="86"/>
        <v>0</v>
      </c>
      <c r="AC266" s="1241">
        <f t="shared" si="86"/>
        <v>0</v>
      </c>
      <c r="AD266" s="1241">
        <f t="shared" si="86"/>
        <v>0</v>
      </c>
      <c r="AE266" s="1241">
        <f t="shared" si="86"/>
        <v>0</v>
      </c>
      <c r="AF266" s="1241">
        <f t="shared" si="86"/>
        <v>0</v>
      </c>
      <c r="AG266" s="1241">
        <f t="shared" si="86"/>
        <v>0</v>
      </c>
      <c r="AH266" s="1241">
        <f t="shared" si="86"/>
        <v>0</v>
      </c>
      <c r="AI266" s="1241">
        <f t="shared" si="86"/>
        <v>0</v>
      </c>
      <c r="AJ266" s="1241">
        <f t="shared" si="86"/>
        <v>0</v>
      </c>
      <c r="AK266" s="1241">
        <f t="shared" si="86"/>
        <v>0</v>
      </c>
      <c r="AL266" s="1241">
        <f t="shared" si="86"/>
        <v>0</v>
      </c>
      <c r="AM266" s="1241">
        <f t="shared" si="86"/>
        <v>0</v>
      </c>
      <c r="AN266" s="1241">
        <f t="shared" si="86"/>
        <v>0</v>
      </c>
      <c r="AO266" s="1241">
        <f t="shared" si="86"/>
        <v>0</v>
      </c>
      <c r="AP266" s="1241">
        <f t="shared" si="86"/>
        <v>0</v>
      </c>
      <c r="AQ266" s="1241"/>
      <c r="AR266" s="1241"/>
      <c r="AS266" s="1241"/>
      <c r="AT266" s="1241"/>
      <c r="AU266" s="1241"/>
      <c r="AV266" s="1241"/>
      <c r="AW266" s="1241"/>
      <c r="AX266" s="1241"/>
      <c r="AY266" s="1241"/>
      <c r="AZ266" s="1241"/>
      <c r="BA266" s="1241"/>
    </row>
    <row r="267" spans="3:53" ht="12.75" outlineLevel="1">
      <c r="C267" s="320" t="s">
        <v>928</v>
      </c>
      <c r="D267" s="1255"/>
      <c r="H267" s="320"/>
      <c r="J267" s="952">
        <v>0</v>
      </c>
      <c r="M267" s="1241">
        <f t="shared" ref="M267:AP267" si="87">$J$267*M147</f>
        <v>0</v>
      </c>
      <c r="N267" s="1241">
        <f t="shared" si="87"/>
        <v>0</v>
      </c>
      <c r="O267" s="1241">
        <f t="shared" ca="1" si="87"/>
        <v>0</v>
      </c>
      <c r="P267" s="1241">
        <f t="shared" ca="1" si="87"/>
        <v>0</v>
      </c>
      <c r="Q267" s="1241">
        <f t="shared" ca="1" si="87"/>
        <v>0</v>
      </c>
      <c r="R267" s="1241">
        <f t="shared" ca="1" si="87"/>
        <v>0</v>
      </c>
      <c r="S267" s="1241">
        <f t="shared" ca="1" si="87"/>
        <v>0</v>
      </c>
      <c r="T267" s="1241">
        <f t="shared" ca="1" si="87"/>
        <v>0</v>
      </c>
      <c r="U267" s="1241">
        <f t="shared" ca="1" si="87"/>
        <v>0</v>
      </c>
      <c r="V267" s="1241">
        <f t="shared" ca="1" si="87"/>
        <v>0</v>
      </c>
      <c r="W267" s="1241">
        <f t="shared" ca="1" si="87"/>
        <v>0</v>
      </c>
      <c r="X267" s="1241">
        <f t="shared" ca="1" si="87"/>
        <v>0</v>
      </c>
      <c r="Y267" s="1241">
        <f t="shared" ca="1" si="87"/>
        <v>0</v>
      </c>
      <c r="Z267" s="1241">
        <f t="shared" ca="1" si="87"/>
        <v>0</v>
      </c>
      <c r="AA267" s="1241">
        <f t="shared" ca="1" si="87"/>
        <v>0</v>
      </c>
      <c r="AB267" s="1241">
        <f t="shared" ca="1" si="87"/>
        <v>0</v>
      </c>
      <c r="AC267" s="1241">
        <f t="shared" ca="1" si="87"/>
        <v>0</v>
      </c>
      <c r="AD267" s="1241">
        <f t="shared" ca="1" si="87"/>
        <v>0</v>
      </c>
      <c r="AE267" s="1241">
        <f t="shared" ca="1" si="87"/>
        <v>0</v>
      </c>
      <c r="AF267" s="1241">
        <f t="shared" ca="1" si="87"/>
        <v>0</v>
      </c>
      <c r="AG267" s="1241">
        <f t="shared" ca="1" si="87"/>
        <v>0</v>
      </c>
      <c r="AH267" s="1241">
        <f t="shared" ca="1" si="87"/>
        <v>0</v>
      </c>
      <c r="AI267" s="1241">
        <f t="shared" ca="1" si="87"/>
        <v>0</v>
      </c>
      <c r="AJ267" s="1241">
        <f t="shared" ca="1" si="87"/>
        <v>0</v>
      </c>
      <c r="AK267" s="1241">
        <f t="shared" ca="1" si="87"/>
        <v>0</v>
      </c>
      <c r="AL267" s="1241">
        <f t="shared" ca="1" si="87"/>
        <v>0</v>
      </c>
      <c r="AM267" s="1241">
        <f t="shared" ca="1" si="87"/>
        <v>0</v>
      </c>
      <c r="AN267" s="1241">
        <f t="shared" ca="1" si="87"/>
        <v>0</v>
      </c>
      <c r="AO267" s="1241">
        <f t="shared" ca="1" si="87"/>
        <v>0</v>
      </c>
      <c r="AP267" s="1241">
        <f t="shared" ca="1" si="87"/>
        <v>0</v>
      </c>
      <c r="AQ267" s="1241"/>
      <c r="AR267" s="1241"/>
      <c r="AS267" s="1241"/>
      <c r="AT267" s="1241"/>
      <c r="AU267" s="1241"/>
      <c r="AV267" s="1241"/>
      <c r="AW267" s="1241"/>
      <c r="AX267" s="1241"/>
      <c r="AY267" s="1241"/>
      <c r="AZ267" s="1241"/>
      <c r="BA267" s="1241"/>
    </row>
    <row r="268" spans="3:53" ht="12.75" outlineLevel="1">
      <c r="D268" s="1255"/>
      <c r="H268" s="320"/>
      <c r="J268" s="416"/>
      <c r="M268" s="1235"/>
      <c r="N268" s="1235"/>
      <c r="O268" s="1235"/>
      <c r="P268" s="1235"/>
      <c r="Q268" s="1235"/>
      <c r="R268" s="1235"/>
      <c r="S268" s="1235"/>
      <c r="T268" s="1235"/>
      <c r="U268" s="1235"/>
      <c r="V268" s="1235"/>
      <c r="W268" s="1235"/>
      <c r="X268" s="1235"/>
      <c r="Y268" s="1235"/>
      <c r="Z268" s="1235"/>
      <c r="AA268" s="1235"/>
      <c r="AB268" s="1235"/>
      <c r="AC268" s="1235"/>
      <c r="AD268" s="1235"/>
      <c r="AE268" s="1235"/>
      <c r="AF268" s="1235"/>
      <c r="AG268" s="1235"/>
      <c r="AH268" s="1235"/>
      <c r="AI268" s="1235"/>
      <c r="AJ268" s="1235"/>
      <c r="AK268" s="1235"/>
      <c r="AL268" s="1235"/>
      <c r="AM268" s="1235"/>
      <c r="AN268" s="1235"/>
      <c r="AO268" s="1235"/>
      <c r="AP268" s="1235"/>
      <c r="AQ268" s="1235"/>
      <c r="AR268" s="1235"/>
      <c r="AS268" s="1235"/>
      <c r="AT268" s="1235"/>
      <c r="AU268" s="1235"/>
      <c r="AV268" s="1235"/>
      <c r="AW268" s="1235"/>
      <c r="AX268" s="1235"/>
      <c r="AY268" s="1235"/>
      <c r="AZ268" s="1235"/>
      <c r="BA268" s="1235"/>
    </row>
    <row r="269" spans="3:53" ht="12.75" outlineLevel="1">
      <c r="C269" s="344" t="s">
        <v>983</v>
      </c>
      <c r="D269" s="1255"/>
      <c r="H269" s="320"/>
      <c r="J269" s="416"/>
      <c r="M269" s="1235"/>
      <c r="N269" s="1235"/>
      <c r="O269" s="1235"/>
      <c r="P269" s="1235"/>
      <c r="Q269" s="1235"/>
      <c r="R269" s="1235"/>
      <c r="S269" s="1235"/>
      <c r="T269" s="1235"/>
      <c r="U269" s="1235"/>
      <c r="V269" s="1235"/>
      <c r="W269" s="1235"/>
      <c r="X269" s="1235"/>
      <c r="Y269" s="1235"/>
      <c r="Z269" s="1235"/>
      <c r="AA269" s="1235"/>
      <c r="AB269" s="1235"/>
      <c r="AC269" s="1235"/>
      <c r="AD269" s="1235"/>
      <c r="AE269" s="1235"/>
      <c r="AF269" s="1235"/>
      <c r="AG269" s="1235"/>
      <c r="AH269" s="1235"/>
      <c r="AI269" s="1235"/>
      <c r="AJ269" s="1235"/>
      <c r="AK269" s="1235"/>
      <c r="AL269" s="1235"/>
      <c r="AM269" s="1235"/>
      <c r="AN269" s="1235"/>
      <c r="AO269" s="1235"/>
      <c r="AP269" s="1235"/>
      <c r="AQ269" s="1235"/>
      <c r="AR269" s="1235"/>
      <c r="AS269" s="1235"/>
      <c r="AT269" s="1235"/>
      <c r="AU269" s="1235"/>
      <c r="AV269" s="1235"/>
      <c r="AW269" s="1235"/>
      <c r="AX269" s="1235"/>
      <c r="AY269" s="1235"/>
      <c r="AZ269" s="1235"/>
      <c r="BA269" s="1235"/>
    </row>
    <row r="270" spans="3:53" ht="12.75" outlineLevel="1">
      <c r="C270" s="320" t="s">
        <v>927</v>
      </c>
      <c r="D270" s="1255"/>
      <c r="H270" s="320"/>
      <c r="J270" s="951">
        <f>1-J265</f>
        <v>0.7</v>
      </c>
      <c r="M270" s="1241">
        <f t="shared" ref="M270:AP270" si="88">$J$270*M145</f>
        <v>0</v>
      </c>
      <c r="N270" s="1241">
        <f t="shared" si="88"/>
        <v>682500</v>
      </c>
      <c r="O270" s="1241">
        <f t="shared" ca="1" si="88"/>
        <v>1308125</v>
      </c>
      <c r="P270" s="1241">
        <f t="shared" ca="1" si="88"/>
        <v>1566250</v>
      </c>
      <c r="Q270" s="1241">
        <f t="shared" ca="1" si="88"/>
        <v>1662500</v>
      </c>
      <c r="R270" s="1241">
        <f t="shared" ca="1" si="88"/>
        <v>1662500</v>
      </c>
      <c r="S270" s="1241">
        <f t="shared" ca="1" si="88"/>
        <v>1662500</v>
      </c>
      <c r="T270" s="1241">
        <f t="shared" ca="1" si="88"/>
        <v>1662500</v>
      </c>
      <c r="U270" s="1241">
        <f t="shared" ca="1" si="88"/>
        <v>1662500</v>
      </c>
      <c r="V270" s="1241">
        <f t="shared" ca="1" si="88"/>
        <v>1662500</v>
      </c>
      <c r="W270" s="1241">
        <f t="shared" ca="1" si="88"/>
        <v>1662500</v>
      </c>
      <c r="X270" s="1241">
        <f t="shared" ca="1" si="88"/>
        <v>1662500</v>
      </c>
      <c r="Y270" s="1241">
        <f t="shared" ca="1" si="88"/>
        <v>1662500</v>
      </c>
      <c r="Z270" s="1241">
        <f t="shared" ca="1" si="88"/>
        <v>1662500</v>
      </c>
      <c r="AA270" s="1241">
        <f t="shared" ca="1" si="88"/>
        <v>1662500</v>
      </c>
      <c r="AB270" s="1241">
        <f t="shared" ca="1" si="88"/>
        <v>1662500</v>
      </c>
      <c r="AC270" s="1241">
        <f t="shared" ca="1" si="88"/>
        <v>1662500</v>
      </c>
      <c r="AD270" s="1241">
        <f t="shared" ca="1" si="88"/>
        <v>1662500</v>
      </c>
      <c r="AE270" s="1241">
        <f t="shared" ca="1" si="88"/>
        <v>1662500</v>
      </c>
      <c r="AF270" s="1241">
        <f t="shared" ca="1" si="88"/>
        <v>1662500</v>
      </c>
      <c r="AG270" s="1241">
        <f t="shared" ca="1" si="88"/>
        <v>1662500</v>
      </c>
      <c r="AH270" s="1241">
        <f t="shared" ca="1" si="88"/>
        <v>1662500</v>
      </c>
      <c r="AI270" s="1241">
        <f t="shared" ca="1" si="88"/>
        <v>1662500</v>
      </c>
      <c r="AJ270" s="1241">
        <f t="shared" ca="1" si="88"/>
        <v>1662500</v>
      </c>
      <c r="AK270" s="1241">
        <f t="shared" ca="1" si="88"/>
        <v>1662500</v>
      </c>
      <c r="AL270" s="1241">
        <f t="shared" ca="1" si="88"/>
        <v>1662500</v>
      </c>
      <c r="AM270" s="1241">
        <f t="shared" ca="1" si="88"/>
        <v>1662500</v>
      </c>
      <c r="AN270" s="1241">
        <f t="shared" ca="1" si="88"/>
        <v>1662500</v>
      </c>
      <c r="AO270" s="1241">
        <f t="shared" ca="1" si="88"/>
        <v>1662500</v>
      </c>
      <c r="AP270" s="1241">
        <f t="shared" ca="1" si="88"/>
        <v>1662500</v>
      </c>
      <c r="AQ270" s="1241"/>
      <c r="AR270" s="1241"/>
      <c r="AS270" s="1241"/>
      <c r="AT270" s="1241"/>
      <c r="AU270" s="1241"/>
      <c r="AV270" s="1241"/>
      <c r="AW270" s="1241"/>
      <c r="AX270" s="1241"/>
      <c r="AY270" s="1241"/>
      <c r="AZ270" s="1241"/>
      <c r="BA270" s="1241"/>
    </row>
    <row r="271" spans="3:53" ht="12.75" outlineLevel="1">
      <c r="C271" s="320" t="s">
        <v>2115</v>
      </c>
      <c r="D271" s="1255"/>
      <c r="H271" s="320"/>
      <c r="J271" s="951">
        <f>1-J266</f>
        <v>0</v>
      </c>
      <c r="M271" s="1241">
        <f t="shared" ref="M271:AP271" si="89">$J$271*M146</f>
        <v>0</v>
      </c>
      <c r="N271" s="1241">
        <f t="shared" si="89"/>
        <v>0</v>
      </c>
      <c r="O271" s="1241">
        <f t="shared" si="89"/>
        <v>0</v>
      </c>
      <c r="P271" s="1241">
        <f t="shared" si="89"/>
        <v>0</v>
      </c>
      <c r="Q271" s="1241">
        <f t="shared" si="89"/>
        <v>0</v>
      </c>
      <c r="R271" s="1241">
        <f t="shared" si="89"/>
        <v>0</v>
      </c>
      <c r="S271" s="1241">
        <f t="shared" si="89"/>
        <v>0</v>
      </c>
      <c r="T271" s="1241">
        <f t="shared" si="89"/>
        <v>0</v>
      </c>
      <c r="U271" s="1241">
        <f t="shared" si="89"/>
        <v>0</v>
      </c>
      <c r="V271" s="1241">
        <f t="shared" si="89"/>
        <v>0</v>
      </c>
      <c r="W271" s="1241">
        <f t="shared" si="89"/>
        <v>0</v>
      </c>
      <c r="X271" s="1241">
        <f t="shared" si="89"/>
        <v>0</v>
      </c>
      <c r="Y271" s="1241">
        <f t="shared" si="89"/>
        <v>0</v>
      </c>
      <c r="Z271" s="1241">
        <f t="shared" si="89"/>
        <v>0</v>
      </c>
      <c r="AA271" s="1241">
        <f t="shared" si="89"/>
        <v>0</v>
      </c>
      <c r="AB271" s="1241">
        <f t="shared" si="89"/>
        <v>0</v>
      </c>
      <c r="AC271" s="1241">
        <f t="shared" si="89"/>
        <v>0</v>
      </c>
      <c r="AD271" s="1241">
        <f t="shared" si="89"/>
        <v>0</v>
      </c>
      <c r="AE271" s="1241">
        <f t="shared" si="89"/>
        <v>0</v>
      </c>
      <c r="AF271" s="1241">
        <f t="shared" si="89"/>
        <v>0</v>
      </c>
      <c r="AG271" s="1241">
        <f t="shared" si="89"/>
        <v>0</v>
      </c>
      <c r="AH271" s="1241">
        <f t="shared" si="89"/>
        <v>0</v>
      </c>
      <c r="AI271" s="1241">
        <f t="shared" si="89"/>
        <v>0</v>
      </c>
      <c r="AJ271" s="1241">
        <f t="shared" si="89"/>
        <v>0</v>
      </c>
      <c r="AK271" s="1241">
        <f t="shared" si="89"/>
        <v>0</v>
      </c>
      <c r="AL271" s="1241">
        <f t="shared" si="89"/>
        <v>0</v>
      </c>
      <c r="AM271" s="1241">
        <f t="shared" si="89"/>
        <v>0</v>
      </c>
      <c r="AN271" s="1241">
        <f t="shared" si="89"/>
        <v>0</v>
      </c>
      <c r="AO271" s="1241">
        <f t="shared" si="89"/>
        <v>0</v>
      </c>
      <c r="AP271" s="1241">
        <f t="shared" si="89"/>
        <v>0</v>
      </c>
      <c r="AQ271" s="1241"/>
      <c r="AR271" s="1241"/>
      <c r="AS271" s="1241"/>
      <c r="AT271" s="1241"/>
      <c r="AU271" s="1241"/>
      <c r="AV271" s="1241"/>
      <c r="AW271" s="1241"/>
      <c r="AX271" s="1241"/>
      <c r="AY271" s="1241"/>
      <c r="AZ271" s="1241"/>
      <c r="BA271" s="1241"/>
    </row>
    <row r="272" spans="3:53" ht="13.9" customHeight="1" outlineLevel="1">
      <c r="C272" s="320" t="s">
        <v>928</v>
      </c>
      <c r="D272" s="1255"/>
      <c r="H272" s="320"/>
      <c r="J272" s="951">
        <f>1-J267</f>
        <v>1</v>
      </c>
      <c r="M272" s="1241">
        <f t="shared" ref="M272:AP272" si="90">$J$272*M147</f>
        <v>0</v>
      </c>
      <c r="N272" s="1241">
        <f t="shared" si="90"/>
        <v>650000</v>
      </c>
      <c r="O272" s="1241">
        <f t="shared" ca="1" si="90"/>
        <v>812500</v>
      </c>
      <c r="P272" s="1241">
        <f t="shared" ca="1" si="90"/>
        <v>950000</v>
      </c>
      <c r="Q272" s="1241">
        <f t="shared" ca="1" si="90"/>
        <v>950000</v>
      </c>
      <c r="R272" s="1241">
        <f t="shared" ca="1" si="90"/>
        <v>950000</v>
      </c>
      <c r="S272" s="1241">
        <f t="shared" ca="1" si="90"/>
        <v>950000</v>
      </c>
      <c r="T272" s="1241">
        <f t="shared" ca="1" si="90"/>
        <v>950000</v>
      </c>
      <c r="U272" s="1241">
        <f t="shared" ca="1" si="90"/>
        <v>950000</v>
      </c>
      <c r="V272" s="1241">
        <f t="shared" ca="1" si="90"/>
        <v>950000</v>
      </c>
      <c r="W272" s="1241">
        <f t="shared" ca="1" si="90"/>
        <v>950000</v>
      </c>
      <c r="X272" s="1241">
        <f t="shared" ca="1" si="90"/>
        <v>950000</v>
      </c>
      <c r="Y272" s="1241">
        <f t="shared" ca="1" si="90"/>
        <v>950000</v>
      </c>
      <c r="Z272" s="1241">
        <f t="shared" ca="1" si="90"/>
        <v>950000</v>
      </c>
      <c r="AA272" s="1241">
        <f t="shared" ca="1" si="90"/>
        <v>950000</v>
      </c>
      <c r="AB272" s="1241">
        <f t="shared" ca="1" si="90"/>
        <v>950000</v>
      </c>
      <c r="AC272" s="1241">
        <f t="shared" ca="1" si="90"/>
        <v>950000</v>
      </c>
      <c r="AD272" s="1241">
        <f t="shared" ca="1" si="90"/>
        <v>950000</v>
      </c>
      <c r="AE272" s="1241">
        <f t="shared" ca="1" si="90"/>
        <v>950000</v>
      </c>
      <c r="AF272" s="1241">
        <f t="shared" ca="1" si="90"/>
        <v>950000</v>
      </c>
      <c r="AG272" s="1241">
        <f t="shared" ca="1" si="90"/>
        <v>950000</v>
      </c>
      <c r="AH272" s="1241">
        <f t="shared" ca="1" si="90"/>
        <v>950000</v>
      </c>
      <c r="AI272" s="1241">
        <f t="shared" ca="1" si="90"/>
        <v>950000</v>
      </c>
      <c r="AJ272" s="1241">
        <f t="shared" ca="1" si="90"/>
        <v>950000</v>
      </c>
      <c r="AK272" s="1241">
        <f t="shared" ca="1" si="90"/>
        <v>950000</v>
      </c>
      <c r="AL272" s="1241">
        <f t="shared" ca="1" si="90"/>
        <v>950000</v>
      </c>
      <c r="AM272" s="1241">
        <f t="shared" ca="1" si="90"/>
        <v>950000</v>
      </c>
      <c r="AN272" s="1241">
        <f t="shared" ca="1" si="90"/>
        <v>950000</v>
      </c>
      <c r="AO272" s="1241">
        <f t="shared" ca="1" si="90"/>
        <v>950000</v>
      </c>
      <c r="AP272" s="1241">
        <f t="shared" ca="1" si="90"/>
        <v>950000</v>
      </c>
      <c r="AQ272" s="1241"/>
      <c r="AR272" s="1241"/>
      <c r="AS272" s="1241"/>
      <c r="AT272" s="1241"/>
      <c r="AU272" s="1241"/>
      <c r="AV272" s="1241"/>
      <c r="AW272" s="1241"/>
      <c r="AX272" s="1241"/>
      <c r="AY272" s="1241"/>
      <c r="AZ272" s="1241"/>
      <c r="BA272" s="1241"/>
    </row>
    <row r="273" spans="1:53" ht="13.9" customHeight="1" outlineLevel="1">
      <c r="D273" s="1255"/>
      <c r="H273" s="320"/>
      <c r="J273" s="951"/>
      <c r="M273" s="1241"/>
      <c r="N273" s="1241"/>
      <c r="O273" s="1241"/>
      <c r="P273" s="1241"/>
      <c r="Q273" s="1241"/>
      <c r="R273" s="1241"/>
      <c r="S273" s="1241"/>
      <c r="T273" s="1241"/>
      <c r="U273" s="1241"/>
      <c r="V273" s="1241"/>
      <c r="W273" s="1241"/>
      <c r="X273" s="1241"/>
      <c r="Y273" s="1241"/>
      <c r="Z273" s="1241"/>
      <c r="AA273" s="1241"/>
      <c r="AB273" s="1241"/>
      <c r="AC273" s="1241"/>
      <c r="AD273" s="1241"/>
      <c r="AE273" s="1241"/>
      <c r="AF273" s="1241"/>
      <c r="AG273" s="1241"/>
      <c r="AH273" s="1241"/>
      <c r="AI273" s="1241"/>
      <c r="AJ273" s="1241"/>
      <c r="AK273" s="1241"/>
      <c r="AL273" s="1241"/>
      <c r="AM273" s="1241"/>
      <c r="AN273" s="1241"/>
      <c r="AO273" s="1241"/>
      <c r="AP273" s="1241"/>
      <c r="AQ273" s="1241"/>
      <c r="AR273" s="1241"/>
      <c r="AS273" s="1241"/>
      <c r="AT273" s="1241"/>
      <c r="AU273" s="1241"/>
      <c r="AV273" s="1241"/>
      <c r="AW273" s="1241"/>
      <c r="AX273" s="1241"/>
      <c r="AY273" s="1241"/>
      <c r="AZ273" s="1241"/>
      <c r="BA273" s="1241"/>
    </row>
    <row r="274" spans="1:53" ht="12.75" outlineLevel="1">
      <c r="C274" s="320" t="s">
        <v>1158</v>
      </c>
      <c r="D274" s="1255"/>
      <c r="H274" s="320"/>
      <c r="J274" s="416"/>
      <c r="M274" s="343">
        <f>M265+M270</f>
        <v>0</v>
      </c>
      <c r="N274" s="343">
        <f>N265+N270</f>
        <v>975000</v>
      </c>
      <c r="O274" s="343">
        <f ca="1">O265+O270</f>
        <v>1868750</v>
      </c>
      <c r="P274" s="343">
        <f ca="1">P265+P270</f>
        <v>2237500</v>
      </c>
      <c r="Q274" s="343">
        <f t="shared" ref="Q274:AP274" ca="1" si="91">Q265+Q270</f>
        <v>2375000</v>
      </c>
      <c r="R274" s="343">
        <f t="shared" ca="1" si="91"/>
        <v>2375000</v>
      </c>
      <c r="S274" s="343">
        <f t="shared" ca="1" si="91"/>
        <v>2375000</v>
      </c>
      <c r="T274" s="343">
        <f t="shared" ca="1" si="91"/>
        <v>2375000</v>
      </c>
      <c r="U274" s="343">
        <f t="shared" ca="1" si="91"/>
        <v>2375000</v>
      </c>
      <c r="V274" s="343">
        <f t="shared" ca="1" si="91"/>
        <v>2375000</v>
      </c>
      <c r="W274" s="343">
        <f t="shared" ca="1" si="91"/>
        <v>2375000</v>
      </c>
      <c r="X274" s="343">
        <f t="shared" ca="1" si="91"/>
        <v>2375000</v>
      </c>
      <c r="Y274" s="343">
        <f t="shared" ca="1" si="91"/>
        <v>2375000</v>
      </c>
      <c r="Z274" s="343">
        <f t="shared" ca="1" si="91"/>
        <v>2375000</v>
      </c>
      <c r="AA274" s="343">
        <f t="shared" ca="1" si="91"/>
        <v>2375000</v>
      </c>
      <c r="AB274" s="343">
        <f t="shared" ca="1" si="91"/>
        <v>2375000</v>
      </c>
      <c r="AC274" s="343">
        <f t="shared" ca="1" si="91"/>
        <v>2375000</v>
      </c>
      <c r="AD274" s="343">
        <f t="shared" ca="1" si="91"/>
        <v>2375000</v>
      </c>
      <c r="AE274" s="343">
        <f t="shared" ca="1" si="91"/>
        <v>2375000</v>
      </c>
      <c r="AF274" s="343">
        <f t="shared" ca="1" si="91"/>
        <v>2375000</v>
      </c>
      <c r="AG274" s="343">
        <f t="shared" ca="1" si="91"/>
        <v>2375000</v>
      </c>
      <c r="AH274" s="343">
        <f t="shared" ca="1" si="91"/>
        <v>2375000</v>
      </c>
      <c r="AI274" s="343">
        <f t="shared" ca="1" si="91"/>
        <v>2375000</v>
      </c>
      <c r="AJ274" s="343">
        <f t="shared" ca="1" si="91"/>
        <v>2375000</v>
      </c>
      <c r="AK274" s="343">
        <f t="shared" ca="1" si="91"/>
        <v>2375000</v>
      </c>
      <c r="AL274" s="343">
        <f t="shared" ca="1" si="91"/>
        <v>2375000</v>
      </c>
      <c r="AM274" s="343">
        <f t="shared" ca="1" si="91"/>
        <v>2375000</v>
      </c>
      <c r="AN274" s="343">
        <f t="shared" ca="1" si="91"/>
        <v>2375000</v>
      </c>
      <c r="AO274" s="343">
        <f t="shared" ca="1" si="91"/>
        <v>2375000</v>
      </c>
      <c r="AP274" s="343">
        <f t="shared" ca="1" si="91"/>
        <v>2375000</v>
      </c>
      <c r="AQ274" s="343"/>
      <c r="AR274" s="343"/>
      <c r="AS274" s="343"/>
      <c r="AT274" s="343"/>
      <c r="AU274" s="343"/>
      <c r="AV274" s="343"/>
      <c r="AW274" s="343"/>
      <c r="AX274" s="343"/>
      <c r="AY274" s="343"/>
      <c r="AZ274" s="343"/>
      <c r="BA274" s="343"/>
    </row>
    <row r="275" spans="1:53" ht="12.75" outlineLevel="1">
      <c r="C275" s="320" t="s">
        <v>2118</v>
      </c>
      <c r="D275" s="1255"/>
      <c r="H275" s="320"/>
      <c r="J275" s="416"/>
      <c r="M275" s="343">
        <f>M266+M271</f>
        <v>0</v>
      </c>
      <c r="N275" s="343">
        <f t="shared" ref="N275:AP275" si="92">N266+N271</f>
        <v>0</v>
      </c>
      <c r="O275" s="343">
        <f t="shared" si="92"/>
        <v>0</v>
      </c>
      <c r="P275" s="343">
        <f t="shared" si="92"/>
        <v>0</v>
      </c>
      <c r="Q275" s="343">
        <f t="shared" si="92"/>
        <v>0</v>
      </c>
      <c r="R275" s="343">
        <f t="shared" si="92"/>
        <v>0</v>
      </c>
      <c r="S275" s="343">
        <f t="shared" si="92"/>
        <v>0</v>
      </c>
      <c r="T275" s="343">
        <f t="shared" si="92"/>
        <v>0</v>
      </c>
      <c r="U275" s="343">
        <f t="shared" si="92"/>
        <v>0</v>
      </c>
      <c r="V275" s="343">
        <f t="shared" si="92"/>
        <v>0</v>
      </c>
      <c r="W275" s="343">
        <f t="shared" si="92"/>
        <v>0</v>
      </c>
      <c r="X275" s="343">
        <f t="shared" si="92"/>
        <v>0</v>
      </c>
      <c r="Y275" s="343">
        <f t="shared" si="92"/>
        <v>0</v>
      </c>
      <c r="Z275" s="343">
        <f t="shared" si="92"/>
        <v>0</v>
      </c>
      <c r="AA275" s="343">
        <f t="shared" si="92"/>
        <v>0</v>
      </c>
      <c r="AB275" s="343">
        <f t="shared" si="92"/>
        <v>0</v>
      </c>
      <c r="AC275" s="343">
        <f t="shared" si="92"/>
        <v>0</v>
      </c>
      <c r="AD275" s="343">
        <f t="shared" si="92"/>
        <v>0</v>
      </c>
      <c r="AE275" s="343">
        <f t="shared" si="92"/>
        <v>0</v>
      </c>
      <c r="AF275" s="343">
        <f t="shared" si="92"/>
        <v>0</v>
      </c>
      <c r="AG275" s="343">
        <f t="shared" si="92"/>
        <v>0</v>
      </c>
      <c r="AH275" s="343">
        <f t="shared" si="92"/>
        <v>0</v>
      </c>
      <c r="AI275" s="343">
        <f t="shared" si="92"/>
        <v>0</v>
      </c>
      <c r="AJ275" s="343">
        <f t="shared" si="92"/>
        <v>0</v>
      </c>
      <c r="AK275" s="343">
        <f t="shared" si="92"/>
        <v>0</v>
      </c>
      <c r="AL275" s="343">
        <f t="shared" si="92"/>
        <v>0</v>
      </c>
      <c r="AM275" s="343">
        <f t="shared" si="92"/>
        <v>0</v>
      </c>
      <c r="AN275" s="343">
        <f t="shared" si="92"/>
        <v>0</v>
      </c>
      <c r="AO275" s="343">
        <f t="shared" si="92"/>
        <v>0</v>
      </c>
      <c r="AP275" s="343">
        <f t="shared" si="92"/>
        <v>0</v>
      </c>
      <c r="AQ275" s="343"/>
      <c r="AR275" s="343"/>
      <c r="AS275" s="343"/>
      <c r="AT275" s="343"/>
      <c r="AU275" s="343"/>
      <c r="AV275" s="343"/>
      <c r="AW275" s="343"/>
      <c r="AX275" s="343"/>
      <c r="AY275" s="343"/>
      <c r="AZ275" s="343"/>
      <c r="BA275" s="343"/>
    </row>
    <row r="276" spans="1:53" ht="12.75" outlineLevel="1">
      <c r="C276" s="320" t="s">
        <v>1159</v>
      </c>
      <c r="D276" s="1255"/>
      <c r="H276" s="320"/>
      <c r="J276" s="416"/>
      <c r="M276" s="343">
        <f>M267+M272</f>
        <v>0</v>
      </c>
      <c r="N276" s="343">
        <f>N267+N272</f>
        <v>650000</v>
      </c>
      <c r="O276" s="343">
        <f ca="1">O267+O272</f>
        <v>812500</v>
      </c>
      <c r="P276" s="343">
        <f ca="1">P267+P272</f>
        <v>950000</v>
      </c>
      <c r="Q276" s="343">
        <f t="shared" ref="Q276:AP276" ca="1" si="93">Q267+Q272</f>
        <v>950000</v>
      </c>
      <c r="R276" s="343">
        <f t="shared" ca="1" si="93"/>
        <v>950000</v>
      </c>
      <c r="S276" s="343">
        <f t="shared" ca="1" si="93"/>
        <v>950000</v>
      </c>
      <c r="T276" s="343">
        <f t="shared" ca="1" si="93"/>
        <v>950000</v>
      </c>
      <c r="U276" s="343">
        <f t="shared" ca="1" si="93"/>
        <v>950000</v>
      </c>
      <c r="V276" s="343">
        <f t="shared" ca="1" si="93"/>
        <v>950000</v>
      </c>
      <c r="W276" s="343">
        <f t="shared" ca="1" si="93"/>
        <v>950000</v>
      </c>
      <c r="X276" s="343">
        <f t="shared" ca="1" si="93"/>
        <v>950000</v>
      </c>
      <c r="Y276" s="343">
        <f t="shared" ca="1" si="93"/>
        <v>950000</v>
      </c>
      <c r="Z276" s="343">
        <f t="shared" ca="1" si="93"/>
        <v>950000</v>
      </c>
      <c r="AA276" s="343">
        <f t="shared" ca="1" si="93"/>
        <v>950000</v>
      </c>
      <c r="AB276" s="343">
        <f t="shared" ca="1" si="93"/>
        <v>950000</v>
      </c>
      <c r="AC276" s="343">
        <f t="shared" ca="1" si="93"/>
        <v>950000</v>
      </c>
      <c r="AD276" s="343">
        <f t="shared" ca="1" si="93"/>
        <v>950000</v>
      </c>
      <c r="AE276" s="343">
        <f t="shared" ca="1" si="93"/>
        <v>950000</v>
      </c>
      <c r="AF276" s="343">
        <f t="shared" ca="1" si="93"/>
        <v>950000</v>
      </c>
      <c r="AG276" s="343">
        <f t="shared" ca="1" si="93"/>
        <v>950000</v>
      </c>
      <c r="AH276" s="343">
        <f t="shared" ca="1" si="93"/>
        <v>950000</v>
      </c>
      <c r="AI276" s="343">
        <f t="shared" ca="1" si="93"/>
        <v>950000</v>
      </c>
      <c r="AJ276" s="343">
        <f t="shared" ca="1" si="93"/>
        <v>950000</v>
      </c>
      <c r="AK276" s="343">
        <f t="shared" ca="1" si="93"/>
        <v>950000</v>
      </c>
      <c r="AL276" s="343">
        <f t="shared" ca="1" si="93"/>
        <v>950000</v>
      </c>
      <c r="AM276" s="343">
        <f t="shared" ca="1" si="93"/>
        <v>950000</v>
      </c>
      <c r="AN276" s="343">
        <f t="shared" ca="1" si="93"/>
        <v>950000</v>
      </c>
      <c r="AO276" s="343">
        <f t="shared" ca="1" si="93"/>
        <v>950000</v>
      </c>
      <c r="AP276" s="343">
        <f t="shared" ca="1" si="93"/>
        <v>950000</v>
      </c>
      <c r="AQ276" s="343"/>
      <c r="AR276" s="343"/>
      <c r="AS276" s="343"/>
      <c r="AT276" s="343"/>
      <c r="AU276" s="343"/>
      <c r="AV276" s="343"/>
      <c r="AW276" s="343"/>
      <c r="AX276" s="343"/>
      <c r="AY276" s="343"/>
      <c r="AZ276" s="343"/>
      <c r="BA276" s="343"/>
    </row>
    <row r="277" spans="1:53" ht="12" outlineLevel="1" thickBot="1">
      <c r="A277" s="480"/>
      <c r="B277" s="480"/>
      <c r="C277" s="480" t="s">
        <v>1266</v>
      </c>
      <c r="D277" s="480"/>
      <c r="E277" s="480"/>
      <c r="F277" s="480"/>
      <c r="G277" s="480"/>
      <c r="H277" s="480"/>
      <c r="I277" s="481"/>
      <c r="J277" s="482"/>
      <c r="K277" s="480"/>
      <c r="L277" s="480"/>
      <c r="M277" s="1256">
        <f>SUM(M274:M276)</f>
        <v>0</v>
      </c>
      <c r="N277" s="1256">
        <f>SUM(N274:N276)</f>
        <v>1625000</v>
      </c>
      <c r="O277" s="1256">
        <f ca="1">SUM(O274:O276)</f>
        <v>2681250</v>
      </c>
      <c r="P277" s="1256">
        <f ca="1">SUM(P274:P276)</f>
        <v>3187500</v>
      </c>
      <c r="Q277" s="1256">
        <f t="shared" ref="Q277:AP277" ca="1" si="94">SUM(Q274:Q276)</f>
        <v>3325000</v>
      </c>
      <c r="R277" s="1256">
        <f t="shared" ca="1" si="94"/>
        <v>3325000</v>
      </c>
      <c r="S277" s="1256">
        <f t="shared" ca="1" si="94"/>
        <v>3325000</v>
      </c>
      <c r="T277" s="1256">
        <f t="shared" ca="1" si="94"/>
        <v>3325000</v>
      </c>
      <c r="U277" s="1256">
        <f t="shared" ca="1" si="94"/>
        <v>3325000</v>
      </c>
      <c r="V277" s="1256">
        <f t="shared" ca="1" si="94"/>
        <v>3325000</v>
      </c>
      <c r="W277" s="1256">
        <f t="shared" ca="1" si="94"/>
        <v>3325000</v>
      </c>
      <c r="X277" s="1256">
        <f t="shared" ca="1" si="94"/>
        <v>3325000</v>
      </c>
      <c r="Y277" s="1256">
        <f t="shared" ca="1" si="94"/>
        <v>3325000</v>
      </c>
      <c r="Z277" s="1256">
        <f t="shared" ca="1" si="94"/>
        <v>3325000</v>
      </c>
      <c r="AA277" s="1256">
        <f t="shared" ca="1" si="94"/>
        <v>3325000</v>
      </c>
      <c r="AB277" s="1256">
        <f t="shared" ca="1" si="94"/>
        <v>3325000</v>
      </c>
      <c r="AC277" s="1256">
        <f t="shared" ca="1" si="94"/>
        <v>3325000</v>
      </c>
      <c r="AD277" s="1256">
        <f t="shared" ca="1" si="94"/>
        <v>3325000</v>
      </c>
      <c r="AE277" s="1256">
        <f t="shared" ca="1" si="94"/>
        <v>3325000</v>
      </c>
      <c r="AF277" s="1256">
        <f t="shared" ca="1" si="94"/>
        <v>3325000</v>
      </c>
      <c r="AG277" s="1256">
        <f t="shared" ca="1" si="94"/>
        <v>3325000</v>
      </c>
      <c r="AH277" s="1256">
        <f t="shared" ca="1" si="94"/>
        <v>3325000</v>
      </c>
      <c r="AI277" s="1256">
        <f t="shared" ca="1" si="94"/>
        <v>3325000</v>
      </c>
      <c r="AJ277" s="1256">
        <f t="shared" ca="1" si="94"/>
        <v>3325000</v>
      </c>
      <c r="AK277" s="1256">
        <f t="shared" ca="1" si="94"/>
        <v>3325000</v>
      </c>
      <c r="AL277" s="1256">
        <f t="shared" ca="1" si="94"/>
        <v>3325000</v>
      </c>
      <c r="AM277" s="1256">
        <f t="shared" ca="1" si="94"/>
        <v>3325000</v>
      </c>
      <c r="AN277" s="1256">
        <f t="shared" ca="1" si="94"/>
        <v>3325000</v>
      </c>
      <c r="AO277" s="1256">
        <f t="shared" ca="1" si="94"/>
        <v>3325000</v>
      </c>
      <c r="AP277" s="1256">
        <f t="shared" ca="1" si="94"/>
        <v>3325000</v>
      </c>
      <c r="AQ277" s="1256"/>
      <c r="AR277" s="1256"/>
      <c r="AS277" s="1256"/>
      <c r="AT277" s="1256"/>
      <c r="AU277" s="1256"/>
      <c r="AV277" s="1256"/>
      <c r="AW277" s="1256"/>
      <c r="AX277" s="1256"/>
      <c r="AY277" s="1256"/>
      <c r="AZ277" s="1256"/>
      <c r="BA277" s="1256"/>
    </row>
    <row r="278" spans="1:53" hidden="1" outlineLevel="1">
      <c r="H278" s="320"/>
      <c r="J278" s="479"/>
      <c r="M278" s="1257"/>
      <c r="N278" s="1257"/>
      <c r="O278" s="1257"/>
      <c r="P278" s="1257"/>
      <c r="Q278" s="1257"/>
      <c r="R278" s="1257"/>
      <c r="S278" s="1257"/>
      <c r="T278" s="1257"/>
      <c r="U278" s="1257"/>
      <c r="V278" s="1257"/>
      <c r="W278" s="1257"/>
      <c r="X278" s="1257"/>
      <c r="Y278" s="1257"/>
      <c r="Z278" s="1257"/>
      <c r="AA278" s="1257"/>
      <c r="AB278" s="1257"/>
      <c r="AC278" s="1257"/>
      <c r="AD278" s="1257"/>
      <c r="AE278" s="1257"/>
      <c r="AF278" s="1257"/>
      <c r="AG278" s="1257"/>
      <c r="AH278" s="1257"/>
      <c r="AI278" s="1257"/>
      <c r="AJ278" s="1257"/>
      <c r="AK278" s="1257"/>
      <c r="AL278" s="1257"/>
      <c r="AM278" s="1257"/>
      <c r="AN278" s="1257"/>
      <c r="AO278" s="1257"/>
      <c r="AP278" s="1257"/>
      <c r="AQ278" s="1257"/>
      <c r="AR278" s="1257"/>
      <c r="AS278" s="1257"/>
      <c r="AT278" s="1257"/>
      <c r="AU278" s="1257"/>
      <c r="AV278" s="1257"/>
      <c r="AW278" s="1257"/>
      <c r="AX278" s="1257"/>
      <c r="AY278" s="1257"/>
      <c r="AZ278" s="1257"/>
      <c r="BA278" s="1257"/>
    </row>
    <row r="279" spans="1:53" hidden="1" outlineLevel="1">
      <c r="H279" s="320"/>
      <c r="J279" s="345"/>
      <c r="M279" s="1235"/>
      <c r="N279" s="1235"/>
      <c r="O279" s="1235"/>
      <c r="P279" s="1235"/>
      <c r="Q279" s="1235"/>
      <c r="R279" s="1235"/>
      <c r="S279" s="1235"/>
      <c r="T279" s="1235"/>
      <c r="U279" s="1235"/>
      <c r="V279" s="1235"/>
      <c r="W279" s="1235"/>
      <c r="X279" s="1235"/>
      <c r="Y279" s="1235"/>
      <c r="Z279" s="1235"/>
      <c r="AA279" s="1235"/>
      <c r="AB279" s="1235"/>
      <c r="AC279" s="1235"/>
      <c r="AD279" s="1235"/>
      <c r="AE279" s="1235"/>
      <c r="AF279" s="1235"/>
      <c r="AG279" s="1235"/>
      <c r="AH279" s="1235"/>
      <c r="AI279" s="1235"/>
      <c r="AJ279" s="1235"/>
      <c r="AK279" s="1235"/>
      <c r="AL279" s="1235"/>
      <c r="AM279" s="1235"/>
      <c r="AN279" s="1235"/>
      <c r="AO279" s="1235"/>
      <c r="AP279" s="1235"/>
      <c r="AQ279" s="1235"/>
      <c r="AR279" s="1235"/>
      <c r="AS279" s="1235"/>
      <c r="AT279" s="1235"/>
      <c r="AU279" s="1235"/>
      <c r="AV279" s="1235"/>
      <c r="AW279" s="1235"/>
      <c r="AX279" s="1235"/>
      <c r="AY279" s="1235"/>
      <c r="AZ279" s="1235"/>
      <c r="BA279" s="1235"/>
    </row>
    <row r="280" spans="1:53" hidden="1" outlineLevel="1">
      <c r="H280" s="320"/>
      <c r="J280" s="346"/>
      <c r="M280" s="1235"/>
      <c r="N280" s="1235"/>
      <c r="O280" s="1235"/>
      <c r="P280" s="1235"/>
      <c r="Q280" s="1235"/>
      <c r="R280" s="1235"/>
      <c r="S280" s="1235"/>
      <c r="T280" s="1235"/>
      <c r="U280" s="1235"/>
      <c r="V280" s="1235"/>
      <c r="W280" s="1235"/>
      <c r="X280" s="1235"/>
      <c r="Y280" s="1235"/>
      <c r="Z280" s="1235"/>
      <c r="AA280" s="1235"/>
      <c r="AB280" s="1235"/>
      <c r="AC280" s="1235"/>
      <c r="AD280" s="1235"/>
      <c r="AE280" s="1235"/>
      <c r="AF280" s="1235"/>
      <c r="AG280" s="1235"/>
      <c r="AH280" s="1235"/>
      <c r="AI280" s="1235"/>
      <c r="AJ280" s="1235"/>
      <c r="AK280" s="1235"/>
      <c r="AL280" s="1235"/>
      <c r="AM280" s="1235"/>
      <c r="AN280" s="1235"/>
      <c r="AO280" s="1235"/>
      <c r="AP280" s="1235"/>
      <c r="AQ280" s="1235"/>
      <c r="AR280" s="1235"/>
      <c r="AS280" s="1235"/>
      <c r="AT280" s="1235"/>
      <c r="AU280" s="1235"/>
      <c r="AV280" s="1235"/>
      <c r="AW280" s="1235"/>
      <c r="AX280" s="1235"/>
      <c r="AY280" s="1235"/>
      <c r="AZ280" s="1235"/>
      <c r="BA280" s="1235"/>
    </row>
    <row r="281" spans="1:53" hidden="1" outlineLevel="1">
      <c r="C281" s="344"/>
      <c r="H281" s="320"/>
      <c r="J281" s="347"/>
      <c r="M281" s="1235"/>
      <c r="N281" s="1235"/>
      <c r="O281" s="1235"/>
      <c r="P281" s="1235"/>
      <c r="Q281" s="1235"/>
      <c r="R281" s="1235"/>
      <c r="S281" s="1235"/>
      <c r="T281" s="1235"/>
      <c r="U281" s="1235"/>
      <c r="V281" s="1235"/>
      <c r="W281" s="1235"/>
      <c r="X281" s="1235"/>
      <c r="Y281" s="1235"/>
      <c r="Z281" s="1235"/>
      <c r="AA281" s="1235"/>
      <c r="AB281" s="1235"/>
      <c r="AC281" s="1235"/>
      <c r="AD281" s="1235"/>
      <c r="AE281" s="1235"/>
      <c r="AF281" s="1235"/>
      <c r="AG281" s="1235"/>
      <c r="AH281" s="1235"/>
      <c r="AI281" s="1235"/>
      <c r="AJ281" s="1235"/>
      <c r="AK281" s="1235"/>
      <c r="AL281" s="1235"/>
      <c r="AM281" s="1235"/>
      <c r="AN281" s="1235"/>
      <c r="AO281" s="1235"/>
      <c r="AP281" s="1235"/>
      <c r="AQ281" s="1235"/>
      <c r="AR281" s="1235"/>
      <c r="AS281" s="1235"/>
      <c r="AT281" s="1235"/>
      <c r="AU281" s="1235"/>
      <c r="AV281" s="1235"/>
      <c r="AW281" s="1235"/>
      <c r="AX281" s="1235"/>
      <c r="AY281" s="1235"/>
      <c r="AZ281" s="1235"/>
      <c r="BA281" s="1235"/>
    </row>
    <row r="282" spans="1:53" hidden="1" outlineLevel="1">
      <c r="H282" s="320"/>
      <c r="J282" s="424"/>
      <c r="M282" s="429"/>
      <c r="N282" s="429"/>
      <c r="O282" s="429"/>
      <c r="P282" s="429"/>
      <c r="Q282" s="429"/>
      <c r="R282" s="429"/>
      <c r="S282" s="429"/>
      <c r="T282" s="429"/>
      <c r="U282" s="429"/>
      <c r="V282" s="429"/>
      <c r="W282" s="429"/>
      <c r="X282" s="429"/>
      <c r="Y282" s="429"/>
      <c r="Z282" s="429"/>
      <c r="AA282" s="429"/>
      <c r="AB282" s="429"/>
      <c r="AC282" s="429"/>
      <c r="AD282" s="429"/>
      <c r="AE282" s="429"/>
      <c r="AF282" s="429"/>
      <c r="AG282" s="429"/>
      <c r="AH282" s="429"/>
      <c r="AI282" s="429"/>
      <c r="AJ282" s="429"/>
      <c r="AK282" s="429"/>
      <c r="AL282" s="429"/>
      <c r="AM282" s="429"/>
      <c r="AN282" s="429"/>
      <c r="AO282" s="429"/>
      <c r="AP282" s="429"/>
      <c r="AQ282" s="429"/>
      <c r="AR282" s="429"/>
      <c r="AS282" s="429"/>
      <c r="AT282" s="429"/>
      <c r="AU282" s="429"/>
      <c r="AV282" s="429"/>
      <c r="AW282" s="429"/>
      <c r="AX282" s="429"/>
      <c r="AY282" s="429"/>
      <c r="AZ282" s="429"/>
      <c r="BA282" s="429"/>
    </row>
    <row r="283" spans="1:53" hidden="1" outlineLevel="1">
      <c r="H283" s="320"/>
      <c r="J283" s="428"/>
      <c r="M283" s="429"/>
      <c r="N283" s="429"/>
      <c r="O283" s="429"/>
      <c r="P283" s="429"/>
      <c r="Q283" s="429"/>
      <c r="R283" s="429"/>
      <c r="S283" s="429"/>
      <c r="T283" s="429"/>
      <c r="U283" s="429"/>
      <c r="V283" s="429"/>
      <c r="W283" s="429"/>
      <c r="X283" s="429"/>
      <c r="Y283" s="429"/>
      <c r="Z283" s="429"/>
      <c r="AA283" s="429"/>
      <c r="AB283" s="429"/>
      <c r="AC283" s="429"/>
      <c r="AD283" s="429"/>
      <c r="AE283" s="429"/>
      <c r="AF283" s="429"/>
      <c r="AG283" s="429"/>
      <c r="AH283" s="429"/>
      <c r="AI283" s="429"/>
      <c r="AJ283" s="429"/>
      <c r="AK283" s="429"/>
      <c r="AL283" s="429"/>
      <c r="AM283" s="429"/>
      <c r="AN283" s="429"/>
      <c r="AO283" s="429"/>
      <c r="AP283" s="429"/>
      <c r="AQ283" s="429"/>
      <c r="AR283" s="429"/>
      <c r="AS283" s="429"/>
      <c r="AT283" s="429"/>
      <c r="AU283" s="429"/>
      <c r="AV283" s="429"/>
      <c r="AW283" s="429"/>
      <c r="AX283" s="429"/>
      <c r="AY283" s="429"/>
      <c r="AZ283" s="429"/>
      <c r="BA283" s="429"/>
    </row>
    <row r="284" spans="1:53" hidden="1" outlineLevel="1">
      <c r="H284" s="320"/>
      <c r="J284" s="424"/>
      <c r="M284" s="429"/>
      <c r="N284" s="429"/>
      <c r="O284" s="429"/>
      <c r="P284" s="429"/>
      <c r="Q284" s="429"/>
      <c r="R284" s="429"/>
      <c r="S284" s="429"/>
      <c r="T284" s="429"/>
      <c r="U284" s="429"/>
      <c r="V284" s="429"/>
      <c r="W284" s="429"/>
      <c r="X284" s="429"/>
      <c r="Y284" s="429"/>
      <c r="Z284" s="429"/>
      <c r="AA284" s="429"/>
      <c r="AB284" s="429"/>
      <c r="AC284" s="429"/>
      <c r="AD284" s="429"/>
      <c r="AE284" s="429"/>
      <c r="AF284" s="429"/>
      <c r="AG284" s="429"/>
      <c r="AH284" s="429"/>
      <c r="AI284" s="429"/>
      <c r="AJ284" s="429"/>
      <c r="AK284" s="429"/>
      <c r="AL284" s="429"/>
      <c r="AM284" s="429"/>
      <c r="AN284" s="429"/>
      <c r="AO284" s="429"/>
      <c r="AP284" s="429"/>
      <c r="AQ284" s="429"/>
      <c r="AR284" s="429"/>
      <c r="AS284" s="429"/>
      <c r="AT284" s="429"/>
      <c r="AU284" s="429"/>
      <c r="AV284" s="429"/>
      <c r="AW284" s="429"/>
      <c r="AX284" s="429"/>
      <c r="AY284" s="429"/>
      <c r="AZ284" s="429"/>
      <c r="BA284" s="429"/>
    </row>
    <row r="285" spans="1:53" hidden="1" outlineLevel="1">
      <c r="H285" s="320"/>
      <c r="J285" s="424"/>
      <c r="M285" s="429"/>
      <c r="N285" s="429"/>
      <c r="O285" s="429"/>
      <c r="P285" s="429"/>
      <c r="Q285" s="429"/>
      <c r="R285" s="429"/>
      <c r="S285" s="429"/>
      <c r="T285" s="429"/>
      <c r="U285" s="429"/>
      <c r="V285" s="429"/>
      <c r="W285" s="429"/>
      <c r="X285" s="429"/>
      <c r="Y285" s="429"/>
      <c r="Z285" s="429"/>
      <c r="AA285" s="429"/>
      <c r="AB285" s="429"/>
      <c r="AC285" s="429"/>
      <c r="AD285" s="429"/>
      <c r="AE285" s="429"/>
      <c r="AF285" s="429"/>
      <c r="AG285" s="429"/>
      <c r="AH285" s="429"/>
      <c r="AI285" s="429"/>
      <c r="AJ285" s="429"/>
      <c r="AK285" s="429"/>
      <c r="AL285" s="429"/>
      <c r="AM285" s="429"/>
      <c r="AN285" s="429"/>
      <c r="AO285" s="429"/>
      <c r="AP285" s="429"/>
      <c r="AQ285" s="429"/>
      <c r="AR285" s="429"/>
      <c r="AS285" s="429"/>
      <c r="AT285" s="429"/>
      <c r="AU285" s="429"/>
      <c r="AV285" s="429"/>
      <c r="AW285" s="429"/>
      <c r="AX285" s="429"/>
      <c r="AY285" s="429"/>
      <c r="AZ285" s="429"/>
      <c r="BA285" s="429"/>
    </row>
    <row r="286" spans="1:53" hidden="1" outlineLevel="1">
      <c r="H286" s="320"/>
      <c r="J286" s="340"/>
      <c r="M286" s="343"/>
      <c r="N286" s="343"/>
      <c r="O286" s="343"/>
      <c r="P286" s="343"/>
      <c r="Q286" s="343"/>
      <c r="R286" s="343"/>
      <c r="S286" s="343"/>
      <c r="T286" s="343"/>
      <c r="U286" s="343"/>
      <c r="V286" s="343"/>
      <c r="W286" s="343"/>
      <c r="X286" s="343"/>
      <c r="Y286" s="343"/>
      <c r="Z286" s="343"/>
      <c r="AA286" s="343"/>
      <c r="AB286" s="343"/>
      <c r="AC286" s="343"/>
      <c r="AD286" s="343"/>
      <c r="AE286" s="343"/>
      <c r="AF286" s="343"/>
      <c r="AG286" s="343"/>
      <c r="AH286" s="343"/>
      <c r="AI286" s="343"/>
      <c r="AJ286" s="343"/>
      <c r="AK286" s="343"/>
      <c r="AL286" s="343"/>
      <c r="AM286" s="343"/>
      <c r="AN286" s="343"/>
      <c r="AO286" s="343"/>
      <c r="AP286" s="343"/>
      <c r="AQ286" s="343"/>
      <c r="AR286" s="343"/>
      <c r="AS286" s="343"/>
      <c r="AT286" s="343"/>
      <c r="AU286" s="343"/>
      <c r="AV286" s="343"/>
      <c r="AW286" s="343"/>
      <c r="AX286" s="343"/>
      <c r="AY286" s="343"/>
      <c r="AZ286" s="343"/>
      <c r="BA286" s="343"/>
    </row>
    <row r="287" spans="1:53" hidden="1" outlineLevel="1">
      <c r="H287" s="320"/>
      <c r="J287" s="340"/>
      <c r="M287" s="343"/>
      <c r="N287" s="343"/>
      <c r="O287" s="343"/>
      <c r="P287" s="343"/>
      <c r="Q287" s="343"/>
      <c r="R287" s="343"/>
      <c r="S287" s="343"/>
      <c r="T287" s="343"/>
      <c r="U287" s="343"/>
      <c r="V287" s="343"/>
      <c r="W287" s="343"/>
      <c r="X287" s="343"/>
      <c r="Y287" s="343"/>
      <c r="Z287" s="343"/>
      <c r="AA287" s="343"/>
      <c r="AB287" s="343"/>
      <c r="AC287" s="343"/>
      <c r="AD287" s="343"/>
      <c r="AE287" s="343"/>
      <c r="AF287" s="343"/>
      <c r="AG287" s="343"/>
      <c r="AH287" s="343"/>
      <c r="AI287" s="343"/>
      <c r="AJ287" s="343"/>
      <c r="AK287" s="343"/>
      <c r="AL287" s="343"/>
      <c r="AM287" s="343"/>
      <c r="AN287" s="343"/>
      <c r="AO287" s="343"/>
      <c r="AP287" s="343"/>
      <c r="AQ287" s="343"/>
      <c r="AR287" s="343"/>
      <c r="AS287" s="343"/>
      <c r="AT287" s="343"/>
      <c r="AU287" s="343"/>
      <c r="AV287" s="343"/>
      <c r="AW287" s="343"/>
      <c r="AX287" s="343"/>
      <c r="AY287" s="343"/>
      <c r="AZ287" s="343"/>
      <c r="BA287" s="343"/>
    </row>
    <row r="288" spans="1:53" hidden="1" outlineLevel="1">
      <c r="H288" s="320"/>
      <c r="J288" s="340"/>
      <c r="M288" s="343"/>
      <c r="N288" s="343"/>
      <c r="O288" s="343"/>
      <c r="P288" s="343"/>
      <c r="Q288" s="343"/>
      <c r="R288" s="343"/>
      <c r="S288" s="343"/>
      <c r="T288" s="343"/>
      <c r="U288" s="343"/>
      <c r="V288" s="343"/>
      <c r="W288" s="343"/>
      <c r="X288" s="343"/>
      <c r="Y288" s="343"/>
      <c r="Z288" s="343"/>
      <c r="AA288" s="343"/>
      <c r="AB288" s="343"/>
      <c r="AC288" s="343"/>
      <c r="AD288" s="343"/>
      <c r="AE288" s="343"/>
      <c r="AF288" s="343"/>
      <c r="AG288" s="343"/>
      <c r="AH288" s="343"/>
      <c r="AI288" s="343"/>
      <c r="AJ288" s="343"/>
      <c r="AK288" s="343"/>
      <c r="AL288" s="343"/>
      <c r="AM288" s="343"/>
      <c r="AN288" s="343"/>
      <c r="AO288" s="343"/>
      <c r="AP288" s="343"/>
      <c r="AQ288" s="343"/>
      <c r="AR288" s="343"/>
      <c r="AS288" s="343"/>
      <c r="AT288" s="343"/>
      <c r="AU288" s="343"/>
      <c r="AV288" s="343"/>
      <c r="AW288" s="343"/>
      <c r="AX288" s="343"/>
      <c r="AY288" s="343"/>
      <c r="AZ288" s="343"/>
      <c r="BA288" s="343"/>
    </row>
    <row r="289" spans="1:53" hidden="1" outlineLevel="1">
      <c r="H289" s="320"/>
      <c r="J289" s="340"/>
      <c r="M289" s="343"/>
      <c r="N289" s="343"/>
      <c r="O289" s="343"/>
      <c r="P289" s="343"/>
      <c r="Q289" s="343"/>
      <c r="R289" s="343"/>
      <c r="S289" s="343"/>
      <c r="T289" s="343"/>
      <c r="U289" s="343"/>
      <c r="V289" s="343"/>
      <c r="W289" s="343"/>
      <c r="X289" s="343"/>
      <c r="Y289" s="343"/>
      <c r="Z289" s="343"/>
      <c r="AA289" s="343"/>
      <c r="AB289" s="343"/>
      <c r="AC289" s="343"/>
      <c r="AD289" s="343"/>
      <c r="AE289" s="343"/>
      <c r="AF289" s="343"/>
      <c r="AG289" s="343"/>
      <c r="AH289" s="343"/>
      <c r="AI289" s="343"/>
      <c r="AJ289" s="343"/>
      <c r="AK289" s="343"/>
      <c r="AL289" s="343"/>
      <c r="AM289" s="343"/>
      <c r="AN289" s="343"/>
      <c r="AO289" s="343"/>
      <c r="AP289" s="343"/>
      <c r="AQ289" s="343"/>
      <c r="AR289" s="343"/>
      <c r="AS289" s="343"/>
      <c r="AT289" s="343"/>
      <c r="AU289" s="343"/>
      <c r="AV289" s="343"/>
      <c r="AW289" s="343"/>
      <c r="AX289" s="343"/>
      <c r="AY289" s="343"/>
      <c r="AZ289" s="343"/>
      <c r="BA289" s="343"/>
    </row>
    <row r="290" spans="1:53" hidden="1" outlineLevel="1">
      <c r="H290" s="320"/>
      <c r="J290" s="341"/>
      <c r="M290" s="343"/>
      <c r="N290" s="343"/>
      <c r="O290" s="343"/>
      <c r="P290" s="343"/>
      <c r="Q290" s="343"/>
      <c r="R290" s="343"/>
      <c r="S290" s="343"/>
      <c r="T290" s="343"/>
      <c r="U290" s="343"/>
      <c r="V290" s="343"/>
      <c r="W290" s="343"/>
      <c r="X290" s="343"/>
      <c r="Y290" s="343"/>
      <c r="Z290" s="343"/>
      <c r="AA290" s="343"/>
      <c r="AB290" s="343"/>
      <c r="AC290" s="343"/>
      <c r="AD290" s="343"/>
      <c r="AE290" s="343"/>
      <c r="AF290" s="343"/>
      <c r="AG290" s="343"/>
      <c r="AH290" s="343"/>
      <c r="AI290" s="343"/>
      <c r="AJ290" s="343"/>
      <c r="AK290" s="343"/>
      <c r="AL290" s="343"/>
      <c r="AM290" s="343"/>
      <c r="AN290" s="343"/>
      <c r="AO290" s="343"/>
      <c r="AP290" s="343"/>
      <c r="AQ290" s="343"/>
      <c r="AR290" s="343"/>
      <c r="AS290" s="343"/>
      <c r="AT290" s="343"/>
      <c r="AU290" s="343"/>
      <c r="AV290" s="343"/>
      <c r="AW290" s="343"/>
      <c r="AX290" s="343"/>
      <c r="AY290" s="343"/>
      <c r="AZ290" s="343"/>
      <c r="BA290" s="343"/>
    </row>
    <row r="291" spans="1:53" hidden="1" outlineLevel="1">
      <c r="H291" s="320"/>
      <c r="J291" s="340"/>
      <c r="M291" s="343"/>
      <c r="N291" s="343"/>
      <c r="O291" s="343"/>
      <c r="P291" s="343"/>
      <c r="Q291" s="343"/>
      <c r="R291" s="343"/>
      <c r="S291" s="343"/>
      <c r="T291" s="343"/>
      <c r="U291" s="343"/>
      <c r="V291" s="343"/>
      <c r="W291" s="343"/>
      <c r="X291" s="343"/>
      <c r="Y291" s="343"/>
      <c r="Z291" s="343"/>
      <c r="AA291" s="343"/>
      <c r="AB291" s="343"/>
      <c r="AC291" s="1235"/>
      <c r="AD291" s="1235"/>
      <c r="AE291" s="1235"/>
      <c r="AF291" s="1235"/>
      <c r="AG291" s="1235"/>
      <c r="AH291" s="1235"/>
      <c r="AI291" s="1235"/>
      <c r="AJ291" s="1235"/>
      <c r="AK291" s="1235"/>
      <c r="AL291" s="1235"/>
      <c r="AM291" s="1235"/>
      <c r="AN291" s="1235"/>
      <c r="AO291" s="1235"/>
      <c r="AP291" s="1235"/>
      <c r="AQ291" s="1235"/>
      <c r="AR291" s="1235"/>
      <c r="AS291" s="1235"/>
      <c r="AT291" s="1235"/>
      <c r="AU291" s="1235"/>
      <c r="AV291" s="1235"/>
      <c r="AW291" s="1235"/>
      <c r="AX291" s="1235"/>
      <c r="AY291" s="1235"/>
      <c r="AZ291" s="1235"/>
      <c r="BA291" s="1235"/>
    </row>
    <row r="292" spans="1:53" hidden="1" outlineLevel="1">
      <c r="H292" s="320"/>
      <c r="J292" s="468"/>
      <c r="M292" s="1167"/>
      <c r="N292" s="1167"/>
      <c r="O292" s="1167"/>
      <c r="P292" s="1167"/>
      <c r="Q292" s="1167"/>
      <c r="R292" s="1167"/>
      <c r="S292" s="1167"/>
      <c r="T292" s="1167"/>
      <c r="U292" s="1167"/>
      <c r="V292" s="1167"/>
      <c r="W292" s="1167"/>
      <c r="X292" s="1167"/>
      <c r="Y292" s="1167"/>
      <c r="Z292" s="1167"/>
      <c r="AA292" s="1167"/>
      <c r="AB292" s="1167"/>
      <c r="AC292" s="1239"/>
      <c r="AD292" s="1239"/>
      <c r="AE292" s="1239"/>
      <c r="AF292" s="1239"/>
      <c r="AG292" s="1239"/>
      <c r="AH292" s="1239"/>
      <c r="AI292" s="1239"/>
      <c r="AJ292" s="1239"/>
      <c r="AK292" s="1239"/>
      <c r="AL292" s="1239"/>
      <c r="AM292" s="1239"/>
      <c r="AN292" s="1239"/>
      <c r="AO292" s="1239"/>
      <c r="AP292" s="1239"/>
      <c r="AQ292" s="1239"/>
      <c r="AR292" s="1239"/>
      <c r="AS292" s="1239"/>
      <c r="AT292" s="1239"/>
      <c r="AU292" s="1239"/>
      <c r="AV292" s="1239"/>
      <c r="AW292" s="1239"/>
      <c r="AX292" s="1239"/>
      <c r="AY292" s="1239"/>
      <c r="AZ292" s="1239"/>
      <c r="BA292" s="1239"/>
    </row>
    <row r="293" spans="1:53" hidden="1" outlineLevel="1">
      <c r="A293" s="485"/>
      <c r="B293" s="485"/>
      <c r="C293" s="485"/>
      <c r="D293" s="485"/>
      <c r="E293" s="485"/>
      <c r="F293" s="485"/>
      <c r="G293" s="485"/>
      <c r="H293" s="485"/>
      <c r="I293" s="1166"/>
      <c r="J293" s="836"/>
      <c r="K293" s="485"/>
      <c r="L293" s="485"/>
      <c r="M293" s="1168"/>
      <c r="N293" s="1168"/>
      <c r="O293" s="1168"/>
      <c r="P293" s="1168"/>
      <c r="Q293" s="1168"/>
      <c r="R293" s="1168"/>
      <c r="S293" s="1168"/>
      <c r="T293" s="1168"/>
      <c r="U293" s="1168"/>
      <c r="V293" s="1168"/>
      <c r="W293" s="1168"/>
      <c r="X293" s="1168"/>
      <c r="Y293" s="1168"/>
      <c r="Z293" s="1168"/>
      <c r="AA293" s="1168"/>
      <c r="AB293" s="1168"/>
      <c r="AC293" s="1243"/>
      <c r="AD293" s="1243"/>
      <c r="AE293" s="1243"/>
      <c r="AF293" s="1243"/>
      <c r="AG293" s="1243"/>
      <c r="AH293" s="1243"/>
      <c r="AI293" s="1243"/>
      <c r="AJ293" s="1243"/>
      <c r="AK293" s="1243"/>
      <c r="AL293" s="1243"/>
      <c r="AM293" s="1243"/>
      <c r="AN293" s="1243"/>
      <c r="AO293" s="1243"/>
      <c r="AP293" s="1243"/>
      <c r="AQ293" s="1243"/>
      <c r="AR293" s="1243"/>
      <c r="AS293" s="1243"/>
      <c r="AT293" s="1243"/>
      <c r="AU293" s="1243"/>
      <c r="AV293" s="1243"/>
      <c r="AW293" s="1243"/>
      <c r="AX293" s="1243"/>
      <c r="AY293" s="1243"/>
      <c r="AZ293" s="1243"/>
      <c r="BA293" s="1243"/>
    </row>
    <row r="294" spans="1:53" ht="12" outlineLevel="1" thickBot="1">
      <c r="A294" s="1164" t="s">
        <v>710</v>
      </c>
      <c r="B294" s="376"/>
      <c r="C294" s="376"/>
      <c r="D294" s="376"/>
      <c r="E294" s="376"/>
      <c r="F294" s="376"/>
      <c r="G294" s="376"/>
      <c r="H294" s="377"/>
      <c r="I294" s="378"/>
      <c r="J294" s="1165"/>
      <c r="K294" s="376"/>
      <c r="L294" s="376"/>
      <c r="M294" s="1258"/>
      <c r="N294" s="1258"/>
      <c r="O294" s="1258"/>
      <c r="P294" s="1258"/>
      <c r="Q294" s="1258"/>
      <c r="R294" s="1258"/>
      <c r="S294" s="1258"/>
      <c r="T294" s="1258"/>
      <c r="U294" s="1258"/>
      <c r="V294" s="1258"/>
      <c r="W294" s="1258"/>
      <c r="X294" s="1258"/>
      <c r="Y294" s="1258"/>
      <c r="Z294" s="1258"/>
      <c r="AA294" s="1258"/>
      <c r="AB294" s="1258"/>
      <c r="AC294" s="1258"/>
      <c r="AD294" s="1258"/>
      <c r="AE294" s="1258"/>
      <c r="AF294" s="1258"/>
      <c r="AG294" s="1258"/>
      <c r="AH294" s="1258"/>
      <c r="AI294" s="1258"/>
      <c r="AJ294" s="1258"/>
      <c r="AK294" s="1258"/>
      <c r="AL294" s="1258"/>
      <c r="AM294" s="1258"/>
      <c r="AN294" s="1258"/>
      <c r="AO294" s="1258"/>
      <c r="AP294" s="1258"/>
      <c r="AQ294" s="1258"/>
      <c r="AR294" s="1258"/>
      <c r="AS294" s="1258"/>
      <c r="AT294" s="1258"/>
      <c r="AU294" s="1258"/>
      <c r="AV294" s="1258"/>
      <c r="AW294" s="1258"/>
      <c r="AX294" s="1258"/>
      <c r="AY294" s="1258"/>
      <c r="AZ294" s="1258"/>
      <c r="BA294" s="1258"/>
    </row>
    <row r="295" spans="1:53" outlineLevel="1">
      <c r="J295" s="347"/>
      <c r="M295" s="1235"/>
      <c r="N295" s="1235"/>
      <c r="O295" s="1235"/>
      <c r="P295" s="1235"/>
      <c r="Q295" s="1235"/>
      <c r="R295" s="1235"/>
      <c r="S295" s="1235"/>
      <c r="T295" s="1235"/>
      <c r="U295" s="1235"/>
      <c r="V295" s="1235"/>
      <c r="W295" s="1235"/>
      <c r="X295" s="1235"/>
      <c r="Y295" s="1235"/>
      <c r="Z295" s="1235"/>
      <c r="AA295" s="1235"/>
      <c r="AB295" s="1235"/>
      <c r="AC295" s="1235"/>
      <c r="AD295" s="1235"/>
      <c r="AE295" s="1235"/>
      <c r="AF295" s="1235"/>
      <c r="AG295" s="1235"/>
      <c r="AH295" s="1235"/>
      <c r="AI295" s="1235"/>
      <c r="AJ295" s="1235"/>
      <c r="AK295" s="1235"/>
      <c r="AL295" s="1235"/>
      <c r="AM295" s="1235"/>
      <c r="AN295" s="1235"/>
      <c r="AO295" s="1235"/>
      <c r="AP295" s="1235"/>
      <c r="AQ295" s="1235"/>
      <c r="AR295" s="1235"/>
      <c r="AS295" s="1235"/>
      <c r="AT295" s="1235"/>
      <c r="AU295" s="1235"/>
      <c r="AV295" s="1235"/>
      <c r="AW295" s="1235"/>
      <c r="AX295" s="1235"/>
      <c r="AY295" s="1235"/>
      <c r="AZ295" s="1235"/>
      <c r="BA295" s="1235"/>
    </row>
    <row r="296" spans="1:53" outlineLevel="1">
      <c r="C296" s="344" t="s">
        <v>1071</v>
      </c>
      <c r="I296" s="323" t="s">
        <v>207</v>
      </c>
      <c r="J296" s="347"/>
      <c r="M296" s="1235"/>
      <c r="N296" s="1235"/>
      <c r="O296" s="1235"/>
      <c r="P296" s="1235"/>
      <c r="Q296" s="1235"/>
      <c r="R296" s="1235"/>
      <c r="S296" s="1235"/>
      <c r="T296" s="1235"/>
      <c r="U296" s="1235"/>
      <c r="V296" s="1235"/>
      <c r="W296" s="1235"/>
      <c r="X296" s="1235"/>
      <c r="Y296" s="1235"/>
      <c r="Z296" s="1235"/>
      <c r="AA296" s="1235"/>
      <c r="AB296" s="1235"/>
      <c r="AC296" s="1235"/>
      <c r="AD296" s="1235"/>
      <c r="AE296" s="1235"/>
      <c r="AF296" s="1235"/>
      <c r="AG296" s="1235"/>
      <c r="AH296" s="1235"/>
      <c r="AI296" s="1235"/>
      <c r="AJ296" s="1235"/>
      <c r="AK296" s="1235"/>
      <c r="AL296" s="1235"/>
      <c r="AM296" s="1235"/>
      <c r="AN296" s="1235"/>
      <c r="AO296" s="1235"/>
      <c r="AP296" s="1235"/>
      <c r="AQ296" s="1235"/>
      <c r="AR296" s="1235"/>
      <c r="AS296" s="1235"/>
      <c r="AT296" s="1235"/>
      <c r="AU296" s="1235"/>
      <c r="AV296" s="1235"/>
      <c r="AW296" s="1235"/>
      <c r="AX296" s="1235"/>
      <c r="AY296" s="1235"/>
      <c r="AZ296" s="1235"/>
      <c r="BA296" s="1235"/>
    </row>
    <row r="297" spans="1:53" outlineLevel="1">
      <c r="C297" s="320" t="s">
        <v>1894</v>
      </c>
      <c r="J297" s="1034">
        <f>IF(Ammonia_location=2,J399,0)</f>
        <v>0</v>
      </c>
      <c r="M297" s="1235"/>
      <c r="N297" s="1235"/>
      <c r="O297" s="1235"/>
      <c r="P297" s="1235"/>
      <c r="Q297" s="1235"/>
      <c r="R297" s="1235"/>
      <c r="S297" s="1235"/>
      <c r="T297" s="1235"/>
      <c r="U297" s="1235"/>
      <c r="V297" s="1235"/>
      <c r="W297" s="1235"/>
      <c r="X297" s="1235"/>
      <c r="Y297" s="1235"/>
      <c r="Z297" s="1235"/>
      <c r="AA297" s="1235"/>
      <c r="AB297" s="1235"/>
      <c r="AC297" s="1235"/>
      <c r="AD297" s="1235"/>
      <c r="AE297" s="1235"/>
      <c r="AF297" s="1235"/>
      <c r="AG297" s="1235"/>
      <c r="AH297" s="1235"/>
      <c r="AI297" s="1235"/>
      <c r="AJ297" s="1235"/>
      <c r="AK297" s="1235"/>
      <c r="AL297" s="1235"/>
      <c r="AM297" s="1235"/>
      <c r="AN297" s="1235"/>
      <c r="AO297" s="1235"/>
      <c r="AP297" s="1235"/>
      <c r="AQ297" s="1235"/>
      <c r="AR297" s="1235"/>
      <c r="AS297" s="1235"/>
      <c r="AT297" s="1235"/>
      <c r="AU297" s="1235"/>
      <c r="AV297" s="1235"/>
      <c r="AW297" s="1235"/>
      <c r="AX297" s="1235"/>
      <c r="AY297" s="1235"/>
      <c r="AZ297" s="1235"/>
      <c r="BA297" s="1235"/>
    </row>
    <row r="298" spans="1:53" outlineLevel="1">
      <c r="C298" s="320" t="s">
        <v>1934</v>
      </c>
      <c r="I298" s="323" t="s">
        <v>825</v>
      </c>
      <c r="J298" s="340">
        <f>'Capex Phasing Urea'!D18</f>
        <v>15955000</v>
      </c>
      <c r="M298" s="1235"/>
      <c r="N298" s="1235"/>
      <c r="O298" s="1235"/>
      <c r="P298" s="1235"/>
      <c r="Q298" s="1235"/>
      <c r="R298" s="1235"/>
      <c r="S298" s="1235"/>
      <c r="T298" s="1235"/>
      <c r="U298" s="1235"/>
      <c r="V298" s="1235"/>
      <c r="W298" s="1235"/>
      <c r="X298" s="1235"/>
      <c r="Y298" s="1235"/>
      <c r="Z298" s="1235"/>
      <c r="AA298" s="1235"/>
      <c r="AB298" s="1235"/>
      <c r="AC298" s="1235"/>
      <c r="AD298" s="1235"/>
      <c r="AE298" s="1235"/>
      <c r="AF298" s="1235"/>
      <c r="AG298" s="1235"/>
      <c r="AH298" s="1235"/>
      <c r="AI298" s="1235"/>
      <c r="AJ298" s="1235"/>
      <c r="AK298" s="1235"/>
      <c r="AL298" s="1235"/>
      <c r="AM298" s="1235"/>
      <c r="AN298" s="1235"/>
      <c r="AO298" s="1235"/>
      <c r="AP298" s="1235"/>
      <c r="AQ298" s="1235"/>
      <c r="AR298" s="1235"/>
      <c r="AS298" s="1235"/>
      <c r="AT298" s="1235"/>
      <c r="AU298" s="1235"/>
      <c r="AV298" s="1235"/>
      <c r="AW298" s="1235"/>
      <c r="AX298" s="1235"/>
      <c r="AY298" s="1235"/>
      <c r="AZ298" s="1235"/>
      <c r="BA298" s="1235"/>
    </row>
    <row r="299" spans="1:53" outlineLevel="1">
      <c r="C299" s="320" t="s">
        <v>891</v>
      </c>
      <c r="I299" s="323" t="s">
        <v>825</v>
      </c>
      <c r="J299" s="340">
        <f>'Capex Phasing Urea'!D19</f>
        <v>869147000</v>
      </c>
      <c r="M299" s="1235"/>
      <c r="N299" s="1235"/>
      <c r="O299" s="1235"/>
      <c r="P299" s="1235"/>
      <c r="Q299" s="1235"/>
      <c r="R299" s="1235"/>
      <c r="S299" s="1235"/>
      <c r="T299" s="1235"/>
      <c r="U299" s="1235"/>
      <c r="V299" s="1235"/>
      <c r="W299" s="1235"/>
      <c r="X299" s="1235"/>
      <c r="Y299" s="1235"/>
      <c r="Z299" s="1235"/>
      <c r="AA299" s="1235"/>
      <c r="AB299" s="1235"/>
      <c r="AC299" s="1235"/>
      <c r="AD299" s="1235"/>
      <c r="AE299" s="1235"/>
      <c r="AF299" s="1235"/>
      <c r="AG299" s="1235"/>
      <c r="AH299" s="1235"/>
      <c r="AI299" s="1235"/>
      <c r="AJ299" s="1235"/>
      <c r="AK299" s="1235"/>
      <c r="AL299" s="1235"/>
      <c r="AM299" s="1235"/>
      <c r="AN299" s="1235"/>
      <c r="AO299" s="1235"/>
      <c r="AP299" s="1235"/>
      <c r="AQ299" s="1235"/>
      <c r="AR299" s="1235"/>
      <c r="AS299" s="1235"/>
      <c r="AT299" s="1235"/>
      <c r="AU299" s="1235"/>
      <c r="AV299" s="1235"/>
      <c r="AW299" s="1235"/>
      <c r="AX299" s="1235"/>
      <c r="AY299" s="1235"/>
      <c r="AZ299" s="1235"/>
      <c r="BA299" s="1235"/>
    </row>
    <row r="300" spans="1:53" outlineLevel="1">
      <c r="C300" s="320" t="s">
        <v>845</v>
      </c>
      <c r="I300" s="323" t="s">
        <v>825</v>
      </c>
      <c r="J300" s="340">
        <f>'Capex Phasing Urea'!D20</f>
        <v>64578918.367346942</v>
      </c>
      <c r="M300" s="1235"/>
      <c r="N300" s="1235"/>
      <c r="O300" s="1235"/>
      <c r="P300" s="1235"/>
      <c r="Q300" s="1235"/>
      <c r="R300" s="1235"/>
      <c r="S300" s="1235"/>
      <c r="T300" s="1235"/>
      <c r="U300" s="1235"/>
      <c r="V300" s="1235"/>
      <c r="W300" s="1235"/>
      <c r="X300" s="1235"/>
      <c r="Y300" s="1235"/>
      <c r="Z300" s="1235"/>
      <c r="AA300" s="1235"/>
      <c r="AB300" s="1235"/>
      <c r="AC300" s="1235"/>
      <c r="AD300" s="1235"/>
      <c r="AE300" s="1235"/>
      <c r="AF300" s="1235"/>
      <c r="AG300" s="1235"/>
      <c r="AH300" s="1235"/>
      <c r="AI300" s="1235"/>
      <c r="AJ300" s="1235"/>
      <c r="AK300" s="1235"/>
      <c r="AL300" s="1235"/>
      <c r="AM300" s="1235"/>
      <c r="AN300" s="1235"/>
      <c r="AO300" s="1235"/>
      <c r="AP300" s="1235"/>
      <c r="AQ300" s="1235"/>
      <c r="AR300" s="1235"/>
      <c r="AS300" s="1235"/>
      <c r="AT300" s="1235"/>
      <c r="AU300" s="1235"/>
      <c r="AV300" s="1235"/>
      <c r="AW300" s="1235"/>
      <c r="AX300" s="1235"/>
      <c r="AY300" s="1235"/>
      <c r="AZ300" s="1235"/>
      <c r="BA300" s="1235"/>
    </row>
    <row r="301" spans="1:53" outlineLevel="1">
      <c r="C301" s="320" t="s">
        <v>119</v>
      </c>
      <c r="I301" s="323" t="s">
        <v>825</v>
      </c>
      <c r="J301" s="340">
        <f>'Capex Phasing Urea'!D21</f>
        <v>72867200</v>
      </c>
      <c r="M301" s="1235"/>
      <c r="N301" s="1235"/>
      <c r="O301" s="1235"/>
      <c r="P301" s="1235"/>
      <c r="Q301" s="1235"/>
      <c r="R301" s="1235"/>
      <c r="S301" s="1235"/>
      <c r="T301" s="1235"/>
      <c r="U301" s="1235"/>
      <c r="V301" s="1235"/>
      <c r="W301" s="1235"/>
      <c r="X301" s="1235"/>
      <c r="Y301" s="1235"/>
      <c r="Z301" s="1235"/>
      <c r="AA301" s="1235"/>
      <c r="AB301" s="1235"/>
      <c r="AC301" s="1235"/>
      <c r="AD301" s="1235"/>
      <c r="AE301" s="1235"/>
      <c r="AF301" s="1235"/>
      <c r="AG301" s="1235"/>
      <c r="AH301" s="1235"/>
      <c r="AI301" s="1235"/>
      <c r="AJ301" s="1235"/>
      <c r="AK301" s="1235"/>
      <c r="AL301" s="1235"/>
      <c r="AM301" s="1235"/>
      <c r="AN301" s="1235"/>
      <c r="AO301" s="1235"/>
      <c r="AP301" s="1235"/>
      <c r="AQ301" s="1235"/>
      <c r="AR301" s="1235"/>
      <c r="AS301" s="1235"/>
      <c r="AT301" s="1235"/>
      <c r="AU301" s="1235"/>
      <c r="AV301" s="1235"/>
      <c r="AW301" s="1235"/>
      <c r="AX301" s="1235"/>
      <c r="AY301" s="1235"/>
      <c r="AZ301" s="1235"/>
      <c r="BA301" s="1235"/>
    </row>
    <row r="302" spans="1:53" outlineLevel="1">
      <c r="C302" s="320" t="s">
        <v>122</v>
      </c>
      <c r="I302" s="323" t="s">
        <v>825</v>
      </c>
      <c r="J302" s="340">
        <f>'Capex Phasing Urea'!D22</f>
        <v>155271400</v>
      </c>
      <c r="M302" s="1235"/>
      <c r="N302" s="1235"/>
      <c r="O302" s="1235"/>
      <c r="P302" s="1235"/>
      <c r="Q302" s="1235"/>
      <c r="R302" s="1235"/>
      <c r="S302" s="1235"/>
      <c r="T302" s="1235"/>
      <c r="U302" s="1235"/>
      <c r="V302" s="1235"/>
      <c r="W302" s="1235"/>
      <c r="X302" s="1235"/>
      <c r="Y302" s="1235"/>
      <c r="Z302" s="1235"/>
      <c r="AA302" s="1235"/>
      <c r="AB302" s="1235"/>
      <c r="AC302" s="1235"/>
      <c r="AD302" s="1235"/>
      <c r="AE302" s="1235"/>
      <c r="AF302" s="1235"/>
      <c r="AG302" s="1235"/>
      <c r="AH302" s="1235"/>
      <c r="AI302" s="1235"/>
      <c r="AJ302" s="1235"/>
      <c r="AK302" s="1235"/>
      <c r="AL302" s="1235"/>
      <c r="AM302" s="1235"/>
      <c r="AN302" s="1235"/>
      <c r="AO302" s="1235"/>
      <c r="AP302" s="1235"/>
      <c r="AQ302" s="1235"/>
      <c r="AR302" s="1235"/>
      <c r="AS302" s="1235"/>
      <c r="AT302" s="1235"/>
      <c r="AU302" s="1235"/>
      <c r="AV302" s="1235"/>
      <c r="AW302" s="1235"/>
      <c r="AX302" s="1235"/>
      <c r="AY302" s="1235"/>
      <c r="AZ302" s="1235"/>
      <c r="BA302" s="1235"/>
    </row>
    <row r="303" spans="1:53" outlineLevel="1">
      <c r="C303" s="320" t="s">
        <v>120</v>
      </c>
      <c r="I303" s="323" t="s">
        <v>825</v>
      </c>
      <c r="J303" s="340">
        <f>'Capex Phasing Urea'!D23</f>
        <v>90552000</v>
      </c>
      <c r="M303" s="1235"/>
      <c r="N303" s="1235"/>
      <c r="O303" s="1235"/>
      <c r="P303" s="1235"/>
      <c r="Q303" s="1235"/>
      <c r="R303" s="1235"/>
      <c r="S303" s="1235"/>
      <c r="T303" s="1235"/>
      <c r="U303" s="1235"/>
      <c r="V303" s="1235"/>
      <c r="W303" s="1235"/>
      <c r="X303" s="1235"/>
      <c r="Y303" s="1235"/>
      <c r="Z303" s="1235"/>
      <c r="AA303" s="1235"/>
      <c r="AB303" s="1235"/>
      <c r="AC303" s="1235"/>
      <c r="AD303" s="1235"/>
      <c r="AE303" s="1235"/>
      <c r="AF303" s="1235"/>
      <c r="AG303" s="1235"/>
      <c r="AH303" s="1235"/>
      <c r="AI303" s="1235"/>
      <c r="AJ303" s="1235"/>
      <c r="AK303" s="1235"/>
      <c r="AL303" s="1235"/>
      <c r="AM303" s="1235"/>
      <c r="AN303" s="1235"/>
      <c r="AO303" s="1235"/>
      <c r="AP303" s="1235"/>
      <c r="AQ303" s="1235"/>
      <c r="AR303" s="1235"/>
      <c r="AS303" s="1235"/>
      <c r="AT303" s="1235"/>
      <c r="AU303" s="1235"/>
      <c r="AV303" s="1235"/>
      <c r="AW303" s="1235"/>
      <c r="AX303" s="1235"/>
      <c r="AY303" s="1235"/>
      <c r="AZ303" s="1235"/>
      <c r="BA303" s="1235"/>
    </row>
    <row r="304" spans="1:53" outlineLevel="1">
      <c r="C304" s="349" t="s">
        <v>711</v>
      </c>
      <c r="I304" s="323" t="s">
        <v>825</v>
      </c>
      <c r="J304" s="340">
        <f>'Capex Phasing Urea'!D24</f>
        <v>51636500</v>
      </c>
      <c r="M304" s="1235"/>
      <c r="N304" s="1235"/>
      <c r="O304" s="1235"/>
      <c r="P304" s="1235"/>
      <c r="Q304" s="1235"/>
      <c r="R304" s="1235"/>
      <c r="S304" s="1235"/>
      <c r="T304" s="1235"/>
      <c r="U304" s="1235"/>
      <c r="V304" s="1235"/>
      <c r="W304" s="1235"/>
      <c r="X304" s="1235"/>
      <c r="Y304" s="1235"/>
      <c r="Z304" s="1235"/>
      <c r="AA304" s="1235"/>
      <c r="AB304" s="1235"/>
      <c r="AC304" s="1235"/>
      <c r="AD304" s="1235"/>
      <c r="AE304" s="1235"/>
      <c r="AF304" s="1235"/>
      <c r="AG304" s="1235"/>
      <c r="AH304" s="1235"/>
      <c r="AI304" s="1235"/>
      <c r="AJ304" s="1235"/>
      <c r="AK304" s="1235"/>
      <c r="AL304" s="1235"/>
      <c r="AM304" s="1235"/>
      <c r="AN304" s="1235"/>
      <c r="AO304" s="1235"/>
      <c r="AP304" s="1235"/>
      <c r="AQ304" s="1235"/>
      <c r="AR304" s="1235"/>
      <c r="AS304" s="1235"/>
      <c r="AT304" s="1235"/>
      <c r="AU304" s="1235"/>
      <c r="AV304" s="1235"/>
      <c r="AW304" s="1235"/>
      <c r="AX304" s="1235"/>
      <c r="AY304" s="1235"/>
      <c r="AZ304" s="1235"/>
      <c r="BA304" s="1235"/>
    </row>
    <row r="305" spans="3:53" outlineLevel="1">
      <c r="C305" s="320" t="s">
        <v>712</v>
      </c>
      <c r="I305" s="323" t="s">
        <v>825</v>
      </c>
      <c r="J305" s="340">
        <f>'Capex Phasing Urea'!D26</f>
        <v>99000601.377551019</v>
      </c>
      <c r="M305" s="1235"/>
      <c r="N305" s="1235"/>
      <c r="O305" s="1235"/>
      <c r="P305" s="1235"/>
      <c r="Q305" s="1235"/>
      <c r="R305" s="1235"/>
      <c r="S305" s="1235"/>
      <c r="T305" s="1235"/>
      <c r="U305" s="1235"/>
      <c r="V305" s="1235"/>
      <c r="W305" s="1235"/>
      <c r="X305" s="1235"/>
      <c r="Y305" s="1235"/>
      <c r="Z305" s="1235"/>
      <c r="AA305" s="1235"/>
      <c r="AB305" s="1235"/>
      <c r="AC305" s="1235"/>
      <c r="AD305" s="1235"/>
      <c r="AE305" s="1235"/>
      <c r="AF305" s="1235"/>
      <c r="AG305" s="1235"/>
      <c r="AH305" s="1235"/>
      <c r="AI305" s="1235"/>
      <c r="AJ305" s="1235"/>
      <c r="AK305" s="1235"/>
      <c r="AL305" s="1235"/>
      <c r="AM305" s="1235"/>
      <c r="AN305" s="1235"/>
      <c r="AO305" s="1235"/>
      <c r="AP305" s="1235"/>
      <c r="AQ305" s="1235"/>
      <c r="AR305" s="1235"/>
      <c r="AS305" s="1235"/>
      <c r="AT305" s="1235"/>
      <c r="AU305" s="1235"/>
      <c r="AV305" s="1235"/>
      <c r="AW305" s="1235"/>
      <c r="AX305" s="1235"/>
      <c r="AY305" s="1235"/>
      <c r="AZ305" s="1235"/>
      <c r="BA305" s="1235"/>
    </row>
    <row r="306" spans="3:53" outlineLevel="1">
      <c r="C306" s="320" t="s">
        <v>906</v>
      </c>
      <c r="J306" s="468">
        <f>'Power Plant '!C4</f>
        <v>216000000</v>
      </c>
      <c r="M306" s="1235"/>
      <c r="N306" s="1235"/>
      <c r="O306" s="1235"/>
      <c r="P306" s="1235"/>
      <c r="Q306" s="1235"/>
      <c r="R306" s="1235"/>
      <c r="S306" s="1235"/>
      <c r="T306" s="1235"/>
      <c r="U306" s="1235"/>
      <c r="V306" s="1235"/>
      <c r="W306" s="1235"/>
      <c r="X306" s="1235"/>
      <c r="Y306" s="1235"/>
      <c r="Z306" s="1235"/>
      <c r="AA306" s="1235"/>
      <c r="AB306" s="1235"/>
      <c r="AC306" s="1235"/>
      <c r="AD306" s="1235"/>
      <c r="AE306" s="1235"/>
      <c r="AF306" s="1235"/>
      <c r="AG306" s="1235"/>
      <c r="AH306" s="1235"/>
      <c r="AI306" s="1235"/>
      <c r="AJ306" s="1235"/>
      <c r="AK306" s="1235"/>
      <c r="AL306" s="1235"/>
      <c r="AM306" s="1235"/>
      <c r="AN306" s="1235"/>
      <c r="AO306" s="1235"/>
      <c r="AP306" s="1235"/>
      <c r="AQ306" s="1235"/>
      <c r="AR306" s="1235"/>
      <c r="AS306" s="1235"/>
      <c r="AT306" s="1235"/>
      <c r="AU306" s="1235"/>
      <c r="AV306" s="1235"/>
      <c r="AW306" s="1235"/>
      <c r="AX306" s="1235"/>
      <c r="AY306" s="1235"/>
      <c r="AZ306" s="1235"/>
      <c r="BA306" s="1235"/>
    </row>
    <row r="307" spans="3:53" outlineLevel="1">
      <c r="C307" s="349"/>
      <c r="I307" s="323" t="s">
        <v>825</v>
      </c>
      <c r="J307" s="427"/>
      <c r="M307" s="1235"/>
      <c r="N307" s="1235"/>
      <c r="O307" s="1235"/>
      <c r="P307" s="1235"/>
      <c r="Q307" s="1235"/>
      <c r="R307" s="1235"/>
      <c r="S307" s="1235"/>
      <c r="T307" s="1235"/>
      <c r="U307" s="1235"/>
      <c r="V307" s="1235"/>
      <c r="W307" s="1235"/>
      <c r="X307" s="1235"/>
      <c r="Y307" s="1235"/>
      <c r="Z307" s="1235"/>
      <c r="AA307" s="1235"/>
      <c r="AB307" s="1235"/>
      <c r="AC307" s="1235"/>
      <c r="AD307" s="1235"/>
      <c r="AE307" s="1235"/>
      <c r="AF307" s="1235"/>
      <c r="AG307" s="1235"/>
      <c r="AH307" s="1235"/>
      <c r="AI307" s="1235"/>
      <c r="AJ307" s="1235"/>
      <c r="AK307" s="1235"/>
      <c r="AL307" s="1235"/>
      <c r="AM307" s="1235"/>
      <c r="AN307" s="1235"/>
      <c r="AO307" s="1235"/>
      <c r="AP307" s="1235"/>
      <c r="AQ307" s="1235"/>
      <c r="AR307" s="1235"/>
      <c r="AS307" s="1235"/>
      <c r="AT307" s="1235"/>
      <c r="AU307" s="1235"/>
      <c r="AV307" s="1235"/>
      <c r="AW307" s="1235"/>
      <c r="AX307" s="1235"/>
      <c r="AY307" s="1235"/>
      <c r="AZ307" s="1235"/>
      <c r="BA307" s="1235"/>
    </row>
    <row r="308" spans="3:53" ht="12" outlineLevel="1" thickBot="1">
      <c r="C308" s="392" t="s">
        <v>714</v>
      </c>
      <c r="I308" s="323" t="s">
        <v>825</v>
      </c>
      <c r="J308" s="426">
        <f>SUM(J297:J307)</f>
        <v>1635008619.7448981</v>
      </c>
      <c r="M308" s="1235"/>
      <c r="N308" s="1235"/>
      <c r="O308" s="1235"/>
      <c r="P308" s="1235"/>
      <c r="Q308" s="1235"/>
      <c r="R308" s="1235"/>
      <c r="S308" s="1235"/>
      <c r="T308" s="1235"/>
      <c r="U308" s="1235"/>
      <c r="V308" s="1235"/>
      <c r="W308" s="1235"/>
      <c r="X308" s="1235"/>
      <c r="Y308" s="1235"/>
      <c r="Z308" s="1235"/>
      <c r="AA308" s="1235"/>
      <c r="AB308" s="1235"/>
      <c r="AC308" s="1235"/>
      <c r="AD308" s="1235"/>
      <c r="AE308" s="1235"/>
      <c r="AF308" s="1235"/>
      <c r="AG308" s="1235"/>
      <c r="AH308" s="1235"/>
      <c r="AI308" s="1235"/>
      <c r="AJ308" s="1235"/>
      <c r="AK308" s="1235"/>
      <c r="AL308" s="1235"/>
      <c r="AM308" s="1235"/>
      <c r="AN308" s="1235"/>
      <c r="AO308" s="1235"/>
      <c r="AP308" s="1235"/>
      <c r="AQ308" s="1235"/>
      <c r="AR308" s="1235"/>
      <c r="AS308" s="1235"/>
      <c r="AT308" s="1235"/>
      <c r="AU308" s="1235"/>
      <c r="AV308" s="1235"/>
      <c r="AW308" s="1235"/>
      <c r="AX308" s="1235"/>
      <c r="AY308" s="1235"/>
      <c r="AZ308" s="1235"/>
      <c r="BA308" s="1235"/>
    </row>
    <row r="309" spans="3:53" outlineLevel="1">
      <c r="C309" s="565"/>
      <c r="J309" s="566"/>
      <c r="M309" s="1235"/>
      <c r="N309" s="1235"/>
      <c r="O309" s="1235"/>
      <c r="P309" s="1235"/>
      <c r="Q309" s="1235"/>
      <c r="R309" s="1235"/>
      <c r="S309" s="1235"/>
      <c r="T309" s="1235"/>
      <c r="U309" s="1235"/>
      <c r="V309" s="1235"/>
      <c r="W309" s="1235"/>
      <c r="X309" s="1235"/>
      <c r="Y309" s="1235"/>
      <c r="Z309" s="1235"/>
      <c r="AA309" s="1235"/>
      <c r="AB309" s="1235"/>
      <c r="AC309" s="1235"/>
      <c r="AD309" s="1235"/>
      <c r="AE309" s="1235"/>
      <c r="AF309" s="1235"/>
      <c r="AG309" s="1235"/>
      <c r="AH309" s="1235"/>
      <c r="AI309" s="1235"/>
      <c r="AJ309" s="1235"/>
      <c r="AK309" s="1235"/>
      <c r="AL309" s="1235"/>
      <c r="AM309" s="1235"/>
      <c r="AN309" s="1235"/>
      <c r="AO309" s="1235"/>
      <c r="AP309" s="1235"/>
      <c r="AQ309" s="1235"/>
      <c r="AR309" s="1235"/>
      <c r="AS309" s="1235"/>
      <c r="AT309" s="1235"/>
      <c r="AU309" s="1235"/>
      <c r="AV309" s="1235"/>
      <c r="AW309" s="1235"/>
      <c r="AX309" s="1235"/>
      <c r="AY309" s="1235"/>
      <c r="AZ309" s="1235"/>
      <c r="BA309" s="1235"/>
    </row>
    <row r="310" spans="3:53" outlineLevel="1">
      <c r="C310" s="344" t="s">
        <v>1072</v>
      </c>
      <c r="I310" s="323" t="s">
        <v>207</v>
      </c>
      <c r="J310" s="425"/>
      <c r="M310" s="1235"/>
      <c r="N310" s="1235"/>
      <c r="O310" s="1235"/>
      <c r="P310" s="1235"/>
      <c r="Q310" s="1235"/>
      <c r="R310" s="1235"/>
      <c r="S310" s="1235"/>
      <c r="T310" s="1235"/>
      <c r="U310" s="1235"/>
      <c r="V310" s="1235"/>
      <c r="W310" s="1235"/>
      <c r="X310" s="1235"/>
      <c r="Y310" s="1235"/>
      <c r="Z310" s="1235"/>
      <c r="AA310" s="1235"/>
      <c r="AB310" s="1235"/>
      <c r="AC310" s="1235"/>
      <c r="AD310" s="1235"/>
      <c r="AE310" s="1235"/>
      <c r="AF310" s="1235"/>
      <c r="AG310" s="1235"/>
      <c r="AH310" s="1235"/>
      <c r="AI310" s="1235"/>
      <c r="AJ310" s="1235"/>
      <c r="AK310" s="1235"/>
      <c r="AL310" s="1235"/>
      <c r="AM310" s="1235"/>
      <c r="AN310" s="1235"/>
      <c r="AO310" s="1235"/>
      <c r="AP310" s="1235"/>
      <c r="AQ310" s="1235"/>
      <c r="AR310" s="1235"/>
      <c r="AS310" s="1235"/>
      <c r="AT310" s="1235"/>
      <c r="AU310" s="1235"/>
      <c r="AV310" s="1235"/>
      <c r="AW310" s="1235"/>
      <c r="AX310" s="1235"/>
      <c r="AY310" s="1235"/>
      <c r="AZ310" s="1235"/>
      <c r="BA310" s="1235"/>
    </row>
    <row r="311" spans="3:53" outlineLevel="1">
      <c r="C311" s="352" t="s">
        <v>1894</v>
      </c>
      <c r="J311" s="1905">
        <f>IF(Ammonia_location=2,J400,0)</f>
        <v>0</v>
      </c>
      <c r="M311" s="1235"/>
      <c r="N311" s="1235"/>
      <c r="O311" s="1235"/>
      <c r="P311" s="1235"/>
      <c r="Q311" s="1235"/>
      <c r="R311" s="1235"/>
      <c r="S311" s="1235"/>
      <c r="T311" s="1235"/>
      <c r="U311" s="1235"/>
      <c r="V311" s="1235"/>
      <c r="W311" s="1235"/>
      <c r="X311" s="1235"/>
      <c r="Y311" s="1235"/>
      <c r="Z311" s="1235"/>
      <c r="AA311" s="1235"/>
      <c r="AB311" s="1235"/>
      <c r="AC311" s="1235"/>
      <c r="AD311" s="1235"/>
      <c r="AE311" s="1235"/>
      <c r="AF311" s="1235"/>
      <c r="AG311" s="1235"/>
      <c r="AH311" s="1235"/>
      <c r="AI311" s="1235"/>
      <c r="AJ311" s="1235"/>
      <c r="AK311" s="1235"/>
      <c r="AL311" s="1235"/>
      <c r="AM311" s="1235"/>
      <c r="AN311" s="1235"/>
      <c r="AO311" s="1235"/>
      <c r="AP311" s="1235"/>
      <c r="AQ311" s="1235"/>
      <c r="AR311" s="1235"/>
      <c r="AS311" s="1235"/>
      <c r="AT311" s="1235"/>
      <c r="AU311" s="1235"/>
      <c r="AV311" s="1235"/>
      <c r="AW311" s="1235"/>
      <c r="AX311" s="1235"/>
      <c r="AY311" s="1235"/>
      <c r="AZ311" s="1235"/>
      <c r="BA311" s="1235"/>
    </row>
    <row r="312" spans="3:53" outlineLevel="1">
      <c r="C312" s="320" t="s">
        <v>1934</v>
      </c>
      <c r="I312" s="323" t="s">
        <v>825</v>
      </c>
      <c r="J312" s="567">
        <f>IF(M97="No",0,'Capex Phasing Urea'!D30)</f>
        <v>3209000</v>
      </c>
      <c r="M312" s="1235"/>
      <c r="N312" s="1235"/>
      <c r="O312" s="1235"/>
      <c r="P312" s="1235"/>
      <c r="Q312" s="1235"/>
      <c r="R312" s="1235"/>
      <c r="S312" s="1235"/>
      <c r="T312" s="1235"/>
      <c r="U312" s="1235"/>
      <c r="V312" s="1235"/>
      <c r="W312" s="1235"/>
      <c r="X312" s="1235"/>
      <c r="Y312" s="1235"/>
      <c r="Z312" s="1235"/>
      <c r="AA312" s="1235"/>
      <c r="AB312" s="1235"/>
      <c r="AC312" s="1235"/>
      <c r="AD312" s="1235"/>
      <c r="AE312" s="1235"/>
      <c r="AF312" s="1235"/>
      <c r="AG312" s="1235"/>
      <c r="AH312" s="1235"/>
      <c r="AI312" s="1235"/>
      <c r="AJ312" s="1235"/>
      <c r="AK312" s="1235"/>
      <c r="AL312" s="1235"/>
      <c r="AM312" s="1235"/>
      <c r="AN312" s="1235"/>
      <c r="AO312" s="1235"/>
      <c r="AP312" s="1235"/>
      <c r="AQ312" s="1235"/>
      <c r="AR312" s="1235"/>
      <c r="AS312" s="1235"/>
      <c r="AT312" s="1235"/>
      <c r="AU312" s="1235"/>
      <c r="AV312" s="1235"/>
      <c r="AW312" s="1235"/>
      <c r="AX312" s="1235"/>
      <c r="AY312" s="1235"/>
      <c r="AZ312" s="1235"/>
      <c r="BA312" s="1235"/>
    </row>
    <row r="313" spans="3:53" outlineLevel="1">
      <c r="C313" s="320" t="s">
        <v>891</v>
      </c>
      <c r="I313" s="323" t="s">
        <v>825</v>
      </c>
      <c r="J313" s="567">
        <f>IF(M97="No",0,'Capex Phasing Urea'!D31)</f>
        <v>577117600</v>
      </c>
      <c r="M313" s="1235"/>
      <c r="N313" s="1235"/>
      <c r="O313" s="1235"/>
      <c r="P313" s="1235"/>
      <c r="Q313" s="1235"/>
      <c r="R313" s="1235"/>
      <c r="S313" s="1235"/>
      <c r="T313" s="1235"/>
      <c r="U313" s="1235"/>
      <c r="V313" s="1235"/>
      <c r="W313" s="1235"/>
      <c r="X313" s="1235"/>
      <c r="Y313" s="1235"/>
      <c r="Z313" s="1235"/>
      <c r="AA313" s="1235"/>
      <c r="AB313" s="1235"/>
      <c r="AC313" s="1235"/>
      <c r="AD313" s="1235"/>
      <c r="AE313" s="1235"/>
      <c r="AF313" s="1235"/>
      <c r="AG313" s="1235"/>
      <c r="AH313" s="1235"/>
      <c r="AI313" s="1235"/>
      <c r="AJ313" s="1235"/>
      <c r="AK313" s="1235"/>
      <c r="AL313" s="1235"/>
      <c r="AM313" s="1235"/>
      <c r="AN313" s="1235"/>
      <c r="AO313" s="1235"/>
      <c r="AP313" s="1235"/>
      <c r="AQ313" s="1235"/>
      <c r="AR313" s="1235"/>
      <c r="AS313" s="1235"/>
      <c r="AT313" s="1235"/>
      <c r="AU313" s="1235"/>
      <c r="AV313" s="1235"/>
      <c r="AW313" s="1235"/>
      <c r="AX313" s="1235"/>
      <c r="AY313" s="1235"/>
      <c r="AZ313" s="1235"/>
      <c r="BA313" s="1235"/>
    </row>
    <row r="314" spans="3:53" outlineLevel="1">
      <c r="C314" s="320" t="s">
        <v>845</v>
      </c>
      <c r="I314" s="323" t="s">
        <v>825</v>
      </c>
      <c r="J314" s="567">
        <f>IF(M97="No",0,'Capex Phasing Urea'!D32)</f>
        <v>37836312.244897962</v>
      </c>
      <c r="M314" s="1235"/>
      <c r="N314" s="1235"/>
      <c r="O314" s="1235"/>
      <c r="P314" s="1235"/>
      <c r="Q314" s="1235"/>
      <c r="R314" s="1235"/>
      <c r="S314" s="1235"/>
      <c r="T314" s="1235"/>
      <c r="U314" s="1235"/>
      <c r="V314" s="1235"/>
      <c r="W314" s="1235"/>
      <c r="X314" s="1235"/>
      <c r="Y314" s="1235"/>
      <c r="Z314" s="1235"/>
      <c r="AA314" s="1235"/>
      <c r="AB314" s="1235"/>
      <c r="AC314" s="1235"/>
      <c r="AD314" s="1235"/>
      <c r="AE314" s="1235"/>
      <c r="AF314" s="1235"/>
      <c r="AG314" s="1235"/>
      <c r="AH314" s="1235"/>
      <c r="AI314" s="1235"/>
      <c r="AJ314" s="1235"/>
      <c r="AK314" s="1235"/>
      <c r="AL314" s="1235"/>
      <c r="AM314" s="1235"/>
      <c r="AN314" s="1235"/>
      <c r="AO314" s="1235"/>
      <c r="AP314" s="1235"/>
      <c r="AQ314" s="1235"/>
      <c r="AR314" s="1235"/>
      <c r="AS314" s="1235"/>
      <c r="AT314" s="1235"/>
      <c r="AU314" s="1235"/>
      <c r="AV314" s="1235"/>
      <c r="AW314" s="1235"/>
      <c r="AX314" s="1235"/>
      <c r="AY314" s="1235"/>
      <c r="AZ314" s="1235"/>
      <c r="BA314" s="1235"/>
    </row>
    <row r="315" spans="3:53" outlineLevel="1">
      <c r="C315" s="320" t="s">
        <v>119</v>
      </c>
      <c r="I315" s="323" t="s">
        <v>825</v>
      </c>
      <c r="J315" s="567">
        <f>IF(M97="no",0,'Capex Phasing Urea'!D33)</f>
        <v>42651000</v>
      </c>
      <c r="M315" s="1235"/>
      <c r="N315" s="1235"/>
      <c r="O315" s="1235"/>
      <c r="P315" s="1235"/>
      <c r="Q315" s="1235"/>
      <c r="R315" s="1235"/>
      <c r="S315" s="1235"/>
      <c r="T315" s="1235"/>
      <c r="U315" s="1235"/>
      <c r="V315" s="1235"/>
      <c r="W315" s="1235"/>
      <c r="X315" s="1235"/>
      <c r="Y315" s="1235"/>
      <c r="Z315" s="1235"/>
      <c r="AA315" s="1235"/>
      <c r="AB315" s="1235"/>
      <c r="AC315" s="1235"/>
      <c r="AD315" s="1235"/>
      <c r="AE315" s="1235"/>
      <c r="AF315" s="1235"/>
      <c r="AG315" s="1235"/>
      <c r="AH315" s="1235"/>
      <c r="AI315" s="1235"/>
      <c r="AJ315" s="1235"/>
      <c r="AK315" s="1235"/>
      <c r="AL315" s="1235"/>
      <c r="AM315" s="1235"/>
      <c r="AN315" s="1235"/>
      <c r="AO315" s="1235"/>
      <c r="AP315" s="1235"/>
      <c r="AQ315" s="1235"/>
      <c r="AR315" s="1235"/>
      <c r="AS315" s="1235"/>
      <c r="AT315" s="1235"/>
      <c r="AU315" s="1235"/>
      <c r="AV315" s="1235"/>
      <c r="AW315" s="1235"/>
      <c r="AX315" s="1235"/>
      <c r="AY315" s="1235"/>
      <c r="AZ315" s="1235"/>
      <c r="BA315" s="1235"/>
    </row>
    <row r="316" spans="3:53" outlineLevel="1">
      <c r="C316" s="320" t="s">
        <v>122</v>
      </c>
      <c r="I316" s="323" t="s">
        <v>825</v>
      </c>
      <c r="J316" s="567">
        <f>IF(M97="no",0,'Capex Phasing Urea'!D34)</f>
        <v>78793700</v>
      </c>
      <c r="M316" s="1235"/>
      <c r="N316" s="1235"/>
      <c r="O316" s="1235"/>
      <c r="P316" s="1235"/>
      <c r="Q316" s="1235"/>
      <c r="R316" s="1235"/>
      <c r="S316" s="1235"/>
      <c r="T316" s="1235"/>
      <c r="U316" s="1235"/>
      <c r="V316" s="1235"/>
      <c r="W316" s="1235"/>
      <c r="X316" s="1235"/>
      <c r="Y316" s="1235"/>
      <c r="Z316" s="1235"/>
      <c r="AA316" s="1235"/>
      <c r="AB316" s="1235"/>
      <c r="AC316" s="1235"/>
      <c r="AD316" s="1235"/>
      <c r="AE316" s="1235"/>
      <c r="AF316" s="1235"/>
      <c r="AG316" s="1235"/>
      <c r="AH316" s="1235"/>
      <c r="AI316" s="1235"/>
      <c r="AJ316" s="1235"/>
      <c r="AK316" s="1235"/>
      <c r="AL316" s="1235"/>
      <c r="AM316" s="1235"/>
      <c r="AN316" s="1235"/>
      <c r="AO316" s="1235"/>
      <c r="AP316" s="1235"/>
      <c r="AQ316" s="1235"/>
      <c r="AR316" s="1235"/>
      <c r="AS316" s="1235"/>
      <c r="AT316" s="1235"/>
      <c r="AU316" s="1235"/>
      <c r="AV316" s="1235"/>
      <c r="AW316" s="1235"/>
      <c r="AX316" s="1235"/>
      <c r="AY316" s="1235"/>
      <c r="AZ316" s="1235"/>
      <c r="BA316" s="1235"/>
    </row>
    <row r="317" spans="3:53" outlineLevel="1">
      <c r="C317" s="320" t="s">
        <v>120</v>
      </c>
      <c r="I317" s="323" t="s">
        <v>825</v>
      </c>
      <c r="J317" s="567">
        <f>IF(M97="no",0,'Capex Phasing Urea'!D35)</f>
        <v>56815900</v>
      </c>
      <c r="M317" s="1235"/>
      <c r="N317" s="1235"/>
      <c r="O317" s="1235"/>
      <c r="P317" s="1235"/>
      <c r="Q317" s="1235"/>
      <c r="R317" s="1235"/>
      <c r="S317" s="1235"/>
      <c r="T317" s="1235"/>
      <c r="U317" s="1235"/>
      <c r="V317" s="1235"/>
      <c r="W317" s="1235"/>
      <c r="X317" s="1235"/>
      <c r="Y317" s="1235"/>
      <c r="Z317" s="1235"/>
      <c r="AA317" s="1235"/>
      <c r="AB317" s="1235"/>
      <c r="AC317" s="1235"/>
      <c r="AD317" s="1235"/>
      <c r="AE317" s="1235"/>
      <c r="AF317" s="1235"/>
      <c r="AG317" s="1235"/>
      <c r="AH317" s="1235"/>
      <c r="AI317" s="1235"/>
      <c r="AJ317" s="1235"/>
      <c r="AK317" s="1235"/>
      <c r="AL317" s="1235"/>
      <c r="AM317" s="1235"/>
      <c r="AN317" s="1235"/>
      <c r="AO317" s="1235"/>
      <c r="AP317" s="1235"/>
      <c r="AQ317" s="1235"/>
      <c r="AR317" s="1235"/>
      <c r="AS317" s="1235"/>
      <c r="AT317" s="1235"/>
      <c r="AU317" s="1235"/>
      <c r="AV317" s="1235"/>
      <c r="AW317" s="1235"/>
      <c r="AX317" s="1235"/>
      <c r="AY317" s="1235"/>
      <c r="AZ317" s="1235"/>
      <c r="BA317" s="1235"/>
    </row>
    <row r="318" spans="3:53" outlineLevel="1">
      <c r="C318" s="349" t="s">
        <v>711</v>
      </c>
      <c r="I318" s="323" t="s">
        <v>825</v>
      </c>
      <c r="J318" s="567">
        <f>IF(M97="no",0,'Capex Phasing Urea'!D36)</f>
        <v>32667800</v>
      </c>
      <c r="M318" s="1235"/>
      <c r="N318" s="1235"/>
      <c r="O318" s="1235"/>
      <c r="P318" s="1235"/>
      <c r="Q318" s="1235"/>
      <c r="R318" s="1235"/>
      <c r="S318" s="1235"/>
      <c r="T318" s="1235"/>
      <c r="U318" s="1235"/>
      <c r="V318" s="1235"/>
      <c r="W318" s="1235"/>
      <c r="X318" s="1235"/>
      <c r="Y318" s="1235"/>
      <c r="Z318" s="1235"/>
      <c r="AA318" s="1235"/>
      <c r="AB318" s="1235"/>
      <c r="AC318" s="1235"/>
      <c r="AD318" s="1235"/>
      <c r="AE318" s="1235"/>
      <c r="AF318" s="1235"/>
      <c r="AG318" s="1235"/>
      <c r="AH318" s="1235"/>
      <c r="AI318" s="1235"/>
      <c r="AJ318" s="1235"/>
      <c r="AK318" s="1235"/>
      <c r="AL318" s="1235"/>
      <c r="AM318" s="1235"/>
      <c r="AN318" s="1235"/>
      <c r="AO318" s="1235"/>
      <c r="AP318" s="1235"/>
      <c r="AQ318" s="1235"/>
      <c r="AR318" s="1235"/>
      <c r="AS318" s="1235"/>
      <c r="AT318" s="1235"/>
      <c r="AU318" s="1235"/>
      <c r="AV318" s="1235"/>
      <c r="AW318" s="1235"/>
      <c r="AX318" s="1235"/>
      <c r="AY318" s="1235"/>
      <c r="AZ318" s="1235"/>
      <c r="BA318" s="1235"/>
    </row>
    <row r="319" spans="3:53" outlineLevel="1">
      <c r="C319" s="320" t="s">
        <v>712</v>
      </c>
      <c r="I319" s="323" t="s">
        <v>825</v>
      </c>
      <c r="J319" s="567">
        <f>IF(M97="no",0,'Capex Phasing Urea'!D38)</f>
        <v>62181848.418367341</v>
      </c>
      <c r="M319" s="1235"/>
      <c r="N319" s="1235"/>
      <c r="O319" s="1235"/>
      <c r="P319" s="1235"/>
      <c r="Q319" s="1235"/>
      <c r="R319" s="1235"/>
      <c r="S319" s="1235"/>
      <c r="T319" s="1235"/>
      <c r="U319" s="1235"/>
      <c r="V319" s="1235"/>
      <c r="W319" s="1235"/>
      <c r="X319" s="1235"/>
      <c r="Y319" s="1235"/>
      <c r="Z319" s="1235"/>
      <c r="AA319" s="1235"/>
      <c r="AB319" s="1235"/>
      <c r="AC319" s="1235"/>
      <c r="AD319" s="1235"/>
      <c r="AE319" s="1235"/>
      <c r="AF319" s="1235"/>
      <c r="AG319" s="1235"/>
      <c r="AH319" s="1235"/>
      <c r="AI319" s="1235"/>
      <c r="AJ319" s="1235"/>
      <c r="AK319" s="1235"/>
      <c r="AL319" s="1235"/>
      <c r="AM319" s="1235"/>
      <c r="AN319" s="1235"/>
      <c r="AO319" s="1235"/>
      <c r="AP319" s="1235"/>
      <c r="AQ319" s="1235"/>
      <c r="AR319" s="1235"/>
      <c r="AS319" s="1235"/>
      <c r="AT319" s="1235"/>
      <c r="AU319" s="1235"/>
      <c r="AV319" s="1235"/>
      <c r="AW319" s="1235"/>
      <c r="AX319" s="1235"/>
      <c r="AY319" s="1235"/>
      <c r="AZ319" s="1235"/>
      <c r="BA319" s="1235"/>
    </row>
    <row r="320" spans="3:53" outlineLevel="1">
      <c r="J320" s="567"/>
      <c r="M320" s="1235"/>
      <c r="N320" s="1235"/>
      <c r="O320" s="1235"/>
      <c r="P320" s="1235"/>
      <c r="Q320" s="1235"/>
      <c r="R320" s="1235"/>
      <c r="S320" s="1235"/>
      <c r="T320" s="1235"/>
      <c r="U320" s="1235"/>
      <c r="V320" s="1235"/>
      <c r="W320" s="1235"/>
      <c r="X320" s="1235"/>
      <c r="Y320" s="1235"/>
      <c r="Z320" s="1235"/>
      <c r="AA320" s="1235"/>
      <c r="AB320" s="1235"/>
      <c r="AC320" s="1235"/>
      <c r="AD320" s="1235"/>
      <c r="AE320" s="1235"/>
      <c r="AF320" s="1235"/>
      <c r="AG320" s="1235"/>
      <c r="AH320" s="1235"/>
      <c r="AI320" s="1235"/>
      <c r="AJ320" s="1235"/>
      <c r="AK320" s="1235"/>
      <c r="AL320" s="1235"/>
      <c r="AM320" s="1235"/>
      <c r="AN320" s="1235"/>
      <c r="AO320" s="1235"/>
      <c r="AP320" s="1235"/>
      <c r="AQ320" s="1235"/>
      <c r="AR320" s="1235"/>
      <c r="AS320" s="1235"/>
      <c r="AT320" s="1235"/>
      <c r="AU320" s="1235"/>
      <c r="AV320" s="1235"/>
      <c r="AW320" s="1235"/>
      <c r="AX320" s="1235"/>
      <c r="AY320" s="1235"/>
      <c r="AZ320" s="1235"/>
      <c r="BA320" s="1235"/>
    </row>
    <row r="321" spans="3:53" outlineLevel="1">
      <c r="C321" s="349"/>
      <c r="I321" s="323" t="s">
        <v>825</v>
      </c>
      <c r="J321" s="567"/>
      <c r="M321" s="1235"/>
      <c r="N321" s="1235"/>
      <c r="O321" s="1235"/>
      <c r="P321" s="1235"/>
      <c r="Q321" s="1235"/>
      <c r="R321" s="1235"/>
      <c r="S321" s="1235"/>
      <c r="T321" s="1235"/>
      <c r="U321" s="1235"/>
      <c r="V321" s="1235"/>
      <c r="W321" s="1235"/>
      <c r="X321" s="1235"/>
      <c r="Y321" s="1235"/>
      <c r="Z321" s="1235"/>
      <c r="AA321" s="1235"/>
      <c r="AB321" s="1235"/>
      <c r="AC321" s="1235"/>
      <c r="AD321" s="1235"/>
      <c r="AE321" s="1235"/>
      <c r="AF321" s="1235"/>
      <c r="AG321" s="1235"/>
      <c r="AH321" s="1235"/>
      <c r="AI321" s="1235"/>
      <c r="AJ321" s="1235"/>
      <c r="AK321" s="1235"/>
      <c r="AL321" s="1235"/>
      <c r="AM321" s="1235"/>
      <c r="AN321" s="1235"/>
      <c r="AO321" s="1235"/>
      <c r="AP321" s="1235"/>
      <c r="AQ321" s="1235"/>
      <c r="AR321" s="1235"/>
      <c r="AS321" s="1235"/>
      <c r="AT321" s="1235"/>
      <c r="AU321" s="1235"/>
      <c r="AV321" s="1235"/>
      <c r="AW321" s="1235"/>
      <c r="AX321" s="1235"/>
      <c r="AY321" s="1235"/>
      <c r="AZ321" s="1235"/>
      <c r="BA321" s="1235"/>
    </row>
    <row r="322" spans="3:53" ht="12" outlineLevel="1" thickBot="1">
      <c r="C322" s="392" t="s">
        <v>714</v>
      </c>
      <c r="I322" s="323" t="s">
        <v>825</v>
      </c>
      <c r="J322" s="426">
        <f>SUM(J311:J321)</f>
        <v>891273160.66326535</v>
      </c>
      <c r="M322" s="1235"/>
      <c r="N322" s="1235"/>
      <c r="O322" s="1235"/>
      <c r="P322" s="1235"/>
      <c r="Q322" s="1235"/>
      <c r="R322" s="1235"/>
      <c r="S322" s="1235"/>
      <c r="T322" s="1235"/>
      <c r="U322" s="1235"/>
      <c r="V322" s="1235"/>
      <c r="W322" s="1235"/>
      <c r="X322" s="1235"/>
      <c r="Y322" s="1235"/>
      <c r="Z322" s="1235"/>
      <c r="AA322" s="1235"/>
      <c r="AB322" s="1235"/>
      <c r="AC322" s="1235"/>
      <c r="AD322" s="1235"/>
      <c r="AE322" s="1235"/>
      <c r="AF322" s="1235"/>
      <c r="AG322" s="1235"/>
      <c r="AH322" s="1235"/>
      <c r="AI322" s="1235"/>
      <c r="AJ322" s="1235"/>
      <c r="AK322" s="1235"/>
      <c r="AL322" s="1235"/>
      <c r="AM322" s="1235"/>
      <c r="AN322" s="1235"/>
      <c r="AO322" s="1235"/>
      <c r="AP322" s="1235"/>
      <c r="AQ322" s="1235"/>
      <c r="AR322" s="1235"/>
      <c r="AS322" s="1235"/>
      <c r="AT322" s="1235"/>
      <c r="AU322" s="1235"/>
      <c r="AV322" s="1235"/>
      <c r="AW322" s="1235"/>
      <c r="AX322" s="1235"/>
      <c r="AY322" s="1235"/>
      <c r="AZ322" s="1235"/>
      <c r="BA322" s="1235"/>
    </row>
    <row r="323" spans="3:53" hidden="1" outlineLevel="1">
      <c r="I323" s="320"/>
      <c r="J323" s="425"/>
      <c r="M323" s="1235"/>
      <c r="N323" s="1235"/>
      <c r="O323" s="1235"/>
      <c r="P323" s="1235"/>
      <c r="Q323" s="1235"/>
      <c r="R323" s="1235"/>
      <c r="S323" s="1235"/>
      <c r="T323" s="1235"/>
      <c r="U323" s="1235"/>
      <c r="V323" s="1235"/>
      <c r="W323" s="1235"/>
      <c r="X323" s="1235"/>
      <c r="Y323" s="1235"/>
      <c r="Z323" s="1235"/>
      <c r="AA323" s="1235"/>
      <c r="AB323" s="1235"/>
      <c r="AC323" s="1235"/>
      <c r="AD323" s="1235"/>
      <c r="AE323" s="1235"/>
      <c r="AF323" s="1235"/>
      <c r="AG323" s="1235"/>
      <c r="AH323" s="1235"/>
      <c r="AI323" s="1235"/>
      <c r="AJ323" s="1235"/>
      <c r="AK323" s="1235"/>
      <c r="AL323" s="1235"/>
      <c r="AM323" s="1235"/>
      <c r="AN323" s="1235"/>
      <c r="AO323" s="1235"/>
      <c r="AP323" s="1235"/>
      <c r="AQ323" s="1235"/>
      <c r="AR323" s="1235"/>
      <c r="AS323" s="1235"/>
      <c r="AT323" s="1235"/>
      <c r="AU323" s="1235"/>
      <c r="AV323" s="1235"/>
      <c r="AW323" s="1235"/>
      <c r="AX323" s="1235"/>
      <c r="AY323" s="1235"/>
      <c r="AZ323" s="1235"/>
      <c r="BA323" s="1235"/>
    </row>
    <row r="324" spans="3:53" hidden="1" outlineLevel="1">
      <c r="C324" s="344"/>
      <c r="J324" s="425"/>
      <c r="M324" s="1235"/>
      <c r="N324" s="1235"/>
      <c r="O324" s="1235"/>
      <c r="P324" s="1235"/>
      <c r="Q324" s="1235"/>
      <c r="R324" s="1235"/>
      <c r="S324" s="1235"/>
      <c r="T324" s="1235"/>
      <c r="U324" s="1235"/>
      <c r="V324" s="1235"/>
      <c r="W324" s="1235"/>
      <c r="X324" s="1235"/>
      <c r="Y324" s="1235"/>
      <c r="Z324" s="1235"/>
      <c r="AA324" s="1235"/>
      <c r="AB324" s="1235"/>
      <c r="AC324" s="1235"/>
      <c r="AD324" s="1235"/>
      <c r="AE324" s="1235"/>
      <c r="AF324" s="1235"/>
      <c r="AG324" s="1235"/>
      <c r="AH324" s="1235"/>
      <c r="AI324" s="1235"/>
      <c r="AJ324" s="1235"/>
      <c r="AK324" s="1235"/>
      <c r="AL324" s="1235"/>
      <c r="AM324" s="1235"/>
      <c r="AN324" s="1235"/>
      <c r="AO324" s="1235"/>
      <c r="AP324" s="1235"/>
      <c r="AQ324" s="1235"/>
      <c r="AR324" s="1235"/>
      <c r="AS324" s="1235"/>
      <c r="AT324" s="1235"/>
      <c r="AU324" s="1235"/>
      <c r="AV324" s="1235"/>
      <c r="AW324" s="1235"/>
      <c r="AX324" s="1235"/>
      <c r="AY324" s="1235"/>
      <c r="AZ324" s="1235"/>
      <c r="BA324" s="1235"/>
    </row>
    <row r="325" spans="3:53" hidden="1" outlineLevel="1">
      <c r="C325" s="352"/>
      <c r="J325" s="1905"/>
      <c r="M325" s="1235"/>
      <c r="N325" s="1235"/>
      <c r="O325" s="1235"/>
      <c r="P325" s="1235"/>
      <c r="Q325" s="1235"/>
      <c r="R325" s="1235"/>
      <c r="S325" s="1235"/>
      <c r="T325" s="1235"/>
      <c r="U325" s="1235"/>
      <c r="V325" s="1235"/>
      <c r="W325" s="1235"/>
      <c r="X325" s="1235"/>
      <c r="Y325" s="1235"/>
      <c r="Z325" s="1235"/>
      <c r="AA325" s="1235"/>
      <c r="AB325" s="1235"/>
      <c r="AC325" s="1235"/>
      <c r="AD325" s="1235"/>
      <c r="AE325" s="1235"/>
      <c r="AF325" s="1235"/>
      <c r="AG325" s="1235"/>
      <c r="AH325" s="1235"/>
      <c r="AI325" s="1235"/>
      <c r="AJ325" s="1235"/>
      <c r="AK325" s="1235"/>
      <c r="AL325" s="1235"/>
      <c r="AM325" s="1235"/>
      <c r="AN325" s="1235"/>
      <c r="AO325" s="1235"/>
      <c r="AP325" s="1235"/>
      <c r="AQ325" s="1235"/>
      <c r="AR325" s="1235"/>
      <c r="AS325" s="1235"/>
      <c r="AT325" s="1235"/>
      <c r="AU325" s="1235"/>
      <c r="AV325" s="1235"/>
      <c r="AW325" s="1235"/>
      <c r="AX325" s="1235"/>
      <c r="AY325" s="1235"/>
      <c r="AZ325" s="1235"/>
      <c r="BA325" s="1235"/>
    </row>
    <row r="326" spans="3:53" hidden="1" outlineLevel="1">
      <c r="J326" s="567"/>
      <c r="M326" s="1235"/>
      <c r="N326" s="1235"/>
      <c r="O326" s="1235"/>
      <c r="P326" s="1235"/>
      <c r="Q326" s="1235"/>
      <c r="R326" s="1235"/>
      <c r="S326" s="1235"/>
      <c r="T326" s="1235"/>
      <c r="U326" s="1235"/>
      <c r="V326" s="1235"/>
      <c r="W326" s="1235"/>
      <c r="X326" s="1235"/>
      <c r="Y326" s="1235"/>
      <c r="Z326" s="1235"/>
      <c r="AA326" s="1235"/>
      <c r="AB326" s="1235"/>
      <c r="AC326" s="1235"/>
      <c r="AD326" s="1235"/>
      <c r="AE326" s="1235"/>
      <c r="AF326" s="1235"/>
      <c r="AG326" s="1235"/>
      <c r="AH326" s="1235"/>
      <c r="AI326" s="1235"/>
      <c r="AJ326" s="1235"/>
      <c r="AK326" s="1235"/>
      <c r="AL326" s="1235"/>
      <c r="AM326" s="1235"/>
      <c r="AN326" s="1235"/>
      <c r="AO326" s="1235"/>
      <c r="AP326" s="1235"/>
      <c r="AQ326" s="1235"/>
      <c r="AR326" s="1235"/>
      <c r="AS326" s="1235"/>
      <c r="AT326" s="1235"/>
      <c r="AU326" s="1235"/>
      <c r="AV326" s="1235"/>
      <c r="AW326" s="1235"/>
      <c r="AX326" s="1235"/>
      <c r="AY326" s="1235"/>
      <c r="AZ326" s="1235"/>
      <c r="BA326" s="1235"/>
    </row>
    <row r="327" spans="3:53" hidden="1" outlineLevel="1">
      <c r="J327" s="567"/>
      <c r="M327" s="1235"/>
      <c r="N327" s="1235"/>
      <c r="O327" s="1235"/>
      <c r="P327" s="1235"/>
      <c r="Q327" s="1235"/>
      <c r="R327" s="1235"/>
      <c r="S327" s="1235"/>
      <c r="T327" s="1235"/>
      <c r="U327" s="1235"/>
      <c r="V327" s="1235"/>
      <c r="W327" s="1235"/>
      <c r="X327" s="1235"/>
      <c r="Y327" s="1235"/>
      <c r="Z327" s="1235"/>
      <c r="AA327" s="1235"/>
      <c r="AB327" s="1235"/>
      <c r="AC327" s="1235"/>
      <c r="AD327" s="1235"/>
      <c r="AE327" s="1235"/>
      <c r="AF327" s="1235"/>
      <c r="AG327" s="1235"/>
      <c r="AH327" s="1235"/>
      <c r="AI327" s="1235"/>
      <c r="AJ327" s="1235"/>
      <c r="AK327" s="1235"/>
      <c r="AL327" s="1235"/>
      <c r="AM327" s="1235"/>
      <c r="AN327" s="1235"/>
      <c r="AO327" s="1235"/>
      <c r="AP327" s="1235"/>
      <c r="AQ327" s="1235"/>
      <c r="AR327" s="1235"/>
      <c r="AS327" s="1235"/>
      <c r="AT327" s="1235"/>
      <c r="AU327" s="1235"/>
      <c r="AV327" s="1235"/>
      <c r="AW327" s="1235"/>
      <c r="AX327" s="1235"/>
      <c r="AY327" s="1235"/>
      <c r="AZ327" s="1235"/>
      <c r="BA327" s="1235"/>
    </row>
    <row r="328" spans="3:53" hidden="1" outlineLevel="1">
      <c r="J328" s="567"/>
      <c r="M328" s="1235"/>
      <c r="N328" s="1235"/>
      <c r="O328" s="1235"/>
      <c r="P328" s="1235"/>
      <c r="Q328" s="1235"/>
      <c r="R328" s="1235"/>
      <c r="S328" s="1235"/>
      <c r="T328" s="1235"/>
      <c r="U328" s="1235"/>
      <c r="V328" s="1235"/>
      <c r="W328" s="1235"/>
      <c r="X328" s="1235"/>
      <c r="Y328" s="1235"/>
      <c r="Z328" s="1235"/>
      <c r="AA328" s="1235"/>
      <c r="AB328" s="1235"/>
      <c r="AC328" s="1235"/>
      <c r="AD328" s="1235"/>
      <c r="AE328" s="1235"/>
      <c r="AF328" s="1235"/>
      <c r="AG328" s="1235"/>
      <c r="AH328" s="1235"/>
      <c r="AI328" s="1235"/>
      <c r="AJ328" s="1235"/>
      <c r="AK328" s="1235"/>
      <c r="AL328" s="1235"/>
      <c r="AM328" s="1235"/>
      <c r="AN328" s="1235"/>
      <c r="AO328" s="1235"/>
      <c r="AP328" s="1235"/>
      <c r="AQ328" s="1235"/>
      <c r="AR328" s="1235"/>
      <c r="AS328" s="1235"/>
      <c r="AT328" s="1235"/>
      <c r="AU328" s="1235"/>
      <c r="AV328" s="1235"/>
      <c r="AW328" s="1235"/>
      <c r="AX328" s="1235"/>
      <c r="AY328" s="1235"/>
      <c r="AZ328" s="1235"/>
      <c r="BA328" s="1235"/>
    </row>
    <row r="329" spans="3:53" hidden="1" outlineLevel="1">
      <c r="J329" s="567"/>
      <c r="M329" s="1235"/>
      <c r="N329" s="1235"/>
      <c r="O329" s="1235"/>
      <c r="P329" s="1235"/>
      <c r="Q329" s="1235"/>
      <c r="R329" s="1235"/>
      <c r="S329" s="1235"/>
      <c r="T329" s="1235"/>
      <c r="U329" s="1235"/>
      <c r="V329" s="1235"/>
      <c r="W329" s="1235"/>
      <c r="X329" s="1235"/>
      <c r="Y329" s="1235"/>
      <c r="Z329" s="1235"/>
      <c r="AA329" s="1235"/>
      <c r="AB329" s="1235"/>
      <c r="AC329" s="1235"/>
      <c r="AD329" s="1235"/>
      <c r="AE329" s="1235"/>
      <c r="AF329" s="1235"/>
      <c r="AG329" s="1235"/>
      <c r="AH329" s="1235"/>
      <c r="AI329" s="1235"/>
      <c r="AJ329" s="1235"/>
      <c r="AK329" s="1235"/>
      <c r="AL329" s="1235"/>
      <c r="AM329" s="1235"/>
      <c r="AN329" s="1235"/>
      <c r="AO329" s="1235"/>
      <c r="AP329" s="1235"/>
      <c r="AQ329" s="1235"/>
      <c r="AR329" s="1235"/>
      <c r="AS329" s="1235"/>
      <c r="AT329" s="1235"/>
      <c r="AU329" s="1235"/>
      <c r="AV329" s="1235"/>
      <c r="AW329" s="1235"/>
      <c r="AX329" s="1235"/>
      <c r="AY329" s="1235"/>
      <c r="AZ329" s="1235"/>
      <c r="BA329" s="1235"/>
    </row>
    <row r="330" spans="3:53" hidden="1" outlineLevel="1">
      <c r="J330" s="567"/>
      <c r="M330" s="1235"/>
      <c r="N330" s="1235"/>
      <c r="O330" s="1235"/>
      <c r="P330" s="1235"/>
      <c r="Q330" s="1235"/>
      <c r="R330" s="1235"/>
      <c r="S330" s="1235"/>
      <c r="T330" s="1235"/>
      <c r="U330" s="1235"/>
      <c r="V330" s="1235"/>
      <c r="W330" s="1235"/>
      <c r="X330" s="1235"/>
      <c r="Y330" s="1235"/>
      <c r="Z330" s="1235"/>
      <c r="AA330" s="1235"/>
      <c r="AB330" s="1235"/>
      <c r="AC330" s="1235"/>
      <c r="AD330" s="1235"/>
      <c r="AE330" s="1235"/>
      <c r="AF330" s="1235"/>
      <c r="AG330" s="1235"/>
      <c r="AH330" s="1235"/>
      <c r="AI330" s="1235"/>
      <c r="AJ330" s="1235"/>
      <c r="AK330" s="1235"/>
      <c r="AL330" s="1235"/>
      <c r="AM330" s="1235"/>
      <c r="AN330" s="1235"/>
      <c r="AO330" s="1235"/>
      <c r="AP330" s="1235"/>
      <c r="AQ330" s="1235"/>
      <c r="AR330" s="1235"/>
      <c r="AS330" s="1235"/>
      <c r="AT330" s="1235"/>
      <c r="AU330" s="1235"/>
      <c r="AV330" s="1235"/>
      <c r="AW330" s="1235"/>
      <c r="AX330" s="1235"/>
      <c r="AY330" s="1235"/>
      <c r="AZ330" s="1235"/>
      <c r="BA330" s="1235"/>
    </row>
    <row r="331" spans="3:53" hidden="1" outlineLevel="1">
      <c r="J331" s="567"/>
      <c r="M331" s="1235"/>
      <c r="N331" s="1235"/>
      <c r="O331" s="1235"/>
      <c r="P331" s="1235"/>
      <c r="Q331" s="1235"/>
      <c r="R331" s="1235"/>
      <c r="S331" s="1235"/>
      <c r="T331" s="1235"/>
      <c r="U331" s="1235"/>
      <c r="V331" s="1235"/>
      <c r="W331" s="1235"/>
      <c r="X331" s="1235"/>
      <c r="Y331" s="1235"/>
      <c r="Z331" s="1235"/>
      <c r="AA331" s="1235"/>
      <c r="AB331" s="1235"/>
      <c r="AC331" s="1235"/>
      <c r="AD331" s="1235"/>
      <c r="AE331" s="1235"/>
      <c r="AF331" s="1235"/>
      <c r="AG331" s="1235"/>
      <c r="AH331" s="1235"/>
      <c r="AI331" s="1235"/>
      <c r="AJ331" s="1235"/>
      <c r="AK331" s="1235"/>
      <c r="AL331" s="1235"/>
      <c r="AM331" s="1235"/>
      <c r="AN331" s="1235"/>
      <c r="AO331" s="1235"/>
      <c r="AP331" s="1235"/>
      <c r="AQ331" s="1235"/>
      <c r="AR331" s="1235"/>
      <c r="AS331" s="1235"/>
      <c r="AT331" s="1235"/>
      <c r="AU331" s="1235"/>
      <c r="AV331" s="1235"/>
      <c r="AW331" s="1235"/>
      <c r="AX331" s="1235"/>
      <c r="AY331" s="1235"/>
      <c r="AZ331" s="1235"/>
      <c r="BA331" s="1235"/>
    </row>
    <row r="332" spans="3:53" hidden="1" outlineLevel="1">
      <c r="C332" s="349"/>
      <c r="J332" s="567"/>
      <c r="M332" s="1235"/>
      <c r="N332" s="1235"/>
      <c r="O332" s="1235"/>
      <c r="P332" s="1235"/>
      <c r="Q332" s="1235"/>
      <c r="R332" s="1235"/>
      <c r="S332" s="1235"/>
      <c r="T332" s="1235"/>
      <c r="U332" s="1235"/>
      <c r="V332" s="1235"/>
      <c r="W332" s="1235"/>
      <c r="X332" s="1235"/>
      <c r="Y332" s="1235"/>
      <c r="Z332" s="1235"/>
      <c r="AA332" s="1235"/>
      <c r="AB332" s="1235"/>
      <c r="AC332" s="1235"/>
      <c r="AD332" s="1235"/>
      <c r="AE332" s="1235"/>
      <c r="AF332" s="1235"/>
      <c r="AG332" s="1235"/>
      <c r="AH332" s="1235"/>
      <c r="AI332" s="1235"/>
      <c r="AJ332" s="1235"/>
      <c r="AK332" s="1235"/>
      <c r="AL332" s="1235"/>
      <c r="AM332" s="1235"/>
      <c r="AN332" s="1235"/>
      <c r="AO332" s="1235"/>
      <c r="AP332" s="1235"/>
      <c r="AQ332" s="1235"/>
      <c r="AR332" s="1235"/>
      <c r="AS332" s="1235"/>
      <c r="AT332" s="1235"/>
      <c r="AU332" s="1235"/>
      <c r="AV332" s="1235"/>
      <c r="AW332" s="1235"/>
      <c r="AX332" s="1235"/>
      <c r="AY332" s="1235"/>
      <c r="AZ332" s="1235"/>
      <c r="BA332" s="1235"/>
    </row>
    <row r="333" spans="3:53" hidden="1" outlineLevel="1">
      <c r="J333" s="567"/>
      <c r="M333" s="1235"/>
      <c r="N333" s="1235"/>
      <c r="O333" s="1235"/>
      <c r="P333" s="1235"/>
      <c r="Q333" s="1235"/>
      <c r="R333" s="1235"/>
      <c r="S333" s="1235"/>
      <c r="T333" s="1235"/>
      <c r="U333" s="1235"/>
      <c r="V333" s="1235"/>
      <c r="W333" s="1235"/>
      <c r="X333" s="1235"/>
      <c r="Y333" s="1235"/>
      <c r="Z333" s="1235"/>
      <c r="AA333" s="1235"/>
      <c r="AB333" s="1235"/>
      <c r="AC333" s="1235"/>
      <c r="AD333" s="1235"/>
      <c r="AE333" s="1235"/>
      <c r="AF333" s="1235"/>
      <c r="AG333" s="1235"/>
      <c r="AH333" s="1235"/>
      <c r="AI333" s="1235"/>
      <c r="AJ333" s="1235"/>
      <c r="AK333" s="1235"/>
      <c r="AL333" s="1235"/>
      <c r="AM333" s="1235"/>
      <c r="AN333" s="1235"/>
      <c r="AO333" s="1235"/>
      <c r="AP333" s="1235"/>
      <c r="AQ333" s="1235"/>
      <c r="AR333" s="1235"/>
      <c r="AS333" s="1235"/>
      <c r="AT333" s="1235"/>
      <c r="AU333" s="1235"/>
      <c r="AV333" s="1235"/>
      <c r="AW333" s="1235"/>
      <c r="AX333" s="1235"/>
      <c r="AY333" s="1235"/>
      <c r="AZ333" s="1235"/>
      <c r="BA333" s="1235"/>
    </row>
    <row r="334" spans="3:53" hidden="1" outlineLevel="1">
      <c r="J334" s="567"/>
      <c r="M334" s="1235"/>
      <c r="N334" s="1235"/>
      <c r="O334" s="1235"/>
      <c r="P334" s="1235"/>
      <c r="Q334" s="1235"/>
      <c r="R334" s="1235"/>
      <c r="S334" s="1235"/>
      <c r="T334" s="1235"/>
      <c r="U334" s="1235"/>
      <c r="V334" s="1235"/>
      <c r="W334" s="1235"/>
      <c r="X334" s="1235"/>
      <c r="Y334" s="1235"/>
      <c r="Z334" s="1235"/>
      <c r="AA334" s="1235"/>
      <c r="AB334" s="1235"/>
      <c r="AC334" s="1235"/>
      <c r="AD334" s="1235"/>
      <c r="AE334" s="1235"/>
      <c r="AF334" s="1235"/>
      <c r="AG334" s="1235"/>
      <c r="AH334" s="1235"/>
      <c r="AI334" s="1235"/>
      <c r="AJ334" s="1235"/>
      <c r="AK334" s="1235"/>
      <c r="AL334" s="1235"/>
      <c r="AM334" s="1235"/>
      <c r="AN334" s="1235"/>
      <c r="AO334" s="1235"/>
      <c r="AP334" s="1235"/>
      <c r="AQ334" s="1235"/>
      <c r="AR334" s="1235"/>
      <c r="AS334" s="1235"/>
      <c r="AT334" s="1235"/>
      <c r="AU334" s="1235"/>
      <c r="AV334" s="1235"/>
      <c r="AW334" s="1235"/>
      <c r="AX334" s="1235"/>
      <c r="AY334" s="1235"/>
      <c r="AZ334" s="1235"/>
      <c r="BA334" s="1235"/>
    </row>
    <row r="335" spans="3:53" outlineLevel="1">
      <c r="C335" s="349"/>
      <c r="J335" s="836"/>
      <c r="M335" s="1235"/>
      <c r="N335" s="1235"/>
      <c r="O335" s="1235"/>
      <c r="P335" s="1235"/>
      <c r="Q335" s="1235"/>
      <c r="R335" s="1235"/>
      <c r="S335" s="1235"/>
      <c r="T335" s="1235"/>
      <c r="U335" s="1235"/>
      <c r="V335" s="1235"/>
      <c r="W335" s="1235"/>
      <c r="X335" s="1235"/>
      <c r="Y335" s="1235"/>
      <c r="Z335" s="1235"/>
      <c r="AA335" s="1235"/>
      <c r="AB335" s="1235"/>
      <c r="AC335" s="1235"/>
      <c r="AD335" s="1235"/>
      <c r="AE335" s="1235"/>
      <c r="AF335" s="1235"/>
      <c r="AG335" s="1235"/>
      <c r="AH335" s="1235"/>
      <c r="AI335" s="1235"/>
      <c r="AJ335" s="1235"/>
      <c r="AK335" s="1235"/>
      <c r="AL335" s="1235"/>
      <c r="AM335" s="1235"/>
      <c r="AN335" s="1235"/>
      <c r="AO335" s="1235"/>
      <c r="AP335" s="1235"/>
      <c r="AQ335" s="1235"/>
      <c r="AR335" s="1235"/>
      <c r="AS335" s="1235"/>
      <c r="AT335" s="1235"/>
      <c r="AU335" s="1235"/>
      <c r="AV335" s="1235"/>
      <c r="AW335" s="1235"/>
      <c r="AX335" s="1235"/>
      <c r="AY335" s="1235"/>
      <c r="AZ335" s="1235"/>
      <c r="BA335" s="1235"/>
    </row>
    <row r="336" spans="3:53" ht="12" outlineLevel="1" thickBot="1">
      <c r="C336" s="392" t="s">
        <v>714</v>
      </c>
      <c r="I336" s="323" t="s">
        <v>825</v>
      </c>
      <c r="J336" s="426">
        <f>SUM(J325:J335)</f>
        <v>0</v>
      </c>
      <c r="M336" s="1235"/>
      <c r="N336" s="1235"/>
      <c r="O336" s="1235"/>
      <c r="P336" s="1235"/>
      <c r="Q336" s="1235"/>
      <c r="R336" s="1235"/>
      <c r="S336" s="1235"/>
      <c r="T336" s="1235"/>
      <c r="U336" s="1235"/>
      <c r="V336" s="1235"/>
      <c r="W336" s="1235"/>
      <c r="X336" s="1235"/>
      <c r="Y336" s="1235"/>
      <c r="Z336" s="1235"/>
      <c r="AA336" s="1235"/>
      <c r="AB336" s="1235"/>
      <c r="AC336" s="1235"/>
      <c r="AD336" s="1235"/>
      <c r="AE336" s="1235"/>
      <c r="AF336" s="1235"/>
      <c r="AG336" s="1235"/>
      <c r="AH336" s="1235"/>
      <c r="AI336" s="1235"/>
      <c r="AJ336" s="1235"/>
      <c r="AK336" s="1235"/>
      <c r="AL336" s="1235"/>
      <c r="AM336" s="1235"/>
      <c r="AN336" s="1235"/>
      <c r="AO336" s="1235"/>
      <c r="AP336" s="1235"/>
      <c r="AQ336" s="1235"/>
      <c r="AR336" s="1235"/>
      <c r="AS336" s="1235"/>
      <c r="AT336" s="1235"/>
      <c r="AU336" s="1235"/>
      <c r="AV336" s="1235"/>
      <c r="AW336" s="1235"/>
      <c r="AX336" s="1235"/>
      <c r="AY336" s="1235"/>
      <c r="AZ336" s="1235"/>
      <c r="BA336" s="1235"/>
    </row>
    <row r="337" spans="3:53" outlineLevel="1">
      <c r="I337" s="320"/>
      <c r="J337" s="425"/>
      <c r="M337" s="1235"/>
      <c r="N337" s="1235"/>
      <c r="O337" s="1235"/>
      <c r="P337" s="1235"/>
      <c r="Q337" s="1235"/>
      <c r="R337" s="1235"/>
      <c r="S337" s="1235"/>
      <c r="T337" s="1235"/>
      <c r="U337" s="1235"/>
      <c r="V337" s="1235"/>
      <c r="W337" s="1235"/>
      <c r="X337" s="1235"/>
      <c r="Y337" s="1235"/>
      <c r="Z337" s="1235"/>
      <c r="AA337" s="1235"/>
      <c r="AB337" s="1235"/>
      <c r="AC337" s="1235"/>
      <c r="AD337" s="1235"/>
      <c r="AE337" s="1235"/>
      <c r="AF337" s="1235"/>
      <c r="AG337" s="1235"/>
      <c r="AH337" s="1235"/>
      <c r="AI337" s="1235"/>
      <c r="AJ337" s="1235"/>
      <c r="AK337" s="1235"/>
      <c r="AL337" s="1235"/>
      <c r="AM337" s="1235"/>
      <c r="AN337" s="1235"/>
      <c r="AO337" s="1235"/>
      <c r="AP337" s="1235"/>
      <c r="AQ337" s="1235"/>
      <c r="AR337" s="1235"/>
      <c r="AS337" s="1235"/>
      <c r="AT337" s="1235"/>
      <c r="AU337" s="1235"/>
      <c r="AV337" s="1235"/>
      <c r="AW337" s="1235"/>
      <c r="AX337" s="1235"/>
      <c r="AY337" s="1235"/>
      <c r="AZ337" s="1235"/>
      <c r="BA337" s="1235"/>
    </row>
    <row r="338" spans="3:53" outlineLevel="1">
      <c r="C338" s="344" t="s">
        <v>958</v>
      </c>
      <c r="I338" s="323" t="s">
        <v>207</v>
      </c>
      <c r="J338" s="347"/>
      <c r="M338" s="1235"/>
      <c r="N338" s="1235"/>
      <c r="O338" s="1235"/>
      <c r="P338" s="1235"/>
      <c r="Q338" s="1235"/>
      <c r="R338" s="1235"/>
      <c r="S338" s="1235"/>
      <c r="T338" s="1235"/>
      <c r="U338" s="1235"/>
      <c r="V338" s="1235"/>
      <c r="W338" s="1235"/>
      <c r="X338" s="1235"/>
      <c r="Y338" s="1235"/>
      <c r="Z338" s="1235"/>
      <c r="AA338" s="1235"/>
      <c r="AB338" s="1235"/>
      <c r="AC338" s="1235"/>
      <c r="AD338" s="1235"/>
      <c r="AE338" s="1235"/>
      <c r="AF338" s="1235"/>
      <c r="AG338" s="1235"/>
      <c r="AH338" s="1235"/>
      <c r="AI338" s="1235"/>
      <c r="AJ338" s="1235"/>
      <c r="AK338" s="1235"/>
      <c r="AL338" s="1235"/>
      <c r="AM338" s="1235"/>
      <c r="AN338" s="1235"/>
      <c r="AO338" s="1235"/>
      <c r="AP338" s="1235"/>
      <c r="AQ338" s="1235"/>
      <c r="AR338" s="1235"/>
      <c r="AS338" s="1235"/>
      <c r="AT338" s="1235"/>
      <c r="AU338" s="1235"/>
      <c r="AV338" s="1235"/>
      <c r="AW338" s="1235"/>
      <c r="AX338" s="1235"/>
      <c r="AY338" s="1235"/>
      <c r="AZ338" s="1235"/>
      <c r="BA338" s="1235"/>
    </row>
    <row r="339" spans="3:53" outlineLevel="1">
      <c r="C339" s="352" t="s">
        <v>1894</v>
      </c>
      <c r="J339" s="340">
        <f>J297+J311+J325</f>
        <v>0</v>
      </c>
      <c r="M339" s="1235"/>
      <c r="N339" s="1235"/>
      <c r="O339" s="1235"/>
      <c r="P339" s="1235"/>
      <c r="Q339" s="1235"/>
      <c r="R339" s="1235"/>
      <c r="S339" s="1235"/>
      <c r="T339" s="1235"/>
      <c r="U339" s="1235"/>
      <c r="V339" s="1235"/>
      <c r="W339" s="1235"/>
      <c r="X339" s="1235"/>
      <c r="Y339" s="1235"/>
      <c r="Z339" s="1235"/>
      <c r="AA339" s="1235"/>
      <c r="AB339" s="1235"/>
      <c r="AC339" s="1235"/>
      <c r="AD339" s="1235"/>
      <c r="AE339" s="1235"/>
      <c r="AF339" s="1235"/>
      <c r="AG339" s="1235"/>
      <c r="AH339" s="1235"/>
      <c r="AI339" s="1235"/>
      <c r="AJ339" s="1235"/>
      <c r="AK339" s="1235"/>
      <c r="AL339" s="1235"/>
      <c r="AM339" s="1235"/>
      <c r="AN339" s="1235"/>
      <c r="AO339" s="1235"/>
      <c r="AP339" s="1235"/>
      <c r="AQ339" s="1235"/>
      <c r="AR339" s="1235"/>
      <c r="AS339" s="1235"/>
      <c r="AT339" s="1235"/>
      <c r="AU339" s="1235"/>
      <c r="AV339" s="1235"/>
      <c r="AW339" s="1235"/>
      <c r="AX339" s="1235"/>
      <c r="AY339" s="1235"/>
      <c r="AZ339" s="1235"/>
      <c r="BA339" s="1235"/>
    </row>
    <row r="340" spans="3:53" outlineLevel="1">
      <c r="C340" s="320" t="s">
        <v>1934</v>
      </c>
      <c r="I340" s="323" t="s">
        <v>825</v>
      </c>
      <c r="J340" s="340">
        <f>J298+J312+J326</f>
        <v>19164000</v>
      </c>
      <c r="M340" s="1235"/>
      <c r="N340" s="1235"/>
      <c r="O340" s="1235"/>
      <c r="P340" s="1235"/>
      <c r="Q340" s="1235"/>
      <c r="R340" s="1235"/>
      <c r="S340" s="1235"/>
      <c r="T340" s="1235"/>
      <c r="U340" s="1235"/>
      <c r="V340" s="1235"/>
      <c r="W340" s="1235"/>
      <c r="X340" s="1235"/>
      <c r="Y340" s="1235"/>
      <c r="Z340" s="1235"/>
      <c r="AA340" s="1235"/>
      <c r="AB340" s="1235"/>
      <c r="AC340" s="1235"/>
      <c r="AD340" s="1235"/>
      <c r="AE340" s="1235"/>
      <c r="AF340" s="1235"/>
      <c r="AG340" s="1235"/>
      <c r="AH340" s="1235"/>
      <c r="AI340" s="1235"/>
      <c r="AJ340" s="1235"/>
      <c r="AK340" s="1235"/>
      <c r="AL340" s="1235"/>
      <c r="AM340" s="1235"/>
      <c r="AN340" s="1235"/>
      <c r="AO340" s="1235"/>
      <c r="AP340" s="1235"/>
      <c r="AQ340" s="1235"/>
      <c r="AR340" s="1235"/>
      <c r="AS340" s="1235"/>
      <c r="AT340" s="1235"/>
      <c r="AU340" s="1235"/>
      <c r="AV340" s="1235"/>
      <c r="AW340" s="1235"/>
      <c r="AX340" s="1235"/>
      <c r="AY340" s="1235"/>
      <c r="AZ340" s="1235"/>
      <c r="BA340" s="1235"/>
    </row>
    <row r="341" spans="3:53" outlineLevel="1">
      <c r="C341" s="320" t="s">
        <v>891</v>
      </c>
      <c r="I341" s="323" t="s">
        <v>825</v>
      </c>
      <c r="J341" s="340">
        <f t="shared" ref="J341:J348" si="95">J299+J313+J327</f>
        <v>1446264600</v>
      </c>
      <c r="M341" s="1235"/>
      <c r="N341" s="1235"/>
      <c r="O341" s="1235"/>
      <c r="P341" s="1235"/>
      <c r="Q341" s="1235"/>
      <c r="R341" s="1235"/>
      <c r="S341" s="1235"/>
      <c r="T341" s="1235"/>
      <c r="U341" s="1235"/>
      <c r="V341" s="1235"/>
      <c r="W341" s="1235"/>
      <c r="X341" s="1235"/>
      <c r="Y341" s="1235"/>
      <c r="Z341" s="1235"/>
      <c r="AA341" s="1235"/>
      <c r="AB341" s="1235"/>
      <c r="AC341" s="1235"/>
      <c r="AD341" s="1235"/>
      <c r="AE341" s="1235"/>
      <c r="AF341" s="1235"/>
      <c r="AG341" s="1235"/>
      <c r="AH341" s="1235"/>
      <c r="AI341" s="1235"/>
      <c r="AJ341" s="1235"/>
      <c r="AK341" s="1235"/>
      <c r="AL341" s="1235"/>
      <c r="AM341" s="1235"/>
      <c r="AN341" s="1235"/>
      <c r="AO341" s="1235"/>
      <c r="AP341" s="1235"/>
      <c r="AQ341" s="1235"/>
      <c r="AR341" s="1235"/>
      <c r="AS341" s="1235"/>
      <c r="AT341" s="1235"/>
      <c r="AU341" s="1235"/>
      <c r="AV341" s="1235"/>
      <c r="AW341" s="1235"/>
      <c r="AX341" s="1235"/>
      <c r="AY341" s="1235"/>
      <c r="AZ341" s="1235"/>
      <c r="BA341" s="1235"/>
    </row>
    <row r="342" spans="3:53" outlineLevel="1">
      <c r="C342" s="320" t="s">
        <v>845</v>
      </c>
      <c r="I342" s="323" t="s">
        <v>825</v>
      </c>
      <c r="J342" s="340">
        <f t="shared" si="95"/>
        <v>102415230.6122449</v>
      </c>
      <c r="M342" s="1235"/>
      <c r="N342" s="1235"/>
      <c r="O342" s="1235"/>
      <c r="P342" s="1235"/>
      <c r="Q342" s="1235"/>
      <c r="R342" s="1235"/>
      <c r="S342" s="1235"/>
      <c r="T342" s="1235"/>
      <c r="U342" s="1235"/>
      <c r="V342" s="1235"/>
      <c r="W342" s="1235"/>
      <c r="X342" s="1235"/>
      <c r="Y342" s="1235"/>
      <c r="Z342" s="1235"/>
      <c r="AA342" s="1235"/>
      <c r="AB342" s="1235"/>
      <c r="AC342" s="1235"/>
      <c r="AD342" s="1235"/>
      <c r="AE342" s="1235"/>
      <c r="AF342" s="1235"/>
      <c r="AG342" s="1235"/>
      <c r="AH342" s="1235"/>
      <c r="AI342" s="1235"/>
      <c r="AJ342" s="1235"/>
      <c r="AK342" s="1235"/>
      <c r="AL342" s="1235"/>
      <c r="AM342" s="1235"/>
      <c r="AN342" s="1235"/>
      <c r="AO342" s="1235"/>
      <c r="AP342" s="1235"/>
      <c r="AQ342" s="1235"/>
      <c r="AR342" s="1235"/>
      <c r="AS342" s="1235"/>
      <c r="AT342" s="1235"/>
      <c r="AU342" s="1235"/>
      <c r="AV342" s="1235"/>
      <c r="AW342" s="1235"/>
      <c r="AX342" s="1235"/>
      <c r="AY342" s="1235"/>
      <c r="AZ342" s="1235"/>
      <c r="BA342" s="1235"/>
    </row>
    <row r="343" spans="3:53" outlineLevel="1">
      <c r="C343" s="320" t="s">
        <v>119</v>
      </c>
      <c r="I343" s="323" t="s">
        <v>825</v>
      </c>
      <c r="J343" s="340">
        <f t="shared" si="95"/>
        <v>115518200</v>
      </c>
      <c r="M343" s="1235"/>
      <c r="N343" s="1235"/>
      <c r="O343" s="1235"/>
      <c r="P343" s="1235"/>
      <c r="Q343" s="1235"/>
      <c r="R343" s="1235"/>
      <c r="S343" s="1235"/>
      <c r="T343" s="1235"/>
      <c r="U343" s="1235"/>
      <c r="V343" s="1235"/>
      <c r="W343" s="1235"/>
      <c r="X343" s="1235"/>
      <c r="Y343" s="1235"/>
      <c r="Z343" s="1235"/>
      <c r="AA343" s="1235"/>
      <c r="AB343" s="1235"/>
      <c r="AC343" s="1235"/>
      <c r="AD343" s="1235"/>
      <c r="AE343" s="1235"/>
      <c r="AF343" s="1235"/>
      <c r="AG343" s="1235"/>
      <c r="AH343" s="1235"/>
      <c r="AI343" s="1235"/>
      <c r="AJ343" s="1235"/>
      <c r="AK343" s="1235"/>
      <c r="AL343" s="1235"/>
      <c r="AM343" s="1235"/>
      <c r="AN343" s="1235"/>
      <c r="AO343" s="1235"/>
      <c r="AP343" s="1235"/>
      <c r="AQ343" s="1235"/>
      <c r="AR343" s="1235"/>
      <c r="AS343" s="1235"/>
      <c r="AT343" s="1235"/>
      <c r="AU343" s="1235"/>
      <c r="AV343" s="1235"/>
      <c r="AW343" s="1235"/>
      <c r="AX343" s="1235"/>
      <c r="AY343" s="1235"/>
      <c r="AZ343" s="1235"/>
      <c r="BA343" s="1235"/>
    </row>
    <row r="344" spans="3:53" outlineLevel="1">
      <c r="C344" s="320" t="s">
        <v>122</v>
      </c>
      <c r="I344" s="323" t="s">
        <v>825</v>
      </c>
      <c r="J344" s="340">
        <f t="shared" si="95"/>
        <v>234065100</v>
      </c>
      <c r="M344" s="1235"/>
      <c r="N344" s="1235"/>
      <c r="O344" s="1235"/>
      <c r="P344" s="1235"/>
      <c r="Q344" s="1235"/>
      <c r="R344" s="1235"/>
      <c r="S344" s="1235"/>
      <c r="T344" s="1235"/>
      <c r="U344" s="1235"/>
      <c r="V344" s="1235"/>
      <c r="W344" s="1235"/>
      <c r="X344" s="1235"/>
      <c r="Y344" s="1235"/>
      <c r="Z344" s="1235"/>
      <c r="AA344" s="1235"/>
      <c r="AB344" s="1235"/>
      <c r="AC344" s="1235"/>
      <c r="AD344" s="1235"/>
      <c r="AE344" s="1235"/>
      <c r="AF344" s="1235"/>
      <c r="AG344" s="1235"/>
      <c r="AH344" s="1235"/>
      <c r="AI344" s="1235"/>
      <c r="AJ344" s="1235"/>
      <c r="AK344" s="1235"/>
      <c r="AL344" s="1235"/>
      <c r="AM344" s="1235"/>
      <c r="AN344" s="1235"/>
      <c r="AO344" s="1235"/>
      <c r="AP344" s="1235"/>
      <c r="AQ344" s="1235"/>
      <c r="AR344" s="1235"/>
      <c r="AS344" s="1235"/>
      <c r="AT344" s="1235"/>
      <c r="AU344" s="1235"/>
      <c r="AV344" s="1235"/>
      <c r="AW344" s="1235"/>
      <c r="AX344" s="1235"/>
      <c r="AY344" s="1235"/>
      <c r="AZ344" s="1235"/>
      <c r="BA344" s="1235"/>
    </row>
    <row r="345" spans="3:53" outlineLevel="1">
      <c r="C345" s="320" t="s">
        <v>120</v>
      </c>
      <c r="I345" s="323" t="s">
        <v>825</v>
      </c>
      <c r="J345" s="340">
        <f t="shared" si="95"/>
        <v>147367900</v>
      </c>
      <c r="M345" s="1235"/>
      <c r="N345" s="1235"/>
      <c r="O345" s="1235"/>
      <c r="P345" s="1235"/>
      <c r="Q345" s="1235"/>
      <c r="R345" s="1235"/>
      <c r="S345" s="1235"/>
      <c r="T345" s="1235"/>
      <c r="U345" s="1235"/>
      <c r="V345" s="1235"/>
      <c r="W345" s="1235"/>
      <c r="X345" s="1235"/>
      <c r="Y345" s="1235"/>
      <c r="Z345" s="1235"/>
      <c r="AA345" s="1235"/>
      <c r="AB345" s="1235"/>
      <c r="AC345" s="1235"/>
      <c r="AD345" s="1235"/>
      <c r="AE345" s="1235"/>
      <c r="AF345" s="1235"/>
      <c r="AG345" s="1235"/>
      <c r="AH345" s="1235"/>
      <c r="AI345" s="1235"/>
      <c r="AJ345" s="1235"/>
      <c r="AK345" s="1235"/>
      <c r="AL345" s="1235"/>
      <c r="AM345" s="1235"/>
      <c r="AN345" s="1235"/>
      <c r="AO345" s="1235"/>
      <c r="AP345" s="1235"/>
      <c r="AQ345" s="1235"/>
      <c r="AR345" s="1235"/>
      <c r="AS345" s="1235"/>
      <c r="AT345" s="1235"/>
      <c r="AU345" s="1235"/>
      <c r="AV345" s="1235"/>
      <c r="AW345" s="1235"/>
      <c r="AX345" s="1235"/>
      <c r="AY345" s="1235"/>
      <c r="AZ345" s="1235"/>
      <c r="BA345" s="1235"/>
    </row>
    <row r="346" spans="3:53" ht="13.9" customHeight="1" outlineLevel="1">
      <c r="C346" s="349" t="s">
        <v>711</v>
      </c>
      <c r="I346" s="323" t="s">
        <v>825</v>
      </c>
      <c r="J346" s="340">
        <f t="shared" si="95"/>
        <v>84304300</v>
      </c>
      <c r="K346" s="599"/>
      <c r="M346" s="1235"/>
      <c r="N346" s="1235"/>
      <c r="O346" s="1235"/>
      <c r="P346" s="1235"/>
      <c r="Q346" s="1235"/>
      <c r="R346" s="1235"/>
      <c r="S346" s="1235"/>
      <c r="T346" s="1235"/>
      <c r="U346" s="1235"/>
      <c r="V346" s="1235"/>
      <c r="W346" s="1235"/>
      <c r="X346" s="1235"/>
      <c r="Y346" s="1235"/>
      <c r="Z346" s="1235"/>
      <c r="AA346" s="1235"/>
      <c r="AB346" s="1235"/>
      <c r="AC346" s="1235"/>
      <c r="AD346" s="1235"/>
      <c r="AE346" s="1235"/>
      <c r="AF346" s="1235"/>
      <c r="AG346" s="1235"/>
      <c r="AH346" s="1235"/>
      <c r="AI346" s="1235"/>
      <c r="AJ346" s="1235"/>
      <c r="AK346" s="1235"/>
      <c r="AL346" s="1235"/>
      <c r="AM346" s="1235"/>
      <c r="AN346" s="1235"/>
      <c r="AO346" s="1235"/>
      <c r="AP346" s="1235"/>
      <c r="AQ346" s="1235"/>
      <c r="AR346" s="1235"/>
      <c r="AS346" s="1235"/>
      <c r="AT346" s="1235"/>
      <c r="AU346" s="1235"/>
      <c r="AV346" s="1235"/>
      <c r="AW346" s="1235"/>
      <c r="AX346" s="1235"/>
      <c r="AY346" s="1235"/>
      <c r="AZ346" s="1235"/>
      <c r="BA346" s="1235"/>
    </row>
    <row r="347" spans="3:53" ht="13.9" customHeight="1" outlineLevel="1">
      <c r="C347" s="320" t="s">
        <v>712</v>
      </c>
      <c r="I347" s="323" t="s">
        <v>825</v>
      </c>
      <c r="J347" s="340">
        <f t="shared" si="95"/>
        <v>161182449.79591835</v>
      </c>
      <c r="M347" s="1235"/>
      <c r="N347" s="1235"/>
      <c r="O347" s="1235"/>
      <c r="P347" s="1235"/>
      <c r="Q347" s="1235"/>
      <c r="R347" s="1235"/>
      <c r="S347" s="1235"/>
      <c r="T347" s="1235"/>
      <c r="U347" s="1235"/>
      <c r="V347" s="1235"/>
      <c r="W347" s="1235"/>
      <c r="X347" s="1235"/>
      <c r="Y347" s="1235"/>
      <c r="Z347" s="1235"/>
      <c r="AA347" s="1235"/>
      <c r="AB347" s="1235"/>
      <c r="AC347" s="1235"/>
      <c r="AD347" s="1235"/>
      <c r="AE347" s="1235"/>
      <c r="AF347" s="1235"/>
      <c r="AG347" s="1235"/>
      <c r="AH347" s="1235"/>
      <c r="AI347" s="1235"/>
      <c r="AJ347" s="1235"/>
      <c r="AK347" s="1235"/>
      <c r="AL347" s="1235"/>
      <c r="AM347" s="1235"/>
      <c r="AN347" s="1235"/>
      <c r="AO347" s="1235"/>
      <c r="AP347" s="1235"/>
      <c r="AQ347" s="1235"/>
      <c r="AR347" s="1235"/>
      <c r="AS347" s="1235"/>
      <c r="AT347" s="1235"/>
      <c r="AU347" s="1235"/>
      <c r="AV347" s="1235"/>
      <c r="AW347" s="1235"/>
      <c r="AX347" s="1235"/>
      <c r="AY347" s="1235"/>
      <c r="AZ347" s="1235"/>
      <c r="BA347" s="1235"/>
    </row>
    <row r="348" spans="3:53" ht="13.9" customHeight="1" outlineLevel="1">
      <c r="C348" s="349" t="s">
        <v>906</v>
      </c>
      <c r="I348" s="323" t="s">
        <v>825</v>
      </c>
      <c r="J348" s="340">
        <f t="shared" si="95"/>
        <v>216000000</v>
      </c>
      <c r="M348" s="1235"/>
      <c r="N348" s="1235"/>
      <c r="O348" s="1235"/>
      <c r="P348" s="1235"/>
      <c r="Q348" s="1235"/>
      <c r="R348" s="1235"/>
      <c r="S348" s="1235"/>
      <c r="T348" s="1235"/>
      <c r="U348" s="1235"/>
      <c r="V348" s="1235"/>
      <c r="W348" s="1235"/>
      <c r="X348" s="1235"/>
      <c r="Y348" s="1235"/>
      <c r="Z348" s="1235"/>
      <c r="AA348" s="1235"/>
      <c r="AB348" s="1235"/>
      <c r="AC348" s="1235"/>
      <c r="AD348" s="1235"/>
      <c r="AE348" s="1235"/>
      <c r="AF348" s="1235"/>
      <c r="AG348" s="1235"/>
      <c r="AH348" s="1235"/>
      <c r="AI348" s="1235"/>
      <c r="AJ348" s="1235"/>
      <c r="AK348" s="1235"/>
      <c r="AL348" s="1235"/>
      <c r="AM348" s="1235"/>
      <c r="AN348" s="1235"/>
      <c r="AO348" s="1235"/>
      <c r="AP348" s="1235"/>
      <c r="AQ348" s="1235"/>
      <c r="AR348" s="1235"/>
      <c r="AS348" s="1235"/>
      <c r="AT348" s="1235"/>
      <c r="AU348" s="1235"/>
      <c r="AV348" s="1235"/>
      <c r="AW348" s="1235"/>
      <c r="AX348" s="1235"/>
      <c r="AY348" s="1235"/>
      <c r="AZ348" s="1235"/>
      <c r="BA348" s="1235"/>
    </row>
    <row r="349" spans="3:53" ht="13.9" customHeight="1" outlineLevel="1">
      <c r="C349" s="349"/>
      <c r="J349" s="340">
        <f>J307+J321+J335</f>
        <v>0</v>
      </c>
      <c r="M349" s="1235"/>
      <c r="N349" s="1235"/>
      <c r="O349" s="1235"/>
      <c r="P349" s="1235"/>
      <c r="Q349" s="1235"/>
      <c r="R349" s="1235"/>
      <c r="S349" s="1235"/>
      <c r="T349" s="1235"/>
      <c r="U349" s="1235"/>
      <c r="V349" s="1235"/>
      <c r="W349" s="1235"/>
      <c r="X349" s="1235"/>
      <c r="Y349" s="1235"/>
      <c r="Z349" s="1235"/>
      <c r="AA349" s="1235"/>
      <c r="AB349" s="1235"/>
      <c r="AC349" s="1235"/>
      <c r="AD349" s="1235"/>
      <c r="AE349" s="1235"/>
      <c r="AF349" s="1235"/>
      <c r="AG349" s="1235"/>
      <c r="AH349" s="1235"/>
      <c r="AI349" s="1235"/>
      <c r="AJ349" s="1235"/>
      <c r="AK349" s="1235"/>
      <c r="AL349" s="1235"/>
      <c r="AM349" s="1235"/>
      <c r="AN349" s="1235"/>
      <c r="AO349" s="1235"/>
      <c r="AP349" s="1235"/>
      <c r="AQ349" s="1235"/>
      <c r="AR349" s="1235"/>
      <c r="AS349" s="1235"/>
      <c r="AT349" s="1235"/>
      <c r="AU349" s="1235"/>
      <c r="AV349" s="1235"/>
      <c r="AW349" s="1235"/>
      <c r="AX349" s="1235"/>
      <c r="AY349" s="1235"/>
      <c r="AZ349" s="1235"/>
      <c r="BA349" s="1235"/>
    </row>
    <row r="350" spans="3:53" ht="13.15" customHeight="1" outlineLevel="1" thickBot="1">
      <c r="C350" s="392" t="s">
        <v>714</v>
      </c>
      <c r="I350" s="323" t="s">
        <v>825</v>
      </c>
      <c r="J350" s="426">
        <f>SUM(J339:J348)</f>
        <v>2526281780.4081631</v>
      </c>
      <c r="M350" s="1235"/>
      <c r="N350" s="1235"/>
      <c r="O350" s="1235"/>
      <c r="P350" s="1235"/>
      <c r="Q350" s="1235"/>
      <c r="R350" s="1235"/>
      <c r="S350" s="1235"/>
      <c r="T350" s="1235"/>
      <c r="U350" s="1235"/>
      <c r="V350" s="1235"/>
      <c r="W350" s="1235"/>
      <c r="X350" s="1235"/>
      <c r="Y350" s="1235"/>
      <c r="Z350" s="1235"/>
      <c r="AA350" s="1235"/>
      <c r="AB350" s="1235"/>
      <c r="AC350" s="1235"/>
      <c r="AD350" s="1235"/>
      <c r="AE350" s="1235"/>
      <c r="AF350" s="1235"/>
      <c r="AG350" s="1235"/>
      <c r="AH350" s="1235"/>
      <c r="AI350" s="1235"/>
      <c r="AJ350" s="1235"/>
      <c r="AK350" s="1235"/>
      <c r="AL350" s="1235"/>
      <c r="AM350" s="1235"/>
      <c r="AN350" s="1235"/>
      <c r="AO350" s="1235"/>
      <c r="AP350" s="1235"/>
      <c r="AQ350" s="1235"/>
      <c r="AR350" s="1235"/>
      <c r="AS350" s="1235"/>
      <c r="AT350" s="1235"/>
      <c r="AU350" s="1235"/>
      <c r="AV350" s="1235"/>
      <c r="AW350" s="1235"/>
      <c r="AX350" s="1235"/>
      <c r="AY350" s="1235"/>
      <c r="AZ350" s="1235"/>
      <c r="BA350" s="1235"/>
    </row>
    <row r="351" spans="3:53" ht="13.15" customHeight="1" outlineLevel="1">
      <c r="C351" s="565"/>
      <c r="J351" s="566"/>
      <c r="M351" s="1235"/>
      <c r="N351" s="1235"/>
      <c r="O351" s="1235"/>
      <c r="P351" s="1235"/>
      <c r="Q351" s="1235"/>
      <c r="R351" s="1235"/>
      <c r="S351" s="1235"/>
      <c r="T351" s="1235"/>
      <c r="U351" s="1235"/>
      <c r="V351" s="1235"/>
      <c r="W351" s="1235"/>
      <c r="X351" s="1235"/>
      <c r="Y351" s="1235"/>
      <c r="Z351" s="1235"/>
      <c r="AA351" s="1235"/>
      <c r="AB351" s="1235"/>
      <c r="AC351" s="1235"/>
      <c r="AD351" s="1235"/>
      <c r="AE351" s="1235"/>
      <c r="AF351" s="1235"/>
      <c r="AG351" s="1235"/>
      <c r="AH351" s="1235"/>
      <c r="AI351" s="1235"/>
      <c r="AJ351" s="1235"/>
      <c r="AK351" s="1235"/>
      <c r="AL351" s="1235"/>
      <c r="AM351" s="1235"/>
      <c r="AN351" s="1235"/>
      <c r="AO351" s="1235"/>
      <c r="AP351" s="1235"/>
      <c r="AQ351" s="1235"/>
      <c r="AR351" s="1235"/>
      <c r="AS351" s="1235"/>
      <c r="AT351" s="1235"/>
      <c r="AU351" s="1235"/>
      <c r="AV351" s="1235"/>
      <c r="AW351" s="1235"/>
      <c r="AX351" s="1235"/>
      <c r="AY351" s="1235"/>
      <c r="AZ351" s="1235"/>
      <c r="BA351" s="1235"/>
    </row>
    <row r="352" spans="3:53" ht="13.9" customHeight="1" outlineLevel="1">
      <c r="J352" s="347"/>
      <c r="M352" s="1235"/>
      <c r="N352" s="1235"/>
      <c r="O352" s="1235"/>
      <c r="P352" s="1235"/>
      <c r="Q352" s="1235"/>
      <c r="R352" s="1235"/>
      <c r="S352" s="1235"/>
      <c r="T352" s="1235"/>
      <c r="U352" s="1235"/>
      <c r="V352" s="1235"/>
      <c r="W352" s="1235"/>
      <c r="X352" s="1235"/>
      <c r="Y352" s="1235"/>
      <c r="Z352" s="1235"/>
      <c r="AA352" s="1235"/>
      <c r="AB352" s="1235"/>
      <c r="AC352" s="1235"/>
      <c r="AD352" s="1235"/>
      <c r="AE352" s="1235"/>
      <c r="AF352" s="1235"/>
      <c r="AG352" s="1235"/>
      <c r="AH352" s="1235"/>
      <c r="AI352" s="1235"/>
      <c r="AJ352" s="1235"/>
      <c r="AK352" s="1235"/>
      <c r="AL352" s="1235"/>
      <c r="AM352" s="1235"/>
      <c r="AN352" s="1235"/>
      <c r="AO352" s="1235"/>
      <c r="AP352" s="1235"/>
      <c r="AQ352" s="1235"/>
      <c r="AR352" s="1235"/>
      <c r="AS352" s="1235"/>
      <c r="AT352" s="1235"/>
      <c r="AU352" s="1235"/>
      <c r="AV352" s="1235"/>
      <c r="AW352" s="1235"/>
      <c r="AX352" s="1235"/>
      <c r="AY352" s="1235"/>
      <c r="AZ352" s="1235"/>
      <c r="BA352" s="1235"/>
    </row>
    <row r="353" spans="3:53" ht="13.9" customHeight="1" outlineLevel="1">
      <c r="C353" s="344" t="s">
        <v>1060</v>
      </c>
      <c r="I353" s="323" t="s">
        <v>207</v>
      </c>
      <c r="J353" s="347"/>
      <c r="M353" s="1235"/>
      <c r="N353" s="1235"/>
      <c r="O353" s="1235"/>
      <c r="P353" s="1235"/>
      <c r="Q353" s="1235"/>
      <c r="R353" s="1235"/>
      <c r="S353" s="1235"/>
      <c r="T353" s="1235"/>
      <c r="U353" s="1235"/>
      <c r="V353" s="1235"/>
      <c r="W353" s="1235"/>
      <c r="X353" s="1235"/>
      <c r="Y353" s="1235"/>
      <c r="Z353" s="1235"/>
      <c r="AA353" s="1235"/>
      <c r="AB353" s="1235"/>
      <c r="AC353" s="1235"/>
      <c r="AD353" s="1235"/>
      <c r="AE353" s="1235"/>
      <c r="AF353" s="1235"/>
      <c r="AG353" s="1235"/>
      <c r="AH353" s="1235"/>
      <c r="AI353" s="1235"/>
      <c r="AJ353" s="1235"/>
      <c r="AK353" s="1235"/>
      <c r="AL353" s="1235"/>
      <c r="AM353" s="1235"/>
      <c r="AN353" s="1235"/>
      <c r="AO353" s="1235"/>
      <c r="AP353" s="1235"/>
      <c r="AQ353" s="1235"/>
      <c r="AR353" s="1235"/>
      <c r="AS353" s="1235"/>
      <c r="AT353" s="1235"/>
      <c r="AU353" s="1235"/>
      <c r="AV353" s="1235"/>
      <c r="AW353" s="1235"/>
      <c r="AX353" s="1235"/>
      <c r="AY353" s="1235"/>
      <c r="AZ353" s="1235"/>
      <c r="BA353" s="1235"/>
    </row>
    <row r="354" spans="3:53" ht="13.9" customHeight="1" outlineLevel="1">
      <c r="C354" s="352" t="s">
        <v>1894</v>
      </c>
      <c r="J354" s="1034">
        <f>IF(Ammonia_location=2,J402,0)</f>
        <v>0</v>
      </c>
      <c r="M354" s="1235"/>
      <c r="N354" s="1235"/>
      <c r="O354" s="1235"/>
      <c r="P354" s="1235"/>
      <c r="Q354" s="1235"/>
      <c r="R354" s="1235"/>
      <c r="S354" s="1235"/>
      <c r="T354" s="1235"/>
      <c r="U354" s="1235"/>
      <c r="V354" s="1235"/>
      <c r="W354" s="1235"/>
      <c r="X354" s="1235"/>
      <c r="Y354" s="1235"/>
      <c r="Z354" s="1235"/>
      <c r="AA354" s="1235"/>
      <c r="AB354" s="1235"/>
      <c r="AC354" s="1235"/>
      <c r="AD354" s="1235"/>
      <c r="AE354" s="1235"/>
      <c r="AF354" s="1235"/>
      <c r="AG354" s="1235"/>
      <c r="AH354" s="1235"/>
      <c r="AI354" s="1235"/>
      <c r="AJ354" s="1235"/>
      <c r="AK354" s="1235"/>
      <c r="AL354" s="1235"/>
      <c r="AM354" s="1235"/>
      <c r="AN354" s="1235"/>
      <c r="AO354" s="1235"/>
      <c r="AP354" s="1235"/>
      <c r="AQ354" s="1235"/>
      <c r="AR354" s="1235"/>
      <c r="AS354" s="1235"/>
      <c r="AT354" s="1235"/>
      <c r="AU354" s="1235"/>
      <c r="AV354" s="1235"/>
      <c r="AW354" s="1235"/>
      <c r="AX354" s="1235"/>
      <c r="AY354" s="1235"/>
      <c r="AZ354" s="1235"/>
      <c r="BA354" s="1235"/>
    </row>
    <row r="355" spans="3:53" ht="13.9" customHeight="1" outlineLevel="1">
      <c r="C355" s="320" t="s">
        <v>1934</v>
      </c>
      <c r="I355" s="323" t="s">
        <v>825</v>
      </c>
      <c r="J355" s="340">
        <f>'Capex Phasing Methanol'!C11</f>
        <v>8043600</v>
      </c>
      <c r="M355" s="1235"/>
      <c r="N355" s="1235"/>
      <c r="O355" s="1235"/>
      <c r="P355" s="1235"/>
      <c r="Q355" s="1235"/>
      <c r="R355" s="1235"/>
      <c r="S355" s="1235"/>
      <c r="T355" s="1235"/>
      <c r="U355" s="1235"/>
      <c r="V355" s="1235"/>
      <c r="W355" s="1235"/>
      <c r="X355" s="1235"/>
      <c r="Y355" s="1235"/>
      <c r="Z355" s="1235"/>
      <c r="AA355" s="1235"/>
      <c r="AB355" s="1235"/>
      <c r="AC355" s="1235"/>
      <c r="AD355" s="1235"/>
      <c r="AE355" s="1235"/>
      <c r="AF355" s="1235"/>
      <c r="AG355" s="1235"/>
      <c r="AH355" s="1235"/>
      <c r="AI355" s="1235"/>
      <c r="AJ355" s="1235"/>
      <c r="AK355" s="1235"/>
      <c r="AL355" s="1235"/>
      <c r="AM355" s="1235"/>
      <c r="AN355" s="1235"/>
      <c r="AO355" s="1235"/>
      <c r="AP355" s="1235"/>
      <c r="AQ355" s="1235"/>
      <c r="AR355" s="1235"/>
      <c r="AS355" s="1235"/>
      <c r="AT355" s="1235"/>
      <c r="AU355" s="1235"/>
      <c r="AV355" s="1235"/>
      <c r="AW355" s="1235"/>
      <c r="AX355" s="1235"/>
      <c r="AY355" s="1235"/>
      <c r="AZ355" s="1235"/>
      <c r="BA355" s="1235"/>
    </row>
    <row r="356" spans="3:53" ht="13.9" customHeight="1" outlineLevel="1">
      <c r="C356" s="320" t="s">
        <v>824</v>
      </c>
      <c r="I356" s="323" t="s">
        <v>825</v>
      </c>
      <c r="J356" s="340">
        <f>'Capex Phasing Methanol'!C12</f>
        <v>728519700</v>
      </c>
      <c r="M356" s="1235"/>
      <c r="N356" s="1235"/>
      <c r="O356" s="1235"/>
      <c r="P356" s="1235"/>
      <c r="Q356" s="1235"/>
      <c r="R356" s="1235"/>
      <c r="S356" s="1235"/>
      <c r="T356" s="1235"/>
      <c r="U356" s="1235"/>
      <c r="V356" s="1235"/>
      <c r="W356" s="1235"/>
      <c r="X356" s="1235"/>
      <c r="Y356" s="1235"/>
      <c r="Z356" s="1235"/>
      <c r="AA356" s="1235"/>
      <c r="AB356" s="1235"/>
      <c r="AC356" s="1235"/>
      <c r="AD356" s="1235"/>
      <c r="AE356" s="1235"/>
      <c r="AF356" s="1235"/>
      <c r="AG356" s="1235"/>
      <c r="AH356" s="1235"/>
      <c r="AI356" s="1235"/>
      <c r="AJ356" s="1235"/>
      <c r="AK356" s="1235"/>
      <c r="AL356" s="1235"/>
      <c r="AM356" s="1235"/>
      <c r="AN356" s="1235"/>
      <c r="AO356" s="1235"/>
      <c r="AP356" s="1235"/>
      <c r="AQ356" s="1235"/>
      <c r="AR356" s="1235"/>
      <c r="AS356" s="1235"/>
      <c r="AT356" s="1235"/>
      <c r="AU356" s="1235"/>
      <c r="AV356" s="1235"/>
      <c r="AW356" s="1235"/>
      <c r="AX356" s="1235"/>
      <c r="AY356" s="1235"/>
      <c r="AZ356" s="1235"/>
      <c r="BA356" s="1235"/>
    </row>
    <row r="357" spans="3:53" ht="13.9" customHeight="1" outlineLevel="1">
      <c r="C357" s="320" t="s">
        <v>845</v>
      </c>
      <c r="I357" s="323" t="s">
        <v>825</v>
      </c>
      <c r="J357" s="340">
        <f>'Capex Phasing Methanol'!C13</f>
        <v>72876518.367346942</v>
      </c>
      <c r="M357" s="1235"/>
      <c r="N357" s="1235"/>
      <c r="O357" s="1235"/>
      <c r="P357" s="1235"/>
      <c r="Q357" s="1235"/>
      <c r="R357" s="1235"/>
      <c r="S357" s="1235"/>
      <c r="T357" s="1235"/>
      <c r="U357" s="1235"/>
      <c r="V357" s="1235"/>
      <c r="W357" s="1235"/>
      <c r="X357" s="1235"/>
      <c r="Y357" s="1235"/>
      <c r="Z357" s="1235"/>
      <c r="AA357" s="1235"/>
      <c r="AB357" s="1235"/>
      <c r="AC357" s="1235"/>
      <c r="AD357" s="1235"/>
      <c r="AE357" s="1235"/>
      <c r="AF357" s="1235"/>
      <c r="AG357" s="1235"/>
      <c r="AH357" s="1235"/>
      <c r="AI357" s="1235"/>
      <c r="AJ357" s="1235"/>
      <c r="AK357" s="1235"/>
      <c r="AL357" s="1235"/>
      <c r="AM357" s="1235"/>
      <c r="AN357" s="1235"/>
      <c r="AO357" s="1235"/>
      <c r="AP357" s="1235"/>
      <c r="AQ357" s="1235"/>
      <c r="AR357" s="1235"/>
      <c r="AS357" s="1235"/>
      <c r="AT357" s="1235"/>
      <c r="AU357" s="1235"/>
      <c r="AV357" s="1235"/>
      <c r="AW357" s="1235"/>
      <c r="AX357" s="1235"/>
      <c r="AY357" s="1235"/>
      <c r="AZ357" s="1235"/>
      <c r="BA357" s="1235"/>
    </row>
    <row r="358" spans="3:53" ht="13.9" customHeight="1" outlineLevel="1">
      <c r="C358" s="320" t="s">
        <v>119</v>
      </c>
      <c r="I358" s="323" t="s">
        <v>825</v>
      </c>
      <c r="J358" s="340">
        <f>'Capex Phasing Methanol'!C14</f>
        <v>115364200</v>
      </c>
      <c r="M358" s="1235"/>
      <c r="N358" s="1235"/>
      <c r="O358" s="1235"/>
      <c r="P358" s="1235"/>
      <c r="Q358" s="1235"/>
      <c r="R358" s="1235"/>
      <c r="S358" s="1235"/>
      <c r="T358" s="1235"/>
      <c r="U358" s="1235"/>
      <c r="V358" s="1235"/>
      <c r="W358" s="1235"/>
      <c r="X358" s="1235"/>
      <c r="Y358" s="1235"/>
      <c r="Z358" s="1235"/>
      <c r="AA358" s="1235"/>
      <c r="AB358" s="1235"/>
      <c r="AC358" s="1235"/>
      <c r="AD358" s="1235"/>
      <c r="AE358" s="1235"/>
      <c r="AF358" s="1235"/>
      <c r="AG358" s="1235"/>
      <c r="AH358" s="1235"/>
      <c r="AI358" s="1235"/>
      <c r="AJ358" s="1235"/>
      <c r="AK358" s="1235"/>
      <c r="AL358" s="1235"/>
      <c r="AM358" s="1235"/>
      <c r="AN358" s="1235"/>
      <c r="AO358" s="1235"/>
      <c r="AP358" s="1235"/>
      <c r="AQ358" s="1235"/>
      <c r="AR358" s="1235"/>
      <c r="AS358" s="1235"/>
      <c r="AT358" s="1235"/>
      <c r="AU358" s="1235"/>
      <c r="AV358" s="1235"/>
      <c r="AW358" s="1235"/>
      <c r="AX358" s="1235"/>
      <c r="AY358" s="1235"/>
      <c r="AZ358" s="1235"/>
      <c r="BA358" s="1235"/>
    </row>
    <row r="359" spans="3:53" ht="13.9" customHeight="1" outlineLevel="1">
      <c r="C359" s="320" t="s">
        <v>122</v>
      </c>
      <c r="I359" s="323" t="s">
        <v>825</v>
      </c>
      <c r="J359" s="340">
        <f>'Capex Phasing Methanol'!C15</f>
        <v>117576700</v>
      </c>
      <c r="M359" s="1235"/>
      <c r="N359" s="1235"/>
      <c r="O359" s="1235"/>
      <c r="P359" s="1235"/>
      <c r="Q359" s="1235"/>
      <c r="R359" s="1235"/>
      <c r="S359" s="1235"/>
      <c r="T359" s="1235"/>
      <c r="U359" s="1235"/>
      <c r="V359" s="1235"/>
      <c r="W359" s="1235"/>
      <c r="X359" s="1235"/>
      <c r="Y359" s="1235"/>
      <c r="Z359" s="1235"/>
      <c r="AA359" s="1235"/>
      <c r="AB359" s="1235"/>
      <c r="AC359" s="1235"/>
      <c r="AD359" s="1235"/>
      <c r="AE359" s="1235"/>
      <c r="AF359" s="1235"/>
      <c r="AG359" s="1235"/>
      <c r="AH359" s="1235"/>
      <c r="AI359" s="1235"/>
      <c r="AJ359" s="1235"/>
      <c r="AK359" s="1235"/>
      <c r="AL359" s="1235"/>
      <c r="AM359" s="1235"/>
      <c r="AN359" s="1235"/>
      <c r="AO359" s="1235"/>
      <c r="AP359" s="1235"/>
      <c r="AQ359" s="1235"/>
      <c r="AR359" s="1235"/>
      <c r="AS359" s="1235"/>
      <c r="AT359" s="1235"/>
      <c r="AU359" s="1235"/>
      <c r="AV359" s="1235"/>
      <c r="AW359" s="1235"/>
      <c r="AX359" s="1235"/>
      <c r="AY359" s="1235"/>
      <c r="AZ359" s="1235"/>
      <c r="BA359" s="1235"/>
    </row>
    <row r="360" spans="3:53" ht="13.9" customHeight="1" outlineLevel="1">
      <c r="C360" s="320" t="s">
        <v>120</v>
      </c>
      <c r="I360" s="323" t="s">
        <v>825</v>
      </c>
      <c r="J360" s="340">
        <f>'Capex Phasing Methanol'!C16</f>
        <v>81853600</v>
      </c>
      <c r="M360" s="1235"/>
      <c r="N360" s="1235"/>
      <c r="O360" s="1235"/>
      <c r="P360" s="1235"/>
      <c r="Q360" s="1235"/>
      <c r="R360" s="1235"/>
      <c r="S360" s="1235"/>
      <c r="T360" s="1235"/>
      <c r="U360" s="1235"/>
      <c r="V360" s="1235"/>
      <c r="W360" s="1235"/>
      <c r="X360" s="1235"/>
      <c r="Y360" s="1235"/>
      <c r="Z360" s="1235"/>
      <c r="AA360" s="1235"/>
      <c r="AB360" s="1235"/>
      <c r="AC360" s="1235"/>
      <c r="AD360" s="1235"/>
      <c r="AE360" s="1235"/>
      <c r="AF360" s="1235"/>
      <c r="AG360" s="1235"/>
      <c r="AH360" s="1235"/>
      <c r="AI360" s="1235"/>
      <c r="AJ360" s="1235"/>
      <c r="AK360" s="1235"/>
      <c r="AL360" s="1235"/>
      <c r="AM360" s="1235"/>
      <c r="AN360" s="1235"/>
      <c r="AO360" s="1235"/>
      <c r="AP360" s="1235"/>
      <c r="AQ360" s="1235"/>
      <c r="AR360" s="1235"/>
      <c r="AS360" s="1235"/>
      <c r="AT360" s="1235"/>
      <c r="AU360" s="1235"/>
      <c r="AV360" s="1235"/>
      <c r="AW360" s="1235"/>
      <c r="AX360" s="1235"/>
      <c r="AY360" s="1235"/>
      <c r="AZ360" s="1235"/>
      <c r="BA360" s="1235"/>
    </row>
    <row r="361" spans="3:53" ht="13.9" customHeight="1" outlineLevel="1">
      <c r="C361" s="349" t="s">
        <v>711</v>
      </c>
      <c r="I361" s="323" t="s">
        <v>825</v>
      </c>
      <c r="J361" s="340">
        <f>'Capex Phasing Methanol'!C17</f>
        <v>71096000</v>
      </c>
      <c r="M361" s="1235"/>
      <c r="N361" s="1235"/>
      <c r="O361" s="1235"/>
      <c r="P361" s="1235"/>
      <c r="Q361" s="1235"/>
      <c r="R361" s="1235"/>
      <c r="S361" s="1235"/>
      <c r="T361" s="1235"/>
      <c r="U361" s="1235"/>
      <c r="V361" s="1235"/>
      <c r="W361" s="1235"/>
      <c r="X361" s="1235"/>
      <c r="Y361" s="1235"/>
      <c r="Z361" s="1235"/>
      <c r="AA361" s="1235"/>
      <c r="AB361" s="1235"/>
      <c r="AC361" s="1235"/>
      <c r="AD361" s="1235"/>
      <c r="AE361" s="1235"/>
      <c r="AF361" s="1235"/>
      <c r="AG361" s="1235"/>
      <c r="AH361" s="1235"/>
      <c r="AI361" s="1235"/>
      <c r="AJ361" s="1235"/>
      <c r="AK361" s="1235"/>
      <c r="AL361" s="1235"/>
      <c r="AM361" s="1235"/>
      <c r="AN361" s="1235"/>
      <c r="AO361" s="1235"/>
      <c r="AP361" s="1235"/>
      <c r="AQ361" s="1235"/>
      <c r="AR361" s="1235"/>
      <c r="AS361" s="1235"/>
      <c r="AT361" s="1235"/>
      <c r="AU361" s="1235"/>
      <c r="AV361" s="1235"/>
      <c r="AW361" s="1235"/>
      <c r="AX361" s="1235"/>
      <c r="AY361" s="1235"/>
      <c r="AZ361" s="1235"/>
      <c r="BA361" s="1235"/>
    </row>
    <row r="362" spans="3:53" ht="13.9" customHeight="1" outlineLevel="1">
      <c r="C362" s="320" t="s">
        <v>712</v>
      </c>
      <c r="I362" s="323" t="s">
        <v>825</v>
      </c>
      <c r="J362" s="340">
        <f>'Capex Phasing Methanol'!C19</f>
        <v>89649773.877551019</v>
      </c>
      <c r="M362" s="1235"/>
      <c r="N362" s="1235"/>
      <c r="O362" s="1235"/>
      <c r="P362" s="1235"/>
      <c r="Q362" s="1235"/>
      <c r="R362" s="1235"/>
      <c r="S362" s="1235"/>
      <c r="T362" s="1235"/>
      <c r="U362" s="1235"/>
      <c r="V362" s="1235"/>
      <c r="W362" s="1235"/>
      <c r="X362" s="1235"/>
      <c r="Y362" s="1235"/>
      <c r="Z362" s="1235"/>
      <c r="AA362" s="1235"/>
      <c r="AB362" s="1235"/>
      <c r="AC362" s="1235"/>
      <c r="AD362" s="1235"/>
      <c r="AE362" s="1235"/>
      <c r="AF362" s="1235"/>
      <c r="AG362" s="1235"/>
      <c r="AH362" s="1235"/>
      <c r="AI362" s="1235"/>
      <c r="AJ362" s="1235"/>
      <c r="AK362" s="1235"/>
      <c r="AL362" s="1235"/>
      <c r="AM362" s="1235"/>
      <c r="AN362" s="1235"/>
      <c r="AO362" s="1235"/>
      <c r="AP362" s="1235"/>
      <c r="AQ362" s="1235"/>
      <c r="AR362" s="1235"/>
      <c r="AS362" s="1235"/>
      <c r="AT362" s="1235"/>
      <c r="AU362" s="1235"/>
      <c r="AV362" s="1235"/>
      <c r="AW362" s="1235"/>
      <c r="AX362" s="1235"/>
      <c r="AY362" s="1235"/>
      <c r="AZ362" s="1235"/>
      <c r="BA362" s="1235"/>
    </row>
    <row r="363" spans="3:53" ht="13.9" customHeight="1" outlineLevel="1">
      <c r="C363" s="349"/>
      <c r="J363" s="468"/>
      <c r="M363" s="1235"/>
      <c r="N363" s="1235"/>
      <c r="O363" s="1235"/>
      <c r="P363" s="1235"/>
      <c r="Q363" s="1235"/>
      <c r="R363" s="1235"/>
      <c r="S363" s="1235"/>
      <c r="T363" s="1235"/>
      <c r="U363" s="1235"/>
      <c r="V363" s="1235"/>
      <c r="W363" s="1235"/>
      <c r="X363" s="1235"/>
      <c r="Y363" s="1235"/>
      <c r="Z363" s="1235"/>
      <c r="AA363" s="1235"/>
      <c r="AB363" s="1235"/>
      <c r="AC363" s="1235"/>
      <c r="AD363" s="1235"/>
      <c r="AE363" s="1235"/>
      <c r="AF363" s="1235"/>
      <c r="AG363" s="1235"/>
      <c r="AH363" s="1235"/>
      <c r="AI363" s="1235"/>
      <c r="AJ363" s="1235"/>
      <c r="AK363" s="1235"/>
      <c r="AL363" s="1235"/>
      <c r="AM363" s="1235"/>
      <c r="AN363" s="1235"/>
      <c r="AO363" s="1235"/>
      <c r="AP363" s="1235"/>
      <c r="AQ363" s="1235"/>
      <c r="AR363" s="1235"/>
      <c r="AS363" s="1235"/>
      <c r="AT363" s="1235"/>
      <c r="AU363" s="1235"/>
      <c r="AV363" s="1235"/>
      <c r="AW363" s="1235"/>
      <c r="AX363" s="1235"/>
      <c r="AY363" s="1235"/>
      <c r="AZ363" s="1235"/>
      <c r="BA363" s="1235"/>
    </row>
    <row r="364" spans="3:53" ht="13.9" customHeight="1" outlineLevel="1" thickBot="1">
      <c r="C364" s="392" t="s">
        <v>714</v>
      </c>
      <c r="D364" s="480"/>
      <c r="E364" s="480"/>
      <c r="F364" s="480"/>
      <c r="G364" s="480"/>
      <c r="H364" s="837"/>
      <c r="I364" s="481"/>
      <c r="J364" s="426">
        <f>SUM(J354:J363)</f>
        <v>1284980092.2448981</v>
      </c>
      <c r="M364" s="1235"/>
      <c r="N364" s="1235"/>
      <c r="O364" s="1235"/>
      <c r="P364" s="1235"/>
      <c r="Q364" s="1235"/>
      <c r="R364" s="1235"/>
      <c r="S364" s="1235"/>
      <c r="T364" s="1235"/>
      <c r="U364" s="1235"/>
      <c r="V364" s="1235"/>
      <c r="W364" s="1235"/>
      <c r="X364" s="1235"/>
      <c r="Y364" s="1235"/>
      <c r="Z364" s="1235"/>
      <c r="AA364" s="1235"/>
      <c r="AB364" s="1235"/>
      <c r="AC364" s="1235"/>
      <c r="AD364" s="1235"/>
      <c r="AE364" s="1235"/>
      <c r="AF364" s="1235"/>
      <c r="AG364" s="1235"/>
      <c r="AH364" s="1235"/>
      <c r="AI364" s="1235"/>
      <c r="AJ364" s="1235"/>
      <c r="AK364" s="1235"/>
      <c r="AL364" s="1235"/>
      <c r="AM364" s="1235"/>
      <c r="AN364" s="1235"/>
      <c r="AO364" s="1235"/>
      <c r="AP364" s="1235"/>
      <c r="AQ364" s="1235"/>
      <c r="AR364" s="1235"/>
      <c r="AS364" s="1235"/>
      <c r="AT364" s="1235"/>
      <c r="AU364" s="1235"/>
      <c r="AV364" s="1235"/>
      <c r="AW364" s="1235"/>
      <c r="AX364" s="1235"/>
      <c r="AY364" s="1235"/>
      <c r="AZ364" s="1235"/>
      <c r="BA364" s="1235"/>
    </row>
    <row r="365" spans="3:53" outlineLevel="1">
      <c r="J365" s="425"/>
      <c r="M365" s="1235"/>
      <c r="N365" s="1235"/>
      <c r="O365" s="1235"/>
      <c r="P365" s="1235"/>
      <c r="Q365" s="1235"/>
      <c r="R365" s="1235"/>
      <c r="S365" s="1235"/>
      <c r="T365" s="1235"/>
      <c r="U365" s="1235"/>
      <c r="V365" s="1235"/>
      <c r="W365" s="1235"/>
      <c r="X365" s="1235"/>
      <c r="Y365" s="1235"/>
      <c r="Z365" s="1235"/>
      <c r="AA365" s="1235"/>
      <c r="AB365" s="1235"/>
      <c r="AC365" s="1235"/>
      <c r="AD365" s="1235"/>
      <c r="AE365" s="1235"/>
      <c r="AF365" s="1235"/>
      <c r="AG365" s="1235"/>
      <c r="AH365" s="1235"/>
      <c r="AI365" s="1235"/>
      <c r="AJ365" s="1235"/>
      <c r="AK365" s="1235"/>
      <c r="AL365" s="1235"/>
      <c r="AM365" s="1235"/>
      <c r="AN365" s="1235"/>
      <c r="AO365" s="1235"/>
      <c r="AP365" s="1235"/>
      <c r="AQ365" s="1235"/>
      <c r="AR365" s="1235"/>
      <c r="AS365" s="1235"/>
      <c r="AT365" s="1235"/>
      <c r="AU365" s="1235"/>
      <c r="AV365" s="1235"/>
      <c r="AW365" s="1235"/>
      <c r="AX365" s="1235"/>
      <c r="AY365" s="1235"/>
      <c r="AZ365" s="1235"/>
      <c r="BA365" s="1235"/>
    </row>
    <row r="366" spans="3:53" outlineLevel="1">
      <c r="J366" s="347"/>
      <c r="M366" s="1235"/>
      <c r="N366" s="1235"/>
      <c r="O366" s="1235"/>
      <c r="P366" s="1235"/>
      <c r="Q366" s="1235"/>
      <c r="R366" s="1235"/>
      <c r="S366" s="1235"/>
      <c r="T366" s="1235"/>
      <c r="U366" s="1235"/>
      <c r="V366" s="1235"/>
      <c r="W366" s="1235"/>
      <c r="X366" s="1235"/>
      <c r="Y366" s="1235"/>
      <c r="Z366" s="1235"/>
      <c r="AA366" s="1235"/>
      <c r="AB366" s="1235"/>
      <c r="AC366" s="1235"/>
      <c r="AD366" s="1235"/>
      <c r="AE366" s="1235"/>
      <c r="AF366" s="1235"/>
      <c r="AG366" s="1235"/>
      <c r="AH366" s="1235"/>
      <c r="AI366" s="1235"/>
      <c r="AJ366" s="1235"/>
      <c r="AK366" s="1235"/>
      <c r="AL366" s="1235"/>
      <c r="AM366" s="1235"/>
      <c r="AN366" s="1235"/>
      <c r="AO366" s="1235"/>
      <c r="AP366" s="1235"/>
      <c r="AQ366" s="1235"/>
      <c r="AR366" s="1235"/>
      <c r="AS366" s="1235"/>
      <c r="AT366" s="1235"/>
      <c r="AU366" s="1235"/>
      <c r="AV366" s="1235"/>
      <c r="AW366" s="1235"/>
      <c r="AX366" s="1235"/>
      <c r="AY366" s="1235"/>
      <c r="AZ366" s="1235"/>
      <c r="BA366" s="1235"/>
    </row>
    <row r="367" spans="3:53" outlineLevel="1">
      <c r="C367" s="344" t="s">
        <v>1062</v>
      </c>
      <c r="I367" s="323" t="s">
        <v>207</v>
      </c>
      <c r="J367" s="340"/>
      <c r="M367" s="1235"/>
      <c r="N367" s="1235"/>
      <c r="O367" s="1235"/>
      <c r="P367" s="1235"/>
      <c r="Q367" s="1235"/>
      <c r="R367" s="1235"/>
      <c r="S367" s="1235"/>
      <c r="T367" s="1235"/>
      <c r="U367" s="1235"/>
      <c r="V367" s="1235"/>
      <c r="W367" s="1235"/>
      <c r="X367" s="1235"/>
      <c r="Y367" s="1235"/>
      <c r="Z367" s="1235"/>
      <c r="AA367" s="1235"/>
      <c r="AB367" s="1235"/>
      <c r="AC367" s="1235"/>
      <c r="AD367" s="1235"/>
      <c r="AE367" s="1235"/>
      <c r="AF367" s="1235"/>
      <c r="AG367" s="1235"/>
      <c r="AH367" s="1235"/>
      <c r="AI367" s="1235"/>
      <c r="AJ367" s="1235"/>
      <c r="AK367" s="1235"/>
      <c r="AL367" s="1235"/>
      <c r="AM367" s="1235"/>
      <c r="AN367" s="1235"/>
      <c r="AO367" s="1235"/>
      <c r="AP367" s="1235"/>
      <c r="AQ367" s="1235"/>
      <c r="AR367" s="1235"/>
      <c r="AS367" s="1235"/>
      <c r="AT367" s="1235"/>
      <c r="AU367" s="1235"/>
      <c r="AV367" s="1235"/>
      <c r="AW367" s="1235"/>
      <c r="AX367" s="1235"/>
      <c r="AY367" s="1235"/>
      <c r="AZ367" s="1235"/>
      <c r="BA367" s="1235"/>
    </row>
    <row r="368" spans="3:53" outlineLevel="1">
      <c r="C368" s="320" t="s">
        <v>1934</v>
      </c>
      <c r="I368" s="323" t="s">
        <v>825</v>
      </c>
      <c r="J368" s="340">
        <f>'Capex Phasing Methanol'!C23</f>
        <v>0</v>
      </c>
      <c r="M368" s="1235"/>
      <c r="N368" s="1235"/>
      <c r="O368" s="1235"/>
      <c r="P368" s="1235"/>
      <c r="Q368" s="1235"/>
      <c r="R368" s="1235"/>
      <c r="S368" s="1235"/>
      <c r="T368" s="1235"/>
      <c r="U368" s="1235"/>
      <c r="V368" s="1235"/>
      <c r="W368" s="1235"/>
      <c r="X368" s="1235"/>
      <c r="Y368" s="1235"/>
      <c r="Z368" s="1235"/>
      <c r="AA368" s="1235"/>
      <c r="AB368" s="1235"/>
      <c r="AC368" s="1235"/>
      <c r="AD368" s="1235"/>
      <c r="AE368" s="1235"/>
      <c r="AF368" s="1235"/>
      <c r="AG368" s="1235"/>
      <c r="AH368" s="1235"/>
      <c r="AI368" s="1235"/>
      <c r="AJ368" s="1235"/>
      <c r="AK368" s="1235"/>
      <c r="AL368" s="1235"/>
      <c r="AM368" s="1235"/>
      <c r="AN368" s="1235"/>
      <c r="AO368" s="1235"/>
      <c r="AP368" s="1235"/>
      <c r="AQ368" s="1235"/>
      <c r="AR368" s="1235"/>
      <c r="AS368" s="1235"/>
      <c r="AT368" s="1235"/>
      <c r="AU368" s="1235"/>
      <c r="AV368" s="1235"/>
      <c r="AW368" s="1235"/>
      <c r="AX368" s="1235"/>
      <c r="AY368" s="1235"/>
      <c r="AZ368" s="1235"/>
      <c r="BA368" s="1235"/>
    </row>
    <row r="369" spans="3:53" outlineLevel="1">
      <c r="C369" s="320" t="s">
        <v>824</v>
      </c>
      <c r="I369" s="323" t="s">
        <v>825</v>
      </c>
      <c r="J369" s="340">
        <f>'Capex Phasing Methanol'!C24</f>
        <v>0</v>
      </c>
      <c r="M369" s="1235"/>
      <c r="N369" s="1235"/>
      <c r="O369" s="1235"/>
      <c r="P369" s="1235"/>
      <c r="Q369" s="1235"/>
      <c r="R369" s="1235"/>
      <c r="S369" s="1235"/>
      <c r="T369" s="1235"/>
      <c r="U369" s="1235"/>
      <c r="V369" s="1235"/>
      <c r="W369" s="1235"/>
      <c r="X369" s="1235"/>
      <c r="Y369" s="1235"/>
      <c r="Z369" s="1235"/>
      <c r="AA369" s="1235"/>
      <c r="AB369" s="1235"/>
      <c r="AC369" s="1235"/>
      <c r="AD369" s="1235"/>
      <c r="AE369" s="1235"/>
      <c r="AF369" s="1235"/>
      <c r="AG369" s="1235"/>
      <c r="AH369" s="1235"/>
      <c r="AI369" s="1235"/>
      <c r="AJ369" s="1235"/>
      <c r="AK369" s="1235"/>
      <c r="AL369" s="1235"/>
      <c r="AM369" s="1235"/>
      <c r="AN369" s="1235"/>
      <c r="AO369" s="1235"/>
      <c r="AP369" s="1235"/>
      <c r="AQ369" s="1235"/>
      <c r="AR369" s="1235"/>
      <c r="AS369" s="1235"/>
      <c r="AT369" s="1235"/>
      <c r="AU369" s="1235"/>
      <c r="AV369" s="1235"/>
      <c r="AW369" s="1235"/>
      <c r="AX369" s="1235"/>
      <c r="AY369" s="1235"/>
      <c r="AZ369" s="1235"/>
      <c r="BA369" s="1235"/>
    </row>
    <row r="370" spans="3:53" outlineLevel="1">
      <c r="C370" s="320" t="s">
        <v>845</v>
      </c>
      <c r="I370" s="323" t="s">
        <v>825</v>
      </c>
      <c r="J370" s="340">
        <f>'Capex Phasing Methanol'!C25</f>
        <v>0</v>
      </c>
      <c r="M370" s="1235"/>
      <c r="N370" s="1235"/>
      <c r="O370" s="1235"/>
      <c r="P370" s="1235"/>
      <c r="Q370" s="1235"/>
      <c r="R370" s="1235"/>
      <c r="S370" s="1235"/>
      <c r="T370" s="1235"/>
      <c r="U370" s="1235"/>
      <c r="V370" s="1235"/>
      <c r="W370" s="1235"/>
      <c r="X370" s="1235"/>
      <c r="Y370" s="1235"/>
      <c r="Z370" s="1235"/>
      <c r="AA370" s="1235"/>
      <c r="AB370" s="1235"/>
      <c r="AC370" s="1235"/>
      <c r="AD370" s="1235"/>
      <c r="AE370" s="1235"/>
      <c r="AF370" s="1235"/>
      <c r="AG370" s="1235"/>
      <c r="AH370" s="1235"/>
      <c r="AI370" s="1235"/>
      <c r="AJ370" s="1235"/>
      <c r="AK370" s="1235"/>
      <c r="AL370" s="1235"/>
      <c r="AM370" s="1235"/>
      <c r="AN370" s="1235"/>
      <c r="AO370" s="1235"/>
      <c r="AP370" s="1235"/>
      <c r="AQ370" s="1235"/>
      <c r="AR370" s="1235"/>
      <c r="AS370" s="1235"/>
      <c r="AT370" s="1235"/>
      <c r="AU370" s="1235"/>
      <c r="AV370" s="1235"/>
      <c r="AW370" s="1235"/>
      <c r="AX370" s="1235"/>
      <c r="AY370" s="1235"/>
      <c r="AZ370" s="1235"/>
      <c r="BA370" s="1235"/>
    </row>
    <row r="371" spans="3:53" outlineLevel="1">
      <c r="C371" s="320" t="s">
        <v>119</v>
      </c>
      <c r="I371" s="323" t="s">
        <v>825</v>
      </c>
      <c r="J371" s="340">
        <f>'Capex Phasing Methanol'!C26</f>
        <v>0</v>
      </c>
      <c r="M371" s="1235"/>
      <c r="N371" s="1235"/>
      <c r="O371" s="1235"/>
      <c r="P371" s="1235"/>
      <c r="Q371" s="1235"/>
      <c r="R371" s="1235"/>
      <c r="S371" s="1235"/>
      <c r="T371" s="1235"/>
      <c r="U371" s="1235"/>
      <c r="V371" s="1235"/>
      <c r="W371" s="1235"/>
      <c r="X371" s="1235"/>
      <c r="Y371" s="1235"/>
      <c r="Z371" s="1235"/>
      <c r="AA371" s="1235"/>
      <c r="AB371" s="1235"/>
      <c r="AC371" s="1235"/>
      <c r="AD371" s="1235"/>
      <c r="AE371" s="1235"/>
      <c r="AF371" s="1235"/>
      <c r="AG371" s="1235"/>
      <c r="AH371" s="1235"/>
      <c r="AI371" s="1235"/>
      <c r="AJ371" s="1235"/>
      <c r="AK371" s="1235"/>
      <c r="AL371" s="1235"/>
      <c r="AM371" s="1235"/>
      <c r="AN371" s="1235"/>
      <c r="AO371" s="1235"/>
      <c r="AP371" s="1235"/>
      <c r="AQ371" s="1235"/>
      <c r="AR371" s="1235"/>
      <c r="AS371" s="1235"/>
      <c r="AT371" s="1235"/>
      <c r="AU371" s="1235"/>
      <c r="AV371" s="1235"/>
      <c r="AW371" s="1235"/>
      <c r="AX371" s="1235"/>
      <c r="AY371" s="1235"/>
      <c r="AZ371" s="1235"/>
      <c r="BA371" s="1235"/>
    </row>
    <row r="372" spans="3:53" outlineLevel="1">
      <c r="C372" s="320" t="s">
        <v>122</v>
      </c>
      <c r="I372" s="323" t="s">
        <v>825</v>
      </c>
      <c r="J372" s="340">
        <f>'Capex Phasing Methanol'!C27</f>
        <v>0</v>
      </c>
      <c r="M372" s="1235"/>
      <c r="N372" s="1235"/>
      <c r="O372" s="1235"/>
      <c r="P372" s="1235"/>
      <c r="Q372" s="1235"/>
      <c r="R372" s="1235"/>
      <c r="S372" s="1235"/>
      <c r="T372" s="1235"/>
      <c r="U372" s="1235"/>
      <c r="V372" s="1235"/>
      <c r="W372" s="1235"/>
      <c r="X372" s="1235"/>
      <c r="Y372" s="1235"/>
      <c r="Z372" s="1235"/>
      <c r="AA372" s="1235"/>
      <c r="AB372" s="1235"/>
      <c r="AC372" s="1235"/>
      <c r="AD372" s="1235"/>
      <c r="AE372" s="1235"/>
      <c r="AF372" s="1235"/>
      <c r="AG372" s="1235"/>
      <c r="AH372" s="1235"/>
      <c r="AI372" s="1235"/>
      <c r="AJ372" s="1235"/>
      <c r="AK372" s="1235"/>
      <c r="AL372" s="1235"/>
      <c r="AM372" s="1235"/>
      <c r="AN372" s="1235"/>
      <c r="AO372" s="1235"/>
      <c r="AP372" s="1235"/>
      <c r="AQ372" s="1235"/>
      <c r="AR372" s="1235"/>
      <c r="AS372" s="1235"/>
      <c r="AT372" s="1235"/>
      <c r="AU372" s="1235"/>
      <c r="AV372" s="1235"/>
      <c r="AW372" s="1235"/>
      <c r="AX372" s="1235"/>
      <c r="AY372" s="1235"/>
      <c r="AZ372" s="1235"/>
      <c r="BA372" s="1235"/>
    </row>
    <row r="373" spans="3:53" outlineLevel="1">
      <c r="C373" s="320" t="s">
        <v>120</v>
      </c>
      <c r="I373" s="323" t="s">
        <v>825</v>
      </c>
      <c r="J373" s="340">
        <f>'Capex Phasing Methanol'!C28</f>
        <v>0</v>
      </c>
      <c r="M373" s="1235"/>
      <c r="N373" s="1235"/>
      <c r="O373" s="1235"/>
      <c r="P373" s="1235"/>
      <c r="Q373" s="1235"/>
      <c r="R373" s="1235"/>
      <c r="S373" s="1235"/>
      <c r="T373" s="1235"/>
      <c r="U373" s="1235"/>
      <c r="V373" s="1235"/>
      <c r="W373" s="1235"/>
      <c r="X373" s="1235"/>
      <c r="Y373" s="1235"/>
      <c r="Z373" s="1235"/>
      <c r="AA373" s="1235"/>
      <c r="AB373" s="1235"/>
      <c r="AC373" s="1235"/>
      <c r="AD373" s="1235"/>
      <c r="AE373" s="1235"/>
      <c r="AF373" s="1235"/>
      <c r="AG373" s="1235"/>
      <c r="AH373" s="1235"/>
      <c r="AI373" s="1235"/>
      <c r="AJ373" s="1235"/>
      <c r="AK373" s="1235"/>
      <c r="AL373" s="1235"/>
      <c r="AM373" s="1235"/>
      <c r="AN373" s="1235"/>
      <c r="AO373" s="1235"/>
      <c r="AP373" s="1235"/>
      <c r="AQ373" s="1235"/>
      <c r="AR373" s="1235"/>
      <c r="AS373" s="1235"/>
      <c r="AT373" s="1235"/>
      <c r="AU373" s="1235"/>
      <c r="AV373" s="1235"/>
      <c r="AW373" s="1235"/>
      <c r="AX373" s="1235"/>
      <c r="AY373" s="1235"/>
      <c r="AZ373" s="1235"/>
      <c r="BA373" s="1235"/>
    </row>
    <row r="374" spans="3:53" outlineLevel="1">
      <c r="C374" s="349" t="s">
        <v>711</v>
      </c>
      <c r="I374" s="323" t="s">
        <v>825</v>
      </c>
      <c r="J374" s="340">
        <f>'Capex Phasing Methanol'!C29</f>
        <v>0</v>
      </c>
      <c r="M374" s="1235"/>
      <c r="N374" s="1235"/>
      <c r="O374" s="1235"/>
      <c r="P374" s="1235"/>
      <c r="Q374" s="1235"/>
      <c r="R374" s="1235"/>
      <c r="S374" s="1235"/>
      <c r="T374" s="1235"/>
      <c r="U374" s="1235"/>
      <c r="V374" s="1235"/>
      <c r="W374" s="1235"/>
      <c r="X374" s="1235"/>
      <c r="Y374" s="1235"/>
      <c r="Z374" s="1235"/>
      <c r="AA374" s="1235"/>
      <c r="AB374" s="1235"/>
      <c r="AC374" s="1235"/>
      <c r="AD374" s="1235"/>
      <c r="AE374" s="1235"/>
      <c r="AF374" s="1235"/>
      <c r="AG374" s="1235"/>
      <c r="AH374" s="1235"/>
      <c r="AI374" s="1235"/>
      <c r="AJ374" s="1235"/>
      <c r="AK374" s="1235"/>
      <c r="AL374" s="1235"/>
      <c r="AM374" s="1235"/>
      <c r="AN374" s="1235"/>
      <c r="AO374" s="1235"/>
      <c r="AP374" s="1235"/>
      <c r="AQ374" s="1235"/>
      <c r="AR374" s="1235"/>
      <c r="AS374" s="1235"/>
      <c r="AT374" s="1235"/>
      <c r="AU374" s="1235"/>
      <c r="AV374" s="1235"/>
      <c r="AW374" s="1235"/>
      <c r="AX374" s="1235"/>
      <c r="AY374" s="1235"/>
      <c r="AZ374" s="1235"/>
      <c r="BA374" s="1235"/>
    </row>
    <row r="375" spans="3:53" outlineLevel="1">
      <c r="C375" s="320" t="s">
        <v>712</v>
      </c>
      <c r="I375" s="323" t="s">
        <v>825</v>
      </c>
      <c r="J375" s="340">
        <f>'Capex Phasing Methanol'!C31</f>
        <v>0</v>
      </c>
      <c r="M375" s="1235"/>
      <c r="N375" s="1235"/>
      <c r="O375" s="1235"/>
      <c r="P375" s="1235"/>
      <c r="Q375" s="1235"/>
      <c r="R375" s="1235"/>
      <c r="S375" s="1235"/>
      <c r="T375" s="1235"/>
      <c r="U375" s="1235"/>
      <c r="V375" s="1235"/>
      <c r="W375" s="1235"/>
      <c r="X375" s="1235"/>
      <c r="Y375" s="1235"/>
      <c r="Z375" s="1235"/>
      <c r="AA375" s="1235"/>
      <c r="AB375" s="1235"/>
      <c r="AC375" s="1235"/>
      <c r="AD375" s="1235"/>
      <c r="AE375" s="1235"/>
      <c r="AF375" s="1235"/>
      <c r="AG375" s="1235"/>
      <c r="AH375" s="1235"/>
      <c r="AI375" s="1235"/>
      <c r="AJ375" s="1235"/>
      <c r="AK375" s="1235"/>
      <c r="AL375" s="1235"/>
      <c r="AM375" s="1235"/>
      <c r="AN375" s="1235"/>
      <c r="AO375" s="1235"/>
      <c r="AP375" s="1235"/>
      <c r="AQ375" s="1235"/>
      <c r="AR375" s="1235"/>
      <c r="AS375" s="1235"/>
      <c r="AT375" s="1235"/>
      <c r="AU375" s="1235"/>
      <c r="AV375" s="1235"/>
      <c r="AW375" s="1235"/>
      <c r="AX375" s="1235"/>
      <c r="AY375" s="1235"/>
      <c r="AZ375" s="1235"/>
      <c r="BA375" s="1235"/>
    </row>
    <row r="376" spans="3:53" outlineLevel="1">
      <c r="C376" s="349"/>
      <c r="I376" s="323" t="s">
        <v>825</v>
      </c>
      <c r="J376" s="427"/>
      <c r="M376" s="1235"/>
      <c r="N376" s="1235"/>
      <c r="O376" s="1235"/>
      <c r="P376" s="1235"/>
      <c r="Q376" s="1235"/>
      <c r="R376" s="1235"/>
      <c r="S376" s="1235"/>
      <c r="T376" s="1235"/>
      <c r="U376" s="1235"/>
      <c r="V376" s="1235"/>
      <c r="W376" s="1235"/>
      <c r="X376" s="1235"/>
      <c r="Y376" s="1235"/>
      <c r="Z376" s="1235"/>
      <c r="AA376" s="1235"/>
      <c r="AB376" s="1235"/>
      <c r="AC376" s="1235"/>
      <c r="AD376" s="1235"/>
      <c r="AE376" s="1235"/>
      <c r="AF376" s="1235"/>
      <c r="AG376" s="1235"/>
      <c r="AH376" s="1235"/>
      <c r="AI376" s="1235"/>
      <c r="AJ376" s="1235"/>
      <c r="AK376" s="1235"/>
      <c r="AL376" s="1235"/>
      <c r="AM376" s="1235"/>
      <c r="AN376" s="1235"/>
      <c r="AO376" s="1235"/>
      <c r="AP376" s="1235"/>
      <c r="AQ376" s="1235"/>
      <c r="AR376" s="1235"/>
      <c r="AS376" s="1235"/>
      <c r="AT376" s="1235"/>
      <c r="AU376" s="1235"/>
      <c r="AV376" s="1235"/>
      <c r="AW376" s="1235"/>
      <c r="AX376" s="1235"/>
      <c r="AY376" s="1235"/>
      <c r="AZ376" s="1235"/>
      <c r="BA376" s="1235"/>
    </row>
    <row r="377" spans="3:53" ht="12" outlineLevel="1" thickBot="1">
      <c r="C377" s="392" t="s">
        <v>714</v>
      </c>
      <c r="D377" s="480"/>
      <c r="E377" s="480"/>
      <c r="F377" s="480"/>
      <c r="G377" s="480"/>
      <c r="H377" s="837"/>
      <c r="I377" s="481"/>
      <c r="J377" s="467">
        <f>SUM(J368:J376)</f>
        <v>0</v>
      </c>
      <c r="M377" s="1235"/>
      <c r="N377" s="1235"/>
      <c r="O377" s="1235"/>
      <c r="P377" s="1235"/>
      <c r="Q377" s="1235"/>
      <c r="R377" s="1235"/>
      <c r="S377" s="1235"/>
      <c r="T377" s="1235"/>
      <c r="U377" s="1235"/>
      <c r="V377" s="1235"/>
      <c r="W377" s="1235"/>
      <c r="X377" s="1235"/>
      <c r="Y377" s="1235"/>
      <c r="Z377" s="1235"/>
      <c r="AA377" s="1235"/>
      <c r="AB377" s="1235"/>
      <c r="AC377" s="1235"/>
      <c r="AD377" s="1235"/>
      <c r="AE377" s="1235"/>
      <c r="AF377" s="1235"/>
      <c r="AG377" s="1235"/>
      <c r="AH377" s="1235"/>
      <c r="AI377" s="1235"/>
      <c r="AJ377" s="1235"/>
      <c r="AK377" s="1235"/>
      <c r="AL377" s="1235"/>
      <c r="AM377" s="1235"/>
      <c r="AN377" s="1235"/>
      <c r="AO377" s="1235"/>
      <c r="AP377" s="1235"/>
      <c r="AQ377" s="1235"/>
      <c r="AR377" s="1235"/>
      <c r="AS377" s="1235"/>
      <c r="AT377" s="1235"/>
      <c r="AU377" s="1235"/>
      <c r="AV377" s="1235"/>
      <c r="AW377" s="1235"/>
      <c r="AX377" s="1235"/>
      <c r="AY377" s="1235"/>
      <c r="AZ377" s="1235"/>
      <c r="BA377" s="1235"/>
    </row>
    <row r="378" spans="3:53" outlineLevel="1">
      <c r="J378" s="425"/>
      <c r="M378" s="1235"/>
      <c r="N378" s="1235"/>
      <c r="O378" s="1235"/>
      <c r="P378" s="1235"/>
      <c r="Q378" s="1235"/>
      <c r="R378" s="1235"/>
      <c r="S378" s="1235"/>
      <c r="T378" s="1235"/>
      <c r="U378" s="1235"/>
      <c r="V378" s="1235"/>
      <c r="W378" s="1235"/>
      <c r="X378" s="1235"/>
      <c r="Y378" s="1235"/>
      <c r="Z378" s="1235"/>
      <c r="AA378" s="1235"/>
      <c r="AB378" s="1235"/>
      <c r="AC378" s="1235"/>
      <c r="AD378" s="1235"/>
      <c r="AE378" s="1235"/>
      <c r="AF378" s="1235"/>
      <c r="AG378" s="1235"/>
      <c r="AH378" s="1235"/>
      <c r="AI378" s="1235"/>
      <c r="AJ378" s="1235"/>
      <c r="AK378" s="1235"/>
      <c r="AL378" s="1235"/>
      <c r="AM378" s="1235"/>
      <c r="AN378" s="1235"/>
      <c r="AO378" s="1235"/>
      <c r="AP378" s="1235"/>
      <c r="AQ378" s="1235"/>
      <c r="AR378" s="1235"/>
      <c r="AS378" s="1235"/>
      <c r="AT378" s="1235"/>
      <c r="AU378" s="1235"/>
      <c r="AV378" s="1235"/>
      <c r="AW378" s="1235"/>
      <c r="AX378" s="1235"/>
      <c r="AY378" s="1235"/>
      <c r="AZ378" s="1235"/>
      <c r="BA378" s="1235"/>
    </row>
    <row r="379" spans="3:53" outlineLevel="1">
      <c r="J379" s="347"/>
      <c r="M379" s="1235"/>
      <c r="N379" s="1235"/>
      <c r="O379" s="1235"/>
      <c r="P379" s="1235"/>
      <c r="Q379" s="1235"/>
      <c r="R379" s="1235"/>
      <c r="S379" s="1235"/>
      <c r="T379" s="1235"/>
      <c r="U379" s="1235"/>
      <c r="V379" s="1235"/>
      <c r="W379" s="1235"/>
      <c r="X379" s="1235"/>
      <c r="Y379" s="1235"/>
      <c r="Z379" s="1235"/>
      <c r="AA379" s="1235"/>
      <c r="AB379" s="1235"/>
      <c r="AC379" s="1235"/>
      <c r="AD379" s="1235"/>
      <c r="AE379" s="1235"/>
      <c r="AF379" s="1235"/>
      <c r="AG379" s="1235"/>
      <c r="AH379" s="1235"/>
      <c r="AI379" s="1235"/>
      <c r="AJ379" s="1235"/>
      <c r="AK379" s="1235"/>
      <c r="AL379" s="1235"/>
      <c r="AM379" s="1235"/>
      <c r="AN379" s="1235"/>
      <c r="AO379" s="1235"/>
      <c r="AP379" s="1235"/>
      <c r="AQ379" s="1235"/>
      <c r="AR379" s="1235"/>
      <c r="AS379" s="1235"/>
      <c r="AT379" s="1235"/>
      <c r="AU379" s="1235"/>
      <c r="AV379" s="1235"/>
      <c r="AW379" s="1235"/>
      <c r="AX379" s="1235"/>
      <c r="AY379" s="1235"/>
      <c r="AZ379" s="1235"/>
      <c r="BA379" s="1235"/>
    </row>
    <row r="380" spans="3:53" outlineLevel="1">
      <c r="C380" s="320" t="s">
        <v>1262</v>
      </c>
      <c r="J380" s="1034">
        <f>J308</f>
        <v>1635008619.7448981</v>
      </c>
      <c r="M380" s="1235"/>
      <c r="N380" s="1235"/>
      <c r="O380" s="1235"/>
      <c r="P380" s="1235"/>
      <c r="Q380" s="1235"/>
      <c r="R380" s="1235"/>
      <c r="S380" s="1235"/>
      <c r="T380" s="1235"/>
      <c r="U380" s="1235"/>
      <c r="V380" s="1235"/>
      <c r="W380" s="1235"/>
      <c r="X380" s="1235"/>
      <c r="Y380" s="1235"/>
      <c r="Z380" s="1235"/>
      <c r="AA380" s="1235"/>
      <c r="AB380" s="1235"/>
      <c r="AC380" s="1235"/>
      <c r="AD380" s="1235"/>
      <c r="AE380" s="1235"/>
      <c r="AF380" s="1235"/>
      <c r="AG380" s="1235"/>
      <c r="AH380" s="1235"/>
      <c r="AI380" s="1235"/>
      <c r="AJ380" s="1235"/>
      <c r="AK380" s="1235"/>
      <c r="AL380" s="1235"/>
      <c r="AM380" s="1235"/>
      <c r="AN380" s="1235"/>
      <c r="AO380" s="1235"/>
      <c r="AP380" s="1235"/>
      <c r="AQ380" s="1235"/>
      <c r="AR380" s="1235"/>
      <c r="AS380" s="1235"/>
      <c r="AT380" s="1235"/>
      <c r="AU380" s="1235"/>
      <c r="AV380" s="1235"/>
      <c r="AW380" s="1235"/>
      <c r="AX380" s="1235"/>
      <c r="AY380" s="1235"/>
      <c r="AZ380" s="1235"/>
      <c r="BA380" s="1235"/>
    </row>
    <row r="381" spans="3:53" outlineLevel="1">
      <c r="C381" s="320" t="s">
        <v>1263</v>
      </c>
      <c r="J381" s="340">
        <f>J322</f>
        <v>891273160.66326535</v>
      </c>
      <c r="M381" s="1235"/>
      <c r="N381" s="1235"/>
      <c r="O381" s="1235"/>
      <c r="P381" s="1235"/>
      <c r="Q381" s="1235"/>
      <c r="R381" s="1235"/>
      <c r="S381" s="1235"/>
      <c r="T381" s="1235"/>
      <c r="U381" s="1235"/>
      <c r="V381" s="1235"/>
      <c r="W381" s="1235"/>
      <c r="X381" s="1235"/>
      <c r="Y381" s="1235"/>
      <c r="Z381" s="1235"/>
      <c r="AA381" s="1235"/>
      <c r="AB381" s="1235"/>
      <c r="AC381" s="1235"/>
      <c r="AD381" s="1235"/>
      <c r="AE381" s="1235"/>
      <c r="AF381" s="1235"/>
      <c r="AG381" s="1235"/>
      <c r="AH381" s="1235"/>
      <c r="AI381" s="1235"/>
      <c r="AJ381" s="1235"/>
      <c r="AK381" s="1235"/>
      <c r="AL381" s="1235"/>
      <c r="AM381" s="1235"/>
      <c r="AN381" s="1235"/>
      <c r="AO381" s="1235"/>
      <c r="AP381" s="1235"/>
      <c r="AQ381" s="1235"/>
      <c r="AR381" s="1235"/>
      <c r="AS381" s="1235"/>
      <c r="AT381" s="1235"/>
      <c r="AU381" s="1235"/>
      <c r="AV381" s="1235"/>
      <c r="AW381" s="1235"/>
      <c r="AX381" s="1235"/>
      <c r="AY381" s="1235"/>
      <c r="AZ381" s="1235"/>
      <c r="BA381" s="1235"/>
    </row>
    <row r="382" spans="3:53" hidden="1" outlineLevel="1">
      <c r="I382" s="320"/>
      <c r="J382" s="1034"/>
      <c r="M382" s="1235"/>
      <c r="N382" s="1235"/>
      <c r="O382" s="1235"/>
      <c r="P382" s="1235"/>
      <c r="Q382" s="1235"/>
      <c r="R382" s="1235"/>
      <c r="S382" s="1235"/>
      <c r="T382" s="1235"/>
      <c r="U382" s="1235"/>
      <c r="V382" s="1235"/>
      <c r="W382" s="1235"/>
      <c r="X382" s="1235"/>
      <c r="Y382" s="1235"/>
      <c r="Z382" s="1235"/>
      <c r="AA382" s="1235"/>
      <c r="AB382" s="1235"/>
      <c r="AC382" s="1235"/>
      <c r="AD382" s="1235"/>
      <c r="AE382" s="1235"/>
      <c r="AF382" s="1235"/>
      <c r="AG382" s="1235"/>
      <c r="AH382" s="1235"/>
      <c r="AI382" s="1235"/>
      <c r="AJ382" s="1235"/>
      <c r="AK382" s="1235"/>
      <c r="AL382" s="1235"/>
      <c r="AM382" s="1235"/>
      <c r="AN382" s="1235"/>
      <c r="AO382" s="1235"/>
      <c r="AP382" s="1235"/>
      <c r="AQ382" s="1235"/>
      <c r="AR382" s="1235"/>
      <c r="AS382" s="1235"/>
      <c r="AT382" s="1235"/>
      <c r="AU382" s="1235"/>
      <c r="AV382" s="1235"/>
      <c r="AW382" s="1235"/>
      <c r="AX382" s="1235"/>
      <c r="AY382" s="1235"/>
      <c r="AZ382" s="1235"/>
      <c r="BA382" s="1235"/>
    </row>
    <row r="383" spans="3:53" hidden="1" outlineLevel="1">
      <c r="C383" s="344"/>
      <c r="J383" s="340"/>
      <c r="M383" s="1235"/>
      <c r="N383" s="1235"/>
      <c r="O383" s="1235"/>
      <c r="P383" s="1235"/>
      <c r="Q383" s="1235"/>
      <c r="R383" s="1235"/>
      <c r="S383" s="1235"/>
      <c r="T383" s="1235"/>
      <c r="U383" s="1235"/>
      <c r="V383" s="1235"/>
      <c r="W383" s="1235"/>
      <c r="X383" s="1235"/>
      <c r="Y383" s="1235"/>
      <c r="Z383" s="1235"/>
      <c r="AA383" s="1235"/>
      <c r="AB383" s="1235"/>
      <c r="AC383" s="1235"/>
      <c r="AD383" s="1235"/>
      <c r="AE383" s="1235"/>
      <c r="AF383" s="1235"/>
      <c r="AG383" s="1235"/>
      <c r="AH383" s="1235"/>
      <c r="AI383" s="1235"/>
      <c r="AJ383" s="1235"/>
      <c r="AK383" s="1235"/>
      <c r="AL383" s="1235"/>
      <c r="AM383" s="1235"/>
      <c r="AN383" s="1235"/>
      <c r="AO383" s="1235"/>
      <c r="AP383" s="1235"/>
      <c r="AQ383" s="1235"/>
      <c r="AR383" s="1235"/>
      <c r="AS383" s="1235"/>
      <c r="AT383" s="1235"/>
      <c r="AU383" s="1235"/>
      <c r="AV383" s="1235"/>
      <c r="AW383" s="1235"/>
      <c r="AX383" s="1235"/>
      <c r="AY383" s="1235"/>
      <c r="AZ383" s="1235"/>
      <c r="BA383" s="1235"/>
    </row>
    <row r="384" spans="3:53" outlineLevel="1">
      <c r="C384" s="320" t="s">
        <v>1264</v>
      </c>
      <c r="J384" s="1034">
        <f>J364</f>
        <v>1284980092.2448981</v>
      </c>
      <c r="M384" s="1235"/>
      <c r="N384" s="1235"/>
      <c r="O384" s="1235"/>
      <c r="P384" s="1235"/>
      <c r="Q384" s="1235"/>
      <c r="R384" s="1235"/>
      <c r="S384" s="1235"/>
      <c r="T384" s="1235"/>
      <c r="U384" s="1235"/>
      <c r="V384" s="1235"/>
      <c r="W384" s="1235"/>
      <c r="X384" s="1235"/>
      <c r="Y384" s="1235"/>
      <c r="Z384" s="1235"/>
      <c r="AA384" s="1235"/>
      <c r="AB384" s="1235"/>
      <c r="AC384" s="1235"/>
      <c r="AD384" s="1235"/>
      <c r="AE384" s="1235"/>
      <c r="AF384" s="1235"/>
      <c r="AG384" s="1235"/>
      <c r="AH384" s="1235"/>
      <c r="AI384" s="1235"/>
      <c r="AJ384" s="1235"/>
      <c r="AK384" s="1235"/>
      <c r="AL384" s="1235"/>
      <c r="AM384" s="1235"/>
      <c r="AN384" s="1235"/>
      <c r="AO384" s="1235"/>
      <c r="AP384" s="1235"/>
      <c r="AQ384" s="1235"/>
      <c r="AR384" s="1235"/>
      <c r="AS384" s="1235"/>
      <c r="AT384" s="1235"/>
      <c r="AU384" s="1235"/>
      <c r="AV384" s="1235"/>
      <c r="AW384" s="1235"/>
      <c r="AX384" s="1235"/>
      <c r="AY384" s="1235"/>
      <c r="AZ384" s="1235"/>
      <c r="BA384" s="1235"/>
    </row>
    <row r="385" spans="3:53" outlineLevel="1">
      <c r="J385" s="1035">
        <f>J377</f>
        <v>0</v>
      </c>
      <c r="M385" s="1235"/>
      <c r="N385" s="1235"/>
      <c r="O385" s="1235"/>
      <c r="P385" s="1235"/>
      <c r="Q385" s="1235"/>
      <c r="R385" s="1235"/>
      <c r="S385" s="1235"/>
      <c r="T385" s="1235"/>
      <c r="U385" s="1235"/>
      <c r="V385" s="1235"/>
      <c r="W385" s="1235"/>
      <c r="X385" s="1235"/>
      <c r="Y385" s="1235"/>
      <c r="Z385" s="1235"/>
      <c r="AA385" s="1235"/>
      <c r="AB385" s="1235"/>
      <c r="AC385" s="1235"/>
      <c r="AD385" s="1235"/>
      <c r="AE385" s="1235"/>
      <c r="AF385" s="1235"/>
      <c r="AG385" s="1235"/>
      <c r="AH385" s="1235"/>
      <c r="AI385" s="1235"/>
      <c r="AJ385" s="1235"/>
      <c r="AK385" s="1235"/>
      <c r="AL385" s="1235"/>
      <c r="AM385" s="1235"/>
      <c r="AN385" s="1235"/>
      <c r="AO385" s="1235"/>
      <c r="AP385" s="1235"/>
      <c r="AQ385" s="1235"/>
      <c r="AR385" s="1235"/>
      <c r="AS385" s="1235"/>
      <c r="AT385" s="1235"/>
      <c r="AU385" s="1235"/>
      <c r="AV385" s="1235"/>
      <c r="AW385" s="1235"/>
      <c r="AX385" s="1235"/>
      <c r="AY385" s="1235"/>
      <c r="AZ385" s="1235"/>
      <c r="BA385" s="1235"/>
    </row>
    <row r="386" spans="3:53" ht="12" outlineLevel="1" thickBot="1">
      <c r="C386" s="480" t="s">
        <v>655</v>
      </c>
      <c r="D386" s="480"/>
      <c r="E386" s="480"/>
      <c r="F386" s="480"/>
      <c r="G386" s="480"/>
      <c r="H386" s="837"/>
      <c r="I386" s="481"/>
      <c r="J386" s="426">
        <f>SUM(J380:J385)</f>
        <v>3811261872.6530619</v>
      </c>
      <c r="M386" s="1235"/>
      <c r="N386" s="1235"/>
      <c r="O386" s="1235"/>
      <c r="P386" s="1235"/>
      <c r="Q386" s="1235"/>
      <c r="R386" s="1235"/>
      <c r="S386" s="1235"/>
      <c r="T386" s="1235"/>
      <c r="U386" s="1235"/>
      <c r="V386" s="1235"/>
      <c r="W386" s="1235"/>
      <c r="X386" s="1235"/>
      <c r="Y386" s="1235"/>
      <c r="Z386" s="1235"/>
      <c r="AA386" s="1235"/>
      <c r="AB386" s="1235"/>
      <c r="AC386" s="1235"/>
      <c r="AD386" s="1235"/>
      <c r="AE386" s="1235"/>
      <c r="AF386" s="1235"/>
      <c r="AG386" s="1235"/>
      <c r="AH386" s="1235"/>
      <c r="AI386" s="1235"/>
      <c r="AJ386" s="1235"/>
      <c r="AK386" s="1235"/>
      <c r="AL386" s="1235"/>
      <c r="AM386" s="1235"/>
      <c r="AN386" s="1235"/>
      <c r="AO386" s="1235"/>
      <c r="AP386" s="1235"/>
      <c r="AQ386" s="1235"/>
      <c r="AR386" s="1235"/>
      <c r="AS386" s="1235"/>
      <c r="AT386" s="1235"/>
      <c r="AU386" s="1235"/>
      <c r="AV386" s="1235"/>
      <c r="AW386" s="1235"/>
      <c r="AX386" s="1235"/>
      <c r="AY386" s="1235"/>
      <c r="AZ386" s="1235"/>
      <c r="BA386" s="1235"/>
    </row>
    <row r="387" spans="3:53" outlineLevel="1">
      <c r="J387" s="425"/>
      <c r="M387" s="1235"/>
      <c r="N387" s="1235"/>
      <c r="O387" s="1235"/>
      <c r="P387" s="1235"/>
      <c r="Q387" s="1235"/>
      <c r="R387" s="1235"/>
      <c r="S387" s="1235"/>
      <c r="T387" s="1235"/>
      <c r="U387" s="1235"/>
      <c r="V387" s="1235"/>
      <c r="W387" s="1235"/>
      <c r="X387" s="1235"/>
      <c r="Y387" s="1235"/>
      <c r="Z387" s="1235"/>
      <c r="AA387" s="1235"/>
      <c r="AB387" s="1235"/>
      <c r="AC387" s="1235"/>
      <c r="AD387" s="1235"/>
      <c r="AE387" s="1235"/>
      <c r="AF387" s="1235"/>
      <c r="AG387" s="1235"/>
      <c r="AH387" s="1235"/>
      <c r="AI387" s="1235"/>
      <c r="AJ387" s="1235"/>
      <c r="AK387" s="1235"/>
      <c r="AL387" s="1235"/>
      <c r="AM387" s="1235"/>
      <c r="AN387" s="1235"/>
      <c r="AO387" s="1235"/>
      <c r="AP387" s="1235"/>
      <c r="AQ387" s="1235"/>
      <c r="AR387" s="1235"/>
      <c r="AS387" s="1235"/>
      <c r="AT387" s="1235"/>
      <c r="AU387" s="1235"/>
      <c r="AV387" s="1235"/>
      <c r="AW387" s="1235"/>
      <c r="AX387" s="1235"/>
      <c r="AY387" s="1235"/>
      <c r="AZ387" s="1235"/>
      <c r="BA387" s="1235"/>
    </row>
    <row r="388" spans="3:53" outlineLevel="1">
      <c r="C388" s="320" t="s">
        <v>1707</v>
      </c>
      <c r="J388" s="1911">
        <v>1E-4</v>
      </c>
      <c r="M388" s="1235">
        <f>(J388*'Project Cost Monthly'!D193)/(J86+J87)</f>
        <v>127042.06242176869</v>
      </c>
      <c r="N388" s="1235"/>
      <c r="O388" s="1235"/>
      <c r="P388" s="1235"/>
      <c r="Q388" s="1235"/>
      <c r="R388" s="1235"/>
      <c r="S388" s="1235"/>
      <c r="T388" s="1235"/>
      <c r="U388" s="1235"/>
      <c r="V388" s="1235"/>
      <c r="W388" s="1235"/>
      <c r="X388" s="1235"/>
      <c r="Y388" s="1235"/>
      <c r="Z388" s="1235"/>
      <c r="AA388" s="1235"/>
      <c r="AB388" s="1235"/>
      <c r="AC388" s="1235"/>
      <c r="AD388" s="1235"/>
      <c r="AE388" s="1235"/>
      <c r="AF388" s="1235"/>
      <c r="AG388" s="1235"/>
      <c r="AH388" s="1235"/>
      <c r="AI388" s="1235"/>
      <c r="AJ388" s="1235"/>
      <c r="AK388" s="1235"/>
      <c r="AL388" s="1235"/>
      <c r="AM388" s="1235"/>
      <c r="AN388" s="1235"/>
      <c r="AO388" s="1235"/>
      <c r="AP388" s="1235"/>
      <c r="AQ388" s="1235"/>
      <c r="AR388" s="1235"/>
      <c r="AS388" s="1235"/>
      <c r="AT388" s="1235"/>
      <c r="AU388" s="1235"/>
      <c r="AV388" s="1235"/>
      <c r="AW388" s="1235"/>
      <c r="AX388" s="1235"/>
      <c r="AY388" s="1235"/>
      <c r="AZ388" s="1235"/>
      <c r="BA388" s="1235"/>
    </row>
    <row r="389" spans="3:53" outlineLevel="1">
      <c r="J389" s="425"/>
      <c r="M389" s="1235"/>
      <c r="N389" s="1235"/>
      <c r="O389" s="1235"/>
      <c r="P389" s="1235"/>
      <c r="Q389" s="1235"/>
      <c r="R389" s="1235"/>
      <c r="S389" s="1235"/>
      <c r="T389" s="1235"/>
      <c r="U389" s="1235"/>
      <c r="V389" s="1235"/>
      <c r="W389" s="1235"/>
      <c r="X389" s="1235"/>
      <c r="Y389" s="1235"/>
      <c r="Z389" s="1235"/>
      <c r="AA389" s="1235"/>
      <c r="AB389" s="1235"/>
      <c r="AC389" s="1235"/>
      <c r="AD389" s="1235"/>
      <c r="AE389" s="1235"/>
      <c r="AF389" s="1235"/>
      <c r="AG389" s="1235"/>
      <c r="AH389" s="1235"/>
      <c r="AI389" s="1235"/>
      <c r="AJ389" s="1235"/>
      <c r="AK389" s="1235"/>
      <c r="AL389" s="1235"/>
      <c r="AM389" s="1235"/>
      <c r="AN389" s="1235"/>
      <c r="AO389" s="1235"/>
      <c r="AP389" s="1235"/>
      <c r="AQ389" s="1235"/>
      <c r="AR389" s="1235"/>
      <c r="AS389" s="1235"/>
      <c r="AT389" s="1235"/>
      <c r="AU389" s="1235"/>
      <c r="AV389" s="1235"/>
      <c r="AW389" s="1235"/>
      <c r="AX389" s="1235"/>
      <c r="AY389" s="1235"/>
      <c r="AZ389" s="1235"/>
      <c r="BA389" s="1235"/>
    </row>
    <row r="390" spans="3:53" outlineLevel="1">
      <c r="J390" s="425"/>
      <c r="M390" s="1235"/>
      <c r="N390" s="1235"/>
      <c r="O390" s="1235"/>
      <c r="P390" s="1235"/>
      <c r="Q390" s="1235"/>
      <c r="R390" s="1235"/>
      <c r="S390" s="1235"/>
      <c r="T390" s="1235"/>
      <c r="U390" s="1235"/>
      <c r="V390" s="1235"/>
      <c r="W390" s="1235"/>
      <c r="X390" s="1235"/>
      <c r="Y390" s="1235"/>
      <c r="Z390" s="1235"/>
      <c r="AA390" s="1235"/>
      <c r="AB390" s="1235"/>
      <c r="AC390" s="1235"/>
      <c r="AD390" s="1235"/>
      <c r="AE390" s="1235"/>
      <c r="AF390" s="1235"/>
      <c r="AG390" s="1235"/>
      <c r="AH390" s="1235"/>
      <c r="AI390" s="1235"/>
      <c r="AJ390" s="1235"/>
      <c r="AK390" s="1235"/>
      <c r="AL390" s="1235"/>
      <c r="AM390" s="1235"/>
      <c r="AN390" s="1235"/>
      <c r="AO390" s="1235"/>
      <c r="AP390" s="1235"/>
      <c r="AQ390" s="1235"/>
      <c r="AR390" s="1235"/>
      <c r="AS390" s="1235"/>
      <c r="AT390" s="1235"/>
      <c r="AU390" s="1235"/>
      <c r="AV390" s="1235"/>
      <c r="AW390" s="1235"/>
      <c r="AX390" s="1235"/>
      <c r="AY390" s="1235"/>
      <c r="AZ390" s="1235"/>
      <c r="BA390" s="1235"/>
    </row>
    <row r="391" spans="3:53" outlineLevel="1">
      <c r="J391" s="425"/>
      <c r="M391" s="1235"/>
      <c r="N391" s="1235"/>
      <c r="O391" s="1235"/>
      <c r="P391" s="1235"/>
      <c r="Q391" s="1235"/>
      <c r="R391" s="1235"/>
      <c r="S391" s="1235"/>
      <c r="T391" s="1235"/>
      <c r="U391" s="1235"/>
      <c r="V391" s="1235"/>
      <c r="W391" s="1235"/>
      <c r="X391" s="1235"/>
      <c r="Y391" s="1235"/>
      <c r="Z391" s="1235"/>
      <c r="AA391" s="1235"/>
      <c r="AB391" s="1235"/>
      <c r="AC391" s="1235"/>
      <c r="AD391" s="1235"/>
      <c r="AE391" s="1235"/>
      <c r="AF391" s="1235"/>
      <c r="AG391" s="1235"/>
      <c r="AH391" s="1235"/>
      <c r="AI391" s="1235"/>
      <c r="AJ391" s="1235"/>
      <c r="AK391" s="1235"/>
      <c r="AL391" s="1235"/>
      <c r="AM391" s="1235"/>
      <c r="AN391" s="1235"/>
      <c r="AO391" s="1235"/>
      <c r="AP391" s="1235"/>
      <c r="AQ391" s="1235"/>
      <c r="AR391" s="1235"/>
      <c r="AS391" s="1235"/>
      <c r="AT391" s="1235"/>
      <c r="AU391" s="1235"/>
      <c r="AV391" s="1235"/>
      <c r="AW391" s="1235"/>
      <c r="AX391" s="1235"/>
      <c r="AY391" s="1235"/>
      <c r="AZ391" s="1235"/>
      <c r="BA391" s="1235"/>
    </row>
    <row r="392" spans="3:53" outlineLevel="1">
      <c r="J392" s="425"/>
      <c r="M392" s="1235"/>
      <c r="N392" s="1235"/>
      <c r="O392" s="1235"/>
      <c r="P392" s="1235"/>
      <c r="Q392" s="1235"/>
      <c r="R392" s="1235"/>
      <c r="S392" s="1235"/>
      <c r="T392" s="1235"/>
      <c r="U392" s="1235"/>
      <c r="V392" s="1235"/>
      <c r="W392" s="1235"/>
      <c r="X392" s="1235"/>
      <c r="Y392" s="1235"/>
      <c r="Z392" s="1235"/>
      <c r="AA392" s="1235"/>
      <c r="AB392" s="1235"/>
      <c r="AC392" s="1235"/>
      <c r="AD392" s="1235"/>
      <c r="AE392" s="1235"/>
      <c r="AF392" s="1235"/>
      <c r="AG392" s="1235"/>
      <c r="AH392" s="1235"/>
      <c r="AI392" s="1235"/>
      <c r="AJ392" s="1235"/>
      <c r="AK392" s="1235"/>
      <c r="AL392" s="1235"/>
      <c r="AM392" s="1235"/>
      <c r="AN392" s="1235"/>
      <c r="AO392" s="1235"/>
      <c r="AP392" s="1235"/>
      <c r="AQ392" s="1235"/>
      <c r="AR392" s="1235"/>
      <c r="AS392" s="1235"/>
      <c r="AT392" s="1235"/>
      <c r="AU392" s="1235"/>
      <c r="AV392" s="1235"/>
      <c r="AW392" s="1235"/>
      <c r="AX392" s="1235"/>
      <c r="AY392" s="1235"/>
      <c r="AZ392" s="1235"/>
      <c r="BA392" s="1235"/>
    </row>
    <row r="393" spans="3:53" ht="15" outlineLevel="1" thickBot="1">
      <c r="C393" s="320" t="s">
        <v>1931</v>
      </c>
      <c r="J393" s="1904">
        <v>500</v>
      </c>
      <c r="M393" s="1235"/>
      <c r="N393" s="1235"/>
      <c r="O393" s="1235"/>
      <c r="P393" s="1235"/>
      <c r="Q393" s="1235"/>
      <c r="R393" s="1235"/>
      <c r="S393" s="1235"/>
      <c r="T393" s="1235"/>
      <c r="U393" s="1235"/>
      <c r="V393" s="1235"/>
      <c r="W393" s="1235"/>
      <c r="X393" s="1235"/>
      <c r="Y393" s="1235"/>
      <c r="Z393" s="1235"/>
      <c r="AA393" s="1235"/>
      <c r="AB393" s="1235"/>
      <c r="AC393" s="1235"/>
      <c r="AD393" s="1235"/>
      <c r="AE393" s="1235"/>
      <c r="AF393" s="1235"/>
      <c r="AG393" s="1235"/>
      <c r="AH393" s="1235"/>
      <c r="AI393" s="1235"/>
      <c r="AJ393" s="1235"/>
      <c r="AK393" s="1235"/>
      <c r="AL393" s="1235"/>
      <c r="AM393" s="1235"/>
      <c r="AN393" s="1235"/>
      <c r="AO393" s="1235"/>
      <c r="AP393" s="1235"/>
      <c r="AQ393" s="1235"/>
      <c r="AR393" s="1235"/>
      <c r="AS393" s="1235"/>
      <c r="AT393" s="1235"/>
      <c r="AU393" s="1235"/>
      <c r="AV393" s="1235"/>
      <c r="AW393" s="1235"/>
      <c r="AX393" s="1235"/>
      <c r="AY393" s="1235"/>
      <c r="AZ393" s="1235"/>
      <c r="BA393" s="1235"/>
    </row>
    <row r="394" spans="3:53" ht="12" outlineLevel="1" thickBot="1">
      <c r="C394" s="352" t="s">
        <v>1930</v>
      </c>
      <c r="J394" s="1247" t="s">
        <v>2334</v>
      </c>
      <c r="M394" s="1235"/>
      <c r="N394" s="1235"/>
      <c r="O394" s="1235"/>
      <c r="P394" s="1235"/>
      <c r="Q394" s="1235"/>
      <c r="R394" s="1235"/>
      <c r="S394" s="1235"/>
      <c r="T394" s="1235"/>
      <c r="U394" s="1235"/>
      <c r="V394" s="1235"/>
      <c r="W394" s="1235"/>
      <c r="X394" s="1235"/>
      <c r="Y394" s="1235"/>
      <c r="Z394" s="1235"/>
      <c r="AA394" s="1235"/>
      <c r="AB394" s="1235"/>
      <c r="AC394" s="1235"/>
      <c r="AD394" s="1235"/>
      <c r="AE394" s="1235"/>
      <c r="AF394" s="1235"/>
      <c r="AG394" s="1235"/>
      <c r="AH394" s="1235"/>
      <c r="AI394" s="1235"/>
      <c r="AJ394" s="1235"/>
      <c r="AK394" s="1235"/>
      <c r="AL394" s="1235"/>
      <c r="AM394" s="1235"/>
      <c r="AN394" s="1235"/>
      <c r="AO394" s="1235"/>
      <c r="AP394" s="1235"/>
      <c r="AQ394" s="1235"/>
      <c r="AR394" s="1235"/>
      <c r="AS394" s="1235"/>
      <c r="AT394" s="1235"/>
      <c r="AU394" s="1235"/>
      <c r="AV394" s="1235"/>
      <c r="AW394" s="1235"/>
      <c r="AX394" s="1235"/>
      <c r="AY394" s="1235"/>
      <c r="AZ394" s="1235"/>
      <c r="BA394" s="1235"/>
    </row>
    <row r="395" spans="3:53" outlineLevel="1">
      <c r="C395" s="320" t="s">
        <v>1932</v>
      </c>
      <c r="J395" s="1903">
        <f>IF(J394="Nasarawa",'Land '!E25,IF(J394="Gombe",'Land '!E26,0))</f>
        <v>5000000</v>
      </c>
      <c r="M395" s="1235"/>
      <c r="N395" s="1235"/>
      <c r="O395" s="1235"/>
      <c r="P395" s="1235"/>
      <c r="Q395" s="1235"/>
      <c r="R395" s="1235"/>
      <c r="S395" s="1235"/>
      <c r="T395" s="1235"/>
      <c r="U395" s="1235"/>
      <c r="V395" s="1235"/>
      <c r="W395" s="1235"/>
      <c r="X395" s="1235"/>
      <c r="Y395" s="1235"/>
      <c r="Z395" s="1235"/>
      <c r="AA395" s="1235"/>
      <c r="AB395" s="1235"/>
      <c r="AC395" s="1235"/>
      <c r="AD395" s="1235"/>
      <c r="AE395" s="1235"/>
      <c r="AF395" s="1235"/>
      <c r="AG395" s="1235"/>
      <c r="AH395" s="1235"/>
      <c r="AI395" s="1235"/>
      <c r="AJ395" s="1235"/>
      <c r="AK395" s="1235"/>
      <c r="AL395" s="1235"/>
      <c r="AM395" s="1235"/>
      <c r="AN395" s="1235"/>
      <c r="AO395" s="1235"/>
      <c r="AP395" s="1235"/>
      <c r="AQ395" s="1235"/>
      <c r="AR395" s="1235"/>
      <c r="AS395" s="1235"/>
      <c r="AT395" s="1235"/>
      <c r="AU395" s="1235"/>
      <c r="AV395" s="1235"/>
      <c r="AW395" s="1235"/>
      <c r="AX395" s="1235"/>
      <c r="AY395" s="1235"/>
      <c r="AZ395" s="1235"/>
      <c r="BA395" s="1235"/>
    </row>
    <row r="396" spans="3:53" outlineLevel="1">
      <c r="C396" s="320" t="s">
        <v>1933</v>
      </c>
      <c r="J396" s="1903">
        <f>J395/Fx_Rate</f>
        <v>3571.4285714285716</v>
      </c>
      <c r="M396" s="1235"/>
      <c r="N396" s="1235"/>
      <c r="O396" s="1235"/>
      <c r="P396" s="1235"/>
      <c r="Q396" s="1235"/>
      <c r="R396" s="1235"/>
      <c r="S396" s="1235"/>
      <c r="T396" s="1235"/>
      <c r="U396" s="1235"/>
      <c r="V396" s="1235"/>
      <c r="W396" s="1235"/>
      <c r="X396" s="1235"/>
      <c r="Y396" s="1235"/>
      <c r="Z396" s="1235"/>
      <c r="AA396" s="1235"/>
      <c r="AB396" s="1235"/>
      <c r="AC396" s="1235"/>
      <c r="AD396" s="1235"/>
      <c r="AE396" s="1235"/>
      <c r="AF396" s="1235"/>
      <c r="AG396" s="1235"/>
      <c r="AH396" s="1235"/>
      <c r="AI396" s="1235"/>
      <c r="AJ396" s="1235"/>
      <c r="AK396" s="1235"/>
      <c r="AL396" s="1235"/>
      <c r="AM396" s="1235"/>
      <c r="AN396" s="1235"/>
      <c r="AO396" s="1235"/>
      <c r="AP396" s="1235"/>
      <c r="AQ396" s="1235"/>
      <c r="AR396" s="1235"/>
      <c r="AS396" s="1235"/>
      <c r="AT396" s="1235"/>
      <c r="AU396" s="1235"/>
      <c r="AV396" s="1235"/>
      <c r="AW396" s="1235"/>
      <c r="AX396" s="1235"/>
      <c r="AY396" s="1235"/>
      <c r="AZ396" s="1235"/>
      <c r="BA396" s="1235"/>
    </row>
    <row r="397" spans="3:53" outlineLevel="1">
      <c r="C397" s="320" t="s">
        <v>2073</v>
      </c>
      <c r="J397" s="1903">
        <f>J393*J396</f>
        <v>1785714.2857142857</v>
      </c>
      <c r="M397" s="1235"/>
      <c r="N397" s="1235"/>
      <c r="O397" s="1235"/>
      <c r="P397" s="1235"/>
      <c r="Q397" s="1235"/>
      <c r="R397" s="1235"/>
      <c r="S397" s="1235"/>
      <c r="T397" s="1235"/>
      <c r="U397" s="1235"/>
      <c r="V397" s="1235"/>
      <c r="W397" s="1235"/>
      <c r="X397" s="1235"/>
      <c r="Y397" s="1235"/>
      <c r="Z397" s="1235"/>
      <c r="AA397" s="1235"/>
      <c r="AB397" s="1235"/>
      <c r="AC397" s="1235"/>
      <c r="AD397" s="1235"/>
      <c r="AE397" s="1235"/>
      <c r="AF397" s="1235"/>
      <c r="AG397" s="1235"/>
      <c r="AH397" s="1235"/>
      <c r="AI397" s="1235"/>
      <c r="AJ397" s="1235"/>
      <c r="AK397" s="1235"/>
      <c r="AL397" s="1235"/>
      <c r="AM397" s="1235"/>
      <c r="AN397" s="1235"/>
      <c r="AO397" s="1235"/>
      <c r="AP397" s="1235"/>
      <c r="AQ397" s="1235"/>
      <c r="AR397" s="1235"/>
      <c r="AS397" s="1235"/>
      <c r="AT397" s="1235"/>
      <c r="AU397" s="1235"/>
      <c r="AV397" s="1235"/>
      <c r="AW397" s="1235"/>
      <c r="AX397" s="1235"/>
      <c r="AY397" s="1235"/>
      <c r="AZ397" s="1235"/>
      <c r="BA397" s="1235"/>
    </row>
    <row r="398" spans="3:53" outlineLevel="1">
      <c r="J398" s="425"/>
      <c r="M398" s="1235"/>
      <c r="N398" s="1235"/>
      <c r="O398" s="1235"/>
      <c r="P398" s="1235"/>
      <c r="Q398" s="1235"/>
      <c r="R398" s="1235"/>
      <c r="S398" s="1235"/>
      <c r="T398" s="1235"/>
      <c r="U398" s="1235"/>
      <c r="V398" s="1235"/>
      <c r="W398" s="1235"/>
      <c r="X398" s="1235"/>
      <c r="Y398" s="1235"/>
      <c r="Z398" s="1235"/>
      <c r="AA398" s="1235"/>
      <c r="AB398" s="1235"/>
      <c r="AC398" s="1235"/>
      <c r="AD398" s="1235"/>
      <c r="AE398" s="1235"/>
      <c r="AF398" s="1235"/>
      <c r="AG398" s="1235"/>
      <c r="AH398" s="1235"/>
      <c r="AI398" s="1235"/>
      <c r="AJ398" s="1235"/>
      <c r="AK398" s="1235"/>
      <c r="AL398" s="1235"/>
      <c r="AM398" s="1235"/>
      <c r="AN398" s="1235"/>
      <c r="AO398" s="1235"/>
      <c r="AP398" s="1235"/>
      <c r="AQ398" s="1235"/>
      <c r="AR398" s="1235"/>
      <c r="AS398" s="1235"/>
      <c r="AT398" s="1235"/>
      <c r="AU398" s="1235"/>
      <c r="AV398" s="1235"/>
      <c r="AW398" s="1235"/>
      <c r="AX398" s="1235"/>
      <c r="AY398" s="1235"/>
      <c r="AZ398" s="1235"/>
      <c r="BA398" s="1235"/>
    </row>
    <row r="399" spans="3:53" outlineLevel="1">
      <c r="C399" s="320" t="s">
        <v>1935</v>
      </c>
      <c r="J399" s="567">
        <f>0.4*J397</f>
        <v>714285.71428571432</v>
      </c>
      <c r="M399" s="1235"/>
      <c r="N399" s="1235"/>
      <c r="O399" s="1235"/>
      <c r="P399" s="1235"/>
      <c r="Q399" s="1235"/>
      <c r="R399" s="1235"/>
      <c r="S399" s="1235"/>
      <c r="T399" s="1235"/>
      <c r="U399" s="1235"/>
      <c r="V399" s="1235"/>
      <c r="W399" s="1235"/>
      <c r="X399" s="1235"/>
      <c r="Y399" s="1235"/>
      <c r="Z399" s="1235"/>
      <c r="AA399" s="1235"/>
      <c r="AB399" s="1235"/>
      <c r="AC399" s="1235"/>
      <c r="AD399" s="1235"/>
      <c r="AE399" s="1235"/>
      <c r="AF399" s="1235"/>
      <c r="AG399" s="1235"/>
      <c r="AH399" s="1235"/>
      <c r="AI399" s="1235"/>
      <c r="AJ399" s="1235"/>
      <c r="AK399" s="1235"/>
      <c r="AL399" s="1235"/>
      <c r="AM399" s="1235"/>
      <c r="AN399" s="1235"/>
      <c r="AO399" s="1235"/>
      <c r="AP399" s="1235"/>
      <c r="AQ399" s="1235"/>
      <c r="AR399" s="1235"/>
      <c r="AS399" s="1235"/>
      <c r="AT399" s="1235"/>
      <c r="AU399" s="1235"/>
      <c r="AV399" s="1235"/>
      <c r="AW399" s="1235"/>
      <c r="AX399" s="1235"/>
      <c r="AY399" s="1235"/>
      <c r="AZ399" s="1235"/>
      <c r="BA399" s="1235"/>
    </row>
    <row r="400" spans="3:53" outlineLevel="1">
      <c r="C400" s="320" t="s">
        <v>1706</v>
      </c>
      <c r="J400" s="567">
        <f>0.3*J397</f>
        <v>535714.28571428568</v>
      </c>
      <c r="M400" s="1235"/>
      <c r="N400" s="1235"/>
      <c r="O400" s="1235"/>
      <c r="P400" s="1235"/>
      <c r="Q400" s="1235"/>
      <c r="R400" s="1235"/>
      <c r="S400" s="1235"/>
      <c r="T400" s="1235"/>
      <c r="U400" s="1235"/>
      <c r="V400" s="1235"/>
      <c r="W400" s="1235"/>
      <c r="X400" s="1235"/>
      <c r="Y400" s="1235"/>
      <c r="Z400" s="1235"/>
      <c r="AA400" s="1235"/>
      <c r="AB400" s="1235"/>
      <c r="AC400" s="1235"/>
      <c r="AD400" s="1235"/>
      <c r="AE400" s="1235"/>
      <c r="AF400" s="1235"/>
      <c r="AG400" s="1235"/>
      <c r="AH400" s="1235"/>
      <c r="AI400" s="1235"/>
      <c r="AJ400" s="1235"/>
      <c r="AK400" s="1235"/>
      <c r="AL400" s="1235"/>
      <c r="AM400" s="1235"/>
      <c r="AN400" s="1235"/>
      <c r="AO400" s="1235"/>
      <c r="AP400" s="1235"/>
      <c r="AQ400" s="1235"/>
      <c r="AR400" s="1235"/>
      <c r="AS400" s="1235"/>
      <c r="AT400" s="1235"/>
      <c r="AU400" s="1235"/>
      <c r="AV400" s="1235"/>
      <c r="AW400" s="1235"/>
      <c r="AX400" s="1235"/>
      <c r="AY400" s="1235"/>
      <c r="AZ400" s="1235"/>
      <c r="BA400" s="1235"/>
    </row>
    <row r="401" spans="1:53" hidden="1" outlineLevel="1">
      <c r="J401" s="567"/>
      <c r="M401" s="1235"/>
      <c r="N401" s="1235"/>
      <c r="O401" s="1235"/>
      <c r="P401" s="1235"/>
      <c r="Q401" s="1235"/>
      <c r="R401" s="1235"/>
      <c r="S401" s="1235"/>
      <c r="T401" s="1235"/>
      <c r="U401" s="1235"/>
      <c r="V401" s="1235"/>
      <c r="W401" s="1235"/>
      <c r="X401" s="1235"/>
      <c r="Y401" s="1235"/>
      <c r="Z401" s="1235"/>
      <c r="AA401" s="1235"/>
      <c r="AB401" s="1235"/>
      <c r="AC401" s="1235"/>
      <c r="AD401" s="1235"/>
      <c r="AE401" s="1235"/>
      <c r="AF401" s="1235"/>
      <c r="AG401" s="1235"/>
      <c r="AH401" s="1235"/>
      <c r="AI401" s="1235"/>
      <c r="AJ401" s="1235"/>
      <c r="AK401" s="1235"/>
      <c r="AL401" s="1235"/>
      <c r="AM401" s="1235"/>
      <c r="AN401" s="1235"/>
      <c r="AO401" s="1235"/>
      <c r="AP401" s="1235"/>
      <c r="AQ401" s="1235"/>
      <c r="AR401" s="1235"/>
      <c r="AS401" s="1235"/>
      <c r="AT401" s="1235"/>
      <c r="AU401" s="1235"/>
      <c r="AV401" s="1235"/>
      <c r="AW401" s="1235"/>
      <c r="AX401" s="1235"/>
      <c r="AY401" s="1235"/>
      <c r="AZ401" s="1235"/>
      <c r="BA401" s="1235"/>
    </row>
    <row r="402" spans="1:53" outlineLevel="1">
      <c r="C402" s="320" t="s">
        <v>1936</v>
      </c>
      <c r="J402" s="567">
        <f>0.3*J397</f>
        <v>535714.28571428568</v>
      </c>
      <c r="K402" s="2097"/>
      <c r="M402" s="1235"/>
      <c r="N402" s="1235"/>
      <c r="O402" s="1235"/>
      <c r="P402" s="1235"/>
      <c r="Q402" s="1235"/>
      <c r="R402" s="1235"/>
      <c r="S402" s="1235"/>
      <c r="T402" s="1235"/>
      <c r="U402" s="1235"/>
      <c r="V402" s="1235"/>
      <c r="W402" s="1235"/>
      <c r="X402" s="1235"/>
      <c r="Y402" s="1235"/>
      <c r="Z402" s="1235"/>
      <c r="AA402" s="1235"/>
      <c r="AB402" s="1235"/>
      <c r="AC402" s="1235"/>
      <c r="AD402" s="1235"/>
      <c r="AE402" s="1235"/>
      <c r="AF402" s="1235"/>
      <c r="AG402" s="1235"/>
      <c r="AH402" s="1235"/>
      <c r="AI402" s="1235"/>
      <c r="AJ402" s="1235"/>
      <c r="AK402" s="1235"/>
      <c r="AL402" s="1235"/>
      <c r="AM402" s="1235"/>
      <c r="AN402" s="1235"/>
      <c r="AO402" s="1235"/>
      <c r="AP402" s="1235"/>
      <c r="AQ402" s="1235"/>
      <c r="AR402" s="1235"/>
      <c r="AS402" s="1235"/>
      <c r="AT402" s="1235"/>
      <c r="AU402" s="1235"/>
      <c r="AV402" s="1235"/>
      <c r="AW402" s="1235"/>
      <c r="AX402" s="1235"/>
      <c r="AY402" s="1235"/>
      <c r="AZ402" s="1235"/>
      <c r="BA402" s="1235"/>
    </row>
    <row r="403" spans="1:53" ht="12" outlineLevel="1" thickBot="1">
      <c r="C403" s="320" t="s">
        <v>1937</v>
      </c>
      <c r="J403" s="1905">
        <f>SUM(J399:J402)</f>
        <v>1785714.2857142857</v>
      </c>
      <c r="M403" s="1235"/>
      <c r="N403" s="1235"/>
      <c r="O403" s="1235"/>
      <c r="P403" s="1235"/>
      <c r="Q403" s="1235"/>
      <c r="R403" s="1235"/>
      <c r="S403" s="1235"/>
      <c r="T403" s="1235"/>
      <c r="U403" s="1235"/>
      <c r="V403" s="1235"/>
      <c r="W403" s="1235"/>
      <c r="X403" s="1235"/>
      <c r="Y403" s="1235"/>
      <c r="Z403" s="1235"/>
      <c r="AA403" s="1235"/>
      <c r="AB403" s="1235"/>
      <c r="AC403" s="1235"/>
      <c r="AD403" s="1235"/>
      <c r="AE403" s="1235"/>
      <c r="AF403" s="1235"/>
      <c r="AG403" s="1235"/>
      <c r="AH403" s="1235"/>
      <c r="AI403" s="1235"/>
      <c r="AJ403" s="1235"/>
      <c r="AK403" s="1235"/>
      <c r="AL403" s="1235"/>
      <c r="AM403" s="1235"/>
      <c r="AN403" s="1235"/>
      <c r="AO403" s="1235"/>
      <c r="AP403" s="1235"/>
      <c r="AQ403" s="1235"/>
      <c r="AR403" s="1235"/>
      <c r="AS403" s="1235"/>
      <c r="AT403" s="1235"/>
      <c r="AU403" s="1235"/>
      <c r="AV403" s="1235"/>
      <c r="AW403" s="1235"/>
      <c r="AX403" s="1235"/>
      <c r="AY403" s="1235"/>
      <c r="AZ403" s="1235"/>
      <c r="BA403" s="1235"/>
    </row>
    <row r="404" spans="1:53" s="351" customFormat="1" ht="12" outlineLevel="1" thickBot="1">
      <c r="A404" s="338" t="s">
        <v>715</v>
      </c>
      <c r="B404" s="329"/>
      <c r="C404" s="330"/>
      <c r="D404" s="330"/>
      <c r="E404" s="330"/>
      <c r="F404" s="330"/>
      <c r="G404" s="330"/>
      <c r="H404" s="331"/>
      <c r="I404" s="332"/>
      <c r="J404" s="350"/>
      <c r="K404" s="330"/>
      <c r="L404" s="330"/>
      <c r="M404" s="1244"/>
      <c r="N404" s="1244"/>
      <c r="O404" s="1244"/>
      <c r="P404" s="1244"/>
      <c r="Q404" s="1244"/>
      <c r="R404" s="1244"/>
      <c r="S404" s="1244"/>
      <c r="T404" s="1244"/>
      <c r="U404" s="1244"/>
      <c r="V404" s="1244"/>
      <c r="W404" s="1244"/>
      <c r="X404" s="1244"/>
      <c r="Y404" s="1244"/>
      <c r="Z404" s="1244"/>
      <c r="AA404" s="1244"/>
      <c r="AB404" s="1244"/>
      <c r="AC404" s="1244"/>
      <c r="AD404" s="1244"/>
      <c r="AE404" s="1244"/>
      <c r="AF404" s="1244"/>
      <c r="AG404" s="1244"/>
      <c r="AH404" s="1244"/>
      <c r="AI404" s="1244"/>
      <c r="AJ404" s="1244"/>
      <c r="AK404" s="1244"/>
      <c r="AL404" s="1244"/>
      <c r="AM404" s="1244"/>
      <c r="AN404" s="1244"/>
      <c r="AO404" s="1244"/>
      <c r="AP404" s="1244"/>
      <c r="AQ404" s="1244"/>
      <c r="AR404" s="1244"/>
      <c r="AS404" s="1244"/>
      <c r="AT404" s="1244"/>
      <c r="AU404" s="1244"/>
      <c r="AV404" s="1244"/>
      <c r="AW404" s="1244"/>
      <c r="AX404" s="1244"/>
      <c r="AY404" s="1244"/>
      <c r="AZ404" s="1244"/>
      <c r="BA404" s="1259"/>
    </row>
    <row r="405" spans="1:53" outlineLevel="1">
      <c r="A405" s="352" t="s">
        <v>146</v>
      </c>
      <c r="J405" s="353"/>
      <c r="M405" s="1257"/>
      <c r="N405" s="1257"/>
      <c r="O405" s="1257"/>
      <c r="P405" s="1257"/>
      <c r="Q405" s="1257"/>
      <c r="R405" s="1257"/>
      <c r="S405" s="1257"/>
      <c r="T405" s="1257"/>
      <c r="U405" s="1257"/>
      <c r="V405" s="1257"/>
      <c r="W405" s="1257"/>
      <c r="X405" s="1257"/>
      <c r="Y405" s="1257"/>
      <c r="Z405" s="1257"/>
      <c r="AA405" s="1257"/>
      <c r="AB405" s="1257"/>
      <c r="AC405" s="1257"/>
      <c r="AD405" s="1257"/>
      <c r="AE405" s="1257"/>
      <c r="AF405" s="1257"/>
      <c r="AG405" s="1257"/>
      <c r="AH405" s="1257"/>
      <c r="AI405" s="1257"/>
      <c r="AJ405" s="1257"/>
      <c r="AK405" s="1257"/>
      <c r="AL405" s="1257"/>
      <c r="AM405" s="1257"/>
      <c r="AN405" s="1257"/>
      <c r="AO405" s="1257"/>
      <c r="AP405" s="1257"/>
      <c r="AQ405" s="1257"/>
      <c r="AR405" s="1257"/>
      <c r="AS405" s="1257"/>
      <c r="AT405" s="1257"/>
      <c r="AU405" s="1257"/>
      <c r="AV405" s="1257"/>
      <c r="AW405" s="1257"/>
      <c r="AX405" s="1257"/>
      <c r="AY405" s="1257"/>
      <c r="AZ405" s="1257"/>
      <c r="BA405" s="1257"/>
    </row>
    <row r="406" spans="1:53" outlineLevel="1">
      <c r="A406" s="352"/>
      <c r="J406" s="353"/>
      <c r="M406" s="1257"/>
      <c r="N406" s="1257"/>
      <c r="O406" s="1257"/>
      <c r="P406" s="1257"/>
      <c r="Q406" s="1257"/>
      <c r="R406" s="1257"/>
      <c r="S406" s="1257"/>
      <c r="T406" s="1257"/>
      <c r="U406" s="1257"/>
      <c r="V406" s="1257"/>
      <c r="W406" s="1257"/>
      <c r="X406" s="1257"/>
      <c r="Y406" s="1257"/>
      <c r="Z406" s="1257"/>
      <c r="AA406" s="1257"/>
      <c r="AB406" s="1257"/>
      <c r="AC406" s="1257"/>
      <c r="AD406" s="1257"/>
      <c r="AE406" s="1257"/>
      <c r="AF406" s="1257"/>
      <c r="AG406" s="1257"/>
      <c r="AH406" s="1257"/>
      <c r="AI406" s="1257"/>
      <c r="AJ406" s="1257"/>
      <c r="AK406" s="1257"/>
      <c r="AL406" s="1257"/>
      <c r="AM406" s="1257"/>
      <c r="AN406" s="1257"/>
      <c r="AO406" s="1257"/>
      <c r="AP406" s="1257"/>
      <c r="AQ406" s="1257"/>
      <c r="AR406" s="1257"/>
      <c r="AS406" s="1257"/>
      <c r="AT406" s="1257"/>
      <c r="AU406" s="1257"/>
      <c r="AV406" s="1257"/>
      <c r="AW406" s="1257"/>
      <c r="AX406" s="1257"/>
      <c r="AY406" s="1257"/>
      <c r="AZ406" s="1257"/>
      <c r="BA406" s="1257"/>
    </row>
    <row r="407" spans="1:53" outlineLevel="1">
      <c r="B407" s="320" t="s">
        <v>716</v>
      </c>
      <c r="J407" s="1228">
        <v>45658</v>
      </c>
      <c r="M407" s="1257"/>
      <c r="N407" s="1257"/>
      <c r="O407" s="1257"/>
      <c r="P407" s="1257"/>
      <c r="Q407" s="1257"/>
      <c r="R407" s="1257"/>
      <c r="S407" s="1257"/>
      <c r="T407" s="1257"/>
      <c r="U407" s="1257"/>
      <c r="V407" s="1257"/>
      <c r="W407" s="1257"/>
      <c r="X407" s="1257"/>
      <c r="Y407" s="1257"/>
      <c r="Z407" s="1257"/>
      <c r="AA407" s="1257"/>
      <c r="AB407" s="1257"/>
      <c r="AC407" s="1257"/>
      <c r="AD407" s="1257"/>
      <c r="AE407" s="1257"/>
      <c r="AF407" s="1257"/>
      <c r="AG407" s="1257"/>
      <c r="AH407" s="1257"/>
      <c r="AI407" s="1257"/>
      <c r="AJ407" s="1257"/>
      <c r="AK407" s="1257"/>
      <c r="AL407" s="1257"/>
      <c r="AM407" s="1257"/>
      <c r="AN407" s="1257"/>
      <c r="AO407" s="1257"/>
      <c r="AP407" s="1257"/>
      <c r="AQ407" s="1257"/>
      <c r="AR407" s="1257"/>
      <c r="AS407" s="1257"/>
      <c r="AT407" s="1257"/>
      <c r="AU407" s="1257"/>
      <c r="AV407" s="1257"/>
      <c r="AW407" s="1257"/>
      <c r="AX407" s="1257"/>
      <c r="AY407" s="1257"/>
      <c r="AZ407" s="1257"/>
      <c r="BA407" s="1257"/>
    </row>
    <row r="408" spans="1:53" outlineLevel="1">
      <c r="B408" s="320" t="s">
        <v>717</v>
      </c>
      <c r="M408" s="1257"/>
      <c r="N408" s="1257"/>
      <c r="O408" s="1257"/>
      <c r="P408" s="1257"/>
      <c r="Q408" s="1257"/>
      <c r="R408" s="1257"/>
      <c r="S408" s="1257"/>
      <c r="T408" s="1257"/>
      <c r="U408" s="1257"/>
      <c r="V408" s="1257"/>
      <c r="W408" s="1257"/>
      <c r="X408" s="1257"/>
      <c r="Y408" s="1257"/>
      <c r="Z408" s="1257"/>
      <c r="AA408" s="1257"/>
      <c r="AB408" s="1257"/>
      <c r="AC408" s="1257"/>
      <c r="AD408" s="1257"/>
      <c r="AE408" s="1257"/>
      <c r="AF408" s="1257"/>
      <c r="AG408" s="1257"/>
      <c r="AH408" s="1257"/>
      <c r="AI408" s="1257"/>
      <c r="AJ408" s="1257"/>
      <c r="AK408" s="1257"/>
      <c r="AL408" s="1257"/>
      <c r="AM408" s="1257"/>
      <c r="AN408" s="1257"/>
      <c r="AO408" s="1257"/>
      <c r="AP408" s="1257"/>
      <c r="AQ408" s="1257"/>
      <c r="AR408" s="1257"/>
      <c r="AS408" s="1257"/>
      <c r="AT408" s="1257"/>
      <c r="AU408" s="1257"/>
      <c r="AV408" s="1257"/>
      <c r="AW408" s="1257"/>
      <c r="AX408" s="1257"/>
      <c r="AY408" s="1257"/>
      <c r="AZ408" s="1257"/>
      <c r="BA408" s="1257"/>
    </row>
    <row r="409" spans="1:53" outlineLevel="1">
      <c r="B409" s="320" t="s">
        <v>718</v>
      </c>
      <c r="J409" s="353">
        <v>0</v>
      </c>
      <c r="M409" s="1245">
        <f>($J$407&gt;=M7)*($J$407&lt;=M8)*$J$405</f>
        <v>0</v>
      </c>
      <c r="N409" s="1257">
        <f t="shared" ref="N409:AP409" si="96">($J$295&gt;=N24)*($J$295&lt;=N25)*$J$294</f>
        <v>0</v>
      </c>
      <c r="O409" s="1257">
        <f t="shared" si="96"/>
        <v>0</v>
      </c>
      <c r="P409" s="1257">
        <f t="shared" si="96"/>
        <v>0</v>
      </c>
      <c r="Q409" s="1257">
        <f t="shared" si="96"/>
        <v>0</v>
      </c>
      <c r="R409" s="1257">
        <f t="shared" si="96"/>
        <v>0</v>
      </c>
      <c r="S409" s="1257">
        <f t="shared" si="96"/>
        <v>0</v>
      </c>
      <c r="T409" s="1257">
        <f t="shared" si="96"/>
        <v>0</v>
      </c>
      <c r="U409" s="1257">
        <f t="shared" si="96"/>
        <v>0</v>
      </c>
      <c r="V409" s="1257">
        <f t="shared" si="96"/>
        <v>0</v>
      </c>
      <c r="W409" s="1257">
        <f t="shared" si="96"/>
        <v>0</v>
      </c>
      <c r="X409" s="1257">
        <f t="shared" si="96"/>
        <v>0</v>
      </c>
      <c r="Y409" s="1257">
        <f t="shared" si="96"/>
        <v>0</v>
      </c>
      <c r="Z409" s="1257">
        <f t="shared" si="96"/>
        <v>0</v>
      </c>
      <c r="AA409" s="1257">
        <f t="shared" si="96"/>
        <v>0</v>
      </c>
      <c r="AB409" s="1257">
        <f t="shared" si="96"/>
        <v>0</v>
      </c>
      <c r="AC409" s="1257">
        <f t="shared" si="96"/>
        <v>0</v>
      </c>
      <c r="AD409" s="1257">
        <f t="shared" si="96"/>
        <v>0</v>
      </c>
      <c r="AE409" s="1257">
        <f t="shared" si="96"/>
        <v>0</v>
      </c>
      <c r="AF409" s="1257">
        <f t="shared" si="96"/>
        <v>0</v>
      </c>
      <c r="AG409" s="1257">
        <f t="shared" si="96"/>
        <v>0</v>
      </c>
      <c r="AH409" s="1257">
        <f t="shared" si="96"/>
        <v>0</v>
      </c>
      <c r="AI409" s="1257">
        <f t="shared" si="96"/>
        <v>0</v>
      </c>
      <c r="AJ409" s="1257">
        <f t="shared" si="96"/>
        <v>0</v>
      </c>
      <c r="AK409" s="1257">
        <f t="shared" si="96"/>
        <v>0</v>
      </c>
      <c r="AL409" s="1257">
        <f t="shared" si="96"/>
        <v>0</v>
      </c>
      <c r="AM409" s="1257">
        <f t="shared" si="96"/>
        <v>0</v>
      </c>
      <c r="AN409" s="1257">
        <f t="shared" si="96"/>
        <v>0</v>
      </c>
      <c r="AO409" s="1257">
        <f t="shared" si="96"/>
        <v>0</v>
      </c>
      <c r="AP409" s="1257">
        <f t="shared" si="96"/>
        <v>0</v>
      </c>
      <c r="AQ409" s="1257"/>
      <c r="AR409" s="1257"/>
      <c r="AS409" s="1257"/>
      <c r="AT409" s="1257"/>
      <c r="AU409" s="1257"/>
      <c r="AV409" s="1257"/>
      <c r="AW409" s="1257"/>
      <c r="AX409" s="1257"/>
      <c r="AY409" s="1257"/>
      <c r="AZ409" s="1257"/>
      <c r="BA409" s="1257"/>
    </row>
    <row r="410" spans="1:53" outlineLevel="1">
      <c r="B410" s="320" t="s">
        <v>719</v>
      </c>
      <c r="J410" s="1228">
        <v>44927</v>
      </c>
      <c r="M410" s="1257"/>
      <c r="N410" s="1257"/>
      <c r="O410" s="1257"/>
      <c r="P410" s="1257"/>
      <c r="Q410" s="1257"/>
      <c r="R410" s="1257"/>
      <c r="S410" s="1257"/>
      <c r="T410" s="1257"/>
      <c r="U410" s="1257"/>
      <c r="V410" s="1257"/>
      <c r="W410" s="1257"/>
      <c r="X410" s="1257"/>
      <c r="Y410" s="1257"/>
      <c r="Z410" s="1257"/>
      <c r="AA410" s="1257"/>
      <c r="AB410" s="1257"/>
      <c r="AC410" s="1257"/>
      <c r="AD410" s="1257"/>
      <c r="AE410" s="1257"/>
      <c r="AF410" s="1257"/>
      <c r="AG410" s="1257"/>
      <c r="AH410" s="1257"/>
      <c r="AI410" s="1257"/>
      <c r="AJ410" s="1257"/>
      <c r="AK410" s="1257"/>
      <c r="AL410" s="1257"/>
      <c r="AM410" s="1257"/>
      <c r="AN410" s="1257"/>
      <c r="AO410" s="1257"/>
      <c r="AP410" s="1257"/>
      <c r="AQ410" s="1257"/>
      <c r="AR410" s="1257"/>
      <c r="AS410" s="1257"/>
      <c r="AT410" s="1257"/>
      <c r="AU410" s="1257"/>
      <c r="AV410" s="1257"/>
      <c r="AW410" s="1257"/>
      <c r="AX410" s="1257"/>
      <c r="AY410" s="1257"/>
      <c r="AZ410" s="1257"/>
      <c r="BA410" s="1257"/>
    </row>
    <row r="411" spans="1:53" outlineLevel="1">
      <c r="B411" s="320" t="s">
        <v>720</v>
      </c>
      <c r="M411" s="1257"/>
      <c r="N411" s="1257"/>
      <c r="O411" s="1257"/>
      <c r="P411" s="1257"/>
      <c r="Q411" s="1257"/>
      <c r="R411" s="1257"/>
      <c r="S411" s="1257"/>
      <c r="T411" s="1257"/>
      <c r="U411" s="1257"/>
      <c r="V411" s="1257"/>
      <c r="W411" s="1257"/>
      <c r="X411" s="1257"/>
      <c r="Y411" s="1257"/>
      <c r="Z411" s="1257"/>
      <c r="AA411" s="1257"/>
      <c r="AB411" s="1257"/>
      <c r="AC411" s="1257"/>
      <c r="AD411" s="1257"/>
      <c r="AE411" s="1257"/>
      <c r="AF411" s="1257"/>
      <c r="AG411" s="1257"/>
      <c r="AH411" s="1257"/>
      <c r="AI411" s="1257"/>
      <c r="AJ411" s="1257"/>
      <c r="AK411" s="1257"/>
      <c r="AL411" s="1257"/>
      <c r="AM411" s="1257"/>
      <c r="AN411" s="1257"/>
      <c r="AO411" s="1257"/>
      <c r="AP411" s="1257"/>
      <c r="AQ411" s="1257"/>
      <c r="AR411" s="1257"/>
      <c r="AS411" s="1257"/>
      <c r="AT411" s="1257"/>
      <c r="AU411" s="1257"/>
      <c r="AV411" s="1257"/>
      <c r="AW411" s="1257"/>
      <c r="AX411" s="1257"/>
      <c r="AY411" s="1257"/>
      <c r="AZ411" s="1257"/>
      <c r="BA411" s="1257"/>
    </row>
    <row r="412" spans="1:53" outlineLevel="1">
      <c r="B412" s="320" t="s">
        <v>721</v>
      </c>
      <c r="K412" s="354"/>
      <c r="M412" s="1257">
        <f t="shared" ref="M412:AP412" si="97">($J$308&gt;=M24)*($J$308&lt;=M25)*$J$298</f>
        <v>0</v>
      </c>
      <c r="N412" s="1257">
        <f t="shared" si="97"/>
        <v>0</v>
      </c>
      <c r="O412" s="1257">
        <f t="shared" si="97"/>
        <v>0</v>
      </c>
      <c r="P412" s="1257">
        <f t="shared" si="97"/>
        <v>0</v>
      </c>
      <c r="Q412" s="1257">
        <f t="shared" si="97"/>
        <v>0</v>
      </c>
      <c r="R412" s="1257">
        <f t="shared" si="97"/>
        <v>0</v>
      </c>
      <c r="S412" s="1257">
        <f t="shared" si="97"/>
        <v>0</v>
      </c>
      <c r="T412" s="1257">
        <f t="shared" si="97"/>
        <v>0</v>
      </c>
      <c r="U412" s="1257">
        <f t="shared" si="97"/>
        <v>0</v>
      </c>
      <c r="V412" s="1257">
        <f t="shared" si="97"/>
        <v>0</v>
      </c>
      <c r="W412" s="1257">
        <f t="shared" si="97"/>
        <v>0</v>
      </c>
      <c r="X412" s="1257">
        <f t="shared" si="97"/>
        <v>0</v>
      </c>
      <c r="Y412" s="1257">
        <f t="shared" si="97"/>
        <v>0</v>
      </c>
      <c r="Z412" s="1257">
        <f t="shared" si="97"/>
        <v>0</v>
      </c>
      <c r="AA412" s="1257">
        <f t="shared" si="97"/>
        <v>0</v>
      </c>
      <c r="AB412" s="1257">
        <f t="shared" si="97"/>
        <v>0</v>
      </c>
      <c r="AC412" s="1257">
        <f t="shared" si="97"/>
        <v>0</v>
      </c>
      <c r="AD412" s="1257">
        <f t="shared" si="97"/>
        <v>0</v>
      </c>
      <c r="AE412" s="1257">
        <f t="shared" si="97"/>
        <v>0</v>
      </c>
      <c r="AF412" s="1257">
        <f t="shared" si="97"/>
        <v>0</v>
      </c>
      <c r="AG412" s="1257">
        <f t="shared" si="97"/>
        <v>0</v>
      </c>
      <c r="AH412" s="1257">
        <f t="shared" si="97"/>
        <v>0</v>
      </c>
      <c r="AI412" s="1257">
        <f t="shared" si="97"/>
        <v>0</v>
      </c>
      <c r="AJ412" s="1257">
        <f t="shared" si="97"/>
        <v>0</v>
      </c>
      <c r="AK412" s="1257">
        <f t="shared" si="97"/>
        <v>0</v>
      </c>
      <c r="AL412" s="1257">
        <f t="shared" si="97"/>
        <v>0</v>
      </c>
      <c r="AM412" s="1257">
        <f t="shared" si="97"/>
        <v>0</v>
      </c>
      <c r="AN412" s="1257">
        <f t="shared" si="97"/>
        <v>0</v>
      </c>
      <c r="AO412" s="1257">
        <f t="shared" si="97"/>
        <v>0</v>
      </c>
      <c r="AP412" s="1257">
        <f t="shared" si="97"/>
        <v>0</v>
      </c>
      <c r="AQ412" s="1257"/>
      <c r="AR412" s="1257"/>
      <c r="AS412" s="1257"/>
      <c r="AT412" s="1257"/>
      <c r="AU412" s="1257"/>
      <c r="AV412" s="1257"/>
      <c r="AW412" s="1257"/>
      <c r="AX412" s="1257"/>
      <c r="AY412" s="1257"/>
      <c r="AZ412" s="1257"/>
      <c r="BA412" s="1257"/>
    </row>
    <row r="413" spans="1:53" outlineLevel="1">
      <c r="B413" s="320" t="s">
        <v>722</v>
      </c>
      <c r="J413" s="1260">
        <v>0</v>
      </c>
      <c r="M413" s="1245">
        <f>M409+M412</f>
        <v>0</v>
      </c>
      <c r="N413" s="1257">
        <f t="shared" ref="N413:AP413" si="98">N409+N412</f>
        <v>0</v>
      </c>
      <c r="O413" s="1257">
        <f t="shared" si="98"/>
        <v>0</v>
      </c>
      <c r="P413" s="1257">
        <f t="shared" si="98"/>
        <v>0</v>
      </c>
      <c r="Q413" s="1257">
        <f t="shared" si="98"/>
        <v>0</v>
      </c>
      <c r="R413" s="1257">
        <f t="shared" si="98"/>
        <v>0</v>
      </c>
      <c r="S413" s="1257">
        <f t="shared" si="98"/>
        <v>0</v>
      </c>
      <c r="T413" s="1257">
        <f t="shared" si="98"/>
        <v>0</v>
      </c>
      <c r="U413" s="1257">
        <f t="shared" si="98"/>
        <v>0</v>
      </c>
      <c r="V413" s="1257">
        <f t="shared" si="98"/>
        <v>0</v>
      </c>
      <c r="W413" s="1257">
        <f t="shared" si="98"/>
        <v>0</v>
      </c>
      <c r="X413" s="1257">
        <f t="shared" si="98"/>
        <v>0</v>
      </c>
      <c r="Y413" s="1257">
        <f t="shared" si="98"/>
        <v>0</v>
      </c>
      <c r="Z413" s="1257">
        <f t="shared" si="98"/>
        <v>0</v>
      </c>
      <c r="AA413" s="1257">
        <f t="shared" si="98"/>
        <v>0</v>
      </c>
      <c r="AB413" s="1257">
        <f t="shared" si="98"/>
        <v>0</v>
      </c>
      <c r="AC413" s="1257">
        <f t="shared" si="98"/>
        <v>0</v>
      </c>
      <c r="AD413" s="1257">
        <f t="shared" si="98"/>
        <v>0</v>
      </c>
      <c r="AE413" s="1257">
        <f t="shared" si="98"/>
        <v>0</v>
      </c>
      <c r="AF413" s="1257">
        <f t="shared" si="98"/>
        <v>0</v>
      </c>
      <c r="AG413" s="1257">
        <f t="shared" si="98"/>
        <v>0</v>
      </c>
      <c r="AH413" s="1257">
        <f t="shared" si="98"/>
        <v>0</v>
      </c>
      <c r="AI413" s="1257">
        <f t="shared" si="98"/>
        <v>0</v>
      </c>
      <c r="AJ413" s="1257">
        <f t="shared" si="98"/>
        <v>0</v>
      </c>
      <c r="AK413" s="1257">
        <f t="shared" si="98"/>
        <v>0</v>
      </c>
      <c r="AL413" s="1257">
        <f t="shared" si="98"/>
        <v>0</v>
      </c>
      <c r="AM413" s="1257">
        <f t="shared" si="98"/>
        <v>0</v>
      </c>
      <c r="AN413" s="1257">
        <f t="shared" si="98"/>
        <v>0</v>
      </c>
      <c r="AO413" s="1257">
        <f t="shared" si="98"/>
        <v>0</v>
      </c>
      <c r="AP413" s="1257">
        <f t="shared" si="98"/>
        <v>0</v>
      </c>
      <c r="AQ413" s="1257"/>
      <c r="AR413" s="1257"/>
      <c r="AS413" s="1257"/>
      <c r="AT413" s="1257"/>
      <c r="AU413" s="1257"/>
      <c r="AV413" s="1257"/>
      <c r="AW413" s="1257"/>
      <c r="AX413" s="1257"/>
      <c r="AY413" s="1257"/>
      <c r="AZ413" s="1257"/>
      <c r="BA413" s="1257"/>
    </row>
    <row r="414" spans="1:53" outlineLevel="1">
      <c r="B414" s="320" t="s">
        <v>723</v>
      </c>
      <c r="M414" s="1257"/>
      <c r="N414" s="1257"/>
      <c r="O414" s="1257"/>
      <c r="P414" s="1257"/>
      <c r="Q414" s="1257"/>
      <c r="R414" s="1257"/>
      <c r="S414" s="1257"/>
      <c r="T414" s="1257"/>
      <c r="U414" s="1257"/>
      <c r="V414" s="1257"/>
      <c r="W414" s="1257"/>
      <c r="X414" s="1257"/>
      <c r="Y414" s="1257"/>
      <c r="Z414" s="1257"/>
      <c r="AA414" s="1257"/>
      <c r="AB414" s="1257"/>
      <c r="AC414" s="1257"/>
      <c r="AD414" s="1257"/>
      <c r="AE414" s="1257"/>
      <c r="AF414" s="1257"/>
      <c r="AG414" s="1257"/>
      <c r="AH414" s="1257"/>
      <c r="AI414" s="1257"/>
      <c r="AJ414" s="1257"/>
      <c r="AK414" s="1257"/>
      <c r="AL414" s="1257"/>
      <c r="AM414" s="1257"/>
      <c r="AN414" s="1257"/>
      <c r="AO414" s="1257"/>
      <c r="AP414" s="1257"/>
      <c r="AQ414" s="1257"/>
      <c r="AR414" s="1257"/>
      <c r="AS414" s="1257"/>
      <c r="AT414" s="1257"/>
      <c r="AU414" s="1257"/>
      <c r="AV414" s="1257"/>
      <c r="AW414" s="1257"/>
      <c r="AX414" s="1257"/>
      <c r="AY414" s="1257"/>
      <c r="AZ414" s="1257"/>
      <c r="BA414" s="1257"/>
    </row>
    <row r="415" spans="1:53" outlineLevel="1">
      <c r="B415" s="320" t="s">
        <v>724</v>
      </c>
      <c r="J415" s="1261">
        <v>1.0131761442441056</v>
      </c>
      <c r="M415" s="1257"/>
      <c r="N415" s="1257"/>
      <c r="O415" s="1257"/>
      <c r="P415" s="1257"/>
      <c r="Q415" s="1257"/>
      <c r="R415" s="1257"/>
      <c r="S415" s="1257"/>
      <c r="T415" s="1257"/>
      <c r="U415" s="1257"/>
      <c r="V415" s="1257"/>
      <c r="W415" s="1257"/>
      <c r="X415" s="1257"/>
      <c r="Y415" s="1257"/>
      <c r="Z415" s="1257"/>
      <c r="AA415" s="1257"/>
      <c r="AB415" s="1257"/>
      <c r="AC415" s="1257"/>
      <c r="AD415" s="1257"/>
      <c r="AE415" s="1257"/>
      <c r="AF415" s="1257"/>
      <c r="AG415" s="1257"/>
      <c r="AH415" s="1257"/>
      <c r="AI415" s="1257"/>
      <c r="AJ415" s="1257"/>
      <c r="AK415" s="1257"/>
      <c r="AL415" s="1257"/>
      <c r="AM415" s="1257"/>
      <c r="AN415" s="1257"/>
      <c r="AO415" s="1257"/>
      <c r="AP415" s="1257"/>
      <c r="AQ415" s="1257"/>
      <c r="AR415" s="1257"/>
      <c r="AS415" s="1257"/>
      <c r="AT415" s="1257"/>
      <c r="AU415" s="1257"/>
      <c r="AV415" s="1257"/>
      <c r="AW415" s="1257"/>
      <c r="AX415" s="1257"/>
      <c r="AY415" s="1257"/>
      <c r="AZ415" s="1257"/>
      <c r="BA415" s="1257"/>
    </row>
    <row r="416" spans="1:53" outlineLevel="1">
      <c r="B416" s="320" t="s">
        <v>725</v>
      </c>
      <c r="J416" s="355"/>
      <c r="M416" s="1257"/>
      <c r="N416" s="1257"/>
      <c r="O416" s="1257"/>
      <c r="P416" s="1257"/>
      <c r="Q416" s="1257"/>
      <c r="R416" s="1257"/>
      <c r="S416" s="1257"/>
      <c r="T416" s="1257"/>
      <c r="U416" s="1257"/>
      <c r="V416" s="1257"/>
      <c r="W416" s="1257"/>
      <c r="X416" s="1257"/>
      <c r="Y416" s="1257"/>
      <c r="Z416" s="1257"/>
      <c r="AA416" s="1257"/>
      <c r="AB416" s="1257"/>
      <c r="AC416" s="1257"/>
      <c r="AD416" s="1257"/>
      <c r="AE416" s="1257"/>
      <c r="AF416" s="1257"/>
      <c r="AG416" s="1257"/>
      <c r="AH416" s="1257"/>
      <c r="AI416" s="1257"/>
      <c r="AJ416" s="1257"/>
      <c r="AK416" s="1257"/>
      <c r="AL416" s="1257"/>
      <c r="AM416" s="1257"/>
      <c r="AN416" s="1257"/>
      <c r="AO416" s="1257"/>
      <c r="AP416" s="1257"/>
      <c r="AQ416" s="1257"/>
      <c r="AR416" s="1257"/>
      <c r="AS416" s="1257"/>
      <c r="AT416" s="1257"/>
      <c r="AU416" s="1257"/>
      <c r="AV416" s="1257"/>
      <c r="AW416" s="1257"/>
      <c r="AX416" s="1257"/>
      <c r="AY416" s="1257"/>
      <c r="AZ416" s="1257"/>
      <c r="BA416" s="1257"/>
    </row>
    <row r="417" spans="1:53" outlineLevel="1">
      <c r="A417" s="352" t="s">
        <v>151</v>
      </c>
      <c r="J417" s="355"/>
      <c r="M417" s="1257"/>
      <c r="N417" s="1257"/>
      <c r="O417" s="1257"/>
      <c r="P417" s="1257"/>
      <c r="Q417" s="1257"/>
      <c r="R417" s="1257"/>
      <c r="S417" s="1257"/>
      <c r="T417" s="1257"/>
      <c r="U417" s="1257"/>
      <c r="V417" s="1257"/>
      <c r="W417" s="1257"/>
      <c r="X417" s="1257"/>
      <c r="Y417" s="1257"/>
      <c r="Z417" s="1257"/>
      <c r="AA417" s="1257"/>
      <c r="AB417" s="1257"/>
      <c r="AC417" s="1257"/>
      <c r="AD417" s="1257"/>
      <c r="AE417" s="1257"/>
      <c r="AF417" s="1257"/>
      <c r="AG417" s="1257"/>
      <c r="AH417" s="1257"/>
      <c r="AI417" s="1257"/>
      <c r="AJ417" s="1257"/>
      <c r="AK417" s="1257"/>
      <c r="AL417" s="1257"/>
      <c r="AM417" s="1257"/>
      <c r="AN417" s="1257"/>
      <c r="AO417" s="1257"/>
      <c r="AP417" s="1257"/>
      <c r="AQ417" s="1257"/>
      <c r="AR417" s="1257"/>
      <c r="AS417" s="1257"/>
      <c r="AT417" s="1257"/>
      <c r="AU417" s="1257"/>
      <c r="AV417" s="1257"/>
      <c r="AW417" s="1257"/>
      <c r="AX417" s="1257"/>
      <c r="AY417" s="1257"/>
      <c r="AZ417" s="1257"/>
      <c r="BA417" s="1257"/>
    </row>
    <row r="418" spans="1:53" outlineLevel="1">
      <c r="B418" s="320" t="s">
        <v>726</v>
      </c>
      <c r="J418" s="1261">
        <v>0.5</v>
      </c>
      <c r="M418" s="1257"/>
      <c r="N418" s="1257"/>
      <c r="O418" s="1257"/>
      <c r="P418" s="1257"/>
      <c r="Q418" s="1257"/>
      <c r="R418" s="1257"/>
      <c r="S418" s="1257"/>
      <c r="T418" s="1257"/>
      <c r="U418" s="1257"/>
      <c r="V418" s="1257"/>
      <c r="W418" s="1257"/>
      <c r="X418" s="1257"/>
      <c r="Y418" s="1257"/>
      <c r="Z418" s="1257"/>
      <c r="AA418" s="1257"/>
      <c r="AB418" s="1257"/>
      <c r="AC418" s="1257"/>
      <c r="AD418" s="1257"/>
      <c r="AE418" s="1257"/>
      <c r="AF418" s="1257"/>
      <c r="AG418" s="1257"/>
      <c r="AH418" s="1257"/>
      <c r="AI418" s="1257"/>
      <c r="AJ418" s="1257"/>
      <c r="AK418" s="1257"/>
      <c r="AL418" s="1257"/>
      <c r="AM418" s="1257"/>
      <c r="AN418" s="1257"/>
      <c r="AO418" s="1257"/>
      <c r="AP418" s="1257"/>
      <c r="AQ418" s="1257"/>
      <c r="AR418" s="1257"/>
      <c r="AS418" s="1257"/>
      <c r="AT418" s="1257"/>
      <c r="AU418" s="1257"/>
      <c r="AV418" s="1257"/>
      <c r="AW418" s="1257"/>
      <c r="AX418" s="1257"/>
      <c r="AY418" s="1257"/>
      <c r="AZ418" s="1257"/>
      <c r="BA418" s="1257"/>
    </row>
    <row r="419" spans="1:53" ht="12.75" customHeight="1" outlineLevel="1">
      <c r="B419" s="320" t="s">
        <v>727</v>
      </c>
      <c r="J419" s="1261">
        <v>1</v>
      </c>
      <c r="M419" s="1257"/>
      <c r="N419" s="1257"/>
      <c r="O419" s="1257"/>
      <c r="P419" s="1257"/>
      <c r="Q419" s="1257"/>
      <c r="R419" s="1257"/>
      <c r="S419" s="1257"/>
      <c r="T419" s="1257"/>
      <c r="U419" s="1257"/>
      <c r="V419" s="1257"/>
      <c r="W419" s="1257"/>
      <c r="X419" s="1257"/>
      <c r="Y419" s="1257"/>
      <c r="Z419" s="1257"/>
      <c r="AA419" s="1257"/>
      <c r="AB419" s="1257"/>
      <c r="AC419" s="1257"/>
      <c r="AD419" s="1257"/>
      <c r="AE419" s="1257"/>
      <c r="AF419" s="1257"/>
      <c r="AG419" s="1257"/>
      <c r="AH419" s="1257"/>
      <c r="AI419" s="1257"/>
      <c r="AJ419" s="1257"/>
      <c r="AK419" s="1257"/>
      <c r="AL419" s="1257"/>
      <c r="AM419" s="1257"/>
      <c r="AN419" s="1257"/>
      <c r="AO419" s="1257"/>
      <c r="AP419" s="1257"/>
      <c r="AQ419" s="1257"/>
      <c r="AR419" s="1257"/>
      <c r="AS419" s="1257"/>
      <c r="AT419" s="1257"/>
      <c r="AU419" s="1257"/>
      <c r="AV419" s="1257"/>
      <c r="AW419" s="1257"/>
      <c r="AX419" s="1257"/>
      <c r="AY419" s="1257"/>
      <c r="AZ419" s="1257"/>
      <c r="BA419" s="1257"/>
    </row>
    <row r="420" spans="1:53" ht="10.5" customHeight="1" outlineLevel="1">
      <c r="A420" s="320" t="s">
        <v>728</v>
      </c>
      <c r="B420" s="320" t="s">
        <v>729</v>
      </c>
      <c r="J420" s="356"/>
      <c r="M420" s="1245">
        <f ca="1">(OFFSET(M413,,-$J$418,,)*$J$415)</f>
        <v>0</v>
      </c>
      <c r="N420" s="1245">
        <f t="shared" ref="N420:AM420" ca="1" si="99">(OFFSET(N413,,-$J$418,,)*$J$415)</f>
        <v>0</v>
      </c>
      <c r="O420" s="1245">
        <f t="shared" ca="1" si="99"/>
        <v>0</v>
      </c>
      <c r="P420" s="1245">
        <f t="shared" ca="1" si="99"/>
        <v>0</v>
      </c>
      <c r="Q420" s="1245">
        <f t="shared" ca="1" si="99"/>
        <v>0</v>
      </c>
      <c r="R420" s="1245">
        <f t="shared" ca="1" si="99"/>
        <v>0</v>
      </c>
      <c r="S420" s="1245">
        <f t="shared" ca="1" si="99"/>
        <v>0</v>
      </c>
      <c r="T420" s="1245">
        <f t="shared" ca="1" si="99"/>
        <v>0</v>
      </c>
      <c r="U420" s="1245">
        <f t="shared" ca="1" si="99"/>
        <v>0</v>
      </c>
      <c r="V420" s="1245">
        <f t="shared" ca="1" si="99"/>
        <v>0</v>
      </c>
      <c r="W420" s="1245">
        <f t="shared" ca="1" si="99"/>
        <v>0</v>
      </c>
      <c r="X420" s="1245">
        <f t="shared" ca="1" si="99"/>
        <v>0</v>
      </c>
      <c r="Y420" s="1245">
        <f t="shared" ca="1" si="99"/>
        <v>0</v>
      </c>
      <c r="Z420" s="1245">
        <f t="shared" ca="1" si="99"/>
        <v>0</v>
      </c>
      <c r="AA420" s="1245">
        <f t="shared" ca="1" si="99"/>
        <v>0</v>
      </c>
      <c r="AB420" s="1245">
        <f t="shared" ca="1" si="99"/>
        <v>0</v>
      </c>
      <c r="AC420" s="1245">
        <f t="shared" ca="1" si="99"/>
        <v>0</v>
      </c>
      <c r="AD420" s="1245">
        <f t="shared" ca="1" si="99"/>
        <v>0</v>
      </c>
      <c r="AE420" s="1245">
        <f t="shared" ca="1" si="99"/>
        <v>0</v>
      </c>
      <c r="AF420" s="1245">
        <f t="shared" ca="1" si="99"/>
        <v>0</v>
      </c>
      <c r="AG420" s="1245">
        <f t="shared" ca="1" si="99"/>
        <v>0</v>
      </c>
      <c r="AH420" s="1245">
        <f t="shared" ca="1" si="99"/>
        <v>0</v>
      </c>
      <c r="AI420" s="1245">
        <f t="shared" ca="1" si="99"/>
        <v>0</v>
      </c>
      <c r="AJ420" s="1245">
        <f t="shared" ca="1" si="99"/>
        <v>0</v>
      </c>
      <c r="AK420" s="1245">
        <f t="shared" ca="1" si="99"/>
        <v>0</v>
      </c>
      <c r="AL420" s="1245">
        <f t="shared" ca="1" si="99"/>
        <v>0</v>
      </c>
      <c r="AM420" s="1245">
        <f t="shared" ca="1" si="99"/>
        <v>0</v>
      </c>
      <c r="AN420" s="1257"/>
      <c r="AO420" s="1257"/>
      <c r="AP420" s="1257"/>
      <c r="AQ420" s="1257"/>
      <c r="AR420" s="1257"/>
      <c r="AS420" s="1257"/>
      <c r="AT420" s="1257"/>
      <c r="AU420" s="1257"/>
      <c r="AV420" s="1257"/>
      <c r="AW420" s="1257"/>
      <c r="AX420" s="1257"/>
      <c r="AY420" s="1257"/>
      <c r="AZ420" s="1257"/>
      <c r="BA420" s="1257"/>
    </row>
    <row r="421" spans="1:53" ht="12" outlineLevel="1" thickBot="1">
      <c r="B421" s="320" t="s">
        <v>730</v>
      </c>
      <c r="J421" s="356"/>
      <c r="M421" s="1257">
        <f ca="1">(MOD(M9-1,$J$418)=0)*(SUM($M$420:M420)&gt;0)</f>
        <v>0</v>
      </c>
      <c r="N421" s="1257">
        <f ca="1">(MOD(N9-1,$J$418)=0)*(SUM($M$420:N420)&gt;0)</f>
        <v>0</v>
      </c>
      <c r="O421" s="1257">
        <f ca="1">(MOD(O9-1,$J$418)=0)*(SUM($M$420:O420)&gt;0)</f>
        <v>0</v>
      </c>
      <c r="P421" s="1257">
        <f ca="1">(MOD(P9-1,$J$418)=0)*(SUM($M$420:P420)&gt;0)</f>
        <v>0</v>
      </c>
      <c r="Q421" s="1257">
        <f ca="1">(MOD(Q9-1,$J$418)=0)*(SUM($M$420:Q420)&gt;0)</f>
        <v>0</v>
      </c>
      <c r="R421" s="1257">
        <f ca="1">(MOD(R9-1,$J$418)=0)*(SUM($M$420:R420)&gt;0)</f>
        <v>0</v>
      </c>
      <c r="S421" s="1257">
        <f ca="1">(MOD(S9-1,$J$418)=0)*(SUM($M$420:S420)&gt;0)</f>
        <v>0</v>
      </c>
      <c r="T421" s="1257">
        <f ca="1">(MOD(T9-1,$J$418)=0)*(SUM($M$420:T420)&gt;0)</f>
        <v>0</v>
      </c>
      <c r="U421" s="1257">
        <f ca="1">(MOD(U9-1,$J$418)=0)*(SUM($M$420:U420)&gt;0)</f>
        <v>0</v>
      </c>
      <c r="V421" s="1257">
        <f ca="1">(MOD(V9-1,$J$418)=0)*(SUM($M$420:V420)&gt;0)</f>
        <v>0</v>
      </c>
      <c r="W421" s="1257">
        <f ca="1">(MOD(W9-1,$J$418)=0)*(SUM($M$420:W420)&gt;0)</f>
        <v>0</v>
      </c>
      <c r="X421" s="1257">
        <f ca="1">(MOD(X9-1,$J$418)=0)*(SUM($M$420:X420)&gt;0)</f>
        <v>0</v>
      </c>
      <c r="Y421" s="1257">
        <f ca="1">(MOD(Y9-1,$J$418)=0)*(SUM($M$420:Y420)&gt;0)</f>
        <v>0</v>
      </c>
      <c r="Z421" s="1257">
        <f ca="1">(MOD(Z9-1,$J$418)=0)*(SUM($M$420:Z420)&gt;0)</f>
        <v>0</v>
      </c>
      <c r="AA421" s="1257">
        <f ca="1">(MOD(AA9-1,$J$418)=0)*(SUM($M$420:AA420)&gt;0)</f>
        <v>0</v>
      </c>
      <c r="AB421" s="1257">
        <f ca="1">(MOD(AB9-1,$J$418)=0)*(SUM($M$420:AB420)&gt;0)</f>
        <v>0</v>
      </c>
      <c r="AC421" s="1257">
        <f ca="1">(MOD(AC9-1,$J$418)=0)*(SUM($M$420:AC420)&gt;0)</f>
        <v>0</v>
      </c>
      <c r="AD421" s="1257">
        <f ca="1">(MOD(AD9-1,$J$418)=0)*(SUM($M$420:AD420)&gt;0)</f>
        <v>0</v>
      </c>
      <c r="AE421" s="1257">
        <f ca="1">(MOD(AE9-1,$J$418)=0)*(SUM($M$420:AE420)&gt;0)</f>
        <v>0</v>
      </c>
      <c r="AF421" s="1257">
        <f ca="1">(MOD(AF9-1,$J$418)=0)*(SUM($M$420:AF420)&gt;0)</f>
        <v>0</v>
      </c>
      <c r="AG421" s="1257">
        <f ca="1">(MOD(AG9-1,$J$418)=0)*(SUM($M$420:AG420)&gt;0)</f>
        <v>0</v>
      </c>
      <c r="AH421" s="1257">
        <f ca="1">(MOD(AH9-1,$J$418)=0)*(SUM($M$420:AH420)&gt;0)</f>
        <v>0</v>
      </c>
      <c r="AI421" s="1257">
        <f ca="1">(MOD(AI9-1,$J$418)=0)*(SUM($M$420:AI420)&gt;0)</f>
        <v>0</v>
      </c>
      <c r="AJ421" s="1257">
        <f ca="1">(MOD(AJ9-1,$J$418)=0)*(SUM($M$420:AJ420)&gt;0)</f>
        <v>0</v>
      </c>
      <c r="AK421" s="1257">
        <f ca="1">(MOD(AK9-1,$J$418)=0)*(SUM($M$420:AK420)&gt;0)</f>
        <v>0</v>
      </c>
      <c r="AL421" s="1257">
        <f ca="1">(MOD(AL9-1,$J$418)=0)*(SUM($M$420:AL420)&gt;0)</f>
        <v>0</v>
      </c>
      <c r="AM421" s="1257">
        <f ca="1">(MOD(AM9-1,$J$418)=0)*(SUM($M$420:AM420)&gt;0)</f>
        <v>0</v>
      </c>
      <c r="AN421" s="1257"/>
      <c r="AO421" s="1257"/>
      <c r="AP421" s="1257"/>
      <c r="AQ421" s="1257"/>
      <c r="AR421" s="1257"/>
      <c r="AS421" s="1257"/>
      <c r="AT421" s="1257"/>
      <c r="AU421" s="1257"/>
      <c r="AV421" s="1257"/>
      <c r="AW421" s="1257"/>
      <c r="AX421" s="1257"/>
      <c r="AY421" s="1257"/>
      <c r="AZ421" s="1257"/>
      <c r="BA421" s="1257"/>
    </row>
    <row r="422" spans="1:53" ht="12" outlineLevel="1" thickBot="1">
      <c r="B422" s="320" t="s">
        <v>731</v>
      </c>
      <c r="J422" s="357">
        <f>SUM(J420:J421)</f>
        <v>0</v>
      </c>
      <c r="M422" s="1257">
        <f ca="1">SUM($M$421:M421)</f>
        <v>0</v>
      </c>
      <c r="N422" s="1257">
        <f ca="1">SUM($M$421:N421)</f>
        <v>0</v>
      </c>
      <c r="O422" s="1257">
        <f ca="1">SUM($M$421:O421)</f>
        <v>0</v>
      </c>
      <c r="P422" s="1257">
        <f ca="1">SUM($M$421:P421)</f>
        <v>0</v>
      </c>
      <c r="Q422" s="1257">
        <f ca="1">SUM($M$421:Q421)</f>
        <v>0</v>
      </c>
      <c r="R422" s="1257">
        <f ca="1">SUM($M$421:R421)</f>
        <v>0</v>
      </c>
      <c r="S422" s="1257">
        <f ca="1">SUM($M$421:S421)</f>
        <v>0</v>
      </c>
      <c r="T422" s="1257">
        <f ca="1">SUM($M$421:T421)</f>
        <v>0</v>
      </c>
      <c r="U422" s="1257">
        <f ca="1">SUM($M$421:U421)</f>
        <v>0</v>
      </c>
      <c r="V422" s="1257">
        <f ca="1">SUM($M$421:V421)</f>
        <v>0</v>
      </c>
      <c r="W422" s="1257">
        <f ca="1">SUM($M$421:W421)</f>
        <v>0</v>
      </c>
      <c r="X422" s="1257">
        <f ca="1">SUM($M$421:X421)</f>
        <v>0</v>
      </c>
      <c r="Y422" s="1257">
        <f ca="1">SUM($M$421:Y421)</f>
        <v>0</v>
      </c>
      <c r="Z422" s="1257">
        <f ca="1">SUM($M$421:Z421)</f>
        <v>0</v>
      </c>
      <c r="AA422" s="1257">
        <f ca="1">SUM($M$421:AA421)</f>
        <v>0</v>
      </c>
      <c r="AB422" s="1257">
        <f ca="1">SUM($M$421:AB421)</f>
        <v>0</v>
      </c>
      <c r="AC422" s="1257">
        <f ca="1">SUM($M$421:AC421)</f>
        <v>0</v>
      </c>
      <c r="AD422" s="1257">
        <f ca="1">SUM($M$421:AD421)</f>
        <v>0</v>
      </c>
      <c r="AE422" s="1257">
        <f ca="1">SUM($M$421:AE421)</f>
        <v>0</v>
      </c>
      <c r="AF422" s="1257">
        <f ca="1">SUM($M$421:AF421)</f>
        <v>0</v>
      </c>
      <c r="AG422" s="1257">
        <f ca="1">SUM($M$421:AG421)</f>
        <v>0</v>
      </c>
      <c r="AH422" s="1257">
        <f ca="1">SUM($M$421:AH421)</f>
        <v>0</v>
      </c>
      <c r="AI422" s="1257">
        <f ca="1">SUM($M$421:AI421)</f>
        <v>0</v>
      </c>
      <c r="AJ422" s="1257">
        <f ca="1">SUM($M$421:AJ421)</f>
        <v>0</v>
      </c>
      <c r="AK422" s="1257">
        <f ca="1">SUM($M$421:AK421)</f>
        <v>0</v>
      </c>
      <c r="AL422" s="1257">
        <f ca="1">SUM($M$421:AL421)</f>
        <v>0</v>
      </c>
      <c r="AM422" s="1257">
        <f ca="1">SUM($M$421:AM421)</f>
        <v>0</v>
      </c>
      <c r="AN422" s="1257"/>
      <c r="AO422" s="1257"/>
      <c r="AP422" s="1257"/>
      <c r="AQ422" s="1257"/>
      <c r="AR422" s="1257"/>
      <c r="AS422" s="1257"/>
      <c r="AT422" s="1257"/>
      <c r="AU422" s="1257"/>
      <c r="AV422" s="1257"/>
      <c r="AW422" s="1257"/>
      <c r="AX422" s="1257"/>
      <c r="AY422" s="1257"/>
      <c r="AZ422" s="1257"/>
      <c r="BA422" s="1257"/>
    </row>
    <row r="423" spans="1:53" outlineLevel="1">
      <c r="J423" s="355"/>
      <c r="M423" s="1245">
        <f ca="1">(SUM($M$420:M420)/$J$419)*M421*(M422&lt;=$J$419)</f>
        <v>0</v>
      </c>
      <c r="N423" s="1257">
        <f ca="1">(SUM($M$420:N420)/$J$419)*N421*(N422&lt;=$J$419)</f>
        <v>0</v>
      </c>
      <c r="O423" s="358">
        <f ca="1">(SUM($M$420:O420)/$J$419)*O421*(O422&lt;=$J$419)</f>
        <v>0</v>
      </c>
      <c r="P423" s="358">
        <f ca="1">(SUM($M$420:P420)/$J$419)*P421*(P422&lt;=$J$419)</f>
        <v>0</v>
      </c>
      <c r="Q423" s="358">
        <f ca="1">(SUM($M$420:Q420)/$J$419)*Q421*(Q422&lt;=$J$419)</f>
        <v>0</v>
      </c>
      <c r="R423" s="1257">
        <f ca="1">(SUM($M$420:R420)/$J$419)*R421*(R422&lt;=$J$419)</f>
        <v>0</v>
      </c>
      <c r="S423" s="1257">
        <f ca="1">(SUM($M$420:S420)/$J$419)*S421*(S422&lt;=$J$419)</f>
        <v>0</v>
      </c>
      <c r="T423" s="1257">
        <f ca="1">(SUM($M$420:T420)/$J$419)*T421*(T422&lt;=$J$419)</f>
        <v>0</v>
      </c>
      <c r="U423" s="1257">
        <f ca="1">(SUM($M$420:U420)/$J$419)*U421*(U422&lt;=$J$419)</f>
        <v>0</v>
      </c>
      <c r="V423" s="1257">
        <f ca="1">(SUM($M$420:V420)/$J$419)*V421*(V422&lt;=$J$419)</f>
        <v>0</v>
      </c>
      <c r="W423" s="1257">
        <f ca="1">(SUM($M$420:W420)/$J$419)*W421*(W422&lt;=$J$419)</f>
        <v>0</v>
      </c>
      <c r="X423" s="1257">
        <f ca="1">(SUM($M$420:X420)/$J$419)*X421*(X422&lt;=$J$419)</f>
        <v>0</v>
      </c>
      <c r="Y423" s="1257">
        <f ca="1">(SUM($M$420:Y420)/$J$419)*Y421*(Y422&lt;=$J$419)</f>
        <v>0</v>
      </c>
      <c r="Z423" s="1257">
        <f ca="1">(SUM($M$420:Z420)/$J$419)*Z421*(Z422&lt;=$J$419)</f>
        <v>0</v>
      </c>
      <c r="AA423" s="1257">
        <f ca="1">(SUM($M$420:AA420)/$J$419)*AA421*(AA422&lt;=$J$419)</f>
        <v>0</v>
      </c>
      <c r="AB423" s="1257">
        <f ca="1">(SUM($M$420:AB420)/$J$419)*AB421*(AB422&lt;=$J$419)</f>
        <v>0</v>
      </c>
      <c r="AC423" s="1257">
        <f ca="1">(SUM($M$420:AC420)/$J$419)*AC421*(AC422&lt;=$J$419)</f>
        <v>0</v>
      </c>
      <c r="AD423" s="1257">
        <f ca="1">(SUM($M$420:AD420)/$J$419)*AD421*(AD422&lt;=$J$419)</f>
        <v>0</v>
      </c>
      <c r="AE423" s="1257">
        <f ca="1">(SUM($M$420:AE420)/$J$419)*AE421*(AE422&lt;=$J$419)</f>
        <v>0</v>
      </c>
      <c r="AF423" s="1257">
        <f ca="1">(SUM($M$420:AF420)/$J$419)*AF421*(AF422&lt;=$J$419)</f>
        <v>0</v>
      </c>
      <c r="AG423" s="1257">
        <f ca="1">(SUM($M$420:AG420)/$J$419)*AG421*(AG422&lt;=$J$419)</f>
        <v>0</v>
      </c>
      <c r="AH423" s="1257">
        <f ca="1">(SUM($M$420:AH420)/$J$419)*AH421*(AH422&lt;=$J$419)</f>
        <v>0</v>
      </c>
      <c r="AI423" s="1257">
        <f ca="1">(SUM($M$420:AI420)/$J$419)*AI421*(AI422&lt;=$J$419)</f>
        <v>0</v>
      </c>
      <c r="AJ423" s="1257">
        <f ca="1">(SUM($M$420:AJ420)/$J$419)*AJ421*(AJ422&lt;=$J$419)</f>
        <v>0</v>
      </c>
      <c r="AK423" s="1257">
        <f ca="1">(SUM($M$420:AK420)/$J$419)*AK421*(AK422&lt;=$J$419)</f>
        <v>0</v>
      </c>
      <c r="AL423" s="1257">
        <f ca="1">(SUM($M$420:AL420)/$J$419)*AL421*(AL422&lt;=$J$419)</f>
        <v>0</v>
      </c>
      <c r="AM423" s="1257">
        <f ca="1">(SUM($M$420:AM420)/$J$419)*AM421*(AM422&lt;=$J$419)</f>
        <v>0</v>
      </c>
      <c r="AN423" s="1257"/>
      <c r="AO423" s="1257"/>
      <c r="AP423" s="1257"/>
      <c r="AQ423" s="1257"/>
      <c r="AR423" s="1257"/>
      <c r="AS423" s="1257"/>
      <c r="AT423" s="1257"/>
      <c r="AU423" s="1257"/>
      <c r="AV423" s="1257"/>
      <c r="AW423" s="1257"/>
      <c r="AX423" s="1257"/>
      <c r="AY423" s="1257"/>
      <c r="AZ423" s="1257"/>
      <c r="BA423" s="1257"/>
    </row>
    <row r="424" spans="1:53" outlineLevel="1">
      <c r="A424" s="320" t="s">
        <v>732</v>
      </c>
      <c r="J424" s="355"/>
      <c r="M424" s="1257"/>
      <c r="N424" s="1257"/>
      <c r="O424" s="1257"/>
      <c r="P424" s="1257"/>
      <c r="Q424" s="1257"/>
      <c r="R424" s="1257"/>
      <c r="S424" s="1257"/>
      <c r="T424" s="1257"/>
      <c r="U424" s="1257"/>
      <c r="V424" s="1257"/>
      <c r="W424" s="1257"/>
      <c r="X424" s="1257"/>
      <c r="Y424" s="1257"/>
      <c r="Z424" s="1257"/>
      <c r="AA424" s="1257"/>
      <c r="AB424" s="1257"/>
      <c r="AC424" s="1257"/>
      <c r="AD424" s="1257"/>
      <c r="AE424" s="1257"/>
      <c r="AF424" s="1257"/>
      <c r="AG424" s="1257"/>
      <c r="AH424" s="1257"/>
      <c r="AI424" s="1257"/>
      <c r="AJ424" s="1257"/>
      <c r="AK424" s="1257"/>
      <c r="AL424" s="1257"/>
      <c r="AM424" s="1257"/>
      <c r="AN424" s="1257"/>
      <c r="AO424" s="1257"/>
      <c r="AP424" s="1257"/>
      <c r="AQ424" s="1257"/>
      <c r="AR424" s="1257"/>
      <c r="AS424" s="1257"/>
      <c r="AT424" s="1257"/>
      <c r="AU424" s="1257"/>
      <c r="AV424" s="1257"/>
      <c r="AW424" s="1257"/>
      <c r="AX424" s="1257"/>
      <c r="AY424" s="1257"/>
      <c r="AZ424" s="1257"/>
      <c r="BA424" s="1257"/>
    </row>
    <row r="425" spans="1:53" outlineLevel="1">
      <c r="B425" s="320" t="s">
        <v>733</v>
      </c>
      <c r="J425" s="1252">
        <v>1</v>
      </c>
      <c r="M425" s="1257"/>
      <c r="N425" s="1257"/>
      <c r="O425" s="1257"/>
      <c r="P425" s="1257"/>
      <c r="Q425" s="1257"/>
      <c r="R425" s="1257"/>
      <c r="S425" s="1257"/>
      <c r="T425" s="1257"/>
      <c r="U425" s="1257"/>
      <c r="V425" s="1257"/>
      <c r="W425" s="1257"/>
      <c r="X425" s="1257"/>
      <c r="Y425" s="1257"/>
      <c r="Z425" s="1257"/>
      <c r="AA425" s="1257"/>
      <c r="AB425" s="1257"/>
      <c r="AC425" s="1257"/>
      <c r="AD425" s="1257"/>
      <c r="AE425" s="1257"/>
      <c r="AF425" s="1257"/>
      <c r="AG425" s="1257"/>
      <c r="AH425" s="1257"/>
      <c r="AI425" s="1257"/>
      <c r="AJ425" s="1257"/>
      <c r="AK425" s="1257"/>
      <c r="AL425" s="1257"/>
      <c r="AM425" s="1257"/>
      <c r="AN425" s="1257"/>
      <c r="AO425" s="1257"/>
      <c r="AP425" s="1257"/>
      <c r="AQ425" s="1257"/>
      <c r="AR425" s="1257"/>
      <c r="AS425" s="1257"/>
      <c r="AT425" s="1257"/>
      <c r="AU425" s="1257"/>
      <c r="AV425" s="1257"/>
      <c r="AW425" s="1257"/>
      <c r="AX425" s="1257"/>
      <c r="AY425" s="1257"/>
      <c r="AZ425" s="1257"/>
      <c r="BA425" s="1257"/>
    </row>
    <row r="426" spans="1:53" outlineLevel="1">
      <c r="B426" s="320" t="s">
        <v>734</v>
      </c>
      <c r="M426" s="1257"/>
      <c r="N426" s="1257"/>
      <c r="O426" s="1257"/>
      <c r="P426" s="1257"/>
      <c r="Q426" s="1257"/>
      <c r="R426" s="1257"/>
      <c r="S426" s="1257"/>
      <c r="T426" s="1257"/>
      <c r="U426" s="1257"/>
      <c r="V426" s="1257"/>
      <c r="W426" s="1257"/>
      <c r="X426" s="1257"/>
      <c r="Y426" s="1257"/>
      <c r="Z426" s="1257"/>
      <c r="AA426" s="1257"/>
      <c r="AB426" s="1257"/>
      <c r="AC426" s="1257"/>
      <c r="AD426" s="1257"/>
      <c r="AE426" s="1257"/>
      <c r="AF426" s="1257"/>
      <c r="AG426" s="1257"/>
      <c r="AH426" s="1257"/>
      <c r="AI426" s="1257"/>
      <c r="AJ426" s="1257"/>
      <c r="AK426" s="1257"/>
      <c r="AL426" s="1257"/>
      <c r="AM426" s="1257"/>
      <c r="AN426" s="1257"/>
      <c r="AO426" s="1257"/>
      <c r="AP426" s="1257"/>
      <c r="AQ426" s="1257"/>
      <c r="AR426" s="1257"/>
      <c r="AS426" s="1257"/>
      <c r="AT426" s="1257"/>
      <c r="AU426" s="1257"/>
      <c r="AV426" s="1257"/>
      <c r="AW426" s="1257"/>
      <c r="AX426" s="1257"/>
      <c r="AY426" s="1257"/>
      <c r="AZ426" s="1257"/>
      <c r="BA426" s="1257"/>
    </row>
    <row r="427" spans="1:53" outlineLevel="1">
      <c r="B427" s="320" t="s">
        <v>735</v>
      </c>
      <c r="J427" s="1260">
        <v>0</v>
      </c>
      <c r="M427" s="1257"/>
      <c r="N427" s="1257"/>
      <c r="O427" s="1257"/>
      <c r="P427" s="1257"/>
      <c r="Q427" s="1257"/>
      <c r="R427" s="1257"/>
      <c r="S427" s="1257"/>
      <c r="T427" s="1257"/>
      <c r="U427" s="1257"/>
      <c r="V427" s="1257"/>
      <c r="W427" s="1257"/>
      <c r="X427" s="1257"/>
      <c r="Y427" s="1257"/>
      <c r="Z427" s="1257"/>
      <c r="AA427" s="1257"/>
      <c r="AB427" s="1257"/>
      <c r="AC427" s="1257"/>
      <c r="AD427" s="1257"/>
      <c r="AE427" s="1257"/>
      <c r="AF427" s="1257"/>
      <c r="AG427" s="1257"/>
      <c r="AH427" s="1257"/>
      <c r="AI427" s="1257"/>
      <c r="AJ427" s="1257"/>
      <c r="AK427" s="1257"/>
      <c r="AL427" s="1257"/>
      <c r="AM427" s="1257"/>
      <c r="AN427" s="1257"/>
      <c r="AO427" s="1257"/>
      <c r="AP427" s="1257"/>
      <c r="AQ427" s="1257"/>
      <c r="AR427" s="1257"/>
      <c r="AS427" s="1257"/>
      <c r="AT427" s="1257"/>
      <c r="AU427" s="1257"/>
      <c r="AV427" s="1257"/>
      <c r="AW427" s="1257"/>
      <c r="AX427" s="1257"/>
      <c r="AY427" s="1257"/>
      <c r="AZ427" s="1257"/>
      <c r="BA427" s="1257"/>
    </row>
    <row r="428" spans="1:53" outlineLevel="1">
      <c r="B428" s="320" t="s">
        <v>736</v>
      </c>
      <c r="M428" s="1257"/>
      <c r="N428" s="1257"/>
      <c r="O428" s="1257"/>
      <c r="P428" s="1257"/>
      <c r="Q428" s="1257"/>
      <c r="R428" s="1257"/>
      <c r="S428" s="1257"/>
      <c r="T428" s="1257"/>
      <c r="U428" s="1257"/>
      <c r="V428" s="1257"/>
      <c r="W428" s="1257"/>
      <c r="X428" s="1257"/>
      <c r="Y428" s="1257"/>
      <c r="Z428" s="1257"/>
      <c r="AA428" s="1257"/>
      <c r="AB428" s="1257"/>
      <c r="AC428" s="1257"/>
      <c r="AD428" s="1257"/>
      <c r="AE428" s="1257"/>
      <c r="AF428" s="1257"/>
      <c r="AG428" s="1257"/>
      <c r="AH428" s="1257"/>
      <c r="AI428" s="1257"/>
      <c r="AJ428" s="1257"/>
      <c r="AK428" s="1257"/>
      <c r="AL428" s="1257"/>
      <c r="AM428" s="1257"/>
      <c r="AN428" s="1257"/>
      <c r="AO428" s="1257"/>
      <c r="AP428" s="1257"/>
      <c r="AQ428" s="1257"/>
      <c r="AR428" s="1257"/>
      <c r="AS428" s="1257"/>
      <c r="AT428" s="1257"/>
      <c r="AU428" s="1257"/>
      <c r="AV428" s="1257"/>
      <c r="AW428" s="1257"/>
      <c r="AX428" s="1257"/>
      <c r="AY428" s="1257"/>
      <c r="AZ428" s="1257"/>
      <c r="BA428" s="1257"/>
    </row>
    <row r="429" spans="1:53" outlineLevel="1">
      <c r="B429" s="320" t="s">
        <v>737</v>
      </c>
      <c r="J429" s="323"/>
      <c r="M429" s="1257"/>
      <c r="N429" s="1257"/>
      <c r="O429" s="1257"/>
      <c r="P429" s="1257"/>
      <c r="Q429" s="1257"/>
      <c r="R429" s="1257"/>
      <c r="S429" s="1257"/>
      <c r="T429" s="1257"/>
      <c r="U429" s="1257"/>
      <c r="V429" s="1257"/>
      <c r="W429" s="1257"/>
      <c r="X429" s="1257"/>
      <c r="Y429" s="1257"/>
      <c r="Z429" s="1257"/>
      <c r="AA429" s="1257"/>
      <c r="AB429" s="1257"/>
      <c r="AC429" s="1257"/>
      <c r="AD429" s="1257"/>
      <c r="AE429" s="1257"/>
      <c r="AF429" s="1257"/>
      <c r="AG429" s="1257"/>
      <c r="AH429" s="1257"/>
      <c r="AI429" s="1257"/>
      <c r="AJ429" s="1257"/>
      <c r="AK429" s="1257"/>
      <c r="AL429" s="1257"/>
      <c r="AM429" s="1257"/>
      <c r="AN429" s="1257"/>
      <c r="AO429" s="1257"/>
      <c r="AP429" s="1257"/>
      <c r="AQ429" s="1257"/>
      <c r="AR429" s="1257"/>
      <c r="AS429" s="1257"/>
      <c r="AT429" s="1257"/>
      <c r="AU429" s="1257"/>
      <c r="AV429" s="1257"/>
      <c r="AW429" s="1257"/>
      <c r="AX429" s="1257"/>
      <c r="AY429" s="1257"/>
      <c r="AZ429" s="1257"/>
      <c r="BA429" s="1257"/>
    </row>
    <row r="430" spans="1:53" outlineLevel="1">
      <c r="C430" s="320" t="s">
        <v>738</v>
      </c>
      <c r="J430" s="1262">
        <v>0.125</v>
      </c>
      <c r="M430" s="1257"/>
      <c r="N430" s="1257"/>
      <c r="O430" s="1257"/>
      <c r="P430" s="1257"/>
      <c r="Q430" s="1257"/>
      <c r="R430" s="1257"/>
      <c r="S430" s="1257"/>
      <c r="T430" s="1257"/>
      <c r="U430" s="1257"/>
      <c r="V430" s="1257"/>
      <c r="W430" s="1257"/>
      <c r="X430" s="1257"/>
      <c r="Y430" s="1257"/>
      <c r="Z430" s="1257"/>
      <c r="AA430" s="1257"/>
      <c r="AB430" s="1257"/>
      <c r="AC430" s="1257"/>
      <c r="AD430" s="1257"/>
      <c r="AE430" s="1257"/>
      <c r="AF430" s="1257"/>
      <c r="AG430" s="1257"/>
      <c r="AH430" s="1257"/>
      <c r="AI430" s="1257"/>
      <c r="AJ430" s="1257"/>
      <c r="AK430" s="1257"/>
      <c r="AL430" s="1257"/>
      <c r="AM430" s="1257"/>
      <c r="AN430" s="1257"/>
      <c r="AO430" s="1257"/>
      <c r="AP430" s="1257"/>
      <c r="AQ430" s="1257"/>
      <c r="AR430" s="1257"/>
      <c r="AS430" s="1257"/>
      <c r="AT430" s="1257"/>
      <c r="AU430" s="1257"/>
      <c r="AV430" s="1257"/>
      <c r="AW430" s="1257"/>
      <c r="AX430" s="1257"/>
      <c r="AY430" s="1257"/>
      <c r="AZ430" s="1257"/>
      <c r="BA430" s="1257"/>
    </row>
    <row r="431" spans="1:53" outlineLevel="1">
      <c r="C431" s="320" t="s">
        <v>739</v>
      </c>
      <c r="J431" s="1262">
        <v>5.5E-2</v>
      </c>
      <c r="M431" s="1257"/>
      <c r="N431" s="1257"/>
      <c r="O431" s="1257"/>
      <c r="P431" s="1257"/>
      <c r="Q431" s="1257"/>
      <c r="R431" s="1257"/>
      <c r="S431" s="1257"/>
      <c r="T431" s="1257"/>
      <c r="U431" s="1257"/>
      <c r="V431" s="1257"/>
      <c r="W431" s="1257"/>
      <c r="X431" s="1257"/>
      <c r="Y431" s="1257"/>
      <c r="Z431" s="1257"/>
      <c r="AA431" s="1257"/>
      <c r="AB431" s="1257"/>
      <c r="AC431" s="1257"/>
      <c r="AD431" s="1257"/>
      <c r="AE431" s="1257"/>
      <c r="AF431" s="1257"/>
      <c r="AG431" s="1257"/>
      <c r="AH431" s="1257"/>
      <c r="AI431" s="1257"/>
      <c r="AJ431" s="1257"/>
      <c r="AK431" s="1257"/>
      <c r="AL431" s="1257"/>
      <c r="AM431" s="1257"/>
      <c r="AN431" s="1257"/>
      <c r="AO431" s="1257"/>
      <c r="AP431" s="1257"/>
      <c r="AQ431" s="1257"/>
      <c r="AR431" s="1257"/>
      <c r="AS431" s="1257"/>
      <c r="AT431" s="1257"/>
      <c r="AU431" s="1257"/>
      <c r="AV431" s="1257"/>
      <c r="AW431" s="1257"/>
      <c r="AX431" s="1257"/>
      <c r="AY431" s="1257"/>
      <c r="AZ431" s="1257"/>
      <c r="BA431" s="1257"/>
    </row>
    <row r="432" spans="1:53" outlineLevel="1">
      <c r="B432" s="320" t="s">
        <v>737</v>
      </c>
      <c r="J432" s="1234">
        <f>J430+J431</f>
        <v>0.18</v>
      </c>
      <c r="M432" s="1257"/>
      <c r="N432" s="1257"/>
      <c r="O432" s="1257"/>
      <c r="P432" s="1257"/>
      <c r="Q432" s="1257"/>
      <c r="R432" s="1257"/>
      <c r="S432" s="1257"/>
      <c r="T432" s="1257"/>
      <c r="U432" s="1257"/>
      <c r="V432" s="1257"/>
      <c r="W432" s="1257"/>
      <c r="X432" s="1257"/>
      <c r="Y432" s="1257"/>
      <c r="Z432" s="1257"/>
      <c r="AA432" s="1257"/>
      <c r="AB432" s="1257"/>
      <c r="AC432" s="1257"/>
      <c r="AD432" s="1257"/>
      <c r="AE432" s="1257"/>
      <c r="AF432" s="1257"/>
      <c r="AG432" s="1257"/>
      <c r="AH432" s="1257"/>
      <c r="AI432" s="1257"/>
      <c r="AJ432" s="1257"/>
      <c r="AK432" s="1257"/>
      <c r="AL432" s="1257"/>
      <c r="AM432" s="1257"/>
      <c r="AN432" s="1257"/>
      <c r="AO432" s="1257"/>
      <c r="AP432" s="1257"/>
      <c r="AQ432" s="1257"/>
      <c r="AR432" s="1257"/>
      <c r="AS432" s="1257"/>
      <c r="AT432" s="1257"/>
      <c r="AU432" s="1257"/>
      <c r="AV432" s="1257"/>
      <c r="AW432" s="1257"/>
      <c r="AX432" s="1257"/>
      <c r="AY432" s="1257"/>
      <c r="AZ432" s="1257"/>
      <c r="BA432" s="1257"/>
    </row>
    <row r="433" spans="1:54" outlineLevel="1">
      <c r="B433" s="320" t="s">
        <v>740</v>
      </c>
      <c r="J433" s="1230">
        <v>5</v>
      </c>
      <c r="M433" s="1257"/>
      <c r="N433" s="1257"/>
      <c r="O433" s="1257"/>
      <c r="P433" s="1257"/>
      <c r="Q433" s="1257"/>
      <c r="R433" s="1257"/>
      <c r="S433" s="1257"/>
      <c r="T433" s="1257"/>
      <c r="U433" s="1257"/>
      <c r="V433" s="1257"/>
      <c r="W433" s="1257"/>
      <c r="X433" s="1257"/>
      <c r="Y433" s="1257"/>
      <c r="Z433" s="1257"/>
      <c r="AA433" s="1257"/>
      <c r="AB433" s="1257"/>
      <c r="AC433" s="1257"/>
      <c r="AD433" s="1257"/>
      <c r="AE433" s="1257"/>
      <c r="AF433" s="1257"/>
      <c r="AG433" s="1257"/>
      <c r="AH433" s="1257"/>
      <c r="AI433" s="1257"/>
      <c r="AJ433" s="1257"/>
      <c r="AK433" s="1257"/>
      <c r="AL433" s="1257"/>
      <c r="AM433" s="1257"/>
      <c r="AN433" s="1257"/>
      <c r="AO433" s="1257"/>
      <c r="AP433" s="1257"/>
      <c r="AQ433" s="1257"/>
      <c r="AR433" s="1257"/>
      <c r="AS433" s="1257"/>
      <c r="AT433" s="1257"/>
      <c r="AU433" s="1257"/>
      <c r="AV433" s="1257"/>
      <c r="AW433" s="1257"/>
      <c r="AX433" s="1257"/>
      <c r="AY433" s="1257"/>
      <c r="AZ433" s="1257"/>
      <c r="BA433" s="1257"/>
    </row>
    <row r="434" spans="1:54" ht="12" outlineLevel="1" thickBot="1">
      <c r="B434" s="320" t="s">
        <v>741</v>
      </c>
      <c r="J434" s="1263">
        <v>1</v>
      </c>
      <c r="M434" s="1257"/>
      <c r="N434" s="1257"/>
      <c r="O434" s="1257"/>
      <c r="P434" s="1257"/>
      <c r="Q434" s="1257"/>
      <c r="R434" s="1257"/>
      <c r="S434" s="1257"/>
      <c r="T434" s="1257"/>
      <c r="U434" s="1257"/>
      <c r="V434" s="1257"/>
      <c r="W434" s="1257"/>
      <c r="X434" s="1257"/>
      <c r="Y434" s="1257"/>
      <c r="Z434" s="1257"/>
      <c r="AA434" s="1257"/>
      <c r="AB434" s="1257"/>
      <c r="AC434" s="1257"/>
      <c r="AD434" s="1257"/>
      <c r="AE434" s="1257"/>
      <c r="AF434" s="1257"/>
      <c r="AG434" s="1257"/>
      <c r="AH434" s="1257"/>
      <c r="AI434" s="1257"/>
      <c r="AJ434" s="1257"/>
      <c r="AK434" s="1257"/>
      <c r="AL434" s="1257"/>
      <c r="AM434" s="1257"/>
      <c r="AN434" s="1257"/>
      <c r="AO434" s="1257"/>
      <c r="AP434" s="1257"/>
      <c r="AQ434" s="1257"/>
      <c r="AR434" s="1257"/>
      <c r="AS434" s="1257"/>
      <c r="AT434" s="1257"/>
      <c r="AU434" s="1257"/>
      <c r="AV434" s="1257"/>
      <c r="AW434" s="1257"/>
      <c r="AX434" s="1257"/>
      <c r="AY434" s="1257"/>
      <c r="AZ434" s="1257"/>
      <c r="BA434" s="1257"/>
    </row>
    <row r="435" spans="1:54" ht="12" thickBot="1">
      <c r="A435" s="329" t="s">
        <v>742</v>
      </c>
      <c r="B435" s="330"/>
      <c r="C435" s="330"/>
      <c r="D435" s="330"/>
      <c r="E435" s="330"/>
      <c r="F435" s="330"/>
      <c r="G435" s="330"/>
      <c r="H435" s="331"/>
      <c r="I435" s="332"/>
      <c r="J435" s="330"/>
      <c r="K435" s="330"/>
      <c r="L435" s="330"/>
      <c r="M435" s="330"/>
      <c r="N435" s="330"/>
      <c r="O435" s="330"/>
      <c r="P435" s="330"/>
      <c r="Q435" s="330"/>
      <c r="R435" s="330"/>
      <c r="S435" s="330"/>
      <c r="T435" s="330"/>
      <c r="U435" s="330"/>
      <c r="V435" s="330"/>
      <c r="W435" s="330"/>
      <c r="X435" s="330"/>
      <c r="Y435" s="330"/>
      <c r="Z435" s="330"/>
      <c r="AA435" s="330"/>
      <c r="AB435" s="330"/>
      <c r="AC435" s="330"/>
      <c r="AD435" s="330"/>
      <c r="AE435" s="330"/>
      <c r="AF435" s="330"/>
      <c r="AG435" s="330"/>
      <c r="AH435" s="330"/>
      <c r="AI435" s="330"/>
      <c r="AJ435" s="330"/>
      <c r="AK435" s="330"/>
      <c r="AL435" s="330"/>
      <c r="AM435" s="330"/>
      <c r="AN435" s="330"/>
      <c r="AO435" s="330"/>
      <c r="AP435" s="330"/>
      <c r="AQ435" s="330"/>
      <c r="AR435" s="330"/>
      <c r="AS435" s="330"/>
      <c r="AT435" s="330"/>
      <c r="AU435" s="330"/>
      <c r="AV435" s="330"/>
      <c r="AW435" s="330"/>
      <c r="AX435" s="330"/>
      <c r="AY435" s="330"/>
      <c r="AZ435" s="330"/>
      <c r="BA435" s="330"/>
      <c r="BB435" s="330"/>
    </row>
    <row r="436" spans="1:54" outlineLevel="1">
      <c r="C436" s="320" t="s">
        <v>1261</v>
      </c>
      <c r="M436" s="359"/>
      <c r="N436" s="359"/>
      <c r="O436" s="359"/>
      <c r="P436" s="359"/>
      <c r="Q436" s="359"/>
      <c r="R436" s="359"/>
      <c r="S436" s="359"/>
      <c r="T436" s="359"/>
      <c r="U436" s="359"/>
      <c r="V436" s="359"/>
      <c r="W436" s="359"/>
      <c r="X436" s="359"/>
      <c r="Y436" s="359"/>
      <c r="Z436" s="359"/>
      <c r="AA436" s="359"/>
      <c r="AB436" s="359"/>
      <c r="AC436" s="359"/>
      <c r="AD436" s="359"/>
      <c r="AE436" s="359"/>
      <c r="AF436" s="359"/>
      <c r="AG436" s="359"/>
      <c r="AH436" s="359"/>
      <c r="AI436" s="359"/>
      <c r="AJ436" s="359"/>
      <c r="AK436" s="359"/>
      <c r="AL436" s="359"/>
      <c r="AM436" s="359"/>
      <c r="AN436" s="359"/>
      <c r="AO436" s="359"/>
      <c r="AP436" s="359"/>
      <c r="AQ436" s="359"/>
      <c r="AR436" s="359"/>
      <c r="AS436" s="359"/>
      <c r="AT436" s="359"/>
      <c r="AU436" s="359"/>
      <c r="AV436" s="359"/>
      <c r="AW436" s="359"/>
      <c r="AX436" s="359"/>
      <c r="AY436" s="359"/>
      <c r="AZ436" s="359"/>
      <c r="BA436" s="359"/>
    </row>
    <row r="437" spans="1:54" outlineLevel="1">
      <c r="C437" s="320" t="s">
        <v>1334</v>
      </c>
      <c r="D437" s="320" t="s">
        <v>743</v>
      </c>
      <c r="H437" s="322" t="s">
        <v>744</v>
      </c>
      <c r="I437" s="323" t="s">
        <v>18</v>
      </c>
      <c r="J437" s="1260">
        <f>IF(J452="YES",0,30%)</f>
        <v>0.3</v>
      </c>
      <c r="M437" s="359"/>
      <c r="N437" s="359"/>
      <c r="O437" s="359"/>
      <c r="P437" s="359"/>
      <c r="Q437" s="359"/>
      <c r="R437" s="359"/>
      <c r="S437" s="359"/>
      <c r="T437" s="359"/>
      <c r="U437" s="359"/>
      <c r="V437" s="359"/>
    </row>
    <row r="438" spans="1:54" outlineLevel="1">
      <c r="C438" s="320" t="s">
        <v>1335</v>
      </c>
      <c r="D438" s="320" t="s">
        <v>202</v>
      </c>
      <c r="H438" s="322" t="s">
        <v>744</v>
      </c>
      <c r="I438" s="323" t="s">
        <v>18</v>
      </c>
      <c r="J438" s="1260">
        <f>IF(J452="YES",0,3%)</f>
        <v>0.03</v>
      </c>
    </row>
    <row r="439" spans="1:54" outlineLevel="1">
      <c r="D439" s="320" t="s">
        <v>745</v>
      </c>
      <c r="I439" s="323" t="s">
        <v>18</v>
      </c>
      <c r="J439" s="1252">
        <f>SUM(J437:J438)</f>
        <v>0.32999999999999996</v>
      </c>
    </row>
    <row r="440" spans="1:54" outlineLevel="1">
      <c r="C440" s="320" t="s">
        <v>746</v>
      </c>
      <c r="K440" s="320" t="s">
        <v>747</v>
      </c>
    </row>
    <row r="441" spans="1:54" outlineLevel="1">
      <c r="D441" s="320" t="s">
        <v>748</v>
      </c>
      <c r="H441" s="322" t="s">
        <v>744</v>
      </c>
      <c r="I441" s="323" t="s">
        <v>749</v>
      </c>
      <c r="J441" s="353">
        <v>500000</v>
      </c>
    </row>
    <row r="442" spans="1:54" outlineLevel="1">
      <c r="E442" s="320" t="s">
        <v>750</v>
      </c>
    </row>
    <row r="443" spans="1:54" outlineLevel="1">
      <c r="F443" s="320" t="s">
        <v>751</v>
      </c>
      <c r="H443" s="322" t="s">
        <v>744</v>
      </c>
      <c r="I443" s="323" t="s">
        <v>18</v>
      </c>
      <c r="J443" s="1233">
        <v>5.0000000000000001E-3</v>
      </c>
    </row>
    <row r="444" spans="1:54" outlineLevel="1">
      <c r="F444" s="320" t="s">
        <v>752</v>
      </c>
      <c r="H444" s="322" t="s">
        <v>744</v>
      </c>
      <c r="I444" s="323" t="s">
        <v>18</v>
      </c>
      <c r="J444" s="1233">
        <v>5.0000000000000001E-3</v>
      </c>
    </row>
    <row r="445" spans="1:54" outlineLevel="1">
      <c r="F445" s="320" t="s">
        <v>753</v>
      </c>
      <c r="H445" s="322" t="s">
        <v>744</v>
      </c>
      <c r="I445" s="323" t="s">
        <v>18</v>
      </c>
      <c r="J445" s="1233">
        <v>5.0000000000000001E-3</v>
      </c>
    </row>
    <row r="446" spans="1:54" outlineLevel="1">
      <c r="F446" s="320" t="s">
        <v>754</v>
      </c>
      <c r="H446" s="322" t="s">
        <v>744</v>
      </c>
      <c r="I446" s="323" t="s">
        <v>18</v>
      </c>
      <c r="J446" s="1233">
        <v>5.0000000000000001E-3</v>
      </c>
    </row>
    <row r="447" spans="1:54" outlineLevel="1">
      <c r="D447" s="360" t="s">
        <v>755</v>
      </c>
    </row>
    <row r="448" spans="1:54" outlineLevel="1">
      <c r="F448" s="320" t="s">
        <v>756</v>
      </c>
      <c r="H448" s="322" t="s">
        <v>744</v>
      </c>
      <c r="I448" s="323" t="s">
        <v>18</v>
      </c>
      <c r="J448" s="1237">
        <v>1.25E-3</v>
      </c>
    </row>
    <row r="449" spans="1:53" outlineLevel="1">
      <c r="J449" s="1237"/>
    </row>
    <row r="450" spans="1:53" outlineLevel="1">
      <c r="J450" s="1237"/>
    </row>
    <row r="451" spans="1:53" ht="12" outlineLevel="1" thickBot="1"/>
    <row r="452" spans="1:53" ht="12" outlineLevel="1" thickBot="1">
      <c r="C452" s="344" t="s">
        <v>1336</v>
      </c>
      <c r="J452" s="1163" t="s">
        <v>1337</v>
      </c>
    </row>
    <row r="453" spans="1:53" outlineLevel="1">
      <c r="J453" s="1264"/>
    </row>
    <row r="454" spans="1:53" outlineLevel="1">
      <c r="J454" s="1237"/>
    </row>
    <row r="455" spans="1:53" outlineLevel="1">
      <c r="J455" s="1237"/>
    </row>
    <row r="456" spans="1:53" outlineLevel="1">
      <c r="J456" s="1237"/>
    </row>
    <row r="457" spans="1:53" outlineLevel="1">
      <c r="J457" s="1237"/>
    </row>
    <row r="458" spans="1:53" outlineLevel="1">
      <c r="J458" s="1237"/>
    </row>
    <row r="459" spans="1:53" outlineLevel="1">
      <c r="J459" s="1237"/>
    </row>
    <row r="460" spans="1:53" ht="12" thickBot="1"/>
    <row r="461" spans="1:53" s="330" customFormat="1" ht="18.75" customHeight="1" thickBot="1">
      <c r="A461" s="329" t="s">
        <v>757</v>
      </c>
      <c r="H461" s="331"/>
      <c r="I461" s="332"/>
    </row>
    <row r="462" spans="1:53" s="485" customFormat="1" ht="18.75" customHeight="1">
      <c r="A462" s="1730"/>
      <c r="H462" s="1731"/>
      <c r="I462" s="1166"/>
    </row>
    <row r="463" spans="1:53" s="485" customFormat="1" ht="18.75" customHeight="1">
      <c r="A463" s="1730"/>
      <c r="C463" s="344" t="s">
        <v>1819</v>
      </c>
      <c r="H463" s="1731"/>
      <c r="I463" s="1166"/>
    </row>
    <row r="464" spans="1:53" s="485" customFormat="1" ht="18.75" customHeight="1">
      <c r="A464" s="1730"/>
      <c r="C464" s="485" t="s">
        <v>1800</v>
      </c>
      <c r="H464" s="1731"/>
      <c r="I464" s="1166"/>
      <c r="J464" s="431"/>
      <c r="M464" s="1245"/>
      <c r="N464" s="1245"/>
      <c r="O464" s="1245"/>
      <c r="P464" s="1245"/>
      <c r="Q464" s="1245"/>
      <c r="R464" s="1245"/>
      <c r="S464" s="1245"/>
      <c r="T464" s="1245"/>
      <c r="U464" s="1245"/>
      <c r="V464" s="1245"/>
      <c r="W464" s="1245"/>
      <c r="X464" s="1245"/>
      <c r="Y464" s="1245"/>
      <c r="Z464" s="1245"/>
      <c r="AA464" s="1245"/>
      <c r="AB464" s="1245"/>
      <c r="AC464" s="1245"/>
      <c r="AD464" s="1245"/>
      <c r="AE464" s="1245"/>
      <c r="AF464" s="1245"/>
      <c r="AG464" s="1245"/>
      <c r="AH464" s="1245"/>
      <c r="AI464" s="1245"/>
      <c r="AJ464" s="1245"/>
      <c r="AK464" s="1245"/>
      <c r="AL464" s="1245"/>
      <c r="AM464" s="1245"/>
      <c r="AN464" s="1245"/>
      <c r="AO464" s="1245"/>
      <c r="AP464" s="1245"/>
      <c r="AQ464" s="1245"/>
      <c r="AR464" s="1245"/>
      <c r="AS464" s="1245"/>
      <c r="AT464" s="1245"/>
      <c r="AU464" s="1245"/>
      <c r="AV464" s="1245"/>
      <c r="AW464" s="1245"/>
      <c r="AX464" s="1245"/>
      <c r="AY464" s="1245"/>
      <c r="AZ464" s="1245"/>
      <c r="BA464" s="1245"/>
    </row>
    <row r="465" spans="1:53" s="485" customFormat="1" ht="18.75" customHeight="1">
      <c r="A465" s="1730"/>
      <c r="C465" s="485" t="s">
        <v>1801</v>
      </c>
      <c r="H465" s="1731"/>
      <c r="I465" s="1166"/>
      <c r="J465" s="431"/>
      <c r="M465" s="1245">
        <f t="shared" ref="M465:AP465" si="100">M137</f>
        <v>0</v>
      </c>
      <c r="N465" s="1245">
        <f t="shared" si="100"/>
        <v>975000</v>
      </c>
      <c r="O465" s="1245">
        <f t="shared" ca="1" si="100"/>
        <v>1218750</v>
      </c>
      <c r="P465" s="1245">
        <f t="shared" ca="1" si="100"/>
        <v>1425000</v>
      </c>
      <c r="Q465" s="1245">
        <f t="shared" ca="1" si="100"/>
        <v>1425000</v>
      </c>
      <c r="R465" s="1245">
        <f t="shared" ca="1" si="100"/>
        <v>1425000</v>
      </c>
      <c r="S465" s="1245">
        <f t="shared" ca="1" si="100"/>
        <v>1425000</v>
      </c>
      <c r="T465" s="1245">
        <f t="shared" ca="1" si="100"/>
        <v>1425000</v>
      </c>
      <c r="U465" s="1245">
        <f t="shared" ca="1" si="100"/>
        <v>1425000</v>
      </c>
      <c r="V465" s="1245">
        <f t="shared" ca="1" si="100"/>
        <v>1425000</v>
      </c>
      <c r="W465" s="1245">
        <f t="shared" ca="1" si="100"/>
        <v>1425000</v>
      </c>
      <c r="X465" s="1245">
        <f t="shared" ca="1" si="100"/>
        <v>1425000</v>
      </c>
      <c r="Y465" s="1245">
        <f t="shared" ca="1" si="100"/>
        <v>1425000</v>
      </c>
      <c r="Z465" s="1245">
        <f t="shared" ca="1" si="100"/>
        <v>1425000</v>
      </c>
      <c r="AA465" s="1245">
        <f t="shared" ca="1" si="100"/>
        <v>1425000</v>
      </c>
      <c r="AB465" s="1245">
        <f t="shared" ca="1" si="100"/>
        <v>1425000</v>
      </c>
      <c r="AC465" s="1245">
        <f t="shared" ca="1" si="100"/>
        <v>1425000</v>
      </c>
      <c r="AD465" s="1245">
        <f t="shared" ca="1" si="100"/>
        <v>1425000</v>
      </c>
      <c r="AE465" s="1245">
        <f t="shared" ca="1" si="100"/>
        <v>1425000</v>
      </c>
      <c r="AF465" s="1245">
        <f t="shared" ca="1" si="100"/>
        <v>1425000</v>
      </c>
      <c r="AG465" s="1245">
        <f t="shared" ca="1" si="100"/>
        <v>1425000</v>
      </c>
      <c r="AH465" s="1245">
        <f t="shared" ca="1" si="100"/>
        <v>1425000</v>
      </c>
      <c r="AI465" s="1245">
        <f t="shared" ca="1" si="100"/>
        <v>1425000</v>
      </c>
      <c r="AJ465" s="1245">
        <f t="shared" ca="1" si="100"/>
        <v>1425000</v>
      </c>
      <c r="AK465" s="1245">
        <f t="shared" ca="1" si="100"/>
        <v>1425000</v>
      </c>
      <c r="AL465" s="1245">
        <f t="shared" ca="1" si="100"/>
        <v>1425000</v>
      </c>
      <c r="AM465" s="1245">
        <f t="shared" ca="1" si="100"/>
        <v>1425000</v>
      </c>
      <c r="AN465" s="1245">
        <f t="shared" ca="1" si="100"/>
        <v>1425000</v>
      </c>
      <c r="AO465" s="1245">
        <f t="shared" ca="1" si="100"/>
        <v>1425000</v>
      </c>
      <c r="AP465" s="1245">
        <f t="shared" ca="1" si="100"/>
        <v>1425000</v>
      </c>
      <c r="AQ465" s="1245"/>
      <c r="AR465" s="1245"/>
      <c r="AS465" s="1245"/>
      <c r="AT465" s="1245"/>
      <c r="AU465" s="1245"/>
      <c r="AV465" s="1245"/>
      <c r="AW465" s="1245"/>
      <c r="AX465" s="1245"/>
      <c r="AY465" s="1245"/>
      <c r="AZ465" s="1245"/>
      <c r="BA465" s="1245"/>
    </row>
    <row r="466" spans="1:53" s="485" customFormat="1" ht="18.75" customHeight="1">
      <c r="A466" s="1730"/>
      <c r="C466" s="485" t="s">
        <v>1802</v>
      </c>
      <c r="H466" s="1731"/>
      <c r="I466" s="1166"/>
      <c r="J466" s="431"/>
      <c r="M466" s="1245">
        <f t="shared" ref="M466:AP466" si="101">M138</f>
        <v>0</v>
      </c>
      <c r="N466" s="1245">
        <f t="shared" si="101"/>
        <v>0</v>
      </c>
      <c r="O466" s="1245">
        <f t="shared" si="101"/>
        <v>650000</v>
      </c>
      <c r="P466" s="1245">
        <f t="shared" ca="1" si="101"/>
        <v>812500</v>
      </c>
      <c r="Q466" s="1245">
        <f t="shared" ca="1" si="101"/>
        <v>950000</v>
      </c>
      <c r="R466" s="1245">
        <f t="shared" ca="1" si="101"/>
        <v>950000</v>
      </c>
      <c r="S466" s="1245">
        <f t="shared" ca="1" si="101"/>
        <v>950000</v>
      </c>
      <c r="T466" s="1245">
        <f t="shared" ca="1" si="101"/>
        <v>950000</v>
      </c>
      <c r="U466" s="1245">
        <f t="shared" ca="1" si="101"/>
        <v>950000</v>
      </c>
      <c r="V466" s="1245">
        <f t="shared" ca="1" si="101"/>
        <v>950000</v>
      </c>
      <c r="W466" s="1245">
        <f t="shared" ca="1" si="101"/>
        <v>950000</v>
      </c>
      <c r="X466" s="1245">
        <f t="shared" ca="1" si="101"/>
        <v>950000</v>
      </c>
      <c r="Y466" s="1245">
        <f t="shared" ca="1" si="101"/>
        <v>950000</v>
      </c>
      <c r="Z466" s="1245">
        <f t="shared" ca="1" si="101"/>
        <v>950000</v>
      </c>
      <c r="AA466" s="1245">
        <f t="shared" ca="1" si="101"/>
        <v>950000</v>
      </c>
      <c r="AB466" s="1245">
        <f t="shared" ca="1" si="101"/>
        <v>950000</v>
      </c>
      <c r="AC466" s="1245">
        <f t="shared" ca="1" si="101"/>
        <v>950000</v>
      </c>
      <c r="AD466" s="1245">
        <f t="shared" ca="1" si="101"/>
        <v>950000</v>
      </c>
      <c r="AE466" s="1245">
        <f t="shared" ca="1" si="101"/>
        <v>950000</v>
      </c>
      <c r="AF466" s="1245">
        <f t="shared" ca="1" si="101"/>
        <v>950000</v>
      </c>
      <c r="AG466" s="1245">
        <f t="shared" ca="1" si="101"/>
        <v>950000</v>
      </c>
      <c r="AH466" s="1245">
        <f t="shared" ca="1" si="101"/>
        <v>950000</v>
      </c>
      <c r="AI466" s="1245">
        <f t="shared" ca="1" si="101"/>
        <v>950000</v>
      </c>
      <c r="AJ466" s="1245">
        <f t="shared" ca="1" si="101"/>
        <v>950000</v>
      </c>
      <c r="AK466" s="1245">
        <f t="shared" ca="1" si="101"/>
        <v>950000</v>
      </c>
      <c r="AL466" s="1245">
        <f t="shared" ca="1" si="101"/>
        <v>950000</v>
      </c>
      <c r="AM466" s="1245">
        <f t="shared" ca="1" si="101"/>
        <v>950000</v>
      </c>
      <c r="AN466" s="1245">
        <f t="shared" ca="1" si="101"/>
        <v>950000</v>
      </c>
      <c r="AO466" s="1245">
        <f t="shared" ca="1" si="101"/>
        <v>950000</v>
      </c>
      <c r="AP466" s="1245">
        <f t="shared" ca="1" si="101"/>
        <v>950000</v>
      </c>
      <c r="AQ466" s="1245"/>
      <c r="AR466" s="1245"/>
      <c r="AS466" s="1245"/>
      <c r="AT466" s="1245"/>
      <c r="AU466" s="1245"/>
      <c r="AV466" s="1245"/>
      <c r="AW466" s="1245"/>
      <c r="AX466" s="1245"/>
      <c r="AY466" s="1245"/>
      <c r="AZ466" s="1245"/>
      <c r="BA466" s="1245"/>
    </row>
    <row r="467" spans="1:53" s="485" customFormat="1" ht="18.75" customHeight="1">
      <c r="A467" s="1730"/>
      <c r="C467" s="485" t="s">
        <v>2111</v>
      </c>
      <c r="H467" s="1731"/>
      <c r="I467" s="1166"/>
      <c r="J467" s="431"/>
      <c r="M467" s="1245">
        <f t="shared" ref="M467:AP467" si="102">M139</f>
        <v>0</v>
      </c>
      <c r="N467" s="1245">
        <f t="shared" si="102"/>
        <v>0</v>
      </c>
      <c r="O467" s="1245">
        <f t="shared" si="102"/>
        <v>0</v>
      </c>
      <c r="P467" s="1245">
        <f t="shared" ca="1" si="102"/>
        <v>0</v>
      </c>
      <c r="Q467" s="1245">
        <f t="shared" ca="1" si="102"/>
        <v>0</v>
      </c>
      <c r="R467" s="1245">
        <f t="shared" ca="1" si="102"/>
        <v>0</v>
      </c>
      <c r="S467" s="1245">
        <f t="shared" ca="1" si="102"/>
        <v>0</v>
      </c>
      <c r="T467" s="1245">
        <f t="shared" ca="1" si="102"/>
        <v>0</v>
      </c>
      <c r="U467" s="1245">
        <f t="shared" ca="1" si="102"/>
        <v>0</v>
      </c>
      <c r="V467" s="1245">
        <f t="shared" ca="1" si="102"/>
        <v>0</v>
      </c>
      <c r="W467" s="1245">
        <f t="shared" ca="1" si="102"/>
        <v>0</v>
      </c>
      <c r="X467" s="1245">
        <f t="shared" ca="1" si="102"/>
        <v>0</v>
      </c>
      <c r="Y467" s="1245">
        <f t="shared" ca="1" si="102"/>
        <v>0</v>
      </c>
      <c r="Z467" s="1245">
        <f t="shared" ca="1" si="102"/>
        <v>0</v>
      </c>
      <c r="AA467" s="1245">
        <f t="shared" ca="1" si="102"/>
        <v>0</v>
      </c>
      <c r="AB467" s="1245">
        <f t="shared" ca="1" si="102"/>
        <v>0</v>
      </c>
      <c r="AC467" s="1245">
        <f t="shared" ca="1" si="102"/>
        <v>0</v>
      </c>
      <c r="AD467" s="1245">
        <f t="shared" ca="1" si="102"/>
        <v>0</v>
      </c>
      <c r="AE467" s="1245">
        <f t="shared" ca="1" si="102"/>
        <v>0</v>
      </c>
      <c r="AF467" s="1245">
        <f t="shared" ca="1" si="102"/>
        <v>0</v>
      </c>
      <c r="AG467" s="1245">
        <f t="shared" ca="1" si="102"/>
        <v>0</v>
      </c>
      <c r="AH467" s="1245">
        <f t="shared" ca="1" si="102"/>
        <v>0</v>
      </c>
      <c r="AI467" s="1245">
        <f t="shared" ca="1" si="102"/>
        <v>0</v>
      </c>
      <c r="AJ467" s="1245">
        <f t="shared" ca="1" si="102"/>
        <v>0</v>
      </c>
      <c r="AK467" s="1245">
        <f t="shared" ca="1" si="102"/>
        <v>0</v>
      </c>
      <c r="AL467" s="1245">
        <f t="shared" ca="1" si="102"/>
        <v>0</v>
      </c>
      <c r="AM467" s="1245">
        <f t="shared" ca="1" si="102"/>
        <v>0</v>
      </c>
      <c r="AN467" s="1245">
        <f t="shared" ca="1" si="102"/>
        <v>0</v>
      </c>
      <c r="AO467" s="1245">
        <f t="shared" ca="1" si="102"/>
        <v>0</v>
      </c>
      <c r="AP467" s="1245">
        <f t="shared" ca="1" si="102"/>
        <v>0</v>
      </c>
      <c r="AQ467" s="1245"/>
      <c r="AR467" s="1245"/>
      <c r="AS467" s="1245"/>
      <c r="AT467" s="1245"/>
      <c r="AU467" s="1245"/>
      <c r="AV467" s="1245"/>
      <c r="AW467" s="1245"/>
      <c r="AX467" s="1245"/>
      <c r="AY467" s="1245"/>
      <c r="AZ467" s="1245"/>
      <c r="BA467" s="1245"/>
    </row>
    <row r="468" spans="1:53" s="485" customFormat="1" ht="18.75" customHeight="1">
      <c r="A468" s="1730"/>
      <c r="C468" s="485" t="s">
        <v>1803</v>
      </c>
      <c r="H468" s="1731"/>
      <c r="I468" s="1166"/>
      <c r="J468" s="431"/>
      <c r="M468" s="1245">
        <f t="shared" ref="M468:AP468" si="103">M140</f>
        <v>0</v>
      </c>
      <c r="N468" s="1245">
        <f t="shared" si="103"/>
        <v>0</v>
      </c>
      <c r="O468" s="1245">
        <f t="shared" ca="1" si="103"/>
        <v>0</v>
      </c>
      <c r="P468" s="1245">
        <f t="shared" ca="1" si="103"/>
        <v>0</v>
      </c>
      <c r="Q468" s="1245">
        <f t="shared" ca="1" si="103"/>
        <v>0</v>
      </c>
      <c r="R468" s="1245">
        <f t="shared" ca="1" si="103"/>
        <v>0</v>
      </c>
      <c r="S468" s="1245">
        <f t="shared" ca="1" si="103"/>
        <v>0</v>
      </c>
      <c r="T468" s="1245">
        <f t="shared" ca="1" si="103"/>
        <v>0</v>
      </c>
      <c r="U468" s="1245">
        <f t="shared" ca="1" si="103"/>
        <v>0</v>
      </c>
      <c r="V468" s="1245">
        <f t="shared" ca="1" si="103"/>
        <v>0</v>
      </c>
      <c r="W468" s="1245">
        <f t="shared" ca="1" si="103"/>
        <v>0</v>
      </c>
      <c r="X468" s="1245">
        <f t="shared" ca="1" si="103"/>
        <v>0</v>
      </c>
      <c r="Y468" s="1245">
        <f t="shared" ca="1" si="103"/>
        <v>0</v>
      </c>
      <c r="Z468" s="1245">
        <f t="shared" ca="1" si="103"/>
        <v>0</v>
      </c>
      <c r="AA468" s="1245">
        <f t="shared" ca="1" si="103"/>
        <v>0</v>
      </c>
      <c r="AB468" s="1245">
        <f t="shared" ca="1" si="103"/>
        <v>0</v>
      </c>
      <c r="AC468" s="1245">
        <f t="shared" ca="1" si="103"/>
        <v>0</v>
      </c>
      <c r="AD468" s="1245">
        <f t="shared" ca="1" si="103"/>
        <v>0</v>
      </c>
      <c r="AE468" s="1245">
        <f t="shared" ca="1" si="103"/>
        <v>0</v>
      </c>
      <c r="AF468" s="1245">
        <f t="shared" ca="1" si="103"/>
        <v>0</v>
      </c>
      <c r="AG468" s="1245">
        <f t="shared" ca="1" si="103"/>
        <v>0</v>
      </c>
      <c r="AH468" s="1245">
        <f t="shared" ca="1" si="103"/>
        <v>0</v>
      </c>
      <c r="AI468" s="1245">
        <f t="shared" ca="1" si="103"/>
        <v>0</v>
      </c>
      <c r="AJ468" s="1245">
        <f t="shared" ca="1" si="103"/>
        <v>0</v>
      </c>
      <c r="AK468" s="1245">
        <f t="shared" ca="1" si="103"/>
        <v>0</v>
      </c>
      <c r="AL468" s="1245">
        <f t="shared" ca="1" si="103"/>
        <v>0</v>
      </c>
      <c r="AM468" s="1245">
        <f t="shared" ca="1" si="103"/>
        <v>0</v>
      </c>
      <c r="AN468" s="1245">
        <f t="shared" ca="1" si="103"/>
        <v>0</v>
      </c>
      <c r="AO468" s="1245">
        <f t="shared" ca="1" si="103"/>
        <v>0</v>
      </c>
      <c r="AP468" s="1245">
        <f t="shared" ca="1" si="103"/>
        <v>0</v>
      </c>
      <c r="AQ468" s="1245"/>
      <c r="AR468" s="1245"/>
      <c r="AS468" s="1245"/>
      <c r="AT468" s="1245"/>
      <c r="AU468" s="1245"/>
      <c r="AV468" s="1245"/>
      <c r="AW468" s="1245"/>
      <c r="AX468" s="1245"/>
      <c r="AY468" s="1245"/>
      <c r="AZ468" s="1245"/>
      <c r="BA468" s="1245"/>
    </row>
    <row r="469" spans="1:53" s="485" customFormat="1" ht="18.75" customHeight="1">
      <c r="A469" s="1730"/>
      <c r="H469" s="1731"/>
      <c r="I469" s="1166"/>
      <c r="J469" s="431"/>
      <c r="M469" s="1245">
        <f t="shared" ref="M469:AP469" si="104">M141</f>
        <v>0</v>
      </c>
      <c r="N469" s="1245">
        <f t="shared" si="104"/>
        <v>650000</v>
      </c>
      <c r="O469" s="1245">
        <f t="shared" ca="1" si="104"/>
        <v>812500</v>
      </c>
      <c r="P469" s="1245">
        <f t="shared" ca="1" si="104"/>
        <v>950000</v>
      </c>
      <c r="Q469" s="1245">
        <f t="shared" ca="1" si="104"/>
        <v>950000</v>
      </c>
      <c r="R469" s="1245">
        <f t="shared" ca="1" si="104"/>
        <v>950000</v>
      </c>
      <c r="S469" s="1245">
        <f t="shared" ca="1" si="104"/>
        <v>950000</v>
      </c>
      <c r="T469" s="1245">
        <f t="shared" ca="1" si="104"/>
        <v>950000</v>
      </c>
      <c r="U469" s="1245">
        <f t="shared" ca="1" si="104"/>
        <v>950000</v>
      </c>
      <c r="V469" s="1245">
        <f t="shared" ca="1" si="104"/>
        <v>950000</v>
      </c>
      <c r="W469" s="1245">
        <f t="shared" ca="1" si="104"/>
        <v>950000</v>
      </c>
      <c r="X469" s="1245">
        <f t="shared" ca="1" si="104"/>
        <v>950000</v>
      </c>
      <c r="Y469" s="1245">
        <f t="shared" ca="1" si="104"/>
        <v>950000</v>
      </c>
      <c r="Z469" s="1245">
        <f t="shared" ca="1" si="104"/>
        <v>950000</v>
      </c>
      <c r="AA469" s="1245">
        <f t="shared" ca="1" si="104"/>
        <v>950000</v>
      </c>
      <c r="AB469" s="1245">
        <f t="shared" ca="1" si="104"/>
        <v>950000</v>
      </c>
      <c r="AC469" s="1245">
        <f t="shared" ca="1" si="104"/>
        <v>950000</v>
      </c>
      <c r="AD469" s="1245">
        <f t="shared" ca="1" si="104"/>
        <v>950000</v>
      </c>
      <c r="AE469" s="1245">
        <f t="shared" ca="1" si="104"/>
        <v>950000</v>
      </c>
      <c r="AF469" s="1245">
        <f t="shared" ca="1" si="104"/>
        <v>950000</v>
      </c>
      <c r="AG469" s="1245">
        <f t="shared" ca="1" si="104"/>
        <v>950000</v>
      </c>
      <c r="AH469" s="1245">
        <f t="shared" ca="1" si="104"/>
        <v>950000</v>
      </c>
      <c r="AI469" s="1245">
        <f t="shared" ca="1" si="104"/>
        <v>950000</v>
      </c>
      <c r="AJ469" s="1245">
        <f t="shared" ca="1" si="104"/>
        <v>950000</v>
      </c>
      <c r="AK469" s="1245">
        <f t="shared" ca="1" si="104"/>
        <v>950000</v>
      </c>
      <c r="AL469" s="1245">
        <f t="shared" ca="1" si="104"/>
        <v>950000</v>
      </c>
      <c r="AM469" s="1245">
        <f t="shared" ca="1" si="104"/>
        <v>950000</v>
      </c>
      <c r="AN469" s="1245">
        <f t="shared" ca="1" si="104"/>
        <v>950000</v>
      </c>
      <c r="AO469" s="1245">
        <f t="shared" ca="1" si="104"/>
        <v>950000</v>
      </c>
      <c r="AP469" s="1245">
        <f t="shared" ca="1" si="104"/>
        <v>950000</v>
      </c>
      <c r="AQ469" s="1245"/>
      <c r="AR469" s="1245"/>
      <c r="AS469" s="1245"/>
      <c r="AT469" s="1245"/>
      <c r="AU469" s="1245"/>
      <c r="AV469" s="1245"/>
      <c r="AW469" s="1245"/>
      <c r="AX469" s="1245"/>
      <c r="AY469" s="1245"/>
      <c r="AZ469" s="1245"/>
      <c r="BA469" s="1245"/>
    </row>
    <row r="470" spans="1:53" s="485" customFormat="1" ht="18.75" customHeight="1" thickBot="1">
      <c r="A470" s="1730"/>
      <c r="C470" s="1740" t="s">
        <v>1269</v>
      </c>
      <c r="H470" s="1731"/>
      <c r="I470" s="1166"/>
      <c r="J470" s="431"/>
      <c r="M470" s="1739">
        <f>SUM(M465:M469)</f>
        <v>0</v>
      </c>
      <c r="N470" s="1739">
        <f t="shared" ref="N470:AP470" si="105">SUM(N465:N469)</f>
        <v>1625000</v>
      </c>
      <c r="O470" s="1739">
        <f t="shared" ca="1" si="105"/>
        <v>2681250</v>
      </c>
      <c r="P470" s="1739">
        <f t="shared" ca="1" si="105"/>
        <v>3187500</v>
      </c>
      <c r="Q470" s="1739">
        <f t="shared" ca="1" si="105"/>
        <v>3325000</v>
      </c>
      <c r="R470" s="1739">
        <f t="shared" ca="1" si="105"/>
        <v>3325000</v>
      </c>
      <c r="S470" s="1739">
        <f t="shared" ca="1" si="105"/>
        <v>3325000</v>
      </c>
      <c r="T470" s="1739">
        <f t="shared" ca="1" si="105"/>
        <v>3325000</v>
      </c>
      <c r="U470" s="1739">
        <f t="shared" ca="1" si="105"/>
        <v>3325000</v>
      </c>
      <c r="V470" s="1739">
        <f t="shared" ca="1" si="105"/>
        <v>3325000</v>
      </c>
      <c r="W470" s="1739">
        <f t="shared" ca="1" si="105"/>
        <v>3325000</v>
      </c>
      <c r="X470" s="1739">
        <f t="shared" ca="1" si="105"/>
        <v>3325000</v>
      </c>
      <c r="Y470" s="1739">
        <f t="shared" ca="1" si="105"/>
        <v>3325000</v>
      </c>
      <c r="Z470" s="1739">
        <f t="shared" ca="1" si="105"/>
        <v>3325000</v>
      </c>
      <c r="AA470" s="1739">
        <f t="shared" ca="1" si="105"/>
        <v>3325000</v>
      </c>
      <c r="AB470" s="1739">
        <f t="shared" ca="1" si="105"/>
        <v>3325000</v>
      </c>
      <c r="AC470" s="1739">
        <f t="shared" ca="1" si="105"/>
        <v>3325000</v>
      </c>
      <c r="AD470" s="1739">
        <f t="shared" ca="1" si="105"/>
        <v>3325000</v>
      </c>
      <c r="AE470" s="1739">
        <f t="shared" ca="1" si="105"/>
        <v>3325000</v>
      </c>
      <c r="AF470" s="1739">
        <f t="shared" ca="1" si="105"/>
        <v>3325000</v>
      </c>
      <c r="AG470" s="1739">
        <f t="shared" ca="1" si="105"/>
        <v>3325000</v>
      </c>
      <c r="AH470" s="1739">
        <f t="shared" ca="1" si="105"/>
        <v>3325000</v>
      </c>
      <c r="AI470" s="1739">
        <f t="shared" ca="1" si="105"/>
        <v>3325000</v>
      </c>
      <c r="AJ470" s="1739">
        <f t="shared" ca="1" si="105"/>
        <v>3325000</v>
      </c>
      <c r="AK470" s="1739">
        <f t="shared" ca="1" si="105"/>
        <v>3325000</v>
      </c>
      <c r="AL470" s="1739">
        <f t="shared" ca="1" si="105"/>
        <v>3325000</v>
      </c>
      <c r="AM470" s="1739">
        <f t="shared" ca="1" si="105"/>
        <v>3325000</v>
      </c>
      <c r="AN470" s="1739">
        <f t="shared" ca="1" si="105"/>
        <v>3325000</v>
      </c>
      <c r="AO470" s="1739">
        <f t="shared" ca="1" si="105"/>
        <v>3325000</v>
      </c>
      <c r="AP470" s="1739">
        <f t="shared" ca="1" si="105"/>
        <v>3325000</v>
      </c>
      <c r="AQ470" s="1739"/>
      <c r="AR470" s="1739"/>
      <c r="AS470" s="1739"/>
      <c r="AT470" s="1739"/>
      <c r="AU470" s="1739"/>
      <c r="AV470" s="1739"/>
      <c r="AW470" s="1739"/>
      <c r="AX470" s="1739"/>
      <c r="AY470" s="1739"/>
      <c r="AZ470" s="1739"/>
      <c r="BA470" s="1739"/>
    </row>
    <row r="471" spans="1:53" s="485" customFormat="1" ht="18.75" customHeight="1" thickTop="1">
      <c r="A471" s="1730"/>
      <c r="C471" s="485" t="s">
        <v>2117</v>
      </c>
      <c r="H471" s="1731"/>
      <c r="I471" s="1166"/>
      <c r="J471" s="431"/>
      <c r="M471" s="1265">
        <f>M465+M466+M467</f>
        <v>0</v>
      </c>
      <c r="N471" s="1265">
        <f t="shared" ref="N471:AP471" si="106">N465+N466+N467</f>
        <v>975000</v>
      </c>
      <c r="O471" s="1265">
        <f t="shared" ca="1" si="106"/>
        <v>1868750</v>
      </c>
      <c r="P471" s="1265">
        <f t="shared" ca="1" si="106"/>
        <v>2237500</v>
      </c>
      <c r="Q471" s="1265">
        <f t="shared" ca="1" si="106"/>
        <v>2375000</v>
      </c>
      <c r="R471" s="1265">
        <f t="shared" ca="1" si="106"/>
        <v>2375000</v>
      </c>
      <c r="S471" s="1265">
        <f t="shared" ca="1" si="106"/>
        <v>2375000</v>
      </c>
      <c r="T471" s="1265">
        <f t="shared" ca="1" si="106"/>
        <v>2375000</v>
      </c>
      <c r="U471" s="1265">
        <f t="shared" ca="1" si="106"/>
        <v>2375000</v>
      </c>
      <c r="V471" s="1265">
        <f t="shared" ca="1" si="106"/>
        <v>2375000</v>
      </c>
      <c r="W471" s="1265">
        <f t="shared" ca="1" si="106"/>
        <v>2375000</v>
      </c>
      <c r="X471" s="1265">
        <f t="shared" ca="1" si="106"/>
        <v>2375000</v>
      </c>
      <c r="Y471" s="1265">
        <f t="shared" ca="1" si="106"/>
        <v>2375000</v>
      </c>
      <c r="Z471" s="1265">
        <f t="shared" ca="1" si="106"/>
        <v>2375000</v>
      </c>
      <c r="AA471" s="1265">
        <f t="shared" ca="1" si="106"/>
        <v>2375000</v>
      </c>
      <c r="AB471" s="1265">
        <f t="shared" ca="1" si="106"/>
        <v>2375000</v>
      </c>
      <c r="AC471" s="1265">
        <f t="shared" ca="1" si="106"/>
        <v>2375000</v>
      </c>
      <c r="AD471" s="1265">
        <f t="shared" ca="1" si="106"/>
        <v>2375000</v>
      </c>
      <c r="AE471" s="1265">
        <f t="shared" ca="1" si="106"/>
        <v>2375000</v>
      </c>
      <c r="AF471" s="1265">
        <f t="shared" ca="1" si="106"/>
        <v>2375000</v>
      </c>
      <c r="AG471" s="1265">
        <f t="shared" ca="1" si="106"/>
        <v>2375000</v>
      </c>
      <c r="AH471" s="1265">
        <f t="shared" ca="1" si="106"/>
        <v>2375000</v>
      </c>
      <c r="AI471" s="1265">
        <f t="shared" ca="1" si="106"/>
        <v>2375000</v>
      </c>
      <c r="AJ471" s="1265">
        <f t="shared" ca="1" si="106"/>
        <v>2375000</v>
      </c>
      <c r="AK471" s="1265">
        <f t="shared" ca="1" si="106"/>
        <v>2375000</v>
      </c>
      <c r="AL471" s="1265">
        <f t="shared" ca="1" si="106"/>
        <v>2375000</v>
      </c>
      <c r="AM471" s="1265">
        <f t="shared" ca="1" si="106"/>
        <v>2375000</v>
      </c>
      <c r="AN471" s="1265">
        <f t="shared" ca="1" si="106"/>
        <v>2375000</v>
      </c>
      <c r="AO471" s="1265">
        <f t="shared" ca="1" si="106"/>
        <v>2375000</v>
      </c>
      <c r="AP471" s="1265">
        <f t="shared" ca="1" si="106"/>
        <v>2375000</v>
      </c>
      <c r="AQ471" s="1265"/>
      <c r="AR471" s="1265"/>
      <c r="AS471" s="1265"/>
      <c r="AT471" s="1265"/>
      <c r="AU471" s="1265"/>
      <c r="AV471" s="1265"/>
      <c r="AW471" s="1265"/>
      <c r="AX471" s="1265"/>
      <c r="AY471" s="1265"/>
      <c r="AZ471" s="1265"/>
      <c r="BA471" s="1265"/>
    </row>
    <row r="472" spans="1:53" s="485" customFormat="1" ht="18.75" hidden="1" customHeight="1">
      <c r="A472" s="1730"/>
      <c r="H472" s="1731"/>
      <c r="I472" s="1166"/>
      <c r="J472" s="431"/>
      <c r="M472" s="1265"/>
      <c r="N472" s="1265"/>
      <c r="O472" s="1265"/>
      <c r="P472" s="1265"/>
      <c r="Q472" s="1265"/>
      <c r="R472" s="1265"/>
      <c r="S472" s="1265"/>
      <c r="T472" s="1265"/>
      <c r="U472" s="1265"/>
      <c r="V472" s="1265"/>
      <c r="W472" s="1265"/>
      <c r="X472" s="1265"/>
      <c r="Y472" s="1265"/>
      <c r="Z472" s="1265"/>
      <c r="AA472" s="1265"/>
      <c r="AB472" s="1265"/>
      <c r="AC472" s="1265"/>
      <c r="AD472" s="1265"/>
      <c r="AE472" s="1265"/>
      <c r="AF472" s="1265"/>
      <c r="AG472" s="1265"/>
      <c r="AH472" s="1265"/>
      <c r="AI472" s="1265"/>
      <c r="AJ472" s="1265"/>
      <c r="AK472" s="1265"/>
      <c r="AL472" s="1265"/>
      <c r="AM472" s="1265"/>
      <c r="AN472" s="1265"/>
      <c r="AO472" s="1265"/>
      <c r="AP472" s="1265"/>
      <c r="AQ472" s="1265"/>
      <c r="AR472" s="1265"/>
      <c r="AS472" s="1265"/>
      <c r="AT472" s="1265"/>
      <c r="AU472" s="1265"/>
      <c r="AV472" s="1265"/>
      <c r="AW472" s="1265"/>
      <c r="AX472" s="1265"/>
      <c r="AY472" s="1265"/>
      <c r="AZ472" s="1265"/>
      <c r="BA472" s="1265"/>
    </row>
    <row r="473" spans="1:53" s="485" customFormat="1" ht="18.75" customHeight="1">
      <c r="A473" s="1730"/>
      <c r="C473" s="485" t="s">
        <v>1820</v>
      </c>
      <c r="H473" s="1731"/>
      <c r="I473" s="1166"/>
      <c r="J473" s="431"/>
      <c r="M473" s="1265">
        <f>M469</f>
        <v>0</v>
      </c>
      <c r="N473" s="1265">
        <f t="shared" ref="N473:AP473" si="107">N469</f>
        <v>650000</v>
      </c>
      <c r="O473" s="1265">
        <f t="shared" ca="1" si="107"/>
        <v>812500</v>
      </c>
      <c r="P473" s="1265">
        <f t="shared" ca="1" si="107"/>
        <v>950000</v>
      </c>
      <c r="Q473" s="1265">
        <f t="shared" ca="1" si="107"/>
        <v>950000</v>
      </c>
      <c r="R473" s="1265">
        <f t="shared" ca="1" si="107"/>
        <v>950000</v>
      </c>
      <c r="S473" s="1265">
        <f t="shared" ca="1" si="107"/>
        <v>950000</v>
      </c>
      <c r="T473" s="1265">
        <f t="shared" ca="1" si="107"/>
        <v>950000</v>
      </c>
      <c r="U473" s="1265">
        <f t="shared" ca="1" si="107"/>
        <v>950000</v>
      </c>
      <c r="V473" s="1265">
        <f t="shared" ca="1" si="107"/>
        <v>950000</v>
      </c>
      <c r="W473" s="1265">
        <f t="shared" ca="1" si="107"/>
        <v>950000</v>
      </c>
      <c r="X473" s="1265">
        <f t="shared" ca="1" si="107"/>
        <v>950000</v>
      </c>
      <c r="Y473" s="1265">
        <f t="shared" ca="1" si="107"/>
        <v>950000</v>
      </c>
      <c r="Z473" s="1265">
        <f t="shared" ca="1" si="107"/>
        <v>950000</v>
      </c>
      <c r="AA473" s="1265">
        <f t="shared" ca="1" si="107"/>
        <v>950000</v>
      </c>
      <c r="AB473" s="1265">
        <f t="shared" ca="1" si="107"/>
        <v>950000</v>
      </c>
      <c r="AC473" s="1265">
        <f t="shared" ca="1" si="107"/>
        <v>950000</v>
      </c>
      <c r="AD473" s="1265">
        <f t="shared" ca="1" si="107"/>
        <v>950000</v>
      </c>
      <c r="AE473" s="1265">
        <f t="shared" ca="1" si="107"/>
        <v>950000</v>
      </c>
      <c r="AF473" s="1265">
        <f t="shared" ca="1" si="107"/>
        <v>950000</v>
      </c>
      <c r="AG473" s="1265">
        <f t="shared" ca="1" si="107"/>
        <v>950000</v>
      </c>
      <c r="AH473" s="1265">
        <f t="shared" ca="1" si="107"/>
        <v>950000</v>
      </c>
      <c r="AI473" s="1265">
        <f t="shared" ca="1" si="107"/>
        <v>950000</v>
      </c>
      <c r="AJ473" s="1265">
        <f t="shared" ca="1" si="107"/>
        <v>950000</v>
      </c>
      <c r="AK473" s="1265">
        <f t="shared" ca="1" si="107"/>
        <v>950000</v>
      </c>
      <c r="AL473" s="1265">
        <f t="shared" ca="1" si="107"/>
        <v>950000</v>
      </c>
      <c r="AM473" s="1265">
        <f t="shared" ca="1" si="107"/>
        <v>950000</v>
      </c>
      <c r="AN473" s="1265">
        <f t="shared" ca="1" si="107"/>
        <v>950000</v>
      </c>
      <c r="AO473" s="1265">
        <f t="shared" ca="1" si="107"/>
        <v>950000</v>
      </c>
      <c r="AP473" s="1265">
        <f t="shared" ca="1" si="107"/>
        <v>950000</v>
      </c>
      <c r="AQ473" s="1265"/>
      <c r="AR473" s="1265"/>
      <c r="AS473" s="1265"/>
      <c r="AT473" s="1265"/>
      <c r="AU473" s="1265"/>
      <c r="AV473" s="1265"/>
      <c r="AW473" s="1265"/>
      <c r="AX473" s="1265"/>
      <c r="AY473" s="1265"/>
      <c r="AZ473" s="1265"/>
      <c r="BA473" s="1265"/>
    </row>
    <row r="474" spans="1:53" s="485" customFormat="1" ht="18.75" customHeight="1" thickBot="1">
      <c r="A474" s="1730"/>
      <c r="H474" s="1731"/>
      <c r="I474" s="1166"/>
      <c r="J474" s="431"/>
      <c r="M474" s="1739">
        <f>SUM(M471:M473)</f>
        <v>0</v>
      </c>
      <c r="N474" s="1739">
        <f>SUM(N471:N473)</f>
        <v>1625000</v>
      </c>
      <c r="O474" s="1739">
        <f ca="1">SUM(O471:O473)</f>
        <v>2681250</v>
      </c>
      <c r="P474" s="1739">
        <f t="shared" ref="P474:AP474" ca="1" si="108">SUM(P471:P473)</f>
        <v>3187500</v>
      </c>
      <c r="Q474" s="1739">
        <f t="shared" ca="1" si="108"/>
        <v>3325000</v>
      </c>
      <c r="R474" s="1739">
        <f t="shared" ca="1" si="108"/>
        <v>3325000</v>
      </c>
      <c r="S474" s="1739">
        <f t="shared" ca="1" si="108"/>
        <v>3325000</v>
      </c>
      <c r="T474" s="1739">
        <f t="shared" ca="1" si="108"/>
        <v>3325000</v>
      </c>
      <c r="U474" s="1739">
        <f t="shared" ca="1" si="108"/>
        <v>3325000</v>
      </c>
      <c r="V474" s="1739">
        <f t="shared" ca="1" si="108"/>
        <v>3325000</v>
      </c>
      <c r="W474" s="1739">
        <f t="shared" ca="1" si="108"/>
        <v>3325000</v>
      </c>
      <c r="X474" s="1739">
        <f t="shared" ca="1" si="108"/>
        <v>3325000</v>
      </c>
      <c r="Y474" s="1739">
        <f t="shared" ca="1" si="108"/>
        <v>3325000</v>
      </c>
      <c r="Z474" s="1739">
        <f t="shared" ca="1" si="108"/>
        <v>3325000</v>
      </c>
      <c r="AA474" s="1739">
        <f t="shared" ca="1" si="108"/>
        <v>3325000</v>
      </c>
      <c r="AB474" s="1739">
        <f t="shared" ca="1" si="108"/>
        <v>3325000</v>
      </c>
      <c r="AC474" s="1739">
        <f t="shared" ca="1" si="108"/>
        <v>3325000</v>
      </c>
      <c r="AD474" s="1739">
        <f t="shared" ca="1" si="108"/>
        <v>3325000</v>
      </c>
      <c r="AE474" s="1739">
        <f t="shared" ca="1" si="108"/>
        <v>3325000</v>
      </c>
      <c r="AF474" s="1739">
        <f t="shared" ca="1" si="108"/>
        <v>3325000</v>
      </c>
      <c r="AG474" s="1739">
        <f t="shared" ca="1" si="108"/>
        <v>3325000</v>
      </c>
      <c r="AH474" s="1739">
        <f t="shared" ca="1" si="108"/>
        <v>3325000</v>
      </c>
      <c r="AI474" s="1739">
        <f t="shared" ca="1" si="108"/>
        <v>3325000</v>
      </c>
      <c r="AJ474" s="1739">
        <f t="shared" ca="1" si="108"/>
        <v>3325000</v>
      </c>
      <c r="AK474" s="1739">
        <f t="shared" ca="1" si="108"/>
        <v>3325000</v>
      </c>
      <c r="AL474" s="1739">
        <f t="shared" ca="1" si="108"/>
        <v>3325000</v>
      </c>
      <c r="AM474" s="1739">
        <f t="shared" ca="1" si="108"/>
        <v>3325000</v>
      </c>
      <c r="AN474" s="1739">
        <f t="shared" ca="1" si="108"/>
        <v>3325000</v>
      </c>
      <c r="AO474" s="1739">
        <f t="shared" ca="1" si="108"/>
        <v>3325000</v>
      </c>
      <c r="AP474" s="1739">
        <f t="shared" ca="1" si="108"/>
        <v>3325000</v>
      </c>
      <c r="AQ474" s="1739"/>
      <c r="AR474" s="1739"/>
      <c r="AS474" s="1739"/>
      <c r="AT474" s="1739"/>
      <c r="AU474" s="1739"/>
      <c r="AV474" s="1739"/>
      <c r="AW474" s="1739"/>
      <c r="AX474" s="1739"/>
      <c r="AY474" s="1739"/>
      <c r="AZ474" s="1739"/>
      <c r="BA474" s="1739"/>
    </row>
    <row r="475" spans="1:53" ht="12.75" customHeight="1" thickTop="1">
      <c r="A475" s="352"/>
      <c r="C475" s="344" t="s">
        <v>983</v>
      </c>
      <c r="J475" s="431"/>
      <c r="M475" s="1245"/>
      <c r="N475" s="1245"/>
      <c r="O475" s="1245"/>
      <c r="P475" s="1245"/>
      <c r="Q475" s="1245"/>
      <c r="R475" s="1245"/>
      <c r="S475" s="1245"/>
      <c r="T475" s="1245"/>
      <c r="U475" s="1245"/>
      <c r="V475" s="1245"/>
      <c r="W475" s="1245"/>
      <c r="X475" s="1245"/>
      <c r="Y475" s="1245"/>
      <c r="Z475" s="1245"/>
      <c r="AA475" s="1245"/>
      <c r="AB475" s="1245"/>
      <c r="AC475" s="1245"/>
      <c r="AD475" s="1245"/>
      <c r="AE475" s="1245"/>
      <c r="AF475" s="1245"/>
      <c r="AG475" s="1245"/>
      <c r="AH475" s="1245"/>
      <c r="AI475" s="1245"/>
      <c r="AJ475" s="1245"/>
      <c r="AK475" s="1245"/>
      <c r="AL475" s="1245"/>
      <c r="AM475" s="1245"/>
      <c r="AN475" s="1245"/>
      <c r="AO475" s="1245"/>
      <c r="AP475" s="1245"/>
      <c r="AQ475" s="1245"/>
      <c r="AR475" s="1245"/>
      <c r="AS475" s="1245"/>
      <c r="AT475" s="1245"/>
      <c r="AU475" s="1245"/>
      <c r="AV475" s="1245"/>
      <c r="AW475" s="1245"/>
      <c r="AX475" s="1245"/>
      <c r="AY475" s="1245"/>
      <c r="AZ475" s="1245"/>
      <c r="BA475" s="1245"/>
    </row>
    <row r="476" spans="1:53" ht="14.45" customHeight="1">
      <c r="A476" s="352"/>
      <c r="C476" s="485" t="s">
        <v>1800</v>
      </c>
      <c r="I476" s="367" t="s">
        <v>929</v>
      </c>
      <c r="J476" s="1064">
        <f>J270</f>
        <v>0.7</v>
      </c>
      <c r="M476" s="1245">
        <f>M465*$J$476</f>
        <v>0</v>
      </c>
      <c r="N476" s="1245">
        <f t="shared" ref="N476:AP476" si="109">N465*$J$476</f>
        <v>682500</v>
      </c>
      <c r="O476" s="1245">
        <f t="shared" ca="1" si="109"/>
        <v>853125</v>
      </c>
      <c r="P476" s="1245">
        <f t="shared" ca="1" si="109"/>
        <v>997499.99999999988</v>
      </c>
      <c r="Q476" s="1245">
        <f t="shared" ca="1" si="109"/>
        <v>997499.99999999988</v>
      </c>
      <c r="R476" s="1245">
        <f t="shared" ca="1" si="109"/>
        <v>997499.99999999988</v>
      </c>
      <c r="S476" s="1245">
        <f t="shared" ca="1" si="109"/>
        <v>997499.99999999988</v>
      </c>
      <c r="T476" s="1245">
        <f t="shared" ca="1" si="109"/>
        <v>997499.99999999988</v>
      </c>
      <c r="U476" s="1245">
        <f t="shared" ca="1" si="109"/>
        <v>997499.99999999988</v>
      </c>
      <c r="V476" s="1245">
        <f t="shared" ca="1" si="109"/>
        <v>997499.99999999988</v>
      </c>
      <c r="W476" s="1245">
        <f t="shared" ca="1" si="109"/>
        <v>997499.99999999988</v>
      </c>
      <c r="X476" s="1245">
        <f t="shared" ca="1" si="109"/>
        <v>997499.99999999988</v>
      </c>
      <c r="Y476" s="1245">
        <f t="shared" ca="1" si="109"/>
        <v>997499.99999999988</v>
      </c>
      <c r="Z476" s="1245">
        <f t="shared" ca="1" si="109"/>
        <v>997499.99999999988</v>
      </c>
      <c r="AA476" s="1245">
        <f t="shared" ca="1" si="109"/>
        <v>997499.99999999988</v>
      </c>
      <c r="AB476" s="1245">
        <f t="shared" ca="1" si="109"/>
        <v>997499.99999999988</v>
      </c>
      <c r="AC476" s="1245">
        <f t="shared" ca="1" si="109"/>
        <v>997499.99999999988</v>
      </c>
      <c r="AD476" s="1245">
        <f t="shared" ca="1" si="109"/>
        <v>997499.99999999988</v>
      </c>
      <c r="AE476" s="1245">
        <f t="shared" ca="1" si="109"/>
        <v>997499.99999999988</v>
      </c>
      <c r="AF476" s="1245">
        <f t="shared" ca="1" si="109"/>
        <v>997499.99999999988</v>
      </c>
      <c r="AG476" s="1245">
        <f t="shared" ca="1" si="109"/>
        <v>997499.99999999988</v>
      </c>
      <c r="AH476" s="1245">
        <f t="shared" ca="1" si="109"/>
        <v>997499.99999999988</v>
      </c>
      <c r="AI476" s="1245">
        <f t="shared" ca="1" si="109"/>
        <v>997499.99999999988</v>
      </c>
      <c r="AJ476" s="1245">
        <f t="shared" ca="1" si="109"/>
        <v>997499.99999999988</v>
      </c>
      <c r="AK476" s="1245">
        <f t="shared" ca="1" si="109"/>
        <v>997499.99999999988</v>
      </c>
      <c r="AL476" s="1245">
        <f t="shared" ca="1" si="109"/>
        <v>997499.99999999988</v>
      </c>
      <c r="AM476" s="1245">
        <f t="shared" ca="1" si="109"/>
        <v>997499.99999999988</v>
      </c>
      <c r="AN476" s="1245">
        <f t="shared" ca="1" si="109"/>
        <v>997499.99999999988</v>
      </c>
      <c r="AO476" s="1245">
        <f t="shared" ca="1" si="109"/>
        <v>997499.99999999988</v>
      </c>
      <c r="AP476" s="1245">
        <f t="shared" ca="1" si="109"/>
        <v>997499.99999999988</v>
      </c>
      <c r="AQ476" s="1245"/>
      <c r="AR476" s="1245"/>
      <c r="AS476" s="1245"/>
      <c r="AT476" s="1245"/>
      <c r="AU476" s="1245"/>
      <c r="AV476" s="1245"/>
      <c r="AW476" s="1245"/>
      <c r="AX476" s="1245"/>
      <c r="AY476" s="1245"/>
      <c r="AZ476" s="1245"/>
      <c r="BA476" s="1245"/>
    </row>
    <row r="477" spans="1:53" ht="14.45" customHeight="1">
      <c r="A477" s="352"/>
      <c r="C477" s="485" t="s">
        <v>1801</v>
      </c>
      <c r="I477" s="367" t="s">
        <v>929</v>
      </c>
      <c r="J477" s="1064">
        <f>J270</f>
        <v>0.7</v>
      </c>
      <c r="M477" s="1245">
        <f>M466*$J$477</f>
        <v>0</v>
      </c>
      <c r="N477" s="1245">
        <f t="shared" ref="N477:AP477" si="110">N466*$J$477</f>
        <v>0</v>
      </c>
      <c r="O477" s="1245">
        <f t="shared" si="110"/>
        <v>455000</v>
      </c>
      <c r="P477" s="1245">
        <f t="shared" ca="1" si="110"/>
        <v>568750</v>
      </c>
      <c r="Q477" s="1245">
        <f t="shared" ca="1" si="110"/>
        <v>665000</v>
      </c>
      <c r="R477" s="1245">
        <f t="shared" ca="1" si="110"/>
        <v>665000</v>
      </c>
      <c r="S477" s="1245">
        <f t="shared" ca="1" si="110"/>
        <v>665000</v>
      </c>
      <c r="T477" s="1245">
        <f t="shared" ca="1" si="110"/>
        <v>665000</v>
      </c>
      <c r="U477" s="1245">
        <f t="shared" ca="1" si="110"/>
        <v>665000</v>
      </c>
      <c r="V477" s="1245">
        <f t="shared" ca="1" si="110"/>
        <v>665000</v>
      </c>
      <c r="W477" s="1245">
        <f t="shared" ca="1" si="110"/>
        <v>665000</v>
      </c>
      <c r="X477" s="1245">
        <f t="shared" ca="1" si="110"/>
        <v>665000</v>
      </c>
      <c r="Y477" s="1245">
        <f t="shared" ca="1" si="110"/>
        <v>665000</v>
      </c>
      <c r="Z477" s="1245">
        <f t="shared" ca="1" si="110"/>
        <v>665000</v>
      </c>
      <c r="AA477" s="1245">
        <f t="shared" ca="1" si="110"/>
        <v>665000</v>
      </c>
      <c r="AB477" s="1245">
        <f t="shared" ca="1" si="110"/>
        <v>665000</v>
      </c>
      <c r="AC477" s="1245">
        <f t="shared" ca="1" si="110"/>
        <v>665000</v>
      </c>
      <c r="AD477" s="1245">
        <f t="shared" ca="1" si="110"/>
        <v>665000</v>
      </c>
      <c r="AE477" s="1245">
        <f t="shared" ca="1" si="110"/>
        <v>665000</v>
      </c>
      <c r="AF477" s="1245">
        <f t="shared" ca="1" si="110"/>
        <v>665000</v>
      </c>
      <c r="AG477" s="1245">
        <f t="shared" ca="1" si="110"/>
        <v>665000</v>
      </c>
      <c r="AH477" s="1245">
        <f t="shared" ca="1" si="110"/>
        <v>665000</v>
      </c>
      <c r="AI477" s="1245">
        <f t="shared" ca="1" si="110"/>
        <v>665000</v>
      </c>
      <c r="AJ477" s="1245">
        <f t="shared" ca="1" si="110"/>
        <v>665000</v>
      </c>
      <c r="AK477" s="1245">
        <f t="shared" ca="1" si="110"/>
        <v>665000</v>
      </c>
      <c r="AL477" s="1245">
        <f t="shared" ca="1" si="110"/>
        <v>665000</v>
      </c>
      <c r="AM477" s="1245">
        <f t="shared" ca="1" si="110"/>
        <v>665000</v>
      </c>
      <c r="AN477" s="1245">
        <f t="shared" ca="1" si="110"/>
        <v>665000</v>
      </c>
      <c r="AO477" s="1245">
        <f t="shared" ca="1" si="110"/>
        <v>665000</v>
      </c>
      <c r="AP477" s="1245">
        <f t="shared" ca="1" si="110"/>
        <v>665000</v>
      </c>
      <c r="AQ477" s="1245"/>
      <c r="AR477" s="1245"/>
      <c r="AS477" s="1245"/>
      <c r="AT477" s="1245"/>
      <c r="AU477" s="1245"/>
      <c r="AV477" s="1245"/>
      <c r="AW477" s="1245"/>
      <c r="AX477" s="1245"/>
      <c r="AY477" s="1245"/>
      <c r="AZ477" s="1245"/>
      <c r="BA477" s="1245"/>
    </row>
    <row r="478" spans="1:53" ht="14.45" customHeight="1">
      <c r="A478" s="352"/>
      <c r="C478" s="485" t="s">
        <v>1802</v>
      </c>
      <c r="I478" s="367" t="s">
        <v>929</v>
      </c>
      <c r="J478" s="1064">
        <f>J270</f>
        <v>0.7</v>
      </c>
      <c r="M478" s="1245">
        <f>M467*$J$478</f>
        <v>0</v>
      </c>
      <c r="N478" s="1245">
        <f t="shared" ref="N478:AP478" si="111">N467*$J$478</f>
        <v>0</v>
      </c>
      <c r="O478" s="1245">
        <f t="shared" si="111"/>
        <v>0</v>
      </c>
      <c r="P478" s="1245">
        <f t="shared" ca="1" si="111"/>
        <v>0</v>
      </c>
      <c r="Q478" s="1245">
        <f t="shared" ca="1" si="111"/>
        <v>0</v>
      </c>
      <c r="R478" s="1245">
        <f t="shared" ca="1" si="111"/>
        <v>0</v>
      </c>
      <c r="S478" s="1245">
        <f t="shared" ca="1" si="111"/>
        <v>0</v>
      </c>
      <c r="T478" s="1245">
        <f t="shared" ca="1" si="111"/>
        <v>0</v>
      </c>
      <c r="U478" s="1245">
        <f t="shared" ca="1" si="111"/>
        <v>0</v>
      </c>
      <c r="V478" s="1245">
        <f t="shared" ca="1" si="111"/>
        <v>0</v>
      </c>
      <c r="W478" s="1245">
        <f t="shared" ca="1" si="111"/>
        <v>0</v>
      </c>
      <c r="X478" s="1245">
        <f t="shared" ca="1" si="111"/>
        <v>0</v>
      </c>
      <c r="Y478" s="1245">
        <f t="shared" ca="1" si="111"/>
        <v>0</v>
      </c>
      <c r="Z478" s="1245">
        <f t="shared" ca="1" si="111"/>
        <v>0</v>
      </c>
      <c r="AA478" s="1245">
        <f t="shared" ca="1" si="111"/>
        <v>0</v>
      </c>
      <c r="AB478" s="1245">
        <f t="shared" ca="1" si="111"/>
        <v>0</v>
      </c>
      <c r="AC478" s="1245">
        <f t="shared" ca="1" si="111"/>
        <v>0</v>
      </c>
      <c r="AD478" s="1245">
        <f t="shared" ca="1" si="111"/>
        <v>0</v>
      </c>
      <c r="AE478" s="1245">
        <f t="shared" ca="1" si="111"/>
        <v>0</v>
      </c>
      <c r="AF478" s="1245">
        <f t="shared" ca="1" si="111"/>
        <v>0</v>
      </c>
      <c r="AG478" s="1245">
        <f t="shared" ca="1" si="111"/>
        <v>0</v>
      </c>
      <c r="AH478" s="1245">
        <f t="shared" ca="1" si="111"/>
        <v>0</v>
      </c>
      <c r="AI478" s="1245">
        <f t="shared" ca="1" si="111"/>
        <v>0</v>
      </c>
      <c r="AJ478" s="1245">
        <f t="shared" ca="1" si="111"/>
        <v>0</v>
      </c>
      <c r="AK478" s="1245">
        <f t="shared" ca="1" si="111"/>
        <v>0</v>
      </c>
      <c r="AL478" s="1245">
        <f t="shared" ca="1" si="111"/>
        <v>0</v>
      </c>
      <c r="AM478" s="1245">
        <f t="shared" ca="1" si="111"/>
        <v>0</v>
      </c>
      <c r="AN478" s="1245">
        <f t="shared" ca="1" si="111"/>
        <v>0</v>
      </c>
      <c r="AO478" s="1245">
        <f t="shared" ca="1" si="111"/>
        <v>0</v>
      </c>
      <c r="AP478" s="1245">
        <f t="shared" ca="1" si="111"/>
        <v>0</v>
      </c>
      <c r="AQ478" s="1245"/>
      <c r="AR478" s="1245"/>
      <c r="AS478" s="1245"/>
      <c r="AT478" s="1245"/>
      <c r="AU478" s="1245"/>
      <c r="AV478" s="1245"/>
      <c r="AW478" s="1245"/>
      <c r="AX478" s="1245"/>
      <c r="AY478" s="1245"/>
      <c r="AZ478" s="1245"/>
      <c r="BA478" s="1245"/>
    </row>
    <row r="479" spans="1:53" ht="14.45" customHeight="1">
      <c r="A479" s="352"/>
      <c r="C479" s="320" t="s">
        <v>2113</v>
      </c>
      <c r="I479" s="367" t="s">
        <v>929</v>
      </c>
      <c r="J479" s="1064">
        <v>0</v>
      </c>
      <c r="M479" s="1245">
        <f>M468*$J$479</f>
        <v>0</v>
      </c>
      <c r="N479" s="1245">
        <f t="shared" ref="N479:AP479" si="112">N468*$J$479</f>
        <v>0</v>
      </c>
      <c r="O479" s="1245">
        <f t="shared" ca="1" si="112"/>
        <v>0</v>
      </c>
      <c r="P479" s="1245">
        <f t="shared" ca="1" si="112"/>
        <v>0</v>
      </c>
      <c r="Q479" s="1245">
        <f t="shared" ca="1" si="112"/>
        <v>0</v>
      </c>
      <c r="R479" s="1245">
        <f t="shared" ca="1" si="112"/>
        <v>0</v>
      </c>
      <c r="S479" s="1245">
        <f t="shared" ca="1" si="112"/>
        <v>0</v>
      </c>
      <c r="T479" s="1245">
        <f t="shared" ca="1" si="112"/>
        <v>0</v>
      </c>
      <c r="U479" s="1245">
        <f t="shared" ca="1" si="112"/>
        <v>0</v>
      </c>
      <c r="V479" s="1245">
        <f t="shared" ca="1" si="112"/>
        <v>0</v>
      </c>
      <c r="W479" s="1245">
        <f t="shared" ca="1" si="112"/>
        <v>0</v>
      </c>
      <c r="X479" s="1245">
        <f t="shared" ca="1" si="112"/>
        <v>0</v>
      </c>
      <c r="Y479" s="1245">
        <f t="shared" ca="1" si="112"/>
        <v>0</v>
      </c>
      <c r="Z479" s="1245">
        <f t="shared" ca="1" si="112"/>
        <v>0</v>
      </c>
      <c r="AA479" s="1245">
        <f t="shared" ca="1" si="112"/>
        <v>0</v>
      </c>
      <c r="AB479" s="1245">
        <f t="shared" ca="1" si="112"/>
        <v>0</v>
      </c>
      <c r="AC479" s="1245">
        <f t="shared" ca="1" si="112"/>
        <v>0</v>
      </c>
      <c r="AD479" s="1245">
        <f t="shared" ca="1" si="112"/>
        <v>0</v>
      </c>
      <c r="AE479" s="1245">
        <f t="shared" ca="1" si="112"/>
        <v>0</v>
      </c>
      <c r="AF479" s="1245">
        <f t="shared" ca="1" si="112"/>
        <v>0</v>
      </c>
      <c r="AG479" s="1245">
        <f t="shared" ca="1" si="112"/>
        <v>0</v>
      </c>
      <c r="AH479" s="1245">
        <f t="shared" ca="1" si="112"/>
        <v>0</v>
      </c>
      <c r="AI479" s="1245">
        <f t="shared" ca="1" si="112"/>
        <v>0</v>
      </c>
      <c r="AJ479" s="1245">
        <f t="shared" ca="1" si="112"/>
        <v>0</v>
      </c>
      <c r="AK479" s="1245">
        <f t="shared" ca="1" si="112"/>
        <v>0</v>
      </c>
      <c r="AL479" s="1245">
        <f t="shared" ca="1" si="112"/>
        <v>0</v>
      </c>
      <c r="AM479" s="1245">
        <f t="shared" ca="1" si="112"/>
        <v>0</v>
      </c>
      <c r="AN479" s="1245">
        <f t="shared" ca="1" si="112"/>
        <v>0</v>
      </c>
      <c r="AO479" s="1245">
        <f t="shared" ca="1" si="112"/>
        <v>0</v>
      </c>
      <c r="AP479" s="1245">
        <f t="shared" ca="1" si="112"/>
        <v>0</v>
      </c>
      <c r="AQ479" s="1245"/>
      <c r="AR479" s="1245"/>
      <c r="AS479" s="1245"/>
      <c r="AT479" s="1245"/>
      <c r="AU479" s="1245"/>
      <c r="AV479" s="1245"/>
      <c r="AW479" s="1245"/>
      <c r="AX479" s="1245"/>
      <c r="AY479" s="1245"/>
      <c r="AZ479" s="1245"/>
      <c r="BA479" s="1245"/>
    </row>
    <row r="480" spans="1:53" ht="12.75" customHeight="1">
      <c r="A480" s="352"/>
      <c r="C480" s="320" t="s">
        <v>863</v>
      </c>
      <c r="I480" s="367" t="s">
        <v>929</v>
      </c>
      <c r="J480" s="1064">
        <f>J272</f>
        <v>1</v>
      </c>
      <c r="M480" s="1245">
        <f>M469*$J$480</f>
        <v>0</v>
      </c>
      <c r="N480" s="1245">
        <f t="shared" ref="N480:AP480" si="113">N469*$J$480</f>
        <v>650000</v>
      </c>
      <c r="O480" s="1245">
        <f t="shared" ca="1" si="113"/>
        <v>812500</v>
      </c>
      <c r="P480" s="1245">
        <f t="shared" ca="1" si="113"/>
        <v>950000</v>
      </c>
      <c r="Q480" s="1245">
        <f t="shared" ca="1" si="113"/>
        <v>950000</v>
      </c>
      <c r="R480" s="1245">
        <f t="shared" ca="1" si="113"/>
        <v>950000</v>
      </c>
      <c r="S480" s="1245">
        <f t="shared" ca="1" si="113"/>
        <v>950000</v>
      </c>
      <c r="T480" s="1245">
        <f t="shared" ca="1" si="113"/>
        <v>950000</v>
      </c>
      <c r="U480" s="1245">
        <f t="shared" ca="1" si="113"/>
        <v>950000</v>
      </c>
      <c r="V480" s="1245">
        <f t="shared" ca="1" si="113"/>
        <v>950000</v>
      </c>
      <c r="W480" s="1245">
        <f t="shared" ca="1" si="113"/>
        <v>950000</v>
      </c>
      <c r="X480" s="1245">
        <f t="shared" ca="1" si="113"/>
        <v>950000</v>
      </c>
      <c r="Y480" s="1245">
        <f t="shared" ca="1" si="113"/>
        <v>950000</v>
      </c>
      <c r="Z480" s="1245">
        <f t="shared" ca="1" si="113"/>
        <v>950000</v>
      </c>
      <c r="AA480" s="1245">
        <f t="shared" ca="1" si="113"/>
        <v>950000</v>
      </c>
      <c r="AB480" s="1245">
        <f t="shared" ca="1" si="113"/>
        <v>950000</v>
      </c>
      <c r="AC480" s="1245">
        <f t="shared" ca="1" si="113"/>
        <v>950000</v>
      </c>
      <c r="AD480" s="1245">
        <f t="shared" ca="1" si="113"/>
        <v>950000</v>
      </c>
      <c r="AE480" s="1245">
        <f t="shared" ca="1" si="113"/>
        <v>950000</v>
      </c>
      <c r="AF480" s="1245">
        <f t="shared" ca="1" si="113"/>
        <v>950000</v>
      </c>
      <c r="AG480" s="1245">
        <f t="shared" ca="1" si="113"/>
        <v>950000</v>
      </c>
      <c r="AH480" s="1245">
        <f t="shared" ca="1" si="113"/>
        <v>950000</v>
      </c>
      <c r="AI480" s="1245">
        <f t="shared" ca="1" si="113"/>
        <v>950000</v>
      </c>
      <c r="AJ480" s="1245">
        <f t="shared" ca="1" si="113"/>
        <v>950000</v>
      </c>
      <c r="AK480" s="1245">
        <f t="shared" ca="1" si="113"/>
        <v>950000</v>
      </c>
      <c r="AL480" s="1245">
        <f t="shared" ca="1" si="113"/>
        <v>950000</v>
      </c>
      <c r="AM480" s="1245">
        <f t="shared" ca="1" si="113"/>
        <v>950000</v>
      </c>
      <c r="AN480" s="1245">
        <f t="shared" ca="1" si="113"/>
        <v>950000</v>
      </c>
      <c r="AO480" s="1245">
        <f t="shared" ca="1" si="113"/>
        <v>950000</v>
      </c>
      <c r="AP480" s="1245">
        <f t="shared" ca="1" si="113"/>
        <v>950000</v>
      </c>
      <c r="AQ480" s="1245"/>
      <c r="AR480" s="1245"/>
      <c r="AS480" s="1245"/>
      <c r="AT480" s="1245"/>
      <c r="AU480" s="1245"/>
      <c r="AV480" s="1245"/>
      <c r="AW480" s="1245"/>
      <c r="AX480" s="1245"/>
      <c r="AY480" s="1245"/>
      <c r="AZ480" s="1245"/>
      <c r="BA480" s="1245"/>
    </row>
    <row r="481" spans="1:53" ht="14.45" customHeight="1" thickBot="1">
      <c r="A481" s="352"/>
      <c r="C481" s="320" t="s">
        <v>655</v>
      </c>
      <c r="I481" s="367" t="s">
        <v>929</v>
      </c>
      <c r="J481" s="1064"/>
      <c r="M481" s="1256">
        <f t="shared" ref="M481:AP481" si="114">SUM(M476:M480)</f>
        <v>0</v>
      </c>
      <c r="N481" s="1256">
        <f t="shared" si="114"/>
        <v>1332500</v>
      </c>
      <c r="O481" s="1256">
        <f t="shared" ca="1" si="114"/>
        <v>2120625</v>
      </c>
      <c r="P481" s="1256">
        <f t="shared" ca="1" si="114"/>
        <v>2516250</v>
      </c>
      <c r="Q481" s="1256">
        <f t="shared" ca="1" si="114"/>
        <v>2612500</v>
      </c>
      <c r="R481" s="1256">
        <f t="shared" ca="1" si="114"/>
        <v>2612500</v>
      </c>
      <c r="S481" s="1256">
        <f t="shared" ca="1" si="114"/>
        <v>2612500</v>
      </c>
      <c r="T481" s="1256">
        <f t="shared" ca="1" si="114"/>
        <v>2612500</v>
      </c>
      <c r="U481" s="1256">
        <f t="shared" ca="1" si="114"/>
        <v>2612500</v>
      </c>
      <c r="V481" s="1256">
        <f t="shared" ca="1" si="114"/>
        <v>2612500</v>
      </c>
      <c r="W481" s="1256">
        <f t="shared" ca="1" si="114"/>
        <v>2612500</v>
      </c>
      <c r="X481" s="1256">
        <f t="shared" ca="1" si="114"/>
        <v>2612500</v>
      </c>
      <c r="Y481" s="1256">
        <f t="shared" ca="1" si="114"/>
        <v>2612500</v>
      </c>
      <c r="Z481" s="1256">
        <f t="shared" ca="1" si="114"/>
        <v>2612500</v>
      </c>
      <c r="AA481" s="1256">
        <f t="shared" ca="1" si="114"/>
        <v>2612500</v>
      </c>
      <c r="AB481" s="1256">
        <f t="shared" ca="1" si="114"/>
        <v>2612500</v>
      </c>
      <c r="AC481" s="1256">
        <f t="shared" ca="1" si="114"/>
        <v>2612500</v>
      </c>
      <c r="AD481" s="1256">
        <f t="shared" ca="1" si="114"/>
        <v>2612500</v>
      </c>
      <c r="AE481" s="1256">
        <f t="shared" ca="1" si="114"/>
        <v>2612500</v>
      </c>
      <c r="AF481" s="1256">
        <f t="shared" ca="1" si="114"/>
        <v>2612500</v>
      </c>
      <c r="AG481" s="1256">
        <f t="shared" ca="1" si="114"/>
        <v>2612500</v>
      </c>
      <c r="AH481" s="1256">
        <f t="shared" ca="1" si="114"/>
        <v>2612500</v>
      </c>
      <c r="AI481" s="1256">
        <f t="shared" ca="1" si="114"/>
        <v>2612500</v>
      </c>
      <c r="AJ481" s="1256">
        <f t="shared" ca="1" si="114"/>
        <v>2612500</v>
      </c>
      <c r="AK481" s="1256">
        <f t="shared" ca="1" si="114"/>
        <v>2612500</v>
      </c>
      <c r="AL481" s="1256">
        <f t="shared" ca="1" si="114"/>
        <v>2612500</v>
      </c>
      <c r="AM481" s="1256">
        <f t="shared" ca="1" si="114"/>
        <v>2612500</v>
      </c>
      <c r="AN481" s="1256">
        <f t="shared" ca="1" si="114"/>
        <v>2612500</v>
      </c>
      <c r="AO481" s="1256">
        <f t="shared" ca="1" si="114"/>
        <v>2612500</v>
      </c>
      <c r="AP481" s="1256">
        <f t="shared" ca="1" si="114"/>
        <v>2612500</v>
      </c>
      <c r="AQ481" s="1256"/>
      <c r="AR481" s="1256"/>
      <c r="AS481" s="1256"/>
      <c r="AT481" s="1256"/>
      <c r="AU481" s="1256"/>
      <c r="AV481" s="1256"/>
      <c r="AW481" s="1256"/>
      <c r="AX481" s="1256"/>
      <c r="AY481" s="1256"/>
      <c r="AZ481" s="1256"/>
      <c r="BA481" s="1256"/>
    </row>
    <row r="482" spans="1:53" ht="14.45" customHeight="1">
      <c r="A482" s="352"/>
      <c r="I482" s="367"/>
      <c r="J482" s="1064"/>
      <c r="M482" s="1245"/>
      <c r="N482" s="1245"/>
      <c r="O482" s="1245"/>
      <c r="P482" s="1245"/>
      <c r="Q482" s="1245"/>
      <c r="R482" s="1245"/>
      <c r="S482" s="1245"/>
      <c r="T482" s="1245"/>
      <c r="U482" s="1245"/>
      <c r="V482" s="1245"/>
      <c r="W482" s="1245"/>
      <c r="X482" s="1245"/>
      <c r="Y482" s="1245"/>
      <c r="Z482" s="1245"/>
      <c r="AA482" s="1245"/>
      <c r="AB482" s="1245"/>
      <c r="AC482" s="1245"/>
      <c r="AD482" s="1245"/>
      <c r="AE482" s="1245"/>
      <c r="AF482" s="1245"/>
      <c r="AG482" s="1245"/>
      <c r="AH482" s="1245"/>
      <c r="AI482" s="1245"/>
      <c r="AJ482" s="1245"/>
      <c r="AK482" s="1245"/>
      <c r="AL482" s="1245"/>
      <c r="AM482" s="1245"/>
      <c r="AN482" s="1245"/>
      <c r="AO482" s="1245"/>
      <c r="AP482" s="1245"/>
      <c r="AQ482" s="1245"/>
      <c r="AR482" s="1245"/>
      <c r="AS482" s="1245"/>
      <c r="AT482" s="1245"/>
      <c r="AU482" s="1245"/>
      <c r="AV482" s="1245"/>
      <c r="AW482" s="1245"/>
      <c r="AX482" s="1245"/>
      <c r="AY482" s="1245"/>
      <c r="AZ482" s="1245"/>
      <c r="BA482" s="1245"/>
    </row>
    <row r="483" spans="1:53" ht="14.45" customHeight="1">
      <c r="A483" s="352"/>
      <c r="C483" s="348" t="s">
        <v>982</v>
      </c>
      <c r="I483" s="367"/>
      <c r="J483" s="1064"/>
      <c r="M483" s="1245"/>
      <c r="N483" s="1245"/>
      <c r="O483" s="1245"/>
      <c r="P483" s="1245"/>
      <c r="Q483" s="1245"/>
      <c r="R483" s="1245"/>
      <c r="S483" s="1245"/>
      <c r="T483" s="1245"/>
      <c r="U483" s="1245"/>
      <c r="V483" s="1245"/>
      <c r="W483" s="1245"/>
      <c r="X483" s="1245"/>
      <c r="Y483" s="1245"/>
      <c r="Z483" s="1245"/>
      <c r="AA483" s="1245"/>
      <c r="AB483" s="1245"/>
      <c r="AC483" s="1245"/>
      <c r="AD483" s="1245"/>
      <c r="AE483" s="1245"/>
      <c r="AF483" s="1245"/>
      <c r="AG483" s="1245"/>
      <c r="AH483" s="1245"/>
      <c r="AI483" s="1245"/>
      <c r="AJ483" s="1245"/>
      <c r="AK483" s="1245"/>
      <c r="AL483" s="1245"/>
      <c r="AM483" s="1245"/>
      <c r="AN483" s="1245"/>
      <c r="AO483" s="1245"/>
      <c r="AP483" s="1245"/>
      <c r="AQ483" s="1245"/>
      <c r="AR483" s="1245"/>
      <c r="AS483" s="1245"/>
      <c r="AT483" s="1245"/>
      <c r="AU483" s="1245"/>
      <c r="AV483" s="1245"/>
      <c r="AW483" s="1245"/>
      <c r="AX483" s="1245"/>
      <c r="AY483" s="1245"/>
      <c r="AZ483" s="1245"/>
      <c r="BA483" s="1245"/>
    </row>
    <row r="484" spans="1:53" ht="14.45" customHeight="1">
      <c r="A484" s="352"/>
      <c r="C484" s="485" t="s">
        <v>1800</v>
      </c>
      <c r="I484" s="367" t="s">
        <v>929</v>
      </c>
      <c r="J484" s="1064">
        <f>1-J476</f>
        <v>0.30000000000000004</v>
      </c>
      <c r="M484" s="1245">
        <f>M465*$J$484</f>
        <v>0</v>
      </c>
      <c r="N484" s="1245">
        <f t="shared" ref="N484:AP484" si="115">N465*$J$484</f>
        <v>292500.00000000006</v>
      </c>
      <c r="O484" s="1245">
        <f t="shared" ca="1" si="115"/>
        <v>365625.00000000006</v>
      </c>
      <c r="P484" s="1245">
        <f t="shared" ca="1" si="115"/>
        <v>427500.00000000006</v>
      </c>
      <c r="Q484" s="1245">
        <f t="shared" ca="1" si="115"/>
        <v>427500.00000000006</v>
      </c>
      <c r="R484" s="1245">
        <f t="shared" ca="1" si="115"/>
        <v>427500.00000000006</v>
      </c>
      <c r="S484" s="1245">
        <f t="shared" ca="1" si="115"/>
        <v>427500.00000000006</v>
      </c>
      <c r="T484" s="1245">
        <f t="shared" ca="1" si="115"/>
        <v>427500.00000000006</v>
      </c>
      <c r="U484" s="1245">
        <f t="shared" ca="1" si="115"/>
        <v>427500.00000000006</v>
      </c>
      <c r="V484" s="1245">
        <f t="shared" ca="1" si="115"/>
        <v>427500.00000000006</v>
      </c>
      <c r="W484" s="1245">
        <f t="shared" ca="1" si="115"/>
        <v>427500.00000000006</v>
      </c>
      <c r="X484" s="1245">
        <f t="shared" ca="1" si="115"/>
        <v>427500.00000000006</v>
      </c>
      <c r="Y484" s="1245">
        <f t="shared" ca="1" si="115"/>
        <v>427500.00000000006</v>
      </c>
      <c r="Z484" s="1245">
        <f t="shared" ca="1" si="115"/>
        <v>427500.00000000006</v>
      </c>
      <c r="AA484" s="1245">
        <f t="shared" ca="1" si="115"/>
        <v>427500.00000000006</v>
      </c>
      <c r="AB484" s="1245">
        <f t="shared" ca="1" si="115"/>
        <v>427500.00000000006</v>
      </c>
      <c r="AC484" s="1245">
        <f t="shared" ca="1" si="115"/>
        <v>427500.00000000006</v>
      </c>
      <c r="AD484" s="1245">
        <f t="shared" ca="1" si="115"/>
        <v>427500.00000000006</v>
      </c>
      <c r="AE484" s="1245">
        <f t="shared" ca="1" si="115"/>
        <v>427500.00000000006</v>
      </c>
      <c r="AF484" s="1245">
        <f t="shared" ca="1" si="115"/>
        <v>427500.00000000006</v>
      </c>
      <c r="AG484" s="1245">
        <f t="shared" ca="1" si="115"/>
        <v>427500.00000000006</v>
      </c>
      <c r="AH484" s="1245">
        <f t="shared" ca="1" si="115"/>
        <v>427500.00000000006</v>
      </c>
      <c r="AI484" s="1245">
        <f t="shared" ca="1" si="115"/>
        <v>427500.00000000006</v>
      </c>
      <c r="AJ484" s="1245">
        <f t="shared" ca="1" si="115"/>
        <v>427500.00000000006</v>
      </c>
      <c r="AK484" s="1245">
        <f t="shared" ca="1" si="115"/>
        <v>427500.00000000006</v>
      </c>
      <c r="AL484" s="1245">
        <f t="shared" ca="1" si="115"/>
        <v>427500.00000000006</v>
      </c>
      <c r="AM484" s="1245">
        <f t="shared" ca="1" si="115"/>
        <v>427500.00000000006</v>
      </c>
      <c r="AN484" s="1245">
        <f t="shared" ca="1" si="115"/>
        <v>427500.00000000006</v>
      </c>
      <c r="AO484" s="1245">
        <f t="shared" ca="1" si="115"/>
        <v>427500.00000000006</v>
      </c>
      <c r="AP484" s="1245">
        <f t="shared" ca="1" si="115"/>
        <v>427500.00000000006</v>
      </c>
      <c r="AQ484" s="1245"/>
      <c r="AR484" s="1245"/>
      <c r="AS484" s="1245"/>
      <c r="AT484" s="1245"/>
      <c r="AU484" s="1245"/>
      <c r="AV484" s="1245"/>
      <c r="AW484" s="1245"/>
      <c r="AX484" s="1245"/>
      <c r="AY484" s="1245"/>
      <c r="AZ484" s="1245"/>
      <c r="BA484" s="1245"/>
    </row>
    <row r="485" spans="1:53" ht="14.45" customHeight="1">
      <c r="A485" s="352"/>
      <c r="C485" s="485" t="s">
        <v>1801</v>
      </c>
      <c r="I485" s="367"/>
      <c r="J485" s="1064">
        <f>1-J477</f>
        <v>0.30000000000000004</v>
      </c>
      <c r="M485" s="1245">
        <f>M466*$J$485</f>
        <v>0</v>
      </c>
      <c r="N485" s="1245">
        <f t="shared" ref="N485:AP485" si="116">N466*$J$485</f>
        <v>0</v>
      </c>
      <c r="O485" s="1245">
        <f t="shared" si="116"/>
        <v>195000.00000000003</v>
      </c>
      <c r="P485" s="1245">
        <f t="shared" ca="1" si="116"/>
        <v>243750.00000000003</v>
      </c>
      <c r="Q485" s="1245">
        <f t="shared" ca="1" si="116"/>
        <v>285000.00000000006</v>
      </c>
      <c r="R485" s="1245">
        <f t="shared" ca="1" si="116"/>
        <v>285000.00000000006</v>
      </c>
      <c r="S485" s="1245">
        <f t="shared" ca="1" si="116"/>
        <v>285000.00000000006</v>
      </c>
      <c r="T485" s="1245">
        <f t="shared" ca="1" si="116"/>
        <v>285000.00000000006</v>
      </c>
      <c r="U485" s="1245">
        <f t="shared" ca="1" si="116"/>
        <v>285000.00000000006</v>
      </c>
      <c r="V485" s="1245">
        <f t="shared" ca="1" si="116"/>
        <v>285000.00000000006</v>
      </c>
      <c r="W485" s="1245">
        <f t="shared" ca="1" si="116"/>
        <v>285000.00000000006</v>
      </c>
      <c r="X485" s="1245">
        <f t="shared" ca="1" si="116"/>
        <v>285000.00000000006</v>
      </c>
      <c r="Y485" s="1245">
        <f t="shared" ca="1" si="116"/>
        <v>285000.00000000006</v>
      </c>
      <c r="Z485" s="1245">
        <f t="shared" ca="1" si="116"/>
        <v>285000.00000000006</v>
      </c>
      <c r="AA485" s="1245">
        <f t="shared" ca="1" si="116"/>
        <v>285000.00000000006</v>
      </c>
      <c r="AB485" s="1245">
        <f t="shared" ca="1" si="116"/>
        <v>285000.00000000006</v>
      </c>
      <c r="AC485" s="1245">
        <f t="shared" ca="1" si="116"/>
        <v>285000.00000000006</v>
      </c>
      <c r="AD485" s="1245">
        <f t="shared" ca="1" si="116"/>
        <v>285000.00000000006</v>
      </c>
      <c r="AE485" s="1245">
        <f t="shared" ca="1" si="116"/>
        <v>285000.00000000006</v>
      </c>
      <c r="AF485" s="1245">
        <f t="shared" ca="1" si="116"/>
        <v>285000.00000000006</v>
      </c>
      <c r="AG485" s="1245">
        <f t="shared" ca="1" si="116"/>
        <v>285000.00000000006</v>
      </c>
      <c r="AH485" s="1245">
        <f t="shared" ca="1" si="116"/>
        <v>285000.00000000006</v>
      </c>
      <c r="AI485" s="1245">
        <f t="shared" ca="1" si="116"/>
        <v>285000.00000000006</v>
      </c>
      <c r="AJ485" s="1245">
        <f t="shared" ca="1" si="116"/>
        <v>285000.00000000006</v>
      </c>
      <c r="AK485" s="1245">
        <f t="shared" ca="1" si="116"/>
        <v>285000.00000000006</v>
      </c>
      <c r="AL485" s="1245">
        <f t="shared" ca="1" si="116"/>
        <v>285000.00000000006</v>
      </c>
      <c r="AM485" s="1245">
        <f t="shared" ca="1" si="116"/>
        <v>285000.00000000006</v>
      </c>
      <c r="AN485" s="1245">
        <f t="shared" ca="1" si="116"/>
        <v>285000.00000000006</v>
      </c>
      <c r="AO485" s="1245">
        <f t="shared" ca="1" si="116"/>
        <v>285000.00000000006</v>
      </c>
      <c r="AP485" s="1245">
        <f t="shared" ca="1" si="116"/>
        <v>285000.00000000006</v>
      </c>
      <c r="AQ485" s="1245"/>
      <c r="AR485" s="1245"/>
      <c r="AS485" s="1245"/>
      <c r="AT485" s="1245"/>
      <c r="AU485" s="1245"/>
      <c r="AV485" s="1245"/>
      <c r="AW485" s="1245"/>
      <c r="AX485" s="1245"/>
      <c r="AY485" s="1245"/>
      <c r="AZ485" s="1245"/>
      <c r="BA485" s="1245"/>
    </row>
    <row r="486" spans="1:53" ht="14.45" customHeight="1">
      <c r="A486" s="352"/>
      <c r="C486" s="485" t="s">
        <v>1802</v>
      </c>
      <c r="I486" s="367"/>
      <c r="J486" s="1064">
        <f>1-J478</f>
        <v>0.30000000000000004</v>
      </c>
      <c r="M486" s="1245">
        <f>M467*$J$486</f>
        <v>0</v>
      </c>
      <c r="N486" s="1245">
        <f t="shared" ref="N486:AP486" si="117">N467*$J$486</f>
        <v>0</v>
      </c>
      <c r="O486" s="1245">
        <f t="shared" si="117"/>
        <v>0</v>
      </c>
      <c r="P486" s="1245">
        <f t="shared" ca="1" si="117"/>
        <v>0</v>
      </c>
      <c r="Q486" s="1245">
        <f t="shared" ca="1" si="117"/>
        <v>0</v>
      </c>
      <c r="R486" s="1245">
        <f t="shared" ca="1" si="117"/>
        <v>0</v>
      </c>
      <c r="S486" s="1245">
        <f t="shared" ca="1" si="117"/>
        <v>0</v>
      </c>
      <c r="T486" s="1245">
        <f t="shared" ca="1" si="117"/>
        <v>0</v>
      </c>
      <c r="U486" s="1245">
        <f t="shared" ca="1" si="117"/>
        <v>0</v>
      </c>
      <c r="V486" s="1245">
        <f t="shared" ca="1" si="117"/>
        <v>0</v>
      </c>
      <c r="W486" s="1245">
        <f t="shared" ca="1" si="117"/>
        <v>0</v>
      </c>
      <c r="X486" s="1245">
        <f t="shared" ca="1" si="117"/>
        <v>0</v>
      </c>
      <c r="Y486" s="1245">
        <f t="shared" ca="1" si="117"/>
        <v>0</v>
      </c>
      <c r="Z486" s="1245">
        <f t="shared" ca="1" si="117"/>
        <v>0</v>
      </c>
      <c r="AA486" s="1245">
        <f t="shared" ca="1" si="117"/>
        <v>0</v>
      </c>
      <c r="AB486" s="1245">
        <f t="shared" ca="1" si="117"/>
        <v>0</v>
      </c>
      <c r="AC486" s="1245">
        <f t="shared" ca="1" si="117"/>
        <v>0</v>
      </c>
      <c r="AD486" s="1245">
        <f t="shared" ca="1" si="117"/>
        <v>0</v>
      </c>
      <c r="AE486" s="1245">
        <f t="shared" ca="1" si="117"/>
        <v>0</v>
      </c>
      <c r="AF486" s="1245">
        <f t="shared" ca="1" si="117"/>
        <v>0</v>
      </c>
      <c r="AG486" s="1245">
        <f t="shared" ca="1" si="117"/>
        <v>0</v>
      </c>
      <c r="AH486" s="1245">
        <f t="shared" ca="1" si="117"/>
        <v>0</v>
      </c>
      <c r="AI486" s="1245">
        <f t="shared" ca="1" si="117"/>
        <v>0</v>
      </c>
      <c r="AJ486" s="1245">
        <f t="shared" ca="1" si="117"/>
        <v>0</v>
      </c>
      <c r="AK486" s="1245">
        <f t="shared" ca="1" si="117"/>
        <v>0</v>
      </c>
      <c r="AL486" s="1245">
        <f t="shared" ca="1" si="117"/>
        <v>0</v>
      </c>
      <c r="AM486" s="1245">
        <f t="shared" ca="1" si="117"/>
        <v>0</v>
      </c>
      <c r="AN486" s="1245">
        <f t="shared" ca="1" si="117"/>
        <v>0</v>
      </c>
      <c r="AO486" s="1245">
        <f t="shared" ca="1" si="117"/>
        <v>0</v>
      </c>
      <c r="AP486" s="1245">
        <f t="shared" ca="1" si="117"/>
        <v>0</v>
      </c>
      <c r="AQ486" s="1245"/>
      <c r="AR486" s="1245"/>
      <c r="AS486" s="1245"/>
      <c r="AT486" s="1245"/>
      <c r="AU486" s="1245"/>
      <c r="AV486" s="1245"/>
      <c r="AW486" s="1245"/>
      <c r="AX486" s="1245"/>
      <c r="AY486" s="1245"/>
      <c r="AZ486" s="1245"/>
      <c r="BA486" s="1245"/>
    </row>
    <row r="487" spans="1:53" ht="14.45" hidden="1" customHeight="1">
      <c r="A487" s="352"/>
      <c r="I487" s="367"/>
      <c r="J487" s="1064"/>
      <c r="M487" s="1245"/>
      <c r="N487" s="1245"/>
      <c r="O487" s="1245"/>
      <c r="P487" s="1245"/>
      <c r="Q487" s="1245"/>
      <c r="R487" s="1245"/>
      <c r="S487" s="1245"/>
      <c r="T487" s="1245"/>
      <c r="U487" s="1245"/>
      <c r="V487" s="1245"/>
      <c r="W487" s="1245"/>
      <c r="X487" s="1245"/>
      <c r="Y487" s="1245"/>
      <c r="Z487" s="1245"/>
      <c r="AA487" s="1245"/>
      <c r="AB487" s="1245"/>
      <c r="AC487" s="1245"/>
      <c r="AD487" s="1245"/>
      <c r="AE487" s="1245"/>
      <c r="AF487" s="1245"/>
      <c r="AG487" s="1245"/>
      <c r="AH487" s="1245"/>
      <c r="AI487" s="1245"/>
      <c r="AJ487" s="1245"/>
      <c r="AK487" s="1245"/>
      <c r="AL487" s="1245"/>
      <c r="AM487" s="1245"/>
      <c r="AN487" s="1245"/>
      <c r="AO487" s="1245"/>
      <c r="AP487" s="1245"/>
      <c r="AQ487" s="1245"/>
      <c r="AR487" s="1245"/>
      <c r="AS487" s="1245"/>
      <c r="AT487" s="1245"/>
      <c r="AU487" s="1245"/>
      <c r="AV487" s="1245"/>
      <c r="AW487" s="1245"/>
      <c r="AX487" s="1245"/>
      <c r="AY487" s="1245"/>
      <c r="AZ487" s="1245"/>
      <c r="BA487" s="1245"/>
    </row>
    <row r="488" spans="1:53" ht="14.45" customHeight="1">
      <c r="A488" s="352"/>
      <c r="C488" s="320" t="s">
        <v>863</v>
      </c>
      <c r="I488" s="367" t="s">
        <v>929</v>
      </c>
      <c r="J488" s="1064">
        <f>1-J480</f>
        <v>0</v>
      </c>
      <c r="M488" s="1245">
        <f>M469*$J$488</f>
        <v>0</v>
      </c>
      <c r="N488" s="1245">
        <f t="shared" ref="N488:AP488" si="118">N469*$J$488</f>
        <v>0</v>
      </c>
      <c r="O488" s="1245">
        <f t="shared" ca="1" si="118"/>
        <v>0</v>
      </c>
      <c r="P488" s="1245">
        <f t="shared" ca="1" si="118"/>
        <v>0</v>
      </c>
      <c r="Q488" s="1245">
        <f t="shared" ca="1" si="118"/>
        <v>0</v>
      </c>
      <c r="R488" s="1245">
        <f t="shared" ca="1" si="118"/>
        <v>0</v>
      </c>
      <c r="S488" s="1245">
        <f t="shared" ca="1" si="118"/>
        <v>0</v>
      </c>
      <c r="T488" s="1245">
        <f t="shared" ca="1" si="118"/>
        <v>0</v>
      </c>
      <c r="U488" s="1245">
        <f t="shared" ca="1" si="118"/>
        <v>0</v>
      </c>
      <c r="V488" s="1245">
        <f t="shared" ca="1" si="118"/>
        <v>0</v>
      </c>
      <c r="W488" s="1245">
        <f t="shared" ca="1" si="118"/>
        <v>0</v>
      </c>
      <c r="X488" s="1245">
        <f t="shared" ca="1" si="118"/>
        <v>0</v>
      </c>
      <c r="Y488" s="1245">
        <f t="shared" ca="1" si="118"/>
        <v>0</v>
      </c>
      <c r="Z488" s="1245">
        <f t="shared" ca="1" si="118"/>
        <v>0</v>
      </c>
      <c r="AA488" s="1245">
        <f t="shared" ca="1" si="118"/>
        <v>0</v>
      </c>
      <c r="AB488" s="1245">
        <f t="shared" ca="1" si="118"/>
        <v>0</v>
      </c>
      <c r="AC488" s="1245">
        <f t="shared" ca="1" si="118"/>
        <v>0</v>
      </c>
      <c r="AD488" s="1245">
        <f t="shared" ca="1" si="118"/>
        <v>0</v>
      </c>
      <c r="AE488" s="1245">
        <f t="shared" ca="1" si="118"/>
        <v>0</v>
      </c>
      <c r="AF488" s="1245">
        <f t="shared" ca="1" si="118"/>
        <v>0</v>
      </c>
      <c r="AG488" s="1245">
        <f t="shared" ca="1" si="118"/>
        <v>0</v>
      </c>
      <c r="AH488" s="1245">
        <f t="shared" ca="1" si="118"/>
        <v>0</v>
      </c>
      <c r="AI488" s="1245">
        <f t="shared" ca="1" si="118"/>
        <v>0</v>
      </c>
      <c r="AJ488" s="1245">
        <f t="shared" ca="1" si="118"/>
        <v>0</v>
      </c>
      <c r="AK488" s="1245">
        <f t="shared" ca="1" si="118"/>
        <v>0</v>
      </c>
      <c r="AL488" s="1245">
        <f t="shared" ca="1" si="118"/>
        <v>0</v>
      </c>
      <c r="AM488" s="1245">
        <f t="shared" ca="1" si="118"/>
        <v>0</v>
      </c>
      <c r="AN488" s="1245">
        <f t="shared" ca="1" si="118"/>
        <v>0</v>
      </c>
      <c r="AO488" s="1245">
        <f t="shared" ca="1" si="118"/>
        <v>0</v>
      </c>
      <c r="AP488" s="1245">
        <f t="shared" ca="1" si="118"/>
        <v>0</v>
      </c>
      <c r="AQ488" s="1245"/>
      <c r="AR488" s="1245"/>
      <c r="AS488" s="1245"/>
      <c r="AT488" s="1245"/>
      <c r="AU488" s="1245"/>
      <c r="AV488" s="1245"/>
      <c r="AW488" s="1245"/>
      <c r="AX488" s="1245"/>
      <c r="AY488" s="1245"/>
      <c r="AZ488" s="1245"/>
      <c r="BA488" s="1245"/>
    </row>
    <row r="489" spans="1:53" ht="16.899999999999999" customHeight="1" thickBot="1">
      <c r="A489" s="352"/>
      <c r="C489" s="320" t="s">
        <v>655</v>
      </c>
      <c r="I489" s="367" t="s">
        <v>929</v>
      </c>
      <c r="J489" s="431"/>
      <c r="M489" s="1256">
        <f>SUM(M484:M488)</f>
        <v>0</v>
      </c>
      <c r="N489" s="1256">
        <f t="shared" ref="N489:AP489" si="119">SUM(N484:N488)</f>
        <v>292500.00000000006</v>
      </c>
      <c r="O489" s="1256">
        <f t="shared" ca="1" si="119"/>
        <v>560625.00000000012</v>
      </c>
      <c r="P489" s="1256">
        <f t="shared" ca="1" si="119"/>
        <v>671250.00000000012</v>
      </c>
      <c r="Q489" s="1256">
        <f t="shared" ca="1" si="119"/>
        <v>712500.00000000012</v>
      </c>
      <c r="R489" s="1256">
        <f t="shared" ca="1" si="119"/>
        <v>712500.00000000012</v>
      </c>
      <c r="S489" s="1256">
        <f t="shared" ca="1" si="119"/>
        <v>712500.00000000012</v>
      </c>
      <c r="T489" s="1256">
        <f t="shared" ca="1" si="119"/>
        <v>712500.00000000012</v>
      </c>
      <c r="U489" s="1256">
        <f t="shared" ca="1" si="119"/>
        <v>712500.00000000012</v>
      </c>
      <c r="V489" s="1256">
        <f t="shared" ca="1" si="119"/>
        <v>712500.00000000012</v>
      </c>
      <c r="W489" s="1256">
        <f t="shared" ca="1" si="119"/>
        <v>712500.00000000012</v>
      </c>
      <c r="X489" s="1256">
        <f t="shared" ca="1" si="119"/>
        <v>712500.00000000012</v>
      </c>
      <c r="Y489" s="1256">
        <f t="shared" ca="1" si="119"/>
        <v>712500.00000000012</v>
      </c>
      <c r="Z489" s="1256">
        <f t="shared" ca="1" si="119"/>
        <v>712500.00000000012</v>
      </c>
      <c r="AA489" s="1256">
        <f t="shared" ca="1" si="119"/>
        <v>712500.00000000012</v>
      </c>
      <c r="AB489" s="1256">
        <f t="shared" ca="1" si="119"/>
        <v>712500.00000000012</v>
      </c>
      <c r="AC489" s="1256">
        <f t="shared" ca="1" si="119"/>
        <v>712500.00000000012</v>
      </c>
      <c r="AD489" s="1256">
        <f t="shared" ca="1" si="119"/>
        <v>712500.00000000012</v>
      </c>
      <c r="AE489" s="1256">
        <f t="shared" ca="1" si="119"/>
        <v>712500.00000000012</v>
      </c>
      <c r="AF489" s="1256">
        <f t="shared" ca="1" si="119"/>
        <v>712500.00000000012</v>
      </c>
      <c r="AG489" s="1256">
        <f t="shared" ca="1" si="119"/>
        <v>712500.00000000012</v>
      </c>
      <c r="AH489" s="1256">
        <f t="shared" ca="1" si="119"/>
        <v>712500.00000000012</v>
      </c>
      <c r="AI489" s="1256">
        <f t="shared" ca="1" si="119"/>
        <v>712500.00000000012</v>
      </c>
      <c r="AJ489" s="1256">
        <f t="shared" ca="1" si="119"/>
        <v>712500.00000000012</v>
      </c>
      <c r="AK489" s="1256">
        <f t="shared" ca="1" si="119"/>
        <v>712500.00000000012</v>
      </c>
      <c r="AL489" s="1256">
        <f t="shared" ca="1" si="119"/>
        <v>712500.00000000012</v>
      </c>
      <c r="AM489" s="1256">
        <f t="shared" ca="1" si="119"/>
        <v>712500.00000000012</v>
      </c>
      <c r="AN489" s="1256">
        <f t="shared" ca="1" si="119"/>
        <v>712500.00000000012</v>
      </c>
      <c r="AO489" s="1256">
        <f t="shared" ca="1" si="119"/>
        <v>712500.00000000012</v>
      </c>
      <c r="AP489" s="1256">
        <f t="shared" ca="1" si="119"/>
        <v>712500.00000000012</v>
      </c>
      <c r="AQ489" s="1256"/>
      <c r="AR489" s="1256"/>
      <c r="AS489" s="1256"/>
      <c r="AT489" s="1256"/>
      <c r="AU489" s="1256"/>
      <c r="AV489" s="1256"/>
      <c r="AW489" s="1256"/>
      <c r="AX489" s="1256"/>
      <c r="AY489" s="1256"/>
      <c r="AZ489" s="1256"/>
      <c r="BA489" s="1256"/>
    </row>
    <row r="490" spans="1:53" ht="16.899999999999999" customHeight="1">
      <c r="A490" s="352"/>
      <c r="C490" s="348" t="s">
        <v>1271</v>
      </c>
      <c r="I490" s="367"/>
      <c r="J490" s="431"/>
      <c r="M490" s="1265"/>
      <c r="N490" s="1265"/>
      <c r="O490" s="1265"/>
      <c r="P490" s="1265"/>
      <c r="Q490" s="1265"/>
      <c r="R490" s="1265"/>
      <c r="S490" s="1265"/>
      <c r="T490" s="1265"/>
      <c r="U490" s="1265"/>
      <c r="V490" s="1265"/>
      <c r="W490" s="1265"/>
      <c r="X490" s="1265"/>
      <c r="Y490" s="1265"/>
      <c r="Z490" s="1265"/>
      <c r="AA490" s="1265"/>
      <c r="AB490" s="1265"/>
      <c r="AC490" s="1265"/>
      <c r="AD490" s="1265"/>
      <c r="AE490" s="1265"/>
      <c r="AF490" s="1265"/>
      <c r="AG490" s="1265"/>
      <c r="AH490" s="1265"/>
      <c r="AI490" s="1265"/>
      <c r="AJ490" s="1265"/>
      <c r="AK490" s="1265"/>
      <c r="AL490" s="1265"/>
      <c r="AM490" s="1265"/>
      <c r="AN490" s="1265"/>
      <c r="AO490" s="1265"/>
      <c r="AP490" s="1265"/>
      <c r="AQ490" s="1265"/>
      <c r="AR490" s="1265"/>
      <c r="AS490" s="1265"/>
      <c r="AT490" s="1265"/>
      <c r="AU490" s="1265"/>
      <c r="AV490" s="1265"/>
      <c r="AW490" s="1265"/>
      <c r="AX490" s="1265"/>
      <c r="AY490" s="1265"/>
      <c r="AZ490" s="1265"/>
      <c r="BA490" s="1265"/>
    </row>
    <row r="491" spans="1:53" ht="16.899999999999999" customHeight="1">
      <c r="A491" s="352"/>
      <c r="C491" s="320" t="s">
        <v>1107</v>
      </c>
      <c r="I491" s="367"/>
      <c r="J491" s="431"/>
      <c r="M491" s="1265"/>
      <c r="N491" s="1265"/>
      <c r="O491" s="1265"/>
      <c r="P491" s="1265"/>
      <c r="Q491" s="1265"/>
      <c r="R491" s="1265"/>
      <c r="S491" s="1265"/>
      <c r="T491" s="1265"/>
      <c r="U491" s="1265"/>
      <c r="V491" s="1265"/>
      <c r="W491" s="1265"/>
      <c r="X491" s="1265"/>
      <c r="Y491" s="1265"/>
      <c r="Z491" s="1265"/>
      <c r="AA491" s="1265"/>
      <c r="AB491" s="1265"/>
      <c r="AC491" s="1265"/>
      <c r="AD491" s="1265"/>
      <c r="AE491" s="1265"/>
      <c r="AF491" s="1265"/>
      <c r="AG491" s="1265"/>
      <c r="AH491" s="1265"/>
      <c r="AI491" s="1265"/>
      <c r="AJ491" s="1265"/>
      <c r="AK491" s="1265"/>
      <c r="AL491" s="1265"/>
      <c r="AM491" s="1265"/>
      <c r="AN491" s="1265"/>
      <c r="AO491" s="1265"/>
      <c r="AP491" s="1265"/>
      <c r="AQ491" s="1265"/>
      <c r="AR491" s="1265"/>
      <c r="AS491" s="1265"/>
      <c r="AT491" s="1265"/>
      <c r="AU491" s="1265"/>
      <c r="AV491" s="1265"/>
      <c r="AW491" s="1265"/>
      <c r="AX491" s="1265"/>
      <c r="AY491" s="1265"/>
      <c r="AZ491" s="1265"/>
      <c r="BA491" s="1265"/>
    </row>
    <row r="492" spans="1:53" ht="17.45" customHeight="1">
      <c r="A492" s="352"/>
      <c r="J492" s="431">
        <f>J63</f>
        <v>355</v>
      </c>
      <c r="M492" s="1245">
        <f t="shared" ref="M492:AP492" si="120">$J$492*M58</f>
        <v>365.65000000000003</v>
      </c>
      <c r="N492" s="1245">
        <f t="shared" si="120"/>
        <v>376.61949999999996</v>
      </c>
      <c r="O492" s="1245">
        <f t="shared" si="120"/>
        <v>387.91808500000002</v>
      </c>
      <c r="P492" s="1245">
        <f t="shared" si="120"/>
        <v>399.55562755000005</v>
      </c>
      <c r="Q492" s="1245">
        <f t="shared" si="120"/>
        <v>411.54229637650002</v>
      </c>
      <c r="R492" s="1245">
        <f t="shared" si="120"/>
        <v>423.88856526779506</v>
      </c>
      <c r="S492" s="1245">
        <f t="shared" si="120"/>
        <v>436.60522222582892</v>
      </c>
      <c r="T492" s="1245">
        <f t="shared" si="120"/>
        <v>449.70337889260384</v>
      </c>
      <c r="U492" s="1245">
        <f t="shared" si="120"/>
        <v>463.19448025938192</v>
      </c>
      <c r="V492" s="1245">
        <f t="shared" si="120"/>
        <v>477.0903146671634</v>
      </c>
      <c r="W492" s="1245">
        <f t="shared" si="120"/>
        <v>491.40302410717828</v>
      </c>
      <c r="X492" s="1245">
        <f t="shared" si="120"/>
        <v>506.14511483039365</v>
      </c>
      <c r="Y492" s="1245">
        <f t="shared" si="120"/>
        <v>521.32946827530554</v>
      </c>
      <c r="Z492" s="1245">
        <f t="shared" si="120"/>
        <v>536.96935232356475</v>
      </c>
      <c r="AA492" s="1245">
        <f t="shared" si="120"/>
        <v>553.07843289327172</v>
      </c>
      <c r="AB492" s="1245">
        <f t="shared" si="120"/>
        <v>569.67078588006984</v>
      </c>
      <c r="AC492" s="1245">
        <f t="shared" si="120"/>
        <v>586.76090945647195</v>
      </c>
      <c r="AD492" s="1245">
        <f t="shared" si="120"/>
        <v>604.36373674016613</v>
      </c>
      <c r="AE492" s="1245">
        <f t="shared" si="120"/>
        <v>622.49464884237113</v>
      </c>
      <c r="AF492" s="1245">
        <f t="shared" si="120"/>
        <v>641.16948830764238</v>
      </c>
      <c r="AG492" s="1245">
        <f t="shared" si="120"/>
        <v>660.40457295687168</v>
      </c>
      <c r="AH492" s="1245">
        <f t="shared" si="120"/>
        <v>680.21671014557785</v>
      </c>
      <c r="AI492" s="1245">
        <f t="shared" si="120"/>
        <v>700.62321144994519</v>
      </c>
      <c r="AJ492" s="1245">
        <f t="shared" si="120"/>
        <v>721.64190779344358</v>
      </c>
      <c r="AK492" s="1245">
        <f t="shared" si="120"/>
        <v>743.29116502724685</v>
      </c>
      <c r="AL492" s="1245">
        <f t="shared" si="120"/>
        <v>765.5898999780643</v>
      </c>
      <c r="AM492" s="1245">
        <f t="shared" si="120"/>
        <v>788.55759697740632</v>
      </c>
      <c r="AN492" s="1245">
        <f t="shared" si="120"/>
        <v>812.21432488672849</v>
      </c>
      <c r="AO492" s="1245">
        <f t="shared" si="120"/>
        <v>836.58075463333034</v>
      </c>
      <c r="AP492" s="1245">
        <f t="shared" si="120"/>
        <v>861.67817727233023</v>
      </c>
      <c r="AQ492" s="1245"/>
      <c r="AR492" s="1245"/>
      <c r="AS492" s="1245"/>
      <c r="AT492" s="1245"/>
      <c r="AU492" s="1245"/>
      <c r="AV492" s="1245"/>
      <c r="AW492" s="1245"/>
      <c r="AX492" s="1245"/>
      <c r="AY492" s="1245"/>
      <c r="AZ492" s="1245"/>
      <c r="BA492" s="1245"/>
    </row>
    <row r="493" spans="1:53" ht="12.75" customHeight="1">
      <c r="A493" s="352"/>
      <c r="M493" s="1245"/>
      <c r="N493" s="1245"/>
      <c r="O493" s="1245"/>
      <c r="P493" s="1245"/>
      <c r="Q493" s="1245"/>
      <c r="R493" s="1245"/>
      <c r="S493" s="1245"/>
      <c r="T493" s="1245"/>
      <c r="U493" s="1245"/>
      <c r="V493" s="1245"/>
      <c r="W493" s="1245"/>
      <c r="X493" s="1245"/>
      <c r="Y493" s="1245"/>
      <c r="Z493" s="1245"/>
      <c r="AA493" s="1245"/>
      <c r="AB493" s="1245"/>
      <c r="AC493" s="1245"/>
      <c r="AD493" s="1245"/>
      <c r="AE493" s="1245"/>
      <c r="AF493" s="1245"/>
      <c r="AG493" s="1245"/>
      <c r="AH493" s="1245"/>
      <c r="AI493" s="1245"/>
      <c r="AJ493" s="1245"/>
      <c r="AK493" s="1245"/>
      <c r="AL493" s="1245"/>
      <c r="AM493" s="1245"/>
      <c r="AN493" s="1245"/>
      <c r="AO493" s="1245"/>
      <c r="AP493" s="1245"/>
      <c r="AQ493" s="1245"/>
      <c r="AR493" s="1245"/>
      <c r="AS493" s="1245"/>
      <c r="AT493" s="1245"/>
      <c r="AU493" s="1245"/>
      <c r="AV493" s="1245"/>
      <c r="AW493" s="1245"/>
      <c r="AX493" s="1245"/>
      <c r="AY493" s="1245"/>
      <c r="AZ493" s="1245"/>
      <c r="BA493" s="1245"/>
    </row>
    <row r="494" spans="1:53" ht="12.75" customHeight="1">
      <c r="A494" s="352"/>
      <c r="C494" s="320" t="s">
        <v>867</v>
      </c>
      <c r="I494" s="323" t="s">
        <v>829</v>
      </c>
      <c r="J494" s="431"/>
      <c r="L494" s="599">
        <f>J492</f>
        <v>355</v>
      </c>
      <c r="M494" s="1245">
        <f t="shared" ref="M494:AP494" si="121">IF(M9&lt;=15,M63,M492)</f>
        <v>411.87100000000004</v>
      </c>
      <c r="N494" s="1245">
        <f t="shared" si="121"/>
        <v>448.31769792452832</v>
      </c>
      <c r="O494" s="1245">
        <f t="shared" si="121"/>
        <v>482.15299588109644</v>
      </c>
      <c r="P494" s="1245">
        <f t="shared" si="121"/>
        <v>518.54190123061323</v>
      </c>
      <c r="Q494" s="1245">
        <f t="shared" si="121"/>
        <v>547.89332960215734</v>
      </c>
      <c r="R494" s="1245">
        <f t="shared" si="121"/>
        <v>583.38569409202535</v>
      </c>
      <c r="S494" s="1245">
        <f t="shared" si="121"/>
        <v>621.1772432388708</v>
      </c>
      <c r="T494" s="1245">
        <f t="shared" si="121"/>
        <v>661.41691753067948</v>
      </c>
      <c r="U494" s="1245">
        <f t="shared" si="121"/>
        <v>704.26330577528518</v>
      </c>
      <c r="V494" s="1245">
        <f t="shared" si="121"/>
        <v>749.8852701156178</v>
      </c>
      <c r="W494" s="1245">
        <f t="shared" si="121"/>
        <v>798.46261153324861</v>
      </c>
      <c r="X494" s="1245">
        <f t="shared" si="121"/>
        <v>850.1867784630557</v>
      </c>
      <c r="Y494" s="1245">
        <f t="shared" si="121"/>
        <v>905.26162131173294</v>
      </c>
      <c r="Z494" s="1245">
        <f t="shared" si="121"/>
        <v>963.90419585377981</v>
      </c>
      <c r="AA494" s="1245">
        <f t="shared" si="121"/>
        <v>1026.3456186712422</v>
      </c>
      <c r="AB494" s="1245">
        <f t="shared" si="121"/>
        <v>569.67078588006984</v>
      </c>
      <c r="AC494" s="1245">
        <f t="shared" si="121"/>
        <v>586.76090945647195</v>
      </c>
      <c r="AD494" s="1245">
        <f t="shared" si="121"/>
        <v>604.36373674016613</v>
      </c>
      <c r="AE494" s="1245">
        <f t="shared" si="121"/>
        <v>622.49464884237113</v>
      </c>
      <c r="AF494" s="1245">
        <f t="shared" si="121"/>
        <v>641.16948830764238</v>
      </c>
      <c r="AG494" s="1245">
        <f t="shared" si="121"/>
        <v>660.40457295687168</v>
      </c>
      <c r="AH494" s="1245">
        <f t="shared" si="121"/>
        <v>680.21671014557785</v>
      </c>
      <c r="AI494" s="1245">
        <f t="shared" si="121"/>
        <v>700.62321144994519</v>
      </c>
      <c r="AJ494" s="1245">
        <f t="shared" si="121"/>
        <v>721.64190779344358</v>
      </c>
      <c r="AK494" s="1245">
        <f t="shared" si="121"/>
        <v>743.29116502724685</v>
      </c>
      <c r="AL494" s="1245">
        <f t="shared" si="121"/>
        <v>765.5898999780643</v>
      </c>
      <c r="AM494" s="1245">
        <f t="shared" si="121"/>
        <v>788.55759697740632</v>
      </c>
      <c r="AN494" s="1245">
        <f t="shared" si="121"/>
        <v>812.21432488672849</v>
      </c>
      <c r="AO494" s="1245">
        <f t="shared" si="121"/>
        <v>836.58075463333034</v>
      </c>
      <c r="AP494" s="1245">
        <f t="shared" si="121"/>
        <v>861.67817727233023</v>
      </c>
      <c r="AQ494" s="1245"/>
      <c r="AR494" s="1245"/>
      <c r="AS494" s="1245"/>
      <c r="AT494" s="1245"/>
      <c r="AU494" s="1245"/>
      <c r="AV494" s="1245"/>
      <c r="AW494" s="1245"/>
      <c r="AX494" s="1245"/>
      <c r="AY494" s="1245"/>
      <c r="AZ494" s="1245"/>
      <c r="BA494" s="1245"/>
    </row>
    <row r="495" spans="1:53" ht="12.75" customHeight="1">
      <c r="A495" s="352"/>
      <c r="J495" s="431"/>
      <c r="L495" s="599"/>
      <c r="M495" s="1265"/>
      <c r="N495" s="1265"/>
      <c r="O495" s="1265"/>
      <c r="P495" s="1265"/>
      <c r="Q495" s="1265"/>
      <c r="R495" s="1265"/>
      <c r="S495" s="1265"/>
      <c r="T495" s="1265"/>
      <c r="U495" s="1265"/>
      <c r="V495" s="1265"/>
      <c r="W495" s="1265"/>
      <c r="X495" s="1265"/>
      <c r="Y495" s="1265"/>
      <c r="Z495" s="1265"/>
      <c r="AA495" s="1265"/>
      <c r="AB495" s="1265"/>
      <c r="AC495" s="1265"/>
      <c r="AD495" s="1265"/>
      <c r="AE495" s="1265"/>
      <c r="AF495" s="1265"/>
      <c r="AG495" s="1265"/>
      <c r="AH495" s="1265"/>
      <c r="AI495" s="1265"/>
      <c r="AJ495" s="1265"/>
      <c r="AK495" s="1265"/>
      <c r="AL495" s="1265"/>
      <c r="AM495" s="1265"/>
      <c r="AN495" s="1265"/>
      <c r="AO495" s="1265"/>
      <c r="AP495" s="1265"/>
      <c r="AQ495" s="1265"/>
      <c r="AR495" s="1265"/>
      <c r="AS495" s="1265"/>
      <c r="AT495" s="1265"/>
      <c r="AU495" s="1265"/>
      <c r="AV495" s="1265"/>
      <c r="AW495" s="1265"/>
      <c r="AX495" s="1265"/>
      <c r="AY495" s="1265"/>
      <c r="AZ495" s="1265"/>
      <c r="BA495" s="1265"/>
    </row>
    <row r="496" spans="1:53" ht="12.75" customHeight="1">
      <c r="A496" s="352"/>
      <c r="C496" s="320" t="s">
        <v>863</v>
      </c>
      <c r="I496" s="323" t="s">
        <v>829</v>
      </c>
      <c r="J496" s="431">
        <f>'Methanol Margin Sheet '!I19</f>
        <v>527.25957399688559</v>
      </c>
      <c r="M496" s="1265">
        <f t="shared" ref="M496:AP496" si="122">$J$496*M58</f>
        <v>543.07736121679216</v>
      </c>
      <c r="N496" s="1265">
        <f t="shared" si="122"/>
        <v>559.36968205329595</v>
      </c>
      <c r="O496" s="1265">
        <f t="shared" si="122"/>
        <v>576.15077251489481</v>
      </c>
      <c r="P496" s="1265">
        <f t="shared" si="122"/>
        <v>593.43529569034172</v>
      </c>
      <c r="Q496" s="1265">
        <f t="shared" si="122"/>
        <v>611.23835456105189</v>
      </c>
      <c r="R496" s="1265">
        <f t="shared" si="122"/>
        <v>629.57550519788356</v>
      </c>
      <c r="S496" s="1265">
        <f t="shared" si="122"/>
        <v>648.46277035382002</v>
      </c>
      <c r="T496" s="1265">
        <f t="shared" si="122"/>
        <v>667.91665346443472</v>
      </c>
      <c r="U496" s="1265">
        <f t="shared" si="122"/>
        <v>687.95415306836776</v>
      </c>
      <c r="V496" s="1265">
        <f t="shared" si="122"/>
        <v>708.59277766041873</v>
      </c>
      <c r="W496" s="1265">
        <f t="shared" si="122"/>
        <v>729.85056099023132</v>
      </c>
      <c r="X496" s="1265">
        <f t="shared" si="122"/>
        <v>751.74607781993825</v>
      </c>
      <c r="Y496" s="1265">
        <f t="shared" si="122"/>
        <v>774.29846015453654</v>
      </c>
      <c r="Z496" s="1265">
        <f t="shared" si="122"/>
        <v>797.52741395917269</v>
      </c>
      <c r="AA496" s="1265">
        <f t="shared" si="122"/>
        <v>821.45323637794786</v>
      </c>
      <c r="AB496" s="1265">
        <f t="shared" si="122"/>
        <v>846.09683346928637</v>
      </c>
      <c r="AC496" s="1265">
        <f t="shared" si="122"/>
        <v>871.47973847336493</v>
      </c>
      <c r="AD496" s="1265">
        <f t="shared" si="122"/>
        <v>897.62413062756593</v>
      </c>
      <c r="AE496" s="1265">
        <f t="shared" si="122"/>
        <v>924.55285454639295</v>
      </c>
      <c r="AF496" s="1265">
        <f t="shared" si="122"/>
        <v>952.2894401827848</v>
      </c>
      <c r="AG496" s="1265">
        <f t="shared" si="122"/>
        <v>980.8581233882685</v>
      </c>
      <c r="AH496" s="1265">
        <f t="shared" si="122"/>
        <v>1010.2838670899166</v>
      </c>
      <c r="AI496" s="1265">
        <f t="shared" si="122"/>
        <v>1040.5923831026141</v>
      </c>
      <c r="AJ496" s="1265">
        <f t="shared" si="122"/>
        <v>1071.8101545956927</v>
      </c>
      <c r="AK496" s="1265">
        <f t="shared" si="122"/>
        <v>1103.9644592335633</v>
      </c>
      <c r="AL496" s="1265">
        <f t="shared" si="122"/>
        <v>1137.0833930105703</v>
      </c>
      <c r="AM496" s="1265">
        <f t="shared" si="122"/>
        <v>1171.1958948008876</v>
      </c>
      <c r="AN496" s="1265">
        <f t="shared" si="122"/>
        <v>1206.3317716449139</v>
      </c>
      <c r="AO496" s="1265">
        <f t="shared" si="122"/>
        <v>1242.5217247942614</v>
      </c>
      <c r="AP496" s="1265">
        <f t="shared" si="122"/>
        <v>1279.7973765380893</v>
      </c>
      <c r="AQ496" s="1265"/>
      <c r="AR496" s="1265"/>
      <c r="AS496" s="1265"/>
      <c r="AT496" s="1265"/>
      <c r="AU496" s="1265"/>
      <c r="AV496" s="1265"/>
      <c r="AW496" s="1265"/>
      <c r="AX496" s="1265"/>
      <c r="AY496" s="1265"/>
      <c r="AZ496" s="1265"/>
      <c r="BA496" s="1265"/>
    </row>
    <row r="497" spans="1:53" ht="13.15" customHeight="1" thickBot="1">
      <c r="A497" s="352"/>
      <c r="C497" s="320" t="s">
        <v>655</v>
      </c>
      <c r="J497" s="431"/>
      <c r="M497" s="1256"/>
      <c r="N497" s="1256">
        <f t="shared" ref="N497:AP497" si="123">SUM(N494:N496)</f>
        <v>1007.6873799778243</v>
      </c>
      <c r="O497" s="1256">
        <f t="shared" si="123"/>
        <v>1058.3037683959913</v>
      </c>
      <c r="P497" s="1256">
        <f t="shared" si="123"/>
        <v>1111.9771969209551</v>
      </c>
      <c r="Q497" s="1256">
        <f t="shared" si="123"/>
        <v>1159.1316841632092</v>
      </c>
      <c r="R497" s="1256">
        <f t="shared" si="123"/>
        <v>1212.961199289909</v>
      </c>
      <c r="S497" s="1256">
        <f t="shared" si="123"/>
        <v>1269.6400135926908</v>
      </c>
      <c r="T497" s="1256">
        <f t="shared" si="123"/>
        <v>1329.3335709951143</v>
      </c>
      <c r="U497" s="1256">
        <f t="shared" si="123"/>
        <v>1392.2174588436528</v>
      </c>
      <c r="V497" s="1256">
        <f t="shared" si="123"/>
        <v>1458.4780477760364</v>
      </c>
      <c r="W497" s="1256">
        <f t="shared" si="123"/>
        <v>1528.3131725234798</v>
      </c>
      <c r="X497" s="1256">
        <f t="shared" si="123"/>
        <v>1601.932856282994</v>
      </c>
      <c r="Y497" s="1256">
        <f t="shared" si="123"/>
        <v>1679.5600814662694</v>
      </c>
      <c r="Z497" s="1256">
        <f t="shared" si="123"/>
        <v>1761.4316098129525</v>
      </c>
      <c r="AA497" s="1256">
        <f t="shared" si="123"/>
        <v>1847.79885504919</v>
      </c>
      <c r="AB497" s="1256">
        <f t="shared" si="123"/>
        <v>1415.7676193493562</v>
      </c>
      <c r="AC497" s="1256">
        <f t="shared" si="123"/>
        <v>1458.240647929837</v>
      </c>
      <c r="AD497" s="1256">
        <f t="shared" si="123"/>
        <v>1501.9878673677322</v>
      </c>
      <c r="AE497" s="1256">
        <f t="shared" si="123"/>
        <v>1547.0475033887642</v>
      </c>
      <c r="AF497" s="1256">
        <f t="shared" si="123"/>
        <v>1593.4589284904273</v>
      </c>
      <c r="AG497" s="1256">
        <f t="shared" si="123"/>
        <v>1641.2626963451403</v>
      </c>
      <c r="AH497" s="1256">
        <f t="shared" si="123"/>
        <v>1690.5005772354943</v>
      </c>
      <c r="AI497" s="1256">
        <f t="shared" si="123"/>
        <v>1741.2155945525592</v>
      </c>
      <c r="AJ497" s="1256">
        <f t="shared" si="123"/>
        <v>1793.4520623891362</v>
      </c>
      <c r="AK497" s="1256">
        <f t="shared" si="123"/>
        <v>1847.2556242608102</v>
      </c>
      <c r="AL497" s="1256">
        <f t="shared" si="123"/>
        <v>1902.6732929886346</v>
      </c>
      <c r="AM497" s="1256">
        <f t="shared" si="123"/>
        <v>1959.7534917782939</v>
      </c>
      <c r="AN497" s="1256">
        <f t="shared" si="123"/>
        <v>2018.5460965316424</v>
      </c>
      <c r="AO497" s="1256">
        <f t="shared" si="123"/>
        <v>2079.1024794275918</v>
      </c>
      <c r="AP497" s="1256">
        <f t="shared" si="123"/>
        <v>2141.4755538104196</v>
      </c>
      <c r="AQ497" s="1256"/>
      <c r="AR497" s="1256"/>
      <c r="AS497" s="1256"/>
      <c r="AT497" s="1256"/>
      <c r="AU497" s="1256"/>
      <c r="AV497" s="1256"/>
      <c r="AW497" s="1256"/>
      <c r="AX497" s="1256"/>
      <c r="AY497" s="1256"/>
      <c r="AZ497" s="1256"/>
      <c r="BA497" s="1256"/>
    </row>
    <row r="498" spans="1:53" ht="13.15" customHeight="1">
      <c r="A498" s="352"/>
      <c r="J498" s="431"/>
      <c r="M498" s="1245"/>
      <c r="N498" s="1245"/>
      <c r="O498" s="1245"/>
      <c r="P498" s="1245"/>
      <c r="Q498" s="1245"/>
      <c r="R498" s="1245"/>
      <c r="S498" s="1245"/>
      <c r="T498" s="1245"/>
      <c r="U498" s="1245"/>
      <c r="V498" s="1245"/>
      <c r="W498" s="1245"/>
      <c r="X498" s="1245"/>
      <c r="Y498" s="1245"/>
      <c r="Z498" s="1245"/>
      <c r="AA498" s="1245"/>
      <c r="AB498" s="1245"/>
      <c r="AC498" s="1245"/>
      <c r="AD498" s="1245"/>
      <c r="AE498" s="1245"/>
      <c r="AF498" s="1245"/>
      <c r="AG498" s="1245"/>
      <c r="AH498" s="1245"/>
      <c r="AI498" s="1245"/>
      <c r="AJ498" s="1245"/>
      <c r="AK498" s="1245"/>
      <c r="AL498" s="1245"/>
      <c r="AM498" s="1245"/>
      <c r="AN498" s="1245"/>
      <c r="AO498" s="1245"/>
      <c r="AP498" s="1245"/>
      <c r="AQ498" s="1245"/>
      <c r="AR498" s="1245"/>
      <c r="AS498" s="1245"/>
      <c r="AT498" s="1245"/>
      <c r="AU498" s="1245"/>
      <c r="AV498" s="1245"/>
      <c r="AW498" s="1245"/>
      <c r="AX498" s="1245"/>
      <c r="AY498" s="1245"/>
      <c r="AZ498" s="1245"/>
      <c r="BA498" s="1245"/>
    </row>
    <row r="499" spans="1:53" ht="13.15" customHeight="1">
      <c r="A499" s="352"/>
      <c r="C499" s="344" t="s">
        <v>1114</v>
      </c>
      <c r="J499" s="431"/>
      <c r="M499" s="1245"/>
      <c r="N499" s="1245"/>
      <c r="O499" s="1245"/>
      <c r="P499" s="1245"/>
      <c r="Q499" s="1245"/>
      <c r="R499" s="1245"/>
      <c r="S499" s="1245"/>
      <c r="T499" s="1245"/>
      <c r="U499" s="1245"/>
      <c r="V499" s="1245"/>
      <c r="W499" s="1245"/>
      <c r="X499" s="1245"/>
      <c r="Y499" s="1245"/>
      <c r="Z499" s="1245"/>
      <c r="AA499" s="1245"/>
      <c r="AB499" s="1245"/>
      <c r="AC499" s="1245"/>
      <c r="AD499" s="1245"/>
      <c r="AE499" s="1245"/>
      <c r="AF499" s="1245"/>
      <c r="AG499" s="1245"/>
      <c r="AH499" s="1245"/>
      <c r="AI499" s="1245"/>
      <c r="AJ499" s="1245"/>
      <c r="AK499" s="1245"/>
      <c r="AL499" s="1245"/>
      <c r="AM499" s="1245"/>
      <c r="AN499" s="1245"/>
      <c r="AO499" s="1245"/>
      <c r="AP499" s="1245"/>
      <c r="AQ499" s="1245"/>
      <c r="AR499" s="1245"/>
      <c r="AS499" s="1245"/>
      <c r="AT499" s="1245"/>
      <c r="AU499" s="1245"/>
      <c r="AV499" s="1245"/>
      <c r="AW499" s="1245"/>
      <c r="AX499" s="1245"/>
      <c r="AY499" s="1245"/>
      <c r="AZ499" s="1245"/>
      <c r="BA499" s="1245"/>
    </row>
    <row r="500" spans="1:53" ht="13.15" customHeight="1">
      <c r="A500" s="352"/>
      <c r="C500" s="320" t="s">
        <v>1108</v>
      </c>
      <c r="I500" s="323" t="s">
        <v>829</v>
      </c>
      <c r="J500" s="431">
        <f>J68</f>
        <v>339.64357142857142</v>
      </c>
      <c r="M500" s="1245">
        <f t="shared" ref="M500:AP500" si="124">$J$500*M58</f>
        <v>349.83287857142858</v>
      </c>
      <c r="N500" s="1245">
        <f t="shared" si="124"/>
        <v>360.32786492857139</v>
      </c>
      <c r="O500" s="1245">
        <f t="shared" si="124"/>
        <v>371.13770087642854</v>
      </c>
      <c r="P500" s="1245">
        <f t="shared" si="124"/>
        <v>382.27183190272149</v>
      </c>
      <c r="Q500" s="1245">
        <f t="shared" si="124"/>
        <v>393.73998685980308</v>
      </c>
      <c r="R500" s="1245">
        <f t="shared" si="124"/>
        <v>405.55218646559717</v>
      </c>
      <c r="S500" s="1245">
        <f t="shared" si="124"/>
        <v>417.71875205956513</v>
      </c>
      <c r="T500" s="1245">
        <f t="shared" si="124"/>
        <v>430.25031462135212</v>
      </c>
      <c r="U500" s="1245">
        <f t="shared" si="124"/>
        <v>443.15782405999266</v>
      </c>
      <c r="V500" s="1245">
        <f t="shared" si="124"/>
        <v>456.45255878179245</v>
      </c>
      <c r="W500" s="1245">
        <f t="shared" si="124"/>
        <v>470.14613554524624</v>
      </c>
      <c r="X500" s="1245">
        <f t="shared" si="124"/>
        <v>484.25051961160364</v>
      </c>
      <c r="Y500" s="1245">
        <f t="shared" si="124"/>
        <v>498.77803519995177</v>
      </c>
      <c r="Z500" s="1245">
        <f t="shared" si="124"/>
        <v>513.7413762559504</v>
      </c>
      <c r="AA500" s="1245">
        <f t="shared" si="124"/>
        <v>529.15361754362891</v>
      </c>
      <c r="AB500" s="1245">
        <f t="shared" si="124"/>
        <v>545.02822606993789</v>
      </c>
      <c r="AC500" s="1245">
        <f t="shared" si="124"/>
        <v>561.37907285203596</v>
      </c>
      <c r="AD500" s="1245">
        <f t="shared" si="124"/>
        <v>578.22044503759707</v>
      </c>
      <c r="AE500" s="1245">
        <f t="shared" si="124"/>
        <v>595.56705838872494</v>
      </c>
      <c r="AF500" s="1245">
        <f t="shared" si="124"/>
        <v>613.43407014038678</v>
      </c>
      <c r="AG500" s="1245">
        <f t="shared" si="124"/>
        <v>631.83709224459847</v>
      </c>
      <c r="AH500" s="1245">
        <f t="shared" si="124"/>
        <v>650.7922050119364</v>
      </c>
      <c r="AI500" s="1245">
        <f t="shared" si="124"/>
        <v>670.31597116229455</v>
      </c>
      <c r="AJ500" s="1245">
        <f t="shared" si="124"/>
        <v>690.42545029716337</v>
      </c>
      <c r="AK500" s="1245">
        <f t="shared" si="124"/>
        <v>711.13821380607828</v>
      </c>
      <c r="AL500" s="1245">
        <f t="shared" si="124"/>
        <v>732.47236022026073</v>
      </c>
      <c r="AM500" s="1245">
        <f t="shared" si="124"/>
        <v>754.44653102686857</v>
      </c>
      <c r="AN500" s="1245">
        <f t="shared" si="124"/>
        <v>777.07992695767462</v>
      </c>
      <c r="AO500" s="1245">
        <f t="shared" si="124"/>
        <v>800.39232476640484</v>
      </c>
      <c r="AP500" s="1245">
        <f t="shared" si="124"/>
        <v>824.40409450939694</v>
      </c>
      <c r="AQ500" s="1245"/>
      <c r="AR500" s="1245"/>
      <c r="AS500" s="1245"/>
      <c r="AT500" s="1245"/>
      <c r="AU500" s="1245"/>
      <c r="AV500" s="1245"/>
      <c r="AW500" s="1245"/>
      <c r="AX500" s="1245"/>
      <c r="AY500" s="1245"/>
      <c r="AZ500" s="1245"/>
      <c r="BA500" s="1245"/>
    </row>
    <row r="501" spans="1:53" ht="13.15" customHeight="1">
      <c r="A501" s="352"/>
      <c r="C501" s="320" t="s">
        <v>2120</v>
      </c>
      <c r="I501" s="323" t="s">
        <v>829</v>
      </c>
      <c r="J501" s="431">
        <f>J495</f>
        <v>0</v>
      </c>
      <c r="M501" s="1265">
        <f t="shared" ref="M501:AP501" si="125">$J$501*M58</f>
        <v>0</v>
      </c>
      <c r="N501" s="1265">
        <f t="shared" si="125"/>
        <v>0</v>
      </c>
      <c r="O501" s="1265">
        <f t="shared" si="125"/>
        <v>0</v>
      </c>
      <c r="P501" s="1265">
        <f t="shared" si="125"/>
        <v>0</v>
      </c>
      <c r="Q501" s="1265">
        <f t="shared" si="125"/>
        <v>0</v>
      </c>
      <c r="R501" s="1265">
        <f t="shared" si="125"/>
        <v>0</v>
      </c>
      <c r="S501" s="1265">
        <f t="shared" si="125"/>
        <v>0</v>
      </c>
      <c r="T501" s="1265">
        <f t="shared" si="125"/>
        <v>0</v>
      </c>
      <c r="U501" s="1265">
        <f t="shared" si="125"/>
        <v>0</v>
      </c>
      <c r="V501" s="1265">
        <f t="shared" si="125"/>
        <v>0</v>
      </c>
      <c r="W501" s="1265">
        <f t="shared" si="125"/>
        <v>0</v>
      </c>
      <c r="X501" s="1265">
        <f t="shared" si="125"/>
        <v>0</v>
      </c>
      <c r="Y501" s="1265">
        <f t="shared" si="125"/>
        <v>0</v>
      </c>
      <c r="Z501" s="1265">
        <f t="shared" si="125"/>
        <v>0</v>
      </c>
      <c r="AA501" s="1265">
        <f t="shared" si="125"/>
        <v>0</v>
      </c>
      <c r="AB501" s="1265">
        <f t="shared" si="125"/>
        <v>0</v>
      </c>
      <c r="AC501" s="1265">
        <f t="shared" si="125"/>
        <v>0</v>
      </c>
      <c r="AD501" s="1265">
        <f t="shared" si="125"/>
        <v>0</v>
      </c>
      <c r="AE501" s="1265">
        <f t="shared" si="125"/>
        <v>0</v>
      </c>
      <c r="AF501" s="1265">
        <f t="shared" si="125"/>
        <v>0</v>
      </c>
      <c r="AG501" s="1265">
        <f t="shared" si="125"/>
        <v>0</v>
      </c>
      <c r="AH501" s="1265">
        <f t="shared" si="125"/>
        <v>0</v>
      </c>
      <c r="AI501" s="1265">
        <f t="shared" si="125"/>
        <v>0</v>
      </c>
      <c r="AJ501" s="1265">
        <f t="shared" si="125"/>
        <v>0</v>
      </c>
      <c r="AK501" s="1265">
        <f t="shared" si="125"/>
        <v>0</v>
      </c>
      <c r="AL501" s="1265">
        <f t="shared" si="125"/>
        <v>0</v>
      </c>
      <c r="AM501" s="1265">
        <f t="shared" si="125"/>
        <v>0</v>
      </c>
      <c r="AN501" s="1265">
        <f t="shared" si="125"/>
        <v>0</v>
      </c>
      <c r="AO501" s="1265">
        <f t="shared" si="125"/>
        <v>0</v>
      </c>
      <c r="AP501" s="1265">
        <f t="shared" si="125"/>
        <v>0</v>
      </c>
      <c r="AQ501" s="1265"/>
      <c r="AR501" s="1265"/>
      <c r="AS501" s="1265"/>
      <c r="AT501" s="1265"/>
      <c r="AU501" s="1265"/>
      <c r="AV501" s="1265"/>
      <c r="AW501" s="1265"/>
      <c r="AX501" s="1265"/>
      <c r="AY501" s="1265"/>
      <c r="AZ501" s="1265"/>
      <c r="BA501" s="1265"/>
    </row>
    <row r="502" spans="1:53" ht="12.75" customHeight="1">
      <c r="A502" s="352"/>
      <c r="C502" s="320" t="s">
        <v>1109</v>
      </c>
      <c r="I502" s="323" t="s">
        <v>829</v>
      </c>
      <c r="J502" s="431">
        <f>J69</f>
        <v>310.10000000000002</v>
      </c>
      <c r="M502" s="1265">
        <f t="shared" ref="M502:AP502" si="126">$J$502*M58</f>
        <v>319.40300000000002</v>
      </c>
      <c r="N502" s="1265">
        <f t="shared" si="126"/>
        <v>328.98509000000001</v>
      </c>
      <c r="O502" s="1265">
        <f t="shared" si="126"/>
        <v>338.8546427</v>
      </c>
      <c r="P502" s="1265">
        <f t="shared" si="126"/>
        <v>349.0202819810001</v>
      </c>
      <c r="Q502" s="1265">
        <f t="shared" si="126"/>
        <v>359.49089044043006</v>
      </c>
      <c r="R502" s="1265">
        <f t="shared" si="126"/>
        <v>370.27561715364294</v>
      </c>
      <c r="S502" s="1265">
        <f t="shared" si="126"/>
        <v>381.38388566825228</v>
      </c>
      <c r="T502" s="1265">
        <f t="shared" si="126"/>
        <v>392.82540223829989</v>
      </c>
      <c r="U502" s="1265">
        <f t="shared" si="126"/>
        <v>404.61016430544885</v>
      </c>
      <c r="V502" s="1265">
        <f t="shared" si="126"/>
        <v>416.74846923461234</v>
      </c>
      <c r="W502" s="1265">
        <f t="shared" si="126"/>
        <v>429.25092331165069</v>
      </c>
      <c r="X502" s="1265">
        <f t="shared" si="126"/>
        <v>442.12845101100021</v>
      </c>
      <c r="Y502" s="1265">
        <f t="shared" si="126"/>
        <v>455.3923045413303</v>
      </c>
      <c r="Z502" s="1265">
        <f t="shared" si="126"/>
        <v>469.05407367757022</v>
      </c>
      <c r="AA502" s="1265">
        <f t="shared" si="126"/>
        <v>483.12569588789734</v>
      </c>
      <c r="AB502" s="1265">
        <f t="shared" si="126"/>
        <v>497.61946676453431</v>
      </c>
      <c r="AC502" s="1265">
        <f t="shared" si="126"/>
        <v>512.54805076747039</v>
      </c>
      <c r="AD502" s="1265">
        <f t="shared" si="126"/>
        <v>527.92449229049441</v>
      </c>
      <c r="AE502" s="1265">
        <f t="shared" si="126"/>
        <v>543.76222705920929</v>
      </c>
      <c r="AF502" s="1265">
        <f t="shared" si="126"/>
        <v>560.0750938709856</v>
      </c>
      <c r="AG502" s="1265">
        <f t="shared" si="126"/>
        <v>576.87734668711528</v>
      </c>
      <c r="AH502" s="1265">
        <f t="shared" si="126"/>
        <v>594.18366708772874</v>
      </c>
      <c r="AI502" s="1265">
        <f t="shared" si="126"/>
        <v>612.0091771003606</v>
      </c>
      <c r="AJ502" s="1265">
        <f t="shared" si="126"/>
        <v>630.3694524133715</v>
      </c>
      <c r="AK502" s="1265">
        <f t="shared" si="126"/>
        <v>649.28053598577253</v>
      </c>
      <c r="AL502" s="1265">
        <f t="shared" si="126"/>
        <v>668.75895206534585</v>
      </c>
      <c r="AM502" s="1265">
        <f t="shared" si="126"/>
        <v>688.82172062730626</v>
      </c>
      <c r="AN502" s="1265">
        <f t="shared" si="126"/>
        <v>709.48637224612537</v>
      </c>
      <c r="AO502" s="1265">
        <f t="shared" si="126"/>
        <v>730.77096341350921</v>
      </c>
      <c r="AP502" s="1265">
        <f t="shared" si="126"/>
        <v>752.69409231591442</v>
      </c>
      <c r="AQ502" s="1265"/>
      <c r="AR502" s="1265"/>
      <c r="AS502" s="1265"/>
      <c r="AT502" s="1265"/>
      <c r="AU502" s="1265"/>
      <c r="AV502" s="1265"/>
      <c r="AW502" s="1265"/>
      <c r="AX502" s="1265"/>
      <c r="AY502" s="1265"/>
      <c r="AZ502" s="1265"/>
      <c r="BA502" s="1265"/>
    </row>
    <row r="503" spans="1:53" ht="12.75" customHeight="1" thickBot="1">
      <c r="A503" s="352"/>
      <c r="J503" s="431"/>
      <c r="M503" s="1256"/>
      <c r="N503" s="1256">
        <f t="shared" ref="N503:AP503" si="127">SUM(N500:N502)</f>
        <v>689.31295492857134</v>
      </c>
      <c r="O503" s="1256">
        <f t="shared" si="127"/>
        <v>709.99234357642854</v>
      </c>
      <c r="P503" s="1256">
        <f t="shared" si="127"/>
        <v>731.29211388372164</v>
      </c>
      <c r="Q503" s="1256">
        <f t="shared" si="127"/>
        <v>753.23087730023315</v>
      </c>
      <c r="R503" s="1256">
        <f t="shared" si="127"/>
        <v>775.82780361924006</v>
      </c>
      <c r="S503" s="1256">
        <f t="shared" si="127"/>
        <v>799.10263772781741</v>
      </c>
      <c r="T503" s="1256">
        <f t="shared" si="127"/>
        <v>823.07571685965195</v>
      </c>
      <c r="U503" s="1256">
        <f t="shared" si="127"/>
        <v>847.76798836544151</v>
      </c>
      <c r="V503" s="1256">
        <f t="shared" si="127"/>
        <v>873.20102801640473</v>
      </c>
      <c r="W503" s="1256">
        <f t="shared" si="127"/>
        <v>899.39705885689693</v>
      </c>
      <c r="X503" s="1256">
        <f t="shared" si="127"/>
        <v>926.3789706226039</v>
      </c>
      <c r="Y503" s="1256">
        <f t="shared" si="127"/>
        <v>954.17033974128208</v>
      </c>
      <c r="Z503" s="1256">
        <f t="shared" si="127"/>
        <v>982.79544993352056</v>
      </c>
      <c r="AA503" s="1256">
        <f t="shared" si="127"/>
        <v>1012.2793134315262</v>
      </c>
      <c r="AB503" s="1256">
        <f t="shared" si="127"/>
        <v>1042.6476928344723</v>
      </c>
      <c r="AC503" s="1256">
        <f t="shared" si="127"/>
        <v>1073.9271236195063</v>
      </c>
      <c r="AD503" s="1256">
        <f t="shared" si="127"/>
        <v>1106.1449373280916</v>
      </c>
      <c r="AE503" s="1256">
        <f t="shared" si="127"/>
        <v>1139.3292854479341</v>
      </c>
      <c r="AF503" s="1256">
        <f t="shared" si="127"/>
        <v>1173.5091640113724</v>
      </c>
      <c r="AG503" s="1256">
        <f t="shared" si="127"/>
        <v>1208.7144389317136</v>
      </c>
      <c r="AH503" s="1256">
        <f t="shared" si="127"/>
        <v>1244.9758720996651</v>
      </c>
      <c r="AI503" s="1256">
        <f t="shared" si="127"/>
        <v>1282.3251482626551</v>
      </c>
      <c r="AJ503" s="1256">
        <f t="shared" si="127"/>
        <v>1320.7949027105349</v>
      </c>
      <c r="AK503" s="1256">
        <f t="shared" si="127"/>
        <v>1360.4187497918508</v>
      </c>
      <c r="AL503" s="1256">
        <f t="shared" si="127"/>
        <v>1401.2313122856067</v>
      </c>
      <c r="AM503" s="1256">
        <f t="shared" si="127"/>
        <v>1443.2682516541749</v>
      </c>
      <c r="AN503" s="1256">
        <f t="shared" si="127"/>
        <v>1486.5662992038001</v>
      </c>
      <c r="AO503" s="1256">
        <f t="shared" si="127"/>
        <v>1531.1632881799142</v>
      </c>
      <c r="AP503" s="1256">
        <f t="shared" si="127"/>
        <v>1577.0981868253114</v>
      </c>
      <c r="AQ503" s="1256"/>
      <c r="AR503" s="1256"/>
      <c r="AS503" s="1256"/>
      <c r="AT503" s="1256"/>
      <c r="AU503" s="1256"/>
      <c r="AV503" s="1256"/>
      <c r="AW503" s="1256"/>
      <c r="AX503" s="1256"/>
      <c r="AY503" s="1256"/>
      <c r="AZ503" s="1256"/>
      <c r="BA503" s="1256"/>
    </row>
    <row r="504" spans="1:53" ht="13.15" customHeight="1">
      <c r="A504" s="352"/>
      <c r="C504" s="344" t="s">
        <v>2121</v>
      </c>
      <c r="I504" s="320"/>
      <c r="J504" s="431"/>
      <c r="M504" s="1245"/>
      <c r="N504" s="1245"/>
      <c r="O504" s="1245"/>
      <c r="P504" s="1245"/>
      <c r="Q504" s="1245"/>
      <c r="R504" s="1245"/>
      <c r="S504" s="1245"/>
      <c r="T504" s="1245"/>
      <c r="U504" s="1245"/>
      <c r="V504" s="1245"/>
      <c r="W504" s="1245"/>
      <c r="X504" s="1245"/>
      <c r="Y504" s="1245"/>
      <c r="Z504" s="1245"/>
      <c r="AA504" s="1245"/>
      <c r="AB504" s="1245"/>
      <c r="AC504" s="1245"/>
      <c r="AD504" s="1245"/>
      <c r="AE504" s="1245"/>
      <c r="AF504" s="1245"/>
      <c r="AG504" s="1245"/>
      <c r="AH504" s="1245"/>
      <c r="AI504" s="1245"/>
      <c r="AJ504" s="1245"/>
      <c r="AK504" s="1245"/>
      <c r="AL504" s="1245"/>
      <c r="AM504" s="1245"/>
      <c r="AN504" s="1245"/>
      <c r="AO504" s="1245"/>
      <c r="AP504" s="1245"/>
      <c r="AQ504" s="1245"/>
      <c r="AR504" s="1245"/>
      <c r="AS504" s="1245"/>
      <c r="AT504" s="1245"/>
      <c r="AU504" s="1245"/>
      <c r="AV504" s="1245"/>
      <c r="AW504" s="1245"/>
      <c r="AX504" s="1245"/>
      <c r="AY504" s="1245"/>
      <c r="AZ504" s="1245"/>
      <c r="BA504" s="1245"/>
    </row>
    <row r="505" spans="1:53" ht="12.75" customHeight="1">
      <c r="A505" s="352"/>
      <c r="C505" s="485" t="s">
        <v>1800</v>
      </c>
      <c r="I505" s="323" t="s">
        <v>44</v>
      </c>
      <c r="J505" s="431"/>
      <c r="M505" s="1245">
        <f>M494*M476</f>
        <v>0</v>
      </c>
      <c r="N505" s="1245">
        <f t="shared" ref="N505:AP505" si="128">N494*N476</f>
        <v>305976828.83349055</v>
      </c>
      <c r="O505" s="1245">
        <f t="shared" ca="1" si="128"/>
        <v>411336774.61106038</v>
      </c>
      <c r="P505" s="1245">
        <f t="shared" ca="1" si="128"/>
        <v>517245546.47753662</v>
      </c>
      <c r="Q505" s="1245">
        <f t="shared" ca="1" si="128"/>
        <v>546523596.27815187</v>
      </c>
      <c r="R505" s="1245">
        <f t="shared" ca="1" si="128"/>
        <v>581927229.85679519</v>
      </c>
      <c r="S505" s="1245">
        <f t="shared" ca="1" si="128"/>
        <v>619624300.13077354</v>
      </c>
      <c r="T505" s="1245">
        <f t="shared" ca="1" si="128"/>
        <v>659763375.23685277</v>
      </c>
      <c r="U505" s="1245">
        <f t="shared" ca="1" si="128"/>
        <v>702502647.51084685</v>
      </c>
      <c r="V505" s="1245">
        <f t="shared" ca="1" si="128"/>
        <v>748010556.94032872</v>
      </c>
      <c r="W505" s="1245">
        <f t="shared" ca="1" si="128"/>
        <v>796466455.00441539</v>
      </c>
      <c r="X505" s="1245">
        <f t="shared" ca="1" si="128"/>
        <v>848061311.51689792</v>
      </c>
      <c r="Y505" s="1245">
        <f t="shared" ca="1" si="128"/>
        <v>902998467.25845349</v>
      </c>
      <c r="Z505" s="1245">
        <f t="shared" ca="1" si="128"/>
        <v>961494435.36414528</v>
      </c>
      <c r="AA505" s="1245">
        <f t="shared" ca="1" si="128"/>
        <v>1023779754.6245639</v>
      </c>
      <c r="AB505" s="1245">
        <f t="shared" ca="1" si="128"/>
        <v>568246608.91536963</v>
      </c>
      <c r="AC505" s="1245">
        <f t="shared" ca="1" si="128"/>
        <v>585294007.18283069</v>
      </c>
      <c r="AD505" s="1245">
        <f t="shared" ca="1" si="128"/>
        <v>602852827.39831567</v>
      </c>
      <c r="AE505" s="1245">
        <f t="shared" ca="1" si="128"/>
        <v>620938412.22026515</v>
      </c>
      <c r="AF505" s="1245">
        <f t="shared" ca="1" si="128"/>
        <v>639566564.58687317</v>
      </c>
      <c r="AG505" s="1245">
        <f t="shared" ca="1" si="128"/>
        <v>658753561.52447939</v>
      </c>
      <c r="AH505" s="1245">
        <f t="shared" ca="1" si="128"/>
        <v>678516168.37021387</v>
      </c>
      <c r="AI505" s="1245">
        <f t="shared" ca="1" si="128"/>
        <v>698871653.4213202</v>
      </c>
      <c r="AJ505" s="1245">
        <f t="shared" ca="1" si="128"/>
        <v>719837803.02395988</v>
      </c>
      <c r="AK505" s="1245">
        <f t="shared" ca="1" si="128"/>
        <v>741432937.11467862</v>
      </c>
      <c r="AL505" s="1245">
        <f t="shared" ca="1" si="128"/>
        <v>763675925.22811902</v>
      </c>
      <c r="AM505" s="1245">
        <f t="shared" ca="1" si="128"/>
        <v>786586202.9849627</v>
      </c>
      <c r="AN505" s="1245">
        <f t="shared" ca="1" si="128"/>
        <v>810183789.07451153</v>
      </c>
      <c r="AO505" s="1245">
        <f t="shared" ca="1" si="128"/>
        <v>834489302.7467469</v>
      </c>
      <c r="AP505" s="1245">
        <f t="shared" ca="1" si="128"/>
        <v>859523981.82914925</v>
      </c>
      <c r="AQ505" s="1245"/>
      <c r="AR505" s="1245"/>
      <c r="AS505" s="1245"/>
      <c r="AT505" s="1245"/>
      <c r="AU505" s="1245"/>
      <c r="AV505" s="1245"/>
      <c r="AW505" s="1245"/>
      <c r="AX505" s="1245"/>
      <c r="AY505" s="1245"/>
      <c r="AZ505" s="1245"/>
      <c r="BA505" s="1245"/>
    </row>
    <row r="506" spans="1:53" ht="12.75" customHeight="1">
      <c r="A506" s="352"/>
      <c r="C506" s="485" t="s">
        <v>1801</v>
      </c>
      <c r="I506" s="323" t="s">
        <v>44</v>
      </c>
      <c r="J506" s="431"/>
      <c r="M506" s="1245">
        <f>M494*M477</f>
        <v>0</v>
      </c>
      <c r="N506" s="1245">
        <f t="shared" ref="N506:AP506" si="129">N494*N477</f>
        <v>0</v>
      </c>
      <c r="O506" s="1245">
        <f t="shared" si="129"/>
        <v>219379613.12589887</v>
      </c>
      <c r="P506" s="1245">
        <f t="shared" ca="1" si="129"/>
        <v>294920706.3249113</v>
      </c>
      <c r="Q506" s="1245">
        <f t="shared" ca="1" si="129"/>
        <v>364349064.18543464</v>
      </c>
      <c r="R506" s="1245">
        <f t="shared" ca="1" si="129"/>
        <v>387951486.57119685</v>
      </c>
      <c r="S506" s="1245">
        <f t="shared" ca="1" si="129"/>
        <v>413082866.75384909</v>
      </c>
      <c r="T506" s="1245">
        <f t="shared" ca="1" si="129"/>
        <v>439842250.15790188</v>
      </c>
      <c r="U506" s="1245">
        <f t="shared" ca="1" si="129"/>
        <v>468335098.34056467</v>
      </c>
      <c r="V506" s="1245">
        <f t="shared" ca="1" si="129"/>
        <v>498673704.62688583</v>
      </c>
      <c r="W506" s="1245">
        <f t="shared" ca="1" si="129"/>
        <v>530977636.66961032</v>
      </c>
      <c r="X506" s="1245">
        <f t="shared" ca="1" si="129"/>
        <v>565374207.67793202</v>
      </c>
      <c r="Y506" s="1245">
        <f t="shared" ca="1" si="129"/>
        <v>601998978.17230237</v>
      </c>
      <c r="Z506" s="1245">
        <f t="shared" ca="1" si="129"/>
        <v>640996290.24276352</v>
      </c>
      <c r="AA506" s="1245">
        <f t="shared" ca="1" si="129"/>
        <v>682519836.41637599</v>
      </c>
      <c r="AB506" s="1245">
        <f t="shared" ca="1" si="129"/>
        <v>378831072.61024642</v>
      </c>
      <c r="AC506" s="1245">
        <f t="shared" ca="1" si="129"/>
        <v>390196004.78855383</v>
      </c>
      <c r="AD506" s="1245">
        <f t="shared" ca="1" si="129"/>
        <v>401901884.93221051</v>
      </c>
      <c r="AE506" s="1245">
        <f t="shared" ca="1" si="129"/>
        <v>413958941.48017681</v>
      </c>
      <c r="AF506" s="1245">
        <f t="shared" ca="1" si="129"/>
        <v>426377709.7245822</v>
      </c>
      <c r="AG506" s="1245">
        <f t="shared" ca="1" si="129"/>
        <v>439169041.01631969</v>
      </c>
      <c r="AH506" s="1245">
        <f t="shared" ca="1" si="129"/>
        <v>452344112.24680924</v>
      </c>
      <c r="AI506" s="1245">
        <f t="shared" ca="1" si="129"/>
        <v>465914435.61421353</v>
      </c>
      <c r="AJ506" s="1245">
        <f t="shared" ca="1" si="129"/>
        <v>479891868.68263996</v>
      </c>
      <c r="AK506" s="1245">
        <f t="shared" ca="1" si="129"/>
        <v>494288624.74311918</v>
      </c>
      <c r="AL506" s="1245">
        <f t="shared" ca="1" si="129"/>
        <v>509117283.48541278</v>
      </c>
      <c r="AM506" s="1245">
        <f t="shared" ca="1" si="129"/>
        <v>524390801.98997521</v>
      </c>
      <c r="AN506" s="1245">
        <f t="shared" ca="1" si="129"/>
        <v>540122526.04967439</v>
      </c>
      <c r="AO506" s="1245">
        <f t="shared" ca="1" si="129"/>
        <v>556326201.83116472</v>
      </c>
      <c r="AP506" s="1245">
        <f t="shared" ca="1" si="129"/>
        <v>573015987.88609958</v>
      </c>
      <c r="AQ506" s="1245"/>
      <c r="AR506" s="1245"/>
      <c r="AS506" s="1245"/>
      <c r="AT506" s="1245"/>
      <c r="AU506" s="1245"/>
      <c r="AV506" s="1245"/>
      <c r="AW506" s="1245"/>
      <c r="AX506" s="1245"/>
      <c r="AY506" s="1245"/>
      <c r="AZ506" s="1245"/>
      <c r="BA506" s="1245"/>
    </row>
    <row r="507" spans="1:53" ht="12.75" customHeight="1">
      <c r="A507" s="352"/>
      <c r="C507" s="485"/>
      <c r="I507" s="323" t="s">
        <v>44</v>
      </c>
      <c r="J507" s="431"/>
      <c r="M507" s="1245">
        <f>M494*M478</f>
        <v>0</v>
      </c>
      <c r="N507" s="1245">
        <f t="shared" ref="N507:AP507" si="130">N494*N478</f>
        <v>0</v>
      </c>
      <c r="O507" s="1245">
        <f t="shared" si="130"/>
        <v>0</v>
      </c>
      <c r="P507" s="1245">
        <f t="shared" ca="1" si="130"/>
        <v>0</v>
      </c>
      <c r="Q507" s="1245">
        <f t="shared" ca="1" si="130"/>
        <v>0</v>
      </c>
      <c r="R507" s="1245">
        <f t="shared" ca="1" si="130"/>
        <v>0</v>
      </c>
      <c r="S507" s="1245">
        <f t="shared" ca="1" si="130"/>
        <v>0</v>
      </c>
      <c r="T507" s="1245">
        <f t="shared" ca="1" si="130"/>
        <v>0</v>
      </c>
      <c r="U507" s="1245">
        <f t="shared" ca="1" si="130"/>
        <v>0</v>
      </c>
      <c r="V507" s="1245">
        <f t="shared" ca="1" si="130"/>
        <v>0</v>
      </c>
      <c r="W507" s="1245">
        <f t="shared" ca="1" si="130"/>
        <v>0</v>
      </c>
      <c r="X507" s="1245">
        <f t="shared" ca="1" si="130"/>
        <v>0</v>
      </c>
      <c r="Y507" s="1245">
        <f t="shared" ca="1" si="130"/>
        <v>0</v>
      </c>
      <c r="Z507" s="1245">
        <f t="shared" ca="1" si="130"/>
        <v>0</v>
      </c>
      <c r="AA507" s="1245">
        <f t="shared" ca="1" si="130"/>
        <v>0</v>
      </c>
      <c r="AB507" s="1245">
        <f t="shared" ca="1" si="130"/>
        <v>0</v>
      </c>
      <c r="AC507" s="1245">
        <f t="shared" ca="1" si="130"/>
        <v>0</v>
      </c>
      <c r="AD507" s="1245">
        <f t="shared" ca="1" si="130"/>
        <v>0</v>
      </c>
      <c r="AE507" s="1245">
        <f t="shared" ca="1" si="130"/>
        <v>0</v>
      </c>
      <c r="AF507" s="1245">
        <f t="shared" ca="1" si="130"/>
        <v>0</v>
      </c>
      <c r="AG507" s="1245">
        <f t="shared" ca="1" si="130"/>
        <v>0</v>
      </c>
      <c r="AH507" s="1245">
        <f t="shared" ca="1" si="130"/>
        <v>0</v>
      </c>
      <c r="AI507" s="1245">
        <f t="shared" ca="1" si="130"/>
        <v>0</v>
      </c>
      <c r="AJ507" s="1245">
        <f t="shared" ca="1" si="130"/>
        <v>0</v>
      </c>
      <c r="AK507" s="1245">
        <f t="shared" ca="1" si="130"/>
        <v>0</v>
      </c>
      <c r="AL507" s="1245">
        <f t="shared" ca="1" si="130"/>
        <v>0</v>
      </c>
      <c r="AM507" s="1245">
        <f t="shared" ca="1" si="130"/>
        <v>0</v>
      </c>
      <c r="AN507" s="1245">
        <f t="shared" ca="1" si="130"/>
        <v>0</v>
      </c>
      <c r="AO507" s="1245">
        <f t="shared" ca="1" si="130"/>
        <v>0</v>
      </c>
      <c r="AP507" s="1245">
        <f t="shared" ca="1" si="130"/>
        <v>0</v>
      </c>
      <c r="AQ507" s="1245"/>
      <c r="AR507" s="1245"/>
      <c r="AS507" s="1245"/>
      <c r="AT507" s="1245"/>
      <c r="AU507" s="1245"/>
      <c r="AV507" s="1245"/>
      <c r="AW507" s="1245"/>
      <c r="AX507" s="1245"/>
      <c r="AY507" s="1245"/>
      <c r="AZ507" s="1245"/>
      <c r="BA507" s="1245"/>
    </row>
    <row r="508" spans="1:53" ht="12.75" customHeight="1">
      <c r="A508" s="352"/>
      <c r="C508" s="320" t="s">
        <v>2113</v>
      </c>
      <c r="I508" s="323" t="s">
        <v>44</v>
      </c>
      <c r="J508" s="431"/>
      <c r="M508" s="1245">
        <f>M495*M479</f>
        <v>0</v>
      </c>
      <c r="N508" s="1245">
        <f t="shared" ref="N508:AP508" si="131">N495*N479</f>
        <v>0</v>
      </c>
      <c r="O508" s="1245">
        <f t="shared" ca="1" si="131"/>
        <v>0</v>
      </c>
      <c r="P508" s="1245">
        <f t="shared" ca="1" si="131"/>
        <v>0</v>
      </c>
      <c r="Q508" s="1245">
        <f t="shared" ca="1" si="131"/>
        <v>0</v>
      </c>
      <c r="R508" s="1245">
        <f t="shared" ca="1" si="131"/>
        <v>0</v>
      </c>
      <c r="S508" s="1245">
        <f t="shared" ca="1" si="131"/>
        <v>0</v>
      </c>
      <c r="T508" s="1245">
        <f t="shared" ca="1" si="131"/>
        <v>0</v>
      </c>
      <c r="U508" s="1245">
        <f t="shared" ca="1" si="131"/>
        <v>0</v>
      </c>
      <c r="V508" s="1245">
        <f t="shared" ca="1" si="131"/>
        <v>0</v>
      </c>
      <c r="W508" s="1245">
        <f t="shared" ca="1" si="131"/>
        <v>0</v>
      </c>
      <c r="X508" s="1245">
        <f t="shared" ca="1" si="131"/>
        <v>0</v>
      </c>
      <c r="Y508" s="1245">
        <f t="shared" ca="1" si="131"/>
        <v>0</v>
      </c>
      <c r="Z508" s="1245">
        <f t="shared" ca="1" si="131"/>
        <v>0</v>
      </c>
      <c r="AA508" s="1245">
        <f t="shared" ca="1" si="131"/>
        <v>0</v>
      </c>
      <c r="AB508" s="1245">
        <f t="shared" ca="1" si="131"/>
        <v>0</v>
      </c>
      <c r="AC508" s="1245">
        <f t="shared" ca="1" si="131"/>
        <v>0</v>
      </c>
      <c r="AD508" s="1245">
        <f t="shared" ca="1" si="131"/>
        <v>0</v>
      </c>
      <c r="AE508" s="1245">
        <f t="shared" ca="1" si="131"/>
        <v>0</v>
      </c>
      <c r="AF508" s="1245">
        <f t="shared" ca="1" si="131"/>
        <v>0</v>
      </c>
      <c r="AG508" s="1245">
        <f t="shared" ca="1" si="131"/>
        <v>0</v>
      </c>
      <c r="AH508" s="1245">
        <f t="shared" ca="1" si="131"/>
        <v>0</v>
      </c>
      <c r="AI508" s="1245">
        <f t="shared" ca="1" si="131"/>
        <v>0</v>
      </c>
      <c r="AJ508" s="1245">
        <f t="shared" ca="1" si="131"/>
        <v>0</v>
      </c>
      <c r="AK508" s="1245">
        <f t="shared" ca="1" si="131"/>
        <v>0</v>
      </c>
      <c r="AL508" s="1245">
        <f t="shared" ca="1" si="131"/>
        <v>0</v>
      </c>
      <c r="AM508" s="1245">
        <f t="shared" ca="1" si="131"/>
        <v>0</v>
      </c>
      <c r="AN508" s="1245">
        <f t="shared" ca="1" si="131"/>
        <v>0</v>
      </c>
      <c r="AO508" s="1245">
        <f t="shared" ca="1" si="131"/>
        <v>0</v>
      </c>
      <c r="AP508" s="1245">
        <f t="shared" ca="1" si="131"/>
        <v>0</v>
      </c>
      <c r="AQ508" s="1245"/>
      <c r="AR508" s="1245"/>
      <c r="AS508" s="1245"/>
      <c r="AT508" s="1245"/>
      <c r="AU508" s="1245"/>
      <c r="AV508" s="1245"/>
      <c r="AW508" s="1245"/>
      <c r="AX508" s="1245"/>
      <c r="AY508" s="1245"/>
      <c r="AZ508" s="1245"/>
      <c r="BA508" s="1245"/>
    </row>
    <row r="509" spans="1:53" ht="12.75" customHeight="1">
      <c r="A509" s="352"/>
      <c r="C509" s="320" t="s">
        <v>863</v>
      </c>
      <c r="I509" s="323" t="s">
        <v>44</v>
      </c>
      <c r="J509" s="431"/>
      <c r="M509" s="1245">
        <f>M496*M480</f>
        <v>0</v>
      </c>
      <c r="N509" s="1245">
        <f t="shared" ref="N509:AP509" si="132">N496*N480</f>
        <v>363590293.33464235</v>
      </c>
      <c r="O509" s="1245">
        <f t="shared" ca="1" si="132"/>
        <v>468122502.66835201</v>
      </c>
      <c r="P509" s="1245">
        <f t="shared" ca="1" si="132"/>
        <v>563763530.90582466</v>
      </c>
      <c r="Q509" s="1245">
        <f t="shared" ca="1" si="132"/>
        <v>580676436.83299935</v>
      </c>
      <c r="R509" s="1245">
        <f t="shared" ca="1" si="132"/>
        <v>598096729.93798935</v>
      </c>
      <c r="S509" s="1245">
        <f t="shared" ca="1" si="132"/>
        <v>616039631.83612907</v>
      </c>
      <c r="T509" s="1245">
        <f t="shared" ca="1" si="132"/>
        <v>634520820.79121304</v>
      </c>
      <c r="U509" s="1245">
        <f t="shared" ca="1" si="132"/>
        <v>653556445.41494942</v>
      </c>
      <c r="V509" s="1245">
        <f t="shared" ca="1" si="132"/>
        <v>673163138.77739775</v>
      </c>
      <c r="W509" s="1245">
        <f t="shared" ca="1" si="132"/>
        <v>693358032.94071972</v>
      </c>
      <c r="X509" s="1245">
        <f t="shared" ca="1" si="132"/>
        <v>714158773.92894137</v>
      </c>
      <c r="Y509" s="1245">
        <f t="shared" ca="1" si="132"/>
        <v>735583537.1468097</v>
      </c>
      <c r="Z509" s="1245">
        <f t="shared" ca="1" si="132"/>
        <v>757651043.26121402</v>
      </c>
      <c r="AA509" s="1245">
        <f t="shared" ca="1" si="132"/>
        <v>780380574.55905044</v>
      </c>
      <c r="AB509" s="1245">
        <f t="shared" ca="1" si="132"/>
        <v>803791991.79582202</v>
      </c>
      <c r="AC509" s="1245">
        <f t="shared" ca="1" si="132"/>
        <v>827905751.54969668</v>
      </c>
      <c r="AD509" s="1245">
        <f t="shared" ca="1" si="132"/>
        <v>852742924.09618759</v>
      </c>
      <c r="AE509" s="1245">
        <f t="shared" ca="1" si="132"/>
        <v>878325211.81907332</v>
      </c>
      <c r="AF509" s="1245">
        <f t="shared" ca="1" si="132"/>
        <v>904674968.17364562</v>
      </c>
      <c r="AG509" s="1245">
        <f t="shared" ca="1" si="132"/>
        <v>931815217.21885502</v>
      </c>
      <c r="AH509" s="1245">
        <f t="shared" ca="1" si="132"/>
        <v>959769673.73542082</v>
      </c>
      <c r="AI509" s="1245">
        <f t="shared" ca="1" si="132"/>
        <v>988562763.94748342</v>
      </c>
      <c r="AJ509" s="1245">
        <f t="shared" ca="1" si="132"/>
        <v>1018219646.865908</v>
      </c>
      <c r="AK509" s="1245">
        <f t="shared" ca="1" si="132"/>
        <v>1048766236.2718852</v>
      </c>
      <c r="AL509" s="1245">
        <f t="shared" ca="1" si="132"/>
        <v>1080229223.3600419</v>
      </c>
      <c r="AM509" s="1245">
        <f t="shared" ca="1" si="132"/>
        <v>1112636100.0608432</v>
      </c>
      <c r="AN509" s="1245">
        <f t="shared" ca="1" si="132"/>
        <v>1146015183.0626683</v>
      </c>
      <c r="AO509" s="1245">
        <f t="shared" ca="1" si="132"/>
        <v>1180395638.5545483</v>
      </c>
      <c r="AP509" s="1245">
        <f t="shared" ca="1" si="132"/>
        <v>1215807507.711185</v>
      </c>
      <c r="AQ509" s="1245"/>
      <c r="AR509" s="1245"/>
      <c r="AS509" s="1245"/>
      <c r="AT509" s="1245"/>
      <c r="AU509" s="1245"/>
      <c r="AV509" s="1245"/>
      <c r="AW509" s="1245"/>
      <c r="AX509" s="1245"/>
      <c r="AY509" s="1245"/>
      <c r="AZ509" s="1245"/>
      <c r="BA509" s="1245"/>
    </row>
    <row r="510" spans="1:53" ht="10.15" customHeight="1">
      <c r="A510" s="352"/>
      <c r="C510" s="320" t="s">
        <v>655</v>
      </c>
      <c r="I510" s="323" t="s">
        <v>44</v>
      </c>
      <c r="J510" s="431"/>
      <c r="M510" s="1245"/>
      <c r="N510" s="1245"/>
      <c r="O510" s="1245"/>
      <c r="P510" s="1245"/>
      <c r="Q510" s="1245"/>
      <c r="R510" s="1265"/>
      <c r="S510" s="1265"/>
      <c r="T510" s="1265"/>
      <c r="U510" s="1265"/>
      <c r="V510" s="1265"/>
      <c r="W510" s="1265"/>
      <c r="X510" s="1265"/>
      <c r="Y510" s="1265"/>
      <c r="Z510" s="1265"/>
      <c r="AA510" s="1265"/>
      <c r="AB510" s="1265"/>
      <c r="AC510" s="1265"/>
      <c r="AD510" s="1265"/>
      <c r="AE510" s="1265"/>
      <c r="AF510" s="1265"/>
      <c r="AG510" s="1265"/>
      <c r="AH510" s="1265"/>
      <c r="AI510" s="1265"/>
      <c r="AJ510" s="1265"/>
      <c r="AK510" s="1265"/>
      <c r="AL510" s="1265"/>
      <c r="AM510" s="1265"/>
      <c r="AN510" s="1265"/>
      <c r="AO510" s="1265"/>
      <c r="AP510" s="1265"/>
      <c r="AQ510" s="1265"/>
      <c r="AR510" s="1265"/>
      <c r="AS510" s="1265"/>
      <c r="AT510" s="1265"/>
      <c r="AU510" s="1265"/>
      <c r="AV510" s="1265"/>
      <c r="AW510" s="1265"/>
      <c r="AX510" s="1265"/>
      <c r="AY510" s="1265"/>
      <c r="AZ510" s="1265"/>
      <c r="BA510" s="1265"/>
    </row>
    <row r="511" spans="1:53" ht="12.75" customHeight="1" thickBot="1">
      <c r="A511" s="352"/>
      <c r="J511" s="431"/>
      <c r="M511" s="1256">
        <f>SUM(M505:M510)</f>
        <v>0</v>
      </c>
      <c r="N511" s="1256">
        <f t="shared" ref="N511:AP511" si="133">SUM(N505:N510)</f>
        <v>669567122.1681329</v>
      </c>
      <c r="O511" s="1256">
        <f t="shared" ca="1" si="133"/>
        <v>1098838890.4053111</v>
      </c>
      <c r="P511" s="1256">
        <f t="shared" ca="1" si="133"/>
        <v>1375929783.7082725</v>
      </c>
      <c r="Q511" s="1256">
        <f t="shared" ca="1" si="133"/>
        <v>1491549097.296586</v>
      </c>
      <c r="R511" s="1256">
        <f t="shared" ca="1" si="133"/>
        <v>1567975446.3659816</v>
      </c>
      <c r="S511" s="1256">
        <f t="shared" ca="1" si="133"/>
        <v>1648746798.7207518</v>
      </c>
      <c r="T511" s="1256">
        <f t="shared" ca="1" si="133"/>
        <v>1734126446.1859677</v>
      </c>
      <c r="U511" s="1256">
        <f t="shared" ca="1" si="133"/>
        <v>1824394191.266361</v>
      </c>
      <c r="V511" s="1256">
        <f t="shared" ca="1" si="133"/>
        <v>1919847400.3446121</v>
      </c>
      <c r="W511" s="1256">
        <f t="shared" ca="1" si="133"/>
        <v>2020802124.6147456</v>
      </c>
      <c r="X511" s="1256">
        <f t="shared" ca="1" si="133"/>
        <v>2127594293.1237712</v>
      </c>
      <c r="Y511" s="1256">
        <f t="shared" ca="1" si="133"/>
        <v>2240580982.5775657</v>
      </c>
      <c r="Z511" s="1256">
        <f t="shared" ca="1" si="133"/>
        <v>2360141768.8681231</v>
      </c>
      <c r="AA511" s="1256">
        <f t="shared" ca="1" si="133"/>
        <v>2486680165.5999904</v>
      </c>
      <c r="AB511" s="1256">
        <f t="shared" ca="1" si="133"/>
        <v>1750869673.3214381</v>
      </c>
      <c r="AC511" s="1256">
        <f t="shared" ca="1" si="133"/>
        <v>1803395763.5210812</v>
      </c>
      <c r="AD511" s="1256">
        <f t="shared" ca="1" si="133"/>
        <v>1857497636.4267137</v>
      </c>
      <c r="AE511" s="1256">
        <f t="shared" ca="1" si="133"/>
        <v>1913222565.5195153</v>
      </c>
      <c r="AF511" s="1256">
        <f t="shared" ca="1" si="133"/>
        <v>1970619242.485101</v>
      </c>
      <c r="AG511" s="1256">
        <f t="shared" ca="1" si="133"/>
        <v>2029737819.759654</v>
      </c>
      <c r="AH511" s="1256">
        <f t="shared" ca="1" si="133"/>
        <v>2090629954.3524437</v>
      </c>
      <c r="AI511" s="1256">
        <f t="shared" ca="1" si="133"/>
        <v>2153348852.983017</v>
      </c>
      <c r="AJ511" s="1256">
        <f t="shared" ca="1" si="133"/>
        <v>2217949318.5725079</v>
      </c>
      <c r="AK511" s="1256">
        <f t="shared" ca="1" si="133"/>
        <v>2284487798.129683</v>
      </c>
      <c r="AL511" s="1256">
        <f t="shared" ca="1" si="133"/>
        <v>2353022432.0735736</v>
      </c>
      <c r="AM511" s="1256">
        <f t="shared" ca="1" si="133"/>
        <v>2423613105.0357809</v>
      </c>
      <c r="AN511" s="1256">
        <f t="shared" ca="1" si="133"/>
        <v>2496321498.1868544</v>
      </c>
      <c r="AO511" s="1256">
        <f t="shared" ca="1" si="133"/>
        <v>2571211143.1324596</v>
      </c>
      <c r="AP511" s="1256">
        <f t="shared" ca="1" si="133"/>
        <v>2648347477.4264336</v>
      </c>
      <c r="AQ511" s="1256"/>
      <c r="AR511" s="1256"/>
      <c r="AS511" s="1256"/>
      <c r="AT511" s="1256"/>
      <c r="AU511" s="1256"/>
      <c r="AV511" s="1256"/>
      <c r="AW511" s="1256"/>
      <c r="AX511" s="1256"/>
      <c r="AY511" s="1256"/>
      <c r="AZ511" s="1256"/>
      <c r="BA511" s="1256"/>
    </row>
    <row r="512" spans="1:53" ht="12.75" customHeight="1">
      <c r="A512" s="352"/>
      <c r="C512" s="344" t="s">
        <v>1110</v>
      </c>
      <c r="J512" s="431"/>
      <c r="M512" s="1265"/>
      <c r="N512" s="1265"/>
      <c r="O512" s="1265"/>
      <c r="P512" s="1265"/>
      <c r="Q512" s="1265"/>
      <c r="R512" s="1265"/>
      <c r="S512" s="1265"/>
      <c r="T512" s="1265"/>
      <c r="U512" s="1265"/>
      <c r="V512" s="1265"/>
      <c r="W512" s="1265"/>
      <c r="X512" s="1265"/>
      <c r="Y512" s="1265"/>
      <c r="Z512" s="1265"/>
      <c r="AA512" s="1265"/>
      <c r="AB512" s="1265"/>
      <c r="AC512" s="1265"/>
      <c r="AD512" s="1265"/>
      <c r="AE512" s="1265"/>
      <c r="AF512" s="1265"/>
      <c r="AG512" s="1265"/>
      <c r="AH512" s="1265"/>
      <c r="AI512" s="1265"/>
      <c r="AJ512" s="1265"/>
      <c r="AK512" s="1265"/>
      <c r="AL512" s="1265"/>
      <c r="AM512" s="1265"/>
      <c r="AN512" s="1265"/>
      <c r="AO512" s="1265"/>
      <c r="AP512" s="1265"/>
      <c r="AQ512" s="1265"/>
      <c r="AR512" s="1265"/>
      <c r="AS512" s="1265"/>
      <c r="AT512" s="1265"/>
      <c r="AU512" s="1265"/>
      <c r="AV512" s="1265"/>
      <c r="AW512" s="1265"/>
      <c r="AX512" s="1265"/>
      <c r="AY512" s="1265"/>
      <c r="AZ512" s="1265"/>
      <c r="BA512" s="1265"/>
    </row>
    <row r="513" spans="1:53" ht="12.75" customHeight="1">
      <c r="A513" s="352"/>
      <c r="C513" s="485" t="s">
        <v>1800</v>
      </c>
      <c r="I513" s="323" t="s">
        <v>44</v>
      </c>
      <c r="J513" s="431"/>
      <c r="M513" s="1245">
        <f>M500*M484</f>
        <v>0</v>
      </c>
      <c r="N513" s="1245">
        <f t="shared" ref="N513:AP513" si="134">N500*N484</f>
        <v>105395900.49160714</v>
      </c>
      <c r="O513" s="1245">
        <f t="shared" ca="1" si="134"/>
        <v>135697221.8829442</v>
      </c>
      <c r="P513" s="1245">
        <f t="shared" ca="1" si="134"/>
        <v>163421208.13841346</v>
      </c>
      <c r="Q513" s="1245">
        <f t="shared" ca="1" si="134"/>
        <v>168323844.38256583</v>
      </c>
      <c r="R513" s="1245">
        <f t="shared" ca="1" si="134"/>
        <v>173373559.71404281</v>
      </c>
      <c r="S513" s="1245">
        <f t="shared" ca="1" si="134"/>
        <v>178574766.50546411</v>
      </c>
      <c r="T513" s="1245">
        <f t="shared" ca="1" si="134"/>
        <v>183932009.50062805</v>
      </c>
      <c r="U513" s="1245">
        <f t="shared" ca="1" si="134"/>
        <v>189449969.78564689</v>
      </c>
      <c r="V513" s="1245">
        <f t="shared" ca="1" si="134"/>
        <v>195133468.87921628</v>
      </c>
      <c r="W513" s="1245">
        <f t="shared" ca="1" si="134"/>
        <v>200987472.94559279</v>
      </c>
      <c r="X513" s="1245">
        <f t="shared" ca="1" si="134"/>
        <v>207017097.13396057</v>
      </c>
      <c r="Y513" s="1245">
        <f t="shared" ca="1" si="134"/>
        <v>213227610.04797941</v>
      </c>
      <c r="Z513" s="1245">
        <f t="shared" ca="1" si="134"/>
        <v>219624438.34941882</v>
      </c>
      <c r="AA513" s="1245">
        <f t="shared" ca="1" si="134"/>
        <v>226213171.49990138</v>
      </c>
      <c r="AB513" s="1245">
        <f t="shared" ca="1" si="134"/>
        <v>232999566.64489847</v>
      </c>
      <c r="AC513" s="1245">
        <f t="shared" ca="1" si="134"/>
        <v>239989553.64424542</v>
      </c>
      <c r="AD513" s="1245">
        <f t="shared" ca="1" si="134"/>
        <v>247189240.25357279</v>
      </c>
      <c r="AE513" s="1245">
        <f t="shared" ca="1" si="134"/>
        <v>254604917.46117994</v>
      </c>
      <c r="AF513" s="1245">
        <f t="shared" ca="1" si="134"/>
        <v>262243064.98501539</v>
      </c>
      <c r="AG513" s="1245">
        <f t="shared" ca="1" si="134"/>
        <v>270110356.9345659</v>
      </c>
      <c r="AH513" s="1245">
        <f t="shared" ca="1" si="134"/>
        <v>278213667.64260286</v>
      </c>
      <c r="AI513" s="1245">
        <f t="shared" ca="1" si="134"/>
        <v>286560077.67188096</v>
      </c>
      <c r="AJ513" s="1245">
        <f t="shared" ca="1" si="134"/>
        <v>295156880.00203741</v>
      </c>
      <c r="AK513" s="1245">
        <f t="shared" ca="1" si="134"/>
        <v>304011586.40209854</v>
      </c>
      <c r="AL513" s="1245">
        <f t="shared" ca="1" si="134"/>
        <v>313131933.99416149</v>
      </c>
      <c r="AM513" s="1245">
        <f t="shared" ca="1" si="134"/>
        <v>322525892.01398635</v>
      </c>
      <c r="AN513" s="1245">
        <f t="shared" ca="1" si="134"/>
        <v>332201668.77440596</v>
      </c>
      <c r="AO513" s="1245">
        <f t="shared" ca="1" si="134"/>
        <v>342167718.83763814</v>
      </c>
      <c r="AP513" s="1245">
        <f t="shared" ca="1" si="134"/>
        <v>352432750.40276724</v>
      </c>
      <c r="AQ513" s="1245"/>
      <c r="AR513" s="1245"/>
      <c r="AS513" s="1245"/>
      <c r="AT513" s="1245"/>
      <c r="AU513" s="1245"/>
      <c r="AV513" s="1245"/>
      <c r="AW513" s="1245"/>
      <c r="AX513" s="1245"/>
      <c r="AY513" s="1245"/>
      <c r="AZ513" s="1245"/>
      <c r="BA513" s="1245"/>
    </row>
    <row r="514" spans="1:53" ht="12.75" customHeight="1">
      <c r="A514" s="475"/>
      <c r="C514" s="485" t="s">
        <v>1801</v>
      </c>
      <c r="I514" s="323" t="s">
        <v>44</v>
      </c>
      <c r="J514" s="431"/>
      <c r="M514" s="1245">
        <f>M500*M485</f>
        <v>0</v>
      </c>
      <c r="N514" s="1245">
        <f t="shared" ref="N514:AP514" si="135">N500*N485</f>
        <v>0</v>
      </c>
      <c r="O514" s="1245">
        <f t="shared" si="135"/>
        <v>72371851.670903578</v>
      </c>
      <c r="P514" s="1245">
        <f t="shared" ca="1" si="135"/>
        <v>93178759.026288375</v>
      </c>
      <c r="Q514" s="1245">
        <f t="shared" ca="1" si="135"/>
        <v>112215896.25504389</v>
      </c>
      <c r="R514" s="1245">
        <f t="shared" ca="1" si="135"/>
        <v>115582373.14269522</v>
      </c>
      <c r="S514" s="1245">
        <f t="shared" ca="1" si="135"/>
        <v>119049844.33697608</v>
      </c>
      <c r="T514" s="1245">
        <f t="shared" ca="1" si="135"/>
        <v>122621339.66708538</v>
      </c>
      <c r="U514" s="1245">
        <f t="shared" ca="1" si="135"/>
        <v>126299979.85709794</v>
      </c>
      <c r="V514" s="1245">
        <f t="shared" ca="1" si="135"/>
        <v>130088979.25281088</v>
      </c>
      <c r="W514" s="1245">
        <f t="shared" ca="1" si="135"/>
        <v>133991648.6303952</v>
      </c>
      <c r="X514" s="1245">
        <f t="shared" ca="1" si="135"/>
        <v>138011398.08930707</v>
      </c>
      <c r="Y514" s="1245">
        <f t="shared" ca="1" si="135"/>
        <v>142151740.0319863</v>
      </c>
      <c r="Z514" s="1245">
        <f t="shared" ca="1" si="135"/>
        <v>146416292.23294589</v>
      </c>
      <c r="AA514" s="1245">
        <f t="shared" ca="1" si="135"/>
        <v>150808780.99993426</v>
      </c>
      <c r="AB514" s="1245">
        <f t="shared" ca="1" si="135"/>
        <v>155333044.42993233</v>
      </c>
      <c r="AC514" s="1245">
        <f t="shared" ca="1" si="135"/>
        <v>159993035.76283029</v>
      </c>
      <c r="AD514" s="1245">
        <f t="shared" ca="1" si="135"/>
        <v>164792826.8357152</v>
      </c>
      <c r="AE514" s="1245">
        <f t="shared" ca="1" si="135"/>
        <v>169736611.64078665</v>
      </c>
      <c r="AF514" s="1245">
        <f t="shared" ca="1" si="135"/>
        <v>174828709.99001026</v>
      </c>
      <c r="AG514" s="1245">
        <f t="shared" ca="1" si="135"/>
        <v>180073571.28971061</v>
      </c>
      <c r="AH514" s="1245">
        <f t="shared" ca="1" si="135"/>
        <v>185475778.42840192</v>
      </c>
      <c r="AI514" s="1245">
        <f t="shared" ca="1" si="135"/>
        <v>191040051.78125399</v>
      </c>
      <c r="AJ514" s="1245">
        <f t="shared" ca="1" si="135"/>
        <v>196771253.33469161</v>
      </c>
      <c r="AK514" s="1245">
        <f t="shared" ca="1" si="135"/>
        <v>202674390.93473235</v>
      </c>
      <c r="AL514" s="1245">
        <f t="shared" ca="1" si="135"/>
        <v>208754622.66277435</v>
      </c>
      <c r="AM514" s="1245">
        <f t="shared" ca="1" si="135"/>
        <v>215017261.3426576</v>
      </c>
      <c r="AN514" s="1245">
        <f t="shared" ca="1" si="135"/>
        <v>221467779.18293732</v>
      </c>
      <c r="AO514" s="1245">
        <f t="shared" ca="1" si="135"/>
        <v>228111812.55842543</v>
      </c>
      <c r="AP514" s="1245">
        <f t="shared" ca="1" si="135"/>
        <v>234955166.93517819</v>
      </c>
      <c r="AQ514" s="1245"/>
      <c r="AR514" s="1245"/>
      <c r="AS514" s="1245"/>
      <c r="AT514" s="1245"/>
      <c r="AU514" s="1245"/>
      <c r="AV514" s="1245"/>
      <c r="AW514" s="1245"/>
      <c r="AX514" s="1245"/>
      <c r="AY514" s="1245"/>
      <c r="AZ514" s="1245"/>
      <c r="BA514" s="1245"/>
    </row>
    <row r="515" spans="1:53" ht="12.75" customHeight="1">
      <c r="A515" s="475"/>
      <c r="C515" s="485" t="s">
        <v>1802</v>
      </c>
      <c r="I515" s="323" t="s">
        <v>44</v>
      </c>
      <c r="J515" s="431"/>
      <c r="M515" s="1245">
        <f>M500*M486</f>
        <v>0</v>
      </c>
      <c r="N515" s="1245">
        <f t="shared" ref="N515:AP515" si="136">N500*N486</f>
        <v>0</v>
      </c>
      <c r="O515" s="1245">
        <f t="shared" si="136"/>
        <v>0</v>
      </c>
      <c r="P515" s="1245">
        <f t="shared" ca="1" si="136"/>
        <v>0</v>
      </c>
      <c r="Q515" s="1245">
        <f t="shared" ca="1" si="136"/>
        <v>0</v>
      </c>
      <c r="R515" s="1245">
        <f t="shared" ca="1" si="136"/>
        <v>0</v>
      </c>
      <c r="S515" s="1245">
        <f t="shared" ca="1" si="136"/>
        <v>0</v>
      </c>
      <c r="T515" s="1245">
        <f t="shared" ca="1" si="136"/>
        <v>0</v>
      </c>
      <c r="U515" s="1245">
        <f t="shared" ca="1" si="136"/>
        <v>0</v>
      </c>
      <c r="V515" s="1245">
        <f t="shared" ca="1" si="136"/>
        <v>0</v>
      </c>
      <c r="W515" s="1245">
        <f t="shared" ca="1" si="136"/>
        <v>0</v>
      </c>
      <c r="X515" s="1245">
        <f t="shared" ca="1" si="136"/>
        <v>0</v>
      </c>
      <c r="Y515" s="1245">
        <f t="shared" ca="1" si="136"/>
        <v>0</v>
      </c>
      <c r="Z515" s="1245">
        <f t="shared" ca="1" si="136"/>
        <v>0</v>
      </c>
      <c r="AA515" s="1245">
        <f t="shared" ca="1" si="136"/>
        <v>0</v>
      </c>
      <c r="AB515" s="1245">
        <f t="shared" ca="1" si="136"/>
        <v>0</v>
      </c>
      <c r="AC515" s="1245">
        <f t="shared" ca="1" si="136"/>
        <v>0</v>
      </c>
      <c r="AD515" s="1245">
        <f t="shared" ca="1" si="136"/>
        <v>0</v>
      </c>
      <c r="AE515" s="1245">
        <f t="shared" ca="1" si="136"/>
        <v>0</v>
      </c>
      <c r="AF515" s="1245">
        <f t="shared" ca="1" si="136"/>
        <v>0</v>
      </c>
      <c r="AG515" s="1245">
        <f t="shared" ca="1" si="136"/>
        <v>0</v>
      </c>
      <c r="AH515" s="1245">
        <f t="shared" ca="1" si="136"/>
        <v>0</v>
      </c>
      <c r="AI515" s="1245">
        <f t="shared" ca="1" si="136"/>
        <v>0</v>
      </c>
      <c r="AJ515" s="1245">
        <f t="shared" ca="1" si="136"/>
        <v>0</v>
      </c>
      <c r="AK515" s="1245">
        <f t="shared" ca="1" si="136"/>
        <v>0</v>
      </c>
      <c r="AL515" s="1245">
        <f t="shared" ca="1" si="136"/>
        <v>0</v>
      </c>
      <c r="AM515" s="1245">
        <f t="shared" ca="1" si="136"/>
        <v>0</v>
      </c>
      <c r="AN515" s="1245">
        <f t="shared" ca="1" si="136"/>
        <v>0</v>
      </c>
      <c r="AO515" s="1245">
        <f t="shared" ca="1" si="136"/>
        <v>0</v>
      </c>
      <c r="AP515" s="1245">
        <f t="shared" ca="1" si="136"/>
        <v>0</v>
      </c>
      <c r="AQ515" s="1245"/>
      <c r="AR515" s="1245"/>
      <c r="AS515" s="1245"/>
      <c r="AT515" s="1245"/>
      <c r="AU515" s="1245"/>
      <c r="AV515" s="1245"/>
      <c r="AW515" s="1245"/>
      <c r="AX515" s="1245"/>
      <c r="AY515" s="1245"/>
      <c r="AZ515" s="1245"/>
      <c r="BA515" s="1245"/>
    </row>
    <row r="516" spans="1:53" ht="12.75" hidden="1" customHeight="1">
      <c r="A516" s="475"/>
      <c r="J516" s="431"/>
      <c r="M516" s="1245"/>
      <c r="N516" s="1245"/>
      <c r="O516" s="1245"/>
      <c r="P516" s="1245"/>
      <c r="Q516" s="1245"/>
      <c r="R516" s="1245"/>
      <c r="S516" s="1245"/>
      <c r="T516" s="1245"/>
      <c r="U516" s="1245"/>
      <c r="V516" s="1245"/>
      <c r="W516" s="1245"/>
      <c r="X516" s="1245"/>
      <c r="Y516" s="1245"/>
      <c r="Z516" s="1245"/>
      <c r="AA516" s="1245"/>
      <c r="AB516" s="1245"/>
      <c r="AC516" s="1245"/>
      <c r="AD516" s="1245"/>
      <c r="AE516" s="1245"/>
      <c r="AF516" s="1245"/>
      <c r="AG516" s="1245"/>
      <c r="AH516" s="1245"/>
      <c r="AI516" s="1245"/>
      <c r="AJ516" s="1245"/>
      <c r="AK516" s="1245"/>
      <c r="AL516" s="1245"/>
      <c r="AM516" s="1245"/>
      <c r="AN516" s="1245"/>
      <c r="AO516" s="1245"/>
      <c r="AP516" s="1245"/>
      <c r="AQ516" s="1245"/>
      <c r="AR516" s="1245"/>
      <c r="AS516" s="1245"/>
      <c r="AT516" s="1245"/>
      <c r="AU516" s="1245"/>
      <c r="AV516" s="1245"/>
      <c r="AW516" s="1245"/>
      <c r="AX516" s="1245"/>
      <c r="AY516" s="1245"/>
      <c r="AZ516" s="1245"/>
      <c r="BA516" s="1245"/>
    </row>
    <row r="517" spans="1:53" ht="12.75" customHeight="1">
      <c r="A517" s="475"/>
      <c r="C517" s="320" t="s">
        <v>863</v>
      </c>
      <c r="I517" s="323" t="s">
        <v>44</v>
      </c>
      <c r="J517" s="431"/>
      <c r="M517" s="1265">
        <f>M502*M488</f>
        <v>0</v>
      </c>
      <c r="N517" s="1265">
        <f t="shared" ref="N517:AP517" si="137">N502*N488</f>
        <v>0</v>
      </c>
      <c r="O517" s="1265">
        <f t="shared" ca="1" si="137"/>
        <v>0</v>
      </c>
      <c r="P517" s="1265">
        <f t="shared" ca="1" si="137"/>
        <v>0</v>
      </c>
      <c r="Q517" s="1265">
        <f t="shared" ca="1" si="137"/>
        <v>0</v>
      </c>
      <c r="R517" s="1265">
        <f t="shared" ca="1" si="137"/>
        <v>0</v>
      </c>
      <c r="S517" s="1265">
        <f t="shared" ca="1" si="137"/>
        <v>0</v>
      </c>
      <c r="T517" s="1265">
        <f t="shared" ca="1" si="137"/>
        <v>0</v>
      </c>
      <c r="U517" s="1265">
        <f t="shared" ca="1" si="137"/>
        <v>0</v>
      </c>
      <c r="V517" s="1265">
        <f t="shared" ca="1" si="137"/>
        <v>0</v>
      </c>
      <c r="W517" s="1265">
        <f t="shared" ca="1" si="137"/>
        <v>0</v>
      </c>
      <c r="X517" s="1265">
        <f t="shared" ca="1" si="137"/>
        <v>0</v>
      </c>
      <c r="Y517" s="1265">
        <f t="shared" ca="1" si="137"/>
        <v>0</v>
      </c>
      <c r="Z517" s="1265">
        <f t="shared" ca="1" si="137"/>
        <v>0</v>
      </c>
      <c r="AA517" s="1265">
        <f t="shared" ca="1" si="137"/>
        <v>0</v>
      </c>
      <c r="AB517" s="1265">
        <f t="shared" ca="1" si="137"/>
        <v>0</v>
      </c>
      <c r="AC517" s="1265">
        <f t="shared" ca="1" si="137"/>
        <v>0</v>
      </c>
      <c r="AD517" s="1265">
        <f t="shared" ca="1" si="137"/>
        <v>0</v>
      </c>
      <c r="AE517" s="1265">
        <f t="shared" ca="1" si="137"/>
        <v>0</v>
      </c>
      <c r="AF517" s="1265">
        <f t="shared" ca="1" si="137"/>
        <v>0</v>
      </c>
      <c r="AG517" s="1265">
        <f t="shared" ca="1" si="137"/>
        <v>0</v>
      </c>
      <c r="AH517" s="1265">
        <f t="shared" ca="1" si="137"/>
        <v>0</v>
      </c>
      <c r="AI517" s="1265">
        <f t="shared" ca="1" si="137"/>
        <v>0</v>
      </c>
      <c r="AJ517" s="1265">
        <f t="shared" ca="1" si="137"/>
        <v>0</v>
      </c>
      <c r="AK517" s="1265">
        <f t="shared" ca="1" si="137"/>
        <v>0</v>
      </c>
      <c r="AL517" s="1265">
        <f t="shared" ca="1" si="137"/>
        <v>0</v>
      </c>
      <c r="AM517" s="1265">
        <f t="shared" ca="1" si="137"/>
        <v>0</v>
      </c>
      <c r="AN517" s="1265">
        <f t="shared" ca="1" si="137"/>
        <v>0</v>
      </c>
      <c r="AO517" s="1265">
        <f t="shared" ca="1" si="137"/>
        <v>0</v>
      </c>
      <c r="AP517" s="1265">
        <f t="shared" ca="1" si="137"/>
        <v>0</v>
      </c>
      <c r="AQ517" s="1265"/>
      <c r="AR517" s="1265"/>
      <c r="AS517" s="1265"/>
      <c r="AT517" s="1265"/>
      <c r="AU517" s="1265"/>
      <c r="AV517" s="1265"/>
      <c r="AW517" s="1265"/>
      <c r="AX517" s="1265"/>
      <c r="AY517" s="1265"/>
      <c r="AZ517" s="1265"/>
      <c r="BA517" s="1265"/>
    </row>
    <row r="518" spans="1:53" ht="12.75" customHeight="1" thickBot="1">
      <c r="A518" s="475"/>
      <c r="C518" s="320" t="s">
        <v>655</v>
      </c>
      <c r="I518" s="323" t="s">
        <v>44</v>
      </c>
      <c r="J518" s="431"/>
      <c r="M518" s="1256">
        <f t="shared" ref="M518:AP518" si="138">SUM(M513:M517)</f>
        <v>0</v>
      </c>
      <c r="N518" s="1256">
        <f t="shared" si="138"/>
        <v>105395900.49160714</v>
      </c>
      <c r="O518" s="1256">
        <f t="shared" ca="1" si="138"/>
        <v>208069073.55384779</v>
      </c>
      <c r="P518" s="1256">
        <f t="shared" ca="1" si="138"/>
        <v>256599967.16470182</v>
      </c>
      <c r="Q518" s="1256">
        <f t="shared" ca="1" si="138"/>
        <v>280539740.63760972</v>
      </c>
      <c r="R518" s="1256">
        <f t="shared" ca="1" si="138"/>
        <v>288955932.85673803</v>
      </c>
      <c r="S518" s="1256">
        <f t="shared" ca="1" si="138"/>
        <v>297624610.84244019</v>
      </c>
      <c r="T518" s="1256">
        <f t="shared" ca="1" si="138"/>
        <v>306553349.1677134</v>
      </c>
      <c r="U518" s="1256">
        <f t="shared" ca="1" si="138"/>
        <v>315749949.64274484</v>
      </c>
      <c r="V518" s="1256">
        <f t="shared" ca="1" si="138"/>
        <v>325222448.13202715</v>
      </c>
      <c r="W518" s="1256">
        <f t="shared" ca="1" si="138"/>
        <v>334979121.57598799</v>
      </c>
      <c r="X518" s="1256">
        <f t="shared" ca="1" si="138"/>
        <v>345028495.22326767</v>
      </c>
      <c r="Y518" s="1256">
        <f t="shared" ca="1" si="138"/>
        <v>355379350.07996571</v>
      </c>
      <c r="Z518" s="1256">
        <f t="shared" ca="1" si="138"/>
        <v>366040730.58236468</v>
      </c>
      <c r="AA518" s="1256">
        <f t="shared" ca="1" si="138"/>
        <v>377021952.49983561</v>
      </c>
      <c r="AB518" s="1256">
        <f t="shared" ca="1" si="138"/>
        <v>388332611.07483077</v>
      </c>
      <c r="AC518" s="1256">
        <f t="shared" ca="1" si="138"/>
        <v>399982589.4070757</v>
      </c>
      <c r="AD518" s="1256">
        <f t="shared" ca="1" si="138"/>
        <v>411982067.089288</v>
      </c>
      <c r="AE518" s="1256">
        <f t="shared" ca="1" si="138"/>
        <v>424341529.10196662</v>
      </c>
      <c r="AF518" s="1256">
        <f t="shared" ca="1" si="138"/>
        <v>437071774.97502565</v>
      </c>
      <c r="AG518" s="1256">
        <f t="shared" ca="1" si="138"/>
        <v>450183928.22427654</v>
      </c>
      <c r="AH518" s="1256">
        <f t="shared" ca="1" si="138"/>
        <v>463689446.07100475</v>
      </c>
      <c r="AI518" s="1256">
        <f t="shared" ca="1" si="138"/>
        <v>477600129.45313495</v>
      </c>
      <c r="AJ518" s="1256">
        <f t="shared" ca="1" si="138"/>
        <v>491928133.33672905</v>
      </c>
      <c r="AK518" s="1256">
        <f t="shared" ca="1" si="138"/>
        <v>506685977.33683085</v>
      </c>
      <c r="AL518" s="1256">
        <f t="shared" ca="1" si="138"/>
        <v>521886556.65693581</v>
      </c>
      <c r="AM518" s="1256">
        <f t="shared" ca="1" si="138"/>
        <v>537543153.35664392</v>
      </c>
      <c r="AN518" s="1256">
        <f t="shared" ca="1" si="138"/>
        <v>553669447.95734334</v>
      </c>
      <c r="AO518" s="1256">
        <f t="shared" ca="1" si="138"/>
        <v>570279531.39606357</v>
      </c>
      <c r="AP518" s="1256">
        <f t="shared" ca="1" si="138"/>
        <v>587387917.33794546</v>
      </c>
      <c r="AQ518" s="1256"/>
      <c r="AR518" s="1256"/>
      <c r="AS518" s="1256"/>
      <c r="AT518" s="1256"/>
      <c r="AU518" s="1256"/>
      <c r="AV518" s="1256"/>
      <c r="AW518" s="1256"/>
      <c r="AX518" s="1256"/>
      <c r="AY518" s="1256"/>
      <c r="AZ518" s="1256"/>
      <c r="BA518" s="1256"/>
    </row>
    <row r="519" spans="1:53" ht="12.75" customHeight="1">
      <c r="A519" s="475"/>
      <c r="J519" s="431"/>
      <c r="M519" s="1265"/>
      <c r="N519" s="1265"/>
      <c r="O519" s="1265"/>
      <c r="P519" s="1265"/>
      <c r="Q519" s="1265"/>
      <c r="R519" s="1265"/>
      <c r="S519" s="1265"/>
      <c r="T519" s="1265"/>
      <c r="U519" s="1265"/>
      <c r="V519" s="1265"/>
      <c r="W519" s="1265"/>
      <c r="X519" s="1265"/>
      <c r="Y519" s="1265"/>
      <c r="Z519" s="1265"/>
      <c r="AA519" s="1265"/>
      <c r="AB519" s="1265"/>
      <c r="AC519" s="1265"/>
      <c r="AD519" s="1265"/>
      <c r="AE519" s="1265"/>
      <c r="AF519" s="1265"/>
      <c r="AG519" s="1265"/>
      <c r="AH519" s="1265"/>
      <c r="AI519" s="1265"/>
      <c r="AJ519" s="1265"/>
      <c r="AK519" s="1265"/>
      <c r="AL519" s="1265"/>
      <c r="AM519" s="1265"/>
      <c r="AN519" s="1265"/>
      <c r="AO519" s="1265"/>
      <c r="AP519" s="1265"/>
      <c r="AQ519" s="1265"/>
      <c r="AR519" s="1265"/>
      <c r="AS519" s="1265"/>
      <c r="AT519" s="1265"/>
      <c r="AU519" s="1265"/>
      <c r="AV519" s="1265"/>
      <c r="AW519" s="1265"/>
      <c r="AX519" s="1265"/>
      <c r="AY519" s="1265"/>
      <c r="AZ519" s="1265"/>
      <c r="BA519" s="1265"/>
    </row>
    <row r="520" spans="1:53" ht="12.75" customHeight="1">
      <c r="A520" s="475"/>
      <c r="J520" s="431"/>
      <c r="M520" s="1265"/>
      <c r="N520" s="1265"/>
      <c r="O520" s="1265"/>
      <c r="P520" s="1265"/>
      <c r="Q520" s="1265"/>
      <c r="R520" s="1265"/>
      <c r="S520" s="1265"/>
      <c r="T520" s="1265"/>
      <c r="U520" s="1265"/>
      <c r="V520" s="1265"/>
      <c r="W520" s="1265"/>
      <c r="X520" s="1265"/>
      <c r="Y520" s="1265"/>
      <c r="Z520" s="1265"/>
      <c r="AA520" s="1265"/>
      <c r="AB520" s="1265"/>
      <c r="AC520" s="1265"/>
      <c r="AD520" s="1265"/>
      <c r="AE520" s="1265"/>
      <c r="AF520" s="1265"/>
      <c r="AG520" s="1265"/>
      <c r="AH520" s="1265"/>
      <c r="AI520" s="1265"/>
      <c r="AJ520" s="1265"/>
      <c r="AK520" s="1265"/>
      <c r="AL520" s="1265"/>
      <c r="AM520" s="1265"/>
      <c r="AN520" s="1265"/>
      <c r="AO520" s="1265"/>
      <c r="AP520" s="1265"/>
      <c r="AQ520" s="1265"/>
      <c r="AR520" s="1265"/>
      <c r="AS520" s="1265"/>
      <c r="AT520" s="1265"/>
      <c r="AU520" s="1265"/>
      <c r="AV520" s="1265"/>
      <c r="AW520" s="1265"/>
      <c r="AX520" s="1265"/>
      <c r="AY520" s="1265"/>
      <c r="AZ520" s="1265"/>
      <c r="BA520" s="1265"/>
    </row>
    <row r="521" spans="1:53" ht="12.75" customHeight="1">
      <c r="A521" s="475"/>
      <c r="J521" s="431"/>
      <c r="M521" s="1265"/>
      <c r="N521" s="1265"/>
      <c r="O521" s="1265"/>
      <c r="P521" s="1265"/>
      <c r="Q521" s="1265"/>
      <c r="R521" s="1265"/>
      <c r="S521" s="1265"/>
      <c r="T521" s="1265"/>
      <c r="U521" s="1265"/>
      <c r="V521" s="1265"/>
      <c r="W521" s="1265"/>
      <c r="X521" s="1265"/>
      <c r="Y521" s="1265"/>
      <c r="Z521" s="1265"/>
      <c r="AA521" s="1265"/>
      <c r="AB521" s="1265"/>
      <c r="AC521" s="1265"/>
      <c r="AD521" s="1265"/>
      <c r="AE521" s="1265"/>
      <c r="AF521" s="1265"/>
      <c r="AG521" s="1265"/>
      <c r="AH521" s="1265"/>
      <c r="AI521" s="1265"/>
      <c r="AJ521" s="1265"/>
      <c r="AK521" s="1265"/>
      <c r="AL521" s="1265"/>
      <c r="AM521" s="1265"/>
      <c r="AN521" s="1265"/>
      <c r="AO521" s="1265"/>
      <c r="AP521" s="1265"/>
      <c r="AQ521" s="1265"/>
      <c r="AR521" s="1265"/>
      <c r="AS521" s="1265"/>
      <c r="AT521" s="1265"/>
      <c r="AU521" s="1265"/>
      <c r="AV521" s="1265"/>
      <c r="AW521" s="1265"/>
      <c r="AX521" s="1265"/>
      <c r="AY521" s="1265"/>
      <c r="AZ521" s="1265"/>
      <c r="BA521" s="1265"/>
    </row>
    <row r="522" spans="1:53" ht="12.75" customHeight="1" thickBot="1">
      <c r="A522" s="475"/>
      <c r="C522" s="320" t="s">
        <v>655</v>
      </c>
      <c r="I522" s="323" t="s">
        <v>44</v>
      </c>
      <c r="J522" s="431"/>
      <c r="M522" s="1256">
        <f>M511+M518</f>
        <v>0</v>
      </c>
      <c r="N522" s="1256">
        <f t="shared" ref="N522:AP522" si="139">N511+N518</f>
        <v>774963022.65974009</v>
      </c>
      <c r="O522" s="1256">
        <f t="shared" ca="1" si="139"/>
        <v>1306907963.9591589</v>
      </c>
      <c r="P522" s="1256">
        <f t="shared" ca="1" si="139"/>
        <v>1632529750.8729744</v>
      </c>
      <c r="Q522" s="1256">
        <f t="shared" ca="1" si="139"/>
        <v>1772088837.9341958</v>
      </c>
      <c r="R522" s="1256">
        <f t="shared" ca="1" si="139"/>
        <v>1856931379.2227197</v>
      </c>
      <c r="S522" s="1256">
        <f t="shared" ca="1" si="139"/>
        <v>1946371409.5631919</v>
      </c>
      <c r="T522" s="1256">
        <f t="shared" ca="1" si="139"/>
        <v>2040679795.3536811</v>
      </c>
      <c r="U522" s="1256">
        <f t="shared" ca="1" si="139"/>
        <v>2140144140.9091058</v>
      </c>
      <c r="V522" s="1256">
        <f t="shared" ca="1" si="139"/>
        <v>2245069848.4766393</v>
      </c>
      <c r="W522" s="1256">
        <f t="shared" ca="1" si="139"/>
        <v>2355781246.1907334</v>
      </c>
      <c r="X522" s="1256">
        <f t="shared" ca="1" si="139"/>
        <v>2472622788.3470387</v>
      </c>
      <c r="Y522" s="1256">
        <f t="shared" ca="1" si="139"/>
        <v>2595960332.6575313</v>
      </c>
      <c r="Z522" s="1256">
        <f t="shared" ca="1" si="139"/>
        <v>2726182499.4504876</v>
      </c>
      <c r="AA522" s="1256">
        <f t="shared" ca="1" si="139"/>
        <v>2863702118.0998259</v>
      </c>
      <c r="AB522" s="1256">
        <f t="shared" ca="1" si="139"/>
        <v>2139202284.3962688</v>
      </c>
      <c r="AC522" s="1256">
        <f t="shared" ca="1" si="139"/>
        <v>2203378352.9281569</v>
      </c>
      <c r="AD522" s="1256">
        <f t="shared" ca="1" si="139"/>
        <v>2269479703.5160017</v>
      </c>
      <c r="AE522" s="1256">
        <f t="shared" ca="1" si="139"/>
        <v>2337564094.6214819</v>
      </c>
      <c r="AF522" s="1256">
        <f t="shared" ca="1" si="139"/>
        <v>2407691017.4601269</v>
      </c>
      <c r="AG522" s="1256">
        <f t="shared" ca="1" si="139"/>
        <v>2479921747.9839306</v>
      </c>
      <c r="AH522" s="1256">
        <f t="shared" ca="1" si="139"/>
        <v>2554319400.4234486</v>
      </c>
      <c r="AI522" s="1256">
        <f t="shared" ca="1" si="139"/>
        <v>2630948982.436152</v>
      </c>
      <c r="AJ522" s="1256">
        <f t="shared" ca="1" si="139"/>
        <v>2709877451.9092369</v>
      </c>
      <c r="AK522" s="1256">
        <f t="shared" ca="1" si="139"/>
        <v>2791173775.4665136</v>
      </c>
      <c r="AL522" s="1256">
        <f t="shared" ca="1" si="139"/>
        <v>2874908988.7305093</v>
      </c>
      <c r="AM522" s="1256">
        <f t="shared" ca="1" si="139"/>
        <v>2961156258.3924246</v>
      </c>
      <c r="AN522" s="1256">
        <f t="shared" ca="1" si="139"/>
        <v>3049990946.1441975</v>
      </c>
      <c r="AO522" s="1256">
        <f t="shared" ca="1" si="139"/>
        <v>3141490674.5285234</v>
      </c>
      <c r="AP522" s="1256">
        <f t="shared" ca="1" si="139"/>
        <v>3235735394.764379</v>
      </c>
      <c r="AQ522" s="1256"/>
      <c r="AR522" s="1256"/>
      <c r="AS522" s="1256"/>
      <c r="AT522" s="1256"/>
      <c r="AU522" s="1256"/>
      <c r="AV522" s="1256"/>
      <c r="AW522" s="1256"/>
      <c r="AX522" s="1256"/>
      <c r="AY522" s="1256"/>
      <c r="AZ522" s="1256"/>
      <c r="BA522" s="1256"/>
    </row>
    <row r="523" spans="1:53" ht="12.75" customHeight="1">
      <c r="A523" s="475"/>
      <c r="J523" s="431"/>
      <c r="M523" s="1245"/>
      <c r="N523" s="1245"/>
      <c r="O523" s="1245"/>
      <c r="P523" s="1245"/>
      <c r="Q523" s="1245"/>
      <c r="R523" s="1245"/>
      <c r="S523" s="1245"/>
      <c r="T523" s="1245"/>
      <c r="U523" s="1245"/>
      <c r="V523" s="1245"/>
      <c r="W523" s="1245"/>
      <c r="X523" s="1245"/>
      <c r="Y523" s="1245"/>
      <c r="Z523" s="1245"/>
      <c r="AA523" s="1245"/>
      <c r="AB523" s="1245"/>
      <c r="AC523" s="1245"/>
      <c r="AD523" s="1245"/>
      <c r="AE523" s="1245"/>
      <c r="AF523" s="1245"/>
      <c r="AG523" s="1245"/>
      <c r="AH523" s="1245"/>
      <c r="AI523" s="1245"/>
      <c r="AJ523" s="1245"/>
      <c r="AK523" s="1245"/>
      <c r="AL523" s="1245"/>
      <c r="AM523" s="1245"/>
      <c r="AN523" s="1245"/>
      <c r="AO523" s="1245"/>
      <c r="AP523" s="1245"/>
      <c r="AQ523" s="1245"/>
      <c r="AR523" s="1245"/>
      <c r="AS523" s="1245"/>
      <c r="AT523" s="1245"/>
      <c r="AU523" s="1245"/>
      <c r="AV523" s="1245"/>
      <c r="AW523" s="1245"/>
      <c r="AX523" s="1245"/>
      <c r="AY523" s="1245"/>
      <c r="AZ523" s="1245"/>
      <c r="BA523" s="1245"/>
    </row>
    <row r="524" spans="1:53" ht="12.75" customHeight="1">
      <c r="A524" s="475"/>
      <c r="J524" s="431"/>
      <c r="M524" s="1245"/>
      <c r="N524" s="1245"/>
      <c r="O524" s="1245"/>
      <c r="P524" s="1245"/>
      <c r="Q524" s="1245"/>
      <c r="R524" s="1245"/>
      <c r="S524" s="1245"/>
      <c r="T524" s="1245"/>
      <c r="U524" s="1245"/>
      <c r="V524" s="1245"/>
      <c r="W524" s="1245"/>
      <c r="X524" s="1245"/>
      <c r="Y524" s="1245"/>
      <c r="Z524" s="1245"/>
      <c r="AA524" s="1245"/>
      <c r="AB524" s="1245"/>
      <c r="AC524" s="1245"/>
      <c r="AD524" s="1245"/>
      <c r="AE524" s="1245"/>
      <c r="AF524" s="1245"/>
      <c r="AG524" s="1245"/>
      <c r="AH524" s="1245"/>
      <c r="AI524" s="1245"/>
      <c r="AJ524" s="1245"/>
      <c r="AK524" s="1245"/>
      <c r="AL524" s="1245"/>
      <c r="AM524" s="1245"/>
      <c r="AN524" s="1245"/>
      <c r="AO524" s="1245"/>
      <c r="AP524" s="1245"/>
      <c r="AQ524" s="1245"/>
      <c r="AR524" s="1245"/>
      <c r="AS524" s="1245"/>
      <c r="AT524" s="1245"/>
      <c r="AU524" s="1245"/>
      <c r="AV524" s="1245"/>
      <c r="AW524" s="1245"/>
      <c r="AX524" s="1245"/>
      <c r="AY524" s="1245"/>
      <c r="AZ524" s="1245"/>
      <c r="BA524" s="1245"/>
    </row>
    <row r="525" spans="1:53" ht="12.75" customHeight="1">
      <c r="A525" s="475"/>
      <c r="C525" s="348" t="s">
        <v>1286</v>
      </c>
      <c r="J525" s="431"/>
      <c r="M525" s="1245"/>
      <c r="N525" s="1245"/>
      <c r="O525" s="1245"/>
      <c r="P525" s="1245"/>
      <c r="Q525" s="1245"/>
      <c r="R525" s="1245"/>
      <c r="S525" s="1245"/>
      <c r="T525" s="1245"/>
      <c r="U525" s="1245"/>
      <c r="V525" s="1245"/>
      <c r="W525" s="1245"/>
      <c r="X525" s="1245"/>
      <c r="Y525" s="1245"/>
      <c r="Z525" s="1245"/>
      <c r="AA525" s="1245"/>
      <c r="AB525" s="1245"/>
      <c r="AC525" s="1245"/>
      <c r="AD525" s="1245"/>
      <c r="AE525" s="1245"/>
      <c r="AF525" s="1245"/>
      <c r="AG525" s="1245"/>
      <c r="AH525" s="1245"/>
      <c r="AI525" s="1245"/>
      <c r="AJ525" s="1245"/>
      <c r="AK525" s="1245"/>
      <c r="AL525" s="1245"/>
      <c r="AM525" s="1245"/>
      <c r="AN525" s="1245"/>
      <c r="AO525" s="1245"/>
      <c r="AP525" s="1245"/>
      <c r="AQ525" s="1245"/>
      <c r="AR525" s="1245"/>
      <c r="AS525" s="1245"/>
      <c r="AT525" s="1245"/>
      <c r="AU525" s="1245"/>
      <c r="AV525" s="1245"/>
      <c r="AW525" s="1245"/>
      <c r="AX525" s="1245"/>
      <c r="AY525" s="1245"/>
      <c r="AZ525" s="1245"/>
      <c r="BA525" s="1245"/>
    </row>
    <row r="526" spans="1:53" ht="12.75" customHeight="1">
      <c r="A526" s="475"/>
      <c r="C526" s="320" t="s">
        <v>1283</v>
      </c>
      <c r="J526" s="1064">
        <v>0.1</v>
      </c>
      <c r="M526" s="1065">
        <f>IF('Assumption '!M9=(Const_duration/Periodicity)+1,$J$526,IF(M9=(Const_duration/12)+2,$J$527,IF(M9=(Const_duration/Periodicity)+3,$J$528,0)))</f>
        <v>0</v>
      </c>
      <c r="N526" s="1065">
        <f>IF('Assumption '!N9=(Const_duration/Periodicity)+1,$J$526,IF(N9=(Const_duration/12)+2,$J$527,IF(N9=(Const_duration/Periodicity)+3,$J$528,0)))</f>
        <v>0</v>
      </c>
      <c r="O526" s="1065">
        <f>IF('Assumption '!O9=(Const_duration/Periodicity)+1,$J$526,IF(O9=(Const_duration/12)+2,$J$527,IF(O9=(Const_duration/Periodicity)+3,$J$528,0)))</f>
        <v>0</v>
      </c>
      <c r="P526" s="1065">
        <f>IF('Assumption '!P9=(Const_duration/Periodicity)+1,$J$526,IF(P9=(Const_duration/12)+2,$J$527,IF(P9=(Const_duration/Periodicity)+3,$J$528,0)))</f>
        <v>0.1</v>
      </c>
      <c r="Q526" s="1065">
        <f>IF('Assumption '!Q9=(Const_duration/Periodicity)+1,$J$526,IF(Q9=(Const_duration/12)+2,$J$527,IF(Q9=(Const_duration/Periodicity)+3,$J$528,0)))</f>
        <v>0.05</v>
      </c>
      <c r="R526" s="1065">
        <f>IF('Assumption '!R9=(Const_duration/Periodicity)+1,$J$526,IF(R9=(Const_duration/12)+2,$J$527,IF(R9=(Const_duration/Periodicity)+3,$J$528,0)))</f>
        <v>0.02</v>
      </c>
      <c r="S526" s="1065">
        <f>IF('Assumption '!S9=(Const_duration/Periodicity)+1,$J$526,IF(S9=(Const_duration/12)+2,$J$527,IF(S9=(Const_duration/Periodicity)+3,$J$528,0)))</f>
        <v>0</v>
      </c>
      <c r="T526" s="1065">
        <f>IF('Assumption '!T9=(Const_duration/Periodicity)+1,$J$526,IF(T9=(Const_duration/12)+2,$J$527,IF(T9=(Const_duration/Periodicity)+3,$J$528,0)))</f>
        <v>0</v>
      </c>
      <c r="U526" s="1065">
        <f>IF('Assumption '!U9=(Const_duration/Periodicity)+1,$J$526,IF(U9=(Const_duration/12)+2,$J$527,IF(U9=(Const_duration/Periodicity)+3,$J$528,0)))</f>
        <v>0</v>
      </c>
      <c r="V526" s="1065">
        <f>IF('Assumption '!V9=(Const_duration/Periodicity)+1,$J$526,IF(V9=(Const_duration/12)+2,$J$527,IF(V9=(Const_duration/Periodicity)+3,$J$528,0)))</f>
        <v>0</v>
      </c>
      <c r="W526" s="1065">
        <f>IF('Assumption '!W9=(Const_duration/Periodicity)+1,$J$526,IF(W9=(Const_duration/12)+2,$J$527,IF(W9=(Const_duration/Periodicity)+3,$J$528,0)))</f>
        <v>0</v>
      </c>
      <c r="X526" s="1065">
        <f>IF('Assumption '!X9=(Const_duration/Periodicity)+1,$J$526,IF(X9=(Const_duration/12)+2,$J$527,IF(X9=(Const_duration/Periodicity)+3,$J$528,0)))</f>
        <v>0</v>
      </c>
      <c r="Y526" s="1065">
        <f>IF('Assumption '!Y9=(Const_duration/Periodicity)+1,$J$526,IF(Y9=(Const_duration/12)+2,$J$527,IF(Y9=(Const_duration/Periodicity)+3,$J$528,0)))</f>
        <v>0</v>
      </c>
      <c r="Z526" s="1065">
        <f>IF('Assumption '!Z9=(Const_duration/Periodicity)+1,$J$526,IF(Z9=(Const_duration/12)+2,$J$527,IF(Z9=(Const_duration/Periodicity)+3,$J$528,0)))</f>
        <v>0</v>
      </c>
      <c r="AA526" s="1065">
        <f>IF('Assumption '!AA9=(Const_duration/Periodicity)+1,$J$526,IF(AA9=(Const_duration/12)+2,$J$527,IF(AA9=(Const_duration/Periodicity)+3,$J$528,0)))</f>
        <v>0</v>
      </c>
      <c r="AB526" s="1065">
        <f>IF('Assumption '!AB9=(Const_duration/Periodicity)+1,$J$526,IF(AB9=(Const_duration/12)+2,$J$527,IF(AB9=(Const_duration/Periodicity)+3,$J$528,0)))</f>
        <v>0</v>
      </c>
      <c r="AC526" s="1065">
        <f>IF('Assumption '!AC9=(Const_duration/Periodicity)+1,$J$526,IF(AC9=(Const_duration/12)+2,$J$527,IF(AC9=(Const_duration/Periodicity)+3,$J$528,0)))</f>
        <v>0</v>
      </c>
      <c r="AD526" s="1065">
        <f>IF('Assumption '!AD9=(Const_duration/Periodicity)+1,$J$526,IF(AD9=(Const_duration/12)+2,$J$527,IF(AD9=(Const_duration/Periodicity)+3,$J$528,0)))</f>
        <v>0</v>
      </c>
      <c r="AE526" s="1065">
        <f>IF('Assumption '!AE9=(Const_duration/Periodicity)+1,$J$526,IF(AE9=(Const_duration/12)+2,$J$527,IF(AE9=(Const_duration/Periodicity)+3,$J$528,0)))</f>
        <v>0</v>
      </c>
      <c r="AF526" s="1065">
        <f>IF('Assumption '!AF9=(Const_duration/Periodicity)+1,$J$526,IF(AF9=(Const_duration/12)+2,$J$527,IF(AF9=(Const_duration/Periodicity)+3,$J$528,0)))</f>
        <v>0</v>
      </c>
      <c r="AG526" s="1065">
        <f>IF('Assumption '!AG9=(Const_duration/Periodicity)+1,$J$526,IF(AG9=(Const_duration/12)+2,$J$527,IF(AG9=(Const_duration/Periodicity)+3,$J$528,0)))</f>
        <v>0</v>
      </c>
      <c r="AH526" s="1065">
        <f>IF('Assumption '!AH9=(Const_duration/Periodicity)+1,$J$526,IF(AH9=(Const_duration/12)+2,$J$527,IF(AH9=(Const_duration/Periodicity)+3,$J$528,0)))</f>
        <v>0</v>
      </c>
      <c r="AI526" s="1065">
        <f>IF('Assumption '!AI9=(Const_duration/Periodicity)+1,$J$526,IF(AI9=(Const_duration/12)+2,$J$527,IF(AI9=(Const_duration/Periodicity)+3,$J$528,0)))</f>
        <v>0</v>
      </c>
      <c r="AJ526" s="1065">
        <f>IF('Assumption '!AJ9=(Const_duration/Periodicity)+1,$J$526,IF(AJ9=(Const_duration/12)+2,$J$527,IF(AJ9=(Const_duration/Periodicity)+3,$J$528,0)))</f>
        <v>0</v>
      </c>
      <c r="AK526" s="1065">
        <f>IF('Assumption '!AK9=(Const_duration/Periodicity)+1,$J$526,IF(AK9=(Const_duration/12)+2,$J$527,IF(AK9=(Const_duration/Periodicity)+3,$J$528,0)))</f>
        <v>0</v>
      </c>
      <c r="AL526" s="1065">
        <f>IF('Assumption '!AL9=(Const_duration/Periodicity)+1,$J$526,IF(AL9=(Const_duration/12)+2,$J$527,IF(AL9=(Const_duration/Periodicity)+3,$J$528,0)))</f>
        <v>0</v>
      </c>
      <c r="AM526" s="1065">
        <f>IF('Assumption '!AM9=(Const_duration/Periodicity)+1,$J$526,IF(AM9=(Const_duration/12)+2,$J$527,IF(AM9=(Const_duration/Periodicity)+3,$J$528,0)))</f>
        <v>0</v>
      </c>
      <c r="AN526" s="1065">
        <f>IF('Assumption '!AN9=(Const_duration/Periodicity)+1,$J$526,IF(AN9=(Const_duration/12)+2,$J$527,IF(AN9=(Const_duration/Periodicity)+3,$J$528,0)))</f>
        <v>0</v>
      </c>
      <c r="AO526" s="1065">
        <f>IF('Assumption '!AO9=(Const_duration/Periodicity)+1,$J$526,IF(AO9=(Const_duration/12)+2,$J$527,IF(AO9=(Const_duration/Periodicity)+3,$J$528,0)))</f>
        <v>0</v>
      </c>
      <c r="AP526" s="1065">
        <f>IF('Assumption '!AP9=(Const_duration/Periodicity)+1,$J$526,IF(AP9=(Const_duration/12)+2,$J$527,IF(AP9=(Const_duration/Periodicity)+3,$J$528,0)))</f>
        <v>0</v>
      </c>
      <c r="AQ526" s="1065"/>
      <c r="AR526" s="1065"/>
      <c r="AS526" s="1065"/>
      <c r="AT526" s="1065"/>
      <c r="AU526" s="1065"/>
      <c r="AV526" s="1065"/>
      <c r="AW526" s="1065"/>
      <c r="AX526" s="1065"/>
      <c r="AY526" s="1065"/>
      <c r="AZ526" s="1065"/>
      <c r="BA526" s="1065"/>
    </row>
    <row r="527" spans="1:53" ht="12.75" customHeight="1">
      <c r="A527" s="475"/>
      <c r="C527" s="320" t="s">
        <v>1284</v>
      </c>
      <c r="J527" s="1064">
        <v>0.05</v>
      </c>
      <c r="M527" s="1245"/>
      <c r="N527" s="1245"/>
      <c r="O527" s="1245"/>
      <c r="P527" s="1245"/>
      <c r="Q527" s="1245"/>
      <c r="R527" s="1245"/>
      <c r="S527" s="1245"/>
      <c r="T527" s="1245"/>
      <c r="U527" s="1245"/>
      <c r="V527" s="1245"/>
      <c r="W527" s="1245"/>
      <c r="X527" s="1245"/>
      <c r="Y527" s="1245"/>
      <c r="Z527" s="1245"/>
      <c r="AA527" s="1245"/>
      <c r="AB527" s="1245"/>
      <c r="AC527" s="1245"/>
      <c r="AD527" s="1245"/>
      <c r="AE527" s="1245"/>
      <c r="AF527" s="1245"/>
      <c r="AG527" s="1245"/>
      <c r="AH527" s="1245"/>
      <c r="AI527" s="1245"/>
      <c r="AJ527" s="1245"/>
      <c r="AK527" s="1245"/>
      <c r="AL527" s="1245"/>
      <c r="AM527" s="1245"/>
      <c r="AN527" s="1245"/>
      <c r="AO527" s="1245"/>
      <c r="AP527" s="1245"/>
      <c r="AQ527" s="1245"/>
      <c r="AR527" s="1245"/>
      <c r="AS527" s="1245"/>
      <c r="AT527" s="1245"/>
      <c r="AU527" s="1245"/>
      <c r="AV527" s="1245"/>
      <c r="AW527" s="1245"/>
      <c r="AX527" s="1245"/>
      <c r="AY527" s="1245"/>
      <c r="AZ527" s="1245"/>
      <c r="BA527" s="1245"/>
    </row>
    <row r="528" spans="1:53" ht="12.75" customHeight="1">
      <c r="A528" s="475"/>
      <c r="C528" s="320" t="s">
        <v>1285</v>
      </c>
      <c r="J528" s="1064">
        <v>0.02</v>
      </c>
      <c r="M528" s="1245"/>
      <c r="N528" s="1245"/>
      <c r="O528" s="1245"/>
      <c r="P528" s="1245"/>
      <c r="Q528" s="1245"/>
      <c r="R528" s="1245"/>
      <c r="S528" s="1245"/>
      <c r="T528" s="1245"/>
      <c r="U528" s="1245"/>
      <c r="V528" s="1245"/>
      <c r="W528" s="1245"/>
      <c r="X528" s="1245"/>
      <c r="Y528" s="1245"/>
      <c r="Z528" s="1245"/>
      <c r="AA528" s="1245"/>
      <c r="AB528" s="1245"/>
      <c r="AC528" s="1245"/>
      <c r="AD528" s="1245"/>
      <c r="AE528" s="1245"/>
      <c r="AF528" s="1245"/>
      <c r="AG528" s="1245"/>
      <c r="AH528" s="1245"/>
      <c r="AI528" s="1245"/>
      <c r="AJ528" s="1245"/>
      <c r="AK528" s="1245"/>
      <c r="AL528" s="1245"/>
      <c r="AM528" s="1245"/>
      <c r="AN528" s="1245"/>
      <c r="AO528" s="1245"/>
      <c r="AP528" s="1245"/>
      <c r="AQ528" s="1245"/>
      <c r="AR528" s="1245"/>
      <c r="AS528" s="1245"/>
      <c r="AT528" s="1245"/>
      <c r="AU528" s="1245"/>
      <c r="AV528" s="1245"/>
      <c r="AW528" s="1245"/>
      <c r="AX528" s="1245"/>
      <c r="AY528" s="1245"/>
      <c r="AZ528" s="1245"/>
      <c r="BA528" s="1245"/>
    </row>
    <row r="529" spans="1:54" ht="12.75" customHeight="1">
      <c r="A529" s="475"/>
      <c r="C529" s="320" t="s">
        <v>655</v>
      </c>
      <c r="I529" s="323" t="s">
        <v>825</v>
      </c>
      <c r="J529" s="431"/>
      <c r="M529" s="1245"/>
      <c r="N529" s="1245"/>
      <c r="O529" s="1245"/>
      <c r="P529" s="1245"/>
      <c r="Q529" s="1245"/>
      <c r="R529" s="1245"/>
      <c r="S529" s="1245"/>
      <c r="T529" s="1245"/>
      <c r="U529" s="1245"/>
      <c r="V529" s="1245"/>
      <c r="W529" s="1245"/>
      <c r="X529" s="1245"/>
      <c r="Y529" s="1245"/>
      <c r="Z529" s="1245"/>
      <c r="AA529" s="1245"/>
      <c r="AB529" s="1245"/>
      <c r="AC529" s="1245"/>
      <c r="AD529" s="1245"/>
      <c r="AE529" s="1245"/>
      <c r="AF529" s="1245"/>
      <c r="AG529" s="1245"/>
      <c r="AH529" s="1245"/>
      <c r="AI529" s="1245"/>
      <c r="AJ529" s="1245"/>
      <c r="AK529" s="1245"/>
      <c r="AL529" s="1245"/>
      <c r="AM529" s="1245"/>
      <c r="AN529" s="1245"/>
      <c r="AO529" s="1245"/>
      <c r="AP529" s="1245"/>
      <c r="AQ529" s="1245"/>
      <c r="AR529" s="1245"/>
      <c r="AS529" s="1245"/>
      <c r="AT529" s="1245"/>
      <c r="AU529" s="1245"/>
      <c r="AV529" s="1245"/>
      <c r="AW529" s="1245"/>
      <c r="AX529" s="1245"/>
      <c r="AY529" s="1245"/>
      <c r="AZ529" s="1245"/>
      <c r="BA529" s="1245"/>
    </row>
    <row r="530" spans="1:54" ht="12.75" customHeight="1">
      <c r="A530" s="475"/>
      <c r="J530" s="431"/>
      <c r="M530" s="1245"/>
      <c r="N530" s="1245"/>
      <c r="O530" s="1245"/>
      <c r="P530" s="1245"/>
      <c r="Q530" s="1245"/>
      <c r="R530" s="1245"/>
      <c r="S530" s="1245"/>
      <c r="T530" s="1245"/>
      <c r="U530" s="1245"/>
      <c r="V530" s="1245"/>
      <c r="W530" s="1245"/>
      <c r="X530" s="1245"/>
      <c r="Y530" s="1245"/>
      <c r="Z530" s="1245"/>
      <c r="AA530" s="1245"/>
      <c r="AB530" s="1245"/>
      <c r="AC530" s="1245"/>
      <c r="AD530" s="1245"/>
      <c r="AE530" s="1245"/>
      <c r="AF530" s="1245"/>
      <c r="AG530" s="1245"/>
      <c r="AH530" s="1245"/>
      <c r="AI530" s="1245"/>
      <c r="AJ530" s="1245"/>
      <c r="AK530" s="1245"/>
      <c r="AL530" s="1245"/>
      <c r="AM530" s="1245"/>
      <c r="AN530" s="1245"/>
      <c r="AO530" s="1245"/>
      <c r="AP530" s="1245"/>
      <c r="AQ530" s="1245"/>
      <c r="AR530" s="1245"/>
      <c r="AS530" s="1245"/>
      <c r="AT530" s="1245"/>
      <c r="AU530" s="1245"/>
      <c r="AV530" s="1245"/>
      <c r="AW530" s="1245"/>
      <c r="AX530" s="1245"/>
      <c r="AY530" s="1245"/>
      <c r="AZ530" s="1245"/>
      <c r="BA530" s="1245"/>
    </row>
    <row r="531" spans="1:54" ht="12.75" customHeight="1">
      <c r="A531" s="475"/>
      <c r="C531" s="348" t="s">
        <v>1287</v>
      </c>
      <c r="J531" s="431"/>
      <c r="M531" s="1245"/>
      <c r="N531" s="1245"/>
      <c r="O531" s="1245"/>
      <c r="P531" s="1245"/>
      <c r="Q531" s="1245"/>
      <c r="R531" s="1245"/>
      <c r="S531" s="1245"/>
      <c r="T531" s="1245"/>
      <c r="U531" s="1245"/>
      <c r="V531" s="1245"/>
      <c r="W531" s="1245"/>
      <c r="X531" s="1245"/>
      <c r="Y531" s="1245"/>
      <c r="Z531" s="1245"/>
      <c r="AA531" s="1245"/>
      <c r="AB531" s="1245"/>
      <c r="AC531" s="1245"/>
      <c r="AD531" s="1245"/>
      <c r="AE531" s="1245"/>
      <c r="AF531" s="1245"/>
      <c r="AG531" s="1245"/>
      <c r="AH531" s="1245"/>
      <c r="AI531" s="1245"/>
      <c r="AJ531" s="1245"/>
      <c r="AK531" s="1245"/>
      <c r="AL531" s="1245"/>
      <c r="AM531" s="1245"/>
      <c r="AN531" s="1245"/>
      <c r="AO531" s="1245"/>
      <c r="AP531" s="1245"/>
      <c r="AQ531" s="1245"/>
      <c r="AR531" s="1245"/>
      <c r="AS531" s="1245"/>
      <c r="AT531" s="1245"/>
      <c r="AU531" s="1245"/>
      <c r="AV531" s="1245"/>
      <c r="AW531" s="1245"/>
      <c r="AX531" s="1245"/>
      <c r="AY531" s="1245"/>
      <c r="AZ531" s="1245"/>
      <c r="BA531" s="1245"/>
    </row>
    <row r="532" spans="1:54" ht="12.75" customHeight="1">
      <c r="A532" s="475"/>
      <c r="C532" s="320" t="s">
        <v>1283</v>
      </c>
      <c r="J532" s="1064">
        <v>0</v>
      </c>
      <c r="M532" s="1065">
        <f>IF('Assumption '!M9=(Const_duration/Periodicity)+1,$J$532,IF(M9=(Const_duration/12)+2,$J$533,IF(M9=(Const_duration/Periodicity)+3,$J$534,0)))</f>
        <v>0</v>
      </c>
      <c r="N532" s="1065">
        <f>IF('Assumption '!N9=(Const_duration/Periodicity)+1,$J$532,IF(N9=(Const_duration/12)+2,$J$533,IF(N9=(Const_duration/Periodicity)+3,$J$534,0)))</f>
        <v>0</v>
      </c>
      <c r="O532" s="1065">
        <f>IF('Assumption '!O9=(Const_duration/Periodicity)+1,$J$532,IF(O9=(Const_duration/12)+2,$J$533,IF(O9=(Const_duration/Periodicity)+3,$J$534,0)))</f>
        <v>0</v>
      </c>
      <c r="P532" s="1065">
        <f>IF('Assumption '!P9=(Const_duration/Periodicity)+1,$J$532,IF(P9=(Const_duration/12)+2,$J$533,IF(P9=(Const_duration/Periodicity)+3,$J$534,0)))</f>
        <v>0</v>
      </c>
      <c r="Q532" s="1065">
        <f>IF('Assumption '!Q9=(Const_duration/Periodicity)+1,$J$532,IF(Q9=(Const_duration/12)+2,$J$533,IF(Q9=(Const_duration/Periodicity)+3,$J$534,0)))</f>
        <v>0</v>
      </c>
      <c r="R532" s="1065">
        <f>IF('Assumption '!R9=(Const_duration/Periodicity)+1,$J$532,IF(R9=(Const_duration/12)+2,$J$533,IF(R9=(Const_duration/Periodicity)+3,$J$534,0)))</f>
        <v>0</v>
      </c>
      <c r="S532" s="1065">
        <f>IF('Assumption '!S9=(Const_duration/Periodicity)+1,$J$532,IF(S9=(Const_duration/12)+2,$J$533,IF(S9=(Const_duration/Periodicity)+3,$J$534,0)))</f>
        <v>0</v>
      </c>
      <c r="T532" s="1065">
        <f>IF('Assumption '!T9=(Const_duration/Periodicity)+1,$J$532,IF(T9=(Const_duration/12)+2,$J$533,IF(T9=(Const_duration/Periodicity)+3,$J$534,0)))</f>
        <v>0</v>
      </c>
      <c r="U532" s="1065">
        <f>IF('Assumption '!U9=(Const_duration/Periodicity)+1,$J$532,IF(U9=(Const_duration/12)+2,$J$533,IF(U9=(Const_duration/Periodicity)+3,$J$534,0)))</f>
        <v>0</v>
      </c>
      <c r="V532" s="1065">
        <f>IF('Assumption '!V9=(Const_duration/Periodicity)+1,$J$532,IF(V9=(Const_duration/12)+2,$J$533,IF(V9=(Const_duration/Periodicity)+3,$J$534,0)))</f>
        <v>0</v>
      </c>
      <c r="W532" s="1065">
        <f>IF('Assumption '!W9=(Const_duration/Periodicity)+1,$J$532,IF(W9=(Const_duration/12)+2,$J$533,IF(W9=(Const_duration/Periodicity)+3,$J$534,0)))</f>
        <v>0</v>
      </c>
      <c r="X532" s="1065">
        <f>IF('Assumption '!X9=(Const_duration/Periodicity)+1,$J$532,IF(X9=(Const_duration/12)+2,$J$533,IF(X9=(Const_duration/Periodicity)+3,$J$534,0)))</f>
        <v>0</v>
      </c>
      <c r="Y532" s="1065">
        <f>IF('Assumption '!Y9=(Const_duration/Periodicity)+1,$J$532,IF(Y9=(Const_duration/12)+2,$J$533,IF(Y9=(Const_duration/Periodicity)+3,$J$534,0)))</f>
        <v>0</v>
      </c>
      <c r="Z532" s="1065">
        <f>IF('Assumption '!Z9=(Const_duration/Periodicity)+1,$J$532,IF(Z9=(Const_duration/12)+2,$J$533,IF(Z9=(Const_duration/Periodicity)+3,$J$534,0)))</f>
        <v>0</v>
      </c>
      <c r="AA532" s="1065">
        <f>IF('Assumption '!AA9=(Const_duration/Periodicity)+1,$J$532,IF(AA9=(Const_duration/12)+2,$J$533,IF(AA9=(Const_duration/Periodicity)+3,$J$534,0)))</f>
        <v>0</v>
      </c>
      <c r="AB532" s="1065">
        <f>IF('Assumption '!AB9=(Const_duration/Periodicity)+1,$J$532,IF(AB9=(Const_duration/12)+2,$J$533,IF(AB9=(Const_duration/Periodicity)+3,$J$534,0)))</f>
        <v>0</v>
      </c>
      <c r="AC532" s="1065">
        <f>IF('Assumption '!AC9=(Const_duration/Periodicity)+1,$J$532,IF(AC9=(Const_duration/12)+2,$J$533,IF(AC9=(Const_duration/Periodicity)+3,$J$534,0)))</f>
        <v>0</v>
      </c>
      <c r="AD532" s="1065">
        <f>IF('Assumption '!AD9=(Const_duration/Periodicity)+1,$J$532,IF(AD9=(Const_duration/12)+2,$J$533,IF(AD9=(Const_duration/Periodicity)+3,$J$534,0)))</f>
        <v>0</v>
      </c>
      <c r="AE532" s="1065">
        <f>IF('Assumption '!AE9=(Const_duration/Periodicity)+1,$J$532,IF(AE9=(Const_duration/12)+2,$J$533,IF(AE9=(Const_duration/Periodicity)+3,$J$534,0)))</f>
        <v>0</v>
      </c>
      <c r="AF532" s="1065">
        <f>IF('Assumption '!AF9=(Const_duration/Periodicity)+1,$J$532,IF(AF9=(Const_duration/12)+2,$J$533,IF(AF9=(Const_duration/Periodicity)+3,$J$534,0)))</f>
        <v>0</v>
      </c>
      <c r="AG532" s="1065">
        <f>IF('Assumption '!AG9=(Const_duration/Periodicity)+1,$J$532,IF(AG9=(Const_duration/12)+2,$J$533,IF(AG9=(Const_duration/Periodicity)+3,$J$534,0)))</f>
        <v>0</v>
      </c>
      <c r="AH532" s="1065">
        <f>IF('Assumption '!AH9=(Const_duration/Periodicity)+1,$J$532,IF(AH9=(Const_duration/12)+2,$J$533,IF(AH9=(Const_duration/Periodicity)+3,$J$534,0)))</f>
        <v>0</v>
      </c>
      <c r="AI532" s="1065">
        <f>IF('Assumption '!AI9=(Const_duration/Periodicity)+1,$J$532,IF(AI9=(Const_duration/12)+2,$J$533,IF(AI9=(Const_duration/Periodicity)+3,$J$534,0)))</f>
        <v>0</v>
      </c>
      <c r="AJ532" s="1065">
        <f>IF('Assumption '!AJ9=(Const_duration/Periodicity)+1,$J$532,IF(AJ9=(Const_duration/12)+2,$J$533,IF(AJ9=(Const_duration/Periodicity)+3,$J$534,0)))</f>
        <v>0</v>
      </c>
      <c r="AK532" s="1065">
        <f>IF('Assumption '!AK9=(Const_duration/Periodicity)+1,$J$532,IF(AK9=(Const_duration/12)+2,$J$533,IF(AK9=(Const_duration/Periodicity)+3,$J$534,0)))</f>
        <v>0</v>
      </c>
      <c r="AL532" s="1065">
        <f>IF('Assumption '!AL9=(Const_duration/Periodicity)+1,$J$532,IF(AL9=(Const_duration/12)+2,$J$533,IF(AL9=(Const_duration/Periodicity)+3,$J$534,0)))</f>
        <v>0</v>
      </c>
      <c r="AM532" s="1065">
        <f>IF('Assumption '!AM9=(Const_duration/Periodicity)+1,$J$532,IF(AM9=(Const_duration/12)+2,$J$533,IF(AM9=(Const_duration/Periodicity)+3,$J$534,0)))</f>
        <v>0</v>
      </c>
      <c r="AN532" s="1065">
        <f>IF('Assumption '!AN9=(Const_duration/Periodicity)+1,$J$532,IF(AN9=(Const_duration/12)+2,$J$533,IF(AN9=(Const_duration/Periodicity)+3,$J$534,0)))</f>
        <v>0</v>
      </c>
      <c r="AO532" s="1065">
        <f>IF('Assumption '!AO9=(Const_duration/Periodicity)+1,$J$532,IF(AO9=(Const_duration/12)+2,$J$533,IF(AO9=(Const_duration/Periodicity)+3,$J$534,0)))</f>
        <v>0</v>
      </c>
      <c r="AP532" s="1065">
        <f>IF('Assumption '!AP9=(Const_duration/Periodicity)+1,$J$532,IF(AP9=(Const_duration/12)+2,$J$533,IF(AP9=(Const_duration/Periodicity)+3,$J$534,0)))</f>
        <v>0</v>
      </c>
      <c r="AQ532" s="1065"/>
      <c r="AR532" s="1065"/>
      <c r="AS532" s="1065"/>
      <c r="AT532" s="1065"/>
      <c r="AU532" s="1065"/>
      <c r="AV532" s="1065"/>
      <c r="AW532" s="1065"/>
      <c r="AX532" s="1065"/>
      <c r="AY532" s="1065"/>
      <c r="AZ532" s="1065"/>
      <c r="BA532" s="1245"/>
    </row>
    <row r="533" spans="1:54" ht="12.75" customHeight="1">
      <c r="A533" s="475"/>
      <c r="C533" s="320" t="s">
        <v>1284</v>
      </c>
      <c r="J533" s="1064">
        <v>0</v>
      </c>
      <c r="M533" s="1245"/>
      <c r="N533" s="1245"/>
      <c r="O533" s="1245"/>
      <c r="P533" s="1245"/>
      <c r="Q533" s="1245"/>
      <c r="R533" s="1245"/>
      <c r="S533" s="1245"/>
      <c r="T533" s="1245"/>
      <c r="U533" s="1245"/>
      <c r="V533" s="1245"/>
      <c r="W533" s="1245"/>
      <c r="X533" s="1245"/>
      <c r="Y533" s="1245"/>
      <c r="Z533" s="1245"/>
      <c r="AA533" s="1245"/>
      <c r="AB533" s="1245"/>
      <c r="AC533" s="1245"/>
      <c r="AD533" s="1245"/>
      <c r="AE533" s="1245"/>
      <c r="AF533" s="1245"/>
      <c r="AG533" s="1245"/>
      <c r="AH533" s="1245"/>
      <c r="AI533" s="1245"/>
      <c r="AJ533" s="1245"/>
      <c r="AK533" s="1245"/>
      <c r="AL533" s="1245"/>
      <c r="AM533" s="1245"/>
      <c r="AN533" s="1245"/>
      <c r="AO533" s="1245"/>
      <c r="AP533" s="1245"/>
      <c r="AQ533" s="1245"/>
      <c r="AR533" s="1245"/>
      <c r="AS533" s="1245"/>
      <c r="AT533" s="1245"/>
      <c r="AU533" s="1245"/>
      <c r="AV533" s="1245"/>
      <c r="AW533" s="1245"/>
      <c r="AX533" s="1245"/>
      <c r="AY533" s="1245"/>
      <c r="AZ533" s="1245"/>
      <c r="BA533" s="1245"/>
    </row>
    <row r="534" spans="1:54" ht="11.45" customHeight="1">
      <c r="A534" s="475"/>
      <c r="C534" s="320" t="s">
        <v>1285</v>
      </c>
      <c r="J534" s="1064">
        <v>0</v>
      </c>
      <c r="M534" s="1245"/>
      <c r="N534" s="1245"/>
      <c r="O534" s="1245"/>
      <c r="P534" s="1245"/>
      <c r="Q534" s="1245"/>
      <c r="R534" s="1245"/>
      <c r="S534" s="1245"/>
      <c r="T534" s="1245"/>
      <c r="U534" s="1245"/>
      <c r="V534" s="1245"/>
      <c r="W534" s="1245"/>
      <c r="X534" s="1245"/>
      <c r="Y534" s="1245"/>
      <c r="Z534" s="1245"/>
      <c r="AA534" s="1245"/>
      <c r="AB534" s="1245"/>
      <c r="AC534" s="1245"/>
      <c r="AD534" s="1245"/>
      <c r="AE534" s="1245"/>
      <c r="AF534" s="1245"/>
      <c r="AG534" s="1245"/>
      <c r="AH534" s="1245"/>
      <c r="AI534" s="1245"/>
      <c r="AJ534" s="1245"/>
      <c r="AK534" s="1245"/>
      <c r="AL534" s="1245"/>
      <c r="AM534" s="1245"/>
      <c r="AN534" s="1245"/>
      <c r="AO534" s="1245"/>
      <c r="AP534" s="1245"/>
      <c r="AQ534" s="1245"/>
      <c r="AR534" s="1245"/>
      <c r="AS534" s="1245"/>
      <c r="AT534" s="1245"/>
      <c r="AU534" s="1245"/>
      <c r="AV534" s="1245"/>
      <c r="AW534" s="1245"/>
      <c r="AX534" s="1245"/>
      <c r="AY534" s="1245"/>
      <c r="AZ534" s="1245"/>
      <c r="BA534" s="1245"/>
    </row>
    <row r="535" spans="1:54" ht="12.75" customHeight="1">
      <c r="A535" s="352"/>
      <c r="J535" s="431"/>
      <c r="M535" s="1245"/>
      <c r="N535" s="1245"/>
      <c r="O535" s="1245"/>
      <c r="P535" s="1245"/>
      <c r="Q535" s="1245"/>
      <c r="R535" s="1245"/>
      <c r="S535" s="1245"/>
      <c r="T535" s="1245"/>
      <c r="U535" s="1245"/>
      <c r="V535" s="1245"/>
      <c r="W535" s="1245"/>
      <c r="X535" s="1245"/>
      <c r="Y535" s="1245"/>
      <c r="Z535" s="1245"/>
      <c r="AA535" s="1245"/>
      <c r="AB535" s="1245"/>
      <c r="AC535" s="1245"/>
      <c r="AD535" s="1245"/>
      <c r="AE535" s="1245"/>
      <c r="AF535" s="1245"/>
      <c r="AG535" s="1245"/>
      <c r="AH535" s="1245"/>
      <c r="AI535" s="1245"/>
      <c r="AJ535" s="1245"/>
      <c r="AK535" s="1245"/>
      <c r="AL535" s="1245"/>
      <c r="AM535" s="1245"/>
      <c r="AN535" s="1245"/>
      <c r="AO535" s="1245"/>
      <c r="AP535" s="1245"/>
      <c r="AQ535" s="1245"/>
      <c r="AR535" s="1245"/>
      <c r="AS535" s="1245"/>
      <c r="AT535" s="1245"/>
      <c r="AU535" s="1245"/>
      <c r="AV535" s="1245"/>
      <c r="AW535" s="1245"/>
      <c r="AX535" s="1245"/>
      <c r="AY535" s="1245"/>
      <c r="AZ535" s="1245"/>
      <c r="BA535" s="1245"/>
    </row>
    <row r="536" spans="1:54" ht="12.75" customHeight="1">
      <c r="A536" s="352"/>
      <c r="C536" s="320" t="s">
        <v>2097</v>
      </c>
      <c r="J536" s="431"/>
      <c r="M536" s="1245"/>
      <c r="N536" s="1245"/>
      <c r="O536" s="1245"/>
      <c r="P536" s="1245"/>
      <c r="Q536" s="1245"/>
      <c r="R536" s="1245"/>
      <c r="S536" s="1245"/>
      <c r="T536" s="1245"/>
      <c r="U536" s="1245"/>
      <c r="V536" s="1245"/>
      <c r="W536" s="1245"/>
      <c r="X536" s="1245"/>
      <c r="Y536" s="1245"/>
      <c r="Z536" s="1245"/>
      <c r="AA536" s="1245"/>
      <c r="AB536" s="1245"/>
      <c r="AC536" s="1245"/>
      <c r="AD536" s="1245"/>
      <c r="AE536" s="1245"/>
      <c r="AF536" s="1245"/>
      <c r="AG536" s="1245"/>
      <c r="AH536" s="1245"/>
      <c r="AI536" s="1245"/>
      <c r="AJ536" s="1245"/>
      <c r="AK536" s="1245"/>
      <c r="AL536" s="1245"/>
      <c r="AM536" s="1245"/>
      <c r="AN536" s="1245"/>
      <c r="AO536" s="1245"/>
      <c r="AP536" s="1245"/>
      <c r="AQ536" s="1245"/>
      <c r="AR536" s="1245"/>
      <c r="AS536" s="1245"/>
      <c r="AT536" s="1245"/>
      <c r="AU536" s="1245"/>
      <c r="AV536" s="1245"/>
      <c r="AW536" s="1245"/>
      <c r="AX536" s="1245"/>
      <c r="AY536" s="1245"/>
      <c r="AZ536" s="1245"/>
      <c r="BA536" s="1245"/>
    </row>
    <row r="537" spans="1:54" ht="18" customHeight="1">
      <c r="A537" s="352"/>
      <c r="C537" s="485" t="s">
        <v>1800</v>
      </c>
      <c r="J537" s="431"/>
      <c r="M537" s="1245">
        <f>M505+M513</f>
        <v>0</v>
      </c>
      <c r="N537" s="1245">
        <f t="shared" ref="N537:AP541" si="140">N505+N513</f>
        <v>411372729.32509768</v>
      </c>
      <c r="O537" s="1245">
        <f t="shared" ca="1" si="140"/>
        <v>547033996.49400461</v>
      </c>
      <c r="P537" s="1245">
        <f t="shared" ca="1" si="140"/>
        <v>680666754.61595011</v>
      </c>
      <c r="Q537" s="1245">
        <f t="shared" ca="1" si="140"/>
        <v>714847440.66071773</v>
      </c>
      <c r="R537" s="1245">
        <f t="shared" ca="1" si="140"/>
        <v>755300789.57083797</v>
      </c>
      <c r="S537" s="1245">
        <f t="shared" ca="1" si="140"/>
        <v>798199066.63623762</v>
      </c>
      <c r="T537" s="1245">
        <f t="shared" ca="1" si="140"/>
        <v>843695384.73748088</v>
      </c>
      <c r="U537" s="1245">
        <f t="shared" ca="1" si="140"/>
        <v>891952617.29649377</v>
      </c>
      <c r="V537" s="1245">
        <f t="shared" ca="1" si="140"/>
        <v>943144025.81954503</v>
      </c>
      <c r="W537" s="1245">
        <f t="shared" ca="1" si="140"/>
        <v>997453927.95000815</v>
      </c>
      <c r="X537" s="1245">
        <f t="shared" ca="1" si="140"/>
        <v>1055078408.6508585</v>
      </c>
      <c r="Y537" s="1245">
        <f t="shared" ca="1" si="140"/>
        <v>1116226077.306433</v>
      </c>
      <c r="Z537" s="1245">
        <f t="shared" ca="1" si="140"/>
        <v>1181118873.7135642</v>
      </c>
      <c r="AA537" s="1245">
        <f t="shared" ca="1" si="140"/>
        <v>1249992926.1244652</v>
      </c>
      <c r="AB537" s="1245">
        <f t="shared" ca="1" si="140"/>
        <v>801246175.56026816</v>
      </c>
      <c r="AC537" s="1245">
        <f t="shared" ca="1" si="140"/>
        <v>825283560.82707608</v>
      </c>
      <c r="AD537" s="1245">
        <f t="shared" ca="1" si="140"/>
        <v>850042067.65188849</v>
      </c>
      <c r="AE537" s="1245">
        <f t="shared" ca="1" si="140"/>
        <v>875543329.68144512</v>
      </c>
      <c r="AF537" s="1245">
        <f t="shared" ca="1" si="140"/>
        <v>901809629.57188857</v>
      </c>
      <c r="AG537" s="1245">
        <f t="shared" ca="1" si="140"/>
        <v>928863918.45904529</v>
      </c>
      <c r="AH537" s="1245">
        <f t="shared" ca="1" si="140"/>
        <v>956729836.01281667</v>
      </c>
      <c r="AI537" s="1245">
        <f t="shared" ca="1" si="140"/>
        <v>985431731.09320116</v>
      </c>
      <c r="AJ537" s="1245">
        <f t="shared" ca="1" si="140"/>
        <v>1014994683.0259973</v>
      </c>
      <c r="AK537" s="1245">
        <f t="shared" ca="1" si="140"/>
        <v>1045444523.5167772</v>
      </c>
      <c r="AL537" s="1245">
        <f t="shared" ca="1" si="140"/>
        <v>1076807859.2222805</v>
      </c>
      <c r="AM537" s="1245">
        <f t="shared" ca="1" si="140"/>
        <v>1109112094.9989491</v>
      </c>
      <c r="AN537" s="1245">
        <f t="shared" ca="1" si="140"/>
        <v>1142385457.8489175</v>
      </c>
      <c r="AO537" s="1245">
        <f t="shared" ca="1" si="140"/>
        <v>1176657021.5843849</v>
      </c>
      <c r="AP537" s="1245">
        <f t="shared" ca="1" si="140"/>
        <v>1211956732.2319164</v>
      </c>
      <c r="AQ537" s="1245"/>
      <c r="AR537" s="1245"/>
      <c r="AS537" s="1245"/>
      <c r="AT537" s="1245"/>
      <c r="AU537" s="1245"/>
      <c r="AV537" s="1245"/>
      <c r="AW537" s="1245"/>
      <c r="AX537" s="1245"/>
      <c r="AY537" s="1245"/>
      <c r="AZ537" s="1245"/>
      <c r="BA537" s="1245"/>
    </row>
    <row r="538" spans="1:54" ht="12.75" customHeight="1">
      <c r="A538" s="352"/>
      <c r="C538" s="485" t="s">
        <v>1801</v>
      </c>
      <c r="J538" s="431"/>
      <c r="M538" s="1245">
        <f>M506+M514</f>
        <v>0</v>
      </c>
      <c r="N538" s="1245">
        <f t="shared" ref="N538:AB538" si="141">N506+N514</f>
        <v>0</v>
      </c>
      <c r="O538" s="1245">
        <f t="shared" si="141"/>
        <v>291751464.79680246</v>
      </c>
      <c r="P538" s="1245">
        <f t="shared" ca="1" si="141"/>
        <v>388099465.35119969</v>
      </c>
      <c r="Q538" s="1245">
        <f t="shared" ca="1" si="141"/>
        <v>476564960.44047856</v>
      </c>
      <c r="R538" s="1245">
        <f t="shared" ca="1" si="141"/>
        <v>503533859.7138921</v>
      </c>
      <c r="S538" s="1245">
        <f t="shared" ca="1" si="141"/>
        <v>532132711.0908252</v>
      </c>
      <c r="T538" s="1245">
        <f t="shared" ca="1" si="141"/>
        <v>562463589.82498729</v>
      </c>
      <c r="U538" s="1245">
        <f t="shared" ca="1" si="141"/>
        <v>594635078.19766259</v>
      </c>
      <c r="V538" s="1245">
        <f t="shared" ca="1" si="141"/>
        <v>628762683.87969673</v>
      </c>
      <c r="W538" s="1245">
        <f t="shared" ca="1" si="141"/>
        <v>664969285.30000556</v>
      </c>
      <c r="X538" s="1245">
        <f t="shared" ca="1" si="141"/>
        <v>703385605.76723909</v>
      </c>
      <c r="Y538" s="1245">
        <f t="shared" ca="1" si="141"/>
        <v>744150718.20428872</v>
      </c>
      <c r="Z538" s="1245">
        <f t="shared" ca="1" si="141"/>
        <v>787412582.47570944</v>
      </c>
      <c r="AA538" s="1245">
        <f t="shared" ca="1" si="141"/>
        <v>833328617.41631031</v>
      </c>
      <c r="AB538" s="1245">
        <f t="shared" ca="1" si="141"/>
        <v>534164117.04017878</v>
      </c>
      <c r="AC538" s="1245">
        <f t="shared" ca="1" si="140"/>
        <v>550189040.55138409</v>
      </c>
      <c r="AD538" s="1245">
        <f t="shared" ca="1" si="140"/>
        <v>566694711.76792574</v>
      </c>
      <c r="AE538" s="1245">
        <f t="shared" ca="1" si="140"/>
        <v>583695553.12096345</v>
      </c>
      <c r="AF538" s="1245">
        <f t="shared" ca="1" si="140"/>
        <v>601206419.71459246</v>
      </c>
      <c r="AG538" s="1245">
        <f t="shared" ca="1" si="140"/>
        <v>619242612.30603027</v>
      </c>
      <c r="AH538" s="1245">
        <f t="shared" ca="1" si="140"/>
        <v>637819890.67521119</v>
      </c>
      <c r="AI538" s="1245">
        <f t="shared" ca="1" si="140"/>
        <v>656954487.39546752</v>
      </c>
      <c r="AJ538" s="1245">
        <f t="shared" ca="1" si="140"/>
        <v>676663122.0173316</v>
      </c>
      <c r="AK538" s="1245">
        <f t="shared" ca="1" si="140"/>
        <v>696963015.67785156</v>
      </c>
      <c r="AL538" s="1245">
        <f t="shared" ca="1" si="140"/>
        <v>717871906.14818716</v>
      </c>
      <c r="AM538" s="1245">
        <f t="shared" ca="1" si="140"/>
        <v>739408063.33263278</v>
      </c>
      <c r="AN538" s="1245">
        <f t="shared" ca="1" si="140"/>
        <v>761590305.23261166</v>
      </c>
      <c r="AO538" s="1245">
        <f t="shared" ca="1" si="140"/>
        <v>784438014.38959014</v>
      </c>
      <c r="AP538" s="1245">
        <f t="shared" ca="1" si="140"/>
        <v>807971154.82127774</v>
      </c>
      <c r="AQ538" s="1245"/>
      <c r="AR538" s="1245"/>
      <c r="AS538" s="1245"/>
      <c r="AT538" s="1245"/>
      <c r="AU538" s="1245"/>
      <c r="AV538" s="1245"/>
      <c r="AW538" s="1245"/>
      <c r="AX538" s="1245"/>
      <c r="AY538" s="1245"/>
      <c r="AZ538" s="1245"/>
      <c r="BA538" s="1245"/>
    </row>
    <row r="539" spans="1:54" ht="12.75" customHeight="1">
      <c r="A539" s="352"/>
      <c r="C539" s="485" t="s">
        <v>1802</v>
      </c>
      <c r="J539" s="431"/>
      <c r="M539" s="1245">
        <f>M507+M515</f>
        <v>0</v>
      </c>
      <c r="N539" s="1245">
        <f t="shared" si="140"/>
        <v>0</v>
      </c>
      <c r="O539" s="1245">
        <f t="shared" si="140"/>
        <v>0</v>
      </c>
      <c r="P539" s="1245">
        <f t="shared" ca="1" si="140"/>
        <v>0</v>
      </c>
      <c r="Q539" s="1245">
        <f t="shared" ca="1" si="140"/>
        <v>0</v>
      </c>
      <c r="R539" s="1245">
        <f t="shared" ca="1" si="140"/>
        <v>0</v>
      </c>
      <c r="S539" s="1245">
        <f t="shared" ca="1" si="140"/>
        <v>0</v>
      </c>
      <c r="T539" s="1245">
        <f t="shared" ca="1" si="140"/>
        <v>0</v>
      </c>
      <c r="U539" s="1245">
        <f t="shared" ca="1" si="140"/>
        <v>0</v>
      </c>
      <c r="V539" s="1245">
        <f t="shared" ca="1" si="140"/>
        <v>0</v>
      </c>
      <c r="W539" s="1245">
        <f t="shared" ca="1" si="140"/>
        <v>0</v>
      </c>
      <c r="X539" s="1245">
        <f t="shared" ca="1" si="140"/>
        <v>0</v>
      </c>
      <c r="Y539" s="1245">
        <f t="shared" ca="1" si="140"/>
        <v>0</v>
      </c>
      <c r="Z539" s="1245">
        <f t="shared" ca="1" si="140"/>
        <v>0</v>
      </c>
      <c r="AA539" s="1245">
        <f t="shared" ca="1" si="140"/>
        <v>0</v>
      </c>
      <c r="AB539" s="1245">
        <f t="shared" ca="1" si="140"/>
        <v>0</v>
      </c>
      <c r="AC539" s="1245">
        <f t="shared" ca="1" si="140"/>
        <v>0</v>
      </c>
      <c r="AD539" s="1245">
        <f t="shared" ca="1" si="140"/>
        <v>0</v>
      </c>
      <c r="AE539" s="1245">
        <f t="shared" ca="1" si="140"/>
        <v>0</v>
      </c>
      <c r="AF539" s="1245">
        <f t="shared" ca="1" si="140"/>
        <v>0</v>
      </c>
      <c r="AG539" s="1245">
        <f t="shared" ca="1" si="140"/>
        <v>0</v>
      </c>
      <c r="AH539" s="1245">
        <f t="shared" ca="1" si="140"/>
        <v>0</v>
      </c>
      <c r="AI539" s="1245">
        <f t="shared" ca="1" si="140"/>
        <v>0</v>
      </c>
      <c r="AJ539" s="1245">
        <f t="shared" ca="1" si="140"/>
        <v>0</v>
      </c>
      <c r="AK539" s="1245">
        <f t="shared" ca="1" si="140"/>
        <v>0</v>
      </c>
      <c r="AL539" s="1245">
        <f t="shared" ca="1" si="140"/>
        <v>0</v>
      </c>
      <c r="AM539" s="1245">
        <f t="shared" ca="1" si="140"/>
        <v>0</v>
      </c>
      <c r="AN539" s="1245">
        <f t="shared" ca="1" si="140"/>
        <v>0</v>
      </c>
      <c r="AO539" s="1245">
        <f t="shared" ca="1" si="140"/>
        <v>0</v>
      </c>
      <c r="AP539" s="1245">
        <f t="shared" ca="1" si="140"/>
        <v>0</v>
      </c>
      <c r="AQ539" s="1245"/>
      <c r="AR539" s="1245"/>
      <c r="AS539" s="1245"/>
      <c r="AT539" s="1245"/>
      <c r="AU539" s="1245"/>
      <c r="AV539" s="1245"/>
      <c r="AW539" s="1245"/>
      <c r="AX539" s="1245"/>
      <c r="AY539" s="1245"/>
      <c r="AZ539" s="1245"/>
      <c r="BA539" s="1245"/>
    </row>
    <row r="540" spans="1:54" ht="12.75" hidden="1" customHeight="1">
      <c r="A540" s="352"/>
      <c r="C540" s="485"/>
      <c r="J540" s="431"/>
      <c r="M540" s="1245"/>
      <c r="N540" s="1245"/>
      <c r="O540" s="1245"/>
      <c r="P540" s="1245"/>
      <c r="Q540" s="1245"/>
      <c r="R540" s="1245"/>
      <c r="S540" s="1245"/>
      <c r="T540" s="1245"/>
      <c r="U540" s="1245"/>
      <c r="V540" s="1245"/>
      <c r="W540" s="1245"/>
      <c r="X540" s="1245"/>
      <c r="Y540" s="1245"/>
      <c r="Z540" s="1245"/>
      <c r="AA540" s="1245"/>
      <c r="AB540" s="1245"/>
      <c r="AC540" s="1245"/>
      <c r="AD540" s="1245"/>
      <c r="AE540" s="1245"/>
      <c r="AF540" s="1245"/>
      <c r="AG540" s="1245"/>
      <c r="AH540" s="1245"/>
      <c r="AI540" s="1245"/>
      <c r="AJ540" s="1245"/>
      <c r="AK540" s="1245"/>
      <c r="AL540" s="1245"/>
      <c r="AM540" s="1245"/>
      <c r="AN540" s="1245"/>
      <c r="AO540" s="1245"/>
      <c r="AP540" s="1245"/>
      <c r="AQ540" s="1245"/>
      <c r="AR540" s="1245"/>
      <c r="AS540" s="1245"/>
      <c r="AT540" s="1245"/>
      <c r="AU540" s="1245"/>
      <c r="AV540" s="1245"/>
      <c r="AW540" s="1245"/>
      <c r="AX540" s="1245"/>
      <c r="AY540" s="1245"/>
      <c r="AZ540" s="1245"/>
      <c r="BA540" s="1245"/>
    </row>
    <row r="541" spans="1:54" ht="12.75" customHeight="1">
      <c r="A541" s="352"/>
      <c r="C541" s="485" t="s">
        <v>1803</v>
      </c>
      <c r="J541" s="1233"/>
      <c r="M541" s="1265">
        <f>M509+M517</f>
        <v>0</v>
      </c>
      <c r="N541" s="1265">
        <f t="shared" si="140"/>
        <v>363590293.33464235</v>
      </c>
      <c r="O541" s="1265">
        <f t="shared" ca="1" si="140"/>
        <v>468122502.66835201</v>
      </c>
      <c r="P541" s="1265">
        <f t="shared" ca="1" si="140"/>
        <v>563763530.90582466</v>
      </c>
      <c r="Q541" s="1265">
        <f t="shared" ca="1" si="140"/>
        <v>580676436.83299935</v>
      </c>
      <c r="R541" s="1265">
        <f t="shared" ca="1" si="140"/>
        <v>598096729.93798935</v>
      </c>
      <c r="S541" s="1265">
        <f t="shared" ca="1" si="140"/>
        <v>616039631.83612907</v>
      </c>
      <c r="T541" s="1265">
        <f t="shared" ca="1" si="140"/>
        <v>634520820.79121304</v>
      </c>
      <c r="U541" s="1265">
        <f t="shared" ca="1" si="140"/>
        <v>653556445.41494942</v>
      </c>
      <c r="V541" s="1265">
        <f t="shared" ca="1" si="140"/>
        <v>673163138.77739775</v>
      </c>
      <c r="W541" s="1265">
        <f t="shared" ca="1" si="140"/>
        <v>693358032.94071972</v>
      </c>
      <c r="X541" s="1265">
        <f t="shared" ca="1" si="140"/>
        <v>714158773.92894137</v>
      </c>
      <c r="Y541" s="1265">
        <f t="shared" ca="1" si="140"/>
        <v>735583537.1468097</v>
      </c>
      <c r="Z541" s="1265">
        <f t="shared" ca="1" si="140"/>
        <v>757651043.26121402</v>
      </c>
      <c r="AA541" s="1265">
        <f t="shared" ca="1" si="140"/>
        <v>780380574.55905044</v>
      </c>
      <c r="AB541" s="1265">
        <f t="shared" ca="1" si="140"/>
        <v>803791991.79582202</v>
      </c>
      <c r="AC541" s="1265">
        <f t="shared" ca="1" si="140"/>
        <v>827905751.54969668</v>
      </c>
      <c r="AD541" s="1265">
        <f t="shared" ca="1" si="140"/>
        <v>852742924.09618759</v>
      </c>
      <c r="AE541" s="1265">
        <f t="shared" ca="1" si="140"/>
        <v>878325211.81907332</v>
      </c>
      <c r="AF541" s="1265">
        <f t="shared" ca="1" si="140"/>
        <v>904674968.17364562</v>
      </c>
      <c r="AG541" s="1265">
        <f t="shared" ca="1" si="140"/>
        <v>931815217.21885502</v>
      </c>
      <c r="AH541" s="1265">
        <f t="shared" ca="1" si="140"/>
        <v>959769673.73542082</v>
      </c>
      <c r="AI541" s="1265">
        <f t="shared" ca="1" si="140"/>
        <v>988562763.94748342</v>
      </c>
      <c r="AJ541" s="1265">
        <f t="shared" ca="1" si="140"/>
        <v>1018219646.865908</v>
      </c>
      <c r="AK541" s="1265">
        <f t="shared" ca="1" si="140"/>
        <v>1048766236.2718852</v>
      </c>
      <c r="AL541" s="1265">
        <f t="shared" ca="1" si="140"/>
        <v>1080229223.3600419</v>
      </c>
      <c r="AM541" s="1265">
        <f t="shared" ca="1" si="140"/>
        <v>1112636100.0608432</v>
      </c>
      <c r="AN541" s="1265">
        <f t="shared" ca="1" si="140"/>
        <v>1146015183.0626683</v>
      </c>
      <c r="AO541" s="1265">
        <f t="shared" ca="1" si="140"/>
        <v>1180395638.5545483</v>
      </c>
      <c r="AP541" s="1265">
        <f t="shared" ca="1" si="140"/>
        <v>1215807507.711185</v>
      </c>
      <c r="AQ541" s="1265"/>
      <c r="AR541" s="1265"/>
      <c r="AS541" s="1265"/>
      <c r="AT541" s="1265"/>
      <c r="AU541" s="1265"/>
      <c r="AV541" s="1265"/>
      <c r="AW541" s="1265"/>
      <c r="AX541" s="1265"/>
      <c r="AY541" s="1265"/>
      <c r="AZ541" s="1265"/>
      <c r="BA541" s="1265"/>
    </row>
    <row r="542" spans="1:54" s="361" customFormat="1" ht="12" outlineLevel="1" thickBot="1">
      <c r="A542" s="320"/>
      <c r="B542" s="320"/>
      <c r="C542" s="320" t="s">
        <v>655</v>
      </c>
      <c r="D542" s="320"/>
      <c r="E542" s="320"/>
      <c r="F542" s="320"/>
      <c r="G542" s="320"/>
      <c r="H542" s="322"/>
      <c r="I542" s="323"/>
      <c r="J542" s="320"/>
      <c r="K542" s="320"/>
      <c r="L542" s="320"/>
      <c r="M542" s="1256">
        <f>SUM(M537:M541)</f>
        <v>0</v>
      </c>
      <c r="N542" s="1256">
        <f t="shared" ref="N542:AP542" si="142">SUM(N537:N541)</f>
        <v>774963022.65973997</v>
      </c>
      <c r="O542" s="1256">
        <f t="shared" ca="1" si="142"/>
        <v>1306907963.9591589</v>
      </c>
      <c r="P542" s="1256">
        <f t="shared" ca="1" si="142"/>
        <v>1632529750.8729744</v>
      </c>
      <c r="Q542" s="1256">
        <f t="shared" ca="1" si="142"/>
        <v>1772088837.9341955</v>
      </c>
      <c r="R542" s="1256">
        <f t="shared" ca="1" si="142"/>
        <v>1856931379.2227192</v>
      </c>
      <c r="S542" s="1256">
        <f t="shared" ca="1" si="142"/>
        <v>1946371409.5631919</v>
      </c>
      <c r="T542" s="1256">
        <f t="shared" ca="1" si="142"/>
        <v>2040679795.3536811</v>
      </c>
      <c r="U542" s="1256">
        <f t="shared" ca="1" si="142"/>
        <v>2140144140.9091058</v>
      </c>
      <c r="V542" s="1256">
        <f t="shared" ca="1" si="142"/>
        <v>2245069848.4766393</v>
      </c>
      <c r="W542" s="1256">
        <f t="shared" ca="1" si="142"/>
        <v>2355781246.1907334</v>
      </c>
      <c r="X542" s="1256">
        <f t="shared" ca="1" si="142"/>
        <v>2472622788.3470387</v>
      </c>
      <c r="Y542" s="1256">
        <f t="shared" ca="1" si="142"/>
        <v>2595960332.6575313</v>
      </c>
      <c r="Z542" s="1256">
        <f t="shared" ca="1" si="142"/>
        <v>2726182499.4504876</v>
      </c>
      <c r="AA542" s="1256">
        <f t="shared" ca="1" si="142"/>
        <v>2863702118.0998259</v>
      </c>
      <c r="AB542" s="1256">
        <f t="shared" ca="1" si="142"/>
        <v>2139202284.3962688</v>
      </c>
      <c r="AC542" s="1256">
        <f t="shared" ca="1" si="142"/>
        <v>2203378352.9281569</v>
      </c>
      <c r="AD542" s="1256">
        <f t="shared" ca="1" si="142"/>
        <v>2269479703.5160017</v>
      </c>
      <c r="AE542" s="1256">
        <f t="shared" ca="1" si="142"/>
        <v>2337564094.6214819</v>
      </c>
      <c r="AF542" s="1256">
        <f t="shared" ca="1" si="142"/>
        <v>2407691017.4601264</v>
      </c>
      <c r="AG542" s="1256">
        <f t="shared" ca="1" si="142"/>
        <v>2479921747.9839306</v>
      </c>
      <c r="AH542" s="1256">
        <f t="shared" ca="1" si="142"/>
        <v>2554319400.4234486</v>
      </c>
      <c r="AI542" s="1256">
        <f t="shared" ca="1" si="142"/>
        <v>2630948982.436152</v>
      </c>
      <c r="AJ542" s="1256">
        <f t="shared" ca="1" si="142"/>
        <v>2709877451.9092369</v>
      </c>
      <c r="AK542" s="1256">
        <f t="shared" ca="1" si="142"/>
        <v>2791173775.4665136</v>
      </c>
      <c r="AL542" s="1256">
        <f t="shared" ca="1" si="142"/>
        <v>2874908988.7305098</v>
      </c>
      <c r="AM542" s="1256">
        <f t="shared" ca="1" si="142"/>
        <v>2961156258.3924251</v>
      </c>
      <c r="AN542" s="1256">
        <f t="shared" ca="1" si="142"/>
        <v>3049990946.1441975</v>
      </c>
      <c r="AO542" s="1256">
        <f t="shared" ca="1" si="142"/>
        <v>3141490674.5285234</v>
      </c>
      <c r="AP542" s="1256">
        <f t="shared" ca="1" si="142"/>
        <v>3235735394.764379</v>
      </c>
      <c r="AQ542" s="1256"/>
      <c r="AR542" s="1256"/>
      <c r="AS542" s="1256"/>
      <c r="AT542" s="1256"/>
      <c r="AU542" s="1256"/>
      <c r="AV542" s="1256"/>
      <c r="AW542" s="1256"/>
      <c r="AX542" s="1256"/>
      <c r="AY542" s="1256"/>
      <c r="AZ542" s="1256"/>
      <c r="BA542" s="1256"/>
      <c r="BB542" s="320"/>
    </row>
    <row r="543" spans="1:54" s="361" customFormat="1" outlineLevel="1">
      <c r="A543" s="320"/>
      <c r="B543" s="320"/>
      <c r="C543" s="320"/>
      <c r="D543" s="320"/>
      <c r="E543" s="320"/>
      <c r="F543" s="320"/>
      <c r="G543" s="320"/>
      <c r="H543" s="322"/>
      <c r="I543" s="323"/>
      <c r="J543" s="363"/>
      <c r="K543" s="320"/>
      <c r="L543" s="320"/>
      <c r="M543" s="1245"/>
      <c r="N543" s="1245"/>
      <c r="O543" s="1245"/>
      <c r="P543" s="1245"/>
      <c r="Q543" s="1245"/>
      <c r="R543" s="1245"/>
      <c r="S543" s="1245"/>
      <c r="T543" s="1245"/>
      <c r="U543" s="1245"/>
      <c r="V543" s="1245"/>
      <c r="W543" s="1245"/>
      <c r="X543" s="1245"/>
      <c r="Y543" s="1245"/>
      <c r="Z543" s="1245"/>
      <c r="AA543" s="1245"/>
      <c r="AB543" s="1245"/>
      <c r="AC543" s="1245"/>
      <c r="AD543" s="1245"/>
      <c r="AE543" s="1245"/>
      <c r="AF543" s="1245"/>
      <c r="AG543" s="1245"/>
      <c r="AH543" s="1245"/>
      <c r="AI543" s="1245"/>
      <c r="AJ543" s="1245"/>
      <c r="AK543" s="1245"/>
      <c r="AL543" s="1245"/>
      <c r="AM543" s="1245"/>
      <c r="AN543" s="1245"/>
      <c r="AO543" s="1245"/>
      <c r="AP543" s="1245"/>
      <c r="AQ543" s="1245"/>
      <c r="AR543" s="1245"/>
      <c r="AS543" s="1245"/>
      <c r="AT543" s="1245"/>
      <c r="AU543" s="1245"/>
      <c r="AV543" s="1245"/>
      <c r="AW543" s="1245"/>
      <c r="AX543" s="1245"/>
      <c r="AY543" s="1245"/>
      <c r="AZ543" s="1245"/>
      <c r="BA543" s="1245"/>
      <c r="BB543" s="320"/>
    </row>
    <row r="544" spans="1:54" s="361" customFormat="1" outlineLevel="1">
      <c r="A544" s="320"/>
      <c r="B544" s="320"/>
      <c r="C544" s="320"/>
      <c r="D544" s="320"/>
      <c r="E544" s="320"/>
      <c r="F544" s="320"/>
      <c r="G544" s="320"/>
      <c r="H544" s="322"/>
      <c r="I544" s="323"/>
      <c r="J544" s="363"/>
      <c r="K544" s="320"/>
      <c r="L544" s="320"/>
      <c r="M544" s="320"/>
      <c r="N544" s="320"/>
      <c r="O544" s="320"/>
      <c r="P544" s="320"/>
      <c r="Q544" s="320"/>
      <c r="R544" s="320"/>
      <c r="S544" s="320"/>
      <c r="T544" s="320"/>
      <c r="U544" s="320"/>
      <c r="V544" s="320"/>
      <c r="W544" s="320"/>
      <c r="X544" s="320"/>
      <c r="Y544" s="320"/>
      <c r="Z544" s="320"/>
      <c r="AA544" s="320"/>
      <c r="AB544" s="320"/>
      <c r="AC544" s="320"/>
      <c r="AD544" s="320"/>
      <c r="AE544" s="320"/>
      <c r="AF544" s="320"/>
      <c r="AG544" s="320"/>
      <c r="AH544" s="320"/>
      <c r="AI544" s="320"/>
      <c r="AJ544" s="320"/>
      <c r="AK544" s="320"/>
      <c r="AL544" s="320"/>
      <c r="AM544" s="320"/>
      <c r="AN544" s="320"/>
      <c r="AO544" s="320"/>
      <c r="AP544" s="320"/>
      <c r="AQ544" s="320"/>
      <c r="AR544" s="320"/>
      <c r="AS544" s="320"/>
      <c r="AT544" s="320"/>
      <c r="AU544" s="320"/>
      <c r="AV544" s="320"/>
      <c r="AW544" s="320"/>
      <c r="AX544" s="320"/>
      <c r="AY544" s="320"/>
      <c r="AZ544" s="320"/>
      <c r="BA544" s="320"/>
      <c r="BB544" s="320"/>
    </row>
    <row r="545" spans="1:54" s="361" customFormat="1" outlineLevel="1">
      <c r="A545" s="320"/>
      <c r="B545" s="320"/>
      <c r="C545" s="320"/>
      <c r="D545" s="320"/>
      <c r="E545" s="320"/>
      <c r="F545" s="320"/>
      <c r="G545" s="320"/>
      <c r="H545" s="322"/>
      <c r="I545" s="323"/>
      <c r="J545" s="364">
        <v>0</v>
      </c>
      <c r="K545" s="320"/>
      <c r="L545" s="320"/>
      <c r="M545" s="1266">
        <f t="shared" ref="M545:AP545" si="143">($J$544&gt;=M7)*($J$544&lt;=M8)*$J$543</f>
        <v>0</v>
      </c>
      <c r="N545" s="1266">
        <f t="shared" si="143"/>
        <v>0</v>
      </c>
      <c r="O545" s="1266">
        <f t="shared" si="143"/>
        <v>0</v>
      </c>
      <c r="P545" s="1266">
        <f t="shared" si="143"/>
        <v>0</v>
      </c>
      <c r="Q545" s="1266">
        <f t="shared" si="143"/>
        <v>0</v>
      </c>
      <c r="R545" s="1266">
        <f t="shared" si="143"/>
        <v>0</v>
      </c>
      <c r="S545" s="1266">
        <f t="shared" si="143"/>
        <v>0</v>
      </c>
      <c r="T545" s="1266">
        <f t="shared" si="143"/>
        <v>0</v>
      </c>
      <c r="U545" s="1266">
        <f t="shared" si="143"/>
        <v>0</v>
      </c>
      <c r="V545" s="1266">
        <f t="shared" si="143"/>
        <v>0</v>
      </c>
      <c r="W545" s="1266">
        <f t="shared" si="143"/>
        <v>0</v>
      </c>
      <c r="X545" s="1266">
        <f t="shared" si="143"/>
        <v>0</v>
      </c>
      <c r="Y545" s="1266">
        <f t="shared" si="143"/>
        <v>0</v>
      </c>
      <c r="Z545" s="1266">
        <f t="shared" si="143"/>
        <v>0</v>
      </c>
      <c r="AA545" s="1266">
        <f t="shared" si="143"/>
        <v>0</v>
      </c>
      <c r="AB545" s="1266">
        <f t="shared" si="143"/>
        <v>0</v>
      </c>
      <c r="AC545" s="1266">
        <f t="shared" si="143"/>
        <v>0</v>
      </c>
      <c r="AD545" s="1266">
        <f t="shared" si="143"/>
        <v>0</v>
      </c>
      <c r="AE545" s="1266">
        <f t="shared" si="143"/>
        <v>0</v>
      </c>
      <c r="AF545" s="1266">
        <f t="shared" si="143"/>
        <v>0</v>
      </c>
      <c r="AG545" s="1266">
        <f t="shared" si="143"/>
        <v>0</v>
      </c>
      <c r="AH545" s="1266">
        <f t="shared" si="143"/>
        <v>0</v>
      </c>
      <c r="AI545" s="1266">
        <f t="shared" si="143"/>
        <v>0</v>
      </c>
      <c r="AJ545" s="1266">
        <f t="shared" si="143"/>
        <v>0</v>
      </c>
      <c r="AK545" s="1266">
        <f t="shared" si="143"/>
        <v>0</v>
      </c>
      <c r="AL545" s="1266">
        <f t="shared" si="143"/>
        <v>0</v>
      </c>
      <c r="AM545" s="1266">
        <f t="shared" si="143"/>
        <v>0</v>
      </c>
      <c r="AN545" s="1266">
        <f t="shared" si="143"/>
        <v>0</v>
      </c>
      <c r="AO545" s="1266">
        <f t="shared" si="143"/>
        <v>0</v>
      </c>
      <c r="AP545" s="1266">
        <f t="shared" si="143"/>
        <v>0</v>
      </c>
      <c r="AQ545" s="1266"/>
      <c r="AR545" s="1266"/>
      <c r="AS545" s="1266"/>
      <c r="AT545" s="1266"/>
      <c r="AU545" s="1266"/>
      <c r="AV545" s="1266"/>
      <c r="AW545" s="1266"/>
      <c r="AX545" s="1266"/>
      <c r="AY545" s="1266"/>
      <c r="AZ545" s="1266"/>
      <c r="BA545" s="1266"/>
      <c r="BB545" s="320"/>
    </row>
    <row r="546" spans="1:54" s="361" customFormat="1" ht="12" thickBot="1">
      <c r="A546" s="320"/>
      <c r="B546" s="320"/>
      <c r="C546" s="320"/>
      <c r="D546" s="320"/>
      <c r="E546" s="320"/>
      <c r="F546" s="320"/>
      <c r="G546" s="320"/>
      <c r="H546" s="320"/>
      <c r="I546" s="323"/>
      <c r="J546" s="365">
        <f>SUM(J543:J545)</f>
        <v>0</v>
      </c>
      <c r="K546" s="320"/>
      <c r="L546" s="320"/>
      <c r="M546" s="320"/>
      <c r="N546" s="320"/>
      <c r="O546" s="320"/>
      <c r="P546" s="320"/>
      <c r="Q546" s="320"/>
      <c r="R546" s="320"/>
      <c r="S546" s="320"/>
      <c r="T546" s="320"/>
      <c r="U546" s="320"/>
      <c r="V546" s="320"/>
      <c r="W546" s="320"/>
      <c r="X546" s="320"/>
      <c r="Y546" s="320"/>
      <c r="Z546" s="320"/>
      <c r="AA546" s="320"/>
      <c r="AB546" s="320"/>
      <c r="AC546" s="320"/>
      <c r="AD546" s="320"/>
      <c r="AE546" s="320"/>
      <c r="AF546" s="320"/>
      <c r="AG546" s="320"/>
      <c r="AH546" s="320"/>
      <c r="AI546" s="320"/>
      <c r="AJ546" s="320"/>
      <c r="AK546" s="320"/>
      <c r="AL546" s="320"/>
      <c r="AM546" s="320"/>
      <c r="AN546" s="320"/>
      <c r="AO546" s="320"/>
      <c r="AP546" s="320"/>
      <c r="AQ546" s="320"/>
      <c r="AR546" s="320"/>
      <c r="AS546" s="320"/>
      <c r="AT546" s="320"/>
      <c r="AU546" s="320"/>
      <c r="AV546" s="320"/>
      <c r="AW546" s="320"/>
      <c r="AX546" s="320"/>
      <c r="AY546" s="320"/>
      <c r="AZ546" s="320"/>
      <c r="BA546" s="320"/>
      <c r="BB546" s="320"/>
    </row>
    <row r="547" spans="1:54" s="330" customFormat="1" ht="12" thickBot="1">
      <c r="A547" s="329" t="s">
        <v>909</v>
      </c>
      <c r="H547" s="331"/>
      <c r="I547" s="332"/>
    </row>
    <row r="548" spans="1:54" outlineLevel="1">
      <c r="B548" s="352" t="s">
        <v>974</v>
      </c>
    </row>
    <row r="549" spans="1:54" outlineLevel="1">
      <c r="B549" s="320" t="s">
        <v>1504</v>
      </c>
      <c r="C549" s="352"/>
      <c r="I549" s="323" t="s">
        <v>759</v>
      </c>
      <c r="J549" s="362">
        <f>'Capex Phasing Urea'!D69</f>
        <v>624930.67466666666</v>
      </c>
    </row>
    <row r="550" spans="1:54" outlineLevel="1">
      <c r="B550" s="320" t="s">
        <v>1018</v>
      </c>
      <c r="I550" s="323" t="s">
        <v>759</v>
      </c>
      <c r="J550" s="362">
        <f>'Capex Phasing Urea'!D70</f>
        <v>0</v>
      </c>
    </row>
    <row r="551" spans="1:54" outlineLevel="1">
      <c r="B551" s="320" t="s">
        <v>1019</v>
      </c>
      <c r="I551" s="323" t="s">
        <v>759</v>
      </c>
      <c r="J551" s="362">
        <f>'Capex Phasing Urea'!D71</f>
        <v>1597500</v>
      </c>
      <c r="M551" s="1267"/>
      <c r="N551" s="1231"/>
      <c r="O551" s="1231"/>
      <c r="P551" s="1231"/>
      <c r="Q551" s="1231"/>
      <c r="R551" s="1231"/>
      <c r="S551" s="1231"/>
      <c r="T551" s="1231"/>
      <c r="U551" s="1231"/>
      <c r="V551" s="1231"/>
      <c r="W551" s="1231"/>
      <c r="X551" s="1231"/>
      <c r="Y551" s="1231"/>
      <c r="Z551" s="1231"/>
      <c r="AA551" s="1231"/>
      <c r="AB551" s="1231"/>
      <c r="AC551" s="1231"/>
      <c r="AD551" s="1231"/>
      <c r="AE551" s="1231"/>
      <c r="AF551" s="1231"/>
      <c r="AG551" s="1231"/>
      <c r="AH551" s="1231"/>
      <c r="AI551" s="1231"/>
      <c r="AJ551" s="1231"/>
      <c r="AK551" s="1231"/>
      <c r="AL551" s="1231"/>
      <c r="AM551" s="1231"/>
      <c r="AN551" s="1231"/>
      <c r="AO551" s="1231"/>
      <c r="AP551" s="1231"/>
      <c r="AQ551" s="1231"/>
      <c r="AR551" s="1231"/>
      <c r="AS551" s="1231"/>
      <c r="AT551" s="1231"/>
      <c r="AU551" s="1231"/>
      <c r="AV551" s="1231"/>
      <c r="AW551" s="1231"/>
      <c r="AX551" s="1231"/>
      <c r="AY551" s="1231"/>
      <c r="AZ551" s="1231"/>
      <c r="BA551" s="1231"/>
    </row>
    <row r="552" spans="1:54" outlineLevel="1">
      <c r="B552" s="320" t="s">
        <v>348</v>
      </c>
      <c r="I552" s="323" t="s">
        <v>759</v>
      </c>
      <c r="J552" s="362">
        <f>'Capex Phasing Urea'!D72</f>
        <v>8466750</v>
      </c>
    </row>
    <row r="553" spans="1:54" outlineLevel="1">
      <c r="B553" s="320" t="s">
        <v>1020</v>
      </c>
      <c r="I553" s="323" t="s">
        <v>759</v>
      </c>
      <c r="J553" s="362">
        <f>'Capex Phasing Urea'!D73</f>
        <v>486606</v>
      </c>
    </row>
    <row r="554" spans="1:54" outlineLevel="1">
      <c r="B554" s="320" t="s">
        <v>1021</v>
      </c>
      <c r="I554" s="323" t="s">
        <v>759</v>
      </c>
      <c r="J554" s="362">
        <f>'Capex Phasing Urea'!D74</f>
        <v>1821364</v>
      </c>
    </row>
    <row r="555" spans="1:54" ht="15" customHeight="1" outlineLevel="1">
      <c r="B555" s="320" t="s">
        <v>1022</v>
      </c>
      <c r="D555" s="320" t="s">
        <v>747</v>
      </c>
      <c r="I555" s="323" t="s">
        <v>759</v>
      </c>
      <c r="J555" s="912">
        <f>'Capex Phasing Urea'!D75</f>
        <v>2687365</v>
      </c>
    </row>
    <row r="556" spans="1:54" ht="15" customHeight="1" outlineLevel="1" thickBot="1">
      <c r="B556" s="320" t="s">
        <v>655</v>
      </c>
      <c r="J556" s="859">
        <f>SUM(J549:J555)</f>
        <v>15684515.674666665</v>
      </c>
    </row>
    <row r="557" spans="1:54" ht="15" customHeight="1" outlineLevel="1">
      <c r="I557" s="323" t="s">
        <v>759</v>
      </c>
      <c r="J557" s="858"/>
    </row>
    <row r="558" spans="1:54" ht="15" customHeight="1" outlineLevel="1">
      <c r="B558" s="352" t="s">
        <v>975</v>
      </c>
      <c r="I558" s="323" t="s">
        <v>759</v>
      </c>
      <c r="J558" s="353"/>
    </row>
    <row r="559" spans="1:54" s="606" customFormat="1" ht="15" customHeight="1" outlineLevel="1">
      <c r="B559" s="606" t="s">
        <v>1504</v>
      </c>
      <c r="H559" s="607"/>
      <c r="I559" s="608" t="s">
        <v>759</v>
      </c>
      <c r="J559" s="362">
        <f>IF(M97="No",0,'Capex Phasing Urea'!D80)</f>
        <v>627042.06242176867</v>
      </c>
    </row>
    <row r="560" spans="1:54" s="606" customFormat="1" ht="15" customHeight="1" outlineLevel="1">
      <c r="B560" s="606" t="s">
        <v>1018</v>
      </c>
      <c r="H560" s="607"/>
      <c r="I560" s="608" t="s">
        <v>759</v>
      </c>
      <c r="J560" s="362">
        <f>IF(M97="No",0,'Capex Phasing Urea'!D81)</f>
        <v>0</v>
      </c>
      <c r="L560" s="1266"/>
      <c r="M560" s="1429">
        <f t="shared" ref="M560:V560" si="144">$J$560*M48</f>
        <v>0</v>
      </c>
      <c r="N560" s="1429">
        <f t="shared" si="144"/>
        <v>0</v>
      </c>
      <c r="O560" s="1429">
        <f t="shared" si="144"/>
        <v>0</v>
      </c>
      <c r="P560" s="1429">
        <f t="shared" si="144"/>
        <v>0</v>
      </c>
      <c r="Q560" s="1429">
        <f t="shared" si="144"/>
        <v>0</v>
      </c>
      <c r="R560" s="1429">
        <f t="shared" si="144"/>
        <v>0</v>
      </c>
      <c r="S560" s="1429">
        <f t="shared" si="144"/>
        <v>0</v>
      </c>
      <c r="T560" s="1429">
        <f t="shared" si="144"/>
        <v>0</v>
      </c>
      <c r="U560" s="1429">
        <f t="shared" si="144"/>
        <v>0</v>
      </c>
      <c r="V560" s="1429">
        <f t="shared" si="144"/>
        <v>0</v>
      </c>
    </row>
    <row r="561" spans="2:22" s="606" customFormat="1" ht="15" customHeight="1" outlineLevel="1">
      <c r="B561" s="606" t="s">
        <v>1019</v>
      </c>
      <c r="H561" s="607"/>
      <c r="I561" s="608" t="s">
        <v>759</v>
      </c>
      <c r="J561" s="362">
        <f>IF(M97="No",0,'Capex Phasing Urea'!D82)</f>
        <v>1237500</v>
      </c>
      <c r="L561" s="1266"/>
      <c r="M561" s="1430">
        <f t="shared" ref="M561:V561" si="145">(M560*M51)</f>
        <v>0</v>
      </c>
      <c r="N561" s="1430">
        <f t="shared" si="145"/>
        <v>0</v>
      </c>
      <c r="O561" s="1430">
        <f t="shared" si="145"/>
        <v>0</v>
      </c>
      <c r="P561" s="1430">
        <f t="shared" si="145"/>
        <v>0</v>
      </c>
      <c r="Q561" s="1430">
        <f t="shared" si="145"/>
        <v>0</v>
      </c>
      <c r="R561" s="1430">
        <f t="shared" si="145"/>
        <v>0</v>
      </c>
      <c r="S561" s="1430">
        <f t="shared" si="145"/>
        <v>0</v>
      </c>
      <c r="T561" s="1430">
        <f t="shared" si="145"/>
        <v>0</v>
      </c>
      <c r="U561" s="1430">
        <f t="shared" si="145"/>
        <v>0</v>
      </c>
      <c r="V561" s="1430">
        <f t="shared" si="145"/>
        <v>0</v>
      </c>
    </row>
    <row r="562" spans="2:22" s="606" customFormat="1" ht="15" customHeight="1" outlineLevel="1">
      <c r="B562" s="606" t="s">
        <v>348</v>
      </c>
      <c r="H562" s="607"/>
      <c r="I562" s="1431" t="s">
        <v>759</v>
      </c>
      <c r="J562" s="362">
        <f>IF(M97="No",0,'Capex Phasing Urea'!D83)</f>
        <v>6187500</v>
      </c>
      <c r="L562" s="1266"/>
      <c r="M562" s="1432">
        <f t="shared" ref="M562:V562" si="146">$J$558*M48</f>
        <v>0</v>
      </c>
      <c r="N562" s="1432">
        <f t="shared" si="146"/>
        <v>0</v>
      </c>
      <c r="O562" s="1432">
        <f t="shared" si="146"/>
        <v>0</v>
      </c>
      <c r="P562" s="1432">
        <f t="shared" si="146"/>
        <v>0</v>
      </c>
      <c r="Q562" s="1432">
        <f t="shared" si="146"/>
        <v>0</v>
      </c>
      <c r="R562" s="1432">
        <f t="shared" si="146"/>
        <v>0</v>
      </c>
      <c r="S562" s="1432">
        <f t="shared" si="146"/>
        <v>0</v>
      </c>
      <c r="T562" s="1432">
        <f t="shared" si="146"/>
        <v>0</v>
      </c>
      <c r="U562" s="1432">
        <f t="shared" si="146"/>
        <v>0</v>
      </c>
      <c r="V562" s="1432">
        <f t="shared" si="146"/>
        <v>0</v>
      </c>
    </row>
    <row r="563" spans="2:22" s="606" customFormat="1" ht="15" customHeight="1" outlineLevel="1">
      <c r="B563" s="606" t="s">
        <v>1020</v>
      </c>
      <c r="H563" s="607"/>
      <c r="I563" s="608" t="s">
        <v>759</v>
      </c>
      <c r="J563" s="362">
        <f>IF(M97="No",0,'Capex Phasing Urea'!D84)</f>
        <v>397437</v>
      </c>
      <c r="L563" s="1266"/>
      <c r="M563" s="1266">
        <f>M561*M562</f>
        <v>0</v>
      </c>
      <c r="N563" s="1266">
        <f t="shared" ref="N563:V563" si="147">N561*N562</f>
        <v>0</v>
      </c>
      <c r="O563" s="1266">
        <f t="shared" si="147"/>
        <v>0</v>
      </c>
      <c r="P563" s="1266">
        <f t="shared" si="147"/>
        <v>0</v>
      </c>
      <c r="Q563" s="1266">
        <f t="shared" si="147"/>
        <v>0</v>
      </c>
      <c r="R563" s="1266">
        <f t="shared" si="147"/>
        <v>0</v>
      </c>
      <c r="S563" s="1266">
        <f t="shared" si="147"/>
        <v>0</v>
      </c>
      <c r="T563" s="1266">
        <f t="shared" si="147"/>
        <v>0</v>
      </c>
      <c r="U563" s="1266">
        <f t="shared" si="147"/>
        <v>0</v>
      </c>
      <c r="V563" s="1266">
        <f t="shared" si="147"/>
        <v>0</v>
      </c>
    </row>
    <row r="564" spans="2:22" s="606" customFormat="1" outlineLevel="1">
      <c r="B564" s="606" t="s">
        <v>1021</v>
      </c>
      <c r="H564" s="607"/>
      <c r="I564" s="608" t="s">
        <v>759</v>
      </c>
      <c r="J564" s="362">
        <f>IF(M97="no",0,'Capex Phasing Urea'!D85)</f>
        <v>1410916</v>
      </c>
      <c r="M564" s="1433">
        <f t="shared" ref="M564:V564" si="148">((12000/3000)*$J$564)*M48</f>
        <v>6659523.5199999996</v>
      </c>
      <c r="N564" s="1433">
        <f t="shared" si="148"/>
        <v>7858237.7535999995</v>
      </c>
      <c r="O564" s="1433">
        <f t="shared" si="148"/>
        <v>9272720.5492479987</v>
      </c>
      <c r="P564" s="1433">
        <f t="shared" si="148"/>
        <v>10941810.248112638</v>
      </c>
      <c r="Q564" s="1433">
        <f t="shared" si="148"/>
        <v>12911336.09277291</v>
      </c>
      <c r="R564" s="1433">
        <f t="shared" si="148"/>
        <v>15235376.589472035</v>
      </c>
      <c r="S564" s="1433">
        <f t="shared" si="148"/>
        <v>17977744.375577003</v>
      </c>
      <c r="T564" s="1433">
        <f t="shared" si="148"/>
        <v>21213738.363180861</v>
      </c>
      <c r="U564" s="1433">
        <f t="shared" si="148"/>
        <v>25032211.268553413</v>
      </c>
      <c r="V564" s="1433">
        <f t="shared" si="148"/>
        <v>29538009.296893027</v>
      </c>
    </row>
    <row r="565" spans="2:22" outlineLevel="1">
      <c r="B565" s="320" t="s">
        <v>1022</v>
      </c>
      <c r="J565" s="362">
        <f>IF(M97="no",0,'Capex Phasing Urea'!D86)</f>
        <v>1688470</v>
      </c>
    </row>
    <row r="566" spans="2:22" ht="12" outlineLevel="1" thickBot="1">
      <c r="B566" s="320" t="s">
        <v>655</v>
      </c>
      <c r="J566" s="859">
        <f>SUM(J559:J565)</f>
        <v>11548865.062421769</v>
      </c>
    </row>
    <row r="567" spans="2:22" outlineLevel="1">
      <c r="J567" s="353"/>
    </row>
    <row r="568" spans="2:22" outlineLevel="1">
      <c r="B568" s="352" t="s">
        <v>1059</v>
      </c>
      <c r="I568" s="323" t="s">
        <v>759</v>
      </c>
      <c r="J568" s="362"/>
    </row>
    <row r="569" spans="2:22" outlineLevel="1">
      <c r="B569" s="320" t="s">
        <v>1504</v>
      </c>
      <c r="I569" s="323" t="s">
        <v>759</v>
      </c>
      <c r="J569" s="362">
        <f>'Capex Phasing Urea'!D91</f>
        <v>0</v>
      </c>
    </row>
    <row r="570" spans="2:22" outlineLevel="1">
      <c r="B570" s="320" t="s">
        <v>1018</v>
      </c>
      <c r="I570" s="323" t="s">
        <v>759</v>
      </c>
      <c r="J570" s="362">
        <f>'Capex Phasing Urea'!D92</f>
        <v>0</v>
      </c>
    </row>
    <row r="571" spans="2:22" outlineLevel="1">
      <c r="B571" s="320" t="s">
        <v>1019</v>
      </c>
      <c r="I571" s="323" t="s">
        <v>759</v>
      </c>
      <c r="J571" s="362">
        <f>'Capex Phasing Urea'!D93</f>
        <v>0</v>
      </c>
    </row>
    <row r="572" spans="2:22" outlineLevel="1">
      <c r="B572" s="320" t="s">
        <v>348</v>
      </c>
      <c r="I572" s="323" t="s">
        <v>759</v>
      </c>
      <c r="J572" s="362">
        <f>'Capex Phasing Urea'!D94</f>
        <v>0</v>
      </c>
    </row>
    <row r="573" spans="2:22" outlineLevel="1">
      <c r="B573" s="320" t="s">
        <v>1020</v>
      </c>
      <c r="I573" s="323" t="s">
        <v>759</v>
      </c>
      <c r="J573" s="362">
        <f>'Capex Phasing Urea'!D95</f>
        <v>0</v>
      </c>
    </row>
    <row r="574" spans="2:22" outlineLevel="1">
      <c r="B574" s="320" t="s">
        <v>1021</v>
      </c>
      <c r="I574" s="323" t="s">
        <v>759</v>
      </c>
      <c r="J574" s="362">
        <f>'Capex Phasing Urea'!D96</f>
        <v>0</v>
      </c>
    </row>
    <row r="575" spans="2:22" outlineLevel="1">
      <c r="B575" s="320" t="s">
        <v>1022</v>
      </c>
      <c r="I575" s="323" t="s">
        <v>759</v>
      </c>
      <c r="J575" s="912">
        <f>'Capex Phasing Urea'!D97</f>
        <v>0</v>
      </c>
    </row>
    <row r="576" spans="2:22" outlineLevel="1">
      <c r="B576" s="320" t="s">
        <v>655</v>
      </c>
      <c r="J576" s="913">
        <f>SUM(J569:J575)</f>
        <v>0</v>
      </c>
    </row>
    <row r="577" spans="2:10" outlineLevel="1">
      <c r="J577" s="858"/>
    </row>
    <row r="578" spans="2:10" outlineLevel="1">
      <c r="J578" s="353"/>
    </row>
    <row r="579" spans="2:10" outlineLevel="1">
      <c r="J579" s="353"/>
    </row>
    <row r="580" spans="2:10" outlineLevel="1">
      <c r="J580" s="353"/>
    </row>
    <row r="581" spans="2:10" outlineLevel="1">
      <c r="B581" s="352" t="s">
        <v>976</v>
      </c>
      <c r="J581" s="366"/>
    </row>
    <row r="582" spans="2:10" outlineLevel="1">
      <c r="B582" s="320" t="s">
        <v>1504</v>
      </c>
      <c r="I582" s="323" t="s">
        <v>759</v>
      </c>
      <c r="J582" s="362">
        <f>'Capex Phasing Methanol'!C62</f>
        <v>627042.06242176867</v>
      </c>
    </row>
    <row r="583" spans="2:10" outlineLevel="1">
      <c r="B583" s="320" t="s">
        <v>1018</v>
      </c>
      <c r="I583" s="323" t="s">
        <v>759</v>
      </c>
      <c r="J583" s="362">
        <f>'Capex Phasing Methanol'!C63</f>
        <v>0</v>
      </c>
    </row>
    <row r="584" spans="2:10" outlineLevel="1">
      <c r="B584" s="320" t="s">
        <v>1019</v>
      </c>
      <c r="I584" s="323" t="s">
        <v>759</v>
      </c>
      <c r="J584" s="362">
        <f>'Capex Phasing Methanol'!C64</f>
        <v>1240000</v>
      </c>
    </row>
    <row r="585" spans="2:10" outlineLevel="1">
      <c r="B585" s="320" t="s">
        <v>348</v>
      </c>
      <c r="I585" s="323" t="s">
        <v>759</v>
      </c>
      <c r="J585" s="362">
        <f>'Capex Phasing Methanol'!C65</f>
        <v>6572000</v>
      </c>
    </row>
    <row r="586" spans="2:10" outlineLevel="1">
      <c r="B586" s="320" t="s">
        <v>1020</v>
      </c>
      <c r="I586" s="323" t="s">
        <v>759</v>
      </c>
      <c r="J586" s="362">
        <f>'Capex Phasing Methanol'!C66</f>
        <v>377710</v>
      </c>
    </row>
    <row r="587" spans="2:10" outlineLevel="1">
      <c r="B587" s="320" t="s">
        <v>1021</v>
      </c>
      <c r="I587" s="323" t="s">
        <v>759</v>
      </c>
      <c r="J587" s="362">
        <f>'Capex Phasing Methanol'!C67</f>
        <v>1413766</v>
      </c>
    </row>
    <row r="588" spans="2:10" outlineLevel="1">
      <c r="B588" s="320" t="s">
        <v>1022</v>
      </c>
      <c r="I588" s="323" t="s">
        <v>759</v>
      </c>
      <c r="J588" s="912">
        <f>'Capex Phasing Methanol'!C68</f>
        <v>1620891</v>
      </c>
    </row>
    <row r="589" spans="2:10" outlineLevel="1">
      <c r="B589" s="320" t="s">
        <v>71</v>
      </c>
      <c r="I589" s="323" t="s">
        <v>759</v>
      </c>
      <c r="J589" s="914">
        <f>SUM(J582:J588)</f>
        <v>11851409.062421769</v>
      </c>
    </row>
    <row r="590" spans="2:10" outlineLevel="1">
      <c r="J590" s="858"/>
    </row>
    <row r="591" spans="2:10" outlineLevel="1">
      <c r="B591" s="352"/>
      <c r="J591" s="353"/>
    </row>
    <row r="592" spans="2:10" outlineLevel="1">
      <c r="B592" s="352"/>
      <c r="J592" s="368"/>
    </row>
    <row r="593" spans="1:15" s="330" customFormat="1" ht="12" hidden="1" collapsed="1" thickBot="1">
      <c r="A593" s="329" t="s">
        <v>761</v>
      </c>
      <c r="H593" s="331"/>
      <c r="I593" s="332"/>
    </row>
    <row r="594" spans="1:15" hidden="1" outlineLevel="1"/>
    <row r="595" spans="1:15" hidden="1" outlineLevel="1">
      <c r="C595" s="352" t="s">
        <v>762</v>
      </c>
    </row>
    <row r="596" spans="1:15" hidden="1" outlineLevel="1">
      <c r="A596" s="320" t="s">
        <v>763</v>
      </c>
      <c r="D596" s="320" t="s">
        <v>763</v>
      </c>
      <c r="I596" s="323" t="s">
        <v>749</v>
      </c>
      <c r="J596" s="369"/>
      <c r="M596" s="365"/>
      <c r="N596" s="365"/>
    </row>
    <row r="597" spans="1:15" hidden="1" outlineLevel="1">
      <c r="A597" s="320" t="s">
        <v>764</v>
      </c>
      <c r="D597" s="320" t="s">
        <v>764</v>
      </c>
      <c r="I597" s="323" t="s">
        <v>749</v>
      </c>
      <c r="J597" s="369"/>
      <c r="M597" s="365"/>
      <c r="N597" s="365"/>
    </row>
    <row r="598" spans="1:15" hidden="1" outlineLevel="1">
      <c r="A598" s="320" t="s">
        <v>765</v>
      </c>
      <c r="D598" s="320" t="s">
        <v>765</v>
      </c>
      <c r="I598" s="323" t="s">
        <v>749</v>
      </c>
      <c r="J598" s="369"/>
      <c r="M598" s="365"/>
      <c r="N598" s="365"/>
    </row>
    <row r="599" spans="1:15" hidden="1" outlineLevel="1">
      <c r="A599" s="320" t="s">
        <v>766</v>
      </c>
      <c r="D599" s="320" t="s">
        <v>766</v>
      </c>
      <c r="I599" s="323" t="s">
        <v>749</v>
      </c>
      <c r="J599" s="369"/>
      <c r="M599" s="365"/>
      <c r="N599" s="365"/>
    </row>
    <row r="600" spans="1:15" hidden="1" outlineLevel="1">
      <c r="D600" s="320" t="s">
        <v>767</v>
      </c>
      <c r="I600" s="323" t="s">
        <v>749</v>
      </c>
      <c r="J600" s="369">
        <v>0</v>
      </c>
      <c r="M600" s="365"/>
      <c r="N600" s="365"/>
      <c r="O600" s="370"/>
    </row>
    <row r="601" spans="1:15" hidden="1" outlineLevel="1">
      <c r="M601" s="365"/>
      <c r="N601" s="365"/>
    </row>
    <row r="602" spans="1:15" hidden="1" outlineLevel="1">
      <c r="C602" s="352" t="s">
        <v>768</v>
      </c>
    </row>
    <row r="603" spans="1:15" hidden="1" outlineLevel="1">
      <c r="A603" s="320" t="s">
        <v>763</v>
      </c>
      <c r="D603" s="320" t="s">
        <v>763</v>
      </c>
      <c r="I603" s="323" t="s">
        <v>18</v>
      </c>
      <c r="J603" s="369"/>
    </row>
    <row r="604" spans="1:15" hidden="1" outlineLevel="1">
      <c r="A604" s="320" t="s">
        <v>764</v>
      </c>
      <c r="D604" s="320" t="s">
        <v>764</v>
      </c>
      <c r="I604" s="323" t="s">
        <v>18</v>
      </c>
      <c r="J604" s="369">
        <v>0</v>
      </c>
    </row>
    <row r="605" spans="1:15" hidden="1" outlineLevel="1">
      <c r="A605" s="320" t="s">
        <v>765</v>
      </c>
      <c r="D605" s="320" t="s">
        <v>765</v>
      </c>
      <c r="I605" s="323" t="s">
        <v>18</v>
      </c>
      <c r="J605" s="369"/>
    </row>
    <row r="606" spans="1:15" hidden="1" outlineLevel="1">
      <c r="A606" s="320" t="s">
        <v>766</v>
      </c>
      <c r="D606" s="320" t="s">
        <v>766</v>
      </c>
      <c r="I606" s="323" t="s">
        <v>18</v>
      </c>
      <c r="J606" s="369">
        <v>0</v>
      </c>
    </row>
    <row r="607" spans="1:15" hidden="1" outlineLevel="1">
      <c r="D607" s="320" t="s">
        <v>767</v>
      </c>
      <c r="I607" s="323" t="s">
        <v>18</v>
      </c>
      <c r="J607" s="369">
        <v>0</v>
      </c>
    </row>
    <row r="608" spans="1:15" hidden="1" outlineLevel="1">
      <c r="I608" s="323" t="s">
        <v>18</v>
      </c>
    </row>
    <row r="609" spans="1:11" hidden="1" outlineLevel="1">
      <c r="C609" s="352" t="s">
        <v>769</v>
      </c>
    </row>
    <row r="610" spans="1:11" hidden="1" outlineLevel="1">
      <c r="A610" s="320" t="s">
        <v>763</v>
      </c>
      <c r="D610" s="320" t="s">
        <v>763</v>
      </c>
      <c r="I610" s="323" t="s">
        <v>749</v>
      </c>
      <c r="J610" s="369"/>
    </row>
    <row r="611" spans="1:11" hidden="1" outlineLevel="1">
      <c r="A611" s="320" t="s">
        <v>764</v>
      </c>
      <c r="D611" s="320" t="s">
        <v>764</v>
      </c>
      <c r="I611" s="323" t="s">
        <v>749</v>
      </c>
      <c r="J611" s="369"/>
    </row>
    <row r="612" spans="1:11" hidden="1" outlineLevel="1">
      <c r="A612" s="320" t="s">
        <v>765</v>
      </c>
      <c r="D612" s="320" t="s">
        <v>765</v>
      </c>
      <c r="I612" s="323" t="s">
        <v>749</v>
      </c>
      <c r="J612" s="369"/>
    </row>
    <row r="613" spans="1:11" hidden="1" outlineLevel="1">
      <c r="A613" s="320" t="s">
        <v>766</v>
      </c>
      <c r="D613" s="320" t="s">
        <v>766</v>
      </c>
      <c r="I613" s="323" t="s">
        <v>749</v>
      </c>
      <c r="J613" s="369"/>
    </row>
    <row r="614" spans="1:11" hidden="1" outlineLevel="1">
      <c r="D614" s="320" t="s">
        <v>767</v>
      </c>
      <c r="I614" s="323" t="s">
        <v>749</v>
      </c>
      <c r="J614" s="369">
        <v>0</v>
      </c>
    </row>
    <row r="615" spans="1:11" hidden="1" outlineLevel="1">
      <c r="K615" s="365"/>
    </row>
    <row r="616" spans="1:11" hidden="1" outlineLevel="1">
      <c r="C616" s="352" t="s">
        <v>770</v>
      </c>
    </row>
    <row r="617" spans="1:11" hidden="1" outlineLevel="1">
      <c r="A617" s="320" t="s">
        <v>763</v>
      </c>
      <c r="D617" s="320" t="s">
        <v>763</v>
      </c>
      <c r="I617" s="323" t="s">
        <v>18</v>
      </c>
      <c r="J617" s="1260">
        <v>0.1</v>
      </c>
    </row>
    <row r="618" spans="1:11" hidden="1" outlineLevel="1">
      <c r="A618" s="320" t="s">
        <v>764</v>
      </c>
      <c r="D618" s="320" t="s">
        <v>764</v>
      </c>
      <c r="I618" s="323" t="s">
        <v>18</v>
      </c>
      <c r="J618" s="1260">
        <v>0.2</v>
      </c>
    </row>
    <row r="619" spans="1:11" hidden="1" outlineLevel="1">
      <c r="A619" s="320" t="s">
        <v>765</v>
      </c>
      <c r="D619" s="320" t="s">
        <v>765</v>
      </c>
      <c r="I619" s="323" t="s">
        <v>18</v>
      </c>
      <c r="J619" s="1260">
        <v>0.05</v>
      </c>
    </row>
    <row r="620" spans="1:11" hidden="1" outlineLevel="1">
      <c r="A620" s="320" t="s">
        <v>766</v>
      </c>
      <c r="D620" s="320" t="s">
        <v>766</v>
      </c>
      <c r="I620" s="323" t="s">
        <v>18</v>
      </c>
      <c r="J620" s="1260">
        <v>0.2</v>
      </c>
    </row>
    <row r="621" spans="1:11" hidden="1" outlineLevel="1">
      <c r="D621" s="320" t="s">
        <v>767</v>
      </c>
      <c r="I621" s="323" t="s">
        <v>18</v>
      </c>
      <c r="J621" s="1260">
        <v>0.1</v>
      </c>
    </row>
    <row r="622" spans="1:11" hidden="1" outlineLevel="1"/>
    <row r="623" spans="1:11" hidden="1" outlineLevel="1">
      <c r="C623" s="352" t="s">
        <v>771</v>
      </c>
    </row>
    <row r="624" spans="1:11" hidden="1" outlineLevel="1">
      <c r="C624" s="352"/>
    </row>
    <row r="625" spans="1:10" hidden="1" outlineLevel="1">
      <c r="D625" s="320" t="s">
        <v>762</v>
      </c>
      <c r="I625" s="323" t="s">
        <v>749</v>
      </c>
      <c r="J625" s="369">
        <v>0</v>
      </c>
    </row>
    <row r="626" spans="1:10" hidden="1" outlineLevel="1">
      <c r="D626" s="320" t="s">
        <v>772</v>
      </c>
      <c r="I626" s="323" t="s">
        <v>749</v>
      </c>
      <c r="J626" s="369">
        <v>0</v>
      </c>
    </row>
    <row r="627" spans="1:10" hidden="1" outlineLevel="1">
      <c r="D627" s="320" t="s">
        <v>773</v>
      </c>
      <c r="I627" s="323" t="s">
        <v>18</v>
      </c>
      <c r="J627" s="1260"/>
    </row>
    <row r="628" spans="1:10" hidden="1" outlineLevel="1">
      <c r="D628" s="320" t="s">
        <v>774</v>
      </c>
      <c r="I628" s="323" t="s">
        <v>749</v>
      </c>
      <c r="J628" s="353">
        <v>0</v>
      </c>
    </row>
    <row r="629" spans="1:10" ht="12" hidden="1" thickBot="1"/>
    <row r="630" spans="1:10" s="330" customFormat="1" ht="12" hidden="1" collapsed="1" thickBot="1">
      <c r="A630" s="329" t="s">
        <v>775</v>
      </c>
      <c r="H630" s="331"/>
      <c r="I630" s="332"/>
    </row>
    <row r="631" spans="1:10" hidden="1" outlineLevel="1">
      <c r="C631" s="320" t="s">
        <v>776</v>
      </c>
      <c r="I631" s="323" t="s">
        <v>777</v>
      </c>
      <c r="J631" s="337"/>
    </row>
    <row r="632" spans="1:10" hidden="1" outlineLevel="1">
      <c r="C632" s="320" t="s">
        <v>778</v>
      </c>
      <c r="I632" s="323" t="s">
        <v>777</v>
      </c>
      <c r="J632" s="337">
        <v>45</v>
      </c>
    </row>
    <row r="633" spans="1:10" hidden="1" outlineLevel="1">
      <c r="C633" s="320" t="s">
        <v>779</v>
      </c>
      <c r="J633" s="337">
        <f>IF(J17,INT(J632/J17))</f>
        <v>1</v>
      </c>
    </row>
    <row r="634" spans="1:10" hidden="1" outlineLevel="1">
      <c r="C634" s="320" t="s">
        <v>780</v>
      </c>
      <c r="J634" s="371">
        <f>IF(J17,MOD(J632,J17)/J17)</f>
        <v>0.5</v>
      </c>
    </row>
    <row r="635" spans="1:10" hidden="1" outlineLevel="1">
      <c r="C635" s="320" t="s">
        <v>855</v>
      </c>
      <c r="I635" s="323" t="s">
        <v>777</v>
      </c>
      <c r="J635" s="362">
        <v>30</v>
      </c>
    </row>
    <row r="636" spans="1:10" hidden="1" outlineLevel="1">
      <c r="C636" s="320" t="s">
        <v>856</v>
      </c>
      <c r="I636" s="323" t="s">
        <v>777</v>
      </c>
      <c r="J636" s="362">
        <v>180</v>
      </c>
    </row>
    <row r="637" spans="1:10" hidden="1" outlineLevel="1">
      <c r="C637" s="320" t="s">
        <v>857</v>
      </c>
      <c r="I637" s="323" t="s">
        <v>777</v>
      </c>
      <c r="J637" s="362">
        <v>30</v>
      </c>
    </row>
    <row r="638" spans="1:10" hidden="1" outlineLevel="1">
      <c r="C638" s="320" t="s">
        <v>858</v>
      </c>
      <c r="I638" s="323" t="s">
        <v>777</v>
      </c>
      <c r="J638" s="362">
        <v>3</v>
      </c>
    </row>
    <row r="639" spans="1:10" hidden="1" outlineLevel="1">
      <c r="C639" s="320" t="s">
        <v>859</v>
      </c>
      <c r="I639" s="323" t="s">
        <v>777</v>
      </c>
      <c r="J639" s="362">
        <v>60</v>
      </c>
    </row>
    <row r="640" spans="1:10" hidden="1" outlineLevel="1">
      <c r="C640" s="320" t="s">
        <v>862</v>
      </c>
      <c r="J640" s="362">
        <v>360</v>
      </c>
    </row>
    <row r="641" spans="1:18" hidden="1" outlineLevel="1">
      <c r="C641" s="320" t="s">
        <v>860</v>
      </c>
      <c r="I641" s="323" t="s">
        <v>777</v>
      </c>
      <c r="J641" s="362">
        <v>360</v>
      </c>
    </row>
    <row r="642" spans="1:18" hidden="1" outlineLevel="1">
      <c r="C642" s="320" t="s">
        <v>861</v>
      </c>
      <c r="I642" s="323" t="s">
        <v>777</v>
      </c>
      <c r="J642" s="362">
        <v>90</v>
      </c>
    </row>
    <row r="643" spans="1:18" hidden="1" outlineLevel="1">
      <c r="J643" s="362"/>
    </row>
    <row r="644" spans="1:18" hidden="1" outlineLevel="1">
      <c r="C644" s="320" t="s">
        <v>781</v>
      </c>
      <c r="I644" s="323" t="s">
        <v>777</v>
      </c>
      <c r="J644" s="337">
        <f>J631+J632-J635</f>
        <v>15</v>
      </c>
    </row>
    <row r="645" spans="1:18" ht="12" hidden="1" outlineLevel="1" thickBot="1">
      <c r="C645" s="320" t="s">
        <v>782</v>
      </c>
      <c r="I645" s="323" t="s">
        <v>777</v>
      </c>
      <c r="J645" s="372">
        <f>J631+J632</f>
        <v>45</v>
      </c>
    </row>
    <row r="646" spans="1:18" s="330" customFormat="1" ht="12" hidden="1" collapsed="1" thickBot="1">
      <c r="A646" s="329" t="s">
        <v>783</v>
      </c>
      <c r="H646" s="331"/>
      <c r="I646" s="332"/>
    </row>
    <row r="647" spans="1:18" hidden="1" outlineLevel="1">
      <c r="C647" s="320" t="s">
        <v>784</v>
      </c>
      <c r="I647" s="323" t="s">
        <v>18</v>
      </c>
      <c r="J647" s="1260"/>
      <c r="L647" s="359"/>
      <c r="M647" s="359"/>
      <c r="N647" s="359"/>
      <c r="O647" s="359"/>
      <c r="P647" s="359"/>
      <c r="Q647" s="359"/>
      <c r="R647" s="359"/>
    </row>
    <row r="648" spans="1:18" hidden="1" outlineLevel="1">
      <c r="C648" s="320" t="s">
        <v>785</v>
      </c>
      <c r="I648" s="323" t="s">
        <v>18</v>
      </c>
      <c r="J648" s="369">
        <v>0</v>
      </c>
      <c r="L648" s="359"/>
      <c r="M648" s="359"/>
      <c r="N648" s="359"/>
      <c r="O648" s="359"/>
      <c r="P648" s="359"/>
      <c r="Q648" s="359"/>
      <c r="R648" s="359"/>
    </row>
    <row r="649" spans="1:18" hidden="1" outlineLevel="1">
      <c r="C649" s="320" t="s">
        <v>785</v>
      </c>
      <c r="I649" s="323" t="s">
        <v>786</v>
      </c>
      <c r="J649" s="371">
        <v>0</v>
      </c>
      <c r="L649" s="359"/>
      <c r="M649" s="359"/>
      <c r="N649" s="359"/>
      <c r="O649" s="359"/>
      <c r="P649" s="359"/>
      <c r="Q649" s="359"/>
      <c r="R649" s="359"/>
    </row>
    <row r="650" spans="1:18" hidden="1" outlineLevel="1">
      <c r="C650" s="320" t="s">
        <v>787</v>
      </c>
      <c r="H650" s="322" t="s">
        <v>788</v>
      </c>
      <c r="I650" s="323" t="s">
        <v>18</v>
      </c>
      <c r="J650" s="1260">
        <v>0</v>
      </c>
      <c r="L650" s="359"/>
      <c r="M650" s="359"/>
      <c r="N650" s="359"/>
      <c r="O650" s="359"/>
      <c r="P650" s="359"/>
      <c r="Q650" s="359"/>
      <c r="R650" s="359"/>
    </row>
    <row r="651" spans="1:18" ht="12" hidden="1" outlineLevel="1" thickBot="1">
      <c r="C651" s="320" t="s">
        <v>789</v>
      </c>
      <c r="J651" s="362">
        <v>0</v>
      </c>
      <c r="L651" s="359"/>
      <c r="M651" s="359"/>
      <c r="N651" s="359"/>
      <c r="O651" s="359"/>
      <c r="P651" s="359"/>
      <c r="Q651" s="359"/>
      <c r="R651" s="359"/>
    </row>
    <row r="652" spans="1:18" s="330" customFormat="1" ht="12" hidden="1" collapsed="1" thickBot="1">
      <c r="A652" s="338" t="s">
        <v>790</v>
      </c>
      <c r="H652" s="331"/>
      <c r="I652" s="332"/>
    </row>
    <row r="653" spans="1:18" hidden="1" outlineLevel="1">
      <c r="A653" s="373"/>
      <c r="B653" s="320" t="s">
        <v>791</v>
      </c>
      <c r="J653" s="485"/>
    </row>
    <row r="654" spans="1:18" hidden="1" outlineLevel="1">
      <c r="A654" s="373"/>
      <c r="C654" s="320" t="s">
        <v>910</v>
      </c>
      <c r="H654" s="374" t="s">
        <v>792</v>
      </c>
      <c r="I654" s="323" t="s">
        <v>18</v>
      </c>
      <c r="J654" s="1268">
        <v>0.13500000000000001</v>
      </c>
    </row>
    <row r="655" spans="1:18" hidden="1" outlineLevel="1">
      <c r="A655" s="373"/>
      <c r="C655" s="320" t="s">
        <v>793</v>
      </c>
      <c r="H655" s="374" t="s">
        <v>2156</v>
      </c>
      <c r="I655" s="323" t="s">
        <v>18</v>
      </c>
      <c r="J655" s="1268">
        <v>0.12089999999999999</v>
      </c>
    </row>
    <row r="656" spans="1:18" hidden="1" outlineLevel="1">
      <c r="A656" s="373"/>
      <c r="C656" s="320" t="s">
        <v>794</v>
      </c>
      <c r="H656" s="374" t="s">
        <v>2156</v>
      </c>
      <c r="I656" s="323" t="s">
        <v>18</v>
      </c>
      <c r="J656" s="1268">
        <v>6.4000000000000001E-2</v>
      </c>
    </row>
    <row r="657" spans="1:13" hidden="1" outlineLevel="1">
      <c r="A657" s="373"/>
      <c r="C657" s="320" t="s">
        <v>795</v>
      </c>
      <c r="H657" s="374" t="s">
        <v>796</v>
      </c>
      <c r="I657" s="323" t="s">
        <v>18</v>
      </c>
      <c r="J657" s="1269">
        <v>0.57999999999999996</v>
      </c>
      <c r="M657" s="320" t="s">
        <v>747</v>
      </c>
    </row>
    <row r="658" spans="1:13" hidden="1" outlineLevel="1">
      <c r="A658" s="373"/>
      <c r="C658" s="320" t="s">
        <v>797</v>
      </c>
      <c r="I658" s="323" t="s">
        <v>18</v>
      </c>
      <c r="J658" s="1270">
        <f>J654+((J655+J656)*J657)</f>
        <v>0.24224200000000001</v>
      </c>
    </row>
    <row r="659" spans="1:13" ht="12" hidden="1" outlineLevel="1" thickBot="1">
      <c r="A659" s="375"/>
      <c r="B659" s="376"/>
      <c r="C659" s="376" t="s">
        <v>798</v>
      </c>
      <c r="D659" s="376"/>
      <c r="E659" s="376"/>
      <c r="F659" s="376"/>
      <c r="G659" s="376"/>
      <c r="H659" s="1036" t="s">
        <v>796</v>
      </c>
      <c r="I659" s="378" t="s">
        <v>18</v>
      </c>
      <c r="J659" s="1271">
        <v>0.04</v>
      </c>
    </row>
    <row r="660" spans="1:13" ht="12" hidden="1" outlineLevel="1" thickBot="1">
      <c r="A660" s="338"/>
      <c r="B660" s="330"/>
      <c r="C660" s="330"/>
      <c r="D660" s="330"/>
      <c r="E660" s="330"/>
      <c r="F660" s="330"/>
      <c r="G660" s="330"/>
      <c r="H660" s="331"/>
      <c r="I660" s="332"/>
      <c r="J660" s="1272"/>
    </row>
    <row r="661" spans="1:13" hidden="1" outlineLevel="1">
      <c r="A661" s="373"/>
      <c r="J661" s="1273"/>
    </row>
    <row r="662" spans="1:13" s="376" customFormat="1" ht="11.25" hidden="1" customHeight="1" thickBot="1">
      <c r="A662" s="375"/>
      <c r="H662" s="377"/>
      <c r="I662" s="378"/>
      <c r="J662" s="1274"/>
    </row>
    <row r="663" spans="1:13" s="376" customFormat="1" ht="12" hidden="1" collapsed="1" thickBot="1">
      <c r="A663" s="379" t="s">
        <v>799</v>
      </c>
      <c r="C663" s="330"/>
      <c r="H663" s="377"/>
      <c r="I663" s="378"/>
    </row>
    <row r="664" spans="1:13" hidden="1" outlineLevel="1"/>
    <row r="665" spans="1:13" hidden="1" outlineLevel="1">
      <c r="A665" s="348" t="s">
        <v>800</v>
      </c>
    </row>
    <row r="666" spans="1:13" hidden="1" outlineLevel="1">
      <c r="A666" s="320" t="s">
        <v>801</v>
      </c>
      <c r="I666" s="323" t="s">
        <v>18</v>
      </c>
      <c r="J666" s="380"/>
      <c r="L666" s="606"/>
    </row>
    <row r="667" spans="1:13" hidden="1" outlineLevel="1">
      <c r="A667" s="320" t="s">
        <v>802</v>
      </c>
      <c r="I667" s="323" t="s">
        <v>18</v>
      </c>
      <c r="J667" s="380"/>
      <c r="L667" s="606"/>
    </row>
    <row r="668" spans="1:13" hidden="1" outlineLevel="1">
      <c r="A668" s="320" t="s">
        <v>803</v>
      </c>
      <c r="I668" s="323" t="s">
        <v>18</v>
      </c>
      <c r="J668" s="380"/>
      <c r="L668" s="606"/>
    </row>
    <row r="669" spans="1:13" hidden="1" outlineLevel="1">
      <c r="L669" s="606"/>
    </row>
    <row r="670" spans="1:13" hidden="1" outlineLevel="1">
      <c r="A670" s="348" t="s">
        <v>804</v>
      </c>
      <c r="L670" s="606"/>
    </row>
    <row r="671" spans="1:13" hidden="1" outlineLevel="1">
      <c r="A671" s="320" t="s">
        <v>805</v>
      </c>
      <c r="I671" s="323" t="s">
        <v>18</v>
      </c>
      <c r="J671" s="380"/>
      <c r="L671" s="606"/>
    </row>
    <row r="672" spans="1:13" hidden="1" outlineLevel="1">
      <c r="A672" s="320" t="s">
        <v>806</v>
      </c>
      <c r="I672" s="323" t="s">
        <v>18</v>
      </c>
      <c r="J672" s="380"/>
      <c r="L672" s="606"/>
    </row>
    <row r="673" spans="1:12" hidden="1" outlineLevel="1">
      <c r="A673" s="320" t="s">
        <v>807</v>
      </c>
      <c r="I673" s="323" t="s">
        <v>18</v>
      </c>
      <c r="J673" s="380"/>
      <c r="L673" s="606"/>
    </row>
    <row r="674" spans="1:12" hidden="1" outlineLevel="1">
      <c r="L674" s="606"/>
    </row>
    <row r="675" spans="1:12" hidden="1" outlineLevel="1">
      <c r="A675" s="348" t="s">
        <v>808</v>
      </c>
      <c r="L675" s="606"/>
    </row>
    <row r="676" spans="1:12" hidden="1" outlineLevel="1">
      <c r="A676" s="320" t="s">
        <v>809</v>
      </c>
      <c r="I676" s="323" t="s">
        <v>18</v>
      </c>
      <c r="J676" s="371"/>
      <c r="L676" s="606"/>
    </row>
    <row r="677" spans="1:12" hidden="1" outlineLevel="1">
      <c r="A677" s="320" t="s">
        <v>810</v>
      </c>
      <c r="I677" s="323" t="s">
        <v>18</v>
      </c>
      <c r="J677" s="381"/>
      <c r="L677" s="606"/>
    </row>
    <row r="678" spans="1:12" hidden="1" outlineLevel="1">
      <c r="A678" s="320" t="s">
        <v>811</v>
      </c>
      <c r="J678" s="371"/>
      <c r="L678" s="606"/>
    </row>
    <row r="679" spans="1:12" hidden="1" outlineLevel="1">
      <c r="A679" s="320" t="s">
        <v>812</v>
      </c>
      <c r="J679" s="371"/>
      <c r="L679" s="606"/>
    </row>
    <row r="680" spans="1:12" hidden="1" outlineLevel="1">
      <c r="A680" s="320" t="s">
        <v>813</v>
      </c>
      <c r="J680" s="371"/>
      <c r="L680" s="606"/>
    </row>
    <row r="681" spans="1:12" hidden="1" outlineLevel="1">
      <c r="A681" s="320" t="s">
        <v>814</v>
      </c>
      <c r="J681" s="371"/>
      <c r="L681" s="606"/>
    </row>
    <row r="682" spans="1:12" hidden="1" outlineLevel="1">
      <c r="L682" s="606"/>
    </row>
    <row r="683" spans="1:12" hidden="1" outlineLevel="1">
      <c r="A683" s="348" t="s">
        <v>815</v>
      </c>
      <c r="L683" s="606"/>
    </row>
    <row r="684" spans="1:12" hidden="1" outlineLevel="1">
      <c r="A684" s="320" t="s">
        <v>816</v>
      </c>
      <c r="J684" s="380"/>
      <c r="L684" s="606"/>
    </row>
    <row r="685" spans="1:12" hidden="1" outlineLevel="1">
      <c r="A685" s="320" t="s">
        <v>817</v>
      </c>
      <c r="J685" s="380"/>
      <c r="L685" s="606"/>
    </row>
    <row r="686" spans="1:12" hidden="1" outlineLevel="1">
      <c r="A686" s="320" t="s">
        <v>818</v>
      </c>
      <c r="J686" s="380"/>
      <c r="L686" s="606"/>
    </row>
    <row r="687" spans="1:12" hidden="1" outlineLevel="1">
      <c r="A687" s="320" t="s">
        <v>819</v>
      </c>
      <c r="J687" s="380"/>
      <c r="L687" s="606"/>
    </row>
    <row r="688" spans="1:12" hidden="1" outlineLevel="1">
      <c r="A688" s="320" t="s">
        <v>820</v>
      </c>
      <c r="J688" s="380"/>
      <c r="L688" s="606"/>
    </row>
    <row r="689" spans="1:12" hidden="1" outlineLevel="1">
      <c r="A689" s="320" t="s">
        <v>821</v>
      </c>
      <c r="J689" s="380"/>
      <c r="L689" s="606"/>
    </row>
    <row r="690" spans="1:12" hidden="1">
      <c r="L690" s="606"/>
    </row>
    <row r="691" spans="1:12" s="383" customFormat="1">
      <c r="A691" s="382" t="s">
        <v>822</v>
      </c>
      <c r="H691" s="384"/>
      <c r="I691" s="385"/>
    </row>
  </sheetData>
  <phoneticPr fontId="47" type="noConversion"/>
  <dataValidations count="12">
    <dataValidation type="list" allowBlank="1" showInputMessage="1" showErrorMessage="1" sqref="J616:J617" xr:uid="{07019A80-FBF3-4F39-99C7-1B9AB3FD81CA}">
      <formula1>"0.05,0.10,0.15,0.20,0.25,0.30,0.35,0.40,"</formula1>
    </dataValidation>
    <dataValidation type="list" allowBlank="1" showInputMessage="1" showErrorMessage="1" sqref="J101" xr:uid="{397EABAA-AC65-4E02-9C82-5940936FE65F}">
      <formula1>"1,2,3"</formula1>
    </dataValidation>
    <dataValidation type="list" allowBlank="1" showInputMessage="1" showErrorMessage="1" sqref="J127" xr:uid="{77782B57-4CD3-4FFB-BFA7-F7EBB147240B}">
      <formula1>"0,150,200"</formula1>
    </dataValidation>
    <dataValidation type="list" allowBlank="1" showInputMessage="1" showErrorMessage="1" sqref="J107" xr:uid="{E4E3767F-2DF0-43E7-8EB3-FFAF3D2DF07C}">
      <formula1>"Yes ,No"</formula1>
    </dataValidation>
    <dataValidation type="list" allowBlank="1" showInputMessage="1" showErrorMessage="1" sqref="J108" xr:uid="{FF3F7385-D407-4892-85A1-E579FCF2587D}">
      <formula1>"120,150,180,200"</formula1>
    </dataValidation>
    <dataValidation type="list" allowBlank="1" showInputMessage="1" showErrorMessage="1" sqref="J452" xr:uid="{BC2E25EA-4EB7-4D8A-90E2-7E482FCD352F}">
      <formula1>"YES, NO "</formula1>
    </dataValidation>
    <dataValidation type="list" allowBlank="1" showInputMessage="1" showErrorMessage="1" sqref="J259" xr:uid="{DF5E35DB-7A7F-4E84-AA4E-CBDF57B476E6}">
      <formula1>"4,5,6,7,8,9,10"</formula1>
    </dataValidation>
    <dataValidation type="list" allowBlank="1" showInputMessage="1" showErrorMessage="1" sqref="J104 J394" xr:uid="{C91A3238-3607-401B-BC41-571CF74DDC3B}">
      <formula1>"Nasarawa, Gombe"</formula1>
    </dataValidation>
    <dataValidation type="list" allowBlank="1" showInputMessage="1" showErrorMessage="1" sqref="J29" xr:uid="{0B3DEC78-1A4F-455E-9C20-F82F908F0341}">
      <formula1>"1,2,"</formula1>
    </dataValidation>
    <dataValidation type="list" allowBlank="1" showInputMessage="1" showErrorMessage="1" sqref="J105 J102" xr:uid="{046997FC-B6F6-4859-B099-691F8301CD5A}">
      <formula1>"1,2"</formula1>
    </dataValidation>
    <dataValidation type="list" allowBlank="1" showInputMessage="1" showErrorMessage="1" sqref="J90:J100" xr:uid="{1FC36015-6EF8-4211-A616-CCA9266315B6}">
      <formula1>"0,1,2,3"</formula1>
    </dataValidation>
    <dataValidation type="list" allowBlank="1" showInputMessage="1" showErrorMessage="1" sqref="M96:M99" xr:uid="{EA9D50A8-E55C-4569-9E81-AF0DF8EE4284}">
      <formula1>"Yes,No"</formula1>
    </dataValidation>
  </dataValidations>
  <hyperlinks>
    <hyperlink ref="A6" location="TOC!A1" display="&gt;&gt;&gt;TOC" xr:uid="{0A676CA7-B2FE-4C3B-9411-B0A5B57F7473}"/>
  </hyperlinks>
  <pageMargins left="0.7" right="0.7" top="0.75" bottom="0.75" header="0.3" footer="0.3"/>
  <pageSetup orientation="portrait" r:id="rId1"/>
  <ignoredErrors>
    <ignoredError sqref="J109 J114:J122 J80:J81 J86:J87 J73:J74 J77 J111 J83" unlockedFormula="1"/>
    <ignoredError sqref="J422" formulaRange="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0D6F6-DAB1-48CA-ABE7-2EF361487367}">
  <sheetPr codeName="Sheet50">
    <tabColor theme="5" tint="0.39997558519241921"/>
  </sheetPr>
  <dimension ref="A1:H18"/>
  <sheetViews>
    <sheetView topLeftCell="A9" zoomScaleNormal="100" workbookViewId="0">
      <selection activeCell="G23" sqref="G23"/>
    </sheetView>
  </sheetViews>
  <sheetFormatPr defaultRowHeight="15"/>
  <cols>
    <col min="1" max="1" width="4.03515625" style="965" bestFit="1" customWidth="1"/>
    <col min="2" max="2" width="30.265625" style="2346" customWidth="1"/>
    <col min="3" max="3" width="39.81640625" style="2346" customWidth="1"/>
    <col min="4" max="5" width="12.5078125" style="2346" bestFit="1" customWidth="1"/>
    <col min="6" max="6" width="10.0859375" customWidth="1"/>
    <col min="7" max="7" width="26.5" customWidth="1"/>
    <col min="8" max="8" width="20.3125" customWidth="1"/>
  </cols>
  <sheetData>
    <row r="1" spans="1:8">
      <c r="B1" s="2356" t="s">
        <v>2165</v>
      </c>
    </row>
    <row r="2" spans="1:8" s="433" customFormat="1" ht="30.75">
      <c r="A2" s="2360" t="s">
        <v>2166</v>
      </c>
      <c r="B2" s="2361" t="s">
        <v>649</v>
      </c>
      <c r="C2" s="2361" t="s">
        <v>2167</v>
      </c>
      <c r="D2" s="2362" t="s">
        <v>2185</v>
      </c>
      <c r="E2" s="2362" t="s">
        <v>2186</v>
      </c>
      <c r="G2" s="2362" t="s">
        <v>2185</v>
      </c>
      <c r="H2" s="2362" t="s">
        <v>2186</v>
      </c>
    </row>
    <row r="3" spans="1:8" ht="27.75">
      <c r="A3" s="2347">
        <v>1</v>
      </c>
      <c r="B3" s="2349" t="s">
        <v>2171</v>
      </c>
      <c r="C3" s="2349" t="s">
        <v>2172</v>
      </c>
      <c r="D3" s="2350">
        <f>1.5*20</f>
        <v>30</v>
      </c>
      <c r="E3" s="2350">
        <f>1.5*0.5</f>
        <v>0.75</v>
      </c>
      <c r="G3" s="311">
        <f t="shared" ref="G3:H5" si="0">D3*1000000</f>
        <v>30000000</v>
      </c>
      <c r="H3" s="978">
        <f t="shared" si="0"/>
        <v>750000</v>
      </c>
    </row>
    <row r="4" spans="1:8" ht="54.75">
      <c r="A4" s="2347">
        <v>2</v>
      </c>
      <c r="B4" s="2349" t="s">
        <v>2187</v>
      </c>
      <c r="C4" s="2349" t="s">
        <v>2188</v>
      </c>
      <c r="D4" s="2350">
        <f>50000*120000/75/1000000</f>
        <v>80</v>
      </c>
      <c r="E4" s="2350">
        <f>50000*120000/75/1000000</f>
        <v>80</v>
      </c>
      <c r="G4" s="311">
        <f t="shared" si="0"/>
        <v>80000000</v>
      </c>
      <c r="H4" s="311">
        <f t="shared" si="0"/>
        <v>80000000</v>
      </c>
    </row>
    <row r="5" spans="1:8" ht="27.75">
      <c r="A5" s="2347">
        <v>3</v>
      </c>
      <c r="B5" s="2349" t="s">
        <v>2175</v>
      </c>
      <c r="C5" s="2349" t="s">
        <v>2176</v>
      </c>
      <c r="D5" s="2350">
        <f>900000*0.5/1000000</f>
        <v>0.45</v>
      </c>
      <c r="E5" s="2350">
        <f>900000*0.5/1000000</f>
        <v>0.45</v>
      </c>
      <c r="G5" s="311">
        <f t="shared" si="0"/>
        <v>450000</v>
      </c>
      <c r="H5">
        <f t="shared" si="0"/>
        <v>450000</v>
      </c>
    </row>
    <row r="6" spans="1:8" ht="15.75" thickBot="1">
      <c r="A6" s="2347"/>
      <c r="B6" s="2363" t="s">
        <v>2189</v>
      </c>
      <c r="C6" s="2349"/>
      <c r="D6" s="2351">
        <f>SUM(D3:D5)</f>
        <v>110.45</v>
      </c>
      <c r="E6" s="2351">
        <f>SUM(E3:E5)</f>
        <v>81.2</v>
      </c>
      <c r="F6" t="s">
        <v>655</v>
      </c>
      <c r="G6" s="309">
        <f>SUM(G3:G5)</f>
        <v>110450000</v>
      </c>
      <c r="H6" s="309">
        <f>SUM(H3:H5)</f>
        <v>81200000</v>
      </c>
    </row>
    <row r="7" spans="1:8">
      <c r="B7" s="2352"/>
      <c r="C7" s="2352"/>
      <c r="G7" s="398">
        <f>G6/1000000</f>
        <v>110.45</v>
      </c>
      <c r="H7" s="398">
        <f>H6/1000000</f>
        <v>81.2</v>
      </c>
    </row>
    <row r="8" spans="1:8">
      <c r="B8" s="2352"/>
      <c r="C8" s="2352"/>
    </row>
    <row r="9" spans="1:8" s="433" customFormat="1" ht="33.6" customHeight="1">
      <c r="A9" s="2360"/>
      <c r="B9" s="2363" t="s">
        <v>1056</v>
      </c>
      <c r="C9" s="2363" t="s">
        <v>2167</v>
      </c>
      <c r="D9" s="2362" t="s">
        <v>2185</v>
      </c>
      <c r="E9" s="2362" t="s">
        <v>2186</v>
      </c>
    </row>
    <row r="10" spans="1:8" ht="27.75">
      <c r="A10" s="2347">
        <v>1</v>
      </c>
      <c r="B10" s="2349" t="s">
        <v>2177</v>
      </c>
      <c r="C10" s="2349" t="s">
        <v>2178</v>
      </c>
      <c r="D10" s="2350">
        <f>0.3*500000*1020/1.6/1000000</f>
        <v>95.625</v>
      </c>
      <c r="E10" s="2350">
        <f>0.3*500000*1000/1.6/1000000</f>
        <v>93.75</v>
      </c>
      <c r="G10" s="2364">
        <f>D10*1000000</f>
        <v>95625000</v>
      </c>
      <c r="H10" s="2364">
        <f>E10*1000000</f>
        <v>93750000</v>
      </c>
    </row>
    <row r="11" spans="1:8">
      <c r="A11" s="2347">
        <v>2</v>
      </c>
      <c r="B11" s="2365" t="s">
        <v>2190</v>
      </c>
      <c r="C11" s="2349" t="s">
        <v>2191</v>
      </c>
      <c r="D11" s="2358">
        <f>10*500000/1000000</f>
        <v>5</v>
      </c>
      <c r="E11" s="2358">
        <f>10*500000/1000000</f>
        <v>5</v>
      </c>
      <c r="G11" s="2364">
        <f t="shared" ref="G11:H15" si="1">D11*1000000</f>
        <v>5000000</v>
      </c>
      <c r="H11" s="2364">
        <f t="shared" si="1"/>
        <v>5000000</v>
      </c>
    </row>
    <row r="12" spans="1:8">
      <c r="A12" s="2347">
        <v>3</v>
      </c>
      <c r="B12" s="2365" t="s">
        <v>2192</v>
      </c>
      <c r="C12" s="2349" t="s">
        <v>2193</v>
      </c>
      <c r="D12" s="2358">
        <f>7.5*500000/1000000</f>
        <v>3.75</v>
      </c>
      <c r="E12" s="2358">
        <f>7.5*500000/1000000</f>
        <v>3.75</v>
      </c>
      <c r="G12" s="2364">
        <f t="shared" si="1"/>
        <v>3750000</v>
      </c>
      <c r="H12" s="2364">
        <f t="shared" si="1"/>
        <v>3750000</v>
      </c>
    </row>
    <row r="13" spans="1:8">
      <c r="A13" s="2347">
        <v>4</v>
      </c>
      <c r="B13" s="2365" t="s">
        <v>2194</v>
      </c>
      <c r="C13" s="2365" t="s">
        <v>2195</v>
      </c>
      <c r="D13" s="2358">
        <f>2*500000/1000000</f>
        <v>1</v>
      </c>
      <c r="E13" s="2358">
        <f>2*500000/1000000</f>
        <v>1</v>
      </c>
      <c r="G13" s="2364">
        <f t="shared" si="1"/>
        <v>1000000</v>
      </c>
      <c r="H13" s="2364">
        <f t="shared" si="1"/>
        <v>1000000</v>
      </c>
    </row>
    <row r="14" spans="1:8">
      <c r="A14" s="2347">
        <v>5</v>
      </c>
      <c r="B14" s="2349" t="s">
        <v>2179</v>
      </c>
      <c r="C14" s="2349" t="s">
        <v>2196</v>
      </c>
      <c r="D14" s="2353">
        <f>14*500000/1500/1000000</f>
        <v>4.6666666666666671E-3</v>
      </c>
      <c r="E14" s="2353">
        <f>14*500000/1500/1000000</f>
        <v>4.6666666666666671E-3</v>
      </c>
      <c r="G14" s="2364">
        <f t="shared" si="1"/>
        <v>4666.666666666667</v>
      </c>
      <c r="H14" s="2364">
        <f t="shared" si="1"/>
        <v>4666.666666666667</v>
      </c>
    </row>
    <row r="15" spans="1:8" ht="27.75">
      <c r="A15" s="2347">
        <v>6</v>
      </c>
      <c r="B15" s="2349" t="s">
        <v>2197</v>
      </c>
      <c r="C15" s="2349" t="s">
        <v>2198</v>
      </c>
      <c r="D15" s="2353">
        <f>30*500000/1500/1000000</f>
        <v>0.01</v>
      </c>
      <c r="E15" s="2353">
        <f>30*500000/1500/1000000</f>
        <v>0.01</v>
      </c>
      <c r="G15" s="2364">
        <f t="shared" si="1"/>
        <v>10000</v>
      </c>
      <c r="H15" s="2364">
        <f t="shared" si="1"/>
        <v>10000</v>
      </c>
    </row>
    <row r="16" spans="1:8">
      <c r="A16" s="2347"/>
      <c r="B16" s="2363" t="s">
        <v>2199</v>
      </c>
      <c r="C16" s="2349"/>
      <c r="D16" s="2351">
        <f>SUM(D10:D15)</f>
        <v>105.38966666666667</v>
      </c>
      <c r="E16" s="2351">
        <f>SUM(E10:E15)</f>
        <v>103.51466666666667</v>
      </c>
      <c r="G16" s="413">
        <f>SUM(G10:G15)</f>
        <v>105389666.66666667</v>
      </c>
      <c r="H16" s="413">
        <f>SUM(H10:H15)</f>
        <v>103514666.66666667</v>
      </c>
    </row>
    <row r="18" spans="4:8" ht="15.75" thickBot="1">
      <c r="D18" s="2366"/>
      <c r="E18" s="2366"/>
      <c r="G18" s="418">
        <f>G16/1000000</f>
        <v>105.38966666666667</v>
      </c>
      <c r="H18" s="418">
        <f>H16/1000000</f>
        <v>103.51466666666667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7B5F2-6D8D-42B5-BA45-2518A5CF7EF6}">
  <sheetPr codeName="Sheet51">
    <tabColor theme="5" tint="0.39997558519241921"/>
  </sheetPr>
  <dimension ref="A1:H18"/>
  <sheetViews>
    <sheetView topLeftCell="A9" workbookViewId="0">
      <selection activeCell="H16" sqref="H16"/>
    </sheetView>
  </sheetViews>
  <sheetFormatPr defaultRowHeight="15"/>
  <cols>
    <col min="1" max="1" width="4.03515625" style="965" bestFit="1" customWidth="1"/>
    <col min="2" max="2" width="27.171875" style="2346" customWidth="1"/>
    <col min="3" max="3" width="43.71875" style="2346" customWidth="1"/>
    <col min="4" max="5" width="12.5078125" style="965" bestFit="1" customWidth="1"/>
    <col min="7" max="7" width="15.19921875" bestFit="1" customWidth="1"/>
    <col min="8" max="8" width="20.3125" customWidth="1"/>
  </cols>
  <sheetData>
    <row r="1" spans="1:8">
      <c r="B1" s="2346" t="s">
        <v>2165</v>
      </c>
    </row>
    <row r="2" spans="1:8" s="433" customFormat="1" ht="32.25" customHeight="1">
      <c r="A2" s="2360" t="s">
        <v>2166</v>
      </c>
      <c r="B2" s="2361" t="s">
        <v>649</v>
      </c>
      <c r="C2" s="2361" t="s">
        <v>2167</v>
      </c>
      <c r="D2" s="2362" t="s">
        <v>2200</v>
      </c>
      <c r="E2" s="2362" t="s">
        <v>2201</v>
      </c>
      <c r="G2" s="2362" t="s">
        <v>2200</v>
      </c>
      <c r="H2" s="2362" t="s">
        <v>2201</v>
      </c>
    </row>
    <row r="3" spans="1:8" ht="27.75">
      <c r="A3" s="2347">
        <v>1</v>
      </c>
      <c r="B3" s="2349" t="s">
        <v>2171</v>
      </c>
      <c r="C3" s="2349" t="s">
        <v>2202</v>
      </c>
      <c r="D3" s="2367">
        <f>1.5*10</f>
        <v>15</v>
      </c>
      <c r="E3" s="2367">
        <f>1.5*1</f>
        <v>1.5</v>
      </c>
      <c r="G3" s="311">
        <f t="shared" ref="G3:H5" si="0">D3*1000000</f>
        <v>15000000</v>
      </c>
      <c r="H3" s="978">
        <f t="shared" si="0"/>
        <v>1500000</v>
      </c>
    </row>
    <row r="4" spans="1:8" ht="54.75">
      <c r="A4" s="2347">
        <v>2</v>
      </c>
      <c r="B4" s="2349" t="s">
        <v>2187</v>
      </c>
      <c r="C4" s="2349" t="s">
        <v>2188</v>
      </c>
      <c r="D4" s="2367">
        <f>50000*120000/75/1000000</f>
        <v>80</v>
      </c>
      <c r="E4" s="2367">
        <f>50000*120000/75/1000000</f>
        <v>80</v>
      </c>
      <c r="G4" s="311">
        <f t="shared" si="0"/>
        <v>80000000</v>
      </c>
      <c r="H4" s="978">
        <f t="shared" si="0"/>
        <v>80000000</v>
      </c>
    </row>
    <row r="5" spans="1:8" ht="27.75">
      <c r="A5" s="2347">
        <v>3</v>
      </c>
      <c r="B5" s="2349" t="s">
        <v>2175</v>
      </c>
      <c r="C5" s="2349" t="s">
        <v>2176</v>
      </c>
      <c r="D5" s="2367">
        <f>900000*0.5/1000000</f>
        <v>0.45</v>
      </c>
      <c r="E5" s="2367">
        <f>900000*0.5/1000000</f>
        <v>0.45</v>
      </c>
      <c r="G5" s="311">
        <f t="shared" si="0"/>
        <v>450000</v>
      </c>
      <c r="H5" s="978">
        <f t="shared" si="0"/>
        <v>450000</v>
      </c>
    </row>
    <row r="6" spans="1:8" ht="15.75" thickBot="1">
      <c r="A6" s="2347"/>
      <c r="B6" s="2349"/>
      <c r="C6" s="2349"/>
      <c r="D6" s="2368">
        <f>SUM(D3:D5)</f>
        <v>95.45</v>
      </c>
      <c r="E6" s="2368">
        <f>SUM(E3:E5)</f>
        <v>81.95</v>
      </c>
      <c r="G6" s="452">
        <f>SUM(G3:G5)</f>
        <v>95450000</v>
      </c>
      <c r="H6" s="418">
        <f>SUM(H3:H5)</f>
        <v>81950000</v>
      </c>
    </row>
    <row r="7" spans="1:8">
      <c r="B7" s="2352"/>
      <c r="C7" s="2352"/>
    </row>
    <row r="8" spans="1:8">
      <c r="B8" s="2352"/>
      <c r="C8" s="2352"/>
    </row>
    <row r="9" spans="1:8" s="433" customFormat="1" ht="30.75">
      <c r="A9" s="2360"/>
      <c r="B9" s="2363" t="s">
        <v>1056</v>
      </c>
      <c r="C9" s="2363" t="s">
        <v>2167</v>
      </c>
      <c r="D9" s="2362" t="s">
        <v>2200</v>
      </c>
      <c r="E9" s="2362" t="s">
        <v>2201</v>
      </c>
      <c r="G9" s="2362" t="s">
        <v>2200</v>
      </c>
      <c r="H9" s="2362" t="s">
        <v>2201</v>
      </c>
    </row>
    <row r="10" spans="1:8" ht="27.75">
      <c r="A10" s="2347">
        <v>1</v>
      </c>
      <c r="B10" s="2349" t="s">
        <v>2177</v>
      </c>
      <c r="C10" s="2349" t="s">
        <v>2203</v>
      </c>
      <c r="D10" s="2367">
        <f>0.3*500000*500/1.6/1000000</f>
        <v>46.875</v>
      </c>
      <c r="E10" s="2367">
        <f>0.3*500000*420/1.6/1000000</f>
        <v>39.375</v>
      </c>
      <c r="G10" s="2364">
        <f>D10*1000000</f>
        <v>46875000</v>
      </c>
      <c r="H10" s="2364">
        <f>E10*1000000</f>
        <v>39375000</v>
      </c>
    </row>
    <row r="11" spans="1:8">
      <c r="A11" s="2347">
        <v>2</v>
      </c>
      <c r="B11" s="2365" t="s">
        <v>2190</v>
      </c>
      <c r="C11" s="2349" t="s">
        <v>2191</v>
      </c>
      <c r="D11" s="2369">
        <f>10*500000/1000000</f>
        <v>5</v>
      </c>
      <c r="E11" s="2369">
        <f>10*500000/1000000</f>
        <v>5</v>
      </c>
      <c r="G11" s="2364">
        <f t="shared" ref="G11:H15" si="1">D11*1000000</f>
        <v>5000000</v>
      </c>
      <c r="H11" s="2364">
        <f t="shared" si="1"/>
        <v>5000000</v>
      </c>
    </row>
    <row r="12" spans="1:8">
      <c r="A12" s="2347">
        <v>3</v>
      </c>
      <c r="B12" s="2365" t="s">
        <v>2192</v>
      </c>
      <c r="C12" s="2349" t="s">
        <v>2193</v>
      </c>
      <c r="D12" s="2369">
        <f>7.5*500000/1000000</f>
        <v>3.75</v>
      </c>
      <c r="E12" s="2369">
        <f>7.5*500000/1000000</f>
        <v>3.75</v>
      </c>
      <c r="G12" s="2364">
        <f t="shared" si="1"/>
        <v>3750000</v>
      </c>
      <c r="H12" s="2364">
        <f t="shared" si="1"/>
        <v>3750000</v>
      </c>
    </row>
    <row r="13" spans="1:8">
      <c r="A13" s="2347">
        <v>4</v>
      </c>
      <c r="B13" s="2365" t="s">
        <v>2194</v>
      </c>
      <c r="C13" s="2365" t="s">
        <v>2195</v>
      </c>
      <c r="D13" s="2369">
        <f>2*500000/1000000</f>
        <v>1</v>
      </c>
      <c r="E13" s="2369">
        <f>2*500000/1000000</f>
        <v>1</v>
      </c>
      <c r="G13" s="2364">
        <f t="shared" si="1"/>
        <v>1000000</v>
      </c>
      <c r="H13" s="2364">
        <f t="shared" si="1"/>
        <v>1000000</v>
      </c>
    </row>
    <row r="14" spans="1:8" ht="27.75">
      <c r="A14" s="2347">
        <v>5</v>
      </c>
      <c r="B14" s="2349" t="s">
        <v>2179</v>
      </c>
      <c r="C14" s="2349" t="s">
        <v>2196</v>
      </c>
      <c r="D14" s="2370">
        <f>14*500000/1500/1000000</f>
        <v>4.6666666666666671E-3</v>
      </c>
      <c r="E14" s="2370">
        <f>14*500000/1500/1000000</f>
        <v>4.6666666666666671E-3</v>
      </c>
      <c r="G14" s="2364">
        <f t="shared" si="1"/>
        <v>4666.666666666667</v>
      </c>
      <c r="H14" s="2364">
        <f t="shared" si="1"/>
        <v>4666.666666666667</v>
      </c>
    </row>
    <row r="15" spans="1:8" ht="27.75">
      <c r="A15" s="2347">
        <v>6</v>
      </c>
      <c r="B15" s="2349" t="s">
        <v>2197</v>
      </c>
      <c r="C15" s="2349" t="s">
        <v>2198</v>
      </c>
      <c r="D15" s="2370">
        <f>30*500000/1500/1000000</f>
        <v>0.01</v>
      </c>
      <c r="E15" s="2370">
        <f>30*500000/1500/1000000</f>
        <v>0.01</v>
      </c>
      <c r="G15" s="2364">
        <f t="shared" si="1"/>
        <v>10000</v>
      </c>
      <c r="H15" s="2364">
        <f t="shared" si="1"/>
        <v>10000</v>
      </c>
    </row>
    <row r="16" spans="1:8" ht="15.75" thickBot="1">
      <c r="A16" s="2347"/>
      <c r="B16" s="2349"/>
      <c r="C16" s="2349"/>
      <c r="D16" s="2368">
        <f>SUM(D10:D15)</f>
        <v>56.639666666666663</v>
      </c>
      <c r="E16" s="2368">
        <f>SUM(E10:E15)</f>
        <v>49.139666666666663</v>
      </c>
      <c r="G16" s="452">
        <f>SUM(G10:G15)</f>
        <v>56639666.666666664</v>
      </c>
      <c r="H16" s="452">
        <f>SUM(H10:H15)</f>
        <v>49139666.666666664</v>
      </c>
    </row>
    <row r="17" spans="4:8">
      <c r="G17" s="398">
        <f>G16/1000000</f>
        <v>56.639666666666663</v>
      </c>
      <c r="H17" s="398">
        <f>H16/1000000</f>
        <v>49.139666666666663</v>
      </c>
    </row>
    <row r="18" spans="4:8">
      <c r="D18" s="2366"/>
      <c r="E18" s="236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BE05F-5BCF-4C32-9862-37B2D2FC01E7}">
  <sheetPr codeName="Sheet52">
    <tabColor theme="5" tint="-0.249977111117893"/>
  </sheetPr>
  <dimension ref="A1:M25"/>
  <sheetViews>
    <sheetView topLeftCell="A5" workbookViewId="0">
      <selection activeCell="H21" sqref="H21"/>
    </sheetView>
  </sheetViews>
  <sheetFormatPr defaultRowHeight="15"/>
  <cols>
    <col min="1" max="1" width="4.03515625" style="965" bestFit="1" customWidth="1"/>
    <col min="2" max="2" width="18.29296875" style="2346" bestFit="1" customWidth="1"/>
    <col min="3" max="3" width="56.90234375" style="2346" bestFit="1" customWidth="1"/>
    <col min="4" max="4" width="17.3515625" style="2346" customWidth="1"/>
    <col min="5" max="5" width="13.046875" style="2346" customWidth="1"/>
    <col min="8" max="8" width="11.1640625" bestFit="1" customWidth="1"/>
    <col min="9" max="9" width="16.94921875" bestFit="1" customWidth="1"/>
    <col min="10" max="10" width="11.1640625" bestFit="1" customWidth="1"/>
    <col min="11" max="12" width="18.0234375" bestFit="1" customWidth="1"/>
    <col min="13" max="13" width="12.375" bestFit="1" customWidth="1"/>
  </cols>
  <sheetData>
    <row r="1" spans="1:13">
      <c r="B1" s="2346" t="s">
        <v>2165</v>
      </c>
    </row>
    <row r="2" spans="1:13">
      <c r="A2" s="2347" t="s">
        <v>2166</v>
      </c>
      <c r="B2" s="2348" t="s">
        <v>649</v>
      </c>
      <c r="C2" s="2348" t="s">
        <v>2167</v>
      </c>
      <c r="D2" s="2347" t="s">
        <v>2168</v>
      </c>
      <c r="E2" s="2347" t="s">
        <v>2169</v>
      </c>
      <c r="H2" t="s">
        <v>2170</v>
      </c>
      <c r="I2" t="s">
        <v>2169</v>
      </c>
    </row>
    <row r="3" spans="1:13">
      <c r="A3" s="2347">
        <v>1</v>
      </c>
      <c r="B3" s="2349" t="s">
        <v>2171</v>
      </c>
      <c r="C3" s="2349" t="s">
        <v>2172</v>
      </c>
      <c r="D3" s="2350">
        <f>1.5*20</f>
        <v>30</v>
      </c>
      <c r="E3" s="2350">
        <f>1.5*0.5</f>
        <v>0.75</v>
      </c>
      <c r="H3" s="1874">
        <f>(1+1.5)/2</f>
        <v>1.25</v>
      </c>
      <c r="I3" s="1874">
        <f>(1+1.5)/2</f>
        <v>1.25</v>
      </c>
    </row>
    <row r="4" spans="1:13" ht="41.25">
      <c r="A4" s="2347">
        <v>2</v>
      </c>
      <c r="B4" s="2349" t="s">
        <v>2173</v>
      </c>
      <c r="C4" s="2349" t="s">
        <v>2174</v>
      </c>
      <c r="D4" s="2350">
        <f>50000*60000/75/1000000</f>
        <v>40</v>
      </c>
      <c r="E4" s="2350">
        <f>50000*60000/75/1000000</f>
        <v>40</v>
      </c>
      <c r="H4" s="311">
        <f>H3*1000000</f>
        <v>1250000</v>
      </c>
      <c r="I4" s="311">
        <f>I3*1000000</f>
        <v>1250000</v>
      </c>
      <c r="K4" s="311"/>
    </row>
    <row r="5" spans="1:13" ht="27.75">
      <c r="A5" s="2347">
        <v>3</v>
      </c>
      <c r="B5" s="2349" t="s">
        <v>2175</v>
      </c>
      <c r="C5" s="2349" t="s">
        <v>2176</v>
      </c>
      <c r="D5" s="2350">
        <f>900000*0.5/1000000</f>
        <v>0.45</v>
      </c>
      <c r="E5" s="2350">
        <f>900000*0.5/1000000</f>
        <v>0.45</v>
      </c>
      <c r="G5">
        <v>1</v>
      </c>
      <c r="H5" s="413">
        <f>H4*20</f>
        <v>25000000</v>
      </c>
      <c r="I5" s="311">
        <f>I4*0.5</f>
        <v>625000</v>
      </c>
    </row>
    <row r="6" spans="1:13">
      <c r="A6" s="2347"/>
      <c r="B6" s="2349"/>
      <c r="C6" s="2349"/>
      <c r="D6" s="2351">
        <f>SUM(D3:D5)</f>
        <v>70.45</v>
      </c>
      <c r="E6" s="2351">
        <f>SUM(E3:E5)</f>
        <v>41.2</v>
      </c>
    </row>
    <row r="7" spans="1:13">
      <c r="B7" s="2352"/>
      <c r="C7" s="2352"/>
      <c r="G7">
        <v>2</v>
      </c>
      <c r="H7" s="311">
        <f>(50000)</f>
        <v>50000</v>
      </c>
      <c r="I7" s="311">
        <f>(50000)</f>
        <v>50000</v>
      </c>
      <c r="L7" s="311"/>
      <c r="M7" s="413"/>
    </row>
    <row r="8" spans="1:13">
      <c r="B8" s="2352"/>
      <c r="C8" s="2352"/>
    </row>
    <row r="9" spans="1:13">
      <c r="A9" s="2347"/>
      <c r="B9" s="2349" t="s">
        <v>1056</v>
      </c>
      <c r="C9" s="2349" t="s">
        <v>2167</v>
      </c>
      <c r="D9" s="2348" t="s">
        <v>2168</v>
      </c>
      <c r="E9" s="2348" t="s">
        <v>2169</v>
      </c>
      <c r="H9" s="311">
        <f>60000/75</f>
        <v>800</v>
      </c>
    </row>
    <row r="10" spans="1:13" ht="41.25">
      <c r="A10" s="2347">
        <v>1</v>
      </c>
      <c r="B10" s="2349" t="s">
        <v>2177</v>
      </c>
      <c r="C10" s="2349" t="s">
        <v>2178</v>
      </c>
      <c r="D10" s="2359">
        <f>(0.3+1.2)/2*(500000*1000)/1.6</f>
        <v>234375000</v>
      </c>
      <c r="E10" s="2350">
        <f>(0.3+1.2)/2*500000*1020/1.6/1000000</f>
        <v>239.0625</v>
      </c>
      <c r="J10" s="311">
        <f>500000/12</f>
        <v>41666.666666666664</v>
      </c>
    </row>
    <row r="11" spans="1:13" ht="27.75">
      <c r="A11" s="2347">
        <v>2</v>
      </c>
      <c r="B11" s="2349" t="s">
        <v>2179</v>
      </c>
      <c r="C11" s="2349" t="s">
        <v>2180</v>
      </c>
      <c r="D11" s="2353">
        <f>14*500000/1500/1000000</f>
        <v>4.6666666666666671E-3</v>
      </c>
      <c r="E11" s="2353">
        <f>14*500000/1500/1000000</f>
        <v>4.6666666666666671E-3</v>
      </c>
      <c r="H11">
        <v>1200</v>
      </c>
    </row>
    <row r="12" spans="1:13">
      <c r="A12" s="2347"/>
      <c r="B12" s="2349"/>
      <c r="C12" s="2349"/>
      <c r="D12" s="2351">
        <f>SUM(D10:D11)</f>
        <v>234375000.00466666</v>
      </c>
      <c r="E12" s="2351">
        <f>SUM(E10:E11)</f>
        <v>239.06716666666668</v>
      </c>
    </row>
    <row r="13" spans="1:13">
      <c r="H13" t="s">
        <v>2183</v>
      </c>
      <c r="I13" t="s">
        <v>2184</v>
      </c>
    </row>
    <row r="14" spans="1:13">
      <c r="H14">
        <v>60000</v>
      </c>
      <c r="I14" s="311">
        <f>(H14*50000)/75</f>
        <v>40000000</v>
      </c>
    </row>
    <row r="15" spans="1:13">
      <c r="G15" t="s">
        <v>2182</v>
      </c>
      <c r="H15">
        <v>75</v>
      </c>
      <c r="I15" s="978">
        <v>50000</v>
      </c>
    </row>
    <row r="16" spans="1:13">
      <c r="D16" s="2346" t="s">
        <v>2170</v>
      </c>
      <c r="E16" s="2346" t="s">
        <v>2181</v>
      </c>
    </row>
    <row r="17" spans="3:8">
      <c r="H17" s="2354">
        <f>(1500000+300000)/2</f>
        <v>900000</v>
      </c>
    </row>
    <row r="18" spans="3:8">
      <c r="C18" s="2348" t="s">
        <v>2171</v>
      </c>
      <c r="D18" s="2355">
        <f>H5</f>
        <v>25000000</v>
      </c>
      <c r="E18" s="2355">
        <f>I5</f>
        <v>625000</v>
      </c>
    </row>
    <row r="19" spans="3:8">
      <c r="C19" s="2348" t="s">
        <v>2173</v>
      </c>
      <c r="D19" s="2355">
        <f>I14</f>
        <v>40000000</v>
      </c>
      <c r="E19" s="2355">
        <f>I14</f>
        <v>40000000</v>
      </c>
      <c r="H19" s="2346">
        <f>(0.3+1.2)/2</f>
        <v>0.75</v>
      </c>
    </row>
    <row r="20" spans="3:8">
      <c r="C20" s="2348" t="s">
        <v>2175</v>
      </c>
      <c r="D20" s="2355">
        <f>0.5*H17</f>
        <v>450000</v>
      </c>
      <c r="E20" s="2355">
        <f>0.5*H17</f>
        <v>450000</v>
      </c>
      <c r="H20" s="311">
        <v>500000</v>
      </c>
    </row>
    <row r="21" spans="3:8">
      <c r="C21" s="2348" t="s">
        <v>71</v>
      </c>
      <c r="D21" s="2355">
        <f>SUM(D18:D20)</f>
        <v>65450000</v>
      </c>
      <c r="E21" s="2355">
        <f>SUM(E18:E20)</f>
        <v>41075000</v>
      </c>
      <c r="H21" s="413">
        <f>H20*H19</f>
        <v>375000</v>
      </c>
    </row>
    <row r="23" spans="3:8">
      <c r="C23" s="2356" t="s">
        <v>567</v>
      </c>
      <c r="D23" s="2357" t="s">
        <v>2170</v>
      </c>
      <c r="E23" s="2357" t="s">
        <v>2181</v>
      </c>
    </row>
    <row r="24" spans="3:8">
      <c r="C24" s="2349" t="s">
        <v>2177</v>
      </c>
      <c r="D24" s="2348"/>
      <c r="E24" s="2348"/>
    </row>
    <row r="25" spans="3:8">
      <c r="C25" s="2349" t="s">
        <v>2179</v>
      </c>
      <c r="D25" s="2348"/>
      <c r="E25" s="234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7DD3E-9DCF-48CA-8A08-5F26EDEA6906}">
  <sheetPr codeName="Sheet61"/>
  <dimension ref="C1:V93"/>
  <sheetViews>
    <sheetView topLeftCell="A17" workbookViewId="0">
      <selection activeCell="E26" sqref="E26"/>
    </sheetView>
  </sheetViews>
  <sheetFormatPr defaultRowHeight="15"/>
  <cols>
    <col min="4" max="4" width="33.2265625" customWidth="1"/>
    <col min="5" max="5" width="14.9296875" bestFit="1" customWidth="1"/>
    <col min="6" max="6" width="28.25" customWidth="1"/>
    <col min="7" max="7" width="27.44140625" customWidth="1"/>
    <col min="8" max="8" width="22.05859375" customWidth="1"/>
    <col min="9" max="9" width="18.4296875" customWidth="1"/>
    <col min="10" max="10" width="36.859375" customWidth="1"/>
    <col min="11" max="11" width="17.75390625" customWidth="1"/>
    <col min="12" max="12" width="19.50390625" customWidth="1"/>
    <col min="13" max="13" width="13.85546875" bestFit="1" customWidth="1"/>
    <col min="14" max="14" width="17.3515625" customWidth="1"/>
    <col min="15" max="15" width="19.50390625" customWidth="1"/>
    <col min="17" max="17" width="20.984375" customWidth="1"/>
    <col min="18" max="18" width="19.90625" customWidth="1"/>
    <col min="20" max="20" width="20.84765625" customWidth="1"/>
    <col min="21" max="21" width="28.3828125" customWidth="1"/>
    <col min="22" max="22" width="22.8671875" customWidth="1"/>
  </cols>
  <sheetData>
    <row r="1" spans="9:15">
      <c r="K1" s="2111">
        <f>SUM(K2:K5)</f>
        <v>3.5</v>
      </c>
      <c r="L1" s="2111">
        <f>SUM(L2:L5)</f>
        <v>3.5010000000000003</v>
      </c>
      <c r="M1" s="2111">
        <f>SUM(M2:M5)</f>
        <v>3.5</v>
      </c>
      <c r="N1" s="2111">
        <f>SUM(N2:N5)</f>
        <v>3.5</v>
      </c>
      <c r="O1" s="2111">
        <f>SUM(O2:O5)</f>
        <v>3.5</v>
      </c>
    </row>
    <row r="2" spans="9:15">
      <c r="I2" t="s">
        <v>2074</v>
      </c>
      <c r="K2" s="2111">
        <v>1</v>
      </c>
      <c r="L2" s="2111">
        <v>1.167</v>
      </c>
      <c r="M2" s="2111">
        <v>1.5</v>
      </c>
      <c r="N2" s="2111">
        <v>1.5</v>
      </c>
      <c r="O2" s="2111">
        <v>1.75</v>
      </c>
    </row>
    <row r="3" spans="9:15">
      <c r="I3" t="s">
        <v>1900</v>
      </c>
      <c r="K3" s="2111">
        <v>1</v>
      </c>
      <c r="L3" s="2111">
        <v>1.167</v>
      </c>
      <c r="M3" s="2111">
        <v>1</v>
      </c>
      <c r="N3" s="2111">
        <v>1.5</v>
      </c>
      <c r="O3" s="2111">
        <v>1.75</v>
      </c>
    </row>
    <row r="4" spans="9:15">
      <c r="I4" t="s">
        <v>1901</v>
      </c>
      <c r="K4" s="2111"/>
      <c r="L4" s="2111">
        <v>1.167</v>
      </c>
      <c r="M4" s="2111"/>
      <c r="N4" s="2111"/>
      <c r="O4" s="2111"/>
    </row>
    <row r="5" spans="9:15">
      <c r="I5" t="s">
        <v>1902</v>
      </c>
      <c r="K5">
        <v>1.5</v>
      </c>
      <c r="L5">
        <v>0</v>
      </c>
      <c r="M5">
        <v>1</v>
      </c>
      <c r="N5">
        <v>0.5</v>
      </c>
      <c r="O5">
        <v>0</v>
      </c>
    </row>
    <row r="6" spans="9:15">
      <c r="I6" t="s">
        <v>892</v>
      </c>
    </row>
    <row r="8" spans="9:15">
      <c r="I8" t="s">
        <v>1894</v>
      </c>
    </row>
    <row r="9" spans="9:15">
      <c r="I9" t="s">
        <v>1900</v>
      </c>
      <c r="K9" s="311">
        <v>2353500</v>
      </c>
      <c r="L9" s="311">
        <v>2553000</v>
      </c>
      <c r="M9" s="311">
        <v>2353500</v>
      </c>
      <c r="N9" s="311">
        <v>2353500</v>
      </c>
      <c r="O9" s="311">
        <f>7977500/2</f>
        <v>3988750</v>
      </c>
    </row>
    <row r="10" spans="9:15">
      <c r="I10" t="s">
        <v>1901</v>
      </c>
      <c r="K10" s="311">
        <v>1604500</v>
      </c>
      <c r="L10" s="311">
        <v>2696500</v>
      </c>
      <c r="M10" s="311">
        <v>1604500</v>
      </c>
      <c r="N10" s="311">
        <v>2353500</v>
      </c>
      <c r="O10" s="311">
        <f>7977500/2</f>
        <v>3988750</v>
      </c>
    </row>
    <row r="11" spans="9:15">
      <c r="I11" t="s">
        <v>1902</v>
      </c>
      <c r="K11" s="978">
        <v>0</v>
      </c>
      <c r="L11" s="311">
        <v>2696500</v>
      </c>
      <c r="M11" s="311">
        <v>0</v>
      </c>
      <c r="N11" s="311">
        <v>0</v>
      </c>
      <c r="O11" s="311">
        <v>0</v>
      </c>
    </row>
    <row r="12" spans="9:15">
      <c r="K12" s="311">
        <v>5087500</v>
      </c>
      <c r="M12" s="311">
        <v>3479500</v>
      </c>
      <c r="N12" s="311">
        <v>2964500</v>
      </c>
      <c r="O12">
        <v>0</v>
      </c>
    </row>
    <row r="13" spans="9:15" ht="15.75" thickBot="1">
      <c r="K13" s="452">
        <f>SUM(K9:K12)</f>
        <v>9045500</v>
      </c>
      <c r="L13" s="421">
        <f>SUM(L9:L12)</f>
        <v>7946000</v>
      </c>
      <c r="M13" s="421">
        <f>SUM(M9:M12)</f>
        <v>7437500</v>
      </c>
      <c r="N13" s="421">
        <f>SUM(N9:N12)</f>
        <v>7671500</v>
      </c>
      <c r="O13" s="421">
        <f>SUM(O9:O12)</f>
        <v>7977500</v>
      </c>
    </row>
    <row r="14" spans="9:15">
      <c r="I14" t="s">
        <v>867</v>
      </c>
      <c r="J14" s="395">
        <v>0.7</v>
      </c>
      <c r="K14" s="413">
        <f>K13*J14</f>
        <v>6331850</v>
      </c>
      <c r="M14" s="413">
        <f>M13*J14</f>
        <v>5206250</v>
      </c>
      <c r="N14" s="413">
        <f>J14*N13</f>
        <v>5370050</v>
      </c>
    </row>
    <row r="15" spans="9:15">
      <c r="I15" t="s">
        <v>892</v>
      </c>
      <c r="J15" s="395">
        <f>1-J14</f>
        <v>0.30000000000000004</v>
      </c>
      <c r="K15" s="413">
        <f>K13*J15</f>
        <v>2713650.0000000005</v>
      </c>
      <c r="M15" s="413">
        <f>M13*J15</f>
        <v>2231250.0000000005</v>
      </c>
      <c r="N15" s="413">
        <f>J15*N13</f>
        <v>2301450.0000000005</v>
      </c>
    </row>
    <row r="16" spans="9:15">
      <c r="J16" s="395"/>
      <c r="K16" s="413"/>
    </row>
    <row r="17" spans="4:15">
      <c r="I17" t="s">
        <v>1900</v>
      </c>
      <c r="K17" s="311">
        <f>0.4*K13</f>
        <v>3618200</v>
      </c>
      <c r="L17" s="1879">
        <f>0.4*L13</f>
        <v>3178400</v>
      </c>
      <c r="M17" s="1879">
        <f>0.4*M13</f>
        <v>2975000</v>
      </c>
      <c r="N17" s="1879">
        <f>0.4*N13</f>
        <v>3068600</v>
      </c>
      <c r="O17" s="311">
        <f>O13*0.6</f>
        <v>4786500</v>
      </c>
    </row>
    <row r="18" spans="4:15">
      <c r="I18" t="s">
        <v>1901</v>
      </c>
      <c r="K18" s="311">
        <f>0.3*K13</f>
        <v>2713650</v>
      </c>
      <c r="L18" s="1879">
        <f>0.3*L13</f>
        <v>2383800</v>
      </c>
      <c r="M18" s="1879">
        <f>M13*0.3</f>
        <v>2231250</v>
      </c>
      <c r="N18" s="1879">
        <f>0.3*N13</f>
        <v>2301450</v>
      </c>
      <c r="O18" s="311">
        <f>0.4*O13</f>
        <v>3191000</v>
      </c>
    </row>
    <row r="19" spans="4:15">
      <c r="I19" t="s">
        <v>1902</v>
      </c>
      <c r="K19" s="311"/>
      <c r="L19" s="1879">
        <f>0.3*L13</f>
        <v>2383800</v>
      </c>
      <c r="M19" s="1879"/>
    </row>
    <row r="20" spans="4:15" ht="15.75" thickBot="1">
      <c r="I20" t="s">
        <v>892</v>
      </c>
      <c r="K20" s="311">
        <f>K15</f>
        <v>2713650.0000000005</v>
      </c>
      <c r="L20" s="978">
        <v>0</v>
      </c>
      <c r="M20" s="1879">
        <f>M13*0.3</f>
        <v>2231250</v>
      </c>
      <c r="N20" s="1879">
        <f>0.3*N13</f>
        <v>2301450</v>
      </c>
      <c r="O20" s="978">
        <v>0</v>
      </c>
    </row>
    <row r="21" spans="4:15" ht="15.75" thickBot="1">
      <c r="D21" s="925" t="s">
        <v>1928</v>
      </c>
      <c r="E21" s="1901">
        <v>500</v>
      </c>
      <c r="I21" s="396" t="s">
        <v>71</v>
      </c>
      <c r="J21" s="396"/>
      <c r="K21" s="452">
        <f>SUM(K17:K20)</f>
        <v>9045500</v>
      </c>
      <c r="L21" s="452">
        <f>SUM(L17:L20)</f>
        <v>7946000</v>
      </c>
      <c r="M21" s="452">
        <f>SUM(M17:M20)</f>
        <v>7437500</v>
      </c>
      <c r="N21" s="452">
        <f>SUM(N17:N20)</f>
        <v>7671500</v>
      </c>
      <c r="O21" s="452">
        <f>SUM(O17:O20)</f>
        <v>7977500</v>
      </c>
    </row>
    <row r="22" spans="4:15">
      <c r="D22" s="472"/>
      <c r="E22" s="2112"/>
      <c r="K22" s="413"/>
      <c r="L22" s="413"/>
      <c r="M22" s="413"/>
    </row>
    <row r="23" spans="4:15">
      <c r="D23" s="472"/>
      <c r="E23" s="2112"/>
      <c r="K23" s="413">
        <f>K13-K21</f>
        <v>0</v>
      </c>
      <c r="L23" s="413"/>
      <c r="M23" s="413"/>
    </row>
    <row r="24" spans="4:15">
      <c r="D24" s="1902" t="s">
        <v>1929</v>
      </c>
      <c r="E24" s="458"/>
    </row>
    <row r="25" spans="4:15">
      <c r="D25" s="459" t="s">
        <v>2349</v>
      </c>
      <c r="E25" s="461">
        <v>5000000</v>
      </c>
      <c r="I25" t="s">
        <v>655</v>
      </c>
      <c r="K25" s="1874">
        <f>SUM(K27:K28)</f>
        <v>2</v>
      </c>
      <c r="L25" s="1873">
        <f>SUM(L27:L29)</f>
        <v>3.5010000000000003</v>
      </c>
      <c r="M25" s="1874">
        <f>SUM(M27:M28)</f>
        <v>2.5</v>
      </c>
      <c r="N25" s="1874">
        <f>SUM(N27:N28)</f>
        <v>3</v>
      </c>
      <c r="O25" s="1874">
        <f>SUM(O27:O28)</f>
        <v>3.5</v>
      </c>
    </row>
    <row r="26" spans="4:15">
      <c r="D26" s="459" t="s">
        <v>2350</v>
      </c>
      <c r="E26" s="461">
        <v>3000000</v>
      </c>
    </row>
    <row r="27" spans="4:15" ht="15.75" thickBot="1">
      <c r="D27" s="460"/>
      <c r="E27" s="1340"/>
      <c r="I27" t="s">
        <v>1900</v>
      </c>
      <c r="K27" s="1874">
        <v>1</v>
      </c>
      <c r="L27" s="1874">
        <v>1.167</v>
      </c>
      <c r="M27" s="1874">
        <v>1.5</v>
      </c>
      <c r="N27" s="1874">
        <v>1.5</v>
      </c>
      <c r="O27" s="1874">
        <v>1.75</v>
      </c>
    </row>
    <row r="28" spans="4:15">
      <c r="I28" t="s">
        <v>1901</v>
      </c>
      <c r="K28" s="1874">
        <v>1</v>
      </c>
      <c r="L28" s="1874">
        <v>1.167</v>
      </c>
      <c r="M28" s="1874">
        <v>1</v>
      </c>
      <c r="N28" s="1874">
        <v>1.5</v>
      </c>
      <c r="O28" s="1874">
        <v>1.75</v>
      </c>
    </row>
    <row r="29" spans="4:15">
      <c r="I29" t="s">
        <v>1902</v>
      </c>
      <c r="L29" s="1874">
        <v>1.167</v>
      </c>
    </row>
    <row r="31" spans="4:15">
      <c r="I31" t="s">
        <v>1894</v>
      </c>
    </row>
    <row r="32" spans="4:15">
      <c r="I32" t="s">
        <v>1900</v>
      </c>
      <c r="J32" t="s">
        <v>207</v>
      </c>
      <c r="K32" s="311">
        <f>'Capex Phasing Urea'!G42</f>
        <v>15955000</v>
      </c>
      <c r="L32" s="311">
        <f>'Capex Phasing Urea'!AR43</f>
        <v>0</v>
      </c>
      <c r="M32" s="311">
        <f>'Capex Phasing Urea'!P42</f>
        <v>15955000</v>
      </c>
      <c r="N32" s="311">
        <f>'Capex Phasing Urea'!Y42</f>
        <v>4707000</v>
      </c>
      <c r="O32" s="311">
        <f>'Capex Phasing Urea'!AH42</f>
        <v>0</v>
      </c>
    </row>
    <row r="33" spans="3:16">
      <c r="I33" t="s">
        <v>1901</v>
      </c>
      <c r="J33" t="s">
        <v>207</v>
      </c>
      <c r="K33" s="311">
        <f>'Capex Phasing Urea'!H42</f>
        <v>3209000</v>
      </c>
      <c r="L33" s="311">
        <f>'Capex Phasing Urea'!AS43</f>
        <v>0</v>
      </c>
      <c r="M33" s="311">
        <f>'Capex Phasing Urea'!Q42</f>
        <v>15955000</v>
      </c>
      <c r="N33" s="311">
        <f>'Capex Phasing Urea'!Z42</f>
        <v>3209000</v>
      </c>
      <c r="O33" s="311">
        <f>'Capex Phasing Urea'!AI42</f>
        <v>0</v>
      </c>
    </row>
    <row r="34" spans="3:16">
      <c r="I34" t="s">
        <v>1902</v>
      </c>
      <c r="L34" s="311">
        <f>'Capex Phasing Urea'!AT43</f>
        <v>0</v>
      </c>
    </row>
    <row r="35" spans="3:16" ht="15.75" thickBot="1">
      <c r="J35" t="s">
        <v>207</v>
      </c>
      <c r="K35" s="985">
        <f t="shared" ref="K35:P35" si="0">SUM(K32:K33)</f>
        <v>19164000</v>
      </c>
      <c r="L35" s="985">
        <f t="shared" si="0"/>
        <v>0</v>
      </c>
      <c r="M35" s="985">
        <f t="shared" si="0"/>
        <v>31910000</v>
      </c>
      <c r="N35" s="985">
        <f t="shared" si="0"/>
        <v>7916000</v>
      </c>
      <c r="O35" s="985">
        <f t="shared" si="0"/>
        <v>0</v>
      </c>
      <c r="P35" s="311">
        <f t="shared" si="0"/>
        <v>0</v>
      </c>
    </row>
    <row r="36" spans="3:16" ht="15.75" thickTop="1"/>
    <row r="38" spans="3:16">
      <c r="K38" s="1875">
        <f t="shared" ref="K38:O39" si="1">K32/K27</f>
        <v>15955000</v>
      </c>
      <c r="L38" s="1875">
        <f t="shared" si="1"/>
        <v>0</v>
      </c>
      <c r="M38" s="1875">
        <f t="shared" si="1"/>
        <v>10636666.666666666</v>
      </c>
      <c r="N38" s="1875">
        <f t="shared" si="1"/>
        <v>3138000</v>
      </c>
      <c r="O38" s="1875">
        <f t="shared" si="1"/>
        <v>0</v>
      </c>
    </row>
    <row r="39" spans="3:16" ht="15.75" thickBot="1">
      <c r="K39" s="311">
        <f t="shared" si="1"/>
        <v>3209000</v>
      </c>
      <c r="L39" s="311">
        <f t="shared" si="1"/>
        <v>0</v>
      </c>
      <c r="M39" s="311">
        <f t="shared" si="1"/>
        <v>15955000</v>
      </c>
      <c r="N39" s="311">
        <f t="shared" si="1"/>
        <v>2139333.3333333335</v>
      </c>
      <c r="O39" s="311">
        <f t="shared" si="1"/>
        <v>0</v>
      </c>
    </row>
    <row r="40" spans="3:16">
      <c r="C40" s="1886"/>
      <c r="D40" s="1897"/>
      <c r="E40" s="1897"/>
      <c r="F40" s="1897"/>
      <c r="G40" s="1892"/>
      <c r="L40" s="311">
        <f>L34/L29</f>
        <v>0</v>
      </c>
    </row>
    <row r="41" spans="3:16">
      <c r="C41" s="297"/>
      <c r="D41" s="394"/>
      <c r="E41" s="394" t="s">
        <v>867</v>
      </c>
      <c r="F41" s="394"/>
      <c r="G41" s="444" t="s">
        <v>863</v>
      </c>
    </row>
    <row r="42" spans="3:16">
      <c r="C42" s="297" t="s">
        <v>1915</v>
      </c>
      <c r="D42" s="393">
        <f>(4500000*500)/1500</f>
        <v>1500000</v>
      </c>
      <c r="E42" s="1898">
        <f>D42*0.7</f>
        <v>1050000</v>
      </c>
      <c r="F42" s="1898"/>
      <c r="G42" s="1899">
        <f>D42*0.3</f>
        <v>450000</v>
      </c>
    </row>
    <row r="43" spans="3:16">
      <c r="C43" s="297"/>
      <c r="D43" s="394"/>
      <c r="E43" s="394"/>
      <c r="F43" s="394"/>
      <c r="G43" s="1899"/>
    </row>
    <row r="44" spans="3:16">
      <c r="C44" s="297"/>
      <c r="D44" s="442">
        <f>D42</f>
        <v>1500000</v>
      </c>
      <c r="E44" s="1898">
        <f>0.7*D44</f>
        <v>1050000</v>
      </c>
      <c r="F44" s="1898"/>
      <c r="G44" s="1899">
        <f>0.3*D44</f>
        <v>450000</v>
      </c>
    </row>
    <row r="45" spans="3:16">
      <c r="C45" s="297"/>
      <c r="D45" s="394"/>
      <c r="E45" s="394"/>
      <c r="F45" s="394"/>
      <c r="G45" s="1899"/>
      <c r="K45">
        <v>0.5</v>
      </c>
      <c r="L45" s="978">
        <v>1</v>
      </c>
      <c r="M45" s="923">
        <v>1.5</v>
      </c>
    </row>
    <row r="46" spans="3:16">
      <c r="C46" s="297"/>
      <c r="D46" s="442">
        <f>D44</f>
        <v>1500000</v>
      </c>
      <c r="E46" s="442">
        <f>D46*0.7</f>
        <v>1050000</v>
      </c>
      <c r="F46" s="442"/>
      <c r="G46" s="1899">
        <f>0.3*D46</f>
        <v>450000</v>
      </c>
      <c r="I46" t="s">
        <v>892</v>
      </c>
      <c r="K46" s="311">
        <f>'Capex Phasing Methanol'!F35</f>
        <v>5501200</v>
      </c>
      <c r="L46" s="311">
        <f>'Capex Phasing Methanol'!O35</f>
        <v>4687000</v>
      </c>
      <c r="M46" s="311">
        <f>'Capex Phasing Methanol'!X35</f>
        <v>8043600</v>
      </c>
    </row>
    <row r="47" spans="3:16">
      <c r="C47" s="297"/>
      <c r="D47" s="394"/>
      <c r="E47" s="394"/>
      <c r="F47" s="394"/>
      <c r="G47" s="444"/>
    </row>
    <row r="48" spans="3:16" ht="15.75" thickBot="1">
      <c r="C48" s="299"/>
      <c r="D48" s="300"/>
      <c r="E48" s="300"/>
      <c r="F48" s="300"/>
      <c r="G48" s="301"/>
      <c r="K48" s="311"/>
      <c r="L48" s="311"/>
      <c r="M48" s="311"/>
    </row>
    <row r="51" spans="4:22">
      <c r="H51" s="987" t="s">
        <v>1913</v>
      </c>
      <c r="I51" s="987" t="s">
        <v>1914</v>
      </c>
      <c r="K51" s="987" t="s">
        <v>1917</v>
      </c>
      <c r="L51" s="987" t="s">
        <v>1914</v>
      </c>
      <c r="N51" s="1881" t="s">
        <v>1917</v>
      </c>
      <c r="O51" s="1881" t="s">
        <v>1918</v>
      </c>
      <c r="Q51" s="1881" t="s">
        <v>1919</v>
      </c>
      <c r="R51" s="1881" t="s">
        <v>1920</v>
      </c>
      <c r="T51" s="1883" t="s">
        <v>1921</v>
      </c>
      <c r="U51" s="1883" t="s">
        <v>1922</v>
      </c>
      <c r="V51" s="1883" t="s">
        <v>1923</v>
      </c>
    </row>
    <row r="52" spans="4:22">
      <c r="H52" s="1880">
        <f>K32</f>
        <v>15955000</v>
      </c>
      <c r="I52" s="1880">
        <f>K33</f>
        <v>3209000</v>
      </c>
      <c r="K52" s="413">
        <f>M32</f>
        <v>15955000</v>
      </c>
      <c r="L52" s="413">
        <f>M33</f>
        <v>15955000</v>
      </c>
      <c r="N52" s="413">
        <f>N32</f>
        <v>4707000</v>
      </c>
      <c r="O52" s="413">
        <f>N33</f>
        <v>3209000</v>
      </c>
      <c r="Q52" s="413">
        <f>O32</f>
        <v>0</v>
      </c>
      <c r="R52" s="413">
        <f>O33</f>
        <v>0</v>
      </c>
      <c r="T52" s="413">
        <f>L32</f>
        <v>0</v>
      </c>
      <c r="U52" s="413">
        <f>L33</f>
        <v>0</v>
      </c>
      <c r="V52" s="413">
        <f>L34</f>
        <v>0</v>
      </c>
    </row>
    <row r="53" spans="4:22">
      <c r="D53" t="s">
        <v>1916</v>
      </c>
      <c r="H53" s="1879">
        <f>0.7*E42</f>
        <v>735000</v>
      </c>
      <c r="I53" s="1879">
        <f>0.3*E42</f>
        <v>315000</v>
      </c>
      <c r="K53" s="1879">
        <f>0.7*E42</f>
        <v>735000</v>
      </c>
      <c r="L53" s="1879">
        <f>0.3*E42</f>
        <v>315000</v>
      </c>
      <c r="N53" s="311">
        <f>E44*0.6</f>
        <v>630000</v>
      </c>
      <c r="O53" s="311">
        <f>0.4*E44</f>
        <v>420000</v>
      </c>
      <c r="Q53" s="413">
        <f>E46</f>
        <v>1050000</v>
      </c>
      <c r="R53" s="413">
        <f>G46</f>
        <v>450000</v>
      </c>
      <c r="T53" s="311">
        <f>0.4*1500000</f>
        <v>600000</v>
      </c>
      <c r="U53" s="311">
        <f>0.3*1500000</f>
        <v>450000</v>
      </c>
      <c r="V53" s="311">
        <f>0.3*1500000</f>
        <v>450000</v>
      </c>
    </row>
    <row r="54" spans="4:22" ht="15.75" thickBot="1">
      <c r="H54" s="1891">
        <f>H52-H53</f>
        <v>15220000</v>
      </c>
      <c r="I54" s="1891">
        <f>I52-I53</f>
        <v>2894000</v>
      </c>
      <c r="K54" s="452">
        <f>K52-K53</f>
        <v>15220000</v>
      </c>
      <c r="L54" s="452">
        <f>L52-L53</f>
        <v>15640000</v>
      </c>
      <c r="N54" s="452">
        <f>N52-N53</f>
        <v>4077000</v>
      </c>
      <c r="O54" s="452">
        <f>O52-O53</f>
        <v>2789000</v>
      </c>
      <c r="Q54" s="1884">
        <f>Q52-Q53</f>
        <v>-1050000</v>
      </c>
      <c r="R54" s="1884">
        <f>R52-R53</f>
        <v>-450000</v>
      </c>
      <c r="T54" s="1884">
        <f>T52-T53</f>
        <v>-600000</v>
      </c>
      <c r="U54" s="1884">
        <f>U52-U53</f>
        <v>-450000</v>
      </c>
      <c r="V54" s="1884">
        <f>V52-V53</f>
        <v>-450000</v>
      </c>
    </row>
    <row r="55" spans="4:22" ht="15.75" thickBot="1">
      <c r="G55" s="251" t="s">
        <v>1924</v>
      </c>
      <c r="H55" s="310" t="s">
        <v>1913</v>
      </c>
      <c r="I55" s="465" t="s">
        <v>1914</v>
      </c>
    </row>
    <row r="56" spans="4:22">
      <c r="D56" t="s">
        <v>1915</v>
      </c>
      <c r="G56" s="1886" t="s">
        <v>1915</v>
      </c>
      <c r="H56" s="1887">
        <f>H53</f>
        <v>735000</v>
      </c>
      <c r="I56" s="1888">
        <f>I53</f>
        <v>315000</v>
      </c>
      <c r="J56" s="1886" t="s">
        <v>1915</v>
      </c>
      <c r="K56" s="1879">
        <f>K53</f>
        <v>735000</v>
      </c>
      <c r="L56" s="1879">
        <f>L53</f>
        <v>315000</v>
      </c>
      <c r="M56" s="1886" t="s">
        <v>1915</v>
      </c>
      <c r="N56" s="413">
        <f>N53</f>
        <v>630000</v>
      </c>
      <c r="O56" s="413">
        <f>O53</f>
        <v>420000</v>
      </c>
      <c r="P56" s="1886" t="s">
        <v>1915</v>
      </c>
      <c r="Q56" s="413">
        <f>Q53</f>
        <v>1050000</v>
      </c>
      <c r="R56" s="413">
        <f>R53</f>
        <v>450000</v>
      </c>
      <c r="S56" s="1886" t="s">
        <v>1915</v>
      </c>
      <c r="T56" s="413">
        <f>T53</f>
        <v>600000</v>
      </c>
      <c r="U56" s="413">
        <f>U53</f>
        <v>450000</v>
      </c>
      <c r="V56" s="413">
        <f>V53</f>
        <v>450000</v>
      </c>
    </row>
    <row r="57" spans="4:22">
      <c r="D57" s="1877" t="s">
        <v>1903</v>
      </c>
      <c r="E57" s="1885">
        <v>0.05</v>
      </c>
      <c r="G57" s="1889" t="s">
        <v>1903</v>
      </c>
      <c r="H57" s="442">
        <f>$H$54*E57</f>
        <v>761000</v>
      </c>
      <c r="I57" s="443">
        <f>$I$54*E57</f>
        <v>144700</v>
      </c>
      <c r="J57" s="1889" t="s">
        <v>1903</v>
      </c>
      <c r="K57" s="413">
        <f>E57*$K$54</f>
        <v>761000</v>
      </c>
      <c r="L57" s="413">
        <f>E57*$L$54</f>
        <v>782000</v>
      </c>
      <c r="M57" s="1889" t="s">
        <v>1903</v>
      </c>
      <c r="N57" s="413">
        <f t="shared" ref="N57:N67" si="2">E57*$N$54</f>
        <v>203850</v>
      </c>
      <c r="O57" s="413">
        <f t="shared" ref="O57:O67" si="3">E57*$O$54</f>
        <v>139450</v>
      </c>
      <c r="P57" s="1889" t="s">
        <v>1903</v>
      </c>
      <c r="Q57" s="311">
        <f>E57*$Q$54</f>
        <v>-52500</v>
      </c>
      <c r="R57" s="413">
        <f>$R$54*E57</f>
        <v>-22500</v>
      </c>
      <c r="S57" s="1889" t="s">
        <v>1903</v>
      </c>
      <c r="T57" s="413">
        <f>$T$54*E57</f>
        <v>-30000</v>
      </c>
      <c r="U57" s="413">
        <f t="shared" ref="U57:U67" si="4">$U$54*E57</f>
        <v>-22500</v>
      </c>
      <c r="V57" s="413">
        <f t="shared" ref="V57:V67" si="5">$V$54*E57</f>
        <v>-22500</v>
      </c>
    </row>
    <row r="58" spans="4:22">
      <c r="D58" s="1878" t="s">
        <v>1904</v>
      </c>
      <c r="E58" s="1885">
        <v>0.1</v>
      </c>
      <c r="G58" s="1890" t="s">
        <v>1904</v>
      </c>
      <c r="H58" s="442">
        <f t="shared" ref="H58:H67" si="6">$H$54*E58</f>
        <v>1522000</v>
      </c>
      <c r="I58" s="443">
        <f t="shared" ref="I58:I67" si="7">$I$54*E58</f>
        <v>289400</v>
      </c>
      <c r="J58" s="1890" t="s">
        <v>1904</v>
      </c>
      <c r="K58" s="413">
        <f t="shared" ref="K58:K67" si="8">E58*$K$54</f>
        <v>1522000</v>
      </c>
      <c r="L58" s="413">
        <f t="shared" ref="L58:L67" si="9">E58*$L$54</f>
        <v>1564000</v>
      </c>
      <c r="M58" s="1890" t="s">
        <v>1904</v>
      </c>
      <c r="N58" s="413">
        <f t="shared" si="2"/>
        <v>407700</v>
      </c>
      <c r="O58" s="413">
        <f t="shared" si="3"/>
        <v>278900</v>
      </c>
      <c r="P58" s="1890" t="s">
        <v>1904</v>
      </c>
      <c r="Q58" s="311">
        <f t="shared" ref="Q58:Q67" si="10">E58*$Q$54</f>
        <v>-105000</v>
      </c>
      <c r="R58" s="413">
        <f t="shared" ref="R58:R67" si="11">$R$54*E58</f>
        <v>-45000</v>
      </c>
      <c r="S58" s="1890" t="s">
        <v>1904</v>
      </c>
      <c r="T58" s="413">
        <f t="shared" ref="T58:T67" si="12">$T$54*E58</f>
        <v>-60000</v>
      </c>
      <c r="U58" s="413">
        <f t="shared" si="4"/>
        <v>-45000</v>
      </c>
      <c r="V58" s="413">
        <f t="shared" si="5"/>
        <v>-45000</v>
      </c>
    </row>
    <row r="59" spans="4:22">
      <c r="D59" s="1878" t="s">
        <v>1905</v>
      </c>
      <c r="E59" s="1885">
        <v>0.05</v>
      </c>
      <c r="G59" s="1890" t="s">
        <v>1905</v>
      </c>
      <c r="H59" s="442">
        <f t="shared" si="6"/>
        <v>761000</v>
      </c>
      <c r="I59" s="443">
        <f t="shared" si="7"/>
        <v>144700</v>
      </c>
      <c r="J59" s="1890" t="s">
        <v>1905</v>
      </c>
      <c r="K59" s="413">
        <f t="shared" si="8"/>
        <v>761000</v>
      </c>
      <c r="L59" s="413">
        <f t="shared" si="9"/>
        <v>782000</v>
      </c>
      <c r="M59" s="1890" t="s">
        <v>1905</v>
      </c>
      <c r="N59" s="413">
        <f t="shared" si="2"/>
        <v>203850</v>
      </c>
      <c r="O59" s="413">
        <f t="shared" si="3"/>
        <v>139450</v>
      </c>
      <c r="P59" s="1890" t="s">
        <v>1905</v>
      </c>
      <c r="Q59" s="311">
        <f t="shared" si="10"/>
        <v>-52500</v>
      </c>
      <c r="R59" s="413">
        <f t="shared" si="11"/>
        <v>-22500</v>
      </c>
      <c r="S59" s="1890" t="s">
        <v>1905</v>
      </c>
      <c r="T59" s="413">
        <f t="shared" si="12"/>
        <v>-30000</v>
      </c>
      <c r="U59" s="413">
        <f t="shared" si="4"/>
        <v>-22500</v>
      </c>
      <c r="V59" s="413">
        <f t="shared" si="5"/>
        <v>-22500</v>
      </c>
    </row>
    <row r="60" spans="4:22">
      <c r="D60" s="1878" t="s">
        <v>1906</v>
      </c>
      <c r="E60" s="1885">
        <v>0.35</v>
      </c>
      <c r="G60" s="1890" t="s">
        <v>1906</v>
      </c>
      <c r="H60" s="442">
        <f t="shared" si="6"/>
        <v>5327000</v>
      </c>
      <c r="I60" s="443">
        <f t="shared" si="7"/>
        <v>1012899.9999999999</v>
      </c>
      <c r="J60" s="1890" t="s">
        <v>1906</v>
      </c>
      <c r="K60" s="413">
        <f t="shared" si="8"/>
        <v>5327000</v>
      </c>
      <c r="L60" s="413">
        <f t="shared" si="9"/>
        <v>5474000</v>
      </c>
      <c r="M60" s="1890" t="s">
        <v>1906</v>
      </c>
      <c r="N60" s="413">
        <f t="shared" si="2"/>
        <v>1426950</v>
      </c>
      <c r="O60" s="413">
        <f t="shared" si="3"/>
        <v>976149.99999999988</v>
      </c>
      <c r="P60" s="1890" t="s">
        <v>1906</v>
      </c>
      <c r="Q60" s="311">
        <f t="shared" si="10"/>
        <v>-367500</v>
      </c>
      <c r="R60" s="413">
        <f t="shared" si="11"/>
        <v>-157500</v>
      </c>
      <c r="S60" s="1890" t="s">
        <v>1906</v>
      </c>
      <c r="T60" s="413">
        <f t="shared" si="12"/>
        <v>-210000</v>
      </c>
      <c r="U60" s="413">
        <f t="shared" si="4"/>
        <v>-157500</v>
      </c>
      <c r="V60" s="413">
        <f t="shared" si="5"/>
        <v>-157500</v>
      </c>
    </row>
    <row r="61" spans="4:22">
      <c r="D61" s="1878" t="s">
        <v>1907</v>
      </c>
      <c r="E61" s="1885">
        <v>0.1</v>
      </c>
      <c r="G61" s="1890" t="s">
        <v>1907</v>
      </c>
      <c r="H61" s="442">
        <f t="shared" si="6"/>
        <v>1522000</v>
      </c>
      <c r="I61" s="443">
        <f t="shared" si="7"/>
        <v>289400</v>
      </c>
      <c r="J61" s="1890" t="s">
        <v>1907</v>
      </c>
      <c r="K61" s="413">
        <f t="shared" si="8"/>
        <v>1522000</v>
      </c>
      <c r="L61" s="413">
        <f t="shared" si="9"/>
        <v>1564000</v>
      </c>
      <c r="M61" s="1890" t="s">
        <v>1907</v>
      </c>
      <c r="N61" s="413">
        <f t="shared" si="2"/>
        <v>407700</v>
      </c>
      <c r="O61" s="413">
        <f t="shared" si="3"/>
        <v>278900</v>
      </c>
      <c r="P61" s="1890" t="s">
        <v>1907</v>
      </c>
      <c r="Q61" s="311">
        <f t="shared" si="10"/>
        <v>-105000</v>
      </c>
      <c r="R61" s="413">
        <f t="shared" si="11"/>
        <v>-45000</v>
      </c>
      <c r="S61" s="1890" t="s">
        <v>1907</v>
      </c>
      <c r="T61" s="413">
        <f t="shared" si="12"/>
        <v>-60000</v>
      </c>
      <c r="U61" s="413">
        <f t="shared" si="4"/>
        <v>-45000</v>
      </c>
      <c r="V61" s="413">
        <f t="shared" si="5"/>
        <v>-45000</v>
      </c>
    </row>
    <row r="62" spans="4:22">
      <c r="D62" s="1877" t="s">
        <v>1908</v>
      </c>
      <c r="E62" s="1885">
        <v>0.05</v>
      </c>
      <c r="G62" s="1889" t="s">
        <v>1908</v>
      </c>
      <c r="H62" s="442">
        <f t="shared" si="6"/>
        <v>761000</v>
      </c>
      <c r="I62" s="443">
        <f t="shared" si="7"/>
        <v>144700</v>
      </c>
      <c r="J62" s="1889" t="s">
        <v>1908</v>
      </c>
      <c r="K62" s="413">
        <f t="shared" si="8"/>
        <v>761000</v>
      </c>
      <c r="L62" s="413">
        <f t="shared" si="9"/>
        <v>782000</v>
      </c>
      <c r="M62" s="1889" t="s">
        <v>1908</v>
      </c>
      <c r="N62" s="413">
        <f t="shared" si="2"/>
        <v>203850</v>
      </c>
      <c r="O62" s="413">
        <f t="shared" si="3"/>
        <v>139450</v>
      </c>
      <c r="P62" s="1889" t="s">
        <v>1908</v>
      </c>
      <c r="Q62" s="311">
        <f t="shared" si="10"/>
        <v>-52500</v>
      </c>
      <c r="R62" s="413">
        <f t="shared" si="11"/>
        <v>-22500</v>
      </c>
      <c r="S62" s="1889" t="s">
        <v>1908</v>
      </c>
      <c r="T62" s="413">
        <f t="shared" si="12"/>
        <v>-30000</v>
      </c>
      <c r="U62" s="413">
        <f t="shared" si="4"/>
        <v>-22500</v>
      </c>
      <c r="V62" s="413">
        <f t="shared" si="5"/>
        <v>-22500</v>
      </c>
    </row>
    <row r="63" spans="4:22">
      <c r="D63" s="1877" t="s">
        <v>948</v>
      </c>
      <c r="E63" s="1885">
        <v>0.1</v>
      </c>
      <c r="G63" s="1889" t="s">
        <v>948</v>
      </c>
      <c r="H63" s="442">
        <f t="shared" si="6"/>
        <v>1522000</v>
      </c>
      <c r="I63" s="443">
        <f t="shared" si="7"/>
        <v>289400</v>
      </c>
      <c r="J63" s="1889" t="s">
        <v>948</v>
      </c>
      <c r="K63" s="413">
        <f t="shared" si="8"/>
        <v>1522000</v>
      </c>
      <c r="L63" s="413">
        <f t="shared" si="9"/>
        <v>1564000</v>
      </c>
      <c r="M63" s="1889" t="s">
        <v>948</v>
      </c>
      <c r="N63" s="413">
        <f t="shared" si="2"/>
        <v>407700</v>
      </c>
      <c r="O63" s="413">
        <f t="shared" si="3"/>
        <v>278900</v>
      </c>
      <c r="P63" s="1889" t="s">
        <v>948</v>
      </c>
      <c r="Q63" s="311">
        <f t="shared" si="10"/>
        <v>-105000</v>
      </c>
      <c r="R63" s="413">
        <f t="shared" si="11"/>
        <v>-45000</v>
      </c>
      <c r="S63" s="1889" t="s">
        <v>948</v>
      </c>
      <c r="T63" s="413">
        <f t="shared" si="12"/>
        <v>-60000</v>
      </c>
      <c r="U63" s="413">
        <f t="shared" si="4"/>
        <v>-45000</v>
      </c>
      <c r="V63" s="413">
        <f t="shared" si="5"/>
        <v>-45000</v>
      </c>
    </row>
    <row r="64" spans="4:22">
      <c r="D64" s="1877" t="s">
        <v>1909</v>
      </c>
      <c r="E64" s="1885">
        <v>0.05</v>
      </c>
      <c r="G64" s="1889" t="s">
        <v>1909</v>
      </c>
      <c r="H64" s="442">
        <f t="shared" si="6"/>
        <v>761000</v>
      </c>
      <c r="I64" s="443">
        <f t="shared" si="7"/>
        <v>144700</v>
      </c>
      <c r="J64" s="1889" t="s">
        <v>1909</v>
      </c>
      <c r="K64" s="413">
        <f t="shared" si="8"/>
        <v>761000</v>
      </c>
      <c r="L64" s="413">
        <f t="shared" si="9"/>
        <v>782000</v>
      </c>
      <c r="M64" s="1889" t="s">
        <v>1909</v>
      </c>
      <c r="N64" s="413">
        <f t="shared" si="2"/>
        <v>203850</v>
      </c>
      <c r="O64" s="413">
        <f t="shared" si="3"/>
        <v>139450</v>
      </c>
      <c r="P64" s="1889" t="s">
        <v>1909</v>
      </c>
      <c r="Q64" s="311">
        <f t="shared" si="10"/>
        <v>-52500</v>
      </c>
      <c r="R64" s="413">
        <f t="shared" si="11"/>
        <v>-22500</v>
      </c>
      <c r="S64" s="1889" t="s">
        <v>1909</v>
      </c>
      <c r="T64" s="413">
        <f t="shared" si="12"/>
        <v>-30000</v>
      </c>
      <c r="U64" s="413">
        <f t="shared" si="4"/>
        <v>-22500</v>
      </c>
      <c r="V64" s="413">
        <f t="shared" si="5"/>
        <v>-22500</v>
      </c>
    </row>
    <row r="65" spans="4:22">
      <c r="D65" s="1877" t="s">
        <v>1910</v>
      </c>
      <c r="E65" s="1885">
        <v>0.05</v>
      </c>
      <c r="G65" s="1889" t="s">
        <v>1910</v>
      </c>
      <c r="H65" s="442">
        <f>$H$54*E65</f>
        <v>761000</v>
      </c>
      <c r="I65" s="443">
        <f t="shared" si="7"/>
        <v>144700</v>
      </c>
      <c r="J65" s="1889" t="s">
        <v>1910</v>
      </c>
      <c r="K65" s="413">
        <f t="shared" si="8"/>
        <v>761000</v>
      </c>
      <c r="L65" s="413">
        <f t="shared" si="9"/>
        <v>782000</v>
      </c>
      <c r="M65" s="1889" t="s">
        <v>1910</v>
      </c>
      <c r="N65" s="413">
        <f t="shared" si="2"/>
        <v>203850</v>
      </c>
      <c r="O65" s="413">
        <f t="shared" si="3"/>
        <v>139450</v>
      </c>
      <c r="P65" s="1889" t="s">
        <v>1910</v>
      </c>
      <c r="Q65" s="311">
        <f t="shared" si="10"/>
        <v>-52500</v>
      </c>
      <c r="R65" s="413">
        <f t="shared" si="11"/>
        <v>-22500</v>
      </c>
      <c r="S65" s="1889" t="s">
        <v>1910</v>
      </c>
      <c r="T65" s="413">
        <f t="shared" si="12"/>
        <v>-30000</v>
      </c>
      <c r="U65" s="413">
        <f t="shared" si="4"/>
        <v>-22500</v>
      </c>
      <c r="V65" s="413">
        <f t="shared" si="5"/>
        <v>-22500</v>
      </c>
    </row>
    <row r="66" spans="4:22">
      <c r="D66" s="1877" t="s">
        <v>1911</v>
      </c>
      <c r="E66" s="1885">
        <v>0.05</v>
      </c>
      <c r="G66" s="1889" t="s">
        <v>1911</v>
      </c>
      <c r="H66" s="442">
        <f t="shared" si="6"/>
        <v>761000</v>
      </c>
      <c r="I66" s="443">
        <f t="shared" si="7"/>
        <v>144700</v>
      </c>
      <c r="J66" s="1889" t="s">
        <v>1911</v>
      </c>
      <c r="K66" s="413">
        <f t="shared" si="8"/>
        <v>761000</v>
      </c>
      <c r="L66" s="413">
        <f t="shared" si="9"/>
        <v>782000</v>
      </c>
      <c r="M66" s="1889" t="s">
        <v>1911</v>
      </c>
      <c r="N66" s="413">
        <f t="shared" si="2"/>
        <v>203850</v>
      </c>
      <c r="O66" s="413">
        <f t="shared" si="3"/>
        <v>139450</v>
      </c>
      <c r="P66" s="1889" t="s">
        <v>1911</v>
      </c>
      <c r="Q66" s="311">
        <f t="shared" si="10"/>
        <v>-52500</v>
      </c>
      <c r="R66" s="413">
        <f t="shared" si="11"/>
        <v>-22500</v>
      </c>
      <c r="S66" s="1889" t="s">
        <v>1911</v>
      </c>
      <c r="T66" s="413">
        <f t="shared" si="12"/>
        <v>-30000</v>
      </c>
      <c r="U66" s="413">
        <f t="shared" si="4"/>
        <v>-22500</v>
      </c>
      <c r="V66" s="413">
        <f t="shared" si="5"/>
        <v>-22500</v>
      </c>
    </row>
    <row r="67" spans="4:22">
      <c r="D67" s="1877" t="s">
        <v>1912</v>
      </c>
      <c r="E67" s="1885">
        <v>0.05</v>
      </c>
      <c r="G67" s="1889" t="s">
        <v>1912</v>
      </c>
      <c r="H67" s="442">
        <f t="shared" si="6"/>
        <v>761000</v>
      </c>
      <c r="I67" s="443">
        <f t="shared" si="7"/>
        <v>144700</v>
      </c>
      <c r="J67" s="1889" t="s">
        <v>1912</v>
      </c>
      <c r="K67" s="413">
        <f t="shared" si="8"/>
        <v>761000</v>
      </c>
      <c r="L67" s="413">
        <f t="shared" si="9"/>
        <v>782000</v>
      </c>
      <c r="M67" s="1889" t="s">
        <v>1912</v>
      </c>
      <c r="N67" s="413">
        <f t="shared" si="2"/>
        <v>203850</v>
      </c>
      <c r="O67" s="413">
        <f t="shared" si="3"/>
        <v>139450</v>
      </c>
      <c r="P67" s="1889" t="s">
        <v>1912</v>
      </c>
      <c r="Q67" s="311">
        <f t="shared" si="10"/>
        <v>-52500</v>
      </c>
      <c r="R67" s="413">
        <f t="shared" si="11"/>
        <v>-22500</v>
      </c>
      <c r="S67" s="1889" t="s">
        <v>1912</v>
      </c>
      <c r="T67" s="413">
        <f t="shared" si="12"/>
        <v>-30000</v>
      </c>
      <c r="U67" s="413">
        <f t="shared" si="4"/>
        <v>-22500</v>
      </c>
      <c r="V67" s="413">
        <f t="shared" si="5"/>
        <v>-22500</v>
      </c>
    </row>
    <row r="68" spans="4:22" ht="15.75" thickBot="1">
      <c r="D68" s="434" t="s">
        <v>655</v>
      </c>
      <c r="E68" s="1885">
        <f>SUM(E57:E67)</f>
        <v>1.0000000000000002</v>
      </c>
      <c r="G68" s="460" t="s">
        <v>655</v>
      </c>
      <c r="H68" s="452">
        <f>SUM(H56:H67)</f>
        <v>15955000</v>
      </c>
      <c r="I68" s="453">
        <f>SUM(I56:I67)</f>
        <v>3209000</v>
      </c>
      <c r="J68" s="460" t="s">
        <v>655</v>
      </c>
      <c r="K68" s="1882">
        <f>SUM(K56:K67)</f>
        <v>15955000</v>
      </c>
      <c r="L68" s="1882">
        <f>SUM(L56:L67)</f>
        <v>15955000</v>
      </c>
      <c r="M68" s="460" t="s">
        <v>655</v>
      </c>
      <c r="N68" s="452">
        <f>SUM(N56:N67)</f>
        <v>4707000</v>
      </c>
      <c r="O68" s="452">
        <f>SUM(O56:O67)</f>
        <v>3209000</v>
      </c>
      <c r="P68" s="460" t="s">
        <v>655</v>
      </c>
      <c r="Q68" s="452">
        <f>SUM(Q56:Q67)</f>
        <v>0</v>
      </c>
      <c r="R68" s="452">
        <f>SUM(R56:R67)</f>
        <v>0</v>
      </c>
      <c r="S68" s="460" t="s">
        <v>655</v>
      </c>
      <c r="T68" s="1900">
        <f>SUM(T56:T67)</f>
        <v>0</v>
      </c>
      <c r="U68" s="452">
        <f>SUM(U56:U67)</f>
        <v>0</v>
      </c>
      <c r="V68" s="452">
        <f>SUM(V56:V67)</f>
        <v>0</v>
      </c>
    </row>
    <row r="69" spans="4:22">
      <c r="H69" s="1880">
        <f>H68-H52</f>
        <v>0</v>
      </c>
      <c r="I69" s="1880">
        <f t="shared" ref="I69:V69" si="13">I68-I52</f>
        <v>0</v>
      </c>
      <c r="J69" s="1880"/>
      <c r="K69" s="1880">
        <f t="shared" si="13"/>
        <v>0</v>
      </c>
      <c r="L69" s="1880">
        <f t="shared" si="13"/>
        <v>0</v>
      </c>
      <c r="M69" s="1880"/>
      <c r="N69" s="1880">
        <f t="shared" si="13"/>
        <v>0</v>
      </c>
      <c r="O69" s="1880">
        <f t="shared" si="13"/>
        <v>0</v>
      </c>
      <c r="P69" s="1880"/>
      <c r="Q69" s="1880">
        <f t="shared" si="13"/>
        <v>0</v>
      </c>
      <c r="R69" s="1880">
        <f t="shared" si="13"/>
        <v>0</v>
      </c>
      <c r="S69" s="1880"/>
      <c r="T69" s="1880">
        <f t="shared" si="13"/>
        <v>0</v>
      </c>
      <c r="U69" s="1880">
        <f t="shared" si="13"/>
        <v>0</v>
      </c>
      <c r="V69" s="1880">
        <f t="shared" si="13"/>
        <v>0</v>
      </c>
    </row>
    <row r="73" spans="4:22">
      <c r="D73" t="s">
        <v>863</v>
      </c>
      <c r="G73" s="987" t="s">
        <v>1058</v>
      </c>
      <c r="H73" s="987" t="s">
        <v>1058</v>
      </c>
      <c r="I73" s="987" t="s">
        <v>1058</v>
      </c>
    </row>
    <row r="74" spans="4:22">
      <c r="G74" s="1881" t="s">
        <v>1925</v>
      </c>
      <c r="H74" s="1881" t="s">
        <v>1926</v>
      </c>
      <c r="I74" s="1881" t="s">
        <v>1927</v>
      </c>
    </row>
    <row r="75" spans="4:22">
      <c r="G75" s="1895">
        <f>K46</f>
        <v>5501200</v>
      </c>
      <c r="H75" s="1895">
        <f>L46</f>
        <v>4687000</v>
      </c>
      <c r="I75" s="1895">
        <f>M46</f>
        <v>8043600</v>
      </c>
    </row>
    <row r="76" spans="4:22">
      <c r="G76" s="1895">
        <f>G44</f>
        <v>450000</v>
      </c>
      <c r="H76" s="1895">
        <f>G42</f>
        <v>450000</v>
      </c>
      <c r="I76" s="1895">
        <f>G42</f>
        <v>450000</v>
      </c>
    </row>
    <row r="77" spans="4:22" ht="15.75" thickBot="1">
      <c r="G77" s="1896">
        <f>G75-G76</f>
        <v>5051200</v>
      </c>
      <c r="H77" s="1896">
        <f>H75-H76</f>
        <v>4237000</v>
      </c>
      <c r="I77" s="1896">
        <f>I75-I76</f>
        <v>7593600</v>
      </c>
    </row>
    <row r="78" spans="4:22">
      <c r="D78" s="1886" t="s">
        <v>1915</v>
      </c>
      <c r="E78" s="1892"/>
      <c r="F78" s="1886" t="s">
        <v>1915</v>
      </c>
      <c r="G78" s="413">
        <f>G76</f>
        <v>450000</v>
      </c>
      <c r="H78" s="413">
        <f>H76</f>
        <v>450000</v>
      </c>
      <c r="I78" s="413">
        <f>I76</f>
        <v>450000</v>
      </c>
    </row>
    <row r="79" spans="4:22">
      <c r="D79" s="1889" t="s">
        <v>1903</v>
      </c>
      <c r="E79" s="1893">
        <v>0.05</v>
      </c>
      <c r="F79" s="1889" t="s">
        <v>1903</v>
      </c>
      <c r="G79" s="413">
        <f>$G$77*E79</f>
        <v>252560</v>
      </c>
      <c r="H79" s="413">
        <f>$H$77*E79</f>
        <v>211850</v>
      </c>
      <c r="I79" s="413">
        <f>$I$77*E79</f>
        <v>379680</v>
      </c>
    </row>
    <row r="80" spans="4:22">
      <c r="D80" s="1890" t="s">
        <v>1904</v>
      </c>
      <c r="E80" s="1893">
        <v>0.1</v>
      </c>
      <c r="F80" s="1890" t="s">
        <v>1904</v>
      </c>
      <c r="G80" s="413">
        <f t="shared" ref="G80:G89" si="14">$G$77*E80</f>
        <v>505120</v>
      </c>
      <c r="H80" s="413">
        <f t="shared" ref="H80:H89" si="15">$H$77*E80</f>
        <v>423700</v>
      </c>
      <c r="I80" s="413">
        <f t="shared" ref="I80:I89" si="16">$I$77*E80</f>
        <v>759360</v>
      </c>
    </row>
    <row r="81" spans="4:9">
      <c r="D81" s="1890" t="s">
        <v>1905</v>
      </c>
      <c r="E81" s="1893">
        <v>0.05</v>
      </c>
      <c r="F81" s="1890" t="s">
        <v>1905</v>
      </c>
      <c r="G81" s="413">
        <f t="shared" si="14"/>
        <v>252560</v>
      </c>
      <c r="H81" s="413">
        <f t="shared" si="15"/>
        <v>211850</v>
      </c>
      <c r="I81" s="413">
        <f t="shared" si="16"/>
        <v>379680</v>
      </c>
    </row>
    <row r="82" spans="4:9">
      <c r="D82" s="1890" t="s">
        <v>1906</v>
      </c>
      <c r="E82" s="1893">
        <v>0.35</v>
      </c>
      <c r="F82" s="1890" t="s">
        <v>1906</v>
      </c>
      <c r="G82" s="413">
        <f t="shared" si="14"/>
        <v>1767920</v>
      </c>
      <c r="H82" s="413">
        <f t="shared" si="15"/>
        <v>1482950</v>
      </c>
      <c r="I82" s="413">
        <f t="shared" si="16"/>
        <v>2657760</v>
      </c>
    </row>
    <row r="83" spans="4:9">
      <c r="D83" s="1890" t="s">
        <v>1907</v>
      </c>
      <c r="E83" s="1893">
        <v>0.1</v>
      </c>
      <c r="F83" s="1890" t="s">
        <v>1907</v>
      </c>
      <c r="G83" s="413">
        <f t="shared" si="14"/>
        <v>505120</v>
      </c>
      <c r="H83" s="413">
        <f t="shared" si="15"/>
        <v>423700</v>
      </c>
      <c r="I83" s="413">
        <f t="shared" si="16"/>
        <v>759360</v>
      </c>
    </row>
    <row r="84" spans="4:9">
      <c r="D84" s="1889" t="s">
        <v>1908</v>
      </c>
      <c r="E84" s="1893">
        <v>0.05</v>
      </c>
      <c r="F84" s="1889" t="s">
        <v>1908</v>
      </c>
      <c r="G84" s="413">
        <f t="shared" si="14"/>
        <v>252560</v>
      </c>
      <c r="H84" s="413">
        <f t="shared" si="15"/>
        <v>211850</v>
      </c>
      <c r="I84" s="413">
        <f t="shared" si="16"/>
        <v>379680</v>
      </c>
    </row>
    <row r="85" spans="4:9">
      <c r="D85" s="1889" t="s">
        <v>948</v>
      </c>
      <c r="E85" s="1893">
        <v>0.1</v>
      </c>
      <c r="F85" s="1889" t="s">
        <v>948</v>
      </c>
      <c r="G85" s="413">
        <f t="shared" si="14"/>
        <v>505120</v>
      </c>
      <c r="H85" s="413">
        <f t="shared" si="15"/>
        <v>423700</v>
      </c>
      <c r="I85" s="413">
        <f t="shared" si="16"/>
        <v>759360</v>
      </c>
    </row>
    <row r="86" spans="4:9">
      <c r="D86" s="1889" t="s">
        <v>1909</v>
      </c>
      <c r="E86" s="1893">
        <v>0.05</v>
      </c>
      <c r="F86" s="1889" t="s">
        <v>1909</v>
      </c>
      <c r="G86" s="413">
        <f t="shared" si="14"/>
        <v>252560</v>
      </c>
      <c r="H86" s="413">
        <f t="shared" si="15"/>
        <v>211850</v>
      </c>
      <c r="I86" s="413">
        <f t="shared" si="16"/>
        <v>379680</v>
      </c>
    </row>
    <row r="87" spans="4:9">
      <c r="D87" s="1889" t="s">
        <v>1910</v>
      </c>
      <c r="E87" s="1893">
        <v>0.05</v>
      </c>
      <c r="F87" s="1889" t="s">
        <v>1910</v>
      </c>
      <c r="G87" s="413">
        <f t="shared" si="14"/>
        <v>252560</v>
      </c>
      <c r="H87" s="413">
        <f t="shared" si="15"/>
        <v>211850</v>
      </c>
      <c r="I87" s="413">
        <f t="shared" si="16"/>
        <v>379680</v>
      </c>
    </row>
    <row r="88" spans="4:9">
      <c r="D88" s="1889" t="s">
        <v>1911</v>
      </c>
      <c r="E88" s="1893">
        <v>0.05</v>
      </c>
      <c r="F88" s="1889" t="s">
        <v>1911</v>
      </c>
      <c r="G88" s="413">
        <f t="shared" si="14"/>
        <v>252560</v>
      </c>
      <c r="H88" s="413">
        <f t="shared" si="15"/>
        <v>211850</v>
      </c>
      <c r="I88" s="413">
        <f t="shared" si="16"/>
        <v>379680</v>
      </c>
    </row>
    <row r="89" spans="4:9">
      <c r="D89" s="1889" t="s">
        <v>1912</v>
      </c>
      <c r="E89" s="1893">
        <v>0.05</v>
      </c>
      <c r="F89" s="1889" t="s">
        <v>1912</v>
      </c>
      <c r="G89" s="413">
        <f t="shared" si="14"/>
        <v>252560</v>
      </c>
      <c r="H89" s="413">
        <f t="shared" si="15"/>
        <v>211850</v>
      </c>
      <c r="I89" s="413">
        <f t="shared" si="16"/>
        <v>379680</v>
      </c>
    </row>
    <row r="90" spans="4:9" ht="15.75" thickBot="1">
      <c r="D90" s="460" t="s">
        <v>655</v>
      </c>
      <c r="E90" s="1894">
        <f>SUM(E79:E89)</f>
        <v>1.0000000000000002</v>
      </c>
      <c r="F90" s="460" t="s">
        <v>655</v>
      </c>
      <c r="G90" s="1900">
        <f>SUM(G78:G89)</f>
        <v>5501200</v>
      </c>
      <c r="H90" s="452">
        <f>SUM(H78:H89)</f>
        <v>4687000</v>
      </c>
      <c r="I90" s="452">
        <f>SUM(I78:I89)</f>
        <v>8043600</v>
      </c>
    </row>
    <row r="93" spans="4:9">
      <c r="G93" s="413">
        <f>G75-G90</f>
        <v>0</v>
      </c>
      <c r="H93" s="413">
        <f>H75-H90</f>
        <v>0</v>
      </c>
      <c r="I93" s="413">
        <f>I75-I90</f>
        <v>0</v>
      </c>
    </row>
  </sheetData>
  <phoneticPr fontId="47" type="noConversion"/>
  <pageMargins left="0.7" right="0.7" top="0.75" bottom="0.75" header="0.3" footer="0.3"/>
  <ignoredErrors>
    <ignoredError sqref="L25"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92597-46BB-4936-9CDC-D83CB0015B07}">
  <sheetPr codeName="Sheet66">
    <pageSetUpPr fitToPage="1"/>
  </sheetPr>
  <dimension ref="A1:V277"/>
  <sheetViews>
    <sheetView topLeftCell="D1" zoomScale="89" zoomScaleNormal="89" workbookViewId="0">
      <pane ySplit="2" topLeftCell="D259" activePane="bottomLeft" state="frozen"/>
      <selection activeCell="D1" sqref="D1"/>
      <selection pane="bottomLeft" activeCell="T259" sqref="T259"/>
    </sheetView>
  </sheetViews>
  <sheetFormatPr defaultColWidth="12.23828125" defaultRowHeight="15"/>
  <cols>
    <col min="1" max="1" width="12.9140625" style="1481" bestFit="1" customWidth="1"/>
    <col min="2" max="2" width="10.4921875" style="1485" bestFit="1" customWidth="1"/>
    <col min="3" max="3" width="9.14453125" style="1485" bestFit="1" customWidth="1"/>
    <col min="4" max="4" width="10.0859375" style="1485" bestFit="1" customWidth="1"/>
    <col min="5" max="5" width="10.76171875" style="1485" customWidth="1"/>
    <col min="6" max="6" width="10.0859375" style="1486" bestFit="1" customWidth="1"/>
    <col min="7" max="7" width="10.625" style="1481" customWidth="1"/>
    <col min="8" max="8" width="10.0859375" style="1481" customWidth="1"/>
    <col min="9" max="9" width="11.8359375" style="1485" customWidth="1"/>
    <col min="10" max="10" width="9.14453125" style="1485" bestFit="1" customWidth="1"/>
    <col min="11" max="11" width="9.14453125" style="1485" customWidth="1"/>
    <col min="12" max="12" width="10.0859375" style="1485" bestFit="1" customWidth="1"/>
    <col min="13" max="13" width="9.14453125" style="1485" bestFit="1" customWidth="1"/>
    <col min="14" max="14" width="12.10546875" style="1485" bestFit="1" customWidth="1"/>
    <col min="15" max="15" width="10.0859375" style="1486" bestFit="1" customWidth="1"/>
    <col min="16" max="17" width="12.23828125" style="1476"/>
    <col min="18" max="18" width="31.07421875" style="1476" customWidth="1"/>
    <col min="19" max="16384" width="12.23828125" style="1476"/>
  </cols>
  <sheetData>
    <row r="1" spans="1:15" ht="15.75" customHeight="1">
      <c r="A1" s="3280" t="s">
        <v>1510</v>
      </c>
      <c r="B1" s="3280"/>
      <c r="C1" s="3280"/>
      <c r="D1" s="3280"/>
      <c r="E1" s="3280"/>
      <c r="F1" s="3280"/>
      <c r="G1" s="3280"/>
      <c r="H1" s="3280"/>
      <c r="I1" s="3280"/>
      <c r="J1" s="3280"/>
      <c r="K1" s="3280"/>
      <c r="L1" s="3280"/>
      <c r="M1" s="3280"/>
      <c r="N1" s="3280"/>
      <c r="O1" s="3280"/>
    </row>
    <row r="2" spans="1:15" ht="51" customHeight="1">
      <c r="A2" s="1477" t="s">
        <v>1511</v>
      </c>
      <c r="B2" s="2659" t="s">
        <v>1512</v>
      </c>
      <c r="C2" s="2659" t="s">
        <v>1513</v>
      </c>
      <c r="D2" s="2659" t="s">
        <v>1514</v>
      </c>
      <c r="E2" s="2660" t="s">
        <v>1515</v>
      </c>
      <c r="F2" s="2659" t="s">
        <v>1516</v>
      </c>
      <c r="G2" s="2659" t="s">
        <v>1517</v>
      </c>
      <c r="H2" s="2660" t="s">
        <v>2335</v>
      </c>
      <c r="I2" s="2659" t="s">
        <v>1518</v>
      </c>
      <c r="J2" s="2659" t="s">
        <v>1519</v>
      </c>
      <c r="K2" s="2659" t="s">
        <v>2336</v>
      </c>
      <c r="L2" s="2661" t="s">
        <v>1520</v>
      </c>
      <c r="M2" s="2659" t="s">
        <v>1521</v>
      </c>
      <c r="N2" s="2659" t="s">
        <v>1522</v>
      </c>
      <c r="O2" s="2659" t="s">
        <v>1523</v>
      </c>
    </row>
    <row r="3" spans="1:15">
      <c r="A3" s="1478">
        <v>45293</v>
      </c>
      <c r="B3" s="1479">
        <v>7.98</v>
      </c>
      <c r="C3" s="1479">
        <v>9.0410000000000004</v>
      </c>
      <c r="D3" s="1479">
        <v>9.0090000000000003</v>
      </c>
      <c r="E3" s="1479">
        <v>9.2669999999999995</v>
      </c>
      <c r="F3" s="1479">
        <v>9.2360000000000007</v>
      </c>
      <c r="G3" s="1479">
        <v>9.6020000000000003</v>
      </c>
      <c r="H3" s="1479"/>
      <c r="I3" s="1479">
        <v>9.6639999999999997</v>
      </c>
      <c r="J3" s="1479">
        <v>9.7059999999999995</v>
      </c>
      <c r="K3" s="1479"/>
      <c r="L3" s="1479">
        <v>10.11</v>
      </c>
      <c r="M3" s="1479">
        <v>9.9049999999999994</v>
      </c>
      <c r="N3" s="1479">
        <v>10.356</v>
      </c>
      <c r="O3" s="1479">
        <v>10.186</v>
      </c>
    </row>
    <row r="4" spans="1:15">
      <c r="A4" s="1478">
        <v>45294</v>
      </c>
      <c r="B4" s="1479">
        <v>8.391</v>
      </c>
      <c r="C4" s="1479">
        <v>9.4879999999999995</v>
      </c>
      <c r="D4" s="1479">
        <v>9.4450000000000003</v>
      </c>
      <c r="E4" s="1479">
        <v>9.6929999999999996</v>
      </c>
      <c r="F4" s="1479">
        <v>9.69</v>
      </c>
      <c r="G4" s="1479">
        <v>9.9779999999999998</v>
      </c>
      <c r="H4" s="1479"/>
      <c r="I4" s="1479">
        <v>10.098000000000001</v>
      </c>
      <c r="J4" s="1479">
        <v>10.076000000000001</v>
      </c>
      <c r="K4" s="1479"/>
      <c r="L4" s="1479">
        <v>10.446</v>
      </c>
      <c r="M4" s="1479">
        <v>10.228</v>
      </c>
      <c r="N4" s="1479">
        <v>10.631</v>
      </c>
      <c r="O4" s="1479">
        <v>10.494999999999999</v>
      </c>
    </row>
    <row r="5" spans="1:15">
      <c r="A5" s="1478">
        <v>45295</v>
      </c>
      <c r="B5" s="1479">
        <v>8.4659999999999993</v>
      </c>
      <c r="C5" s="1479">
        <v>9.5679999999999996</v>
      </c>
      <c r="D5" s="1479">
        <v>9.4879999999999995</v>
      </c>
      <c r="E5" s="1479">
        <v>9.7349999999999994</v>
      </c>
      <c r="F5" s="1479">
        <v>9.7200000000000006</v>
      </c>
      <c r="G5" s="1479">
        <v>10.023</v>
      </c>
      <c r="H5" s="1479"/>
      <c r="I5" s="1479">
        <v>10.113</v>
      </c>
      <c r="J5" s="1479">
        <v>10.117000000000001</v>
      </c>
      <c r="K5" s="1479"/>
      <c r="L5" s="1479">
        <v>10.484</v>
      </c>
      <c r="M5" s="1479">
        <v>10.268000000000001</v>
      </c>
      <c r="N5" s="1479">
        <v>10.654</v>
      </c>
      <c r="O5" s="1479">
        <v>10.502000000000001</v>
      </c>
    </row>
    <row r="6" spans="1:15">
      <c r="A6" s="1478">
        <v>45296</v>
      </c>
      <c r="B6" s="1479">
        <v>8.5229999999999997</v>
      </c>
      <c r="C6" s="1479">
        <v>9.6720000000000006</v>
      </c>
      <c r="D6" s="1479">
        <v>9.6790000000000003</v>
      </c>
      <c r="E6" s="1479">
        <v>9.9109999999999996</v>
      </c>
      <c r="F6" s="1479">
        <v>9.8789999999999996</v>
      </c>
      <c r="G6" s="1479">
        <v>10.164999999999999</v>
      </c>
      <c r="H6" s="1479"/>
      <c r="I6" s="1479">
        <v>10.269</v>
      </c>
      <c r="J6" s="1479">
        <v>10.242000000000001</v>
      </c>
      <c r="K6" s="1479"/>
      <c r="L6" s="1479">
        <v>10.611000000000001</v>
      </c>
      <c r="M6" s="1479">
        <v>10.353</v>
      </c>
      <c r="N6" s="1479">
        <v>10.852</v>
      </c>
      <c r="O6" s="1479">
        <v>10.586</v>
      </c>
    </row>
    <row r="7" spans="1:15">
      <c r="A7" s="1478">
        <v>45299</v>
      </c>
      <c r="B7" s="1479">
        <v>8.5960000000000001</v>
      </c>
      <c r="C7" s="1479">
        <v>9.7289999999999992</v>
      </c>
      <c r="D7" s="1479">
        <v>9.6940000000000008</v>
      </c>
      <c r="E7" s="1479">
        <v>9.9220000000000006</v>
      </c>
      <c r="F7" s="1479">
        <v>9.8919999999999995</v>
      </c>
      <c r="G7" s="1479">
        <v>10.166</v>
      </c>
      <c r="H7" s="1479"/>
      <c r="I7" s="1479">
        <v>10.257</v>
      </c>
      <c r="J7" s="1479">
        <v>10.242000000000001</v>
      </c>
      <c r="K7" s="1479"/>
      <c r="L7" s="1479">
        <v>10.603999999999999</v>
      </c>
      <c r="M7" s="1479">
        <v>10.372</v>
      </c>
      <c r="N7" s="1479">
        <v>10.766999999999999</v>
      </c>
      <c r="O7" s="1479">
        <v>10.6</v>
      </c>
    </row>
    <row r="8" spans="1:15">
      <c r="A8" s="1478">
        <v>45300</v>
      </c>
      <c r="B8" s="1479">
        <v>8.6</v>
      </c>
      <c r="C8" s="1479">
        <v>9.6769999999999996</v>
      </c>
      <c r="D8" s="1479">
        <v>9.7029999999999994</v>
      </c>
      <c r="E8" s="1479">
        <v>9.9149999999999991</v>
      </c>
      <c r="F8" s="1479">
        <v>9.9160000000000004</v>
      </c>
      <c r="G8" s="1479">
        <v>10.161</v>
      </c>
      <c r="H8" s="1479"/>
      <c r="I8" s="1479">
        <v>10.259</v>
      </c>
      <c r="J8" s="1479">
        <v>10.256</v>
      </c>
      <c r="K8" s="1479"/>
      <c r="L8" s="1479">
        <v>10.590999999999999</v>
      </c>
      <c r="M8" s="1479">
        <v>10.343999999999999</v>
      </c>
      <c r="N8" s="1479">
        <v>10.756</v>
      </c>
      <c r="O8" s="1479">
        <v>10.612</v>
      </c>
    </row>
    <row r="9" spans="1:15">
      <c r="A9" s="1478">
        <v>45301</v>
      </c>
      <c r="B9" s="1479">
        <v>8.3640000000000008</v>
      </c>
      <c r="C9" s="1479">
        <v>9.5020000000000007</v>
      </c>
      <c r="D9" s="1479">
        <v>9.4830000000000005</v>
      </c>
      <c r="E9" s="1479">
        <v>9.7189999999999994</v>
      </c>
      <c r="F9" s="1479">
        <v>9.7189999999999994</v>
      </c>
      <c r="G9" s="1479">
        <v>9.9559999999999995</v>
      </c>
      <c r="H9" s="1479"/>
      <c r="I9" s="1479">
        <v>10.068</v>
      </c>
      <c r="J9" s="1479">
        <v>10.064</v>
      </c>
      <c r="K9" s="1479"/>
      <c r="L9" s="1479">
        <v>10.38</v>
      </c>
      <c r="M9" s="1479">
        <v>10.148</v>
      </c>
      <c r="N9" s="1479">
        <v>10.567</v>
      </c>
      <c r="O9" s="1479">
        <v>10.444000000000001</v>
      </c>
    </row>
    <row r="10" spans="1:15">
      <c r="A10" s="1478">
        <v>45302</v>
      </c>
      <c r="B10" s="1479">
        <v>8.2469999999999999</v>
      </c>
      <c r="C10" s="1479">
        <v>9.3049999999999997</v>
      </c>
      <c r="D10" s="1479">
        <v>9.3510000000000009</v>
      </c>
      <c r="E10" s="1479">
        <v>9.5820000000000007</v>
      </c>
      <c r="F10" s="1479">
        <v>9.5630000000000006</v>
      </c>
      <c r="G10" s="1479">
        <v>9.8089999999999993</v>
      </c>
      <c r="H10" s="1479"/>
      <c r="I10" s="1479">
        <v>9.9030000000000005</v>
      </c>
      <c r="J10" s="1479">
        <v>9.9529999999999994</v>
      </c>
      <c r="K10" s="1479"/>
      <c r="L10" s="1479">
        <v>10.302</v>
      </c>
      <c r="M10" s="1479">
        <v>10.061999999999999</v>
      </c>
      <c r="N10" s="1479">
        <v>10.5</v>
      </c>
      <c r="O10" s="1479">
        <v>10.323</v>
      </c>
    </row>
    <row r="11" spans="1:15">
      <c r="A11" s="1478">
        <v>45303</v>
      </c>
      <c r="B11" s="1479">
        <v>8.1920000000000002</v>
      </c>
      <c r="C11" s="1479">
        <v>9.2650000000000006</v>
      </c>
      <c r="D11" s="1479">
        <v>9.2509999999999994</v>
      </c>
      <c r="E11" s="1479">
        <v>9.4779999999999998</v>
      </c>
      <c r="F11" s="1479">
        <v>9.4320000000000004</v>
      </c>
      <c r="G11" s="1479">
        <v>9.7200000000000006</v>
      </c>
      <c r="H11" s="1479"/>
      <c r="I11" s="1479">
        <v>9.82</v>
      </c>
      <c r="J11" s="1479">
        <v>9.8390000000000004</v>
      </c>
      <c r="K11" s="1479"/>
      <c r="L11" s="1479">
        <v>10.223000000000001</v>
      </c>
      <c r="M11" s="1479">
        <v>9.9879999999999995</v>
      </c>
      <c r="N11" s="1479">
        <v>10.422000000000001</v>
      </c>
      <c r="O11" s="1479">
        <v>10.225</v>
      </c>
    </row>
    <row r="12" spans="1:15">
      <c r="A12" s="1478">
        <v>45306</v>
      </c>
      <c r="B12" s="1479">
        <v>8.1270000000000007</v>
      </c>
      <c r="C12" s="1479">
        <v>9.0839999999999996</v>
      </c>
      <c r="D12" s="1479">
        <v>9.1150000000000002</v>
      </c>
      <c r="E12" s="1479">
        <v>9.3420000000000005</v>
      </c>
      <c r="F12" s="1479">
        <v>9.4120000000000008</v>
      </c>
      <c r="G12" s="1479">
        <v>9.6539999999999999</v>
      </c>
      <c r="H12" s="1479"/>
      <c r="I12" s="1479">
        <v>9.7579999999999991</v>
      </c>
      <c r="J12" s="1479">
        <v>9.7789999999999999</v>
      </c>
      <c r="K12" s="1479"/>
      <c r="L12" s="1479">
        <v>10.148</v>
      </c>
      <c r="M12" s="1479">
        <v>9.9580000000000002</v>
      </c>
      <c r="N12" s="1479">
        <v>10.377000000000001</v>
      </c>
      <c r="O12" s="1479">
        <v>10.212999999999999</v>
      </c>
    </row>
    <row r="13" spans="1:15">
      <c r="A13" s="1478">
        <v>45307</v>
      </c>
      <c r="B13" s="1479">
        <v>8.1359999999999992</v>
      </c>
      <c r="C13" s="1479">
        <v>9.1349999999999998</v>
      </c>
      <c r="D13" s="1479">
        <v>9.1999999999999993</v>
      </c>
      <c r="E13" s="1479">
        <v>9.4670000000000005</v>
      </c>
      <c r="F13" s="1479">
        <v>9.5220000000000002</v>
      </c>
      <c r="G13" s="1479">
        <v>9.7490000000000006</v>
      </c>
      <c r="H13" s="1479"/>
      <c r="I13" s="1479">
        <v>9.843</v>
      </c>
      <c r="J13" s="1479">
        <v>9.8810000000000002</v>
      </c>
      <c r="K13" s="1479"/>
      <c r="L13" s="1479">
        <v>10.276999999999999</v>
      </c>
      <c r="M13" s="1479">
        <v>10.09</v>
      </c>
      <c r="N13" s="1479">
        <v>10.487</v>
      </c>
      <c r="O13" s="1479">
        <v>10.318</v>
      </c>
    </row>
    <row r="14" spans="1:15">
      <c r="A14" s="1478">
        <v>45308</v>
      </c>
      <c r="B14" s="1479">
        <v>8.3759999999999994</v>
      </c>
      <c r="C14" s="1479">
        <v>9.343</v>
      </c>
      <c r="D14" s="1479">
        <v>9.4550000000000001</v>
      </c>
      <c r="E14" s="1479">
        <v>9.6940000000000008</v>
      </c>
      <c r="F14" s="1479">
        <v>9.7720000000000002</v>
      </c>
      <c r="G14" s="1479">
        <v>9.9629999999999992</v>
      </c>
      <c r="H14" s="1479"/>
      <c r="I14" s="1479">
        <v>10.057</v>
      </c>
      <c r="J14" s="1479">
        <v>10.067</v>
      </c>
      <c r="K14" s="1479"/>
      <c r="L14" s="1479">
        <v>10.465</v>
      </c>
      <c r="M14" s="1479">
        <v>10.292999999999999</v>
      </c>
      <c r="N14" s="1479">
        <v>10.654999999999999</v>
      </c>
      <c r="O14" s="1479">
        <v>10.500999999999999</v>
      </c>
    </row>
    <row r="15" spans="1:15">
      <c r="A15" s="1478">
        <v>45309</v>
      </c>
      <c r="B15" s="1479">
        <v>8.3759999999999994</v>
      </c>
      <c r="C15" s="1479">
        <v>9.343</v>
      </c>
      <c r="D15" s="1479">
        <v>9.4550000000000001</v>
      </c>
      <c r="E15" s="1479">
        <v>9.6940000000000008</v>
      </c>
      <c r="F15" s="1479">
        <v>9.7720000000000002</v>
      </c>
      <c r="G15" s="1479">
        <v>9.9629999999999992</v>
      </c>
      <c r="H15" s="1479"/>
      <c r="I15" s="1479">
        <v>10.057</v>
      </c>
      <c r="J15" s="1479">
        <v>10.067</v>
      </c>
      <c r="K15" s="1479"/>
      <c r="L15" s="1479">
        <v>10.465</v>
      </c>
      <c r="M15" s="1479">
        <v>10.292999999999999</v>
      </c>
      <c r="N15" s="1479">
        <v>10.654999999999999</v>
      </c>
      <c r="O15" s="1479">
        <v>10.500999999999999</v>
      </c>
    </row>
    <row r="16" spans="1:15">
      <c r="A16" s="1478">
        <v>45310</v>
      </c>
      <c r="B16" s="1479">
        <v>8.2639999999999993</v>
      </c>
      <c r="C16" s="1479">
        <v>9.2110000000000003</v>
      </c>
      <c r="D16" s="1479">
        <v>9.3849999999999998</v>
      </c>
      <c r="E16" s="1479">
        <v>9.6010000000000009</v>
      </c>
      <c r="F16" s="1479">
        <v>9.6790000000000003</v>
      </c>
      <c r="G16" s="1479">
        <v>9.9060000000000006</v>
      </c>
      <c r="H16" s="1479"/>
      <c r="I16" s="1479">
        <v>9.9860000000000007</v>
      </c>
      <c r="J16" s="1479">
        <v>9.9939999999999998</v>
      </c>
      <c r="K16" s="1479"/>
      <c r="L16" s="1479">
        <v>10.396000000000001</v>
      </c>
      <c r="M16" s="1479">
        <v>10.178000000000001</v>
      </c>
      <c r="N16" s="1479">
        <v>10.536</v>
      </c>
      <c r="O16" s="1479">
        <v>10.382</v>
      </c>
    </row>
    <row r="17" spans="1:15">
      <c r="A17" s="1478">
        <v>45313</v>
      </c>
      <c r="B17" s="1479">
        <v>8.2140000000000004</v>
      </c>
      <c r="C17" s="1479">
        <v>9.1509999999999998</v>
      </c>
      <c r="D17" s="1479">
        <v>9.3360000000000003</v>
      </c>
      <c r="E17" s="1479">
        <v>9.5630000000000006</v>
      </c>
      <c r="F17" s="1479">
        <v>9.6080000000000005</v>
      </c>
      <c r="G17" s="1479">
        <v>9.8539999999999992</v>
      </c>
      <c r="H17" s="1479"/>
      <c r="I17" s="1479">
        <v>9.9420000000000002</v>
      </c>
      <c r="J17" s="1479">
        <v>9.9580000000000002</v>
      </c>
      <c r="K17" s="1479"/>
      <c r="L17" s="1479">
        <v>10.353</v>
      </c>
      <c r="M17" s="1479">
        <v>10.143000000000001</v>
      </c>
      <c r="N17" s="1479">
        <v>10.513999999999999</v>
      </c>
      <c r="O17" s="1479">
        <v>10.359</v>
      </c>
    </row>
    <row r="18" spans="1:15">
      <c r="A18" s="1478">
        <v>45314</v>
      </c>
      <c r="B18" s="1479">
        <v>8.4109999999999996</v>
      </c>
      <c r="C18" s="1479">
        <v>9.2940000000000005</v>
      </c>
      <c r="D18" s="1479">
        <v>9.5239999999999991</v>
      </c>
      <c r="E18" s="1479">
        <v>9.7919999999999998</v>
      </c>
      <c r="F18" s="1479">
        <v>9.8529999999999998</v>
      </c>
      <c r="G18" s="1479">
        <v>10.065</v>
      </c>
      <c r="H18" s="1479"/>
      <c r="I18" s="1479">
        <v>10.157999999999999</v>
      </c>
      <c r="J18" s="1479">
        <v>10.170999999999999</v>
      </c>
      <c r="K18" s="1479"/>
      <c r="L18" s="1479">
        <v>10.551</v>
      </c>
      <c r="M18" s="1479">
        <v>10.317</v>
      </c>
      <c r="N18" s="1479">
        <v>10.654</v>
      </c>
      <c r="O18" s="1479">
        <v>10.516999999999999</v>
      </c>
    </row>
    <row r="19" spans="1:15">
      <c r="A19" s="1478">
        <v>45315</v>
      </c>
      <c r="B19" s="1479">
        <v>8.4380000000000006</v>
      </c>
      <c r="C19" s="1479">
        <v>9.2729999999999997</v>
      </c>
      <c r="D19" s="1479">
        <v>9.5030000000000001</v>
      </c>
      <c r="E19" s="1479">
        <v>9.7929999999999993</v>
      </c>
      <c r="F19" s="1479">
        <v>9.8729999999999993</v>
      </c>
      <c r="G19" s="1479">
        <v>10.061999999999999</v>
      </c>
      <c r="H19" s="1479"/>
      <c r="I19" s="1479">
        <v>10.176</v>
      </c>
      <c r="J19" s="1479">
        <v>10.156000000000001</v>
      </c>
      <c r="K19" s="1479"/>
      <c r="L19" s="1479">
        <v>10.537000000000001</v>
      </c>
      <c r="M19" s="1479">
        <v>10.324999999999999</v>
      </c>
      <c r="N19" s="1479">
        <v>10.622999999999999</v>
      </c>
      <c r="O19" s="1479">
        <v>10.491</v>
      </c>
    </row>
    <row r="20" spans="1:15">
      <c r="A20" s="1478">
        <v>45316</v>
      </c>
      <c r="B20" s="1479">
        <v>8.4120000000000008</v>
      </c>
      <c r="C20" s="1479">
        <v>9.33</v>
      </c>
      <c r="D20" s="1479">
        <v>9.5220000000000002</v>
      </c>
      <c r="E20" s="1479">
        <v>9.81</v>
      </c>
      <c r="F20" s="1479">
        <v>9.843</v>
      </c>
      <c r="G20" s="1479">
        <v>10.02</v>
      </c>
      <c r="H20" s="1479"/>
      <c r="I20" s="1479">
        <v>10.151999999999999</v>
      </c>
      <c r="J20" s="1479">
        <v>10.17</v>
      </c>
      <c r="K20" s="1479"/>
      <c r="L20" s="1479">
        <v>10.532999999999999</v>
      </c>
      <c r="M20" s="1479">
        <v>10.327</v>
      </c>
      <c r="N20" s="1479">
        <v>10.589</v>
      </c>
      <c r="O20" s="1479">
        <v>10.459</v>
      </c>
    </row>
    <row r="21" spans="1:15">
      <c r="A21" s="1478">
        <v>45317</v>
      </c>
      <c r="B21" s="1479">
        <v>8.4250000000000007</v>
      </c>
      <c r="C21" s="1479">
        <v>9.2409999999999997</v>
      </c>
      <c r="D21" s="1479">
        <v>9.4589999999999996</v>
      </c>
      <c r="E21" s="1479">
        <v>9.7240000000000002</v>
      </c>
      <c r="F21" s="1479">
        <v>9.7769999999999992</v>
      </c>
      <c r="G21" s="1479">
        <v>9.9870000000000001</v>
      </c>
      <c r="H21" s="1479"/>
      <c r="I21" s="1479">
        <v>10.089</v>
      </c>
      <c r="J21" s="1479">
        <v>10.057</v>
      </c>
      <c r="K21" s="1479"/>
      <c r="L21" s="1479">
        <v>10.387</v>
      </c>
      <c r="M21" s="1479">
        <v>10.233000000000001</v>
      </c>
      <c r="N21" s="1479">
        <v>10.507</v>
      </c>
      <c r="O21" s="1479">
        <v>10.374000000000001</v>
      </c>
    </row>
    <row r="22" spans="1:15">
      <c r="A22" s="1478">
        <v>45320</v>
      </c>
      <c r="B22" s="1479">
        <v>8.0519999999999996</v>
      </c>
      <c r="C22" s="1479">
        <v>8.9939999999999998</v>
      </c>
      <c r="D22" s="1479">
        <v>9.1720000000000006</v>
      </c>
      <c r="E22" s="1479">
        <v>9.4809999999999999</v>
      </c>
      <c r="F22" s="1479">
        <v>9.4749999999999996</v>
      </c>
      <c r="G22" s="1479">
        <v>9.7100000000000009</v>
      </c>
      <c r="H22" s="1479"/>
      <c r="I22" s="1479">
        <v>9.83</v>
      </c>
      <c r="J22" s="1479">
        <v>9.85</v>
      </c>
      <c r="K22" s="1479"/>
      <c r="L22" s="1479">
        <v>10.192</v>
      </c>
      <c r="M22" s="1479">
        <v>10.053000000000001</v>
      </c>
      <c r="N22" s="1479">
        <v>10.287000000000001</v>
      </c>
      <c r="O22" s="1479">
        <v>10.196999999999999</v>
      </c>
    </row>
    <row r="23" spans="1:15">
      <c r="A23" s="1478">
        <v>45321</v>
      </c>
      <c r="B23" s="1479">
        <v>8.1129999999999995</v>
      </c>
      <c r="C23" s="1479">
        <v>9.0790000000000006</v>
      </c>
      <c r="D23" s="1479">
        <v>9.2420000000000009</v>
      </c>
      <c r="E23" s="1479">
        <v>9.5459999999999994</v>
      </c>
      <c r="F23" s="1479">
        <v>9.6509999999999998</v>
      </c>
      <c r="G23" s="1479">
        <v>9.8620000000000001</v>
      </c>
      <c r="H23" s="1479"/>
      <c r="I23" s="1479">
        <v>9.9949999999999992</v>
      </c>
      <c r="J23" s="1479">
        <v>9.968</v>
      </c>
      <c r="K23" s="1479"/>
      <c r="L23" s="1479">
        <v>10.308</v>
      </c>
      <c r="M23" s="1479">
        <v>10.148999999999999</v>
      </c>
      <c r="N23" s="1479">
        <v>10.375</v>
      </c>
      <c r="O23" s="1479">
        <v>10.307</v>
      </c>
    </row>
    <row r="24" spans="1:15">
      <c r="A24" s="1478">
        <v>45322</v>
      </c>
      <c r="B24" s="1479">
        <v>8.3290000000000006</v>
      </c>
      <c r="C24" s="1479">
        <v>9.2859999999999996</v>
      </c>
      <c r="D24" s="1479">
        <v>9.51</v>
      </c>
      <c r="E24" s="1479">
        <v>9.8030000000000008</v>
      </c>
      <c r="F24" s="1479">
        <v>9.8680000000000003</v>
      </c>
      <c r="G24" s="1479">
        <v>10.106</v>
      </c>
      <c r="H24" s="1479"/>
      <c r="I24" s="1479">
        <v>10.201000000000001</v>
      </c>
      <c r="J24" s="1479">
        <v>10.180999999999999</v>
      </c>
      <c r="K24" s="1479"/>
      <c r="L24" s="1479">
        <v>10.497999999999999</v>
      </c>
      <c r="M24" s="1479">
        <v>10.302</v>
      </c>
      <c r="N24" s="1479">
        <v>10.555999999999999</v>
      </c>
      <c r="O24" s="1479">
        <v>10.475</v>
      </c>
    </row>
    <row r="25" spans="1:15">
      <c r="A25" s="1478">
        <v>45323</v>
      </c>
      <c r="B25" s="1479">
        <v>8.4280000000000008</v>
      </c>
      <c r="C25" s="1479">
        <v>9.2449999999999992</v>
      </c>
      <c r="D25" s="1479">
        <v>9.3819999999999997</v>
      </c>
      <c r="E25" s="1479">
        <v>9.6709999999999994</v>
      </c>
      <c r="F25" s="1479">
        <v>9.7739999999999991</v>
      </c>
      <c r="G25" s="1479">
        <v>10.010999999999999</v>
      </c>
      <c r="H25" s="1479"/>
      <c r="I25" s="1479">
        <v>10.128</v>
      </c>
      <c r="J25" s="1479">
        <v>10.074</v>
      </c>
      <c r="K25" s="1479"/>
      <c r="L25" s="1479">
        <v>10.404</v>
      </c>
      <c r="M25" s="1479">
        <v>10.170999999999999</v>
      </c>
      <c r="N25" s="1479">
        <v>10.448</v>
      </c>
      <c r="O25" s="1479">
        <v>10.378</v>
      </c>
    </row>
    <row r="26" spans="1:15">
      <c r="A26" s="1478">
        <v>45324</v>
      </c>
      <c r="B26" s="1479">
        <v>8.3940000000000001</v>
      </c>
      <c r="C26" s="1479">
        <v>9.2530000000000001</v>
      </c>
      <c r="D26" s="1479">
        <v>9.3510000000000009</v>
      </c>
      <c r="E26" s="1479">
        <v>9.6649999999999991</v>
      </c>
      <c r="F26" s="1479">
        <v>9.7789999999999999</v>
      </c>
      <c r="G26" s="1479">
        <v>9.9809999999999999</v>
      </c>
      <c r="H26" s="1479"/>
      <c r="I26" s="1479">
        <v>10.1</v>
      </c>
      <c r="J26" s="1479">
        <v>10.061</v>
      </c>
      <c r="K26" s="1479"/>
      <c r="L26" s="1479">
        <v>10.385999999999999</v>
      </c>
      <c r="M26" s="1479">
        <v>10.167</v>
      </c>
      <c r="N26" s="1479">
        <v>10.420999999999999</v>
      </c>
      <c r="O26" s="1479">
        <v>10.388</v>
      </c>
    </row>
    <row r="27" spans="1:15">
      <c r="A27" s="1478">
        <v>45327</v>
      </c>
      <c r="B27" s="1479">
        <v>8.5749999999999993</v>
      </c>
      <c r="C27" s="1479">
        <v>9.3070000000000004</v>
      </c>
      <c r="D27" s="1479">
        <v>9.4</v>
      </c>
      <c r="E27" s="1479">
        <v>9.7149999999999999</v>
      </c>
      <c r="F27" s="1479">
        <v>9.8309999999999995</v>
      </c>
      <c r="G27" s="1479">
        <v>10.045</v>
      </c>
      <c r="H27" s="1479"/>
      <c r="I27" s="1479">
        <v>10.148999999999999</v>
      </c>
      <c r="J27" s="1479">
        <v>10.1</v>
      </c>
      <c r="K27" s="1479"/>
      <c r="L27" s="1479">
        <v>10.446999999999999</v>
      </c>
      <c r="M27" s="1479">
        <v>10.236000000000001</v>
      </c>
      <c r="N27" s="1479">
        <v>10.439</v>
      </c>
      <c r="O27" s="1479">
        <v>10.407999999999999</v>
      </c>
    </row>
    <row r="28" spans="1:15">
      <c r="A28" s="1478">
        <v>45328</v>
      </c>
      <c r="B28" s="1479">
        <v>8.5069999999999997</v>
      </c>
      <c r="C28" s="1479">
        <v>9.202</v>
      </c>
      <c r="D28" s="1479">
        <v>9.33</v>
      </c>
      <c r="E28" s="1479">
        <v>9.6319999999999997</v>
      </c>
      <c r="F28" s="1479">
        <v>9.7059999999999995</v>
      </c>
      <c r="G28" s="1479">
        <v>9.9499999999999993</v>
      </c>
      <c r="H28" s="1479"/>
      <c r="I28" s="1479">
        <v>10.095000000000001</v>
      </c>
      <c r="J28" s="1479">
        <v>10.018000000000001</v>
      </c>
      <c r="K28" s="1479"/>
      <c r="L28" s="1479">
        <v>10.358000000000001</v>
      </c>
      <c r="M28" s="1479">
        <v>10.167999999999999</v>
      </c>
      <c r="N28" s="1479">
        <v>10.378</v>
      </c>
      <c r="O28" s="1479">
        <v>10.358000000000001</v>
      </c>
    </row>
    <row r="29" spans="1:15">
      <c r="A29" s="1478">
        <v>45329</v>
      </c>
      <c r="B29" s="1479">
        <v>8.3379999999999992</v>
      </c>
      <c r="C29" s="1479">
        <v>9.0809999999999995</v>
      </c>
      <c r="D29" s="1479">
        <v>9.2289999999999992</v>
      </c>
      <c r="E29" s="1479">
        <v>9.5250000000000004</v>
      </c>
      <c r="F29" s="1479">
        <v>9.6579999999999995</v>
      </c>
      <c r="G29" s="1479">
        <v>9.8689999999999998</v>
      </c>
      <c r="H29" s="1479"/>
      <c r="I29" s="1479">
        <v>9.9890000000000008</v>
      </c>
      <c r="J29" s="1479">
        <v>9.9190000000000005</v>
      </c>
      <c r="K29" s="1479"/>
      <c r="L29" s="1479">
        <v>10.244999999999999</v>
      </c>
      <c r="M29" s="1479">
        <v>10.074</v>
      </c>
      <c r="N29" s="1479">
        <v>10.302</v>
      </c>
      <c r="O29" s="1479">
        <v>10.255000000000001</v>
      </c>
    </row>
    <row r="30" spans="1:15">
      <c r="A30" s="1478">
        <v>45330</v>
      </c>
      <c r="B30" s="1479">
        <v>8.1839999999999993</v>
      </c>
      <c r="C30" s="1479">
        <v>8.9480000000000004</v>
      </c>
      <c r="D30" s="1479">
        <v>9.0920000000000005</v>
      </c>
      <c r="E30" s="1479">
        <v>9.4</v>
      </c>
      <c r="F30" s="1479">
        <v>9.5250000000000004</v>
      </c>
      <c r="G30" s="1479">
        <v>9.7409999999999997</v>
      </c>
      <c r="H30" s="1479"/>
      <c r="I30" s="1479">
        <v>9.8620000000000001</v>
      </c>
      <c r="J30" s="1479">
        <v>9.827</v>
      </c>
      <c r="K30" s="1479"/>
      <c r="L30" s="1479">
        <v>10.172000000000001</v>
      </c>
      <c r="M30" s="1479">
        <v>10.004</v>
      </c>
      <c r="N30" s="1479">
        <v>10.222</v>
      </c>
      <c r="O30" s="1479">
        <v>10.176</v>
      </c>
    </row>
    <row r="31" spans="1:15">
      <c r="A31" s="1478">
        <v>45331</v>
      </c>
      <c r="B31" s="1479">
        <v>8.1929999999999996</v>
      </c>
      <c r="C31" s="1479">
        <v>8.9130000000000003</v>
      </c>
      <c r="D31" s="1479">
        <v>9.0719999999999992</v>
      </c>
      <c r="E31" s="1479">
        <v>9.3930000000000007</v>
      </c>
      <c r="F31" s="1479">
        <v>9.5139999999999993</v>
      </c>
      <c r="G31" s="1479">
        <v>9.7240000000000002</v>
      </c>
      <c r="H31" s="1479"/>
      <c r="I31" s="1479">
        <v>9.8469999999999995</v>
      </c>
      <c r="J31" s="1479">
        <v>9.8070000000000004</v>
      </c>
      <c r="K31" s="1479"/>
      <c r="L31" s="1479">
        <v>10.206</v>
      </c>
      <c r="M31" s="1479">
        <v>10.032999999999999</v>
      </c>
      <c r="N31" s="1479">
        <v>10.237</v>
      </c>
      <c r="O31" s="1479">
        <v>10.188000000000001</v>
      </c>
    </row>
    <row r="32" spans="1:15">
      <c r="A32" s="1478">
        <v>45334</v>
      </c>
      <c r="B32" s="1479">
        <v>8.2289999999999992</v>
      </c>
      <c r="C32" s="1479">
        <v>8.9329999999999998</v>
      </c>
      <c r="D32" s="1479">
        <v>9.0820000000000007</v>
      </c>
      <c r="E32" s="1479">
        <v>9.3989999999999991</v>
      </c>
      <c r="F32" s="1479">
        <v>9.5229999999999997</v>
      </c>
      <c r="G32" s="1479">
        <v>9.7249999999999996</v>
      </c>
      <c r="H32" s="1479"/>
      <c r="I32" s="1479">
        <v>9.8559999999999999</v>
      </c>
      <c r="J32" s="1479">
        <v>9.798</v>
      </c>
      <c r="K32" s="1479"/>
      <c r="L32" s="1479">
        <v>10.201000000000001</v>
      </c>
      <c r="M32" s="1479">
        <v>10.026</v>
      </c>
      <c r="N32" s="1479">
        <v>10.228</v>
      </c>
      <c r="O32" s="1479">
        <v>10.175000000000001</v>
      </c>
    </row>
    <row r="33" spans="1:15">
      <c r="A33" s="1478">
        <v>45335</v>
      </c>
      <c r="B33" s="1479">
        <v>8.2959999999999994</v>
      </c>
      <c r="C33" s="1479">
        <v>9.0540000000000003</v>
      </c>
      <c r="D33" s="1479">
        <v>9.2029999999999994</v>
      </c>
      <c r="E33" s="1479">
        <v>9.52</v>
      </c>
      <c r="F33" s="1479">
        <v>9.6539999999999999</v>
      </c>
      <c r="G33" s="1479">
        <v>9.83</v>
      </c>
      <c r="H33" s="1479"/>
      <c r="I33" s="1479">
        <v>9.9809999999999999</v>
      </c>
      <c r="J33" s="1479">
        <v>9.9030000000000005</v>
      </c>
      <c r="K33" s="1479"/>
      <c r="L33" s="1479">
        <v>10.32</v>
      </c>
      <c r="M33" s="1479">
        <v>10.112</v>
      </c>
      <c r="N33" s="1479">
        <v>10.297000000000001</v>
      </c>
      <c r="O33" s="1479">
        <v>10.273999999999999</v>
      </c>
    </row>
    <row r="34" spans="1:15">
      <c r="A34" s="1478">
        <v>45336</v>
      </c>
      <c r="B34" s="1479">
        <v>8.2249999999999996</v>
      </c>
      <c r="C34" s="1479">
        <v>9.0180000000000007</v>
      </c>
      <c r="D34" s="1479">
        <v>9.2260000000000009</v>
      </c>
      <c r="E34" s="1479">
        <v>9.5259999999999998</v>
      </c>
      <c r="F34" s="1479">
        <v>9.6489999999999991</v>
      </c>
      <c r="G34" s="1479">
        <v>9.8409999999999993</v>
      </c>
      <c r="H34" s="1479"/>
      <c r="I34" s="1479">
        <v>10</v>
      </c>
      <c r="J34" s="1479">
        <v>9.9329999999999998</v>
      </c>
      <c r="K34" s="1479"/>
      <c r="L34" s="1479">
        <v>10.327999999999999</v>
      </c>
      <c r="M34" s="1479">
        <v>10.143000000000001</v>
      </c>
      <c r="N34" s="1479">
        <v>10.303000000000001</v>
      </c>
      <c r="O34" s="1479">
        <v>10.291</v>
      </c>
    </row>
    <row r="35" spans="1:15">
      <c r="A35" s="1478">
        <v>45337</v>
      </c>
      <c r="B35" s="1479">
        <v>8.1790000000000003</v>
      </c>
      <c r="C35" s="1479">
        <v>8.9090000000000007</v>
      </c>
      <c r="D35" s="1479">
        <v>8.9529999999999994</v>
      </c>
      <c r="E35" s="1479">
        <v>9.2479999999999993</v>
      </c>
      <c r="F35" s="1479">
        <v>9.3870000000000005</v>
      </c>
      <c r="G35" s="1479">
        <v>9.6359999999999992</v>
      </c>
      <c r="H35" s="1479"/>
      <c r="I35" s="1479">
        <v>9.7720000000000002</v>
      </c>
      <c r="J35" s="1479">
        <v>9.7230000000000008</v>
      </c>
      <c r="K35" s="1479"/>
      <c r="L35" s="1479">
        <v>10.134</v>
      </c>
      <c r="M35" s="1479">
        <v>9.9550000000000001</v>
      </c>
      <c r="N35" s="1479">
        <v>10.117000000000001</v>
      </c>
      <c r="O35" s="1479">
        <v>10.098000000000001</v>
      </c>
    </row>
    <row r="36" spans="1:15">
      <c r="A36" s="1478">
        <v>45338</v>
      </c>
      <c r="B36" s="1479">
        <v>8.1050000000000004</v>
      </c>
      <c r="C36" s="1479">
        <v>8.8469999999999995</v>
      </c>
      <c r="D36" s="1479">
        <v>8.9730000000000008</v>
      </c>
      <c r="E36" s="1479">
        <v>9.2390000000000008</v>
      </c>
      <c r="F36" s="1479">
        <v>9.3810000000000002</v>
      </c>
      <c r="G36" s="1479">
        <v>9.6039999999999992</v>
      </c>
      <c r="H36" s="1479"/>
      <c r="I36" s="1479">
        <v>9.76</v>
      </c>
      <c r="J36" s="1479">
        <v>9.7240000000000002</v>
      </c>
      <c r="K36" s="1479"/>
      <c r="L36" s="1479">
        <v>10.119</v>
      </c>
      <c r="M36" s="1479">
        <v>9.9480000000000004</v>
      </c>
      <c r="N36" s="1479">
        <v>10.118</v>
      </c>
      <c r="O36" s="1479">
        <v>10.096</v>
      </c>
    </row>
    <row r="37" spans="1:15">
      <c r="A37" s="1478">
        <v>45341</v>
      </c>
      <c r="B37" s="1479">
        <v>8.0370000000000008</v>
      </c>
      <c r="C37" s="1479">
        <v>8.8689999999999998</v>
      </c>
      <c r="D37" s="1479">
        <v>8.9939999999999998</v>
      </c>
      <c r="E37" s="1479">
        <v>9.2669999999999995</v>
      </c>
      <c r="F37" s="1479">
        <v>9.4179999999999993</v>
      </c>
      <c r="G37" s="1479">
        <v>9.61</v>
      </c>
      <c r="H37" s="1479"/>
      <c r="I37" s="1479">
        <v>9.7629999999999999</v>
      </c>
      <c r="J37" s="1479">
        <v>9.7690000000000001</v>
      </c>
      <c r="K37" s="1479"/>
      <c r="L37" s="1479">
        <v>10.135999999999999</v>
      </c>
      <c r="M37" s="1479">
        <v>9.9710000000000001</v>
      </c>
      <c r="N37" s="1479">
        <v>10.138999999999999</v>
      </c>
      <c r="O37" s="1479">
        <v>10.111000000000001</v>
      </c>
    </row>
    <row r="38" spans="1:15">
      <c r="A38" s="1478">
        <v>45342</v>
      </c>
      <c r="B38" s="1479">
        <v>8.1150000000000002</v>
      </c>
      <c r="C38" s="1479">
        <v>9.0350000000000001</v>
      </c>
      <c r="D38" s="1479">
        <v>9.18</v>
      </c>
      <c r="E38" s="1479">
        <v>9.4710000000000001</v>
      </c>
      <c r="F38" s="1479">
        <v>9.5730000000000004</v>
      </c>
      <c r="G38" s="1479">
        <v>9.7620000000000005</v>
      </c>
      <c r="H38" s="1479"/>
      <c r="I38" s="1479">
        <v>9.9220000000000006</v>
      </c>
      <c r="J38" s="1479">
        <v>9.8840000000000003</v>
      </c>
      <c r="K38" s="1479"/>
      <c r="L38" s="1479">
        <v>10.246</v>
      </c>
      <c r="M38" s="1479">
        <v>10.083</v>
      </c>
      <c r="N38" s="1479">
        <v>10.238</v>
      </c>
      <c r="O38" s="1479">
        <v>10.221</v>
      </c>
    </row>
    <row r="39" spans="1:15">
      <c r="A39" s="1478">
        <v>45343</v>
      </c>
      <c r="B39" s="1479">
        <v>8.1880000000000006</v>
      </c>
      <c r="C39" s="1479">
        <v>9.1560000000000006</v>
      </c>
      <c r="D39" s="1479">
        <v>9.2799999999999994</v>
      </c>
      <c r="E39" s="1479">
        <v>9.577</v>
      </c>
      <c r="F39" s="1479">
        <v>9.6359999999999992</v>
      </c>
      <c r="G39" s="1479">
        <v>9.859</v>
      </c>
      <c r="H39" s="1479"/>
      <c r="I39" s="1479">
        <v>10.029</v>
      </c>
      <c r="J39" s="1479">
        <v>9.9930000000000003</v>
      </c>
      <c r="K39" s="1479"/>
      <c r="L39" s="1479">
        <v>10.333</v>
      </c>
      <c r="M39" s="1479">
        <v>10.176</v>
      </c>
      <c r="N39" s="1479">
        <v>10.316000000000001</v>
      </c>
      <c r="O39" s="1479">
        <v>10.305</v>
      </c>
    </row>
    <row r="40" spans="1:15">
      <c r="A40" s="1478">
        <v>45344</v>
      </c>
      <c r="B40" s="1479">
        <v>8.1940000000000008</v>
      </c>
      <c r="C40" s="1479">
        <v>9.1560000000000006</v>
      </c>
      <c r="D40" s="1479">
        <v>9.2680000000000007</v>
      </c>
      <c r="E40" s="1479">
        <v>9.5559999999999992</v>
      </c>
      <c r="F40" s="1479">
        <v>9.5500000000000007</v>
      </c>
      <c r="G40" s="1479">
        <v>9.8360000000000003</v>
      </c>
      <c r="H40" s="1479"/>
      <c r="I40" s="1479">
        <v>9.9979999999999993</v>
      </c>
      <c r="J40" s="1479">
        <v>9.9309999999999992</v>
      </c>
      <c r="K40" s="1479"/>
      <c r="L40" s="1479">
        <v>10.272</v>
      </c>
      <c r="M40" s="1479">
        <v>10.105</v>
      </c>
      <c r="N40" s="1479">
        <v>10.272</v>
      </c>
      <c r="O40" s="1479">
        <v>10.246</v>
      </c>
    </row>
    <row r="41" spans="1:15">
      <c r="A41" s="1478">
        <v>45345</v>
      </c>
      <c r="B41" s="1479">
        <v>8.1720000000000006</v>
      </c>
      <c r="C41" s="1479">
        <v>9.0359999999999996</v>
      </c>
      <c r="D41" s="1479">
        <v>9.157</v>
      </c>
      <c r="E41" s="1479">
        <v>9.4580000000000002</v>
      </c>
      <c r="F41" s="1479">
        <v>9.4030000000000005</v>
      </c>
      <c r="G41" s="1479">
        <v>9.6989999999999998</v>
      </c>
      <c r="H41" s="1479"/>
      <c r="I41" s="1479">
        <v>9.8520000000000003</v>
      </c>
      <c r="J41" s="1479">
        <v>9.8089999999999993</v>
      </c>
      <c r="K41" s="1479"/>
      <c r="L41" s="1479">
        <v>10.138</v>
      </c>
      <c r="M41" s="1479">
        <v>10.021000000000001</v>
      </c>
      <c r="N41" s="1479">
        <v>10.182</v>
      </c>
      <c r="O41" s="1479">
        <v>10.147</v>
      </c>
    </row>
    <row r="42" spans="1:15">
      <c r="A42" s="1478">
        <v>45348</v>
      </c>
      <c r="B42" s="1479">
        <v>8.17</v>
      </c>
      <c r="C42" s="1479">
        <v>8.9640000000000004</v>
      </c>
      <c r="D42" s="1479">
        <v>9.1110000000000007</v>
      </c>
      <c r="E42" s="1479">
        <v>9.4039999999999999</v>
      </c>
      <c r="F42" s="1479">
        <v>9.4049999999999994</v>
      </c>
      <c r="G42" s="1479">
        <v>9.6180000000000003</v>
      </c>
      <c r="H42" s="1479"/>
      <c r="I42" s="1479">
        <v>9.8040000000000003</v>
      </c>
      <c r="J42" s="1479">
        <v>9.7590000000000003</v>
      </c>
      <c r="K42" s="1479"/>
      <c r="L42" s="1479">
        <v>10.132999999999999</v>
      </c>
      <c r="M42" s="1479">
        <v>9.98</v>
      </c>
      <c r="N42" s="1479">
        <v>10.145</v>
      </c>
      <c r="O42" s="1479">
        <v>10.118</v>
      </c>
    </row>
    <row r="43" spans="1:15">
      <c r="A43" s="1478">
        <v>45349</v>
      </c>
      <c r="B43" s="1479">
        <v>8.1549999999999994</v>
      </c>
      <c r="C43" s="1479">
        <v>9.0109999999999992</v>
      </c>
      <c r="D43" s="1479">
        <v>9.17</v>
      </c>
      <c r="E43" s="1479">
        <v>9.44</v>
      </c>
      <c r="F43" s="1479">
        <v>9.4960000000000004</v>
      </c>
      <c r="G43" s="1479">
        <v>9.673</v>
      </c>
      <c r="H43" s="1479"/>
      <c r="I43" s="1479">
        <v>9.8529999999999998</v>
      </c>
      <c r="J43" s="1479">
        <v>9.7959999999999994</v>
      </c>
      <c r="K43" s="1479"/>
      <c r="L43" s="1479">
        <v>10.186</v>
      </c>
      <c r="M43" s="1479">
        <v>10.000999999999999</v>
      </c>
      <c r="N43" s="1479">
        <v>10.166</v>
      </c>
      <c r="O43" s="1479">
        <v>10.151999999999999</v>
      </c>
    </row>
    <row r="44" spans="1:15">
      <c r="A44" s="1478">
        <v>45350</v>
      </c>
      <c r="B44" s="1479">
        <v>8.0589999999999993</v>
      </c>
      <c r="C44" s="1479">
        <v>9.0820000000000007</v>
      </c>
      <c r="D44" s="1479">
        <v>9.2289999999999992</v>
      </c>
      <c r="E44" s="1479">
        <v>9.4740000000000002</v>
      </c>
      <c r="F44" s="1479">
        <v>9.5449999999999999</v>
      </c>
      <c r="G44" s="1479">
        <v>9.7370000000000001</v>
      </c>
      <c r="H44" s="1479"/>
      <c r="I44" s="1479">
        <v>9.9359999999999999</v>
      </c>
      <c r="J44" s="1479">
        <v>9.8689999999999998</v>
      </c>
      <c r="K44" s="1479"/>
      <c r="L44" s="1479">
        <v>10.295</v>
      </c>
      <c r="M44" s="1479">
        <v>10.074999999999999</v>
      </c>
      <c r="N44" s="1479">
        <v>10.234999999999999</v>
      </c>
      <c r="O44" s="1479">
        <v>10.212999999999999</v>
      </c>
    </row>
    <row r="45" spans="1:15">
      <c r="A45" s="1478">
        <v>45351</v>
      </c>
      <c r="B45" s="1479">
        <v>8.1010000000000009</v>
      </c>
      <c r="C45" s="1479">
        <v>9.1890000000000001</v>
      </c>
      <c r="D45" s="1479">
        <v>9.3089999999999993</v>
      </c>
      <c r="E45" s="1479">
        <v>9.5340000000000007</v>
      </c>
      <c r="F45" s="1479">
        <v>9.6020000000000003</v>
      </c>
      <c r="G45" s="1479">
        <v>9.782</v>
      </c>
      <c r="H45" s="1479"/>
      <c r="I45" s="1479">
        <v>9.9570000000000007</v>
      </c>
      <c r="J45" s="1479">
        <v>9.9019999999999992</v>
      </c>
      <c r="K45" s="1479"/>
      <c r="L45" s="1479">
        <v>10.275</v>
      </c>
      <c r="M45" s="1479">
        <v>10.098000000000001</v>
      </c>
      <c r="N45" s="1479">
        <v>10.239000000000001</v>
      </c>
      <c r="O45" s="1479">
        <v>10.234999999999999</v>
      </c>
    </row>
    <row r="46" spans="1:15">
      <c r="A46" s="1478">
        <v>45352</v>
      </c>
      <c r="B46" s="1479">
        <v>8.125</v>
      </c>
      <c r="C46" s="1479">
        <v>9.077</v>
      </c>
      <c r="D46" s="1479">
        <v>9.1560000000000006</v>
      </c>
      <c r="E46" s="1479">
        <v>9.375</v>
      </c>
      <c r="F46" s="1479">
        <v>9.4499999999999993</v>
      </c>
      <c r="G46" s="1479">
        <v>9.6129999999999995</v>
      </c>
      <c r="H46" s="1479"/>
      <c r="I46" s="1479">
        <v>9.7789999999999999</v>
      </c>
      <c r="J46" s="1479">
        <v>9.7569999999999997</v>
      </c>
      <c r="K46" s="1479"/>
      <c r="L46" s="1479">
        <v>10.097</v>
      </c>
      <c r="M46" s="1479">
        <v>9.9640000000000004</v>
      </c>
      <c r="N46" s="1479">
        <v>10.117000000000001</v>
      </c>
      <c r="O46" s="1479">
        <v>10.1</v>
      </c>
    </row>
    <row r="47" spans="1:15">
      <c r="A47" s="1478">
        <v>45355</v>
      </c>
      <c r="B47" s="1479">
        <v>8.08</v>
      </c>
      <c r="C47" s="1479">
        <v>8.9610000000000003</v>
      </c>
      <c r="D47" s="1479">
        <v>9.1010000000000009</v>
      </c>
      <c r="E47" s="1479">
        <v>9.3249999999999993</v>
      </c>
      <c r="F47" s="1479">
        <v>9.4139999999999997</v>
      </c>
      <c r="G47" s="1479">
        <v>9.5670000000000002</v>
      </c>
      <c r="H47" s="1479"/>
      <c r="I47" s="1479">
        <v>9.6999999999999993</v>
      </c>
      <c r="J47" s="1479">
        <v>9.6829999999999998</v>
      </c>
      <c r="K47" s="1479"/>
      <c r="L47" s="1479">
        <v>10.026</v>
      </c>
      <c r="M47" s="1479">
        <v>9.92</v>
      </c>
      <c r="N47" s="1479">
        <v>10.067</v>
      </c>
      <c r="O47" s="1479">
        <v>10.048</v>
      </c>
    </row>
    <row r="48" spans="1:15">
      <c r="A48" s="1478">
        <v>45356</v>
      </c>
      <c r="B48" s="1479">
        <v>8.08</v>
      </c>
      <c r="C48" s="1479">
        <v>8.9600000000000009</v>
      </c>
      <c r="D48" s="1479">
        <v>9.0730000000000004</v>
      </c>
      <c r="E48" s="1479">
        <v>9.3019999999999996</v>
      </c>
      <c r="F48" s="1479">
        <v>9.4120000000000008</v>
      </c>
      <c r="G48" s="1479">
        <v>9.5559999999999992</v>
      </c>
      <c r="H48" s="1479"/>
      <c r="I48" s="1479">
        <v>9.7029999999999994</v>
      </c>
      <c r="J48" s="1479">
        <v>9.6820000000000004</v>
      </c>
      <c r="K48" s="1479"/>
      <c r="L48" s="1479">
        <v>10.032</v>
      </c>
      <c r="M48" s="1479">
        <v>9.9320000000000004</v>
      </c>
      <c r="N48" s="1479">
        <v>10.074999999999999</v>
      </c>
      <c r="O48" s="1479">
        <v>10.071</v>
      </c>
    </row>
    <row r="49" spans="1:15">
      <c r="A49" s="1478">
        <v>45357</v>
      </c>
      <c r="B49" s="1479">
        <v>8.0760000000000005</v>
      </c>
      <c r="C49" s="1479">
        <v>8.9410000000000007</v>
      </c>
      <c r="D49" s="1479">
        <v>9.0269999999999992</v>
      </c>
      <c r="E49" s="1479">
        <v>9.2729999999999997</v>
      </c>
      <c r="F49" s="1479">
        <v>9.375</v>
      </c>
      <c r="G49" s="1479">
        <v>9.5310000000000006</v>
      </c>
      <c r="H49" s="1479"/>
      <c r="I49" s="1479">
        <v>9.6709999999999994</v>
      </c>
      <c r="J49" s="1479">
        <v>9.6720000000000006</v>
      </c>
      <c r="K49" s="1479"/>
      <c r="L49" s="1479">
        <v>9.9849999999999994</v>
      </c>
      <c r="M49" s="1479">
        <v>9.9179999999999993</v>
      </c>
      <c r="N49" s="1479">
        <v>10.042</v>
      </c>
      <c r="O49" s="1479">
        <v>10.050000000000001</v>
      </c>
    </row>
    <row r="50" spans="1:15">
      <c r="A50" s="1478">
        <v>45358</v>
      </c>
      <c r="B50" s="1479">
        <v>8.0389999999999997</v>
      </c>
      <c r="C50" s="1479">
        <v>9.0120000000000005</v>
      </c>
      <c r="D50" s="1479">
        <v>9.1379999999999999</v>
      </c>
      <c r="E50" s="1479">
        <v>9.3350000000000009</v>
      </c>
      <c r="F50" s="1479">
        <v>9.4239999999999995</v>
      </c>
      <c r="G50" s="1479">
        <v>9.5730000000000004</v>
      </c>
      <c r="H50" s="1479"/>
      <c r="I50" s="1479">
        <v>9.7330000000000005</v>
      </c>
      <c r="J50" s="1479">
        <v>9.7379999999999995</v>
      </c>
      <c r="K50" s="1479"/>
      <c r="L50" s="1479">
        <v>10.07</v>
      </c>
      <c r="M50" s="1479">
        <v>10.005000000000001</v>
      </c>
      <c r="N50" s="1479">
        <v>10.116</v>
      </c>
      <c r="O50" s="1479">
        <v>10.121</v>
      </c>
    </row>
    <row r="51" spans="1:15">
      <c r="A51" s="1478">
        <v>45359</v>
      </c>
      <c r="B51" s="1479">
        <v>8.0510000000000002</v>
      </c>
      <c r="C51" s="1479">
        <v>8.8979999999999997</v>
      </c>
      <c r="D51" s="1479">
        <v>9.08</v>
      </c>
      <c r="E51" s="1479">
        <v>9.2880000000000003</v>
      </c>
      <c r="F51" s="1479">
        <v>9.4049999999999994</v>
      </c>
      <c r="G51" s="1479">
        <v>9.5429999999999993</v>
      </c>
      <c r="H51" s="1479"/>
      <c r="I51" s="1479">
        <v>9.68</v>
      </c>
      <c r="J51" s="1479">
        <v>9.6969999999999992</v>
      </c>
      <c r="K51" s="1479"/>
      <c r="L51" s="1479">
        <v>10.021000000000001</v>
      </c>
      <c r="M51" s="1479">
        <v>9.9559999999999995</v>
      </c>
      <c r="N51" s="1479">
        <v>10.082000000000001</v>
      </c>
      <c r="O51" s="1479">
        <v>10.105</v>
      </c>
    </row>
    <row r="52" spans="1:15">
      <c r="A52" s="1478">
        <v>45362</v>
      </c>
      <c r="B52" s="1479">
        <v>8.2140000000000004</v>
      </c>
      <c r="C52" s="1479">
        <v>9.0809999999999995</v>
      </c>
      <c r="D52" s="1479">
        <v>9.1859999999999999</v>
      </c>
      <c r="E52" s="1479">
        <v>9.4429999999999996</v>
      </c>
      <c r="F52" s="1479">
        <v>9.5749999999999993</v>
      </c>
      <c r="G52" s="1479">
        <v>9.7080000000000002</v>
      </c>
      <c r="H52" s="1479"/>
      <c r="I52" s="1479">
        <v>9.8360000000000003</v>
      </c>
      <c r="J52" s="1479">
        <v>9.8390000000000004</v>
      </c>
      <c r="K52" s="1479"/>
      <c r="L52" s="1479">
        <v>10.154999999999999</v>
      </c>
      <c r="M52" s="1479">
        <v>10.067</v>
      </c>
      <c r="N52" s="1479">
        <v>10.173999999999999</v>
      </c>
      <c r="O52" s="1479">
        <v>10.217000000000001</v>
      </c>
    </row>
    <row r="53" spans="1:15">
      <c r="A53" s="1478">
        <v>45363</v>
      </c>
      <c r="B53" s="1479">
        <v>8.2579999999999991</v>
      </c>
      <c r="C53" s="1479">
        <v>9.1609999999999996</v>
      </c>
      <c r="D53" s="1479">
        <v>9.3160000000000007</v>
      </c>
      <c r="E53" s="1479">
        <v>9.6389999999999993</v>
      </c>
      <c r="F53" s="1479">
        <v>9.7129999999999992</v>
      </c>
      <c r="G53" s="1479">
        <v>9.8360000000000003</v>
      </c>
      <c r="H53" s="1479"/>
      <c r="I53" s="1479">
        <v>9.9540000000000006</v>
      </c>
      <c r="J53" s="1479">
        <v>9.9879999999999995</v>
      </c>
      <c r="K53" s="1479"/>
      <c r="L53" s="1479">
        <v>10.256</v>
      </c>
      <c r="M53" s="1479">
        <v>10.231</v>
      </c>
      <c r="N53" s="1479">
        <v>10.311999999999999</v>
      </c>
      <c r="O53" s="1479">
        <v>10.364000000000001</v>
      </c>
    </row>
    <row r="54" spans="1:15">
      <c r="A54" s="1478">
        <v>45364</v>
      </c>
      <c r="B54" s="1479">
        <v>8.2279999999999998</v>
      </c>
      <c r="C54" s="1479">
        <v>9.0730000000000004</v>
      </c>
      <c r="D54" s="1479">
        <v>9.2650000000000006</v>
      </c>
      <c r="E54" s="1479">
        <v>9.5519999999999996</v>
      </c>
      <c r="F54" s="1479">
        <v>9.6649999999999991</v>
      </c>
      <c r="G54" s="1479">
        <v>9.7959999999999994</v>
      </c>
      <c r="H54" s="1479"/>
      <c r="I54" s="1479">
        <v>9.9120000000000008</v>
      </c>
      <c r="J54" s="1479">
        <v>9.968</v>
      </c>
      <c r="K54" s="1479"/>
      <c r="L54" s="1479">
        <v>10.236000000000001</v>
      </c>
      <c r="M54" s="1479">
        <v>10.202</v>
      </c>
      <c r="N54" s="1479">
        <v>10.3</v>
      </c>
      <c r="O54" s="1479">
        <v>10.347</v>
      </c>
    </row>
    <row r="55" spans="1:15">
      <c r="A55" s="1478">
        <v>45365</v>
      </c>
      <c r="B55" s="1479">
        <v>8.1959999999999997</v>
      </c>
      <c r="C55" s="1479">
        <v>9.1379999999999999</v>
      </c>
      <c r="D55" s="1479">
        <v>9.3119999999999994</v>
      </c>
      <c r="E55" s="1479">
        <v>9.6669999999999998</v>
      </c>
      <c r="F55" s="1479">
        <v>9.7270000000000003</v>
      </c>
      <c r="G55" s="1479">
        <v>9.8849999999999998</v>
      </c>
      <c r="H55" s="1479"/>
      <c r="I55" s="1479">
        <v>10.034000000000001</v>
      </c>
      <c r="J55" s="1479">
        <v>10.067</v>
      </c>
      <c r="K55" s="1479"/>
      <c r="L55" s="1479">
        <v>10.34</v>
      </c>
      <c r="M55" s="1479">
        <v>10.266999999999999</v>
      </c>
      <c r="N55" s="1479">
        <v>10.385999999999999</v>
      </c>
      <c r="O55" s="1479">
        <v>10.409000000000001</v>
      </c>
    </row>
    <row r="56" spans="1:15">
      <c r="A56" s="1478">
        <v>45366</v>
      </c>
      <c r="B56" s="1479">
        <v>8.2230000000000008</v>
      </c>
      <c r="C56" s="1479">
        <v>9.202</v>
      </c>
      <c r="D56" s="1479">
        <v>9.4269999999999996</v>
      </c>
      <c r="E56" s="1479">
        <v>9.7850000000000001</v>
      </c>
      <c r="F56" s="1479">
        <v>9.8989999999999991</v>
      </c>
      <c r="G56" s="1479">
        <v>10.064</v>
      </c>
      <c r="H56" s="1479"/>
      <c r="I56" s="1479">
        <v>10.179</v>
      </c>
      <c r="J56" s="1479">
        <v>10.228999999999999</v>
      </c>
      <c r="K56" s="1479"/>
      <c r="L56" s="1479">
        <v>10.486000000000001</v>
      </c>
      <c r="M56" s="1479">
        <v>10.443</v>
      </c>
      <c r="N56" s="1479">
        <v>10.536</v>
      </c>
      <c r="O56" s="1479">
        <v>10.561999999999999</v>
      </c>
    </row>
    <row r="57" spans="1:15">
      <c r="A57" s="1478">
        <v>45369</v>
      </c>
      <c r="B57" s="1479">
        <v>8.1720000000000006</v>
      </c>
      <c r="C57" s="1479">
        <v>9.2309999999999999</v>
      </c>
      <c r="D57" s="1479">
        <v>9.4920000000000009</v>
      </c>
      <c r="E57" s="1479">
        <v>9.8369999999999997</v>
      </c>
      <c r="F57" s="1479">
        <v>9.94</v>
      </c>
      <c r="G57" s="1479">
        <v>10.093</v>
      </c>
      <c r="H57" s="1479"/>
      <c r="I57" s="1479">
        <v>10.231</v>
      </c>
      <c r="J57" s="1479">
        <v>10.281000000000001</v>
      </c>
      <c r="K57" s="1479"/>
      <c r="L57" s="1479">
        <v>10.542</v>
      </c>
      <c r="M57" s="1479">
        <v>10.506</v>
      </c>
      <c r="N57" s="1479">
        <v>10.58</v>
      </c>
      <c r="O57" s="1479">
        <v>10.657999999999999</v>
      </c>
    </row>
    <row r="58" spans="1:15">
      <c r="A58" s="1478">
        <v>45370</v>
      </c>
      <c r="B58" s="1479">
        <v>8.141</v>
      </c>
      <c r="C58" s="1479">
        <v>8.9890000000000008</v>
      </c>
      <c r="D58" s="1479">
        <v>9.343</v>
      </c>
      <c r="E58" s="1479">
        <v>9.6859999999999999</v>
      </c>
      <c r="F58" s="1479">
        <v>9.7789999999999999</v>
      </c>
      <c r="G58" s="1479">
        <v>9.9280000000000008</v>
      </c>
      <c r="H58" s="1479"/>
      <c r="I58" s="1479">
        <v>10.089</v>
      </c>
      <c r="J58" s="1479">
        <v>10.137</v>
      </c>
      <c r="K58" s="1479"/>
      <c r="L58" s="1479">
        <v>10.42</v>
      </c>
      <c r="M58" s="1479">
        <v>10.404</v>
      </c>
      <c r="N58" s="1479">
        <v>10.474</v>
      </c>
      <c r="O58" s="1479">
        <v>10.539</v>
      </c>
    </row>
    <row r="59" spans="1:15">
      <c r="A59" s="1478">
        <v>45371</v>
      </c>
      <c r="B59" s="1479">
        <v>7.7750000000000004</v>
      </c>
      <c r="C59" s="1479">
        <v>8.7870000000000008</v>
      </c>
      <c r="D59" s="1479">
        <v>9.1170000000000009</v>
      </c>
      <c r="E59" s="1479">
        <v>9.3580000000000005</v>
      </c>
      <c r="F59" s="1479">
        <v>9.5239999999999991</v>
      </c>
      <c r="G59" s="1479">
        <v>9.7110000000000003</v>
      </c>
      <c r="H59" s="1479"/>
      <c r="I59" s="1479">
        <v>9.8569999999999993</v>
      </c>
      <c r="J59" s="1479">
        <v>9.9469999999999992</v>
      </c>
      <c r="K59" s="1479"/>
      <c r="L59" s="1479">
        <v>10.239000000000001</v>
      </c>
      <c r="M59" s="1479">
        <v>10.247999999999999</v>
      </c>
      <c r="N59" s="1479">
        <v>10.335000000000001</v>
      </c>
      <c r="O59" s="1479">
        <v>10.409000000000001</v>
      </c>
    </row>
    <row r="60" spans="1:15">
      <c r="A60" s="1478">
        <v>45372</v>
      </c>
      <c r="B60" s="1479">
        <v>7.4080000000000004</v>
      </c>
      <c r="C60" s="1479">
        <v>8.3209999999999997</v>
      </c>
      <c r="D60" s="1479">
        <v>8.6579999999999995</v>
      </c>
      <c r="E60" s="1479">
        <v>9.0039999999999996</v>
      </c>
      <c r="F60" s="1479">
        <v>9.1319999999999997</v>
      </c>
      <c r="G60" s="1479">
        <v>9.3490000000000002</v>
      </c>
      <c r="H60" s="1479"/>
      <c r="I60" s="1479">
        <v>9.5050000000000008</v>
      </c>
      <c r="J60" s="1479">
        <v>9.6300000000000008</v>
      </c>
      <c r="K60" s="1479"/>
      <c r="L60" s="1479">
        <v>9.9710000000000001</v>
      </c>
      <c r="M60" s="1479">
        <v>9.9909999999999997</v>
      </c>
      <c r="N60" s="1479">
        <v>10.101000000000001</v>
      </c>
      <c r="O60" s="1479">
        <v>10.113</v>
      </c>
    </row>
    <row r="61" spans="1:15">
      <c r="A61" s="1478">
        <v>45373</v>
      </c>
      <c r="B61" s="1479">
        <v>7.4980000000000002</v>
      </c>
      <c r="C61" s="1479">
        <v>8.3160000000000007</v>
      </c>
      <c r="D61" s="1479">
        <v>8.66</v>
      </c>
      <c r="E61" s="1479">
        <v>9.0090000000000003</v>
      </c>
      <c r="F61" s="1479">
        <v>9.1660000000000004</v>
      </c>
      <c r="G61" s="1479">
        <v>9.3829999999999991</v>
      </c>
      <c r="H61" s="1479"/>
      <c r="I61" s="1479">
        <v>9.5609999999999999</v>
      </c>
      <c r="J61" s="1479">
        <v>9.6880000000000006</v>
      </c>
      <c r="K61" s="1479"/>
      <c r="L61" s="1479">
        <v>10.037000000000001</v>
      </c>
      <c r="M61" s="1479">
        <v>10.029999999999999</v>
      </c>
      <c r="N61" s="1479">
        <v>10.118</v>
      </c>
      <c r="O61" s="1479">
        <v>10.159000000000001</v>
      </c>
    </row>
    <row r="62" spans="1:15">
      <c r="A62" s="1478">
        <v>45376</v>
      </c>
      <c r="B62" s="1479">
        <v>7.577</v>
      </c>
      <c r="C62" s="1479">
        <v>8.3550000000000004</v>
      </c>
      <c r="D62" s="1479">
        <v>8.7010000000000005</v>
      </c>
      <c r="E62" s="1479">
        <v>9.0269999999999992</v>
      </c>
      <c r="F62" s="1479">
        <v>9.2059999999999995</v>
      </c>
      <c r="G62" s="1479">
        <v>9.4209999999999994</v>
      </c>
      <c r="H62" s="1479"/>
      <c r="I62" s="1479">
        <v>9.5760000000000005</v>
      </c>
      <c r="J62" s="1479">
        <v>9.7110000000000003</v>
      </c>
      <c r="K62" s="1479"/>
      <c r="L62" s="1479">
        <v>10.048</v>
      </c>
      <c r="M62" s="1479">
        <v>10.038</v>
      </c>
      <c r="N62" s="1479">
        <v>10.138</v>
      </c>
      <c r="O62" s="1479">
        <v>10.17</v>
      </c>
    </row>
    <row r="63" spans="1:15">
      <c r="A63" s="1478">
        <v>45377</v>
      </c>
      <c r="B63" s="1479">
        <v>7.3789999999999996</v>
      </c>
      <c r="C63" s="1479">
        <v>8.1660000000000004</v>
      </c>
      <c r="D63" s="1479">
        <v>8.4939999999999998</v>
      </c>
      <c r="E63" s="1479">
        <v>8.7490000000000006</v>
      </c>
      <c r="F63" s="1479">
        <v>8.9269999999999996</v>
      </c>
      <c r="G63" s="1479">
        <v>9.2029999999999994</v>
      </c>
      <c r="H63" s="1479"/>
      <c r="I63" s="1479">
        <v>9.3719999999999999</v>
      </c>
      <c r="J63" s="1479">
        <v>9.5510000000000002</v>
      </c>
      <c r="K63" s="1479"/>
      <c r="L63" s="1479">
        <v>9.91</v>
      </c>
      <c r="M63" s="1479">
        <v>9.952</v>
      </c>
      <c r="N63" s="1479">
        <v>10.067</v>
      </c>
      <c r="O63" s="1479">
        <v>10.08</v>
      </c>
    </row>
    <row r="64" spans="1:15">
      <c r="A64" s="1478">
        <v>45378</v>
      </c>
      <c r="B64" s="1479">
        <v>7.4119999999999999</v>
      </c>
      <c r="C64" s="1479">
        <v>8.2010000000000005</v>
      </c>
      <c r="D64" s="1479">
        <v>8.516</v>
      </c>
      <c r="E64" s="1479">
        <v>8.8170000000000002</v>
      </c>
      <c r="F64" s="1479">
        <v>9.0079999999999991</v>
      </c>
      <c r="G64" s="1479">
        <v>9.2829999999999995</v>
      </c>
      <c r="H64" s="1479"/>
      <c r="I64" s="1479">
        <v>9.4649999999999999</v>
      </c>
      <c r="J64" s="1479">
        <v>9.6210000000000004</v>
      </c>
      <c r="K64" s="1479"/>
      <c r="L64" s="1479">
        <v>9.9960000000000004</v>
      </c>
      <c r="M64" s="1479">
        <v>10.031000000000001</v>
      </c>
      <c r="N64" s="1479">
        <v>10.109</v>
      </c>
      <c r="O64" s="1479">
        <v>10.157999999999999</v>
      </c>
    </row>
    <row r="65" spans="1:15">
      <c r="A65" s="1478">
        <v>45379</v>
      </c>
      <c r="B65" s="1479">
        <v>7.4429999999999996</v>
      </c>
      <c r="C65" s="1479">
        <v>8.202</v>
      </c>
      <c r="D65" s="1479">
        <v>8.5449999999999999</v>
      </c>
      <c r="E65" s="1479">
        <v>8.8160000000000007</v>
      </c>
      <c r="F65" s="1479">
        <v>9.048</v>
      </c>
      <c r="G65" s="1479">
        <v>9.2880000000000003</v>
      </c>
      <c r="H65" s="1479"/>
      <c r="I65" s="1479">
        <v>9.468</v>
      </c>
      <c r="J65" s="1479">
        <v>9.6210000000000004</v>
      </c>
      <c r="K65" s="1479"/>
      <c r="L65" s="1479">
        <v>9.9879999999999995</v>
      </c>
      <c r="M65" s="1479">
        <v>10.015000000000001</v>
      </c>
      <c r="N65" s="1479">
        <v>10.096</v>
      </c>
      <c r="O65" s="1479">
        <v>10.144</v>
      </c>
    </row>
    <row r="66" spans="1:15">
      <c r="A66" s="1478">
        <v>45380</v>
      </c>
      <c r="B66" s="1479">
        <v>7.4710000000000001</v>
      </c>
      <c r="C66" s="1479">
        <v>8.2029999999999994</v>
      </c>
      <c r="D66" s="1479">
        <v>8.5250000000000004</v>
      </c>
      <c r="E66" s="1479">
        <v>8.8339999999999996</v>
      </c>
      <c r="F66" s="1479">
        <v>9.0530000000000008</v>
      </c>
      <c r="G66" s="1479">
        <v>9.2970000000000006</v>
      </c>
      <c r="H66" s="1479"/>
      <c r="I66" s="1479">
        <v>9.4740000000000002</v>
      </c>
      <c r="J66" s="1479">
        <v>9.6340000000000003</v>
      </c>
      <c r="K66" s="1479"/>
      <c r="L66" s="1479">
        <v>10.015000000000001</v>
      </c>
      <c r="M66" s="1479">
        <v>10.012</v>
      </c>
      <c r="N66" s="1479">
        <v>10.122</v>
      </c>
      <c r="O66" s="1479">
        <v>10.14</v>
      </c>
    </row>
    <row r="67" spans="1:15">
      <c r="A67" s="1478">
        <v>45383</v>
      </c>
      <c r="B67" s="1479">
        <v>7.4560000000000004</v>
      </c>
      <c r="C67" s="1479">
        <v>8.2240000000000002</v>
      </c>
      <c r="D67" s="1479">
        <v>8.5739999999999998</v>
      </c>
      <c r="E67" s="1479">
        <v>8.82</v>
      </c>
      <c r="F67" s="1479">
        <v>9.0500000000000007</v>
      </c>
      <c r="G67" s="1479">
        <v>9.3149999999999995</v>
      </c>
      <c r="H67" s="1479"/>
      <c r="I67" s="1479">
        <v>9.5459999999999994</v>
      </c>
      <c r="J67" s="1479">
        <v>9.6669999999999998</v>
      </c>
      <c r="K67" s="1479"/>
      <c r="L67" s="1479">
        <v>10.074</v>
      </c>
      <c r="M67" s="1479">
        <v>10.068</v>
      </c>
      <c r="N67" s="1479">
        <v>10.121</v>
      </c>
      <c r="O67" s="1479">
        <v>10.145</v>
      </c>
    </row>
    <row r="68" spans="1:15">
      <c r="A68" s="1478">
        <v>45384</v>
      </c>
      <c r="B68" s="1479">
        <v>7.4669999999999996</v>
      </c>
      <c r="C68" s="1479">
        <v>8.4209999999999994</v>
      </c>
      <c r="D68" s="1479">
        <v>8.8040000000000003</v>
      </c>
      <c r="E68" s="1479">
        <v>9.1199999999999992</v>
      </c>
      <c r="F68" s="1479">
        <v>9.3140000000000001</v>
      </c>
      <c r="G68" s="1479">
        <v>9.5489999999999995</v>
      </c>
      <c r="H68" s="1479"/>
      <c r="I68" s="1479">
        <v>9.75</v>
      </c>
      <c r="J68" s="1479">
        <v>9.8940000000000001</v>
      </c>
      <c r="K68" s="1479"/>
      <c r="L68" s="1479">
        <v>10.273999999999999</v>
      </c>
      <c r="M68" s="1479">
        <v>10.323</v>
      </c>
      <c r="N68" s="1479">
        <v>10.335000000000001</v>
      </c>
      <c r="O68" s="1479">
        <v>10.414</v>
      </c>
    </row>
    <row r="69" spans="1:15">
      <c r="A69" s="1478">
        <v>45385</v>
      </c>
      <c r="B69" s="1479">
        <v>7.4749999999999996</v>
      </c>
      <c r="C69" s="1479">
        <v>8.3580000000000005</v>
      </c>
      <c r="D69" s="1479">
        <v>8.7219999999999995</v>
      </c>
      <c r="E69" s="1479">
        <v>9.0540000000000003</v>
      </c>
      <c r="F69" s="1479">
        <v>9.2729999999999997</v>
      </c>
      <c r="G69" s="1479">
        <v>9.5</v>
      </c>
      <c r="H69" s="1479"/>
      <c r="I69" s="1479">
        <v>9.6959999999999997</v>
      </c>
      <c r="J69" s="1479">
        <v>9.827</v>
      </c>
      <c r="K69" s="1479"/>
      <c r="L69" s="1479">
        <v>10.221</v>
      </c>
      <c r="M69" s="1479">
        <v>10.257</v>
      </c>
      <c r="N69" s="1479">
        <v>10.262</v>
      </c>
      <c r="O69" s="1479">
        <v>10.335000000000001</v>
      </c>
    </row>
    <row r="70" spans="1:15">
      <c r="A70" s="1478">
        <v>45386</v>
      </c>
      <c r="B70" s="1479">
        <v>7.42</v>
      </c>
      <c r="C70" s="1479">
        <v>8.2050000000000001</v>
      </c>
      <c r="D70" s="1479">
        <v>8.6110000000000007</v>
      </c>
      <c r="E70" s="1479">
        <v>8.8670000000000009</v>
      </c>
      <c r="F70" s="1479">
        <v>9.0679999999999996</v>
      </c>
      <c r="G70" s="1479">
        <v>9.3019999999999996</v>
      </c>
      <c r="H70" s="1479"/>
      <c r="I70" s="1479">
        <v>9.52</v>
      </c>
      <c r="J70" s="1479">
        <v>9.6419999999999995</v>
      </c>
      <c r="K70" s="1479"/>
      <c r="L70" s="1479">
        <v>10.06</v>
      </c>
      <c r="M70" s="1479">
        <v>10.09</v>
      </c>
      <c r="N70" s="1479">
        <v>10.128</v>
      </c>
      <c r="O70" s="1479">
        <v>10.183999999999999</v>
      </c>
    </row>
    <row r="71" spans="1:15">
      <c r="A71" s="1478">
        <v>45387</v>
      </c>
      <c r="B71" s="1479">
        <v>7.4889999999999999</v>
      </c>
      <c r="C71" s="1479">
        <v>8.3179999999999996</v>
      </c>
      <c r="D71" s="1479">
        <v>8.75</v>
      </c>
      <c r="E71" s="1479">
        <v>8.9789999999999992</v>
      </c>
      <c r="F71" s="1479">
        <v>9.2010000000000005</v>
      </c>
      <c r="G71" s="1479">
        <v>9.4309999999999992</v>
      </c>
      <c r="H71" s="1479"/>
      <c r="I71" s="1479">
        <v>9.6289999999999996</v>
      </c>
      <c r="J71" s="1479">
        <v>9.7560000000000002</v>
      </c>
      <c r="K71" s="1479"/>
      <c r="L71" s="1479">
        <v>10.175000000000001</v>
      </c>
      <c r="M71" s="1479">
        <v>10.164999999999999</v>
      </c>
      <c r="N71" s="1479">
        <v>10.201000000000001</v>
      </c>
      <c r="O71" s="1479">
        <v>10.298</v>
      </c>
    </row>
    <row r="72" spans="1:15">
      <c r="A72" s="1478">
        <v>45390</v>
      </c>
      <c r="B72" s="1479">
        <v>7.52</v>
      </c>
      <c r="C72" s="1479">
        <v>8.3360000000000003</v>
      </c>
      <c r="D72" s="1479">
        <v>8.7769999999999992</v>
      </c>
      <c r="E72" s="1479">
        <v>8.9990000000000006</v>
      </c>
      <c r="F72" s="1479">
        <v>9.1959999999999997</v>
      </c>
      <c r="G72" s="1479">
        <v>9.41</v>
      </c>
      <c r="H72" s="1479"/>
      <c r="I72" s="1479">
        <v>9.6329999999999991</v>
      </c>
      <c r="J72" s="1479">
        <v>9.7539999999999996</v>
      </c>
      <c r="K72" s="1479"/>
      <c r="L72" s="1479">
        <v>10.129</v>
      </c>
      <c r="M72" s="1479">
        <v>10.137</v>
      </c>
      <c r="N72" s="1479">
        <v>10.182</v>
      </c>
      <c r="O72" s="1479">
        <v>10.265000000000001</v>
      </c>
    </row>
    <row r="73" spans="1:15">
      <c r="A73" s="1478">
        <v>45391</v>
      </c>
      <c r="B73" s="1479">
        <v>7.4630000000000001</v>
      </c>
      <c r="C73" s="1479">
        <v>8.2270000000000003</v>
      </c>
      <c r="D73" s="1479">
        <v>8.5570000000000004</v>
      </c>
      <c r="E73" s="1479">
        <v>8.8369999999999997</v>
      </c>
      <c r="F73" s="1479">
        <v>9.02</v>
      </c>
      <c r="G73" s="1479">
        <v>9.2620000000000005</v>
      </c>
      <c r="H73" s="1479"/>
      <c r="I73" s="1479">
        <v>9.4619999999999997</v>
      </c>
      <c r="J73" s="1479">
        <v>9.5760000000000005</v>
      </c>
      <c r="K73" s="1479"/>
      <c r="L73" s="1479">
        <v>9.9580000000000002</v>
      </c>
      <c r="M73" s="1479">
        <v>9.9580000000000002</v>
      </c>
      <c r="N73" s="1479">
        <v>10.002000000000001</v>
      </c>
      <c r="O73" s="1479">
        <v>10.101000000000001</v>
      </c>
    </row>
    <row r="74" spans="1:15">
      <c r="A74" s="1478">
        <v>45392</v>
      </c>
      <c r="B74" s="1479">
        <v>7.4820000000000002</v>
      </c>
      <c r="C74" s="1479">
        <v>8.2959999999999994</v>
      </c>
      <c r="D74" s="1479">
        <v>8.6630000000000003</v>
      </c>
      <c r="E74" s="1479">
        <v>8.8960000000000008</v>
      </c>
      <c r="F74" s="1479">
        <v>9.0969999999999995</v>
      </c>
      <c r="G74" s="1479">
        <v>9.32</v>
      </c>
      <c r="H74" s="1479"/>
      <c r="I74" s="1479">
        <v>9.5220000000000002</v>
      </c>
      <c r="J74" s="1479">
        <v>9.6419999999999995</v>
      </c>
      <c r="K74" s="1479"/>
      <c r="L74" s="1479">
        <v>10.029</v>
      </c>
      <c r="M74" s="1479">
        <v>10.052</v>
      </c>
      <c r="N74" s="1479">
        <v>10.065</v>
      </c>
      <c r="O74" s="1479">
        <v>10.167999999999999</v>
      </c>
    </row>
    <row r="75" spans="1:15">
      <c r="A75" s="1478">
        <v>45393</v>
      </c>
      <c r="B75" s="1479">
        <v>7.6639999999999997</v>
      </c>
      <c r="C75" s="1479">
        <v>8.4710000000000001</v>
      </c>
      <c r="D75" s="1479">
        <v>8.9600000000000009</v>
      </c>
      <c r="E75" s="1479">
        <v>9.1679999999999993</v>
      </c>
      <c r="F75" s="1479">
        <v>9.4019999999999992</v>
      </c>
      <c r="G75" s="1479">
        <v>9.5909999999999993</v>
      </c>
      <c r="H75" s="1479"/>
      <c r="I75" s="1479">
        <v>9.8469999999999995</v>
      </c>
      <c r="J75" s="1479">
        <v>9.9019999999999992</v>
      </c>
      <c r="K75" s="1479"/>
      <c r="L75" s="1479">
        <v>10.336</v>
      </c>
      <c r="M75" s="1479">
        <v>10.321999999999999</v>
      </c>
      <c r="N75" s="1479">
        <v>10.307</v>
      </c>
      <c r="O75" s="1479">
        <v>10.438000000000001</v>
      </c>
    </row>
    <row r="76" spans="1:15">
      <c r="A76" s="1478">
        <v>45394</v>
      </c>
      <c r="B76" s="1479">
        <v>7.5170000000000003</v>
      </c>
      <c r="C76" s="1479">
        <v>8.4109999999999996</v>
      </c>
      <c r="D76" s="1479">
        <v>8.9619999999999997</v>
      </c>
      <c r="E76" s="1479">
        <v>9.1950000000000003</v>
      </c>
      <c r="F76" s="1479">
        <v>9.4410000000000007</v>
      </c>
      <c r="G76" s="1479">
        <v>9.6219999999999999</v>
      </c>
      <c r="H76" s="1479"/>
      <c r="I76" s="1479">
        <v>9.8369999999999997</v>
      </c>
      <c r="J76" s="1479">
        <v>9.9190000000000005</v>
      </c>
      <c r="K76" s="1479"/>
      <c r="L76" s="1479">
        <v>10.356</v>
      </c>
      <c r="M76" s="1479">
        <v>10.319000000000001</v>
      </c>
      <c r="N76" s="1479">
        <v>10.31</v>
      </c>
      <c r="O76" s="1479">
        <v>10.425000000000001</v>
      </c>
    </row>
    <row r="77" spans="1:15">
      <c r="A77" s="1478">
        <v>45397</v>
      </c>
      <c r="B77" s="1479">
        <v>7.5949999999999998</v>
      </c>
      <c r="C77" s="1479">
        <v>8.609</v>
      </c>
      <c r="D77" s="1479">
        <v>9.1129999999999995</v>
      </c>
      <c r="E77" s="1479">
        <v>9.3249999999999993</v>
      </c>
      <c r="F77" s="1479">
        <v>9.5690000000000008</v>
      </c>
      <c r="G77" s="1479">
        <v>9.7729999999999997</v>
      </c>
      <c r="H77" s="1479"/>
      <c r="I77" s="1479">
        <v>10.004</v>
      </c>
      <c r="J77" s="1479">
        <v>10.047000000000001</v>
      </c>
      <c r="K77" s="1479"/>
      <c r="L77" s="1479">
        <v>10.510999999999999</v>
      </c>
      <c r="M77" s="1479">
        <v>10.464</v>
      </c>
      <c r="N77" s="1479">
        <v>10.439</v>
      </c>
      <c r="O77" s="1479">
        <v>10.574999999999999</v>
      </c>
    </row>
    <row r="78" spans="1:15">
      <c r="A78" s="1478">
        <v>45398</v>
      </c>
      <c r="B78" s="1479">
        <v>7.8650000000000002</v>
      </c>
      <c r="C78" s="1479">
        <v>8.8870000000000005</v>
      </c>
      <c r="D78" s="1479">
        <v>9.4350000000000005</v>
      </c>
      <c r="E78" s="1479">
        <v>9.6630000000000003</v>
      </c>
      <c r="F78" s="1479">
        <v>9.8629999999999995</v>
      </c>
      <c r="G78" s="1479">
        <v>10.061</v>
      </c>
      <c r="H78" s="1479"/>
      <c r="I78" s="1479">
        <v>10.287000000000001</v>
      </c>
      <c r="J78" s="1479">
        <v>10.331</v>
      </c>
      <c r="K78" s="1479"/>
      <c r="L78" s="1479">
        <v>10.753</v>
      </c>
      <c r="M78" s="1479">
        <v>10.715</v>
      </c>
      <c r="N78" s="1479">
        <v>10.656000000000001</v>
      </c>
      <c r="O78" s="1479">
        <v>10.811999999999999</v>
      </c>
    </row>
    <row r="79" spans="1:15">
      <c r="A79" s="1478">
        <v>45399</v>
      </c>
      <c r="B79" s="1479">
        <v>7.8650000000000002</v>
      </c>
      <c r="C79" s="1479">
        <v>8.8870000000000005</v>
      </c>
      <c r="D79" s="1479">
        <v>9.4350000000000005</v>
      </c>
      <c r="E79" s="1479">
        <v>9.6630000000000003</v>
      </c>
      <c r="F79" s="1479">
        <v>9.8629999999999995</v>
      </c>
      <c r="G79" s="1479">
        <v>10.061</v>
      </c>
      <c r="H79" s="1479"/>
      <c r="I79" s="1479">
        <v>10.287000000000001</v>
      </c>
      <c r="J79" s="1479">
        <v>10.331</v>
      </c>
      <c r="K79" s="1479"/>
      <c r="L79" s="1479">
        <v>10.753</v>
      </c>
      <c r="M79" s="1479">
        <v>10.715</v>
      </c>
      <c r="N79" s="1479">
        <v>10.656000000000001</v>
      </c>
      <c r="O79" s="1479">
        <v>10.811999999999999</v>
      </c>
    </row>
    <row r="80" spans="1:15">
      <c r="A80" s="1478">
        <v>45400</v>
      </c>
      <c r="B80" s="1479">
        <v>7.7389999999999999</v>
      </c>
      <c r="C80" s="1479">
        <v>8.6959999999999997</v>
      </c>
      <c r="D80" s="1479">
        <v>9.2210000000000001</v>
      </c>
      <c r="E80" s="1479">
        <v>9.4600000000000009</v>
      </c>
      <c r="F80" s="1479">
        <v>9.6649999999999991</v>
      </c>
      <c r="G80" s="1479">
        <v>9.8170000000000002</v>
      </c>
      <c r="H80" s="1479"/>
      <c r="I80" s="1479">
        <v>10.029</v>
      </c>
      <c r="J80" s="1479">
        <v>10.074</v>
      </c>
      <c r="K80" s="1479"/>
      <c r="L80" s="1479">
        <v>10.542</v>
      </c>
      <c r="M80" s="1479">
        <v>10.477</v>
      </c>
      <c r="N80" s="1479">
        <v>10.458</v>
      </c>
      <c r="O80" s="1479">
        <v>10.592000000000001</v>
      </c>
    </row>
    <row r="81" spans="1:15">
      <c r="A81" s="1478">
        <v>45401</v>
      </c>
      <c r="B81" s="1479">
        <v>7.6349999999999998</v>
      </c>
      <c r="C81" s="1479">
        <v>8.6509999999999998</v>
      </c>
      <c r="D81" s="1479">
        <v>9.1679999999999993</v>
      </c>
      <c r="E81" s="1479">
        <v>9.3780000000000001</v>
      </c>
      <c r="F81" s="1479">
        <v>9.6229999999999993</v>
      </c>
      <c r="G81" s="1479">
        <v>9.7759999999999998</v>
      </c>
      <c r="H81" s="1479"/>
      <c r="I81" s="1479">
        <v>9.9760000000000009</v>
      </c>
      <c r="J81" s="1479">
        <v>10.015000000000001</v>
      </c>
      <c r="K81" s="1479"/>
      <c r="L81" s="1479">
        <v>10.483000000000001</v>
      </c>
      <c r="M81" s="1479">
        <v>10.423</v>
      </c>
      <c r="N81" s="1479">
        <v>10.394</v>
      </c>
      <c r="O81" s="1479">
        <v>10.541</v>
      </c>
    </row>
    <row r="82" spans="1:15">
      <c r="A82" s="1478">
        <v>45404</v>
      </c>
      <c r="B82" s="1479">
        <v>7.54</v>
      </c>
      <c r="C82" s="1479">
        <v>8.5009999999999994</v>
      </c>
      <c r="D82" s="1479">
        <v>9.0150000000000006</v>
      </c>
      <c r="E82" s="1479">
        <v>9.2850000000000001</v>
      </c>
      <c r="F82" s="1479">
        <v>9.8710000000000004</v>
      </c>
      <c r="G82" s="1479">
        <v>9.6660000000000004</v>
      </c>
      <c r="H82" s="1479"/>
      <c r="I82" s="1479">
        <v>9.8710000000000004</v>
      </c>
      <c r="J82" s="1479">
        <v>9.907</v>
      </c>
      <c r="K82" s="1479"/>
      <c r="L82" s="1479">
        <v>10.368</v>
      </c>
      <c r="M82" s="1479">
        <v>10.339</v>
      </c>
      <c r="N82" s="1479">
        <v>10.32</v>
      </c>
      <c r="O82" s="1479">
        <v>10.43</v>
      </c>
    </row>
    <row r="83" spans="1:15">
      <c r="A83" s="1478">
        <v>45405</v>
      </c>
      <c r="B83" s="1479">
        <v>7.5039999999999996</v>
      </c>
      <c r="C83" s="1479">
        <v>8.5129999999999999</v>
      </c>
      <c r="D83" s="1479">
        <v>9.0169999999999995</v>
      </c>
      <c r="E83" s="1479">
        <v>9.2650000000000006</v>
      </c>
      <c r="F83" s="1479">
        <v>9.4890000000000008</v>
      </c>
      <c r="G83" s="1479">
        <v>9.6329999999999991</v>
      </c>
      <c r="H83" s="1479"/>
      <c r="I83" s="1479">
        <v>9.8569999999999993</v>
      </c>
      <c r="J83" s="1479">
        <v>9.9009999999999998</v>
      </c>
      <c r="K83" s="1479"/>
      <c r="L83" s="1479">
        <v>10.361000000000001</v>
      </c>
      <c r="M83" s="1479">
        <v>10.302</v>
      </c>
      <c r="N83" s="1479">
        <v>10.32</v>
      </c>
      <c r="O83" s="1479">
        <v>10.414</v>
      </c>
    </row>
    <row r="84" spans="1:15">
      <c r="A84" s="1478">
        <v>45406</v>
      </c>
      <c r="B84" s="1479">
        <v>7.6029999999999998</v>
      </c>
      <c r="C84" s="1479">
        <v>8.6690000000000005</v>
      </c>
      <c r="D84" s="1479">
        <v>9.1660000000000004</v>
      </c>
      <c r="E84" s="1479">
        <v>9.4369999999999994</v>
      </c>
      <c r="F84" s="1479">
        <v>9.6489999999999991</v>
      </c>
      <c r="G84" s="1479">
        <v>9.7729999999999997</v>
      </c>
      <c r="H84" s="1479"/>
      <c r="I84" s="1479">
        <v>9.9529999999999994</v>
      </c>
      <c r="J84" s="1479">
        <v>10.041</v>
      </c>
      <c r="K84" s="1479"/>
      <c r="L84" s="1479">
        <v>10.507999999999999</v>
      </c>
      <c r="M84" s="1479">
        <v>10.45</v>
      </c>
      <c r="N84" s="1479">
        <v>10.427</v>
      </c>
      <c r="O84" s="1479">
        <v>10.574999999999999</v>
      </c>
    </row>
    <row r="85" spans="1:15">
      <c r="A85" s="1478">
        <v>45407</v>
      </c>
      <c r="B85" s="1479">
        <v>7.6760000000000002</v>
      </c>
      <c r="C85" s="1479">
        <v>8.7639999999999993</v>
      </c>
      <c r="D85" s="1479">
        <v>9.2929999999999993</v>
      </c>
      <c r="E85" s="1479">
        <v>9.5370000000000008</v>
      </c>
      <c r="F85" s="1479">
        <v>9.7560000000000002</v>
      </c>
      <c r="G85" s="1479">
        <v>9.859</v>
      </c>
      <c r="H85" s="1479"/>
      <c r="I85" s="1479">
        <v>10.119999999999999</v>
      </c>
      <c r="J85" s="1479">
        <v>10.148</v>
      </c>
      <c r="K85" s="1479"/>
      <c r="L85" s="1479">
        <v>10.621</v>
      </c>
      <c r="M85" s="1479">
        <v>10.571999999999999</v>
      </c>
      <c r="N85" s="1479">
        <v>10.500999999999999</v>
      </c>
      <c r="O85" s="1479">
        <v>10.689</v>
      </c>
    </row>
    <row r="86" spans="1:15">
      <c r="A86" s="1478">
        <v>45408</v>
      </c>
      <c r="B86" s="1479">
        <v>7.6710000000000003</v>
      </c>
      <c r="C86" s="1479">
        <v>8.7010000000000005</v>
      </c>
      <c r="D86" s="1479">
        <v>9.2210000000000001</v>
      </c>
      <c r="E86" s="1479">
        <v>9.4809999999999999</v>
      </c>
      <c r="F86" s="1479">
        <v>9.69</v>
      </c>
      <c r="G86" s="1479">
        <v>9.7669999999999995</v>
      </c>
      <c r="H86" s="1479"/>
      <c r="I86" s="1479">
        <v>10.019</v>
      </c>
      <c r="J86" s="1479">
        <v>10.045</v>
      </c>
      <c r="K86" s="1479"/>
      <c r="L86" s="1479">
        <v>10.504</v>
      </c>
      <c r="M86" s="1479">
        <v>10.47</v>
      </c>
      <c r="N86" s="1479">
        <v>10.42</v>
      </c>
      <c r="O86" s="1479">
        <v>10.587999999999999</v>
      </c>
    </row>
    <row r="87" spans="1:15">
      <c r="A87" s="1478">
        <v>45411</v>
      </c>
      <c r="B87" s="1479">
        <v>7.5110000000000001</v>
      </c>
      <c r="C87" s="1479">
        <v>8.5310000000000006</v>
      </c>
      <c r="D87" s="1479">
        <v>9.0630000000000006</v>
      </c>
      <c r="E87" s="1479">
        <v>9.34</v>
      </c>
      <c r="F87" s="1479">
        <v>9.5519999999999996</v>
      </c>
      <c r="G87" s="1479">
        <v>9.625</v>
      </c>
      <c r="H87" s="1479"/>
      <c r="I87" s="1479">
        <v>9.8659999999999997</v>
      </c>
      <c r="J87" s="1479">
        <v>9.8829999999999991</v>
      </c>
      <c r="K87" s="1479"/>
      <c r="L87" s="1479">
        <v>10.342000000000001</v>
      </c>
      <c r="M87" s="1479">
        <v>10.337</v>
      </c>
      <c r="N87" s="1479">
        <v>10.265000000000001</v>
      </c>
      <c r="O87" s="1479">
        <v>10.446</v>
      </c>
    </row>
    <row r="88" spans="1:15">
      <c r="A88" s="1478">
        <v>45412</v>
      </c>
      <c r="B88" s="1479">
        <v>7.6660000000000004</v>
      </c>
      <c r="C88" s="1479">
        <v>8.7929999999999993</v>
      </c>
      <c r="D88" s="1479">
        <v>9.3030000000000008</v>
      </c>
      <c r="E88" s="1479">
        <v>9.5990000000000002</v>
      </c>
      <c r="F88" s="1479">
        <v>9.8079999999999998</v>
      </c>
      <c r="G88" s="1479">
        <v>9.8650000000000002</v>
      </c>
      <c r="H88" s="1479"/>
      <c r="I88" s="1479">
        <v>10.102</v>
      </c>
      <c r="J88" s="1479">
        <v>10.111000000000001</v>
      </c>
      <c r="K88" s="1479"/>
      <c r="L88" s="1479">
        <v>10.542999999999999</v>
      </c>
      <c r="M88" s="1479">
        <v>10.516999999999999</v>
      </c>
      <c r="N88" s="1479">
        <v>10.516999999999999</v>
      </c>
      <c r="O88" s="1479">
        <v>10.631</v>
      </c>
    </row>
    <row r="89" spans="1:15">
      <c r="A89" s="1478">
        <v>45413</v>
      </c>
      <c r="B89" s="1479">
        <v>7.6369999999999996</v>
      </c>
      <c r="C89" s="1479">
        <v>8.8369999999999997</v>
      </c>
      <c r="D89" s="1479">
        <v>9.3689999999999998</v>
      </c>
      <c r="E89" s="1479">
        <v>9.6780000000000008</v>
      </c>
      <c r="F89" s="1479">
        <v>9.9009999999999998</v>
      </c>
      <c r="G89" s="1479">
        <v>9.9760000000000009</v>
      </c>
      <c r="H89" s="1479"/>
      <c r="I89" s="1479">
        <v>10.212</v>
      </c>
      <c r="J89" s="1479">
        <v>10.221</v>
      </c>
      <c r="K89" s="1479"/>
      <c r="L89" s="1479">
        <v>10.644</v>
      </c>
      <c r="M89" s="1479">
        <v>10.597</v>
      </c>
      <c r="N89" s="1479">
        <v>10.489000000000001</v>
      </c>
      <c r="O89" s="1479">
        <v>10.705</v>
      </c>
    </row>
    <row r="90" spans="1:15">
      <c r="A90" s="1478">
        <v>45414</v>
      </c>
      <c r="B90" s="1480">
        <v>7.5220000000000002</v>
      </c>
      <c r="C90" s="1480">
        <v>8.7140000000000004</v>
      </c>
      <c r="D90" s="1480">
        <v>9.2309999999999999</v>
      </c>
      <c r="E90" s="1480">
        <v>9.5679999999999996</v>
      </c>
      <c r="F90" s="1480">
        <v>9.7729999999999997</v>
      </c>
      <c r="G90" s="1480">
        <v>9.8620000000000001</v>
      </c>
      <c r="H90" s="1480"/>
      <c r="I90" s="1480">
        <v>10.076000000000001</v>
      </c>
      <c r="J90" s="1480">
        <v>10.095000000000001</v>
      </c>
      <c r="K90" s="1480"/>
      <c r="L90" s="1480">
        <v>10.54</v>
      </c>
      <c r="M90" s="1480">
        <v>10.462</v>
      </c>
      <c r="N90" s="1480">
        <v>10.356</v>
      </c>
      <c r="O90" s="1480">
        <v>10.589</v>
      </c>
    </row>
    <row r="91" spans="1:15">
      <c r="A91" s="1478">
        <v>45415</v>
      </c>
      <c r="B91" s="1480">
        <v>7.4610000000000003</v>
      </c>
      <c r="C91" s="1480">
        <v>8.4920000000000009</v>
      </c>
      <c r="D91" s="1480">
        <v>8.9589999999999996</v>
      </c>
      <c r="E91" s="1480">
        <v>9.3019999999999996</v>
      </c>
      <c r="F91" s="1480">
        <v>9.5429999999999993</v>
      </c>
      <c r="G91" s="1480">
        <v>9.6140000000000008</v>
      </c>
      <c r="H91" s="1480"/>
      <c r="I91" s="1480">
        <v>9.8529999999999998</v>
      </c>
      <c r="J91" s="1480">
        <v>9.8879999999999999</v>
      </c>
      <c r="K91" s="1480"/>
      <c r="L91" s="1480">
        <v>10.333</v>
      </c>
      <c r="M91" s="1480">
        <v>10.255000000000001</v>
      </c>
      <c r="N91" s="1480">
        <v>10.198</v>
      </c>
      <c r="O91" s="1480">
        <v>10.4</v>
      </c>
    </row>
    <row r="92" spans="1:15">
      <c r="A92" s="1478">
        <v>45418</v>
      </c>
      <c r="B92" s="1480">
        <v>7.3280000000000003</v>
      </c>
      <c r="C92" s="1480">
        <v>8.4979999999999993</v>
      </c>
      <c r="D92" s="1480">
        <v>9.0030000000000001</v>
      </c>
      <c r="E92" s="1480">
        <v>9.3089999999999993</v>
      </c>
      <c r="F92" s="1480">
        <v>9.5690000000000008</v>
      </c>
      <c r="G92" s="1480">
        <v>9.7080000000000002</v>
      </c>
      <c r="H92" s="1480"/>
      <c r="I92" s="1480">
        <v>9.8780000000000001</v>
      </c>
      <c r="J92" s="1480">
        <v>9.9380000000000006</v>
      </c>
      <c r="K92" s="1480"/>
      <c r="L92" s="1480">
        <v>10.366</v>
      </c>
      <c r="M92" s="1480">
        <v>10.275</v>
      </c>
      <c r="N92" s="1480">
        <v>10.212</v>
      </c>
      <c r="O92" s="1480">
        <v>10.414</v>
      </c>
    </row>
    <row r="93" spans="1:15">
      <c r="A93" s="1478">
        <v>45419</v>
      </c>
      <c r="B93" s="1480">
        <v>7.3719999999999999</v>
      </c>
      <c r="C93" s="1480">
        <v>8.3249999999999993</v>
      </c>
      <c r="D93" s="1480">
        <v>8.7919999999999998</v>
      </c>
      <c r="E93" s="1480">
        <v>9.1199999999999992</v>
      </c>
      <c r="F93" s="1480">
        <v>9.3699999999999992</v>
      </c>
      <c r="G93" s="1480">
        <v>9.4450000000000003</v>
      </c>
      <c r="H93" s="1480"/>
      <c r="I93" s="1480">
        <v>9.6920000000000002</v>
      </c>
      <c r="J93" s="1480">
        <v>9.7249999999999996</v>
      </c>
      <c r="K93" s="1480"/>
      <c r="L93" s="1480">
        <v>10.154</v>
      </c>
      <c r="M93" s="1480">
        <v>10.117000000000001</v>
      </c>
      <c r="N93" s="1480">
        <v>10.08</v>
      </c>
      <c r="O93" s="1480">
        <v>10.257999999999999</v>
      </c>
    </row>
    <row r="94" spans="1:15">
      <c r="A94" s="1478">
        <v>45420</v>
      </c>
      <c r="B94" s="1480">
        <v>7.3789999999999996</v>
      </c>
      <c r="C94" s="1480">
        <v>8.4090000000000007</v>
      </c>
      <c r="D94" s="1480">
        <v>8.8770000000000007</v>
      </c>
      <c r="E94" s="1480">
        <v>9.2119999999999997</v>
      </c>
      <c r="F94" s="1480">
        <v>9.4390000000000001</v>
      </c>
      <c r="G94" s="1480">
        <v>9.5210000000000008</v>
      </c>
      <c r="H94" s="1480"/>
      <c r="I94" s="1480">
        <v>9.7870000000000008</v>
      </c>
      <c r="J94" s="1480">
        <v>9.8049999999999997</v>
      </c>
      <c r="K94" s="1480"/>
      <c r="L94" s="1480">
        <v>10.25</v>
      </c>
      <c r="M94" s="1480">
        <v>10.189</v>
      </c>
      <c r="N94" s="1480">
        <v>10.148</v>
      </c>
      <c r="O94" s="1480">
        <v>10.349</v>
      </c>
    </row>
    <row r="95" spans="1:15">
      <c r="A95" s="1478">
        <v>45421</v>
      </c>
      <c r="B95" s="1480">
        <v>7.4329999999999998</v>
      </c>
      <c r="C95" s="1480">
        <v>8.4369999999999994</v>
      </c>
      <c r="D95" s="1480">
        <v>8.9079999999999995</v>
      </c>
      <c r="E95" s="1480">
        <v>9.2629999999999999</v>
      </c>
      <c r="F95" s="1480">
        <v>9.4860000000000007</v>
      </c>
      <c r="G95" s="1480">
        <v>9.5730000000000004</v>
      </c>
      <c r="H95" s="1480"/>
      <c r="I95" s="1480">
        <v>9.8230000000000004</v>
      </c>
      <c r="J95" s="1480">
        <v>9.8170000000000002</v>
      </c>
      <c r="K95" s="1480"/>
      <c r="L95" s="1480">
        <v>10.278</v>
      </c>
      <c r="M95" s="1480">
        <v>10.228999999999999</v>
      </c>
      <c r="N95" s="1480">
        <v>10.186999999999999</v>
      </c>
      <c r="O95" s="1480">
        <v>10.411</v>
      </c>
    </row>
    <row r="96" spans="1:15">
      <c r="A96" s="1478">
        <v>45422</v>
      </c>
      <c r="B96" s="1480">
        <v>7.5250000000000004</v>
      </c>
      <c r="C96" s="1480">
        <v>8.6419999999999995</v>
      </c>
      <c r="D96" s="1480">
        <v>9.0969999999999995</v>
      </c>
      <c r="E96" s="1480">
        <v>9.44</v>
      </c>
      <c r="F96" s="1480">
        <v>9.6649999999999991</v>
      </c>
      <c r="G96" s="1480">
        <v>9.7379999999999995</v>
      </c>
      <c r="H96" s="1480"/>
      <c r="I96" s="1480">
        <v>9.9600000000000009</v>
      </c>
      <c r="J96" s="1480">
        <v>9.9469999999999992</v>
      </c>
      <c r="K96" s="1480"/>
      <c r="L96" s="1480">
        <v>10.385999999999999</v>
      </c>
      <c r="M96" s="1480">
        <v>10.304</v>
      </c>
      <c r="N96" s="1480">
        <v>10.268000000000001</v>
      </c>
      <c r="O96" s="1480">
        <v>10.500999999999999</v>
      </c>
    </row>
    <row r="97" spans="1:15">
      <c r="A97" s="1478">
        <v>45425</v>
      </c>
      <c r="B97" s="1480">
        <v>7.52</v>
      </c>
      <c r="C97" s="1480">
        <v>8.6310000000000002</v>
      </c>
      <c r="D97" s="1480">
        <v>9.0820000000000007</v>
      </c>
      <c r="E97" s="1480">
        <v>9.4280000000000008</v>
      </c>
      <c r="F97" s="1480">
        <v>9.6509999999999998</v>
      </c>
      <c r="G97" s="1480">
        <v>9.7260000000000009</v>
      </c>
      <c r="H97" s="1480"/>
      <c r="I97" s="1480">
        <v>9.9540000000000006</v>
      </c>
      <c r="J97" s="1480">
        <v>9.9390000000000001</v>
      </c>
      <c r="K97" s="1480"/>
      <c r="L97" s="1480">
        <v>10.381</v>
      </c>
      <c r="M97" s="1480">
        <v>10.3</v>
      </c>
      <c r="N97" s="1480">
        <v>10.263</v>
      </c>
      <c r="O97" s="1480">
        <v>10.487</v>
      </c>
    </row>
    <row r="98" spans="1:15">
      <c r="A98" s="1478">
        <v>45426</v>
      </c>
      <c r="B98" s="1480">
        <v>7.367</v>
      </c>
      <c r="C98" s="1480">
        <v>8.6980000000000004</v>
      </c>
      <c r="D98" s="1480">
        <v>9.141</v>
      </c>
      <c r="E98" s="1480">
        <v>9.4619999999999997</v>
      </c>
      <c r="F98" s="1480">
        <v>9.6829999999999998</v>
      </c>
      <c r="G98" s="1480">
        <v>9.7520000000000007</v>
      </c>
      <c r="H98" s="1480"/>
      <c r="I98" s="1480">
        <v>9.9809999999999999</v>
      </c>
      <c r="J98" s="1480">
        <v>9.9749999999999996</v>
      </c>
      <c r="K98" s="1480"/>
      <c r="L98" s="1480">
        <v>10.427</v>
      </c>
      <c r="M98" s="1480">
        <v>10.307</v>
      </c>
      <c r="N98" s="1480">
        <v>10.27</v>
      </c>
      <c r="O98" s="1480">
        <v>10.499000000000001</v>
      </c>
    </row>
    <row r="99" spans="1:15">
      <c r="A99" s="1478">
        <v>45427</v>
      </c>
      <c r="B99" s="1480">
        <v>7.2969999999999997</v>
      </c>
      <c r="C99" s="1480">
        <v>8.5670000000000002</v>
      </c>
      <c r="D99" s="1480">
        <v>9.0410000000000004</v>
      </c>
      <c r="E99" s="1480">
        <v>9.3840000000000003</v>
      </c>
      <c r="F99" s="1480">
        <v>9.6039999999999992</v>
      </c>
      <c r="G99" s="1480">
        <v>9.6649999999999991</v>
      </c>
      <c r="H99" s="1480"/>
      <c r="I99" s="1480">
        <v>9.8840000000000003</v>
      </c>
      <c r="J99" s="1480">
        <v>9.8840000000000003</v>
      </c>
      <c r="K99" s="1480"/>
      <c r="L99" s="1480">
        <v>10.336</v>
      </c>
      <c r="M99" s="1480">
        <v>10.256</v>
      </c>
      <c r="N99" s="1480">
        <v>10.217000000000001</v>
      </c>
      <c r="O99" s="1480">
        <v>10.444000000000001</v>
      </c>
    </row>
    <row r="100" spans="1:15">
      <c r="A100" s="1478">
        <v>45428</v>
      </c>
      <c r="B100" s="1480">
        <v>7.0510000000000002</v>
      </c>
      <c r="C100" s="1480">
        <v>8.4789999999999992</v>
      </c>
      <c r="D100" s="1480">
        <v>8.9309999999999992</v>
      </c>
      <c r="E100" s="1480">
        <v>9.2840000000000007</v>
      </c>
      <c r="F100" s="1480">
        <v>9.4949999999999992</v>
      </c>
      <c r="G100" s="1480">
        <v>9.5739999999999998</v>
      </c>
      <c r="H100" s="1480"/>
      <c r="I100" s="1480">
        <v>9.8290000000000006</v>
      </c>
      <c r="J100" s="1480">
        <v>9.82</v>
      </c>
      <c r="K100" s="1480"/>
      <c r="L100" s="1480">
        <v>10.287000000000001</v>
      </c>
      <c r="M100" s="1480">
        <v>10.207000000000001</v>
      </c>
      <c r="N100" s="1480">
        <v>10.164999999999999</v>
      </c>
      <c r="O100" s="1480">
        <v>10.348000000000001</v>
      </c>
    </row>
    <row r="101" spans="1:15">
      <c r="A101" s="1478">
        <v>45429</v>
      </c>
      <c r="B101" s="1480">
        <v>7.0659999999999998</v>
      </c>
      <c r="C101" s="1480">
        <v>8.577</v>
      </c>
      <c r="D101" s="1480">
        <v>9.0229999999999997</v>
      </c>
      <c r="E101" s="1480">
        <v>9.3870000000000005</v>
      </c>
      <c r="F101" s="1480">
        <v>9.5860000000000003</v>
      </c>
      <c r="G101" s="1480">
        <v>9.6839999999999993</v>
      </c>
      <c r="H101" s="1480"/>
      <c r="I101" s="1480">
        <v>9.8970000000000002</v>
      </c>
      <c r="J101" s="1480">
        <v>9.9019999999999992</v>
      </c>
      <c r="K101" s="1480"/>
      <c r="L101" s="1480">
        <v>10.356</v>
      </c>
      <c r="M101" s="1480">
        <v>10.276999999999999</v>
      </c>
      <c r="N101" s="1480">
        <v>10.224</v>
      </c>
      <c r="O101" s="1480">
        <v>10.414999999999999</v>
      </c>
    </row>
    <row r="102" spans="1:15">
      <c r="A102" s="1478">
        <v>45432</v>
      </c>
      <c r="B102" s="1480">
        <v>7.1310000000000002</v>
      </c>
      <c r="C102" s="1480">
        <v>8.5670000000000002</v>
      </c>
      <c r="D102" s="1480">
        <v>9.0060000000000002</v>
      </c>
      <c r="E102" s="1480">
        <v>9.3550000000000004</v>
      </c>
      <c r="F102" s="1480">
        <v>9.6010000000000009</v>
      </c>
      <c r="G102" s="1480">
        <v>9.6679999999999993</v>
      </c>
      <c r="H102" s="1480"/>
      <c r="I102" s="1480">
        <v>9.8840000000000003</v>
      </c>
      <c r="J102" s="1480">
        <v>9.9280000000000008</v>
      </c>
      <c r="K102" s="1480"/>
      <c r="L102" s="1480">
        <v>10.358000000000001</v>
      </c>
      <c r="M102" s="1480">
        <v>10.256</v>
      </c>
      <c r="N102" s="1480">
        <v>10.199999999999999</v>
      </c>
      <c r="O102" s="1480">
        <v>10.432</v>
      </c>
    </row>
    <row r="103" spans="1:15">
      <c r="A103" s="1478">
        <v>45433</v>
      </c>
      <c r="B103" s="1480">
        <v>7.0860000000000003</v>
      </c>
      <c r="C103" s="1480">
        <v>8.5389999999999997</v>
      </c>
      <c r="D103" s="1480">
        <v>8.9700000000000006</v>
      </c>
      <c r="E103" s="1480">
        <v>9.3290000000000006</v>
      </c>
      <c r="F103" s="1480">
        <v>9.5589999999999993</v>
      </c>
      <c r="G103" s="1480">
        <v>9.6300000000000008</v>
      </c>
      <c r="H103" s="1480"/>
      <c r="I103" s="1480">
        <v>9.8569999999999993</v>
      </c>
      <c r="J103" s="1480">
        <v>9.8859999999999992</v>
      </c>
      <c r="K103" s="1480"/>
      <c r="L103" s="1480">
        <v>10.337</v>
      </c>
      <c r="M103" s="1480">
        <v>10.247999999999999</v>
      </c>
      <c r="N103" s="1480">
        <v>10.177</v>
      </c>
      <c r="O103" s="1480">
        <v>10.393000000000001</v>
      </c>
    </row>
    <row r="104" spans="1:15">
      <c r="A104" s="1478">
        <v>45434</v>
      </c>
      <c r="B104" s="1480">
        <v>7.1070000000000002</v>
      </c>
      <c r="C104" s="1480">
        <v>8.6010000000000009</v>
      </c>
      <c r="D104" s="1480">
        <v>9.0239999999999991</v>
      </c>
      <c r="E104" s="1480">
        <v>9.3740000000000006</v>
      </c>
      <c r="F104" s="1480">
        <v>9.6319999999999997</v>
      </c>
      <c r="G104" s="1480">
        <v>9.6940000000000008</v>
      </c>
      <c r="H104" s="1480"/>
      <c r="I104" s="1480">
        <v>9.9510000000000005</v>
      </c>
      <c r="J104" s="1480">
        <v>9.9760000000000009</v>
      </c>
      <c r="K104" s="1480"/>
      <c r="L104" s="1480">
        <v>10.417</v>
      </c>
      <c r="M104" s="1480">
        <v>10.326000000000001</v>
      </c>
      <c r="N104" s="1480">
        <v>10.242000000000001</v>
      </c>
      <c r="O104" s="1480">
        <v>10.461</v>
      </c>
    </row>
    <row r="105" spans="1:15">
      <c r="A105" s="1478">
        <v>45435</v>
      </c>
      <c r="B105" s="1480">
        <v>7.1580000000000004</v>
      </c>
      <c r="C105" s="1480">
        <v>8.7319999999999993</v>
      </c>
      <c r="D105" s="1480">
        <v>9.2200000000000006</v>
      </c>
      <c r="E105" s="1480">
        <v>9.5410000000000004</v>
      </c>
      <c r="F105" s="1480">
        <v>9.7739999999999991</v>
      </c>
      <c r="G105" s="1480">
        <v>9.8520000000000003</v>
      </c>
      <c r="H105" s="1480"/>
      <c r="I105" s="1480">
        <v>10.106</v>
      </c>
      <c r="J105" s="1480">
        <v>10.118</v>
      </c>
      <c r="K105" s="1480"/>
      <c r="L105" s="1480">
        <v>10.542999999999999</v>
      </c>
      <c r="M105" s="1480">
        <v>10.457000000000001</v>
      </c>
      <c r="N105" s="1480">
        <v>10.351000000000001</v>
      </c>
      <c r="O105" s="1480">
        <v>10.58</v>
      </c>
    </row>
    <row r="106" spans="1:15">
      <c r="A106" s="1478">
        <v>45436</v>
      </c>
      <c r="B106" s="1480">
        <v>7.0640000000000001</v>
      </c>
      <c r="C106" s="1480">
        <v>8.7439999999999998</v>
      </c>
      <c r="D106" s="1480">
        <v>9.2579999999999991</v>
      </c>
      <c r="E106" s="1480">
        <v>9.5350000000000001</v>
      </c>
      <c r="F106" s="1480">
        <v>9.8510000000000009</v>
      </c>
      <c r="G106" s="1480">
        <v>9.9179999999999993</v>
      </c>
      <c r="H106" s="1480"/>
      <c r="I106" s="1480">
        <v>10.154</v>
      </c>
      <c r="J106" s="1480">
        <v>10.17</v>
      </c>
      <c r="K106" s="1480"/>
      <c r="L106" s="1480">
        <v>10.584</v>
      </c>
      <c r="M106" s="1480">
        <v>10.5</v>
      </c>
      <c r="N106" s="1480">
        <v>10.385999999999999</v>
      </c>
      <c r="O106" s="1480">
        <v>10.632999999999999</v>
      </c>
    </row>
    <row r="107" spans="1:15">
      <c r="A107" s="1478">
        <v>45439</v>
      </c>
      <c r="B107" s="1480">
        <v>7.0759999999999996</v>
      </c>
      <c r="C107" s="1480">
        <v>8.6980000000000004</v>
      </c>
      <c r="D107" s="1480">
        <v>9.2650000000000006</v>
      </c>
      <c r="E107" s="1480">
        <v>9.4049999999999994</v>
      </c>
      <c r="F107" s="1480">
        <v>9.8740000000000006</v>
      </c>
      <c r="G107" s="1480">
        <v>9.8970000000000002</v>
      </c>
      <c r="H107" s="1480"/>
      <c r="I107" s="1480">
        <v>10.161</v>
      </c>
      <c r="J107" s="1480">
        <v>10.175000000000001</v>
      </c>
      <c r="K107" s="1480"/>
      <c r="L107" s="1480">
        <v>10.574</v>
      </c>
      <c r="M107" s="1480">
        <v>10.449</v>
      </c>
      <c r="N107" s="1480">
        <v>10.38</v>
      </c>
      <c r="O107" s="1480">
        <v>10.551</v>
      </c>
    </row>
    <row r="108" spans="1:15">
      <c r="A108" s="1478">
        <v>45440</v>
      </c>
      <c r="B108" s="1480">
        <v>7.1260000000000003</v>
      </c>
      <c r="C108" s="1480">
        <v>8.7439999999999998</v>
      </c>
      <c r="D108" s="1480">
        <v>9.2420000000000009</v>
      </c>
      <c r="E108" s="1480">
        <v>9.5269999999999992</v>
      </c>
      <c r="F108" s="1480">
        <v>9.8160000000000007</v>
      </c>
      <c r="G108" s="1480">
        <v>9.8859999999999992</v>
      </c>
      <c r="H108" s="1480"/>
      <c r="I108" s="1480">
        <v>10.127000000000001</v>
      </c>
      <c r="J108" s="1480">
        <v>10.137</v>
      </c>
      <c r="K108" s="1480"/>
      <c r="L108" s="1480">
        <v>10.56</v>
      </c>
      <c r="M108" s="1480">
        <v>10.464</v>
      </c>
      <c r="N108" s="1480">
        <v>10.359</v>
      </c>
      <c r="O108" s="1480">
        <v>10.587</v>
      </c>
    </row>
    <row r="109" spans="1:15">
      <c r="A109" s="1478">
        <v>45441</v>
      </c>
      <c r="B109" s="1480">
        <v>7.1820000000000004</v>
      </c>
      <c r="C109" s="1480">
        <v>8.8729999999999993</v>
      </c>
      <c r="D109" s="1480">
        <v>9.32</v>
      </c>
      <c r="E109" s="1480">
        <v>9.6059999999999999</v>
      </c>
      <c r="F109" s="1480">
        <v>9.9250000000000007</v>
      </c>
      <c r="G109" s="1480">
        <v>9.9920000000000009</v>
      </c>
      <c r="H109" s="1480"/>
      <c r="I109" s="1480">
        <v>10.180999999999999</v>
      </c>
      <c r="J109" s="1480">
        <v>10.202</v>
      </c>
      <c r="K109" s="1480"/>
      <c r="L109" s="1480">
        <v>10.651999999999999</v>
      </c>
      <c r="M109" s="1480">
        <v>10.561</v>
      </c>
      <c r="N109" s="1480">
        <v>10.42</v>
      </c>
      <c r="O109" s="1480">
        <v>10.68</v>
      </c>
    </row>
    <row r="110" spans="1:15">
      <c r="A110" s="1478">
        <v>45442</v>
      </c>
      <c r="B110" s="1480">
        <v>7.0869999999999997</v>
      </c>
      <c r="C110" s="1480">
        <v>8.7200000000000006</v>
      </c>
      <c r="D110" s="1480">
        <v>9.1929999999999996</v>
      </c>
      <c r="E110" s="1480">
        <v>9.5050000000000008</v>
      </c>
      <c r="F110" s="1480">
        <v>9.8149999999999995</v>
      </c>
      <c r="G110" s="1480">
        <v>9.8789999999999996</v>
      </c>
      <c r="H110" s="1480"/>
      <c r="I110" s="1480">
        <v>10.055999999999999</v>
      </c>
      <c r="J110" s="1480">
        <v>10.090999999999999</v>
      </c>
      <c r="K110" s="1480"/>
      <c r="L110" s="1480">
        <v>10.542</v>
      </c>
      <c r="M110" s="1480">
        <v>10.46</v>
      </c>
      <c r="N110" s="1480">
        <v>10.337999999999999</v>
      </c>
      <c r="O110" s="1480">
        <v>10.596</v>
      </c>
    </row>
    <row r="111" spans="1:15">
      <c r="A111" s="1478">
        <v>45443</v>
      </c>
      <c r="B111" s="1480">
        <v>7.0119999999999996</v>
      </c>
      <c r="C111" s="1480">
        <v>8.5609999999999999</v>
      </c>
      <c r="D111" s="1480">
        <v>9.1170000000000009</v>
      </c>
      <c r="E111" s="1480">
        <v>9.4280000000000008</v>
      </c>
      <c r="F111" s="1480">
        <v>9.7330000000000005</v>
      </c>
      <c r="G111" s="1480">
        <v>9.8030000000000008</v>
      </c>
      <c r="H111" s="1480"/>
      <c r="I111" s="1480">
        <v>9.99</v>
      </c>
      <c r="J111" s="1480">
        <v>10.035</v>
      </c>
      <c r="K111" s="1480"/>
      <c r="L111" s="1480">
        <v>10.492000000000001</v>
      </c>
      <c r="M111" s="1480">
        <v>10.377000000000001</v>
      </c>
      <c r="N111" s="1480">
        <v>10.282</v>
      </c>
      <c r="O111" s="1480">
        <v>10.534000000000001</v>
      </c>
    </row>
    <row r="112" spans="1:15">
      <c r="A112" s="1478">
        <v>45446</v>
      </c>
      <c r="B112" s="1480">
        <v>6.9329999999999998</v>
      </c>
      <c r="C112" s="1480">
        <v>8.4480000000000004</v>
      </c>
      <c r="D112" s="1480">
        <v>8.9689999999999994</v>
      </c>
      <c r="E112" s="1480">
        <v>9.2889999999999997</v>
      </c>
      <c r="F112" s="1480">
        <v>9.5950000000000006</v>
      </c>
      <c r="G112" s="1480">
        <v>9.6620000000000008</v>
      </c>
      <c r="H112" s="1480"/>
      <c r="I112" s="1480">
        <v>9.8469999999999995</v>
      </c>
      <c r="J112" s="1480">
        <v>9.91</v>
      </c>
      <c r="K112" s="1480"/>
      <c r="L112" s="1480">
        <v>10.375999999999999</v>
      </c>
      <c r="M112" s="1480">
        <v>10.268000000000001</v>
      </c>
      <c r="N112" s="1480">
        <v>10.186</v>
      </c>
      <c r="O112" s="1480">
        <v>10.419</v>
      </c>
    </row>
    <row r="113" spans="1:15">
      <c r="A113" s="1478">
        <v>45447</v>
      </c>
      <c r="B113" s="1480">
        <v>6.9550000000000001</v>
      </c>
      <c r="C113" s="1480">
        <v>8.4060000000000006</v>
      </c>
      <c r="D113" s="1480">
        <v>9.0839999999999996</v>
      </c>
      <c r="E113" s="1480">
        <v>9.4049999999999994</v>
      </c>
      <c r="F113" s="1480">
        <v>9.68</v>
      </c>
      <c r="G113" s="1480">
        <v>9.74</v>
      </c>
      <c r="H113" s="1480"/>
      <c r="I113" s="1480">
        <v>9.9139999999999997</v>
      </c>
      <c r="J113" s="1480">
        <v>9.9960000000000004</v>
      </c>
      <c r="K113" s="1480"/>
      <c r="L113" s="1480">
        <v>10.475</v>
      </c>
      <c r="M113" s="1480">
        <v>10.396000000000001</v>
      </c>
      <c r="N113" s="1480">
        <v>10.28</v>
      </c>
      <c r="O113" s="1480">
        <v>10.53</v>
      </c>
    </row>
    <row r="114" spans="1:15">
      <c r="A114" s="1478">
        <v>45448</v>
      </c>
      <c r="B114" s="1480">
        <v>6.9059999999999997</v>
      </c>
      <c r="C114" s="1480">
        <v>8.5169999999999995</v>
      </c>
      <c r="D114" s="1480">
        <v>9.1010000000000009</v>
      </c>
      <c r="E114" s="1480">
        <v>9.4160000000000004</v>
      </c>
      <c r="F114" s="1480">
        <v>9.7279999999999998</v>
      </c>
      <c r="G114" s="1480">
        <v>9.8030000000000008</v>
      </c>
      <c r="H114" s="1480"/>
      <c r="I114" s="1480">
        <v>9.968</v>
      </c>
      <c r="J114" s="1480">
        <v>10.032</v>
      </c>
      <c r="K114" s="1480"/>
      <c r="L114" s="1480">
        <v>10.509</v>
      </c>
      <c r="M114" s="1480">
        <v>10.435</v>
      </c>
      <c r="N114" s="1480">
        <v>10.297000000000001</v>
      </c>
      <c r="O114" s="1480">
        <v>10.545999999999999</v>
      </c>
    </row>
    <row r="115" spans="1:15">
      <c r="A115" s="2662">
        <v>45449</v>
      </c>
      <c r="B115" s="1480">
        <v>6.7370000000000001</v>
      </c>
      <c r="C115" s="1480">
        <v>8.5709999999999997</v>
      </c>
      <c r="D115" s="1480">
        <v>9.125</v>
      </c>
      <c r="E115" s="1480">
        <v>9.3989999999999991</v>
      </c>
      <c r="F115" s="1480">
        <v>9.718</v>
      </c>
      <c r="G115" s="1480">
        <v>9.7889999999999997</v>
      </c>
      <c r="H115" s="1480"/>
      <c r="I115" s="1480">
        <v>9.9730000000000008</v>
      </c>
      <c r="J115" s="1480">
        <v>10.028</v>
      </c>
      <c r="K115" s="1480"/>
      <c r="L115" s="1480">
        <v>10.461</v>
      </c>
      <c r="M115" s="1480">
        <v>10.412000000000001</v>
      </c>
      <c r="N115" s="1480">
        <v>10.269</v>
      </c>
      <c r="O115" s="1480">
        <v>10.531000000000001</v>
      </c>
    </row>
    <row r="116" spans="1:15">
      <c r="A116" s="1478">
        <v>45450</v>
      </c>
      <c r="B116" s="1480">
        <v>6.8769999999999998</v>
      </c>
      <c r="C116" s="1480">
        <v>8.6769999999999996</v>
      </c>
      <c r="D116" s="1480">
        <v>9.2360000000000007</v>
      </c>
      <c r="E116" s="1480">
        <v>9.5289999999999999</v>
      </c>
      <c r="F116" s="1480">
        <v>9.8450000000000006</v>
      </c>
      <c r="G116" s="1480">
        <v>9.9109999999999996</v>
      </c>
      <c r="H116" s="1480"/>
      <c r="I116" s="1480">
        <v>10.071999999999999</v>
      </c>
      <c r="J116" s="1480">
        <v>10.146000000000001</v>
      </c>
      <c r="K116" s="1480"/>
      <c r="L116" s="1480">
        <v>10.571</v>
      </c>
      <c r="M116" s="1480">
        <v>10.499000000000001</v>
      </c>
      <c r="N116" s="1480">
        <v>10.343999999999999</v>
      </c>
      <c r="O116" s="1480">
        <v>10.531000000000001</v>
      </c>
    </row>
    <row r="117" spans="1:15">
      <c r="A117" s="1478">
        <v>45453</v>
      </c>
      <c r="B117" s="1480">
        <v>6.95</v>
      </c>
      <c r="C117" s="1480">
        <v>8.7449999999999992</v>
      </c>
      <c r="D117" s="1480">
        <v>9.3840000000000003</v>
      </c>
      <c r="E117" s="1480">
        <v>9.6590000000000007</v>
      </c>
      <c r="F117" s="1480">
        <v>9.9499999999999993</v>
      </c>
      <c r="G117" s="1480">
        <v>10.004</v>
      </c>
      <c r="H117" s="1480"/>
      <c r="I117" s="1480">
        <v>10.176</v>
      </c>
      <c r="J117" s="1480">
        <v>10.238</v>
      </c>
      <c r="K117" s="1480"/>
      <c r="L117" s="1480">
        <v>10.68</v>
      </c>
      <c r="M117" s="1480">
        <v>10.592000000000001</v>
      </c>
      <c r="N117" s="1480">
        <v>10.433</v>
      </c>
      <c r="O117" s="1480">
        <v>10.739000000000001</v>
      </c>
    </row>
    <row r="118" spans="1:15">
      <c r="A118" s="1478">
        <v>45454</v>
      </c>
      <c r="B118" s="1480">
        <v>6.8970000000000002</v>
      </c>
      <c r="C118" s="1480">
        <v>8.7750000000000004</v>
      </c>
      <c r="D118" s="1480">
        <v>9.3610000000000007</v>
      </c>
      <c r="E118" s="1480">
        <v>9.6</v>
      </c>
      <c r="F118" s="1480">
        <v>9.9220000000000006</v>
      </c>
      <c r="G118" s="1480">
        <v>10.006</v>
      </c>
      <c r="H118" s="1480"/>
      <c r="I118" s="1480">
        <v>10.173999999999999</v>
      </c>
      <c r="J118" s="1480">
        <v>10.254</v>
      </c>
      <c r="K118" s="1480"/>
      <c r="L118" s="1480">
        <v>10.676</v>
      </c>
      <c r="M118" s="1480">
        <v>10.61</v>
      </c>
      <c r="N118" s="1480">
        <v>10.436999999999999</v>
      </c>
      <c r="O118" s="1480">
        <v>10.769</v>
      </c>
    </row>
    <row r="119" spans="1:15">
      <c r="A119" s="1478">
        <v>45455</v>
      </c>
      <c r="B119" s="1480">
        <v>6.7679999999999998</v>
      </c>
      <c r="C119" s="1480">
        <v>8.6129999999999995</v>
      </c>
      <c r="D119" s="1480">
        <v>9.18</v>
      </c>
      <c r="E119" s="1480">
        <v>9.4510000000000005</v>
      </c>
      <c r="F119" s="1480">
        <v>9.7119999999999997</v>
      </c>
      <c r="G119" s="1480">
        <v>9.8529999999999998</v>
      </c>
      <c r="H119" s="1480"/>
      <c r="I119" s="1480">
        <v>9.9870000000000001</v>
      </c>
      <c r="J119" s="1480">
        <v>10.083</v>
      </c>
      <c r="K119" s="1480"/>
      <c r="L119" s="1480">
        <v>10.569000000000001</v>
      </c>
      <c r="M119" s="1480">
        <v>10.467000000000001</v>
      </c>
      <c r="N119" s="1480">
        <v>10.305</v>
      </c>
      <c r="O119" s="1480">
        <v>10.603999999999999</v>
      </c>
    </row>
    <row r="120" spans="1:15">
      <c r="A120" s="1478">
        <v>45456</v>
      </c>
      <c r="B120" s="1480">
        <v>6.8440000000000003</v>
      </c>
      <c r="C120" s="1480">
        <v>8.7050000000000001</v>
      </c>
      <c r="D120" s="1480">
        <v>9.26</v>
      </c>
      <c r="E120" s="1480">
        <v>9.5180000000000007</v>
      </c>
      <c r="F120" s="1480">
        <v>9.7850000000000001</v>
      </c>
      <c r="G120" s="1480">
        <v>9.8949999999999996</v>
      </c>
      <c r="H120" s="1480"/>
      <c r="I120" s="1480">
        <v>10.023</v>
      </c>
      <c r="J120" s="1480">
        <v>10.132999999999999</v>
      </c>
      <c r="K120" s="1480"/>
      <c r="L120" s="1480">
        <v>10.611000000000001</v>
      </c>
      <c r="M120" s="1480">
        <v>10.534000000000001</v>
      </c>
      <c r="N120" s="1480">
        <v>10.362</v>
      </c>
      <c r="O120" s="1480">
        <v>10.677</v>
      </c>
    </row>
    <row r="121" spans="1:15">
      <c r="A121" s="2662">
        <v>45457</v>
      </c>
      <c r="B121" s="1480">
        <v>6.8769999999999998</v>
      </c>
      <c r="C121" s="1480">
        <v>8.8010000000000002</v>
      </c>
      <c r="D121" s="1480">
        <v>9.4030000000000005</v>
      </c>
      <c r="E121" s="1480">
        <v>9.6920000000000002</v>
      </c>
      <c r="F121" s="1480">
        <v>9.9640000000000004</v>
      </c>
      <c r="G121" s="1480">
        <v>10.053000000000001</v>
      </c>
      <c r="H121" s="1480"/>
      <c r="I121" s="1480">
        <v>10.202999999999999</v>
      </c>
      <c r="J121" s="1480">
        <v>10.294</v>
      </c>
      <c r="K121" s="1480"/>
      <c r="L121" s="1480">
        <v>10.757</v>
      </c>
      <c r="M121" s="1480">
        <v>10.688000000000001</v>
      </c>
      <c r="N121" s="1480">
        <v>10.48</v>
      </c>
      <c r="O121" s="1480">
        <v>10.808</v>
      </c>
    </row>
    <row r="122" spans="1:15">
      <c r="A122" s="2662">
        <v>45460</v>
      </c>
      <c r="B122" s="1480">
        <v>6.93</v>
      </c>
      <c r="C122" s="1480">
        <v>8.9909999999999997</v>
      </c>
      <c r="D122" s="1480">
        <v>9.625</v>
      </c>
      <c r="E122" s="1480">
        <v>9.9789999999999992</v>
      </c>
      <c r="F122" s="1480">
        <v>10.265000000000001</v>
      </c>
      <c r="G122" s="1480">
        <v>10.323</v>
      </c>
      <c r="H122" s="1480"/>
      <c r="I122" s="1480">
        <v>10.429</v>
      </c>
      <c r="J122" s="1480">
        <v>10.488</v>
      </c>
      <c r="K122" s="1480"/>
      <c r="L122" s="1480">
        <v>10.933999999999999</v>
      </c>
      <c r="M122" s="1480">
        <v>10.888</v>
      </c>
      <c r="N122" s="1480">
        <v>10.688000000000001</v>
      </c>
      <c r="O122" s="1480">
        <v>10.961</v>
      </c>
    </row>
    <row r="123" spans="1:15">
      <c r="A123" s="2662">
        <v>45461</v>
      </c>
      <c r="B123" s="1480">
        <v>6.8769999999999998</v>
      </c>
      <c r="C123" s="1480">
        <v>8.9570000000000007</v>
      </c>
      <c r="D123" s="1480">
        <v>9.5269999999999992</v>
      </c>
      <c r="E123" s="1480">
        <v>9.93</v>
      </c>
      <c r="F123" s="1480">
        <v>10.231</v>
      </c>
      <c r="G123" s="1480">
        <v>10.285</v>
      </c>
      <c r="H123" s="1480"/>
      <c r="I123" s="1480">
        <v>10.417</v>
      </c>
      <c r="J123" s="1480">
        <v>10.468</v>
      </c>
      <c r="K123" s="1480"/>
      <c r="L123" s="1480">
        <v>10.891</v>
      </c>
      <c r="M123" s="1480">
        <v>10.842000000000001</v>
      </c>
      <c r="N123" s="1480">
        <v>10.654999999999999</v>
      </c>
      <c r="O123" s="1480">
        <v>10.917</v>
      </c>
    </row>
    <row r="124" spans="1:15">
      <c r="A124" s="2662">
        <v>45462</v>
      </c>
      <c r="B124" s="1480">
        <v>6.82</v>
      </c>
      <c r="C124" s="1480">
        <v>8.9280000000000008</v>
      </c>
      <c r="D124" s="1480">
        <v>9.5690000000000008</v>
      </c>
      <c r="E124" s="1480">
        <v>9.91</v>
      </c>
      <c r="F124" s="1480">
        <v>10.211</v>
      </c>
      <c r="G124" s="1480">
        <v>10.272</v>
      </c>
      <c r="H124" s="1480"/>
      <c r="I124" s="1480">
        <v>10.387</v>
      </c>
      <c r="J124" s="1480">
        <v>10.433999999999999</v>
      </c>
      <c r="K124" s="1480"/>
      <c r="L124" s="1480">
        <v>10.882</v>
      </c>
      <c r="M124" s="1480">
        <v>10.855</v>
      </c>
      <c r="N124" s="1480">
        <v>10.648999999999999</v>
      </c>
      <c r="O124" s="1480">
        <v>10.933999999999999</v>
      </c>
    </row>
    <row r="125" spans="1:15">
      <c r="A125" s="2662">
        <v>45463</v>
      </c>
      <c r="B125" s="1480">
        <v>6.8849999999999998</v>
      </c>
      <c r="C125" s="1480">
        <v>9.0239999999999991</v>
      </c>
      <c r="D125" s="1480">
        <v>9.6359999999999992</v>
      </c>
      <c r="E125" s="1480">
        <v>9.9830000000000005</v>
      </c>
      <c r="F125" s="1480">
        <v>10.282999999999999</v>
      </c>
      <c r="G125" s="1480">
        <v>10.331</v>
      </c>
      <c r="H125" s="1480"/>
      <c r="I125" s="1480">
        <v>10.468</v>
      </c>
      <c r="J125" s="1480">
        <v>10.537000000000001</v>
      </c>
      <c r="K125" s="1480"/>
      <c r="L125" s="1480">
        <v>10.938000000000001</v>
      </c>
      <c r="M125" s="1480">
        <v>10.942</v>
      </c>
      <c r="N125" s="1480">
        <v>10.689</v>
      </c>
      <c r="O125" s="1480">
        <v>10.976000000000001</v>
      </c>
    </row>
    <row r="126" spans="1:15">
      <c r="A126" s="2662">
        <v>45464</v>
      </c>
      <c r="B126" s="1480">
        <v>6.8659999999999997</v>
      </c>
      <c r="C126" s="1480">
        <v>9.0090000000000003</v>
      </c>
      <c r="D126" s="1480">
        <v>9.5909999999999993</v>
      </c>
      <c r="E126" s="1480">
        <v>10.002000000000001</v>
      </c>
      <c r="F126" s="1480">
        <v>10.331</v>
      </c>
      <c r="G126" s="1480">
        <v>10.391999999999999</v>
      </c>
      <c r="H126" s="1480"/>
      <c r="I126" s="1480">
        <v>10.484</v>
      </c>
      <c r="J126" s="1480">
        <v>10.544</v>
      </c>
      <c r="K126" s="1480"/>
      <c r="L126" s="1480">
        <v>10.973000000000001</v>
      </c>
      <c r="M126" s="1480">
        <v>10.926</v>
      </c>
      <c r="N126" s="1480">
        <v>10.695</v>
      </c>
      <c r="O126" s="1480">
        <v>10.993</v>
      </c>
    </row>
    <row r="127" spans="1:15">
      <c r="A127" s="2662">
        <v>45467</v>
      </c>
      <c r="B127" s="1480">
        <v>6.89</v>
      </c>
      <c r="C127" s="1480">
        <v>9.0060000000000002</v>
      </c>
      <c r="D127" s="1480">
        <v>9.6289999999999996</v>
      </c>
      <c r="E127" s="1480">
        <v>10.036</v>
      </c>
      <c r="F127" s="1480">
        <v>10.31</v>
      </c>
      <c r="G127" s="1480">
        <v>10.391</v>
      </c>
      <c r="H127" s="1480"/>
      <c r="I127" s="1480">
        <v>10.522</v>
      </c>
      <c r="J127" s="1480">
        <v>10.592000000000001</v>
      </c>
      <c r="K127" s="1480"/>
      <c r="L127" s="1480">
        <v>10.986000000000001</v>
      </c>
      <c r="M127" s="1480">
        <v>10.928000000000001</v>
      </c>
      <c r="N127" s="1480">
        <v>10.736000000000001</v>
      </c>
      <c r="O127" s="1480">
        <v>11.039</v>
      </c>
    </row>
    <row r="128" spans="1:15">
      <c r="A128" s="2662">
        <v>45468</v>
      </c>
      <c r="B128" s="1480">
        <v>6.8659999999999997</v>
      </c>
      <c r="C128" s="1480">
        <v>9.0120000000000005</v>
      </c>
      <c r="D128" s="1480">
        <v>9.6199999999999992</v>
      </c>
      <c r="E128" s="1480">
        <v>10.018000000000001</v>
      </c>
      <c r="F128" s="1480">
        <v>10.315</v>
      </c>
      <c r="G128" s="1480">
        <v>10.372</v>
      </c>
      <c r="H128" s="1480"/>
      <c r="I128" s="1480">
        <v>10.513</v>
      </c>
      <c r="J128" s="1480">
        <v>10.585000000000001</v>
      </c>
      <c r="K128" s="1480"/>
      <c r="L128" s="1480">
        <v>11.004</v>
      </c>
      <c r="M128" s="1480">
        <v>10.981999999999999</v>
      </c>
      <c r="N128" s="1480">
        <v>10.754</v>
      </c>
      <c r="O128" s="1480">
        <v>11.04</v>
      </c>
    </row>
    <row r="129" spans="1:15">
      <c r="A129" s="2662">
        <v>45469</v>
      </c>
      <c r="B129" s="1480">
        <v>6.9039999999999999</v>
      </c>
      <c r="C129" s="1480">
        <v>8.968</v>
      </c>
      <c r="D129" s="1480">
        <v>9.577</v>
      </c>
      <c r="E129" s="1480">
        <v>9.9580000000000002</v>
      </c>
      <c r="F129" s="1480">
        <v>10.18</v>
      </c>
      <c r="G129" s="1480">
        <v>10.263</v>
      </c>
      <c r="H129" s="1480"/>
      <c r="I129" s="1480">
        <v>10.395</v>
      </c>
      <c r="J129" s="1480">
        <v>10.458</v>
      </c>
      <c r="K129" s="1480"/>
      <c r="L129" s="1480">
        <v>10.871</v>
      </c>
      <c r="M129" s="1480">
        <v>10.843999999999999</v>
      </c>
      <c r="N129" s="1480">
        <v>10.634</v>
      </c>
      <c r="O129" s="1480">
        <v>10.93</v>
      </c>
    </row>
    <row r="130" spans="1:15">
      <c r="A130" s="2662">
        <v>45470</v>
      </c>
      <c r="B130" s="1480">
        <v>6.9509999999999996</v>
      </c>
      <c r="C130" s="1480">
        <v>8.9120000000000008</v>
      </c>
      <c r="D130" s="1480">
        <v>9.5820000000000007</v>
      </c>
      <c r="E130" s="1480">
        <v>9.9169999999999998</v>
      </c>
      <c r="F130" s="1480">
        <v>10.164</v>
      </c>
      <c r="G130" s="1480">
        <v>10.236000000000001</v>
      </c>
      <c r="H130" s="1480"/>
      <c r="I130" s="1480">
        <v>10.393000000000001</v>
      </c>
      <c r="J130" s="1480">
        <v>10.442</v>
      </c>
      <c r="K130" s="1480"/>
      <c r="L130" s="1480">
        <v>10.845000000000001</v>
      </c>
      <c r="M130" s="1480">
        <v>10.826000000000001</v>
      </c>
      <c r="N130" s="1480">
        <v>10.612</v>
      </c>
      <c r="O130" s="1480">
        <v>10.891999999999999</v>
      </c>
    </row>
    <row r="131" spans="1:15">
      <c r="A131" s="2662">
        <v>45471</v>
      </c>
      <c r="B131" s="1480">
        <v>7.0289999999999999</v>
      </c>
      <c r="C131" s="1480">
        <v>8.91</v>
      </c>
      <c r="D131" s="1480">
        <v>9.5890000000000004</v>
      </c>
      <c r="E131" s="1480">
        <v>9.9390000000000001</v>
      </c>
      <c r="F131" s="1480">
        <v>10.179</v>
      </c>
      <c r="G131" s="1480">
        <v>10.211</v>
      </c>
      <c r="H131" s="1480"/>
      <c r="I131" s="1480">
        <v>10.388</v>
      </c>
      <c r="J131" s="1480">
        <v>10.404</v>
      </c>
      <c r="K131" s="1480"/>
      <c r="L131" s="1480">
        <v>10.808</v>
      </c>
      <c r="M131" s="1480">
        <v>10.805999999999999</v>
      </c>
      <c r="N131" s="1480">
        <v>10.590999999999999</v>
      </c>
      <c r="O131" s="1480">
        <v>10.875</v>
      </c>
    </row>
    <row r="132" spans="1:15">
      <c r="A132" s="2662">
        <v>45474</v>
      </c>
      <c r="B132" s="1479">
        <v>7.1470000000000002</v>
      </c>
      <c r="C132" s="1479">
        <v>9.0609999999999999</v>
      </c>
      <c r="D132" s="1479">
        <v>9.6660000000000004</v>
      </c>
      <c r="E132" s="1479">
        <v>9.9719999999999995</v>
      </c>
      <c r="F132" s="1479">
        <v>10.207000000000001</v>
      </c>
      <c r="G132" s="1479">
        <v>10.319000000000001</v>
      </c>
      <c r="H132" s="1479"/>
      <c r="I132" s="1479">
        <v>10.49</v>
      </c>
      <c r="J132" s="1479">
        <v>10.513</v>
      </c>
      <c r="K132" s="1479"/>
      <c r="L132" s="1479">
        <v>10.891999999999999</v>
      </c>
      <c r="M132" s="1479">
        <v>10.891999999999999</v>
      </c>
      <c r="N132" s="1479">
        <v>10.669</v>
      </c>
      <c r="O132" s="1479">
        <v>10.971</v>
      </c>
    </row>
    <row r="133" spans="1:15">
      <c r="A133" s="2662">
        <v>45475</v>
      </c>
      <c r="B133" s="1480">
        <v>7.31</v>
      </c>
      <c r="C133" s="1480">
        <v>9.0860000000000003</v>
      </c>
      <c r="D133" s="1480">
        <v>9.6859999999999999</v>
      </c>
      <c r="E133" s="1480">
        <v>9.9559999999999995</v>
      </c>
      <c r="F133" s="1480">
        <v>10.31</v>
      </c>
      <c r="G133" s="1480">
        <v>10.319000000000001</v>
      </c>
      <c r="H133" s="1480"/>
      <c r="I133" s="1480">
        <v>10.499000000000001</v>
      </c>
      <c r="J133" s="1480">
        <v>10.526999999999999</v>
      </c>
      <c r="K133" s="1480"/>
      <c r="L133" s="1480">
        <v>10.901</v>
      </c>
      <c r="M133" s="1480">
        <v>10.904999999999999</v>
      </c>
      <c r="N133" s="1480">
        <v>10.673999999999999</v>
      </c>
      <c r="O133" s="1480">
        <v>10.974</v>
      </c>
    </row>
    <row r="134" spans="1:15">
      <c r="A134" s="2662">
        <v>45476</v>
      </c>
      <c r="B134" s="1480">
        <v>7.2839999999999998</v>
      </c>
      <c r="C134" s="1480">
        <v>9.0229999999999997</v>
      </c>
      <c r="D134" s="1480">
        <v>9.6539999999999999</v>
      </c>
      <c r="E134" s="1480">
        <v>9.9090000000000007</v>
      </c>
      <c r="F134" s="1480">
        <v>10.153</v>
      </c>
      <c r="G134" s="1480">
        <v>10.212999999999999</v>
      </c>
      <c r="H134" s="1480"/>
      <c r="I134" s="1480">
        <v>10.367000000000001</v>
      </c>
      <c r="J134" s="1480">
        <v>10.4</v>
      </c>
      <c r="K134" s="1480"/>
      <c r="L134" s="1480">
        <v>10.752000000000001</v>
      </c>
      <c r="M134" s="1480">
        <v>10.757</v>
      </c>
      <c r="N134" s="1480">
        <v>10.542999999999999</v>
      </c>
      <c r="O134" s="1480">
        <v>10.8</v>
      </c>
    </row>
    <row r="135" spans="1:15">
      <c r="A135" s="2662">
        <v>45477</v>
      </c>
      <c r="B135" s="1480">
        <v>7.2119999999999997</v>
      </c>
      <c r="C135" s="1480">
        <v>8.9969999999999999</v>
      </c>
      <c r="D135" s="1480">
        <v>9.5830000000000002</v>
      </c>
      <c r="E135" s="1480">
        <v>9.89</v>
      </c>
      <c r="F135" s="1480">
        <v>10.265000000000001</v>
      </c>
      <c r="G135" s="1480">
        <v>10.199</v>
      </c>
      <c r="H135" s="1480"/>
      <c r="I135" s="1480">
        <v>10.346</v>
      </c>
      <c r="J135" s="1480">
        <v>10.384</v>
      </c>
      <c r="K135" s="1480"/>
      <c r="L135" s="1480">
        <v>10.74</v>
      </c>
      <c r="M135" s="1480">
        <v>10.757</v>
      </c>
      <c r="N135" s="1480">
        <v>10.526</v>
      </c>
      <c r="O135" s="1480">
        <v>10.81</v>
      </c>
    </row>
    <row r="136" spans="1:15">
      <c r="A136" s="2662">
        <v>45478</v>
      </c>
      <c r="B136" s="1480">
        <v>7.3339999999999996</v>
      </c>
      <c r="C136" s="1480">
        <v>8.907</v>
      </c>
      <c r="D136" s="1480">
        <v>9.5069999999999997</v>
      </c>
      <c r="E136" s="1480">
        <v>9.7460000000000004</v>
      </c>
      <c r="F136" s="1480">
        <v>9.93</v>
      </c>
      <c r="G136" s="1480">
        <v>10.009</v>
      </c>
      <c r="H136" s="1480"/>
      <c r="I136" s="1480">
        <v>10.173999999999999</v>
      </c>
      <c r="J136" s="1480">
        <v>10.189</v>
      </c>
      <c r="K136" s="1480"/>
      <c r="L136" s="1480">
        <v>10.597</v>
      </c>
      <c r="M136" s="1480">
        <v>10.6</v>
      </c>
      <c r="N136" s="1480">
        <v>10.443</v>
      </c>
      <c r="O136" s="1480">
        <v>10.672000000000001</v>
      </c>
    </row>
    <row r="137" spans="1:15">
      <c r="A137" s="2662">
        <v>45481</v>
      </c>
      <c r="B137" s="1480">
        <v>7.2990000000000004</v>
      </c>
      <c r="C137" s="1480">
        <v>8.7959999999999994</v>
      </c>
      <c r="D137" s="1480">
        <v>9.3179999999999996</v>
      </c>
      <c r="E137" s="1480">
        <v>9.5280000000000005</v>
      </c>
      <c r="F137" s="1480">
        <v>9.7279999999999998</v>
      </c>
      <c r="G137" s="1480">
        <v>9.8079999999999998</v>
      </c>
      <c r="H137" s="1480"/>
      <c r="I137" s="1480">
        <v>9.9269999999999996</v>
      </c>
      <c r="J137" s="1480">
        <v>9.9789999999999992</v>
      </c>
      <c r="K137" s="1480"/>
      <c r="L137" s="1480">
        <v>10.403</v>
      </c>
      <c r="M137" s="1480">
        <v>10.422000000000001</v>
      </c>
      <c r="N137" s="1480">
        <v>10.321999999999999</v>
      </c>
      <c r="O137" s="1480">
        <v>10.497</v>
      </c>
    </row>
    <row r="138" spans="1:15">
      <c r="A138" s="2662">
        <v>45482</v>
      </c>
      <c r="B138" s="1480">
        <v>7.3710000000000004</v>
      </c>
      <c r="C138" s="1480">
        <v>8.8719999999999999</v>
      </c>
      <c r="D138" s="1480">
        <v>9.34</v>
      </c>
      <c r="E138" s="1480">
        <v>9.5950000000000006</v>
      </c>
      <c r="F138" s="1480">
        <v>9.7880000000000003</v>
      </c>
      <c r="G138" s="1480">
        <v>9.89</v>
      </c>
      <c r="H138" s="1480"/>
      <c r="I138" s="1480">
        <v>10.023999999999999</v>
      </c>
      <c r="J138" s="1480">
        <v>10.084</v>
      </c>
      <c r="K138" s="1480"/>
      <c r="L138" s="1480">
        <v>10.483000000000001</v>
      </c>
      <c r="M138" s="1480">
        <v>10.497999999999999</v>
      </c>
      <c r="N138" s="1480">
        <v>10.388</v>
      </c>
      <c r="O138" s="1480">
        <v>10.566000000000001</v>
      </c>
    </row>
    <row r="139" spans="1:15">
      <c r="A139" s="2662">
        <v>45483</v>
      </c>
      <c r="B139" s="1480">
        <v>7.3230000000000004</v>
      </c>
      <c r="C139" s="1480">
        <v>8.843</v>
      </c>
      <c r="D139" s="1480">
        <v>9.2970000000000006</v>
      </c>
      <c r="E139" s="1480">
        <v>9.4830000000000005</v>
      </c>
      <c r="F139" s="1480">
        <v>9.66</v>
      </c>
      <c r="G139" s="1480">
        <v>9.7859999999999996</v>
      </c>
      <c r="H139" s="1480"/>
      <c r="I139" s="1480">
        <v>9.9380000000000006</v>
      </c>
      <c r="J139" s="1480">
        <v>10.006</v>
      </c>
      <c r="K139" s="1480"/>
      <c r="L139" s="1480">
        <v>10.456</v>
      </c>
      <c r="M139" s="1480">
        <v>10.448</v>
      </c>
      <c r="N139" s="1480">
        <v>10.358000000000001</v>
      </c>
      <c r="O139" s="1480">
        <v>10.545</v>
      </c>
    </row>
    <row r="140" spans="1:15">
      <c r="A140" s="2662">
        <v>45484</v>
      </c>
      <c r="B140" s="1480">
        <v>7.3529999999999998</v>
      </c>
      <c r="C140" s="1480">
        <v>8.6</v>
      </c>
      <c r="D140" s="1480">
        <v>9.1</v>
      </c>
      <c r="E140" s="1480">
        <v>9.3030000000000008</v>
      </c>
      <c r="F140" s="1480">
        <v>9.4260000000000002</v>
      </c>
      <c r="G140" s="1480">
        <v>9.5679999999999996</v>
      </c>
      <c r="H140" s="1480"/>
      <c r="I140" s="1480">
        <v>9.734</v>
      </c>
      <c r="J140" s="1480">
        <v>9.7880000000000003</v>
      </c>
      <c r="K140" s="1480"/>
      <c r="L140" s="1480">
        <v>10.273</v>
      </c>
      <c r="M140" s="1480">
        <v>10.273</v>
      </c>
      <c r="N140" s="1480">
        <v>10.202999999999999</v>
      </c>
      <c r="O140" s="1480">
        <v>10.35</v>
      </c>
    </row>
    <row r="141" spans="1:15">
      <c r="A141" s="2662">
        <v>45485</v>
      </c>
      <c r="B141" s="1480">
        <v>7.4390000000000001</v>
      </c>
      <c r="C141" s="1480">
        <v>8.6449999999999996</v>
      </c>
      <c r="D141" s="1480">
        <v>9.1229999999999993</v>
      </c>
      <c r="E141" s="1480">
        <v>9.3339999999999996</v>
      </c>
      <c r="F141" s="1480">
        <v>9.4629999999999992</v>
      </c>
      <c r="G141" s="1480">
        <v>9.6229999999999993</v>
      </c>
      <c r="H141" s="1480"/>
      <c r="I141" s="1480">
        <v>9.8049999999999997</v>
      </c>
      <c r="J141" s="1480">
        <v>9.8699999999999992</v>
      </c>
      <c r="K141" s="1480"/>
      <c r="L141" s="1480">
        <v>10.301</v>
      </c>
      <c r="M141" s="1480">
        <v>10.326000000000001</v>
      </c>
      <c r="N141" s="1480">
        <v>10.250999999999999</v>
      </c>
      <c r="O141" s="1480">
        <v>10.417999999999999</v>
      </c>
    </row>
    <row r="142" spans="1:15">
      <c r="A142" s="2662">
        <v>45488</v>
      </c>
      <c r="B142" s="1480">
        <v>7.3650000000000002</v>
      </c>
      <c r="C142" s="1480">
        <v>8.6720000000000006</v>
      </c>
      <c r="D142" s="1480">
        <v>9.0790000000000006</v>
      </c>
      <c r="E142" s="1480">
        <v>9.3309999999999995</v>
      </c>
      <c r="F142" s="1480">
        <v>9.4459999999999997</v>
      </c>
      <c r="G142" s="1480">
        <v>9.6129999999999995</v>
      </c>
      <c r="H142" s="1480"/>
      <c r="I142" s="1480">
        <v>9.7880000000000003</v>
      </c>
      <c r="J142" s="1480">
        <v>9.859</v>
      </c>
      <c r="K142" s="1480"/>
      <c r="L142" s="1480">
        <v>10.275</v>
      </c>
      <c r="M142" s="1480">
        <v>10.302</v>
      </c>
      <c r="N142" s="1480">
        <v>10.212</v>
      </c>
      <c r="O142" s="1480">
        <v>10.381</v>
      </c>
    </row>
    <row r="143" spans="1:15">
      <c r="A143" s="2662">
        <v>45489</v>
      </c>
      <c r="B143" s="1480">
        <v>7.3769999999999998</v>
      </c>
      <c r="C143" s="1480">
        <v>8.6829999999999998</v>
      </c>
      <c r="D143" s="1480">
        <v>9.1159999999999997</v>
      </c>
      <c r="E143" s="1480">
        <v>9.3759999999999994</v>
      </c>
      <c r="F143" s="1480">
        <v>9.4870000000000001</v>
      </c>
      <c r="G143" s="1480">
        <v>9.65</v>
      </c>
      <c r="H143" s="1480"/>
      <c r="I143" s="1480">
        <v>9.8130000000000006</v>
      </c>
      <c r="J143" s="1480">
        <v>9.9290000000000003</v>
      </c>
      <c r="K143" s="1480"/>
      <c r="L143" s="1480">
        <v>10.336</v>
      </c>
      <c r="M143" s="1480">
        <v>10.352</v>
      </c>
      <c r="N143" s="1480">
        <v>10.263</v>
      </c>
      <c r="O143" s="1480">
        <v>10.444000000000001</v>
      </c>
    </row>
    <row r="144" spans="1:15">
      <c r="A144" s="2662">
        <v>45490</v>
      </c>
      <c r="B144" s="1480">
        <v>7.4740000000000002</v>
      </c>
      <c r="C144" s="1480">
        <v>8.7609999999999992</v>
      </c>
      <c r="D144" s="1480">
        <v>9.2210000000000001</v>
      </c>
      <c r="E144" s="1480">
        <v>9.5340000000000007</v>
      </c>
      <c r="F144" s="1480">
        <v>9.6270000000000007</v>
      </c>
      <c r="G144" s="1480">
        <v>9.8079999999999998</v>
      </c>
      <c r="H144" s="1480"/>
      <c r="I144" s="1480">
        <v>9.9469999999999992</v>
      </c>
      <c r="J144" s="1480">
        <v>10.095000000000001</v>
      </c>
      <c r="K144" s="1480"/>
      <c r="L144" s="1480">
        <v>10.430999999999999</v>
      </c>
      <c r="M144" s="1480">
        <v>10.488</v>
      </c>
      <c r="N144" s="1480">
        <v>10.372</v>
      </c>
      <c r="O144" s="1480">
        <v>10.571</v>
      </c>
    </row>
    <row r="145" spans="1:15">
      <c r="A145" s="2662">
        <v>45491</v>
      </c>
      <c r="B145" s="1480">
        <v>7.45</v>
      </c>
      <c r="C145" s="1480">
        <v>8.8710000000000004</v>
      </c>
      <c r="D145" s="1480">
        <v>9.3960000000000008</v>
      </c>
      <c r="E145" s="1480">
        <v>9.6669999999999998</v>
      </c>
      <c r="F145" s="1480">
        <v>9.7739999999999991</v>
      </c>
      <c r="G145" s="1480">
        <v>9.9030000000000005</v>
      </c>
      <c r="H145" s="1480"/>
      <c r="I145" s="1480">
        <v>10.086</v>
      </c>
      <c r="J145" s="1480">
        <v>10.179</v>
      </c>
      <c r="K145" s="1480"/>
      <c r="L145" s="1480">
        <v>10.500999999999999</v>
      </c>
      <c r="M145" s="1480">
        <v>10.547000000000001</v>
      </c>
      <c r="N145" s="1480">
        <v>10.462</v>
      </c>
      <c r="O145" s="1480">
        <v>10.666</v>
      </c>
    </row>
    <row r="146" spans="1:15">
      <c r="A146" s="2662">
        <v>45492</v>
      </c>
      <c r="B146" s="1480">
        <v>7.58</v>
      </c>
      <c r="C146" s="1480">
        <v>8.9939999999999998</v>
      </c>
      <c r="D146" s="1480">
        <v>9.5069999999999997</v>
      </c>
      <c r="E146" s="1480">
        <v>9.7739999999999991</v>
      </c>
      <c r="F146" s="1480">
        <v>9.8759999999999994</v>
      </c>
      <c r="G146" s="1480">
        <v>10.041</v>
      </c>
      <c r="H146" s="1480"/>
      <c r="I146" s="1480">
        <v>10.151999999999999</v>
      </c>
      <c r="J146" s="1480">
        <v>10.284000000000001</v>
      </c>
      <c r="K146" s="1480"/>
      <c r="L146" s="1480">
        <v>10.58</v>
      </c>
      <c r="M146" s="1480">
        <v>10.609</v>
      </c>
      <c r="N146" s="1480">
        <v>10.518000000000001</v>
      </c>
      <c r="O146" s="1480">
        <v>10.753</v>
      </c>
    </row>
    <row r="147" spans="1:15">
      <c r="A147" s="2662">
        <v>45495</v>
      </c>
      <c r="B147" s="1480">
        <v>7.577</v>
      </c>
      <c r="C147" s="1480">
        <v>8.98</v>
      </c>
      <c r="D147" s="1480">
        <v>9.4350000000000005</v>
      </c>
      <c r="E147" s="1480">
        <v>9.6549999999999994</v>
      </c>
      <c r="F147" s="1480">
        <v>9.7720000000000002</v>
      </c>
      <c r="G147" s="1480">
        <v>9.923</v>
      </c>
      <c r="H147" s="1480"/>
      <c r="I147" s="1480">
        <v>10.077999999999999</v>
      </c>
      <c r="J147" s="1480">
        <v>10.188000000000001</v>
      </c>
      <c r="K147" s="1480"/>
      <c r="L147" s="1480">
        <v>10.506</v>
      </c>
      <c r="M147" s="1480">
        <v>10.500999999999999</v>
      </c>
      <c r="N147" s="1480">
        <v>10.452</v>
      </c>
      <c r="O147" s="1480">
        <v>10.663</v>
      </c>
    </row>
    <row r="148" spans="1:15">
      <c r="A148" s="2662">
        <v>45496</v>
      </c>
      <c r="B148" s="1480">
        <v>7.476</v>
      </c>
      <c r="C148" s="1480">
        <v>8.9030000000000005</v>
      </c>
      <c r="D148" s="1480">
        <v>9.327</v>
      </c>
      <c r="E148" s="1480">
        <v>9.5730000000000004</v>
      </c>
      <c r="F148" s="1480">
        <v>9.641</v>
      </c>
      <c r="G148" s="1480">
        <v>9.9019999999999992</v>
      </c>
      <c r="H148" s="1480"/>
      <c r="I148" s="1480">
        <v>10.003</v>
      </c>
      <c r="J148" s="1480">
        <v>10.092000000000001</v>
      </c>
      <c r="K148" s="1480"/>
      <c r="L148" s="1480">
        <v>10.432</v>
      </c>
      <c r="M148" s="1480">
        <v>10.43</v>
      </c>
      <c r="N148" s="1480">
        <v>10.417</v>
      </c>
      <c r="O148" s="1480">
        <v>10.581</v>
      </c>
    </row>
    <row r="149" spans="1:15">
      <c r="A149" s="2662">
        <v>45497</v>
      </c>
      <c r="B149" s="1480">
        <v>7.5049999999999999</v>
      </c>
      <c r="C149" s="1480">
        <v>9.0269999999999992</v>
      </c>
      <c r="D149" s="1480">
        <v>9.4990000000000006</v>
      </c>
      <c r="E149" s="1480">
        <v>9.7210000000000001</v>
      </c>
      <c r="F149" s="1480">
        <v>9.8149999999999995</v>
      </c>
      <c r="G149" s="1480">
        <v>10.013</v>
      </c>
      <c r="H149" s="1480"/>
      <c r="I149" s="1480">
        <v>10.164999999999999</v>
      </c>
      <c r="J149" s="1480">
        <v>10.255000000000001</v>
      </c>
      <c r="K149" s="1480"/>
      <c r="L149" s="1480">
        <v>10.542</v>
      </c>
      <c r="M149" s="1480">
        <v>10.583</v>
      </c>
      <c r="N149" s="1480">
        <v>10.548</v>
      </c>
      <c r="O149" s="1480">
        <v>10.707000000000001</v>
      </c>
    </row>
    <row r="150" spans="1:15">
      <c r="A150" s="2662">
        <v>45498</v>
      </c>
      <c r="B150" s="1480">
        <v>7.6529999999999996</v>
      </c>
      <c r="C150" s="1480">
        <v>9.2479999999999993</v>
      </c>
      <c r="D150" s="1480">
        <v>9.6630000000000003</v>
      </c>
      <c r="E150" s="1480">
        <v>9.9369999999999994</v>
      </c>
      <c r="F150" s="1480">
        <v>9.9939999999999998</v>
      </c>
      <c r="G150" s="1480">
        <v>10.166</v>
      </c>
      <c r="H150" s="1480"/>
      <c r="I150" s="1480">
        <v>10.316000000000001</v>
      </c>
      <c r="J150" s="1480">
        <v>10.398</v>
      </c>
      <c r="K150" s="1480"/>
      <c r="L150" s="1480">
        <v>10.743</v>
      </c>
      <c r="M150" s="1480">
        <v>10.718</v>
      </c>
      <c r="N150" s="1480">
        <v>10.664</v>
      </c>
      <c r="O150" s="1480">
        <v>10.824</v>
      </c>
    </row>
    <row r="151" spans="1:15">
      <c r="A151" s="2662">
        <v>45499</v>
      </c>
      <c r="B151" s="1480">
        <v>7.4779999999999998</v>
      </c>
      <c r="C151" s="1480">
        <v>9.1470000000000002</v>
      </c>
      <c r="D151" s="1480">
        <v>9.5609999999999999</v>
      </c>
      <c r="E151" s="1480">
        <v>9.7829999999999995</v>
      </c>
      <c r="F151" s="1480">
        <v>9.8949999999999996</v>
      </c>
      <c r="G151" s="1480">
        <v>10.06</v>
      </c>
      <c r="H151" s="1480"/>
      <c r="I151" s="1480">
        <v>10.231</v>
      </c>
      <c r="J151" s="1480">
        <v>10.32</v>
      </c>
      <c r="K151" s="1480"/>
      <c r="L151" s="1480">
        <v>10.659000000000001</v>
      </c>
      <c r="M151" s="1480">
        <v>10.645</v>
      </c>
      <c r="N151" s="1480">
        <v>10.625</v>
      </c>
      <c r="O151" s="1480">
        <v>10.76</v>
      </c>
    </row>
    <row r="152" spans="1:15">
      <c r="A152" s="2662">
        <v>45502</v>
      </c>
      <c r="B152" s="1480">
        <v>7.4429999999999996</v>
      </c>
      <c r="C152" s="1480">
        <v>9.1349999999999998</v>
      </c>
      <c r="D152" s="1480">
        <v>9.5340000000000007</v>
      </c>
      <c r="E152" s="1480">
        <v>9.7469999999999999</v>
      </c>
      <c r="F152" s="1480">
        <v>9.8620000000000001</v>
      </c>
      <c r="G152" s="1480">
        <v>10.013999999999999</v>
      </c>
      <c r="H152" s="1480"/>
      <c r="I152" s="1480">
        <v>10.207000000000001</v>
      </c>
      <c r="J152" s="1480">
        <v>10.288</v>
      </c>
      <c r="K152" s="1480"/>
      <c r="L152" s="1480">
        <v>10.65</v>
      </c>
      <c r="M152" s="1480">
        <v>10.614000000000001</v>
      </c>
      <c r="N152" s="1480">
        <v>10.609</v>
      </c>
      <c r="O152" s="1480">
        <v>10.75</v>
      </c>
    </row>
    <row r="153" spans="1:15">
      <c r="A153" s="2662">
        <v>45503</v>
      </c>
      <c r="B153" s="1480">
        <v>7.4980000000000002</v>
      </c>
      <c r="C153" s="1480">
        <v>9.1579999999999995</v>
      </c>
      <c r="D153" s="1480">
        <v>9.5909999999999993</v>
      </c>
      <c r="E153" s="1480">
        <v>9.8469999999999995</v>
      </c>
      <c r="F153" s="1480">
        <v>9.9139999999999997</v>
      </c>
      <c r="G153" s="1480">
        <v>10.09</v>
      </c>
      <c r="H153" s="1480"/>
      <c r="I153" s="1480">
        <v>10.291</v>
      </c>
      <c r="J153" s="1480">
        <v>10.378</v>
      </c>
      <c r="K153" s="1480"/>
      <c r="L153" s="1480">
        <v>10.731</v>
      </c>
      <c r="M153" s="1480">
        <v>10.698</v>
      </c>
      <c r="N153" s="1480">
        <v>10.675000000000001</v>
      </c>
      <c r="O153" s="1480">
        <v>10.832000000000001</v>
      </c>
    </row>
    <row r="154" spans="1:15">
      <c r="A154" s="2662">
        <v>45504</v>
      </c>
      <c r="B154" s="1480">
        <v>7.4790000000000001</v>
      </c>
      <c r="C154" s="1480">
        <v>9.1259999999999994</v>
      </c>
      <c r="D154" s="1480">
        <v>9.5470000000000006</v>
      </c>
      <c r="E154" s="1480">
        <v>9.798</v>
      </c>
      <c r="F154" s="1480">
        <v>9.93</v>
      </c>
      <c r="G154" s="1480">
        <v>10.092000000000001</v>
      </c>
      <c r="H154" s="1480"/>
      <c r="I154" s="1480">
        <v>10.304</v>
      </c>
      <c r="J154" s="1480">
        <v>10.409000000000001</v>
      </c>
      <c r="K154" s="1480"/>
      <c r="L154" s="1480">
        <v>10.747</v>
      </c>
      <c r="M154" s="1480">
        <v>10.7</v>
      </c>
      <c r="N154" s="1480">
        <v>10.667999999999999</v>
      </c>
      <c r="O154" s="1480">
        <v>10.826000000000001</v>
      </c>
    </row>
    <row r="155" spans="1:15">
      <c r="A155" s="2662">
        <v>45505</v>
      </c>
      <c r="B155" s="1480">
        <v>7.5819999999999999</v>
      </c>
      <c r="C155" s="1480">
        <v>9.1920000000000002</v>
      </c>
      <c r="D155" s="1480">
        <v>9.6140000000000008</v>
      </c>
      <c r="E155" s="1480">
        <v>9.8490000000000002</v>
      </c>
      <c r="F155" s="1480">
        <v>10.016999999999999</v>
      </c>
      <c r="G155" s="1480">
        <v>10.147</v>
      </c>
      <c r="H155" s="1480"/>
      <c r="I155" s="1480">
        <v>10.348000000000001</v>
      </c>
      <c r="J155" s="1480">
        <v>10.507999999999999</v>
      </c>
      <c r="K155" s="1480"/>
      <c r="L155" s="1480">
        <v>10.811</v>
      </c>
      <c r="M155" s="1480">
        <v>10.773999999999999</v>
      </c>
      <c r="N155" s="1480">
        <v>10.737</v>
      </c>
      <c r="O155" s="1480">
        <v>10.872999999999999</v>
      </c>
    </row>
    <row r="156" spans="1:15">
      <c r="A156" s="2662">
        <v>45506</v>
      </c>
      <c r="B156" s="1480">
        <v>7.8369999999999997</v>
      </c>
      <c r="C156" s="1480">
        <v>9.3859999999999992</v>
      </c>
      <c r="D156" s="1480">
        <v>9.8629999999999995</v>
      </c>
      <c r="E156" s="1480">
        <v>10.154999999999999</v>
      </c>
      <c r="F156" s="1480">
        <v>10.236000000000001</v>
      </c>
      <c r="G156" s="1480">
        <v>10.404999999999999</v>
      </c>
      <c r="H156" s="1480"/>
      <c r="I156" s="1480">
        <v>10.613</v>
      </c>
      <c r="J156" s="1480">
        <v>10.746</v>
      </c>
      <c r="K156" s="1480"/>
      <c r="L156" s="1480">
        <v>11.032999999999999</v>
      </c>
      <c r="M156" s="1480">
        <v>10.965</v>
      </c>
      <c r="N156" s="1480">
        <v>10.911</v>
      </c>
      <c r="O156" s="1480">
        <v>11.071999999999999</v>
      </c>
    </row>
    <row r="157" spans="1:15">
      <c r="A157" s="2662">
        <v>45509</v>
      </c>
      <c r="B157" s="1480">
        <v>8.1010000000000009</v>
      </c>
      <c r="C157" s="1480">
        <v>9.9740000000000002</v>
      </c>
      <c r="D157" s="1480">
        <v>10.298</v>
      </c>
      <c r="E157" s="1480">
        <v>10.614000000000001</v>
      </c>
      <c r="F157" s="1480">
        <v>10.712</v>
      </c>
      <c r="G157" s="1480">
        <v>10.811</v>
      </c>
      <c r="H157" s="1480"/>
      <c r="I157" s="1480">
        <v>11.085000000000001</v>
      </c>
      <c r="J157" s="1480">
        <v>11.169</v>
      </c>
      <c r="K157" s="1480"/>
      <c r="L157" s="1480">
        <v>11.411</v>
      </c>
      <c r="M157" s="1480">
        <v>11.34</v>
      </c>
      <c r="N157" s="1480">
        <v>11.250999999999999</v>
      </c>
      <c r="O157" s="1480">
        <v>11.456</v>
      </c>
    </row>
    <row r="158" spans="1:15">
      <c r="A158" s="2662">
        <v>45510</v>
      </c>
      <c r="B158" s="1480">
        <v>7.96</v>
      </c>
      <c r="C158" s="1480">
        <v>9.843</v>
      </c>
      <c r="D158" s="1480">
        <v>10.215999999999999</v>
      </c>
      <c r="E158" s="1480">
        <v>10.545999999999999</v>
      </c>
      <c r="F158" s="1480">
        <v>10.629</v>
      </c>
      <c r="G158" s="1480">
        <v>10.811</v>
      </c>
      <c r="H158" s="1480"/>
      <c r="I158" s="1480">
        <v>11.05</v>
      </c>
      <c r="J158" s="1480">
        <v>11.06</v>
      </c>
      <c r="K158" s="1480"/>
      <c r="L158" s="1480">
        <v>11.333</v>
      </c>
      <c r="M158" s="1480">
        <v>11.269</v>
      </c>
      <c r="N158" s="1480">
        <v>11.186999999999999</v>
      </c>
      <c r="O158" s="1480">
        <v>11.388</v>
      </c>
    </row>
    <row r="159" spans="1:15">
      <c r="A159" s="2662">
        <v>45511</v>
      </c>
      <c r="B159" s="1480">
        <v>7.9290000000000003</v>
      </c>
      <c r="C159" s="1480">
        <v>9.6590000000000007</v>
      </c>
      <c r="D159" s="1480">
        <v>9.9320000000000004</v>
      </c>
      <c r="E159" s="1480">
        <v>10.244999999999999</v>
      </c>
      <c r="F159" s="1480">
        <v>10.384</v>
      </c>
      <c r="G159" s="1480">
        <v>10.526</v>
      </c>
      <c r="H159" s="1480"/>
      <c r="I159" s="1480">
        <v>10.795999999999999</v>
      </c>
      <c r="J159" s="1480">
        <v>10.837</v>
      </c>
      <c r="K159" s="1480"/>
      <c r="L159" s="1480">
        <v>11.157</v>
      </c>
      <c r="M159" s="1480">
        <v>11.103</v>
      </c>
      <c r="N159" s="1480">
        <v>11.03</v>
      </c>
      <c r="O159" s="1480">
        <v>11.225</v>
      </c>
    </row>
    <row r="160" spans="1:15">
      <c r="A160" s="2662">
        <v>45512</v>
      </c>
      <c r="B160" s="1480">
        <v>7.9210000000000003</v>
      </c>
      <c r="C160" s="1480">
        <v>9.6620000000000008</v>
      </c>
      <c r="D160" s="1480">
        <v>9.9280000000000008</v>
      </c>
      <c r="E160" s="1480">
        <v>10.191000000000001</v>
      </c>
      <c r="F160" s="1480">
        <v>10.356999999999999</v>
      </c>
      <c r="G160" s="1480">
        <v>10.505000000000001</v>
      </c>
      <c r="H160" s="1480"/>
      <c r="I160" s="1480">
        <v>10.808999999999999</v>
      </c>
      <c r="J160" s="1480">
        <v>10.843</v>
      </c>
      <c r="K160" s="1480"/>
      <c r="L160" s="1480">
        <v>11.135</v>
      </c>
      <c r="M160" s="1480">
        <v>11.101000000000001</v>
      </c>
      <c r="N160" s="1480">
        <v>11.035</v>
      </c>
      <c r="O160" s="1480">
        <v>11.231999999999999</v>
      </c>
    </row>
    <row r="161" spans="1:15">
      <c r="A161" s="2662">
        <v>45513</v>
      </c>
      <c r="B161" s="1480">
        <v>7.81</v>
      </c>
      <c r="C161" s="1480">
        <v>9.5350000000000001</v>
      </c>
      <c r="D161" s="1480">
        <v>9.77</v>
      </c>
      <c r="E161" s="1480">
        <v>10.055</v>
      </c>
      <c r="F161" s="1480">
        <v>10.211</v>
      </c>
      <c r="G161" s="1480">
        <v>10.371</v>
      </c>
      <c r="H161" s="1480"/>
      <c r="I161" s="1480">
        <v>10.657999999999999</v>
      </c>
      <c r="J161" s="1480">
        <v>10.692</v>
      </c>
      <c r="K161" s="1480"/>
      <c r="L161" s="1480">
        <v>11.028</v>
      </c>
      <c r="M161" s="1480">
        <v>10.971</v>
      </c>
      <c r="N161" s="1480">
        <v>10.909000000000001</v>
      </c>
      <c r="O161" s="1480">
        <v>11.112</v>
      </c>
    </row>
    <row r="162" spans="1:15">
      <c r="A162" s="2662">
        <v>45516</v>
      </c>
      <c r="B162" s="1480">
        <v>7.8550000000000004</v>
      </c>
      <c r="C162" s="1480">
        <v>9.4930000000000003</v>
      </c>
      <c r="D162" s="1480">
        <v>9.7289999999999992</v>
      </c>
      <c r="E162" s="1480">
        <v>9.9469999999999992</v>
      </c>
      <c r="F162" s="1480">
        <v>10.129</v>
      </c>
      <c r="G162" s="1480">
        <v>10.308999999999999</v>
      </c>
      <c r="H162" s="1480"/>
      <c r="I162" s="1480">
        <v>10.593999999999999</v>
      </c>
      <c r="J162" s="1480">
        <v>10.644</v>
      </c>
      <c r="K162" s="1480"/>
      <c r="L162" s="1480">
        <v>10.955</v>
      </c>
      <c r="M162" s="1480">
        <v>10.93</v>
      </c>
      <c r="N162" s="1480">
        <v>10.88</v>
      </c>
      <c r="O162" s="1480">
        <v>11.066000000000001</v>
      </c>
    </row>
    <row r="163" spans="1:15">
      <c r="A163" s="2662">
        <v>45517</v>
      </c>
      <c r="B163" s="1480">
        <v>7.8579999999999997</v>
      </c>
      <c r="C163" s="1480">
        <v>9.5280000000000005</v>
      </c>
      <c r="D163" s="1480">
        <v>9.7490000000000006</v>
      </c>
      <c r="E163" s="1480">
        <v>10.003</v>
      </c>
      <c r="F163" s="1480">
        <v>10.177</v>
      </c>
      <c r="G163" s="1480">
        <v>10.345000000000001</v>
      </c>
      <c r="H163" s="1480"/>
      <c r="I163" s="1480">
        <v>10.616</v>
      </c>
      <c r="J163" s="1480">
        <v>10.672000000000001</v>
      </c>
      <c r="K163" s="1480"/>
      <c r="L163" s="1480">
        <v>10.986000000000001</v>
      </c>
      <c r="M163" s="1480">
        <v>10.971</v>
      </c>
      <c r="N163" s="1480">
        <v>10.907999999999999</v>
      </c>
      <c r="O163" s="1480">
        <v>11.103999999999999</v>
      </c>
    </row>
    <row r="164" spans="1:15">
      <c r="A164" s="2662">
        <v>45518</v>
      </c>
      <c r="B164" s="1480">
        <v>7.8040000000000003</v>
      </c>
      <c r="C164" s="1480">
        <v>9.4909999999999997</v>
      </c>
      <c r="D164" s="1480">
        <v>9.7110000000000003</v>
      </c>
      <c r="E164" s="1480">
        <v>9.968</v>
      </c>
      <c r="F164" s="1480">
        <v>10.135</v>
      </c>
      <c r="G164" s="1480">
        <v>10.317</v>
      </c>
      <c r="H164" s="1480"/>
      <c r="I164" s="1480">
        <v>10.585000000000001</v>
      </c>
      <c r="J164" s="1480">
        <v>10.676</v>
      </c>
      <c r="K164" s="1480"/>
      <c r="L164" s="1480">
        <v>10.959</v>
      </c>
      <c r="M164" s="1480">
        <v>10.942</v>
      </c>
      <c r="N164" s="1480">
        <v>10.882999999999999</v>
      </c>
      <c r="O164" s="1480">
        <v>11.102</v>
      </c>
    </row>
    <row r="165" spans="1:15">
      <c r="A165" s="2662">
        <v>45519</v>
      </c>
      <c r="B165" s="1480">
        <v>7.7990000000000004</v>
      </c>
      <c r="C165" s="1480">
        <v>9.5120000000000005</v>
      </c>
      <c r="D165" s="1480">
        <v>9.7189999999999994</v>
      </c>
      <c r="E165" s="1480">
        <v>9.9740000000000002</v>
      </c>
      <c r="F165" s="1480">
        <v>10.128</v>
      </c>
      <c r="G165" s="1480">
        <v>10.292</v>
      </c>
      <c r="H165" s="1480"/>
      <c r="I165" s="1480">
        <v>10.57</v>
      </c>
      <c r="J165" s="1480">
        <v>10.647</v>
      </c>
      <c r="K165" s="1480"/>
      <c r="L165" s="1480">
        <v>10.955</v>
      </c>
      <c r="M165" s="1480">
        <v>10.919</v>
      </c>
      <c r="N165" s="1480">
        <v>10.875999999999999</v>
      </c>
      <c r="O165" s="1480">
        <v>11.090999999999999</v>
      </c>
    </row>
    <row r="166" spans="1:15">
      <c r="A166" s="2662">
        <v>45520</v>
      </c>
      <c r="B166" s="1480">
        <v>7.6929999999999996</v>
      </c>
      <c r="C166" s="1480">
        <v>9.4169999999999998</v>
      </c>
      <c r="D166" s="1480">
        <v>9.5760000000000005</v>
      </c>
      <c r="E166" s="1480">
        <v>9.81</v>
      </c>
      <c r="F166" s="1480">
        <v>9.9960000000000004</v>
      </c>
      <c r="G166" s="1480">
        <v>10.141</v>
      </c>
      <c r="H166" s="1480"/>
      <c r="I166" s="1480">
        <v>10.413</v>
      </c>
      <c r="J166" s="1480">
        <v>10.518000000000001</v>
      </c>
      <c r="K166" s="1480"/>
      <c r="L166" s="1480">
        <v>10.843</v>
      </c>
      <c r="M166" s="1480">
        <v>10.784000000000001</v>
      </c>
      <c r="N166" s="1480">
        <v>10.784000000000001</v>
      </c>
      <c r="O166" s="1480">
        <v>10.977</v>
      </c>
    </row>
    <row r="167" spans="1:15">
      <c r="A167" s="2662">
        <v>45523</v>
      </c>
      <c r="B167" s="1480">
        <v>7.5119999999999996</v>
      </c>
      <c r="C167" s="1480">
        <v>9.3030000000000008</v>
      </c>
      <c r="D167" s="1480">
        <v>9.4480000000000004</v>
      </c>
      <c r="E167" s="1480">
        <v>9.702</v>
      </c>
      <c r="F167" s="1480">
        <v>9.9179999999999993</v>
      </c>
      <c r="G167" s="1480">
        <v>10.07</v>
      </c>
      <c r="H167" s="1480"/>
      <c r="I167" s="1480">
        <v>10.3</v>
      </c>
      <c r="J167" s="1480">
        <v>10.452</v>
      </c>
      <c r="K167" s="1480"/>
      <c r="L167" s="1480">
        <v>10.741</v>
      </c>
      <c r="M167" s="1480">
        <v>10.734</v>
      </c>
      <c r="N167" s="1480">
        <v>10.698</v>
      </c>
      <c r="O167" s="1480">
        <v>10.901</v>
      </c>
    </row>
    <row r="168" spans="1:15">
      <c r="A168" s="2662">
        <v>45524</v>
      </c>
      <c r="B168" s="1480">
        <v>7.47</v>
      </c>
      <c r="C168" s="1480">
        <v>9.2140000000000004</v>
      </c>
      <c r="D168" s="1480">
        <v>9.3439999999999994</v>
      </c>
      <c r="E168" s="1480">
        <v>9.5909999999999993</v>
      </c>
      <c r="F168" s="1480">
        <v>9.7850000000000001</v>
      </c>
      <c r="G168" s="1480">
        <v>9.9589999999999996</v>
      </c>
      <c r="H168" s="1480"/>
      <c r="I168" s="1480">
        <v>10.255000000000001</v>
      </c>
      <c r="J168" s="1480">
        <v>10.35</v>
      </c>
      <c r="K168" s="1480"/>
      <c r="L168" s="1480">
        <v>10.618</v>
      </c>
      <c r="M168" s="1480">
        <v>10.62</v>
      </c>
      <c r="N168" s="1480">
        <v>10.61</v>
      </c>
      <c r="O168" s="1480">
        <v>10.842000000000001</v>
      </c>
    </row>
    <row r="169" spans="1:15">
      <c r="A169" s="2662">
        <v>45525</v>
      </c>
      <c r="B169" s="1480">
        <v>7.2629999999999999</v>
      </c>
      <c r="C169" s="1480">
        <v>9.1530000000000005</v>
      </c>
      <c r="D169" s="1480">
        <v>9.2949999999999999</v>
      </c>
      <c r="E169" s="1480">
        <v>9.5150000000000006</v>
      </c>
      <c r="F169" s="1480">
        <v>9.7089999999999996</v>
      </c>
      <c r="G169" s="1480">
        <v>9.9160000000000004</v>
      </c>
      <c r="H169" s="1480"/>
      <c r="I169" s="1480">
        <v>10.194000000000001</v>
      </c>
      <c r="J169" s="1480">
        <v>10.324999999999999</v>
      </c>
      <c r="K169" s="1480"/>
      <c r="L169" s="1480">
        <v>10.593999999999999</v>
      </c>
      <c r="M169" s="1480">
        <v>10.616</v>
      </c>
      <c r="N169" s="1480">
        <v>10.597</v>
      </c>
      <c r="O169" s="1480">
        <v>10.803000000000001</v>
      </c>
    </row>
    <row r="170" spans="1:15">
      <c r="A170" s="2662">
        <v>45526</v>
      </c>
      <c r="B170" s="1480">
        <v>7.4809999999999999</v>
      </c>
      <c r="C170" s="1480">
        <v>9.2539999999999996</v>
      </c>
      <c r="D170" s="1480">
        <v>9.4239999999999995</v>
      </c>
      <c r="E170" s="1480">
        <v>9.5869999999999997</v>
      </c>
      <c r="F170" s="1480">
        <v>9.7850000000000001</v>
      </c>
      <c r="G170" s="1480">
        <v>9.984</v>
      </c>
      <c r="H170" s="1480"/>
      <c r="I170" s="1480">
        <v>10.247999999999999</v>
      </c>
      <c r="J170" s="1480">
        <v>10.397</v>
      </c>
      <c r="K170" s="1480"/>
      <c r="L170" s="1480">
        <v>10.643000000000001</v>
      </c>
      <c r="M170" s="1480">
        <v>10.657</v>
      </c>
      <c r="N170" s="1480">
        <v>10.644</v>
      </c>
      <c r="O170" s="1480">
        <v>10.866</v>
      </c>
    </row>
    <row r="171" spans="1:15">
      <c r="A171" s="2662">
        <v>45527</v>
      </c>
      <c r="B171" s="1480">
        <v>7.2969999999999997</v>
      </c>
      <c r="C171" s="1480">
        <v>9.1029999999999998</v>
      </c>
      <c r="D171" s="1480">
        <v>9.3230000000000004</v>
      </c>
      <c r="E171" s="1480">
        <v>9.49</v>
      </c>
      <c r="F171" s="1480">
        <v>9.6809999999999992</v>
      </c>
      <c r="G171" s="1480">
        <v>9.8780000000000001</v>
      </c>
      <c r="H171" s="1480"/>
      <c r="I171" s="1480">
        <v>10.177</v>
      </c>
      <c r="J171" s="1480">
        <v>10.292999999999999</v>
      </c>
      <c r="K171" s="1480"/>
      <c r="L171" s="1480">
        <v>10.584</v>
      </c>
      <c r="M171" s="1480">
        <v>10.585000000000001</v>
      </c>
      <c r="N171" s="1480">
        <v>10.573</v>
      </c>
      <c r="O171" s="1480">
        <v>10.78</v>
      </c>
    </row>
    <row r="172" spans="1:15">
      <c r="A172" s="2662">
        <v>45530</v>
      </c>
      <c r="B172" s="1480">
        <v>7.4210000000000003</v>
      </c>
      <c r="C172" s="1480">
        <v>9.1630000000000003</v>
      </c>
      <c r="D172" s="1480">
        <v>9.3620000000000001</v>
      </c>
      <c r="E172" s="1480">
        <v>9.4990000000000006</v>
      </c>
      <c r="F172" s="1480">
        <v>9.7349999999999994</v>
      </c>
      <c r="G172" s="1480">
        <v>9.9179999999999993</v>
      </c>
      <c r="H172" s="1480"/>
      <c r="I172" s="1480">
        <v>10.209</v>
      </c>
      <c r="J172" s="1480">
        <v>10.316000000000001</v>
      </c>
      <c r="K172" s="1480"/>
      <c r="L172" s="1480">
        <v>10.613</v>
      </c>
      <c r="M172" s="1480">
        <v>10.615</v>
      </c>
      <c r="N172" s="1480">
        <v>10.602</v>
      </c>
      <c r="O172" s="1480">
        <v>10.795</v>
      </c>
    </row>
    <row r="173" spans="1:15">
      <c r="A173" s="2662">
        <v>45531</v>
      </c>
      <c r="B173" s="1480">
        <v>7.2210000000000001</v>
      </c>
      <c r="C173" s="1480">
        <v>9.0310000000000006</v>
      </c>
      <c r="D173" s="1480">
        <v>9.2110000000000003</v>
      </c>
      <c r="E173" s="1480">
        <v>9.3209999999999997</v>
      </c>
      <c r="F173" s="1480">
        <v>9.5350000000000001</v>
      </c>
      <c r="G173" s="1480">
        <v>9.7859999999999996</v>
      </c>
      <c r="H173" s="1480"/>
      <c r="I173" s="1480">
        <v>10.076000000000001</v>
      </c>
      <c r="J173" s="1480">
        <v>10.205</v>
      </c>
      <c r="K173" s="1480"/>
      <c r="L173" s="1480">
        <v>10.515000000000001</v>
      </c>
      <c r="M173" s="1480">
        <v>10.525</v>
      </c>
      <c r="N173" s="1480">
        <v>10.510999999999999</v>
      </c>
      <c r="O173" s="1480">
        <v>10.715999999999999</v>
      </c>
    </row>
    <row r="174" spans="1:15">
      <c r="A174" s="2662">
        <v>45532</v>
      </c>
      <c r="B174" s="1480">
        <v>7.1369999999999996</v>
      </c>
      <c r="C174" s="1480">
        <v>8.8710000000000004</v>
      </c>
      <c r="D174" s="1480">
        <v>9.08</v>
      </c>
      <c r="E174" s="1480">
        <v>9.2289999999999992</v>
      </c>
      <c r="F174" s="1480">
        <v>9.4260000000000002</v>
      </c>
      <c r="G174" s="1480">
        <v>9.6859999999999999</v>
      </c>
      <c r="H174" s="1480"/>
      <c r="I174" s="1480">
        <v>9.968</v>
      </c>
      <c r="J174" s="1480">
        <v>10.109</v>
      </c>
      <c r="K174" s="1480"/>
      <c r="L174" s="1480">
        <v>10.443</v>
      </c>
      <c r="M174" s="1480">
        <v>10.465</v>
      </c>
      <c r="N174" s="1480">
        <v>10.467000000000001</v>
      </c>
      <c r="O174" s="1480">
        <v>10.641999999999999</v>
      </c>
    </row>
    <row r="175" spans="1:15">
      <c r="A175" s="2662">
        <v>45533</v>
      </c>
      <c r="B175" s="1480">
        <v>6.9989999999999997</v>
      </c>
      <c r="C175" s="1480">
        <v>8.8450000000000006</v>
      </c>
      <c r="D175" s="1480">
        <v>8.984</v>
      </c>
      <c r="E175" s="1480">
        <v>9.1280000000000001</v>
      </c>
      <c r="F175" s="1480">
        <v>9.31</v>
      </c>
      <c r="G175" s="1480">
        <v>9.6340000000000003</v>
      </c>
      <c r="H175" s="1480"/>
      <c r="I175" s="1480">
        <v>9.9380000000000006</v>
      </c>
      <c r="J175" s="1480">
        <v>10.063000000000001</v>
      </c>
      <c r="K175" s="1480"/>
      <c r="L175" s="1480">
        <v>10.404</v>
      </c>
      <c r="M175" s="1480">
        <v>10.398999999999999</v>
      </c>
      <c r="N175" s="1480">
        <v>10.417999999999999</v>
      </c>
      <c r="O175" s="1480">
        <v>10.598000000000001</v>
      </c>
    </row>
    <row r="176" spans="1:15">
      <c r="A176" s="2662">
        <v>45534</v>
      </c>
      <c r="B176" s="1480">
        <v>6.8179999999999996</v>
      </c>
      <c r="C176" s="1480">
        <v>8.7129999999999992</v>
      </c>
      <c r="D176" s="1480">
        <v>8.9410000000000007</v>
      </c>
      <c r="E176" s="1480">
        <v>9.0579999999999998</v>
      </c>
      <c r="F176" s="1480">
        <v>9.2460000000000004</v>
      </c>
      <c r="G176" s="1480">
        <v>9.5749999999999993</v>
      </c>
      <c r="H176" s="1480"/>
      <c r="I176" s="1480">
        <v>9.8650000000000002</v>
      </c>
      <c r="J176" s="1480">
        <v>10.006</v>
      </c>
      <c r="K176" s="1480"/>
      <c r="L176" s="1480">
        <v>10.335000000000001</v>
      </c>
      <c r="M176" s="1480">
        <v>10.353</v>
      </c>
      <c r="N176" s="1480">
        <v>10.369</v>
      </c>
      <c r="O176" s="1480">
        <v>10.551</v>
      </c>
    </row>
    <row r="177" spans="1:15">
      <c r="A177" s="2662">
        <v>45537</v>
      </c>
      <c r="B177" s="1480">
        <v>6.9669999999999996</v>
      </c>
      <c r="C177" s="1480">
        <v>8.7919999999999998</v>
      </c>
      <c r="D177" s="1480">
        <v>8.9740000000000002</v>
      </c>
      <c r="E177" s="1480">
        <v>9.0879999999999992</v>
      </c>
      <c r="F177" s="1480">
        <v>9.2850000000000001</v>
      </c>
      <c r="G177" s="1480">
        <v>9.6170000000000009</v>
      </c>
      <c r="H177" s="1480"/>
      <c r="I177" s="1480">
        <v>9.9139999999999997</v>
      </c>
      <c r="J177" s="1480">
        <v>10.058</v>
      </c>
      <c r="K177" s="1480"/>
      <c r="L177" s="1480">
        <v>10.372999999999999</v>
      </c>
      <c r="M177" s="1480">
        <v>10.387</v>
      </c>
      <c r="N177" s="1480">
        <v>10.417999999999999</v>
      </c>
      <c r="O177" s="1480">
        <v>10.609</v>
      </c>
    </row>
    <row r="178" spans="1:15">
      <c r="A178" s="2662">
        <v>45538</v>
      </c>
      <c r="B178" s="1480">
        <v>7.2519999999999998</v>
      </c>
      <c r="C178" s="1480">
        <v>9.0020000000000007</v>
      </c>
      <c r="D178" s="1480">
        <v>9.234</v>
      </c>
      <c r="E178" s="1480">
        <v>9.3480000000000008</v>
      </c>
      <c r="F178" s="1480">
        <v>9.5370000000000008</v>
      </c>
      <c r="G178" s="1480">
        <v>9.8049999999999997</v>
      </c>
      <c r="H178" s="1480"/>
      <c r="I178" s="1480">
        <v>10.122</v>
      </c>
      <c r="J178" s="1480">
        <v>10.291</v>
      </c>
      <c r="K178" s="1480"/>
      <c r="L178" s="1480">
        <v>10.561</v>
      </c>
      <c r="M178" s="1480">
        <v>10.569000000000001</v>
      </c>
      <c r="N178" s="1480">
        <v>10.57</v>
      </c>
      <c r="O178" s="1480">
        <v>10.8</v>
      </c>
    </row>
    <row r="179" spans="1:15">
      <c r="A179" s="2662">
        <v>45539</v>
      </c>
      <c r="B179" s="1480">
        <v>7.3079999999999998</v>
      </c>
      <c r="C179" s="1480">
        <v>8.9689999999999994</v>
      </c>
      <c r="D179" s="1480">
        <v>9.2579999999999991</v>
      </c>
      <c r="E179" s="1480">
        <v>9.3539999999999992</v>
      </c>
      <c r="F179" s="1480">
        <v>9.5589999999999993</v>
      </c>
      <c r="G179" s="1480">
        <v>9.8160000000000007</v>
      </c>
      <c r="H179" s="1480"/>
      <c r="I179" s="1480">
        <v>10.125</v>
      </c>
      <c r="J179" s="1480">
        <v>10.272</v>
      </c>
      <c r="K179" s="1480"/>
      <c r="L179" s="1480">
        <v>10.548</v>
      </c>
      <c r="M179" s="1480">
        <v>10.525</v>
      </c>
      <c r="N179" s="1480">
        <v>10.547000000000001</v>
      </c>
      <c r="O179" s="1480">
        <v>10.763</v>
      </c>
    </row>
    <row r="180" spans="1:15">
      <c r="A180" s="2662">
        <v>45540</v>
      </c>
      <c r="B180" s="1480">
        <v>7.2060000000000004</v>
      </c>
      <c r="C180" s="1480">
        <v>8.923</v>
      </c>
      <c r="D180" s="1480">
        <v>9.1590000000000007</v>
      </c>
      <c r="E180" s="1480">
        <v>9.2319999999999993</v>
      </c>
      <c r="F180" s="1480">
        <v>9.4390000000000001</v>
      </c>
      <c r="G180" s="1480">
        <v>9.7249999999999996</v>
      </c>
      <c r="H180" s="1480"/>
      <c r="I180" s="1480">
        <v>10.037000000000001</v>
      </c>
      <c r="J180" s="1480">
        <v>10.221</v>
      </c>
      <c r="K180" s="1480"/>
      <c r="L180" s="1480">
        <v>10.496</v>
      </c>
      <c r="M180" s="1480">
        <v>10.451000000000001</v>
      </c>
      <c r="N180" s="1480">
        <v>10.487</v>
      </c>
      <c r="O180" s="1480">
        <v>10.717000000000001</v>
      </c>
    </row>
    <row r="181" spans="1:15">
      <c r="A181" s="2662">
        <v>45541</v>
      </c>
      <c r="B181" s="1480">
        <v>7.258</v>
      </c>
      <c r="C181" s="1480">
        <v>8.9600000000000009</v>
      </c>
      <c r="D181" s="1480">
        <v>9.2210000000000001</v>
      </c>
      <c r="E181" s="1480">
        <v>9.3170000000000002</v>
      </c>
      <c r="F181" s="1480">
        <v>9.5250000000000004</v>
      </c>
      <c r="G181" s="1480">
        <v>9.8119999999999994</v>
      </c>
      <c r="H181" s="1480"/>
      <c r="I181" s="1480">
        <v>10.113</v>
      </c>
      <c r="J181" s="1480">
        <v>10.297000000000001</v>
      </c>
      <c r="K181" s="1480"/>
      <c r="L181" s="1480">
        <v>10.552</v>
      </c>
      <c r="M181" s="1480">
        <v>10.504</v>
      </c>
      <c r="N181" s="1480">
        <v>10.24</v>
      </c>
      <c r="O181" s="1480">
        <v>10.766999999999999</v>
      </c>
    </row>
    <row r="182" spans="1:15">
      <c r="A182" s="2662">
        <v>45544</v>
      </c>
      <c r="B182" s="1480">
        <v>7.282</v>
      </c>
      <c r="C182" s="1480">
        <v>9.0030000000000001</v>
      </c>
      <c r="D182" s="1480">
        <v>9.2669999999999995</v>
      </c>
      <c r="E182" s="1480">
        <v>9.3650000000000002</v>
      </c>
      <c r="F182" s="1480">
        <v>9.5570000000000004</v>
      </c>
      <c r="G182" s="1480">
        <v>9.8339999999999996</v>
      </c>
      <c r="H182" s="1480"/>
      <c r="I182" s="1480">
        <v>10.178000000000001</v>
      </c>
      <c r="J182" s="1480">
        <v>10.311</v>
      </c>
      <c r="K182" s="1480"/>
      <c r="L182" s="1480">
        <v>10.58</v>
      </c>
      <c r="M182" s="1480">
        <v>10.539</v>
      </c>
      <c r="N182" s="1480">
        <v>10.552</v>
      </c>
      <c r="O182" s="1480">
        <v>10.772</v>
      </c>
    </row>
    <row r="183" spans="1:15">
      <c r="A183" s="2662">
        <v>45545</v>
      </c>
      <c r="B183" s="1480">
        <v>7.3029999999999999</v>
      </c>
      <c r="C183" s="1480">
        <v>9.1259999999999994</v>
      </c>
      <c r="D183" s="1480">
        <v>9.3819999999999997</v>
      </c>
      <c r="E183" s="1480">
        <v>9.4629999999999992</v>
      </c>
      <c r="F183" s="1480">
        <v>9.6630000000000003</v>
      </c>
      <c r="G183" s="1480">
        <v>9.9550000000000001</v>
      </c>
      <c r="H183" s="1480"/>
      <c r="I183" s="1480">
        <v>10.292999999999999</v>
      </c>
      <c r="J183" s="1480">
        <v>10.429</v>
      </c>
      <c r="K183" s="1480"/>
      <c r="L183" s="1480">
        <v>10.638</v>
      </c>
      <c r="M183" s="1480">
        <v>10.628</v>
      </c>
      <c r="N183" s="1480">
        <v>10.622</v>
      </c>
      <c r="O183" s="1480">
        <v>10.853999999999999</v>
      </c>
    </row>
    <row r="184" spans="1:15">
      <c r="A184" s="2662">
        <v>45546</v>
      </c>
      <c r="B184" s="1480">
        <v>7.3550000000000004</v>
      </c>
      <c r="C184" s="1480">
        <v>9.1920000000000002</v>
      </c>
      <c r="D184" s="1480">
        <v>9.5709999999999997</v>
      </c>
      <c r="E184" s="1480">
        <v>9.6270000000000007</v>
      </c>
      <c r="F184" s="1480">
        <v>9.7929999999999993</v>
      </c>
      <c r="G184" s="1480">
        <v>10.054</v>
      </c>
      <c r="H184" s="1480"/>
      <c r="I184" s="1480">
        <v>10.396000000000001</v>
      </c>
      <c r="J184" s="1480">
        <v>10.531000000000001</v>
      </c>
      <c r="K184" s="1480"/>
      <c r="L184" s="1480">
        <v>10.752000000000001</v>
      </c>
      <c r="M184" s="1480">
        <v>10.708</v>
      </c>
      <c r="N184" s="1480">
        <v>10.689</v>
      </c>
      <c r="O184" s="1480">
        <v>10.94</v>
      </c>
    </row>
    <row r="185" spans="1:15">
      <c r="A185" s="1478">
        <v>45547</v>
      </c>
      <c r="B185" s="1479">
        <v>7.202</v>
      </c>
      <c r="C185" s="1479">
        <v>8.9830000000000005</v>
      </c>
      <c r="D185" s="1479">
        <v>9.3859999999999992</v>
      </c>
      <c r="E185" s="1479">
        <v>9.468</v>
      </c>
      <c r="F185" s="1479">
        <v>9.6150000000000002</v>
      </c>
      <c r="G185" s="1479">
        <v>9.8659999999999997</v>
      </c>
      <c r="H185" s="1479"/>
      <c r="I185" s="1479">
        <v>10.257999999999999</v>
      </c>
      <c r="J185" s="1479">
        <v>10.397</v>
      </c>
      <c r="K185" s="1479"/>
      <c r="L185" s="1479">
        <v>10.619</v>
      </c>
      <c r="M185" s="1479">
        <v>10.561</v>
      </c>
      <c r="N185" s="1479">
        <v>10.57</v>
      </c>
      <c r="O185" s="1479">
        <v>10.807</v>
      </c>
    </row>
    <row r="186" spans="1:15">
      <c r="A186" s="1478">
        <v>45548</v>
      </c>
      <c r="B186" s="1479">
        <v>7.12</v>
      </c>
      <c r="C186" s="1479">
        <v>8.84</v>
      </c>
      <c r="D186" s="1479">
        <v>9.2319999999999993</v>
      </c>
      <c r="E186" s="1479">
        <v>9.3369999999999997</v>
      </c>
      <c r="F186" s="1479">
        <v>9.5109999999999992</v>
      </c>
      <c r="G186" s="1479">
        <v>9.7759999999999998</v>
      </c>
      <c r="H186" s="1479"/>
      <c r="I186" s="1479">
        <v>10.103</v>
      </c>
      <c r="J186" s="1479">
        <v>10.273</v>
      </c>
      <c r="K186" s="1479"/>
      <c r="L186" s="1479">
        <v>10.512</v>
      </c>
      <c r="M186" s="1479">
        <v>10.494</v>
      </c>
      <c r="N186" s="1479">
        <v>10.497999999999999</v>
      </c>
      <c r="O186" s="1479">
        <v>10.734999999999999</v>
      </c>
    </row>
    <row r="187" spans="1:15">
      <c r="A187" s="1478">
        <v>45551</v>
      </c>
      <c r="B187" s="1479">
        <v>7.0869999999999997</v>
      </c>
      <c r="C187" s="1479">
        <v>8.734</v>
      </c>
      <c r="D187" s="1479">
        <v>9.08</v>
      </c>
      <c r="E187" s="1479">
        <v>9.2050000000000001</v>
      </c>
      <c r="F187" s="1479">
        <v>9.375</v>
      </c>
      <c r="G187" s="1479">
        <v>9.6470000000000002</v>
      </c>
      <c r="H187" s="1479"/>
      <c r="I187" s="1479">
        <v>9.9930000000000003</v>
      </c>
      <c r="J187" s="1479">
        <v>10.117000000000001</v>
      </c>
      <c r="K187" s="1479"/>
      <c r="L187" s="1479">
        <v>10.388</v>
      </c>
      <c r="M187" s="1479">
        <v>10.391</v>
      </c>
      <c r="N187" s="1479">
        <v>10.385</v>
      </c>
      <c r="O187" s="1479">
        <v>10.598000000000001</v>
      </c>
    </row>
    <row r="188" spans="1:15">
      <c r="A188" s="1478">
        <v>45552</v>
      </c>
      <c r="B188" s="1479">
        <v>7.0389999999999997</v>
      </c>
      <c r="C188" s="1479">
        <v>8.6010000000000009</v>
      </c>
      <c r="D188" s="1479">
        <v>8.8989999999999991</v>
      </c>
      <c r="E188" s="1479">
        <v>9.0299999999999994</v>
      </c>
      <c r="F188" s="1479">
        <v>9.1690000000000005</v>
      </c>
      <c r="G188" s="1479">
        <v>9.4529999999999994</v>
      </c>
      <c r="H188" s="1479"/>
      <c r="I188" s="1479">
        <v>9.7810000000000006</v>
      </c>
      <c r="J188" s="1479">
        <v>9.9390000000000001</v>
      </c>
      <c r="K188" s="1479"/>
      <c r="L188" s="1479">
        <v>10.224</v>
      </c>
      <c r="M188" s="1479">
        <v>10.234999999999999</v>
      </c>
      <c r="N188" s="1479">
        <v>10.272</v>
      </c>
      <c r="O188" s="1479">
        <v>10.468999999999999</v>
      </c>
    </row>
    <row r="189" spans="1:15">
      <c r="A189" s="1478">
        <v>45553</v>
      </c>
      <c r="B189" s="1479">
        <v>7.1369999999999996</v>
      </c>
      <c r="C189" s="1479">
        <v>8.7279999999999998</v>
      </c>
      <c r="D189" s="1479">
        <v>9.0570000000000004</v>
      </c>
      <c r="E189" s="1479">
        <v>9.1910000000000007</v>
      </c>
      <c r="F189" s="1479">
        <v>9.2959999999999994</v>
      </c>
      <c r="G189" s="1479">
        <v>9.5850000000000009</v>
      </c>
      <c r="H189" s="1479"/>
      <c r="I189" s="1479">
        <v>9.86</v>
      </c>
      <c r="J189" s="1479">
        <v>10.048999999999999</v>
      </c>
      <c r="K189" s="1479"/>
      <c r="L189" s="1479">
        <v>10.315</v>
      </c>
      <c r="M189" s="1479">
        <v>10.326000000000001</v>
      </c>
      <c r="N189" s="1479">
        <v>10.361000000000001</v>
      </c>
      <c r="O189" s="1479">
        <v>10.558999999999999</v>
      </c>
    </row>
    <row r="190" spans="1:15">
      <c r="A190" s="1478">
        <v>45554</v>
      </c>
      <c r="B190" s="1479">
        <v>7.008</v>
      </c>
      <c r="C190" s="1479">
        <v>8.5020000000000007</v>
      </c>
      <c r="D190" s="1479">
        <v>8.8149999999999995</v>
      </c>
      <c r="E190" s="1479">
        <v>8.9779999999999998</v>
      </c>
      <c r="F190" s="1479">
        <v>9.1039999999999992</v>
      </c>
      <c r="G190" s="1479">
        <v>9.3889999999999993</v>
      </c>
      <c r="H190" s="1479"/>
      <c r="I190" s="1479">
        <v>9.6790000000000003</v>
      </c>
      <c r="J190" s="1479">
        <v>9.8770000000000007</v>
      </c>
      <c r="K190" s="1479"/>
      <c r="L190" s="1479">
        <v>10.121</v>
      </c>
      <c r="M190" s="1479">
        <v>10.183</v>
      </c>
      <c r="N190" s="1479">
        <v>10.231</v>
      </c>
      <c r="O190" s="1479">
        <v>10.417</v>
      </c>
    </row>
    <row r="191" spans="1:15">
      <c r="A191" s="1478">
        <v>45555</v>
      </c>
      <c r="B191" s="2663">
        <v>7.0860000000000003</v>
      </c>
      <c r="C191" s="2663">
        <v>8.5879999999999992</v>
      </c>
      <c r="D191" s="2663">
        <v>8.9120000000000008</v>
      </c>
      <c r="E191" s="1479">
        <v>9.1199999999999992</v>
      </c>
      <c r="F191" s="2663">
        <v>9.1929999999999996</v>
      </c>
      <c r="G191" s="2663">
        <v>9.4809999999999999</v>
      </c>
      <c r="H191" s="2663"/>
      <c r="I191" s="2663">
        <v>9.8049999999999997</v>
      </c>
      <c r="J191" s="2663">
        <v>9.9529999999999994</v>
      </c>
      <c r="K191" s="2663"/>
      <c r="L191" s="2663">
        <v>10.201000000000001</v>
      </c>
      <c r="M191" s="2663">
        <v>10.236000000000001</v>
      </c>
      <c r="N191" s="2663">
        <v>10.260999999999999</v>
      </c>
      <c r="O191" s="2663">
        <v>10.443</v>
      </c>
    </row>
    <row r="192" spans="1:15">
      <c r="A192" s="1478">
        <v>45558</v>
      </c>
      <c r="B192" s="2663">
        <v>7.4240000000000004</v>
      </c>
      <c r="C192" s="2663">
        <v>8.7240000000000002</v>
      </c>
      <c r="D192" s="2663">
        <v>9.0519999999999996</v>
      </c>
      <c r="E192" s="2663">
        <v>9.2590000000000003</v>
      </c>
      <c r="F192" s="2663">
        <v>9.407</v>
      </c>
      <c r="G192" s="2663">
        <v>9.6479999999999997</v>
      </c>
      <c r="H192" s="2663"/>
      <c r="I192" s="2663">
        <v>9.9209999999999994</v>
      </c>
      <c r="J192" s="2663">
        <v>10.089</v>
      </c>
      <c r="K192" s="2663"/>
      <c r="L192" s="2663">
        <v>10.319000000000001</v>
      </c>
      <c r="M192" s="2663">
        <v>10.362</v>
      </c>
      <c r="N192" s="2663">
        <v>10.358000000000001</v>
      </c>
      <c r="O192" s="2663">
        <v>10.544</v>
      </c>
    </row>
    <row r="193" spans="1:15">
      <c r="A193" s="1478">
        <v>45559</v>
      </c>
      <c r="B193" s="1479">
        <v>6.91</v>
      </c>
      <c r="C193" s="1479">
        <v>8.49</v>
      </c>
      <c r="D193" s="2663">
        <v>8.7970000000000006</v>
      </c>
      <c r="E193" s="2663">
        <v>9.0079999999999991</v>
      </c>
      <c r="F193" s="2663">
        <v>9.1609999999999996</v>
      </c>
      <c r="G193" s="2663">
        <v>9.4169999999999998</v>
      </c>
      <c r="H193" s="2663"/>
      <c r="I193" s="2663">
        <v>9.6959999999999997</v>
      </c>
      <c r="J193" s="2663">
        <v>9.827</v>
      </c>
      <c r="K193" s="2663"/>
      <c r="L193" s="2663">
        <v>10.128</v>
      </c>
      <c r="M193" s="2663">
        <v>10.185</v>
      </c>
      <c r="N193" s="2663">
        <v>10.199</v>
      </c>
      <c r="O193" s="2663">
        <v>10.403</v>
      </c>
    </row>
    <row r="194" spans="1:15">
      <c r="A194" s="1478">
        <v>45560</v>
      </c>
      <c r="B194" s="2663">
        <v>6.9039999999999999</v>
      </c>
      <c r="C194" s="2663">
        <v>8.3640000000000008</v>
      </c>
      <c r="D194" s="2663">
        <v>8.6240000000000006</v>
      </c>
      <c r="E194" s="2663">
        <v>8.8379999999999992</v>
      </c>
      <c r="F194" s="2663">
        <v>8.9949999999999992</v>
      </c>
      <c r="G194" s="2663">
        <v>9.2550000000000008</v>
      </c>
      <c r="H194" s="2663"/>
      <c r="I194" s="2663">
        <v>9.5169999999999995</v>
      </c>
      <c r="J194" s="2663">
        <v>9.6739999999999995</v>
      </c>
      <c r="K194" s="2663"/>
      <c r="L194" s="2663">
        <v>10.013</v>
      </c>
      <c r="M194" s="2663">
        <v>10.095000000000001</v>
      </c>
      <c r="N194" s="2663">
        <v>10.132999999999999</v>
      </c>
      <c r="O194" s="2663">
        <v>10.319000000000001</v>
      </c>
    </row>
    <row r="195" spans="1:15">
      <c r="A195" s="1478">
        <v>45561</v>
      </c>
      <c r="B195" s="2663">
        <v>7.0289999999999999</v>
      </c>
      <c r="C195" s="2663">
        <v>8.4239999999999995</v>
      </c>
      <c r="D195" s="2663">
        <v>8.6690000000000005</v>
      </c>
      <c r="E195" s="2663">
        <v>8.9269999999999996</v>
      </c>
      <c r="F195" s="2663">
        <v>9.0839999999999996</v>
      </c>
      <c r="G195" s="2663">
        <v>9.3179999999999996</v>
      </c>
      <c r="H195" s="2663"/>
      <c r="I195" s="1479">
        <v>9.59</v>
      </c>
      <c r="J195" s="2663">
        <v>9.6890000000000001</v>
      </c>
      <c r="K195" s="2663"/>
      <c r="L195" s="2663">
        <v>10.036</v>
      </c>
      <c r="M195" s="2663">
        <v>10.112</v>
      </c>
      <c r="N195" s="2663">
        <v>10.169</v>
      </c>
      <c r="O195" s="2663">
        <v>10.349</v>
      </c>
    </row>
    <row r="196" spans="1:15">
      <c r="A196" s="1478">
        <v>45562</v>
      </c>
      <c r="B196" s="1479">
        <v>7.1269999999999998</v>
      </c>
      <c r="C196" s="1479">
        <v>8.5809999999999995</v>
      </c>
      <c r="D196" s="1479">
        <v>8.7550000000000008</v>
      </c>
      <c r="E196" s="1479">
        <v>9.0399999999999991</v>
      </c>
      <c r="F196" s="1479">
        <v>9.2070000000000007</v>
      </c>
      <c r="G196" s="1479">
        <v>9.4369999999999994</v>
      </c>
      <c r="H196" s="1479"/>
      <c r="I196" s="1479">
        <v>9.6750000000000007</v>
      </c>
      <c r="J196" s="1479">
        <v>9.8019999999999996</v>
      </c>
      <c r="K196" s="1479"/>
      <c r="L196" s="1479">
        <v>10.147</v>
      </c>
      <c r="M196" s="1479">
        <v>10.205</v>
      </c>
      <c r="N196" s="1479">
        <v>10.227</v>
      </c>
      <c r="O196" s="1479">
        <v>10.452</v>
      </c>
    </row>
    <row r="197" spans="1:15">
      <c r="A197" s="2662">
        <v>45565</v>
      </c>
      <c r="B197" s="1479">
        <v>7.0549999999999997</v>
      </c>
      <c r="C197" s="1479">
        <v>8.5489999999999995</v>
      </c>
      <c r="D197" s="1479">
        <v>8.7560000000000002</v>
      </c>
      <c r="E197" s="1479">
        <v>9.0609999999999999</v>
      </c>
      <c r="F197" s="1479">
        <v>9.218</v>
      </c>
      <c r="G197" s="1479">
        <v>9.4499999999999993</v>
      </c>
      <c r="H197" s="1479"/>
      <c r="I197" s="1479">
        <v>9.6999999999999993</v>
      </c>
      <c r="J197" s="1479">
        <v>9.8209999999999997</v>
      </c>
      <c r="K197" s="1479"/>
      <c r="L197" s="1479">
        <v>10.159000000000001</v>
      </c>
      <c r="M197" s="1479">
        <v>10.201000000000001</v>
      </c>
      <c r="N197" s="1479">
        <v>10.221</v>
      </c>
      <c r="O197" s="1479">
        <v>10.446</v>
      </c>
    </row>
    <row r="198" spans="1:15">
      <c r="A198" s="2662">
        <v>45566</v>
      </c>
      <c r="B198" s="1479">
        <v>7.0010000000000003</v>
      </c>
      <c r="C198" s="1479">
        <v>8.48</v>
      </c>
      <c r="D198" s="1479">
        <v>8.7089999999999996</v>
      </c>
      <c r="E198" s="1479">
        <v>9.0500000000000007</v>
      </c>
      <c r="F198" s="1479">
        <v>9.1709999999999994</v>
      </c>
      <c r="G198" s="1479">
        <v>9.4480000000000004</v>
      </c>
      <c r="H198" s="1479"/>
      <c r="I198" s="1479">
        <v>9.6440000000000001</v>
      </c>
      <c r="J198" s="1479">
        <v>9.7970000000000006</v>
      </c>
      <c r="K198" s="1479"/>
      <c r="L198" s="1479">
        <v>10.093</v>
      </c>
      <c r="M198" s="1479">
        <v>10.176</v>
      </c>
      <c r="N198" s="1479">
        <v>10.185</v>
      </c>
      <c r="O198" s="1479">
        <v>10.382999999999999</v>
      </c>
    </row>
    <row r="199" spans="1:15">
      <c r="A199" s="2662">
        <v>45567</v>
      </c>
      <c r="B199" s="1479">
        <v>7.1319999999999997</v>
      </c>
      <c r="C199" s="1479">
        <v>8.6110000000000007</v>
      </c>
      <c r="D199" s="1479">
        <v>8.8119999999999994</v>
      </c>
      <c r="E199" s="1479">
        <v>9.0890000000000004</v>
      </c>
      <c r="F199" s="1479">
        <v>9.2260000000000009</v>
      </c>
      <c r="G199" s="1479">
        <v>9.51</v>
      </c>
      <c r="H199" s="1479"/>
      <c r="I199" s="1479">
        <v>9.6820000000000004</v>
      </c>
      <c r="J199" s="1479">
        <v>9.8670000000000009</v>
      </c>
      <c r="K199" s="1479"/>
      <c r="L199" s="1479">
        <v>10.186</v>
      </c>
      <c r="M199" s="1479">
        <v>10.215999999999999</v>
      </c>
      <c r="N199" s="1479">
        <v>10.23</v>
      </c>
      <c r="O199" s="1479">
        <v>10.432</v>
      </c>
    </row>
    <row r="200" spans="1:15">
      <c r="A200" s="2662">
        <v>45568</v>
      </c>
      <c r="B200" s="1480">
        <v>7.2489999999999997</v>
      </c>
      <c r="C200" s="1480">
        <v>8.6199999999999992</v>
      </c>
      <c r="D200" s="1480">
        <v>8.8699999999999992</v>
      </c>
      <c r="E200" s="1480">
        <v>9.1440000000000001</v>
      </c>
      <c r="F200" s="1480">
        <v>9.2780000000000005</v>
      </c>
      <c r="G200" s="1480">
        <v>9.4990000000000006</v>
      </c>
      <c r="H200" s="1480"/>
      <c r="I200" s="1480">
        <v>9.7249999999999996</v>
      </c>
      <c r="J200" s="1480">
        <v>9.9139999999999997</v>
      </c>
      <c r="K200" s="1480"/>
      <c r="L200" s="1480">
        <v>10.186999999999999</v>
      </c>
      <c r="M200" s="1480">
        <v>10.286</v>
      </c>
      <c r="N200" s="1480">
        <v>10.27</v>
      </c>
      <c r="O200" s="1480">
        <v>10.496</v>
      </c>
    </row>
    <row r="201" spans="1:15">
      <c r="A201" s="1478">
        <v>45569</v>
      </c>
      <c r="B201" s="1479">
        <v>7.117</v>
      </c>
      <c r="C201" s="1479">
        <v>8.4600000000000009</v>
      </c>
      <c r="D201" s="1479">
        <v>8.7509999999999994</v>
      </c>
      <c r="E201" s="1479">
        <v>9.0280000000000005</v>
      </c>
      <c r="F201" s="1479">
        <v>9.1880000000000006</v>
      </c>
      <c r="G201" s="1479">
        <v>9.4290000000000003</v>
      </c>
      <c r="H201" s="1479"/>
      <c r="I201" s="1479">
        <v>9.6319999999999997</v>
      </c>
      <c r="J201" s="1479">
        <v>9.8010000000000002</v>
      </c>
      <c r="K201" s="1479"/>
      <c r="L201" s="1479">
        <v>10.144</v>
      </c>
      <c r="M201" s="1479">
        <v>10.186999999999999</v>
      </c>
      <c r="N201" s="1479">
        <v>10.223000000000001</v>
      </c>
      <c r="O201" s="1479">
        <v>10.420999999999999</v>
      </c>
    </row>
    <row r="202" spans="1:15">
      <c r="A202" s="1478">
        <v>45572</v>
      </c>
      <c r="B202" s="2663">
        <v>7.1360000000000001</v>
      </c>
      <c r="C202" s="2663">
        <v>8.4469999999999992</v>
      </c>
      <c r="D202" s="2663">
        <v>8.7319999999999993</v>
      </c>
      <c r="E202" s="2663">
        <v>9.0009999999999994</v>
      </c>
      <c r="F202" s="2663">
        <v>9.1679999999999993</v>
      </c>
      <c r="G202" s="2663">
        <v>9.4149999999999991</v>
      </c>
      <c r="H202" s="2663"/>
      <c r="I202" s="2663">
        <v>9.5950000000000006</v>
      </c>
      <c r="J202" s="2663">
        <v>9.7810000000000006</v>
      </c>
      <c r="K202" s="2663"/>
      <c r="L202" s="2663">
        <v>10.115</v>
      </c>
      <c r="M202" s="2663">
        <v>10.18</v>
      </c>
      <c r="N202" s="2663">
        <v>10.214</v>
      </c>
      <c r="O202" s="2663">
        <v>10.398999999999999</v>
      </c>
    </row>
    <row r="203" spans="1:15">
      <c r="A203" s="1478">
        <v>45573</v>
      </c>
      <c r="B203" s="2663">
        <v>7.1660000000000004</v>
      </c>
      <c r="C203" s="2663">
        <v>8.391</v>
      </c>
      <c r="D203" s="2663">
        <v>8.7850000000000001</v>
      </c>
      <c r="E203" s="2663">
        <v>8.9939999999999998</v>
      </c>
      <c r="F203" s="2663">
        <v>9.2080000000000002</v>
      </c>
      <c r="G203" s="2663">
        <v>9.4480000000000004</v>
      </c>
      <c r="H203" s="2663"/>
      <c r="I203" s="2663">
        <v>9.593</v>
      </c>
      <c r="J203" s="2663">
        <v>9.7579999999999991</v>
      </c>
      <c r="K203" s="2663"/>
      <c r="L203" s="2663">
        <v>10.111000000000001</v>
      </c>
      <c r="M203" s="2663">
        <v>10.196999999999999</v>
      </c>
      <c r="N203" s="2663">
        <v>10.205</v>
      </c>
      <c r="O203" s="2663">
        <v>10.394</v>
      </c>
    </row>
    <row r="204" spans="1:15">
      <c r="A204" s="1478">
        <v>45574</v>
      </c>
      <c r="B204" s="2664">
        <v>7.15</v>
      </c>
      <c r="C204" s="2663">
        <v>8.3970000000000002</v>
      </c>
      <c r="D204" s="2663">
        <v>8.8140000000000001</v>
      </c>
      <c r="E204" s="2663">
        <v>9.0120000000000005</v>
      </c>
      <c r="F204" s="1479">
        <v>9.1999999999999993</v>
      </c>
      <c r="G204" s="2663">
        <v>9.4459999999999997</v>
      </c>
      <c r="H204" s="2663"/>
      <c r="I204" s="1479">
        <v>9.6</v>
      </c>
      <c r="J204" s="2663">
        <v>9.7940000000000005</v>
      </c>
      <c r="K204" s="2663"/>
      <c r="L204" s="2663">
        <v>10.132</v>
      </c>
      <c r="M204" s="2663">
        <v>10.212999999999999</v>
      </c>
      <c r="N204" s="1479">
        <v>10.220000000000001</v>
      </c>
      <c r="O204" s="2663">
        <v>10.393000000000001</v>
      </c>
    </row>
    <row r="205" spans="1:15">
      <c r="A205" s="1478">
        <v>45575</v>
      </c>
      <c r="B205" s="1479">
        <v>7.14</v>
      </c>
      <c r="C205" s="2663">
        <v>8.3490000000000002</v>
      </c>
      <c r="D205" s="2663">
        <v>8.7690000000000001</v>
      </c>
      <c r="E205" s="2663">
        <v>8.9779999999999998</v>
      </c>
      <c r="F205" s="2663">
        <v>9.1959999999999997</v>
      </c>
      <c r="G205" s="2663">
        <v>9.4350000000000005</v>
      </c>
      <c r="H205" s="2663"/>
      <c r="I205" s="2663">
        <v>9.593</v>
      </c>
      <c r="J205" s="2663">
        <v>9.7750000000000004</v>
      </c>
      <c r="K205" s="2663"/>
      <c r="L205" s="1479">
        <v>10.130000000000001</v>
      </c>
      <c r="M205" s="2663">
        <v>10.194000000000001</v>
      </c>
      <c r="N205" s="2663">
        <v>10.212999999999999</v>
      </c>
      <c r="O205" s="1479">
        <v>10.39</v>
      </c>
    </row>
    <row r="206" spans="1:15">
      <c r="A206" s="1478">
        <v>45576</v>
      </c>
      <c r="B206" s="1479">
        <v>6.9509999999999996</v>
      </c>
      <c r="C206" s="1479">
        <v>8.1750000000000007</v>
      </c>
      <c r="D206" s="1479">
        <v>8.6050000000000004</v>
      </c>
      <c r="E206" s="1479">
        <v>8.8469999999999995</v>
      </c>
      <c r="F206" s="1479">
        <v>9.0660000000000007</v>
      </c>
      <c r="G206" s="1479">
        <v>9.2750000000000004</v>
      </c>
      <c r="H206" s="1479"/>
      <c r="I206" s="1479">
        <v>9.4130000000000003</v>
      </c>
      <c r="J206" s="1479">
        <v>9.6329999999999991</v>
      </c>
      <c r="K206" s="1479"/>
      <c r="L206" s="1479">
        <v>10.013999999999999</v>
      </c>
      <c r="M206" s="1479">
        <v>10.045999999999999</v>
      </c>
      <c r="N206" s="1479">
        <v>10.119999999999999</v>
      </c>
      <c r="O206" s="1479">
        <v>10.269</v>
      </c>
    </row>
    <row r="207" spans="1:15">
      <c r="A207" s="1478">
        <v>45579</v>
      </c>
      <c r="B207" s="1479">
        <v>6.9189999999999996</v>
      </c>
      <c r="C207" s="1479">
        <v>8.0350000000000001</v>
      </c>
      <c r="D207" s="1479">
        <v>8.5679999999999996</v>
      </c>
      <c r="E207" s="1479">
        <v>8.8249999999999993</v>
      </c>
      <c r="F207" s="1479">
        <v>8.9649999999999999</v>
      </c>
      <c r="G207" s="1479">
        <v>9.2200000000000006</v>
      </c>
      <c r="H207" s="1479"/>
      <c r="I207" s="1479">
        <v>9.35</v>
      </c>
      <c r="J207" s="1479">
        <v>9.56</v>
      </c>
      <c r="K207" s="1479"/>
      <c r="L207" s="1479">
        <v>9.9250000000000007</v>
      </c>
      <c r="M207" s="1479">
        <v>10.029</v>
      </c>
      <c r="N207" s="1479">
        <v>10.069000000000001</v>
      </c>
      <c r="O207" s="1479">
        <v>10.194000000000001</v>
      </c>
    </row>
    <row r="208" spans="1:15">
      <c r="A208" s="1478">
        <v>45580</v>
      </c>
      <c r="B208" s="1479">
        <v>6.891</v>
      </c>
      <c r="C208" s="1479">
        <v>8.0350000000000001</v>
      </c>
      <c r="D208" s="1479">
        <v>8.5329999999999995</v>
      </c>
      <c r="E208" s="1479">
        <v>8.7919999999999998</v>
      </c>
      <c r="F208" s="1479">
        <v>8.9329999999999998</v>
      </c>
      <c r="G208" s="1479">
        <v>9.1720000000000006</v>
      </c>
      <c r="H208" s="1479"/>
      <c r="I208" s="1479">
        <v>9.3149999999999995</v>
      </c>
      <c r="J208" s="1479">
        <v>9.5109999999999992</v>
      </c>
      <c r="K208" s="1479"/>
      <c r="L208" s="1479">
        <v>9.9160000000000004</v>
      </c>
      <c r="M208" s="1479">
        <v>10.003</v>
      </c>
      <c r="N208" s="1479">
        <v>10.023</v>
      </c>
      <c r="O208" s="1479">
        <v>10.163</v>
      </c>
    </row>
    <row r="209" spans="1:15">
      <c r="A209" s="1478">
        <v>45581</v>
      </c>
      <c r="B209" s="1479">
        <v>6.9630000000000001</v>
      </c>
      <c r="C209" s="1479">
        <v>8.0269999999999992</v>
      </c>
      <c r="D209" s="1479">
        <v>8.5640000000000001</v>
      </c>
      <c r="E209" s="1479">
        <v>8.7989999999999995</v>
      </c>
      <c r="F209" s="1479">
        <v>8.9969999999999999</v>
      </c>
      <c r="G209" s="1479">
        <v>9.2119999999999997</v>
      </c>
      <c r="H209" s="1479"/>
      <c r="I209" s="1479">
        <v>9.3699999999999992</v>
      </c>
      <c r="J209" s="1479">
        <v>9.5500000000000007</v>
      </c>
      <c r="K209" s="1479"/>
      <c r="L209" s="1479">
        <v>9.9440000000000008</v>
      </c>
      <c r="M209" s="1479">
        <v>10.025</v>
      </c>
      <c r="N209" s="1479">
        <v>10.037000000000001</v>
      </c>
      <c r="O209" s="1479">
        <v>10.194000000000001</v>
      </c>
    </row>
    <row r="210" spans="1:15">
      <c r="A210" s="1478">
        <v>45582</v>
      </c>
      <c r="B210" s="1479">
        <v>6.9349999999999996</v>
      </c>
      <c r="C210" s="1479">
        <v>8.11</v>
      </c>
      <c r="D210" s="1479">
        <v>8.641</v>
      </c>
      <c r="E210" s="1479">
        <v>8.9469999999999992</v>
      </c>
      <c r="F210" s="1479">
        <v>9.077</v>
      </c>
      <c r="G210" s="1479">
        <v>9.2769999999999992</v>
      </c>
      <c r="H210" s="1479"/>
      <c r="I210" s="1479">
        <v>9.4529999999999994</v>
      </c>
      <c r="J210" s="1479">
        <v>9.6329999999999991</v>
      </c>
      <c r="K210" s="1479"/>
      <c r="L210" s="1479">
        <v>9.9870000000000001</v>
      </c>
      <c r="M210" s="1479">
        <v>10.093</v>
      </c>
      <c r="N210" s="1479">
        <v>10.11</v>
      </c>
      <c r="O210" s="1479">
        <v>10.239000000000001</v>
      </c>
    </row>
    <row r="211" spans="1:15">
      <c r="A211" s="1478">
        <v>45583</v>
      </c>
      <c r="B211" s="2663">
        <v>7.1219999999999999</v>
      </c>
      <c r="C211" s="2663">
        <v>8.1240000000000006</v>
      </c>
      <c r="D211" s="2663">
        <v>8.673</v>
      </c>
      <c r="E211" s="2663">
        <v>8.98</v>
      </c>
      <c r="F211" s="2663">
        <v>9.1210000000000004</v>
      </c>
      <c r="G211" s="2663">
        <v>9.3170000000000002</v>
      </c>
      <c r="H211" s="2663"/>
      <c r="I211" s="2663">
        <v>9.4909999999999997</v>
      </c>
      <c r="J211" s="2663">
        <v>9.6920000000000002</v>
      </c>
      <c r="K211" s="2663"/>
      <c r="L211" s="2663">
        <v>10.037000000000001</v>
      </c>
      <c r="M211" s="2663">
        <v>10.106999999999999</v>
      </c>
      <c r="N211" s="2663">
        <v>10.125</v>
      </c>
      <c r="O211" s="2663">
        <v>10.285</v>
      </c>
    </row>
    <row r="212" spans="1:15">
      <c r="A212" s="1478">
        <v>45586</v>
      </c>
      <c r="B212" s="2663">
        <v>7.3220000000000001</v>
      </c>
      <c r="C212" s="2663">
        <v>8.2370000000000001</v>
      </c>
      <c r="D212" s="2663">
        <v>8.8109999999999999</v>
      </c>
      <c r="E212" s="2663">
        <v>9.1180000000000003</v>
      </c>
      <c r="F212" s="2663">
        <v>9.2650000000000006</v>
      </c>
      <c r="G212" s="2663">
        <v>9.4589999999999996</v>
      </c>
      <c r="H212" s="2663"/>
      <c r="I212" s="2663">
        <v>9.6289999999999996</v>
      </c>
      <c r="J212" s="2663">
        <v>9.8239999999999998</v>
      </c>
      <c r="K212" s="2663"/>
      <c r="L212" s="2663">
        <v>10.179</v>
      </c>
      <c r="M212" s="2663">
        <v>10.252000000000001</v>
      </c>
      <c r="N212" s="2663">
        <v>10.236000000000001</v>
      </c>
      <c r="O212" s="2663">
        <v>10.384</v>
      </c>
    </row>
    <row r="213" spans="1:15">
      <c r="A213" s="1478">
        <v>45587</v>
      </c>
      <c r="B213" s="2663">
        <v>7.367</v>
      </c>
      <c r="C213" s="2663">
        <v>8.3949999999999996</v>
      </c>
      <c r="D213" s="2663">
        <v>8.9649999999999999</v>
      </c>
      <c r="E213" s="2663">
        <v>9.2430000000000003</v>
      </c>
      <c r="F213" s="2663">
        <v>9.3819999999999997</v>
      </c>
      <c r="G213" s="2663">
        <v>9.5939999999999994</v>
      </c>
      <c r="H213" s="2663"/>
      <c r="I213" s="2663">
        <v>9.73</v>
      </c>
      <c r="J213" s="2663">
        <v>9.9410000000000007</v>
      </c>
      <c r="K213" s="2663"/>
      <c r="L213" s="2663">
        <v>10.314</v>
      </c>
      <c r="M213" s="2663">
        <v>10.352</v>
      </c>
      <c r="N213" s="2663">
        <v>10.336</v>
      </c>
      <c r="O213" s="2663">
        <v>10.494</v>
      </c>
    </row>
    <row r="214" spans="1:15">
      <c r="A214" s="1478">
        <v>45588</v>
      </c>
      <c r="B214" s="2663">
        <v>7.2939999999999996</v>
      </c>
      <c r="C214" s="2663">
        <v>8.4149999999999991</v>
      </c>
      <c r="D214" s="2663">
        <v>9.0129999999999999</v>
      </c>
      <c r="E214" s="2663">
        <v>9.3190000000000008</v>
      </c>
      <c r="F214" s="2663">
        <v>9.4610000000000003</v>
      </c>
      <c r="G214" s="2663">
        <v>9.6059999999999999</v>
      </c>
      <c r="H214" s="2663"/>
      <c r="I214" s="2663">
        <v>9.7680000000000007</v>
      </c>
      <c r="J214" s="2663">
        <v>9.9670000000000005</v>
      </c>
      <c r="K214" s="2663"/>
      <c r="L214" s="2663">
        <v>10.302</v>
      </c>
      <c r="M214" s="2663">
        <v>10.352</v>
      </c>
      <c r="N214" s="2663">
        <v>10.331</v>
      </c>
      <c r="O214" s="2663">
        <v>10.522</v>
      </c>
    </row>
    <row r="215" spans="1:15">
      <c r="A215" s="2665">
        <v>45589</v>
      </c>
      <c r="B215" s="2663">
        <v>7.2569999999999997</v>
      </c>
      <c r="C215" s="2663">
        <v>8.3680000000000003</v>
      </c>
      <c r="D215" s="2663">
        <v>8.9879999999999995</v>
      </c>
      <c r="E215" s="2663">
        <v>9.2949999999999999</v>
      </c>
      <c r="F215" s="2663">
        <v>9.3960000000000008</v>
      </c>
      <c r="G215" s="1479">
        <v>9.56</v>
      </c>
      <c r="H215" s="1479"/>
      <c r="I215" s="2663">
        <v>9.7520000000000007</v>
      </c>
      <c r="J215" s="2663">
        <v>9.9290000000000003</v>
      </c>
      <c r="K215" s="2663"/>
      <c r="L215" s="2663">
        <v>10.271000000000001</v>
      </c>
      <c r="M215" s="2663">
        <v>10.297000000000001</v>
      </c>
      <c r="N215" s="2663">
        <v>10.285</v>
      </c>
      <c r="O215" s="2663">
        <v>10.433</v>
      </c>
    </row>
    <row r="216" spans="1:15">
      <c r="A216" s="2665">
        <v>45590</v>
      </c>
      <c r="B216" s="1479">
        <v>7.1829999999999998</v>
      </c>
      <c r="C216" s="1479">
        <v>8.2799999999999994</v>
      </c>
      <c r="D216" s="1479">
        <v>8.827</v>
      </c>
      <c r="E216" s="1479">
        <v>9.1839999999999993</v>
      </c>
      <c r="F216" s="1479">
        <v>9.2840000000000007</v>
      </c>
      <c r="G216" s="1479">
        <v>9.4079999999999995</v>
      </c>
      <c r="H216" s="1479"/>
      <c r="I216" s="1479">
        <v>9.6449999999999996</v>
      </c>
      <c r="J216" s="1479">
        <v>9.7929999999999993</v>
      </c>
      <c r="K216" s="1479"/>
      <c r="L216" s="1479">
        <v>10.134</v>
      </c>
      <c r="M216" s="1479">
        <v>10.18</v>
      </c>
      <c r="N216" s="1479">
        <v>10.18</v>
      </c>
      <c r="O216" s="1479">
        <v>10.332000000000001</v>
      </c>
    </row>
    <row r="217" spans="1:15">
      <c r="A217" s="2665">
        <v>45593</v>
      </c>
      <c r="B217" s="1479">
        <v>7.3460000000000001</v>
      </c>
      <c r="C217" s="1479">
        <v>8.3520000000000003</v>
      </c>
      <c r="D217" s="1479">
        <v>8.8940000000000001</v>
      </c>
      <c r="E217" s="1479">
        <v>9.1989999999999998</v>
      </c>
      <c r="F217" s="1479">
        <v>9.3160000000000007</v>
      </c>
      <c r="G217" s="1479">
        <v>9.4559999999999995</v>
      </c>
      <c r="H217" s="1479"/>
      <c r="I217" s="1479">
        <v>9.673</v>
      </c>
      <c r="J217" s="1479">
        <v>9.8529999999999998</v>
      </c>
      <c r="K217" s="1479"/>
      <c r="L217" s="1479">
        <v>10.178000000000001</v>
      </c>
      <c r="M217" s="1479">
        <v>10.211</v>
      </c>
      <c r="N217" s="1479">
        <v>10.196999999999999</v>
      </c>
      <c r="O217" s="1479">
        <v>10.382999999999999</v>
      </c>
    </row>
    <row r="218" spans="1:15">
      <c r="A218" s="2665">
        <v>45594</v>
      </c>
      <c r="B218" s="1479">
        <v>7.3040000000000003</v>
      </c>
      <c r="C218" s="1479">
        <v>8.2970000000000006</v>
      </c>
      <c r="D218" s="1479">
        <v>8.859</v>
      </c>
      <c r="E218" s="1479">
        <v>9.1389999999999993</v>
      </c>
      <c r="F218" s="1479">
        <v>9.2919999999999998</v>
      </c>
      <c r="G218" s="1479">
        <v>9.4120000000000008</v>
      </c>
      <c r="H218" s="1479"/>
      <c r="I218" s="1479">
        <v>9.6349999999999998</v>
      </c>
      <c r="J218" s="1479">
        <v>9.8249999999999993</v>
      </c>
      <c r="K218" s="1479"/>
      <c r="L218" s="1479">
        <v>10.143000000000001</v>
      </c>
      <c r="M218" s="1479">
        <v>10.185</v>
      </c>
      <c r="N218" s="1479">
        <v>10.173999999999999</v>
      </c>
      <c r="O218" s="1479">
        <v>10.349</v>
      </c>
    </row>
    <row r="219" spans="1:15">
      <c r="A219" s="2665">
        <v>45595</v>
      </c>
      <c r="B219" s="1479">
        <v>7.2859999999999996</v>
      </c>
      <c r="C219" s="1479">
        <v>8.2609999999999992</v>
      </c>
      <c r="D219" s="1479">
        <v>8.8030000000000008</v>
      </c>
      <c r="E219" s="1479">
        <v>9.0779999999999994</v>
      </c>
      <c r="F219" s="1479">
        <v>9.24</v>
      </c>
      <c r="G219" s="1479">
        <v>9.3719999999999999</v>
      </c>
      <c r="H219" s="1479"/>
      <c r="I219" s="1479">
        <v>9.5920000000000005</v>
      </c>
      <c r="J219" s="1479">
        <v>9.7620000000000005</v>
      </c>
      <c r="K219" s="1479"/>
      <c r="L219" s="1479">
        <v>10.106999999999999</v>
      </c>
      <c r="M219" s="1479">
        <v>10.134</v>
      </c>
      <c r="N219" s="1479">
        <v>10.125</v>
      </c>
      <c r="O219" s="1479">
        <v>10.308</v>
      </c>
    </row>
    <row r="220" spans="1:15">
      <c r="A220" s="2662">
        <v>45596</v>
      </c>
      <c r="B220" s="1479">
        <v>7.5229999999999997</v>
      </c>
      <c r="C220" s="1479">
        <v>8.4659999999999993</v>
      </c>
      <c r="D220" s="1479">
        <v>9.0069999999999997</v>
      </c>
      <c r="E220" s="1479">
        <v>9.2539999999999996</v>
      </c>
      <c r="F220" s="1479">
        <v>9.4090000000000007</v>
      </c>
      <c r="G220" s="1479">
        <v>9.5510000000000002</v>
      </c>
      <c r="H220" s="1479"/>
      <c r="I220" s="1479">
        <v>9.7620000000000005</v>
      </c>
      <c r="J220" s="1479">
        <v>9.9580000000000002</v>
      </c>
      <c r="K220" s="1479"/>
      <c r="L220" s="1479">
        <v>10.254</v>
      </c>
      <c r="M220" s="1479">
        <v>10.272</v>
      </c>
      <c r="N220" s="1479">
        <v>10.239000000000001</v>
      </c>
      <c r="O220" s="1479">
        <v>10.464</v>
      </c>
    </row>
    <row r="221" spans="1:15">
      <c r="A221" s="2662">
        <v>45597</v>
      </c>
      <c r="B221" s="2666">
        <v>7.5869999999999997</v>
      </c>
      <c r="C221" s="2666">
        <v>8.5109999999999992</v>
      </c>
      <c r="D221" s="2666">
        <v>9.0660000000000007</v>
      </c>
      <c r="E221" s="2666">
        <v>9.359</v>
      </c>
      <c r="F221" s="2666">
        <v>9.5020000000000007</v>
      </c>
      <c r="G221" s="2666">
        <v>9.6180000000000003</v>
      </c>
      <c r="H221" s="2666"/>
      <c r="I221" s="2666">
        <v>9.8729999999999993</v>
      </c>
      <c r="J221" s="2666">
        <v>10.063000000000001</v>
      </c>
      <c r="K221" s="2666"/>
      <c r="L221" s="2666">
        <v>10.342000000000001</v>
      </c>
      <c r="M221" s="2666">
        <v>10.324</v>
      </c>
      <c r="N221" s="2666">
        <v>10.321999999999999</v>
      </c>
      <c r="O221" s="2666">
        <v>10.538</v>
      </c>
    </row>
    <row r="222" spans="1:15">
      <c r="A222" s="1478">
        <v>45600</v>
      </c>
      <c r="B222" s="2663">
        <v>7.5019999999999998</v>
      </c>
      <c r="C222" s="2663">
        <v>8.4789999999999992</v>
      </c>
      <c r="D222" s="2663">
        <v>9.0419999999999998</v>
      </c>
      <c r="E222" s="2663">
        <v>9.3190000000000008</v>
      </c>
      <c r="F222" s="2663">
        <v>9.4640000000000004</v>
      </c>
      <c r="G222" s="2663">
        <v>9.5879999999999992</v>
      </c>
      <c r="H222" s="2663"/>
      <c r="I222" s="2663">
        <v>9.843</v>
      </c>
      <c r="J222" s="2663">
        <v>10.013999999999999</v>
      </c>
      <c r="K222" s="2663"/>
      <c r="L222" s="2663">
        <v>10.29</v>
      </c>
      <c r="M222" s="2663">
        <v>10.273</v>
      </c>
      <c r="N222" s="2663">
        <v>10.286</v>
      </c>
      <c r="O222" s="2663">
        <v>10.484</v>
      </c>
    </row>
    <row r="223" spans="1:15">
      <c r="A223" s="1478">
        <v>45601</v>
      </c>
      <c r="B223" s="2663">
        <v>7.5090000000000003</v>
      </c>
      <c r="C223" s="2663">
        <v>8.5229999999999997</v>
      </c>
      <c r="D223" s="2663">
        <v>9.0920000000000005</v>
      </c>
      <c r="E223" s="1479">
        <v>9.35</v>
      </c>
      <c r="F223" s="2663">
        <v>9.4890000000000008</v>
      </c>
      <c r="G223" s="2663">
        <v>9.6150000000000002</v>
      </c>
      <c r="H223" s="2663"/>
      <c r="I223" s="2663">
        <v>9.8309999999999995</v>
      </c>
      <c r="J223" s="2663">
        <v>10.022</v>
      </c>
      <c r="K223" s="2663"/>
      <c r="L223" s="2663">
        <v>10.282</v>
      </c>
      <c r="M223" s="1479">
        <v>10.27</v>
      </c>
      <c r="N223" s="2663">
        <v>10.285</v>
      </c>
      <c r="O223" s="2663">
        <v>10.510999999999999</v>
      </c>
    </row>
    <row r="224" spans="1:15">
      <c r="A224" s="1478">
        <v>45602</v>
      </c>
      <c r="B224" s="1479">
        <v>7.35</v>
      </c>
      <c r="C224" s="2663">
        <v>8.4169999999999998</v>
      </c>
      <c r="D224" s="2663">
        <v>8.9960000000000004</v>
      </c>
      <c r="E224" s="2663">
        <v>9.3070000000000004</v>
      </c>
      <c r="F224" s="2663">
        <v>9.4390000000000001</v>
      </c>
      <c r="G224" s="2663">
        <v>9.593</v>
      </c>
      <c r="H224" s="2663"/>
      <c r="I224" s="2663">
        <v>9.734</v>
      </c>
      <c r="J224" s="2663">
        <v>9.9480000000000004</v>
      </c>
      <c r="K224" s="2663"/>
      <c r="L224" s="2663">
        <v>10.265000000000001</v>
      </c>
      <c r="M224" s="2663">
        <v>10.231999999999999</v>
      </c>
      <c r="N224" s="2663">
        <v>10.234</v>
      </c>
      <c r="O224" s="2663">
        <v>10.494</v>
      </c>
    </row>
    <row r="225" spans="1:15">
      <c r="A225" s="1478">
        <v>45603</v>
      </c>
      <c r="B225" s="2663">
        <v>6.9950000000000001</v>
      </c>
      <c r="C225" s="2663">
        <v>8.1449999999999996</v>
      </c>
      <c r="D225" s="2663">
        <v>8.6319999999999997</v>
      </c>
      <c r="E225" s="2663">
        <v>8.9930000000000003</v>
      </c>
      <c r="F225" s="2663">
        <v>9.1140000000000008</v>
      </c>
      <c r="G225" s="2663">
        <v>9.2729999999999997</v>
      </c>
      <c r="H225" s="2663"/>
      <c r="I225" s="2663">
        <v>9.4239999999999995</v>
      </c>
      <c r="J225" s="1479">
        <v>9.57</v>
      </c>
      <c r="K225" s="1479"/>
      <c r="L225" s="2663">
        <v>10.006</v>
      </c>
      <c r="M225" s="1479">
        <v>10.01</v>
      </c>
      <c r="N225" s="2663">
        <v>10.042</v>
      </c>
      <c r="O225" s="2663">
        <v>10.256</v>
      </c>
    </row>
    <row r="226" spans="1:15">
      <c r="A226" s="1478">
        <v>45604</v>
      </c>
      <c r="B226" s="1479">
        <v>7.1559999999999997</v>
      </c>
      <c r="C226" s="1479">
        <v>8.0540000000000003</v>
      </c>
      <c r="D226" s="1479">
        <v>8.6039999999999992</v>
      </c>
      <c r="E226" s="1479">
        <v>8.8539999999999992</v>
      </c>
      <c r="F226" s="1479">
        <v>9.0280000000000005</v>
      </c>
      <c r="G226" s="1479">
        <v>9.1639999999999997</v>
      </c>
      <c r="H226" s="1479"/>
      <c r="I226" s="1479">
        <v>9.3119999999999994</v>
      </c>
      <c r="J226" s="1479">
        <v>9.5009999999999994</v>
      </c>
      <c r="K226" s="1479"/>
      <c r="L226" s="1479">
        <v>9.9499999999999993</v>
      </c>
      <c r="M226" s="1479">
        <v>9.9369999999999994</v>
      </c>
      <c r="N226" s="1479">
        <v>9.9550000000000001</v>
      </c>
      <c r="O226" s="1479">
        <v>10.156000000000001</v>
      </c>
    </row>
    <row r="227" spans="1:15">
      <c r="A227" s="1478">
        <v>45607</v>
      </c>
      <c r="B227" s="1479">
        <v>7.0670000000000002</v>
      </c>
      <c r="C227" s="1479">
        <v>8.0470000000000006</v>
      </c>
      <c r="D227" s="1479">
        <v>8.5779999999999994</v>
      </c>
      <c r="E227" s="1479">
        <v>8.8800000000000008</v>
      </c>
      <c r="F227" s="1479">
        <v>9.0220000000000002</v>
      </c>
      <c r="G227" s="1479">
        <v>9.1549999999999994</v>
      </c>
      <c r="H227" s="1479"/>
      <c r="I227" s="1479">
        <v>9.33</v>
      </c>
      <c r="J227" s="1479">
        <v>9.5350000000000001</v>
      </c>
      <c r="K227" s="1479"/>
      <c r="L227" s="1479">
        <v>9.9619999999999997</v>
      </c>
      <c r="M227" s="1479">
        <v>9.9730000000000008</v>
      </c>
      <c r="N227" s="1479">
        <v>9.9879999999999995</v>
      </c>
      <c r="O227" s="1479">
        <v>10.179</v>
      </c>
    </row>
    <row r="228" spans="1:15">
      <c r="A228" s="1478">
        <v>45608</v>
      </c>
      <c r="B228" s="1479">
        <v>7.3419999999999996</v>
      </c>
      <c r="C228" s="1479">
        <v>8.2279999999999998</v>
      </c>
      <c r="D228" s="1479">
        <v>8.75</v>
      </c>
      <c r="E228" s="1479">
        <v>9.0530000000000008</v>
      </c>
      <c r="F228" s="1479">
        <v>9.2010000000000005</v>
      </c>
      <c r="G228" s="1479">
        <v>9.34</v>
      </c>
      <c r="H228" s="1479"/>
      <c r="I228" s="1479">
        <v>9.5399999999999991</v>
      </c>
      <c r="J228" s="1479">
        <v>9.7409999999999997</v>
      </c>
      <c r="K228" s="1479"/>
      <c r="L228" s="1479">
        <v>10.108000000000001</v>
      </c>
      <c r="M228" s="1479">
        <v>10.102</v>
      </c>
      <c r="N228" s="1479">
        <v>10.11</v>
      </c>
      <c r="O228" s="1479">
        <v>10.29</v>
      </c>
    </row>
    <row r="229" spans="1:15">
      <c r="A229" s="1478">
        <v>45609</v>
      </c>
      <c r="B229" s="1479">
        <v>7.3140000000000001</v>
      </c>
      <c r="C229" s="1479">
        <v>8.2370000000000001</v>
      </c>
      <c r="D229" s="1479">
        <v>8.7720000000000002</v>
      </c>
      <c r="E229" s="1479">
        <v>9.0730000000000004</v>
      </c>
      <c r="F229" s="1479">
        <v>9.2170000000000005</v>
      </c>
      <c r="G229" s="1479">
        <v>9.3740000000000006</v>
      </c>
      <c r="H229" s="1479"/>
      <c r="I229" s="1479">
        <v>9.5649999999999995</v>
      </c>
      <c r="J229" s="1479">
        <v>9.7590000000000003</v>
      </c>
      <c r="K229" s="1479"/>
      <c r="L229" s="1479">
        <v>10.146000000000001</v>
      </c>
      <c r="M229" s="1479">
        <v>10.103</v>
      </c>
      <c r="N229" s="1479">
        <v>10.119999999999999</v>
      </c>
      <c r="O229" s="1479">
        <v>10.318</v>
      </c>
    </row>
    <row r="230" spans="1:15">
      <c r="A230" s="1478">
        <v>45610</v>
      </c>
      <c r="B230" s="1479">
        <v>7.37</v>
      </c>
      <c r="C230" s="1479">
        <v>8.2390000000000008</v>
      </c>
      <c r="D230" s="1479">
        <v>8.7669999999999995</v>
      </c>
      <c r="E230" s="1479">
        <v>9.1210000000000004</v>
      </c>
      <c r="F230" s="1479">
        <v>9.2569999999999997</v>
      </c>
      <c r="G230" s="1479">
        <v>9.4079999999999995</v>
      </c>
      <c r="H230" s="1479"/>
      <c r="I230" s="1479">
        <v>9.593</v>
      </c>
      <c r="J230" s="1479">
        <v>9.7940000000000005</v>
      </c>
      <c r="K230" s="1479"/>
      <c r="L230" s="1479">
        <v>10.151</v>
      </c>
      <c r="M230" s="1479">
        <v>10.117000000000001</v>
      </c>
      <c r="N230" s="1479">
        <v>10.146000000000001</v>
      </c>
      <c r="O230" s="1479">
        <v>10.353999999999999</v>
      </c>
    </row>
    <row r="231" spans="1:15">
      <c r="A231" s="1478">
        <v>45611</v>
      </c>
      <c r="B231" s="1479">
        <v>7.5069999999999997</v>
      </c>
      <c r="C231" s="1479">
        <v>8.3420000000000005</v>
      </c>
      <c r="D231" s="1479">
        <v>8.8930000000000007</v>
      </c>
      <c r="E231" s="1479">
        <v>9.2360000000000007</v>
      </c>
      <c r="F231" s="1479">
        <v>9.4179999999999993</v>
      </c>
      <c r="G231" s="1479">
        <v>9.5289999999999999</v>
      </c>
      <c r="H231" s="1479"/>
      <c r="I231" s="1479">
        <v>9.7509999999999994</v>
      </c>
      <c r="J231" s="1479">
        <v>9.9610000000000003</v>
      </c>
      <c r="K231" s="1479"/>
      <c r="L231" s="1479">
        <v>10.307</v>
      </c>
      <c r="M231" s="1479">
        <v>10.255000000000001</v>
      </c>
      <c r="N231" s="1479">
        <v>10.260999999999999</v>
      </c>
      <c r="O231" s="1479">
        <v>10.489000000000001</v>
      </c>
    </row>
    <row r="232" spans="1:15">
      <c r="A232" s="1478">
        <v>45614</v>
      </c>
      <c r="B232" s="1479">
        <v>7.68</v>
      </c>
      <c r="C232" s="1479">
        <v>8.4610000000000003</v>
      </c>
      <c r="D232" s="1479">
        <v>9.0370000000000008</v>
      </c>
      <c r="E232" s="1479">
        <v>9.3819999999999997</v>
      </c>
      <c r="F232" s="1479">
        <v>9.5950000000000006</v>
      </c>
      <c r="G232" s="1479">
        <v>9.7119999999999997</v>
      </c>
      <c r="H232" s="1479"/>
      <c r="I232" s="1479">
        <v>9.907</v>
      </c>
      <c r="J232" s="1479">
        <v>10.109</v>
      </c>
      <c r="K232" s="1479"/>
      <c r="L232" s="1479">
        <v>10.475</v>
      </c>
      <c r="M232" s="1479">
        <v>10.432</v>
      </c>
      <c r="N232" s="1479">
        <v>10.433</v>
      </c>
      <c r="O232" s="1479">
        <v>10.68</v>
      </c>
    </row>
    <row r="233" spans="1:15">
      <c r="A233" s="1478">
        <v>45615</v>
      </c>
      <c r="B233" s="1479">
        <v>7.46</v>
      </c>
      <c r="C233" s="1479">
        <v>8.3569999999999993</v>
      </c>
      <c r="D233" s="1479">
        <v>8.8780000000000001</v>
      </c>
      <c r="E233" s="1479">
        <v>9.2379999999999995</v>
      </c>
      <c r="F233" s="1479">
        <v>9.4250000000000007</v>
      </c>
      <c r="G233" s="1479">
        <v>9.6280000000000001</v>
      </c>
      <c r="H233" s="1479"/>
      <c r="I233" s="1479">
        <v>9.7929999999999993</v>
      </c>
      <c r="J233" s="1479">
        <v>10.016</v>
      </c>
      <c r="K233" s="1479"/>
      <c r="L233" s="1479">
        <v>10.397</v>
      </c>
      <c r="M233" s="1479">
        <v>10.381</v>
      </c>
      <c r="N233" s="1479">
        <v>10.355</v>
      </c>
      <c r="O233" s="1479">
        <v>10.603</v>
      </c>
    </row>
    <row r="234" spans="1:15">
      <c r="A234" s="1478">
        <v>45616</v>
      </c>
      <c r="B234" s="1479">
        <v>7.423</v>
      </c>
      <c r="C234" s="1479">
        <v>8.2859999999999996</v>
      </c>
      <c r="D234" s="1479">
        <v>8.8409999999999993</v>
      </c>
      <c r="E234" s="1479">
        <v>9.17</v>
      </c>
      <c r="F234" s="1479">
        <v>9.4</v>
      </c>
      <c r="G234" s="1479">
        <v>9.6020000000000003</v>
      </c>
      <c r="H234" s="1479"/>
      <c r="I234" s="1479">
        <v>9.7609999999999992</v>
      </c>
      <c r="J234" s="1479">
        <v>10.021000000000001</v>
      </c>
      <c r="K234" s="1479"/>
      <c r="L234" s="1479">
        <v>10.351000000000001</v>
      </c>
      <c r="M234" s="1479">
        <v>10.375</v>
      </c>
      <c r="N234" s="1479">
        <v>10.339</v>
      </c>
      <c r="O234" s="1479">
        <v>10.583</v>
      </c>
    </row>
    <row r="235" spans="1:15">
      <c r="A235" s="1478">
        <v>45617</v>
      </c>
      <c r="B235" s="1479">
        <v>7.42</v>
      </c>
      <c r="C235" s="1479">
        <v>8.2829999999999995</v>
      </c>
      <c r="D235" s="1479">
        <v>8.7989999999999995</v>
      </c>
      <c r="E235" s="1479">
        <v>9.1910000000000007</v>
      </c>
      <c r="F235" s="1479">
        <v>9.3759999999999994</v>
      </c>
      <c r="G235" s="1479">
        <v>9.57</v>
      </c>
      <c r="H235" s="1479"/>
      <c r="I235" s="1479">
        <v>9.7759999999999998</v>
      </c>
      <c r="J235" s="1479">
        <v>10.009</v>
      </c>
      <c r="K235" s="1479"/>
      <c r="L235" s="1479">
        <v>10.34</v>
      </c>
      <c r="M235" s="1479">
        <v>10.33</v>
      </c>
      <c r="N235" s="1479">
        <v>10.3</v>
      </c>
      <c r="O235" s="1479">
        <v>10.586</v>
      </c>
    </row>
    <row r="236" spans="1:15">
      <c r="A236" s="1478">
        <v>45618</v>
      </c>
      <c r="B236" s="2663">
        <v>7.3769999999999998</v>
      </c>
      <c r="C236" s="2663">
        <v>8.2929999999999993</v>
      </c>
      <c r="D236" s="2663">
        <v>8.7959999999999994</v>
      </c>
      <c r="E236" s="2663">
        <v>9.1389999999999993</v>
      </c>
      <c r="F236" s="2663">
        <v>9.3740000000000006</v>
      </c>
      <c r="G236" s="2663">
        <v>9.5559999999999992</v>
      </c>
      <c r="H236" s="2663"/>
      <c r="I236" s="1479">
        <v>9.74</v>
      </c>
      <c r="J236" s="2663">
        <v>9.9770000000000003</v>
      </c>
      <c r="K236" s="2663"/>
      <c r="L236" s="2663">
        <v>10.314</v>
      </c>
      <c r="M236" s="2663">
        <v>10.316000000000001</v>
      </c>
      <c r="N236" s="2663">
        <v>10.294</v>
      </c>
      <c r="O236" s="2663">
        <v>10.573</v>
      </c>
    </row>
    <row r="237" spans="1:15">
      <c r="A237" s="1478">
        <v>45621</v>
      </c>
      <c r="B237" s="2663">
        <v>7.306</v>
      </c>
      <c r="C237" s="2663">
        <v>8.2070000000000007</v>
      </c>
      <c r="D237" s="1479">
        <v>8.7100000000000009</v>
      </c>
      <c r="E237" s="2663">
        <v>9.0060000000000002</v>
      </c>
      <c r="F237" s="2663">
        <v>9.2550000000000008</v>
      </c>
      <c r="G237" s="2663">
        <v>9.4459999999999997</v>
      </c>
      <c r="H237" s="2663"/>
      <c r="I237" s="2663">
        <v>9.641</v>
      </c>
      <c r="J237" s="2663">
        <v>9.9039999999999999</v>
      </c>
      <c r="K237" s="2663"/>
      <c r="L237" s="2663">
        <v>10.227</v>
      </c>
      <c r="M237" s="2663">
        <v>10.257999999999999</v>
      </c>
      <c r="N237" s="2663">
        <v>10.228999999999999</v>
      </c>
      <c r="O237" s="2663">
        <v>10.484</v>
      </c>
    </row>
    <row r="238" spans="1:15">
      <c r="A238" s="1478">
        <v>45622</v>
      </c>
      <c r="B238" s="1479">
        <v>7.48</v>
      </c>
      <c r="C238" s="2663">
        <v>8.2460000000000004</v>
      </c>
      <c r="D238" s="2663">
        <v>8.7590000000000003</v>
      </c>
      <c r="E238" s="2663">
        <v>9.0909999999999993</v>
      </c>
      <c r="F238" s="2663">
        <v>9.3450000000000006</v>
      </c>
      <c r="G238" s="2663">
        <v>9.5329999999999995</v>
      </c>
      <c r="H238" s="2663"/>
      <c r="I238" s="2663">
        <v>9.7089999999999996</v>
      </c>
      <c r="J238" s="2663">
        <v>9.9649999999999999</v>
      </c>
      <c r="K238" s="2663"/>
      <c r="L238" s="2663">
        <v>10.287000000000001</v>
      </c>
      <c r="M238" s="2663">
        <v>10.337</v>
      </c>
      <c r="N238" s="2663">
        <v>10.298999999999999</v>
      </c>
      <c r="O238" s="2663">
        <v>10.564</v>
      </c>
    </row>
    <row r="239" spans="1:15">
      <c r="A239" s="1478">
        <v>45623</v>
      </c>
      <c r="B239" s="1479">
        <v>7.43</v>
      </c>
      <c r="C239" s="1479">
        <v>8.23</v>
      </c>
      <c r="D239" s="2663">
        <v>8.7729999999999997</v>
      </c>
      <c r="E239" s="2663">
        <v>9.0489999999999995</v>
      </c>
      <c r="F239" s="2663">
        <v>9.3290000000000006</v>
      </c>
      <c r="G239" s="2663">
        <v>9.5090000000000003</v>
      </c>
      <c r="H239" s="2663"/>
      <c r="I239" s="2663">
        <v>9.6780000000000008</v>
      </c>
      <c r="J239" s="2663">
        <v>9.9290000000000003</v>
      </c>
      <c r="K239" s="2663"/>
      <c r="L239" s="2663">
        <v>10.246</v>
      </c>
      <c r="M239" s="2663">
        <v>10.324</v>
      </c>
      <c r="N239" s="2663">
        <v>10.287000000000001</v>
      </c>
      <c r="O239" s="2663">
        <v>10.532</v>
      </c>
    </row>
    <row r="240" spans="1:15">
      <c r="A240" s="1478">
        <v>45624</v>
      </c>
      <c r="B240" s="2663">
        <v>7.4690000000000003</v>
      </c>
      <c r="C240" s="2663">
        <v>8.2119999999999997</v>
      </c>
      <c r="D240" s="2663">
        <v>8.7590000000000003</v>
      </c>
      <c r="E240" s="2663">
        <v>9.1010000000000009</v>
      </c>
      <c r="F240" s="2663">
        <v>9.3360000000000003</v>
      </c>
      <c r="G240" s="2663">
        <v>9.5129999999999999</v>
      </c>
      <c r="H240" s="2663"/>
      <c r="I240" s="2663">
        <v>9.7189999999999994</v>
      </c>
      <c r="J240" s="2663">
        <v>9.9320000000000004</v>
      </c>
      <c r="K240" s="2663"/>
      <c r="L240" s="2663">
        <v>10.266999999999999</v>
      </c>
      <c r="M240" s="2663">
        <v>10.331</v>
      </c>
      <c r="N240" s="2663">
        <v>10.305</v>
      </c>
      <c r="O240" s="2663">
        <v>10.515000000000001</v>
      </c>
    </row>
    <row r="241" spans="1:15">
      <c r="A241" s="1478">
        <v>45625</v>
      </c>
      <c r="B241" s="1479">
        <v>7.2859999999999996</v>
      </c>
      <c r="C241" s="1479">
        <v>8.2620000000000005</v>
      </c>
      <c r="D241" s="1479">
        <v>8.7829999999999995</v>
      </c>
      <c r="E241" s="1479">
        <v>9.1020000000000003</v>
      </c>
      <c r="F241" s="1479">
        <v>9.35</v>
      </c>
      <c r="G241" s="1479">
        <v>9.5229999999999997</v>
      </c>
      <c r="H241" s="1479"/>
      <c r="I241" s="1479">
        <v>9.7050000000000001</v>
      </c>
      <c r="J241" s="1479">
        <v>9.9290000000000003</v>
      </c>
      <c r="K241" s="1479"/>
      <c r="L241" s="1479">
        <v>10.247</v>
      </c>
      <c r="M241" s="1479">
        <v>10.311</v>
      </c>
      <c r="N241" s="1479">
        <v>10.281000000000001</v>
      </c>
      <c r="O241" s="1479">
        <v>10.523999999999999</v>
      </c>
    </row>
    <row r="242" spans="1:15">
      <c r="A242" s="1478">
        <v>45628</v>
      </c>
      <c r="B242" s="1479">
        <v>7.4379999999999997</v>
      </c>
      <c r="C242" s="1479">
        <v>8.1940000000000008</v>
      </c>
      <c r="D242" s="1479">
        <v>8.7370000000000001</v>
      </c>
      <c r="E242" s="1479">
        <v>9.0129999999999999</v>
      </c>
      <c r="F242" s="1479">
        <v>9.3569999999999993</v>
      </c>
      <c r="G242" s="1479">
        <v>9.5299999999999994</v>
      </c>
      <c r="H242" s="1479"/>
      <c r="I242" s="1479">
        <v>9.6929999999999996</v>
      </c>
      <c r="J242" s="1479">
        <v>9.9019999999999992</v>
      </c>
      <c r="K242" s="1479"/>
      <c r="L242" s="1479">
        <v>10.266999999999999</v>
      </c>
      <c r="M242" s="1479">
        <v>10.314</v>
      </c>
      <c r="N242" s="1479">
        <v>10.295999999999999</v>
      </c>
      <c r="O242" s="1479">
        <v>10.555999999999999</v>
      </c>
    </row>
    <row r="243" spans="1:15">
      <c r="A243" s="1478">
        <v>45629</v>
      </c>
      <c r="B243" s="1479">
        <v>7.4039999999999999</v>
      </c>
      <c r="C243" s="1479">
        <v>8.0429999999999993</v>
      </c>
      <c r="D243" s="1479">
        <v>8.6349999999999998</v>
      </c>
      <c r="E243" s="1479">
        <v>8.8460000000000001</v>
      </c>
      <c r="F243" s="1479">
        <v>9.2379999999999995</v>
      </c>
      <c r="G243" s="1479">
        <v>9.3119999999999994</v>
      </c>
      <c r="H243" s="1479"/>
      <c r="I243" s="1479">
        <v>9.5030000000000001</v>
      </c>
      <c r="J243" s="1479">
        <v>9.6440000000000001</v>
      </c>
      <c r="K243" s="1479"/>
      <c r="L243" s="1479">
        <v>10.097</v>
      </c>
      <c r="M243" s="1479">
        <v>10.166</v>
      </c>
      <c r="N243" s="1479">
        <v>10.176</v>
      </c>
      <c r="O243" s="1479">
        <v>10.358000000000001</v>
      </c>
    </row>
    <row r="244" spans="1:15">
      <c r="A244" s="1478">
        <v>45630</v>
      </c>
      <c r="B244" s="1479">
        <v>7.3019999999999996</v>
      </c>
      <c r="C244" s="1479">
        <v>7.9429999999999996</v>
      </c>
      <c r="D244" s="1479">
        <v>8.5739999999999998</v>
      </c>
      <c r="E244" s="1479">
        <v>8.782</v>
      </c>
      <c r="F244" s="1479">
        <v>9.0730000000000004</v>
      </c>
      <c r="G244" s="1479">
        <v>9.1539999999999999</v>
      </c>
      <c r="H244" s="1479"/>
      <c r="I244" s="1479">
        <v>9.4239999999999995</v>
      </c>
      <c r="J244" s="1479">
        <v>9.5329999999999995</v>
      </c>
      <c r="K244" s="1479"/>
      <c r="L244" s="1479">
        <v>9.9770000000000003</v>
      </c>
      <c r="M244" s="1479">
        <v>10.047000000000001</v>
      </c>
      <c r="N244" s="1479">
        <v>10.050000000000001</v>
      </c>
      <c r="O244" s="1479">
        <v>10.269</v>
      </c>
    </row>
    <row r="245" spans="1:15">
      <c r="A245" s="1478">
        <v>45631</v>
      </c>
      <c r="B245" s="2663">
        <v>7.2270000000000003</v>
      </c>
      <c r="C245" s="2663">
        <v>7.8239999999999998</v>
      </c>
      <c r="D245" s="2663">
        <v>8.3650000000000002</v>
      </c>
      <c r="E245" s="2663">
        <v>8.5489999999999995</v>
      </c>
      <c r="F245" s="2663">
        <v>8.8650000000000002</v>
      </c>
      <c r="G245" s="2663">
        <v>8.9819999999999993</v>
      </c>
      <c r="H245" s="2663"/>
      <c r="I245" s="2663">
        <v>9.2170000000000005</v>
      </c>
      <c r="J245" s="2663">
        <v>9.3330000000000002</v>
      </c>
      <c r="K245" s="2663"/>
      <c r="L245" s="2663">
        <v>9.766</v>
      </c>
      <c r="M245" s="2663">
        <v>9.8819999999999997</v>
      </c>
      <c r="N245" s="2663">
        <v>9.9350000000000005</v>
      </c>
      <c r="O245" s="2663">
        <v>10.125</v>
      </c>
    </row>
    <row r="246" spans="1:15">
      <c r="A246" s="1478">
        <v>45632</v>
      </c>
      <c r="B246" s="2663">
        <v>7.2670000000000003</v>
      </c>
      <c r="C246" s="2663">
        <v>7.7380000000000004</v>
      </c>
      <c r="D246" s="2663">
        <v>8.2769999999999992</v>
      </c>
      <c r="E246" s="2663">
        <v>8.4719999999999995</v>
      </c>
      <c r="F246" s="2663">
        <v>8.7859999999999996</v>
      </c>
      <c r="G246" s="2663">
        <v>8.9269999999999996</v>
      </c>
      <c r="H246" s="2663"/>
      <c r="I246" s="2663">
        <v>9.1349999999999998</v>
      </c>
      <c r="J246" s="2663">
        <v>9.2469999999999999</v>
      </c>
      <c r="K246" s="2663"/>
      <c r="L246" s="2663">
        <v>9.6950000000000003</v>
      </c>
      <c r="M246" s="2663">
        <v>9.8160000000000007</v>
      </c>
      <c r="N246" s="2663">
        <v>9.8780000000000001</v>
      </c>
      <c r="O246" s="2663">
        <v>10.064</v>
      </c>
    </row>
    <row r="247" spans="1:15">
      <c r="A247" s="2662">
        <v>45635</v>
      </c>
      <c r="B247" s="1479">
        <v>7.2190000000000003</v>
      </c>
      <c r="C247" s="1479">
        <v>7.8150000000000004</v>
      </c>
      <c r="D247" s="1479">
        <v>8.3059999999999992</v>
      </c>
      <c r="E247" s="1479">
        <v>8.4789999999999992</v>
      </c>
      <c r="F247" s="1479">
        <v>8.81</v>
      </c>
      <c r="G247" s="1479">
        <v>8.9550000000000001</v>
      </c>
      <c r="H247" s="1479"/>
      <c r="I247" s="1479">
        <v>9.1999999999999993</v>
      </c>
      <c r="J247" s="1479">
        <v>9.3149999999999995</v>
      </c>
      <c r="K247" s="1479"/>
      <c r="L247" s="1479">
        <v>9.7579999999999991</v>
      </c>
      <c r="M247" s="1479">
        <v>9.8480000000000008</v>
      </c>
      <c r="N247" s="1479">
        <v>9.8670000000000009</v>
      </c>
      <c r="O247" s="1479">
        <v>10.067</v>
      </c>
    </row>
    <row r="248" spans="1:15">
      <c r="A248" s="2662">
        <v>45636</v>
      </c>
      <c r="B248" s="1480">
        <v>7.4029999999999996</v>
      </c>
      <c r="C248" s="1480">
        <v>7.883</v>
      </c>
      <c r="D248" s="1480">
        <v>8.4</v>
      </c>
      <c r="E248" s="1480">
        <v>8.6110000000000007</v>
      </c>
      <c r="F248" s="1480">
        <v>8.9290000000000003</v>
      </c>
      <c r="G248" s="1480">
        <v>9.0419999999999998</v>
      </c>
      <c r="H248" s="2663">
        <v>9.2479999999999993</v>
      </c>
      <c r="I248" s="1480">
        <v>9.31</v>
      </c>
      <c r="J248" s="1480">
        <v>9.41</v>
      </c>
      <c r="K248" s="2663">
        <v>9.7989999999999995</v>
      </c>
      <c r="L248" s="1480">
        <v>9.83</v>
      </c>
      <c r="M248" s="1480">
        <v>9.9179999999999993</v>
      </c>
      <c r="N248" s="1480">
        <v>9.9559999999999995</v>
      </c>
      <c r="O248" s="1480">
        <v>10.141999999999999</v>
      </c>
    </row>
    <row r="249" spans="1:15">
      <c r="A249" s="1478">
        <v>45637</v>
      </c>
      <c r="B249" s="1479">
        <v>7.23</v>
      </c>
      <c r="C249" s="2663">
        <v>7.8579999999999997</v>
      </c>
      <c r="D249" s="2664">
        <v>8.39</v>
      </c>
      <c r="E249" s="2663">
        <v>8.5670000000000002</v>
      </c>
      <c r="F249" s="2663">
        <v>8.9369999999999994</v>
      </c>
      <c r="G249" s="2663">
        <v>9.0730000000000004</v>
      </c>
      <c r="H249" s="1479">
        <v>9.25</v>
      </c>
      <c r="I249" s="2663">
        <v>9.2170000000000005</v>
      </c>
      <c r="J249" s="2663">
        <v>9.3330000000000002</v>
      </c>
      <c r="K249" s="2663">
        <v>9.7629999999999999</v>
      </c>
      <c r="L249" s="2663">
        <v>9.766</v>
      </c>
      <c r="M249" s="2663">
        <v>9.8819999999999997</v>
      </c>
      <c r="N249" s="2663">
        <v>9.9350000000000005</v>
      </c>
      <c r="O249" s="2663">
        <v>10.125</v>
      </c>
    </row>
    <row r="250" spans="1:15">
      <c r="A250" s="1478">
        <v>45638</v>
      </c>
      <c r="B250" s="2663">
        <v>7.4850000000000003</v>
      </c>
      <c r="C250" s="2663">
        <v>7.9580000000000002</v>
      </c>
      <c r="D250" s="2663">
        <v>8.5259999999999998</v>
      </c>
      <c r="E250" s="2663">
        <v>8.6270000000000007</v>
      </c>
      <c r="F250" s="2663">
        <v>9.0280000000000005</v>
      </c>
      <c r="G250" s="2663">
        <v>9.1440000000000001</v>
      </c>
      <c r="H250" s="2663">
        <v>9.3179999999999996</v>
      </c>
      <c r="I250" s="2663">
        <v>9.4179999999999993</v>
      </c>
      <c r="J250" s="2663">
        <v>9.484</v>
      </c>
      <c r="K250" s="2663">
        <v>9.8049999999999997</v>
      </c>
      <c r="L250" s="2663">
        <v>9.8800000000000008</v>
      </c>
      <c r="M250" s="2663">
        <v>9.9619999999999997</v>
      </c>
      <c r="N250" s="2663">
        <v>9.9909999999999997</v>
      </c>
      <c r="O250" s="2663">
        <v>10.215999999999999</v>
      </c>
    </row>
    <row r="251" spans="1:15">
      <c r="A251" s="1478">
        <v>45639</v>
      </c>
      <c r="B251" s="1479">
        <v>7.5330000000000004</v>
      </c>
      <c r="C251" s="1479">
        <v>8.0510000000000002</v>
      </c>
      <c r="D251" s="1479">
        <v>8.6349999999999998</v>
      </c>
      <c r="E251" s="1479">
        <v>8.7240000000000002</v>
      </c>
      <c r="F251" s="1479">
        <v>9.1080000000000005</v>
      </c>
      <c r="G251" s="1479">
        <v>9.2100000000000009</v>
      </c>
      <c r="H251" s="1479">
        <v>9.3610000000000007</v>
      </c>
      <c r="I251" s="1479">
        <v>9.5120000000000005</v>
      </c>
      <c r="J251" s="1479">
        <v>9.5830000000000002</v>
      </c>
      <c r="K251" s="1479">
        <v>9.8629999999999995</v>
      </c>
      <c r="L251" s="1479">
        <v>9.9589999999999996</v>
      </c>
      <c r="M251" s="1479">
        <v>10.041</v>
      </c>
      <c r="N251" s="1479">
        <v>10.063000000000001</v>
      </c>
      <c r="O251" s="1479">
        <v>10.286</v>
      </c>
    </row>
    <row r="252" spans="1:15">
      <c r="A252" s="1478">
        <v>45642</v>
      </c>
      <c r="B252" s="1484">
        <v>7.4489999999999998</v>
      </c>
      <c r="C252" s="1484">
        <v>7.98</v>
      </c>
      <c r="D252" s="1484">
        <v>8.6180000000000003</v>
      </c>
      <c r="E252" s="1484">
        <v>8.75</v>
      </c>
      <c r="F252" s="1484">
        <v>9.0830000000000002</v>
      </c>
      <c r="G252" s="1484">
        <v>9.2240000000000002</v>
      </c>
      <c r="H252" s="1484">
        <v>9.3369999999999997</v>
      </c>
      <c r="I252" s="1484">
        <v>9.51</v>
      </c>
      <c r="J252" s="1484">
        <v>9.5619999999999994</v>
      </c>
      <c r="K252" s="1484">
        <v>9.8420000000000005</v>
      </c>
      <c r="L252" s="1484">
        <v>9.9710000000000001</v>
      </c>
      <c r="M252" s="1484">
        <v>10.039999999999999</v>
      </c>
      <c r="N252" s="1484">
        <v>10.058999999999999</v>
      </c>
      <c r="O252" s="1484">
        <v>10.286</v>
      </c>
    </row>
    <row r="253" spans="1:15">
      <c r="A253" s="1478">
        <v>45643</v>
      </c>
      <c r="B253" s="1484">
        <v>7.7039999999999997</v>
      </c>
      <c r="C253" s="1484">
        <v>8.0370000000000008</v>
      </c>
      <c r="D253" s="1484">
        <v>8.702</v>
      </c>
      <c r="E253" s="1484">
        <v>8.8049999999999997</v>
      </c>
      <c r="F253" s="1484">
        <v>9.1430000000000007</v>
      </c>
      <c r="G253" s="1484">
        <v>9.2799999999999994</v>
      </c>
      <c r="H253" s="1484">
        <v>9.3859999999999992</v>
      </c>
      <c r="I253" s="1484">
        <v>9.5549999999999997</v>
      </c>
      <c r="J253" s="1484">
        <v>9.5850000000000009</v>
      </c>
      <c r="K253" s="1484">
        <v>9.8780000000000001</v>
      </c>
      <c r="L253" s="1484">
        <v>10.002000000000001</v>
      </c>
      <c r="M253" s="1484">
        <v>10.099</v>
      </c>
      <c r="N253" s="1484">
        <v>10.093999999999999</v>
      </c>
      <c r="O253" s="1484">
        <v>10.305</v>
      </c>
    </row>
    <row r="254" spans="1:15">
      <c r="A254" s="1478">
        <v>45644</v>
      </c>
      <c r="B254" s="1484">
        <v>7.6580000000000004</v>
      </c>
      <c r="C254" s="1484">
        <v>8.0540000000000003</v>
      </c>
      <c r="D254" s="1484">
        <v>8.6750000000000007</v>
      </c>
      <c r="E254" s="1484">
        <v>8.7880000000000003</v>
      </c>
      <c r="F254" s="1484">
        <v>9.1300000000000008</v>
      </c>
      <c r="G254" s="1484">
        <v>9.26</v>
      </c>
      <c r="H254" s="1484">
        <v>9.3480000000000008</v>
      </c>
      <c r="I254" s="1484">
        <v>9.5649999999999995</v>
      </c>
      <c r="J254" s="1484">
        <v>9.5850000000000009</v>
      </c>
      <c r="K254" s="1484">
        <v>9.8460000000000001</v>
      </c>
      <c r="L254" s="1484">
        <v>10.003</v>
      </c>
      <c r="M254" s="1484">
        <v>10.1</v>
      </c>
      <c r="N254" s="1484">
        <v>10.090999999999999</v>
      </c>
      <c r="O254" s="1484">
        <v>10.319000000000001</v>
      </c>
    </row>
    <row r="258" spans="1:22">
      <c r="A258" s="1481" t="s">
        <v>1080</v>
      </c>
      <c r="B258" s="1482">
        <f>AVERAGE(B3:B254)</f>
        <v>7.526392857142862</v>
      </c>
      <c r="C258" s="1482">
        <f t="shared" ref="C258:O258" si="0">AVERAGE(C3:C254)</f>
        <v>8.7489841269841317</v>
      </c>
      <c r="D258" s="1482">
        <f t="shared" si="0"/>
        <v>9.1253095238095234</v>
      </c>
      <c r="E258" s="1482">
        <f t="shared" si="0"/>
        <v>9.3878611111111017</v>
      </c>
      <c r="F258" s="1482">
        <f t="shared" si="0"/>
        <v>9.564821428571431</v>
      </c>
      <c r="G258" s="1482">
        <f t="shared" si="0"/>
        <v>9.7343928571428613</v>
      </c>
      <c r="H258" s="1482">
        <f t="shared" si="0"/>
        <v>9.3211428571428563</v>
      </c>
      <c r="I258" s="1482">
        <f t="shared" si="0"/>
        <v>9.9281746031746057</v>
      </c>
      <c r="J258" s="1482">
        <f t="shared" si="0"/>
        <v>10.010630952380957</v>
      </c>
      <c r="K258" s="1482">
        <f t="shared" si="0"/>
        <v>9.8279999999999994</v>
      </c>
      <c r="L258" s="2667">
        <f t="shared" si="0"/>
        <v>10.377075396825392</v>
      </c>
      <c r="M258" s="1482">
        <f t="shared" si="0"/>
        <v>10.337246031746032</v>
      </c>
      <c r="N258" s="1482">
        <f t="shared" si="0"/>
        <v>10.361365079365076</v>
      </c>
      <c r="O258" s="1482">
        <f t="shared" si="0"/>
        <v>10.500746031746022</v>
      </c>
      <c r="Q258" s="1494">
        <f>AVERAGE(B258:O258)</f>
        <v>9.6251530612244913</v>
      </c>
    </row>
    <row r="260" spans="1:22">
      <c r="P260" s="1476" t="s">
        <v>2337</v>
      </c>
      <c r="Q260" s="1494">
        <f>L258</f>
        <v>10.377075396825392</v>
      </c>
    </row>
    <row r="268" spans="1:22" ht="15.75" thickBot="1"/>
    <row r="269" spans="1:22" ht="15.75" thickBot="1">
      <c r="R269" s="2668" t="s">
        <v>1768</v>
      </c>
      <c r="S269" s="2669" t="s">
        <v>1769</v>
      </c>
      <c r="T269" s="2670">
        <v>863</v>
      </c>
      <c r="U269" s="2671">
        <v>1.02</v>
      </c>
      <c r="V269" s="2672">
        <v>-0.17</v>
      </c>
    </row>
    <row r="270" spans="1:22" ht="15.75" thickBot="1">
      <c r="R270" s="2673" t="s">
        <v>1770</v>
      </c>
      <c r="S270" s="2674"/>
      <c r="T270" s="2674"/>
      <c r="U270" s="2675">
        <v>1.39</v>
      </c>
      <c r="V270" s="2676">
        <v>3.3000000000000002E-2</v>
      </c>
    </row>
    <row r="271" spans="1:22">
      <c r="R271" s="2677" t="s">
        <v>1771</v>
      </c>
      <c r="S271" s="2678" t="s">
        <v>1769</v>
      </c>
      <c r="T271" s="2679" t="s">
        <v>1772</v>
      </c>
      <c r="U271" s="2680">
        <v>1.39</v>
      </c>
      <c r="V271" s="2681">
        <v>-0.20300000000000001</v>
      </c>
    </row>
    <row r="272" spans="1:22">
      <c r="R272" s="2682" t="s">
        <v>1773</v>
      </c>
      <c r="S272" s="2683" t="s">
        <v>1769</v>
      </c>
      <c r="T272" s="2684" t="s">
        <v>1774</v>
      </c>
      <c r="U272" s="2685">
        <v>1.61</v>
      </c>
      <c r="V272" s="2686">
        <v>-4.1000000000000002E-2</v>
      </c>
    </row>
    <row r="273" spans="18:22">
      <c r="R273" s="2677" t="s">
        <v>1775</v>
      </c>
      <c r="S273" s="2678" t="s">
        <v>1769</v>
      </c>
      <c r="T273" s="2679" t="s">
        <v>1776</v>
      </c>
      <c r="U273" s="2680">
        <v>0.96</v>
      </c>
      <c r="V273" s="2687">
        <v>3.3000000000000002E-2</v>
      </c>
    </row>
    <row r="274" spans="18:22">
      <c r="R274" s="2682" t="s">
        <v>1777</v>
      </c>
      <c r="S274" s="2683" t="s">
        <v>1778</v>
      </c>
      <c r="T274" s="2684" t="s">
        <v>1779</v>
      </c>
      <c r="U274" s="2685" t="s">
        <v>1780</v>
      </c>
      <c r="V274" s="2688">
        <v>0.27400000000000002</v>
      </c>
    </row>
    <row r="275" spans="18:22" ht="16.5" thickBot="1">
      <c r="R275" s="2689" t="s">
        <v>1781</v>
      </c>
      <c r="S275" s="2690" t="s">
        <v>1782</v>
      </c>
      <c r="T275" s="2691">
        <v>881</v>
      </c>
      <c r="U275" s="2692" t="s">
        <v>1623</v>
      </c>
      <c r="V275" s="2693"/>
    </row>
    <row r="277" spans="18:22">
      <c r="U277" s="1476">
        <f>(U269+U270+U271+U272+U273)/5</f>
        <v>1.274</v>
      </c>
    </row>
  </sheetData>
  <mergeCells count="1">
    <mergeCell ref="A1:O1"/>
  </mergeCells>
  <pageMargins left="0.7" right="0.7" top="0.75" bottom="0.75" header="0.3" footer="0.3"/>
  <pageSetup scale="85" fitToHeight="0" orientation="landscape" horizontalDpi="4294967295" verticalDpi="4294967295"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249977111117893"/>
  </sheetPr>
  <dimension ref="A1:CQ522"/>
  <sheetViews>
    <sheetView zoomScale="124" zoomScaleNormal="124" workbookViewId="0">
      <selection activeCell="E23" sqref="E23"/>
    </sheetView>
  </sheetViews>
  <sheetFormatPr defaultColWidth="9.14453125" defaultRowHeight="10.5"/>
  <cols>
    <col min="1" max="1" width="3.49609375" style="2" customWidth="1"/>
    <col min="2" max="2" width="27.7109375" style="2" customWidth="1"/>
    <col min="3" max="3" width="16.94921875" style="2" customWidth="1"/>
    <col min="4" max="4" width="17.08203125" style="2" customWidth="1"/>
    <col min="5" max="5" width="23.26953125" style="2" customWidth="1"/>
    <col min="6" max="6" width="23" style="2" customWidth="1"/>
    <col min="7" max="7" width="10.625" style="2" bestFit="1" customWidth="1"/>
    <col min="8" max="8" width="33.765625" style="2" customWidth="1"/>
    <col min="9" max="9" width="10.76171875" style="2" bestFit="1" customWidth="1"/>
    <col min="10" max="38" width="9.14453125" style="2"/>
    <col min="39" max="49" width="0" style="2" hidden="1" customWidth="1"/>
    <col min="50" max="50" width="2.41796875" style="590" customWidth="1"/>
    <col min="51" max="95" width="9.14453125" style="590"/>
    <col min="96" max="16384" width="9.14453125" style="2"/>
  </cols>
  <sheetData>
    <row r="1" spans="1:95" s="2714" customFormat="1" ht="14.25">
      <c r="A1" s="2725" t="s">
        <v>672</v>
      </c>
      <c r="B1" s="2726"/>
      <c r="C1" s="2725"/>
      <c r="D1" s="2726"/>
      <c r="E1" s="2726"/>
      <c r="F1" s="2726"/>
      <c r="G1" s="2726"/>
      <c r="H1" s="2727"/>
      <c r="I1" s="2728"/>
      <c r="J1" s="2726"/>
      <c r="K1" s="2726"/>
      <c r="L1" s="2726"/>
      <c r="M1" s="2726"/>
      <c r="N1" s="2726"/>
      <c r="O1" s="2729"/>
      <c r="P1" s="2726"/>
      <c r="Q1" s="2726"/>
      <c r="R1" s="2726"/>
      <c r="S1" s="2726"/>
      <c r="T1" s="2726"/>
      <c r="U1" s="2726"/>
      <c r="V1" s="2727"/>
      <c r="W1" s="2728"/>
      <c r="X1" s="2726"/>
      <c r="Y1" s="2726"/>
      <c r="Z1" s="2726"/>
      <c r="AA1" s="2726"/>
      <c r="AB1" s="2726"/>
      <c r="AC1" s="2729"/>
      <c r="AD1" s="2726"/>
      <c r="AE1" s="2726"/>
      <c r="AF1" s="2726"/>
      <c r="AG1" s="2726"/>
      <c r="AH1" s="2726"/>
      <c r="AI1" s="2726"/>
      <c r="AJ1" s="2727"/>
      <c r="AK1" s="2728"/>
      <c r="AL1" s="2726"/>
      <c r="AM1" s="2726"/>
      <c r="AN1" s="2726"/>
      <c r="AO1" s="2726"/>
      <c r="AP1" s="2726"/>
      <c r="AQ1" s="2729"/>
      <c r="AR1" s="2726"/>
      <c r="AS1" s="2726"/>
      <c r="AT1" s="2726"/>
      <c r="AU1" s="2726"/>
      <c r="AV1" s="2726"/>
      <c r="AW1" s="2726"/>
      <c r="AX1" s="607"/>
      <c r="AY1" s="608"/>
      <c r="AZ1" s="606"/>
      <c r="BA1" s="606"/>
      <c r="BB1" s="606"/>
      <c r="BC1" s="606"/>
      <c r="BD1" s="606"/>
      <c r="BE1" s="2730"/>
      <c r="BF1" s="606"/>
      <c r="BG1" s="606"/>
      <c r="BH1" s="606"/>
      <c r="BI1" s="606"/>
      <c r="BJ1" s="606"/>
      <c r="BK1" s="606"/>
      <c r="BL1" s="607"/>
      <c r="BM1" s="608"/>
      <c r="BN1" s="606"/>
      <c r="BO1" s="606"/>
      <c r="BP1" s="606"/>
      <c r="BQ1" s="606"/>
      <c r="BR1" s="591"/>
      <c r="BS1" s="591"/>
      <c r="BT1" s="591"/>
      <c r="BU1" s="591"/>
      <c r="BV1" s="591"/>
      <c r="BW1" s="591"/>
      <c r="BX1" s="591"/>
      <c r="BY1" s="591"/>
      <c r="BZ1" s="591"/>
      <c r="CA1" s="591"/>
      <c r="CB1" s="591"/>
      <c r="CC1" s="591"/>
      <c r="CD1" s="591"/>
      <c r="CE1" s="591"/>
      <c r="CF1" s="591"/>
      <c r="CG1" s="591"/>
      <c r="CH1" s="591"/>
      <c r="CI1" s="591"/>
      <c r="CJ1" s="591"/>
      <c r="CK1" s="591"/>
      <c r="CL1" s="591"/>
      <c r="CM1" s="591"/>
      <c r="CN1" s="591"/>
      <c r="CO1" s="591"/>
      <c r="CP1" s="591"/>
      <c r="CQ1" s="591"/>
    </row>
    <row r="2" spans="1:95" s="2715" customFormat="1" ht="11.25">
      <c r="A2" s="2711" t="s">
        <v>2396</v>
      </c>
      <c r="B2" s="2711"/>
      <c r="C2" s="2711"/>
      <c r="D2" s="2714"/>
      <c r="E2" s="2714"/>
      <c r="F2" s="2714"/>
      <c r="G2" s="2714"/>
      <c r="H2" s="2718" t="s">
        <v>0</v>
      </c>
      <c r="I2" s="2714">
        <f>'Timing &amp; Flags'!I2</f>
        <v>1</v>
      </c>
      <c r="J2" s="2714">
        <f>'Timing &amp; Flags'!J2</f>
        <v>2</v>
      </c>
      <c r="K2" s="2714">
        <f>'Timing &amp; Flags'!K2</f>
        <v>3</v>
      </c>
      <c r="L2" s="2714">
        <f>'Timing &amp; Flags'!L2</f>
        <v>4</v>
      </c>
      <c r="M2" s="2714">
        <f>'Timing &amp; Flags'!M2</f>
        <v>5</v>
      </c>
      <c r="N2" s="2714">
        <f>'Timing &amp; Flags'!N2</f>
        <v>6</v>
      </c>
      <c r="O2" s="2714">
        <f>'Timing &amp; Flags'!O2</f>
        <v>7</v>
      </c>
      <c r="P2" s="2714">
        <f>'Timing &amp; Flags'!P2</f>
        <v>8</v>
      </c>
      <c r="Q2" s="2714">
        <f>'Timing &amp; Flags'!Q2</f>
        <v>9</v>
      </c>
      <c r="R2" s="2714">
        <f>'Timing &amp; Flags'!R2</f>
        <v>10</v>
      </c>
      <c r="S2" s="2714">
        <f>'Timing &amp; Flags'!S2</f>
        <v>11</v>
      </c>
      <c r="T2" s="2714">
        <f>'Timing &amp; Flags'!T2</f>
        <v>12</v>
      </c>
      <c r="U2" s="2714">
        <f>'Timing &amp; Flags'!U2</f>
        <v>13</v>
      </c>
      <c r="V2" s="2714">
        <f>'Timing &amp; Flags'!V2</f>
        <v>14</v>
      </c>
      <c r="W2" s="2714">
        <f>'Timing &amp; Flags'!W2</f>
        <v>15</v>
      </c>
      <c r="X2" s="2714">
        <f>'Timing &amp; Flags'!X2</f>
        <v>16</v>
      </c>
      <c r="Y2" s="2714">
        <f>'Timing &amp; Flags'!Y2</f>
        <v>17</v>
      </c>
      <c r="Z2" s="2714">
        <f>'Timing &amp; Flags'!Z2</f>
        <v>18</v>
      </c>
      <c r="AA2" s="2714">
        <f>'Timing &amp; Flags'!AA2</f>
        <v>19</v>
      </c>
      <c r="AB2" s="2714">
        <f>'Timing &amp; Flags'!AB2</f>
        <v>20</v>
      </c>
      <c r="AC2" s="2714">
        <f>'Timing &amp; Flags'!AC2</f>
        <v>21</v>
      </c>
      <c r="AD2" s="2714">
        <f>'Timing &amp; Flags'!AD2</f>
        <v>22</v>
      </c>
      <c r="AE2" s="2714">
        <f>'Timing &amp; Flags'!AE2</f>
        <v>23</v>
      </c>
      <c r="AF2" s="2714">
        <f>'Timing &amp; Flags'!AF2</f>
        <v>24</v>
      </c>
      <c r="AG2" s="2714">
        <f>'Timing &amp; Flags'!AG2</f>
        <v>25</v>
      </c>
      <c r="AH2" s="2714">
        <f>'Timing &amp; Flags'!AH2</f>
        <v>26</v>
      </c>
      <c r="AI2" s="2714">
        <f>'Timing &amp; Flags'!AI2</f>
        <v>27</v>
      </c>
      <c r="AJ2" s="2714">
        <f>'Timing &amp; Flags'!AJ2</f>
        <v>28</v>
      </c>
      <c r="AK2" s="2714">
        <f>'Timing &amp; Flags'!AK2</f>
        <v>29</v>
      </c>
      <c r="AL2" s="2714">
        <f>'Timing &amp; Flags'!AL2</f>
        <v>30</v>
      </c>
      <c r="AM2" s="2714"/>
      <c r="AN2" s="2714"/>
      <c r="AO2" s="2714"/>
      <c r="AP2" s="2714"/>
      <c r="AQ2" s="2714"/>
      <c r="AR2" s="2714"/>
      <c r="AS2" s="2714"/>
      <c r="AT2" s="2714"/>
      <c r="AU2" s="2714"/>
      <c r="AV2" s="2714"/>
      <c r="AW2" s="2714"/>
      <c r="AX2" s="591"/>
      <c r="AY2" s="591"/>
      <c r="AZ2" s="591"/>
      <c r="BA2" s="591"/>
      <c r="BB2" s="591"/>
      <c r="BC2" s="591"/>
      <c r="BD2" s="591"/>
      <c r="BE2" s="591"/>
      <c r="BF2" s="591"/>
      <c r="BG2" s="591"/>
      <c r="BH2" s="591"/>
      <c r="BI2" s="591"/>
      <c r="BJ2" s="591"/>
      <c r="BK2" s="591"/>
      <c r="BL2" s="591"/>
      <c r="BM2" s="591"/>
      <c r="BN2" s="591"/>
      <c r="BO2" s="591"/>
      <c r="BP2" s="591"/>
      <c r="BQ2" s="591"/>
      <c r="BR2" s="591"/>
      <c r="BS2" s="591"/>
      <c r="BT2" s="591"/>
      <c r="BU2" s="591"/>
      <c r="BV2" s="591"/>
      <c r="BW2" s="591"/>
      <c r="BX2" s="591"/>
      <c r="BY2" s="591"/>
      <c r="BZ2" s="591"/>
      <c r="CA2" s="591"/>
      <c r="CB2" s="591"/>
      <c r="CC2" s="591"/>
      <c r="CD2" s="591"/>
      <c r="CE2" s="591"/>
      <c r="CF2" s="591"/>
      <c r="CG2" s="591"/>
      <c r="CH2" s="591"/>
      <c r="CI2" s="591"/>
      <c r="CJ2" s="591"/>
      <c r="CK2" s="591"/>
      <c r="CL2" s="591"/>
      <c r="CM2" s="591"/>
      <c r="CN2" s="591"/>
      <c r="CO2" s="591"/>
      <c r="CP2" s="591"/>
      <c r="CQ2" s="591"/>
    </row>
    <row r="3" spans="1:95" s="2715" customFormat="1" ht="11.25">
      <c r="A3" s="2711" t="s">
        <v>2395</v>
      </c>
      <c r="B3" s="2704"/>
      <c r="C3" s="2711"/>
      <c r="D3" s="2714"/>
      <c r="E3" s="2714"/>
      <c r="F3" s="2714"/>
      <c r="G3" s="2714"/>
      <c r="H3" s="2718" t="s">
        <v>1</v>
      </c>
      <c r="I3" s="2719">
        <f>'Timing &amp; Flags'!I3</f>
        <v>46023</v>
      </c>
      <c r="J3" s="2719">
        <f>'Timing &amp; Flags'!J3</f>
        <v>46388</v>
      </c>
      <c r="K3" s="2719">
        <f>'Timing &amp; Flags'!K3</f>
        <v>46753</v>
      </c>
      <c r="L3" s="2719">
        <f>'Timing &amp; Flags'!L3</f>
        <v>47119</v>
      </c>
      <c r="M3" s="2719">
        <f>'Timing &amp; Flags'!M3</f>
        <v>47484</v>
      </c>
      <c r="N3" s="2719">
        <f>'Timing &amp; Flags'!N3</f>
        <v>47849</v>
      </c>
      <c r="O3" s="2719">
        <f>'Timing &amp; Flags'!O3</f>
        <v>48214</v>
      </c>
      <c r="P3" s="2719">
        <f>'Timing &amp; Flags'!P3</f>
        <v>48580</v>
      </c>
      <c r="Q3" s="2719">
        <f>'Timing &amp; Flags'!Q3</f>
        <v>48945</v>
      </c>
      <c r="R3" s="2719">
        <f>'Timing &amp; Flags'!R3</f>
        <v>49310</v>
      </c>
      <c r="S3" s="2719">
        <f>'Timing &amp; Flags'!S3</f>
        <v>49675</v>
      </c>
      <c r="T3" s="2719">
        <f>'Timing &amp; Flags'!T3</f>
        <v>50041</v>
      </c>
      <c r="U3" s="2719">
        <f>'Timing &amp; Flags'!U3</f>
        <v>50406</v>
      </c>
      <c r="V3" s="2719">
        <f>'Timing &amp; Flags'!V3</f>
        <v>50771</v>
      </c>
      <c r="W3" s="2719">
        <f>'Timing &amp; Flags'!W3</f>
        <v>51136</v>
      </c>
      <c r="X3" s="2719">
        <f>'Timing &amp; Flags'!X3</f>
        <v>51502</v>
      </c>
      <c r="Y3" s="2719">
        <f>'Timing &amp; Flags'!Y3</f>
        <v>51867</v>
      </c>
      <c r="Z3" s="2719">
        <f>'Timing &amp; Flags'!Z3</f>
        <v>52232</v>
      </c>
      <c r="AA3" s="2719">
        <f>'Timing &amp; Flags'!AA3</f>
        <v>52597</v>
      </c>
      <c r="AB3" s="2719">
        <f>'Timing &amp; Flags'!AB3</f>
        <v>52963</v>
      </c>
      <c r="AC3" s="2719">
        <f>'Timing &amp; Flags'!AC3</f>
        <v>53328</v>
      </c>
      <c r="AD3" s="2719">
        <f>'Timing &amp; Flags'!AD3</f>
        <v>53693</v>
      </c>
      <c r="AE3" s="2719">
        <f>'Timing &amp; Flags'!AE3</f>
        <v>54058</v>
      </c>
      <c r="AF3" s="2719">
        <f>'Timing &amp; Flags'!AF3</f>
        <v>54424</v>
      </c>
      <c r="AG3" s="2719">
        <f>'Timing &amp; Flags'!AG3</f>
        <v>54789</v>
      </c>
      <c r="AH3" s="2719">
        <f>'Timing &amp; Flags'!AH3</f>
        <v>55154</v>
      </c>
      <c r="AI3" s="2719">
        <f>'Timing &amp; Flags'!AI3</f>
        <v>55519</v>
      </c>
      <c r="AJ3" s="2719">
        <f>'Timing &amp; Flags'!AJ3</f>
        <v>55885</v>
      </c>
      <c r="AK3" s="2719">
        <f>'Timing &amp; Flags'!AK3</f>
        <v>56250</v>
      </c>
      <c r="AL3" s="2719">
        <f>'Timing &amp; Flags'!AL3</f>
        <v>56615</v>
      </c>
      <c r="AM3" s="2719"/>
      <c r="AN3" s="2719"/>
      <c r="AO3" s="2719"/>
      <c r="AP3" s="2719"/>
      <c r="AQ3" s="2719"/>
      <c r="AR3" s="2719"/>
      <c r="AS3" s="2719"/>
      <c r="AT3" s="2719"/>
      <c r="AU3" s="2719"/>
      <c r="AV3" s="2719"/>
      <c r="AW3" s="2719"/>
      <c r="AX3" s="1050"/>
      <c r="AY3" s="1050"/>
      <c r="AZ3" s="1050"/>
      <c r="BA3" s="1050"/>
      <c r="BB3" s="1050"/>
      <c r="BC3" s="1050"/>
      <c r="BD3" s="1050"/>
      <c r="BE3" s="1050"/>
      <c r="BF3" s="1050"/>
      <c r="BG3" s="1050"/>
      <c r="BH3" s="1050"/>
      <c r="BI3" s="1050"/>
      <c r="BJ3" s="1050"/>
      <c r="BK3" s="1050"/>
      <c r="BL3" s="1050"/>
      <c r="BM3" s="1050"/>
      <c r="BN3" s="1050"/>
      <c r="BO3" s="1050"/>
      <c r="BP3" s="1050"/>
      <c r="BQ3" s="1050"/>
      <c r="BR3" s="591"/>
      <c r="BS3" s="591"/>
      <c r="BT3" s="591"/>
      <c r="BU3" s="591"/>
      <c r="BV3" s="591"/>
      <c r="BW3" s="591"/>
      <c r="BX3" s="591"/>
      <c r="BY3" s="591"/>
      <c r="BZ3" s="591"/>
      <c r="CA3" s="591"/>
      <c r="CB3" s="591"/>
      <c r="CC3" s="591"/>
      <c r="CD3" s="591"/>
      <c r="CE3" s="591"/>
      <c r="CF3" s="591"/>
      <c r="CG3" s="591"/>
      <c r="CH3" s="591"/>
      <c r="CI3" s="591"/>
      <c r="CJ3" s="591"/>
      <c r="CK3" s="591"/>
      <c r="CL3" s="591"/>
      <c r="CM3" s="591"/>
      <c r="CN3" s="591"/>
      <c r="CO3" s="591"/>
      <c r="CP3" s="591"/>
      <c r="CQ3" s="591"/>
    </row>
    <row r="4" spans="1:95" s="2716" customFormat="1" ht="11.25">
      <c r="A4" s="2704" t="s">
        <v>849</v>
      </c>
      <c r="B4" s="2704"/>
      <c r="C4" s="2704"/>
      <c r="D4" s="2720"/>
      <c r="E4" s="2720"/>
      <c r="F4" s="2720"/>
      <c r="G4" s="2720"/>
      <c r="H4" s="2721" t="s">
        <v>2</v>
      </c>
      <c r="I4" s="2722">
        <f>'Timing &amp; Flags'!I4</f>
        <v>46387</v>
      </c>
      <c r="J4" s="2722">
        <f>'Timing &amp; Flags'!J4</f>
        <v>46752</v>
      </c>
      <c r="K4" s="2722">
        <f>'Timing &amp; Flags'!K4</f>
        <v>47118</v>
      </c>
      <c r="L4" s="2722">
        <f>'Timing &amp; Flags'!L4</f>
        <v>47483</v>
      </c>
      <c r="M4" s="2722">
        <f>'Timing &amp; Flags'!M4</f>
        <v>47848</v>
      </c>
      <c r="N4" s="2722">
        <f>'Timing &amp; Flags'!N4</f>
        <v>48213</v>
      </c>
      <c r="O4" s="2722">
        <f>'Timing &amp; Flags'!O4</f>
        <v>48579</v>
      </c>
      <c r="P4" s="2722">
        <f>'Timing &amp; Flags'!P4</f>
        <v>48944</v>
      </c>
      <c r="Q4" s="2722">
        <f>'Timing &amp; Flags'!Q4</f>
        <v>49309</v>
      </c>
      <c r="R4" s="2722">
        <f>'Timing &amp; Flags'!R4</f>
        <v>49674</v>
      </c>
      <c r="S4" s="2722">
        <f>'Timing &amp; Flags'!S4</f>
        <v>50040</v>
      </c>
      <c r="T4" s="2722">
        <f>'Timing &amp; Flags'!T4</f>
        <v>50405</v>
      </c>
      <c r="U4" s="2722">
        <f>'Timing &amp; Flags'!U4</f>
        <v>50770</v>
      </c>
      <c r="V4" s="2722">
        <f>'Timing &amp; Flags'!V4</f>
        <v>51135</v>
      </c>
      <c r="W4" s="2722">
        <f>'Timing &amp; Flags'!W4</f>
        <v>51501</v>
      </c>
      <c r="X4" s="2722">
        <f>'Timing &amp; Flags'!X4</f>
        <v>51866</v>
      </c>
      <c r="Y4" s="2722">
        <f>'Timing &amp; Flags'!Y4</f>
        <v>52231</v>
      </c>
      <c r="Z4" s="2722">
        <f>'Timing &amp; Flags'!Z4</f>
        <v>52596</v>
      </c>
      <c r="AA4" s="2722">
        <f>'Timing &amp; Flags'!AA4</f>
        <v>52962</v>
      </c>
      <c r="AB4" s="2722">
        <f>'Timing &amp; Flags'!AB4</f>
        <v>53327</v>
      </c>
      <c r="AC4" s="2722">
        <f>'Timing &amp; Flags'!AC4</f>
        <v>53692</v>
      </c>
      <c r="AD4" s="2722">
        <f>'Timing &amp; Flags'!AD4</f>
        <v>54057</v>
      </c>
      <c r="AE4" s="2722">
        <f>'Timing &amp; Flags'!AE4</f>
        <v>54423</v>
      </c>
      <c r="AF4" s="2722">
        <f>'Timing &amp; Flags'!AF4</f>
        <v>54788</v>
      </c>
      <c r="AG4" s="2722">
        <f>'Timing &amp; Flags'!AG4</f>
        <v>55153</v>
      </c>
      <c r="AH4" s="2722">
        <f>'Timing &amp; Flags'!AH4</f>
        <v>55518</v>
      </c>
      <c r="AI4" s="2722">
        <f>'Timing &amp; Flags'!AI4</f>
        <v>55884</v>
      </c>
      <c r="AJ4" s="2722">
        <f>'Timing &amp; Flags'!AJ4</f>
        <v>56249</v>
      </c>
      <c r="AK4" s="2722">
        <f>'Timing &amp; Flags'!AK4</f>
        <v>56614</v>
      </c>
      <c r="AL4" s="2722">
        <f>'Timing &amp; Flags'!AL4</f>
        <v>56979</v>
      </c>
      <c r="AM4" s="2722"/>
      <c r="AN4" s="2722"/>
      <c r="AO4" s="2722"/>
      <c r="AP4" s="2722"/>
      <c r="AQ4" s="2722"/>
      <c r="AR4" s="2722"/>
      <c r="AS4" s="2722"/>
      <c r="AT4" s="2722"/>
      <c r="AU4" s="2722"/>
      <c r="AV4" s="2722"/>
      <c r="AW4" s="2722"/>
      <c r="AX4" s="1051"/>
      <c r="AY4" s="1051"/>
      <c r="AZ4" s="1051"/>
      <c r="BA4" s="1051"/>
      <c r="BB4" s="1051"/>
      <c r="BC4" s="1051"/>
      <c r="BD4" s="1051"/>
      <c r="BE4" s="1051"/>
      <c r="BF4" s="1051"/>
      <c r="BG4" s="1051"/>
      <c r="BH4" s="1051"/>
      <c r="BI4" s="1051"/>
      <c r="BJ4" s="1051"/>
      <c r="BK4" s="1051"/>
      <c r="BL4" s="1051"/>
      <c r="BM4" s="1051"/>
      <c r="BN4" s="1051"/>
      <c r="BO4" s="1051"/>
      <c r="BP4" s="1051"/>
      <c r="BQ4" s="1051"/>
      <c r="BR4" s="2731"/>
      <c r="BS4" s="2731"/>
      <c r="BT4" s="2731"/>
      <c r="BU4" s="2731"/>
      <c r="BV4" s="2731"/>
      <c r="BW4" s="2731"/>
      <c r="BX4" s="2731"/>
      <c r="BY4" s="2731"/>
      <c r="BZ4" s="2731"/>
      <c r="CA4" s="2731"/>
      <c r="CB4" s="2731"/>
      <c r="CC4" s="2731"/>
      <c r="CD4" s="2731"/>
      <c r="CE4" s="2731"/>
      <c r="CF4" s="2731"/>
      <c r="CG4" s="2731"/>
      <c r="CH4" s="2731"/>
      <c r="CI4" s="2731"/>
      <c r="CJ4" s="2731"/>
      <c r="CK4" s="2731"/>
      <c r="CL4" s="2731"/>
      <c r="CM4" s="2731"/>
      <c r="CN4" s="2731"/>
      <c r="CO4" s="2731"/>
      <c r="CP4" s="2731"/>
      <c r="CQ4" s="2731"/>
    </row>
    <row r="5" spans="1:95" s="2717" customFormat="1" ht="11.25">
      <c r="A5" s="2704" t="s">
        <v>640</v>
      </c>
      <c r="B5" s="2704"/>
      <c r="C5" s="2704"/>
      <c r="D5" s="2723"/>
      <c r="E5" s="2723"/>
      <c r="F5" s="2723"/>
      <c r="G5" s="2723"/>
      <c r="H5" s="2724" t="s">
        <v>3</v>
      </c>
      <c r="I5" s="2723">
        <f ca="1">'Timing &amp; Flags'!I5</f>
        <v>365</v>
      </c>
      <c r="J5" s="2723">
        <f ca="1">'Timing &amp; Flags'!J5</f>
        <v>366</v>
      </c>
      <c r="K5" s="2723">
        <f ca="1">'Timing &amp; Flags'!K5</f>
        <v>365</v>
      </c>
      <c r="L5" s="2723">
        <f ca="1">'Timing &amp; Flags'!L5</f>
        <v>365</v>
      </c>
      <c r="M5" s="2723">
        <f ca="1">'Timing &amp; Flags'!M5</f>
        <v>365</v>
      </c>
      <c r="N5" s="2723">
        <f ca="1">'Timing &amp; Flags'!N5</f>
        <v>366</v>
      </c>
      <c r="O5" s="2723">
        <f ca="1">'Timing &amp; Flags'!O5</f>
        <v>365</v>
      </c>
      <c r="P5" s="2723">
        <f ca="1">'Timing &amp; Flags'!P5</f>
        <v>365</v>
      </c>
      <c r="Q5" s="2723">
        <f ca="1">'Timing &amp; Flags'!Q5</f>
        <v>365</v>
      </c>
      <c r="R5" s="2723">
        <f ca="1">'Timing &amp; Flags'!R5</f>
        <v>366</v>
      </c>
      <c r="S5" s="2723">
        <f ca="1">'Timing &amp; Flags'!S5</f>
        <v>365</v>
      </c>
      <c r="T5" s="2723">
        <f ca="1">'Timing &amp; Flags'!T5</f>
        <v>365</v>
      </c>
      <c r="U5" s="2723">
        <f ca="1">'Timing &amp; Flags'!U5</f>
        <v>365</v>
      </c>
      <c r="V5" s="2723">
        <f ca="1">'Timing &amp; Flags'!V5</f>
        <v>366</v>
      </c>
      <c r="W5" s="2723">
        <f ca="1">'Timing &amp; Flags'!W5</f>
        <v>365</v>
      </c>
      <c r="X5" s="2723">
        <f ca="1">'Timing &amp; Flags'!X5</f>
        <v>365</v>
      </c>
      <c r="Y5" s="2723">
        <f ca="1">'Timing &amp; Flags'!Y5</f>
        <v>365</v>
      </c>
      <c r="Z5" s="2723">
        <f ca="1">'Timing &amp; Flags'!Z5</f>
        <v>366</v>
      </c>
      <c r="AA5" s="2723">
        <f ca="1">'Timing &amp; Flags'!AA5</f>
        <v>365</v>
      </c>
      <c r="AB5" s="2723">
        <f ca="1">'Timing &amp; Flags'!AB5</f>
        <v>365</v>
      </c>
      <c r="AC5" s="2723">
        <f ca="1">'Timing &amp; Flags'!AC5</f>
        <v>365</v>
      </c>
      <c r="AD5" s="2723">
        <f ca="1">'Timing &amp; Flags'!AD5</f>
        <v>366</v>
      </c>
      <c r="AE5" s="2723">
        <f ca="1">'Timing &amp; Flags'!AE5</f>
        <v>365</v>
      </c>
      <c r="AF5" s="2723">
        <f ca="1">'Timing &amp; Flags'!AF5</f>
        <v>365</v>
      </c>
      <c r="AG5" s="2723">
        <f ca="1">'Timing &amp; Flags'!AG5</f>
        <v>365</v>
      </c>
      <c r="AH5" s="2723">
        <f ca="1">'Timing &amp; Flags'!AH5</f>
        <v>366</v>
      </c>
      <c r="AI5" s="2723">
        <f ca="1">'Timing &amp; Flags'!AI5</f>
        <v>365</v>
      </c>
      <c r="AJ5" s="2723">
        <f ca="1">'Timing &amp; Flags'!AJ5</f>
        <v>365</v>
      </c>
      <c r="AK5" s="2723">
        <f ca="1">'Timing &amp; Flags'!AK5</f>
        <v>365</v>
      </c>
      <c r="AL5" s="2723">
        <f ca="1">'Timing &amp; Flags'!AL5</f>
        <v>365</v>
      </c>
      <c r="AM5" s="2723"/>
      <c r="AN5" s="2723"/>
      <c r="AO5" s="2723"/>
      <c r="AP5" s="2723"/>
      <c r="AQ5" s="2723"/>
      <c r="AR5" s="2723"/>
      <c r="AS5" s="2723"/>
      <c r="AT5" s="2723"/>
      <c r="AU5" s="2723"/>
      <c r="AV5" s="2723"/>
      <c r="AW5" s="2723"/>
      <c r="AX5" s="1052"/>
      <c r="AY5" s="1052"/>
      <c r="AZ5" s="1052"/>
      <c r="BA5" s="1052"/>
      <c r="BB5" s="1052"/>
      <c r="BC5" s="1052"/>
      <c r="BD5" s="1052"/>
      <c r="BE5" s="1052"/>
      <c r="BF5" s="1052"/>
      <c r="BG5" s="1052"/>
      <c r="BH5" s="1052"/>
      <c r="BI5" s="1052"/>
      <c r="BJ5" s="1052"/>
      <c r="BK5" s="1052"/>
      <c r="BL5" s="1052"/>
      <c r="BM5" s="1052"/>
      <c r="BN5" s="1052"/>
      <c r="BO5" s="1052"/>
      <c r="BP5" s="1052"/>
      <c r="BQ5" s="1052"/>
      <c r="BR5" s="1052"/>
      <c r="BS5" s="1052"/>
      <c r="BT5" s="1052"/>
      <c r="BU5" s="1052"/>
      <c r="BV5" s="1052"/>
      <c r="BW5" s="1052"/>
      <c r="BX5" s="1052"/>
      <c r="BY5" s="1052"/>
      <c r="BZ5" s="1052"/>
      <c r="CA5" s="1052"/>
      <c r="CB5" s="1052"/>
      <c r="CC5" s="1052"/>
      <c r="CD5" s="1052"/>
      <c r="CE5" s="1052"/>
      <c r="CF5" s="1052"/>
      <c r="CG5" s="1052"/>
      <c r="CH5" s="1052"/>
      <c r="CI5" s="1052"/>
      <c r="CJ5" s="1052"/>
      <c r="CK5" s="1052"/>
      <c r="CL5" s="1052"/>
      <c r="CM5" s="1052"/>
      <c r="CN5" s="1052"/>
      <c r="CO5" s="1052"/>
      <c r="CP5" s="1052"/>
      <c r="CQ5" s="1052"/>
    </row>
    <row r="7" spans="1:95" s="387" customFormat="1">
      <c r="A7" s="386" t="s">
        <v>5</v>
      </c>
      <c r="B7" s="386"/>
      <c r="C7" s="386"/>
      <c r="D7" s="386"/>
      <c r="E7" s="386"/>
      <c r="F7" s="386"/>
      <c r="G7" s="386"/>
      <c r="H7" s="386"/>
      <c r="I7" s="386"/>
      <c r="J7" s="386"/>
      <c r="K7" s="386"/>
      <c r="L7" s="386"/>
      <c r="M7" s="386"/>
      <c r="N7" s="386"/>
      <c r="O7" s="386"/>
      <c r="P7" s="386"/>
      <c r="Q7" s="386"/>
      <c r="R7" s="386"/>
      <c r="S7" s="386"/>
      <c r="T7" s="386"/>
      <c r="U7" s="386"/>
      <c r="V7" s="386"/>
      <c r="W7" s="386"/>
      <c r="X7" s="386"/>
      <c r="Y7" s="386"/>
      <c r="Z7" s="386"/>
      <c r="AA7" s="386"/>
      <c r="AB7" s="386"/>
      <c r="AC7" s="386"/>
      <c r="AD7" s="386"/>
      <c r="AE7" s="386"/>
      <c r="AF7" s="386"/>
      <c r="AG7" s="386"/>
      <c r="AH7" s="386"/>
      <c r="AI7" s="386"/>
      <c r="AX7" s="590"/>
      <c r="AY7" s="590"/>
      <c r="AZ7" s="590"/>
      <c r="BA7" s="590"/>
      <c r="BB7" s="590"/>
      <c r="BC7" s="590"/>
      <c r="BD7" s="590"/>
      <c r="BE7" s="590"/>
      <c r="BF7" s="590"/>
      <c r="BG7" s="590"/>
      <c r="BH7" s="590"/>
      <c r="BI7" s="590"/>
      <c r="BJ7" s="590"/>
      <c r="BK7" s="590"/>
      <c r="BL7" s="590"/>
      <c r="BM7" s="590"/>
      <c r="BN7" s="590"/>
      <c r="BO7" s="590"/>
      <c r="BP7" s="590"/>
      <c r="BQ7" s="590"/>
      <c r="BR7" s="590"/>
      <c r="BS7" s="590"/>
      <c r="BT7" s="590"/>
      <c r="BU7" s="590"/>
      <c r="BV7" s="590"/>
      <c r="BW7" s="590"/>
      <c r="BX7" s="590"/>
      <c r="BY7" s="590"/>
      <c r="BZ7" s="590"/>
      <c r="CA7" s="590"/>
      <c r="CB7" s="590"/>
      <c r="CC7" s="590"/>
      <c r="CD7" s="590"/>
      <c r="CE7" s="590"/>
      <c r="CF7" s="590"/>
      <c r="CG7" s="590"/>
      <c r="CH7" s="590"/>
      <c r="CI7" s="590"/>
      <c r="CJ7" s="590"/>
      <c r="CK7" s="590"/>
      <c r="CL7" s="590"/>
      <c r="CM7" s="590"/>
      <c r="CN7" s="590"/>
      <c r="CO7" s="590"/>
      <c r="CP7" s="590"/>
      <c r="CQ7" s="590"/>
    </row>
    <row r="8" spans="1:95" ht="10.9" customHeight="1"/>
    <row r="9" spans="1:95">
      <c r="B9" s="3" t="s">
        <v>6</v>
      </c>
      <c r="E9" s="15"/>
      <c r="F9" s="164">
        <v>1</v>
      </c>
    </row>
    <row r="10" spans="1:95">
      <c r="B10" s="3" t="s">
        <v>7</v>
      </c>
      <c r="E10" s="15" t="s">
        <v>17</v>
      </c>
      <c r="F10" s="143">
        <f>Fx_Rate</f>
        <v>1400</v>
      </c>
    </row>
    <row r="11" spans="1:95">
      <c r="B11" s="3" t="s">
        <v>8</v>
      </c>
      <c r="E11" s="15"/>
      <c r="F11" s="143">
        <v>1E-3</v>
      </c>
    </row>
    <row r="12" spans="1:95">
      <c r="B12" s="3" t="s">
        <v>9</v>
      </c>
      <c r="E12" s="15" t="s">
        <v>18</v>
      </c>
      <c r="F12" s="106">
        <v>0.1</v>
      </c>
    </row>
    <row r="13" spans="1:95">
      <c r="B13" s="3"/>
    </row>
    <row r="14" spans="1:95">
      <c r="B14" s="4" t="s">
        <v>10</v>
      </c>
    </row>
    <row r="15" spans="1:95">
      <c r="B15" s="3" t="s">
        <v>11</v>
      </c>
      <c r="E15" s="15" t="s">
        <v>19</v>
      </c>
      <c r="F15" s="49">
        <f>DaysInYr</f>
        <v>365</v>
      </c>
    </row>
    <row r="16" spans="1:95">
      <c r="B16" s="3" t="s">
        <v>12</v>
      </c>
      <c r="E16" s="15" t="s">
        <v>20</v>
      </c>
      <c r="F16" s="49">
        <f>MnthsInQtr</f>
        <v>12</v>
      </c>
    </row>
    <row r="17" spans="2:6">
      <c r="B17" s="3" t="s">
        <v>13</v>
      </c>
      <c r="E17" s="15" t="s">
        <v>21</v>
      </c>
      <c r="F17" s="49">
        <v>24</v>
      </c>
    </row>
    <row r="18" spans="2:6">
      <c r="B18" s="5" t="s">
        <v>14</v>
      </c>
      <c r="E18" s="15" t="s">
        <v>21</v>
      </c>
      <c r="F18" s="49">
        <f>Hours_day*Days_Year</f>
        <v>8760</v>
      </c>
    </row>
    <row r="19" spans="2:6">
      <c r="B19" s="5" t="s">
        <v>15</v>
      </c>
      <c r="E19" s="15" t="s">
        <v>21</v>
      </c>
      <c r="F19" s="49">
        <f>Hours_day*30</f>
        <v>720</v>
      </c>
    </row>
    <row r="21" spans="2:6">
      <c r="B21" s="8" t="s">
        <v>116</v>
      </c>
      <c r="E21" s="15"/>
    </row>
    <row r="22" spans="2:6">
      <c r="B22" s="5" t="s">
        <v>111</v>
      </c>
      <c r="E22" s="15" t="s">
        <v>18</v>
      </c>
      <c r="F22" s="17">
        <f>'Assumption '!J131</f>
        <v>0.95</v>
      </c>
    </row>
    <row r="23" spans="2:6">
      <c r="B23" s="3" t="s">
        <v>112</v>
      </c>
      <c r="E23" s="15" t="s">
        <v>18</v>
      </c>
      <c r="F23" s="17">
        <f>'Assumption '!J131</f>
        <v>0.95</v>
      </c>
    </row>
    <row r="24" spans="2:6">
      <c r="B24" s="3" t="s">
        <v>113</v>
      </c>
      <c r="E24" s="15" t="s">
        <v>18</v>
      </c>
      <c r="F24" s="17">
        <f>'Assumption '!J130</f>
        <v>0.65</v>
      </c>
    </row>
    <row r="25" spans="2:6">
      <c r="B25" s="3"/>
      <c r="E25" s="15"/>
      <c r="F25" s="17"/>
    </row>
    <row r="26" spans="2:6" ht="12.75">
      <c r="B26" s="3" t="s">
        <v>1806</v>
      </c>
      <c r="E26" s="15" t="s">
        <v>853</v>
      </c>
      <c r="F26" s="2234">
        <f>'Assumption '!J73*1000000</f>
        <v>1500000</v>
      </c>
    </row>
    <row r="27" spans="2:6" ht="11.25">
      <c r="B27" s="3" t="s">
        <v>1807</v>
      </c>
      <c r="E27" s="15" t="s">
        <v>853</v>
      </c>
      <c r="F27" s="2235">
        <f>'Assumption '!J74*1000000</f>
        <v>1000000</v>
      </c>
    </row>
    <row r="28" spans="2:6" ht="11.25" hidden="1">
      <c r="B28" s="3" t="s">
        <v>1808</v>
      </c>
      <c r="E28" s="15" t="s">
        <v>853</v>
      </c>
      <c r="F28" s="2235">
        <f>'Assumption '!J75*1000000</f>
        <v>0</v>
      </c>
    </row>
    <row r="29" spans="2:6" ht="11.25" hidden="1">
      <c r="B29" s="3" t="s">
        <v>2111</v>
      </c>
      <c r="E29" s="15" t="s">
        <v>853</v>
      </c>
      <c r="F29" s="2236">
        <f>'Assumption '!J76*1000000</f>
        <v>0</v>
      </c>
    </row>
    <row r="30" spans="2:6" ht="12.75">
      <c r="B30" s="3" t="s">
        <v>1809</v>
      </c>
      <c r="E30" s="15" t="s">
        <v>853</v>
      </c>
      <c r="F30" s="2234">
        <f>'Assumption '!J77*1000000</f>
        <v>1000000</v>
      </c>
    </row>
    <row r="31" spans="2:6" ht="11.25">
      <c r="B31" s="3" t="s">
        <v>114</v>
      </c>
      <c r="E31" s="15" t="s">
        <v>854</v>
      </c>
      <c r="F31" s="2235">
        <f>Cap_Phase1+Cap_Phase2+F28+F30+F29</f>
        <v>3500000</v>
      </c>
    </row>
    <row r="32" spans="2:6">
      <c r="B32" s="3"/>
      <c r="E32" s="15"/>
      <c r="F32" s="17"/>
    </row>
    <row r="33" spans="1:49">
      <c r="B33" s="8" t="s">
        <v>22</v>
      </c>
    </row>
    <row r="34" spans="1:49">
      <c r="B34" s="5" t="s">
        <v>23</v>
      </c>
      <c r="E34" s="15" t="s">
        <v>41</v>
      </c>
      <c r="F34" s="142">
        <v>46023</v>
      </c>
    </row>
    <row r="35" spans="1:49">
      <c r="B35" s="5" t="s">
        <v>24</v>
      </c>
      <c r="E35" s="15" t="s">
        <v>42</v>
      </c>
      <c r="F35" s="143">
        <v>12</v>
      </c>
    </row>
    <row r="36" spans="1:49">
      <c r="B36" s="5" t="s">
        <v>25</v>
      </c>
      <c r="E36" s="15" t="s">
        <v>43</v>
      </c>
      <c r="F36" s="143">
        <v>30</v>
      </c>
    </row>
    <row r="37" spans="1:49">
      <c r="B37" s="5"/>
    </row>
    <row r="38" spans="1:49">
      <c r="B38" s="8" t="s">
        <v>26</v>
      </c>
    </row>
    <row r="39" spans="1:49">
      <c r="B39" s="5" t="s">
        <v>27</v>
      </c>
      <c r="E39" s="15" t="s">
        <v>18</v>
      </c>
      <c r="F39" s="17">
        <v>0.25</v>
      </c>
    </row>
    <row r="40" spans="1:49">
      <c r="B40" s="5" t="s">
        <v>28</v>
      </c>
      <c r="E40" s="15" t="s">
        <v>18</v>
      </c>
      <c r="F40" s="250">
        <v>0.15</v>
      </c>
    </row>
    <row r="41" spans="1:49">
      <c r="B41" s="3" t="s">
        <v>29</v>
      </c>
      <c r="E41" s="15"/>
      <c r="F41" s="250">
        <v>0.03</v>
      </c>
    </row>
    <row r="42" spans="1:49">
      <c r="B42" s="5"/>
      <c r="E42" s="15"/>
    </row>
    <row r="43" spans="1:49">
      <c r="A43" s="6" t="s">
        <v>30</v>
      </c>
      <c r="B43" s="9"/>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5" spans="1:49">
      <c r="B45" s="10" t="s">
        <v>31</v>
      </c>
    </row>
    <row r="46" spans="1:49">
      <c r="B46" s="2" t="s">
        <v>32</v>
      </c>
      <c r="E46" s="15" t="s">
        <v>41</v>
      </c>
      <c r="F46" s="18">
        <v>46023</v>
      </c>
    </row>
    <row r="47" spans="1:49">
      <c r="B47" s="2" t="s">
        <v>33</v>
      </c>
      <c r="E47" s="15" t="s">
        <v>20</v>
      </c>
      <c r="F47" s="16">
        <f>36</f>
        <v>36</v>
      </c>
    </row>
    <row r="48" spans="1:49">
      <c r="B48" s="2" t="s">
        <v>34</v>
      </c>
      <c r="E48" s="15" t="s">
        <v>41</v>
      </c>
      <c r="F48" s="18">
        <f>EDATE(Const_start,Const_duration)-1</f>
        <v>47118</v>
      </c>
    </row>
    <row r="49" spans="1:49">
      <c r="E49" s="15"/>
    </row>
    <row r="50" spans="1:49">
      <c r="B50" s="10" t="s">
        <v>35</v>
      </c>
      <c r="E50" s="15"/>
    </row>
    <row r="51" spans="1:49">
      <c r="B51" s="2" t="s">
        <v>1816</v>
      </c>
      <c r="E51" s="15"/>
      <c r="F51" s="18">
        <f>EDATE(Const_start,24)</f>
        <v>46753</v>
      </c>
    </row>
    <row r="52" spans="1:49">
      <c r="B52" s="5" t="s">
        <v>33</v>
      </c>
      <c r="E52" s="15"/>
      <c r="F52" s="16">
        <v>28</v>
      </c>
    </row>
    <row r="53" spans="1:49" ht="15" customHeight="1">
      <c r="B53" s="5" t="s">
        <v>36</v>
      </c>
      <c r="E53" s="15"/>
      <c r="F53" s="18">
        <f>EDATE(F51,F52*Months_year)-1</f>
        <v>56979</v>
      </c>
    </row>
    <row r="54" spans="1:49">
      <c r="B54" s="10"/>
      <c r="E54" s="15"/>
    </row>
    <row r="55" spans="1:49">
      <c r="B55" s="2" t="s">
        <v>1817</v>
      </c>
      <c r="E55" s="15" t="s">
        <v>41</v>
      </c>
      <c r="F55" s="18">
        <f>Const_end+1</f>
        <v>47119</v>
      </c>
    </row>
    <row r="56" spans="1:49">
      <c r="B56" s="5" t="s">
        <v>33</v>
      </c>
      <c r="E56" s="15" t="s">
        <v>45</v>
      </c>
      <c r="F56" s="16">
        <v>27</v>
      </c>
    </row>
    <row r="57" spans="1:49">
      <c r="B57" s="5" t="s">
        <v>36</v>
      </c>
      <c r="E57" s="15" t="s">
        <v>41</v>
      </c>
      <c r="F57" s="18">
        <f>EDATE(Ops_start,Ops_duration*Months_year)-1</f>
        <v>56979</v>
      </c>
    </row>
    <row r="58" spans="1:49">
      <c r="E58" s="15"/>
    </row>
    <row r="59" spans="1:49">
      <c r="A59" s="6" t="s">
        <v>37</v>
      </c>
      <c r="B59" s="9"/>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1" spans="1:49">
      <c r="B61" s="2" t="s">
        <v>260</v>
      </c>
      <c r="E61" s="15" t="s">
        <v>18</v>
      </c>
      <c r="F61" s="165">
        <v>0.28000000000000003</v>
      </c>
      <c r="I61" s="136">
        <f>'Assumption '!M34</f>
        <v>0.16020000000000001</v>
      </c>
      <c r="J61" s="136">
        <f>'Assumption '!N34</f>
        <v>0.15380000000000002</v>
      </c>
      <c r="K61" s="136">
        <f>'Assumption '!O34</f>
        <v>0.14000000000000001</v>
      </c>
      <c r="L61" s="136">
        <f>'Assumption '!P34</f>
        <v>0.14000000000000001</v>
      </c>
      <c r="M61" s="136">
        <f>'Assumption '!Q34</f>
        <v>0.12</v>
      </c>
      <c r="N61" s="136">
        <f>'Assumption '!R34</f>
        <v>0.12866648000000003</v>
      </c>
      <c r="O61" s="136">
        <f>'Assumption '!S34</f>
        <v>0.12866648000000003</v>
      </c>
      <c r="P61" s="136">
        <f>'Assumption '!T34</f>
        <v>0.12866648000000003</v>
      </c>
      <c r="Q61" s="136">
        <f>'Assumption '!U34</f>
        <v>0.12866648000000003</v>
      </c>
      <c r="R61" s="136">
        <f>'Assumption '!V34</f>
        <v>0.12866648000000003</v>
      </c>
      <c r="S61" s="136">
        <f>'Assumption '!W34</f>
        <v>0.12866648000000003</v>
      </c>
      <c r="T61" s="136">
        <f>'Assumption '!X34</f>
        <v>0.12866648000000003</v>
      </c>
      <c r="U61" s="136">
        <f>'Assumption '!Y34</f>
        <v>0.12866648000000003</v>
      </c>
      <c r="V61" s="136">
        <f>'Assumption '!Z34</f>
        <v>0.12866648000000003</v>
      </c>
      <c r="W61" s="136">
        <f>'Assumption '!AA34</f>
        <v>0.12866648000000003</v>
      </c>
      <c r="X61" s="136">
        <f>'Assumption '!AB34</f>
        <v>0.12866648000000003</v>
      </c>
      <c r="Y61" s="136">
        <f>'Assumption '!AC34</f>
        <v>0.12866648000000003</v>
      </c>
      <c r="Z61" s="136">
        <f>'Assumption '!AD34</f>
        <v>0.12866648000000003</v>
      </c>
      <c r="AA61" s="136">
        <f>'Assumption '!AE34</f>
        <v>0.12866648000000003</v>
      </c>
      <c r="AB61" s="136">
        <f>'Assumption '!AF34</f>
        <v>0.12866648000000003</v>
      </c>
      <c r="AC61" s="136">
        <f>'Assumption '!AG34</f>
        <v>0.12866648000000003</v>
      </c>
      <c r="AD61" s="136">
        <f>'Assumption '!AH34</f>
        <v>0.12866648000000003</v>
      </c>
      <c r="AE61" s="136">
        <f>'Assumption '!AI34</f>
        <v>0.12866648000000003</v>
      </c>
      <c r="AF61" s="136">
        <f>'Assumption '!AJ34</f>
        <v>0.12866648000000003</v>
      </c>
      <c r="AG61" s="136">
        <f>'Assumption '!AK34</f>
        <v>0.12866648000000003</v>
      </c>
      <c r="AH61" s="136">
        <f>'Assumption '!AL34</f>
        <v>0.12866648000000003</v>
      </c>
      <c r="AI61" s="136">
        <f>'Assumption '!AM34</f>
        <v>0.12866648000000003</v>
      </c>
      <c r="AJ61" s="136">
        <f>'Assumption '!AN34</f>
        <v>0.12866648000000003</v>
      </c>
      <c r="AK61" s="136">
        <f>'Assumption '!AO34</f>
        <v>0.12866648000000003</v>
      </c>
      <c r="AL61" s="136">
        <f>'Assumption '!AP34</f>
        <v>0.12866648000000003</v>
      </c>
      <c r="AM61" s="136"/>
      <c r="AN61" s="136"/>
      <c r="AO61" s="136"/>
      <c r="AP61" s="136"/>
      <c r="AQ61" s="136"/>
      <c r="AR61" s="136"/>
      <c r="AS61" s="136"/>
      <c r="AT61" s="136"/>
      <c r="AU61" s="136"/>
      <c r="AV61" s="136"/>
      <c r="AW61" s="136"/>
    </row>
    <row r="62" spans="1:49">
      <c r="B62" s="2" t="s">
        <v>261</v>
      </c>
      <c r="E62" s="15" t="s">
        <v>18</v>
      </c>
      <c r="F62" s="165">
        <v>4.1000000000000002E-2</v>
      </c>
      <c r="I62" s="145">
        <f>'Assumption '!M38</f>
        <v>2.3E-2</v>
      </c>
      <c r="J62" s="145">
        <f>'Assumption '!N38</f>
        <v>2.3E-2</v>
      </c>
      <c r="K62" s="145">
        <f>'Assumption '!O38</f>
        <v>2.3E-2</v>
      </c>
      <c r="L62" s="145">
        <f>'Assumption '!P38</f>
        <v>2.3E-2</v>
      </c>
      <c r="M62" s="145">
        <f>'Assumption '!Q38</f>
        <v>2.3E-2</v>
      </c>
      <c r="N62" s="145">
        <f>'Assumption '!R38</f>
        <v>2.4E-2</v>
      </c>
      <c r="O62" s="145">
        <f>'Assumption '!S38</f>
        <v>2.4E-2</v>
      </c>
      <c r="P62" s="145">
        <f>'Assumption '!T38</f>
        <v>2.4E-2</v>
      </c>
      <c r="Q62" s="145">
        <f>'Assumption '!U38</f>
        <v>2.4E-2</v>
      </c>
      <c r="R62" s="145">
        <f>'Assumption '!V38</f>
        <v>2.4E-2</v>
      </c>
      <c r="S62" s="145">
        <f>'Assumption '!W38</f>
        <v>2.4E-2</v>
      </c>
      <c r="T62" s="145">
        <f>'Assumption '!X38</f>
        <v>2.4E-2</v>
      </c>
      <c r="U62" s="145">
        <f>'Assumption '!Y38</f>
        <v>2.4E-2</v>
      </c>
      <c r="V62" s="145">
        <f>'Assumption '!Z38</f>
        <v>2.4E-2</v>
      </c>
      <c r="W62" s="145">
        <f>'Assumption '!AA38</f>
        <v>2.4E-2</v>
      </c>
      <c r="X62" s="145">
        <f>'Assumption '!AB38</f>
        <v>2.4E-2</v>
      </c>
      <c r="Y62" s="145">
        <f>'Assumption '!AC38</f>
        <v>2.4E-2</v>
      </c>
      <c r="Z62" s="145">
        <f>'Assumption '!AD38</f>
        <v>2.4E-2</v>
      </c>
      <c r="AA62" s="145">
        <f>'Assumption '!AE38</f>
        <v>2.4E-2</v>
      </c>
      <c r="AB62" s="145">
        <f>'Assumption '!AF38</f>
        <v>2.4E-2</v>
      </c>
      <c r="AC62" s="145">
        <f>'Assumption '!AG38</f>
        <v>2.4E-2</v>
      </c>
      <c r="AD62" s="145">
        <f>'Assumption '!AH38</f>
        <v>2.4E-2</v>
      </c>
      <c r="AE62" s="145">
        <f>'Assumption '!AI38</f>
        <v>2.4E-2</v>
      </c>
      <c r="AF62" s="145">
        <f>'Assumption '!AJ38</f>
        <v>2.4E-2</v>
      </c>
      <c r="AG62" s="145">
        <f>'Assumption '!AK38</f>
        <v>2.4E-2</v>
      </c>
      <c r="AH62" s="145">
        <f>'Assumption '!AL38</f>
        <v>2.4E-2</v>
      </c>
      <c r="AI62" s="145">
        <f>'Assumption '!AM38</f>
        <v>2.4E-2</v>
      </c>
      <c r="AJ62" s="145">
        <f>'Assumption '!AN38</f>
        <v>2.4E-2</v>
      </c>
      <c r="AK62" s="145">
        <f>'Assumption '!AO38</f>
        <v>2.4E-2</v>
      </c>
      <c r="AL62" s="145">
        <f>'Assumption '!AP38</f>
        <v>2.4E-2</v>
      </c>
      <c r="AM62" s="145"/>
      <c r="AN62" s="145"/>
      <c r="AO62" s="145"/>
      <c r="AP62" s="145"/>
      <c r="AQ62" s="145"/>
      <c r="AR62" s="145"/>
      <c r="AS62" s="145"/>
      <c r="AT62" s="145"/>
      <c r="AU62" s="145"/>
      <c r="AV62" s="145"/>
      <c r="AW62" s="145"/>
    </row>
    <row r="63" spans="1:49">
      <c r="B63" s="2" t="s">
        <v>1281</v>
      </c>
      <c r="E63" s="15"/>
      <c r="F63" s="165">
        <v>0.03</v>
      </c>
      <c r="I63" s="145"/>
      <c r="J63" s="145"/>
      <c r="K63" s="145"/>
      <c r="L63" s="145"/>
      <c r="M63" s="145"/>
      <c r="N63" s="145"/>
      <c r="O63" s="145"/>
      <c r="P63" s="145"/>
      <c r="Q63" s="145"/>
      <c r="R63" s="145"/>
      <c r="S63" s="145"/>
      <c r="T63" s="145"/>
      <c r="U63" s="145"/>
      <c r="V63" s="145"/>
      <c r="W63" s="145"/>
      <c r="X63" s="145"/>
      <c r="Y63" s="145"/>
      <c r="Z63" s="145"/>
      <c r="AA63" s="145"/>
      <c r="AB63" s="145"/>
      <c r="AC63" s="145"/>
      <c r="AD63" s="145"/>
      <c r="AE63" s="145"/>
      <c r="AF63" s="145"/>
      <c r="AG63" s="145"/>
      <c r="AH63" s="145"/>
      <c r="AI63" s="145"/>
    </row>
    <row r="64" spans="1:49" ht="12" customHeight="1">
      <c r="B64" s="2" t="s">
        <v>38</v>
      </c>
      <c r="E64" s="15" t="s">
        <v>18</v>
      </c>
      <c r="F64" s="165">
        <v>0.03</v>
      </c>
    </row>
    <row r="65" spans="1:49">
      <c r="B65" s="2" t="s">
        <v>39</v>
      </c>
      <c r="E65" s="15" t="s">
        <v>18</v>
      </c>
      <c r="F65" s="165">
        <v>0.03</v>
      </c>
    </row>
    <row r="66" spans="1:49">
      <c r="E66" s="15"/>
    </row>
    <row r="67" spans="1:49">
      <c r="B67" s="2" t="s">
        <v>2158</v>
      </c>
      <c r="E67" s="15"/>
      <c r="F67" s="2282" t="s">
        <v>2240</v>
      </c>
    </row>
    <row r="68" spans="1:49">
      <c r="A68" s="6" t="s">
        <v>40</v>
      </c>
      <c r="B68" s="9"/>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spans="1:49" ht="11.25" thickBot="1"/>
    <row r="70" spans="1:49" ht="16.899999999999999" customHeight="1">
      <c r="B70" s="1956" t="s">
        <v>959</v>
      </c>
      <c r="C70" s="1961" t="s">
        <v>134</v>
      </c>
      <c r="D70" s="1957"/>
      <c r="E70" s="273" t="s">
        <v>135</v>
      </c>
      <c r="F70" s="274"/>
      <c r="G70" s="51"/>
    </row>
    <row r="71" spans="1:49">
      <c r="B71" s="1907" t="s">
        <v>2033</v>
      </c>
      <c r="C71" s="1962">
        <f>IF('Assumption '!M96="Yes",'Assumption '!J297,0)</f>
        <v>0</v>
      </c>
      <c r="D71" s="1908"/>
      <c r="E71" s="259">
        <f>C71*Exchange_Rate</f>
        <v>0</v>
      </c>
      <c r="F71" s="1906"/>
      <c r="G71" s="51"/>
    </row>
    <row r="72" spans="1:49">
      <c r="B72" s="258" t="s">
        <v>2043</v>
      </c>
      <c r="C72" s="261">
        <f>IF('Assumption '!M96="Yes",'Assumption '!J298,0)</f>
        <v>15955000</v>
      </c>
      <c r="D72" s="260">
        <v>0</v>
      </c>
      <c r="E72" s="259">
        <f>C72*Exchange_Rate</f>
        <v>22337000000</v>
      </c>
      <c r="F72" s="261">
        <f t="shared" ref="E72:F77" si="0">D72*Exchange_Rate</f>
        <v>0</v>
      </c>
      <c r="G72" s="52"/>
    </row>
    <row r="73" spans="1:49">
      <c r="B73" s="258" t="s">
        <v>2034</v>
      </c>
      <c r="C73" s="261">
        <f>IF('Assumption '!M96="Yes",'Assumption '!J299,0)</f>
        <v>869147000</v>
      </c>
      <c r="D73" s="261">
        <v>0</v>
      </c>
      <c r="E73" s="259">
        <f>C73*Exchange_Rate</f>
        <v>1216805800000</v>
      </c>
      <c r="F73" s="261">
        <f t="shared" si="0"/>
        <v>0</v>
      </c>
      <c r="G73" s="53"/>
    </row>
    <row r="74" spans="1:49">
      <c r="B74" s="258" t="s">
        <v>845</v>
      </c>
      <c r="C74" s="261">
        <f>IF('Assumption '!M96="Yes",'Assumption '!J300,0)</f>
        <v>64578918.367346942</v>
      </c>
      <c r="D74" s="261">
        <v>0</v>
      </c>
      <c r="E74" s="259">
        <f t="shared" si="0"/>
        <v>90410485714.285721</v>
      </c>
      <c r="F74" s="261">
        <f t="shared" si="0"/>
        <v>0</v>
      </c>
      <c r="G74" s="53"/>
    </row>
    <row r="75" spans="1:49">
      <c r="B75" s="258" t="s">
        <v>119</v>
      </c>
      <c r="C75" s="261">
        <f>IF('Assumption '!M96="Yes",'Assumption '!J301,0)</f>
        <v>72867200</v>
      </c>
      <c r="D75" s="261">
        <v>0</v>
      </c>
      <c r="E75" s="259">
        <f t="shared" si="0"/>
        <v>102014080000</v>
      </c>
      <c r="F75" s="261">
        <f t="shared" si="0"/>
        <v>0</v>
      </c>
      <c r="G75" s="53"/>
    </row>
    <row r="76" spans="1:49">
      <c r="B76" s="258" t="s">
        <v>122</v>
      </c>
      <c r="C76" s="261">
        <f>IF('Assumption '!M96="yes",'Assumption '!J302,0)</f>
        <v>155271400</v>
      </c>
      <c r="D76" s="261"/>
      <c r="E76" s="259">
        <f t="shared" si="0"/>
        <v>217379960000</v>
      </c>
      <c r="F76" s="261">
        <f t="shared" si="0"/>
        <v>0</v>
      </c>
      <c r="G76" s="53"/>
      <c r="K76" s="5"/>
    </row>
    <row r="77" spans="1:49">
      <c r="B77" s="258" t="s">
        <v>120</v>
      </c>
      <c r="C77" s="262">
        <f>IF('Assumption '!M96="Yes",'Assumption '!J303,0)</f>
        <v>90552000</v>
      </c>
      <c r="D77" s="262"/>
      <c r="E77" s="56">
        <f t="shared" si="0"/>
        <v>126772800000</v>
      </c>
      <c r="F77" s="262">
        <f t="shared" si="0"/>
        <v>0</v>
      </c>
      <c r="G77" s="53"/>
    </row>
    <row r="78" spans="1:49">
      <c r="B78" s="263" t="s">
        <v>121</v>
      </c>
      <c r="C78" s="265">
        <f>SUM(C71:C77)</f>
        <v>1268371518.367347</v>
      </c>
      <c r="D78" s="265">
        <f>SUM(D72:D77)</f>
        <v>0</v>
      </c>
      <c r="E78" s="54">
        <f>SUM(E71:E77)</f>
        <v>1775720125714.2856</v>
      </c>
      <c r="F78" s="275">
        <f>SUM(F72:F77)</f>
        <v>0</v>
      </c>
      <c r="G78" s="54"/>
    </row>
    <row r="79" spans="1:49">
      <c r="B79" s="258" t="s">
        <v>9</v>
      </c>
      <c r="C79" s="266">
        <f>IF('Assumption '!M96="yes",'Assumption '!J304,0)</f>
        <v>51636500</v>
      </c>
      <c r="D79" s="266">
        <f>SUM(D72:D77)*VAT</f>
        <v>0</v>
      </c>
      <c r="E79" s="42">
        <f>C79*Exchange_Rate</f>
        <v>72291100000</v>
      </c>
      <c r="F79" s="276">
        <f>D79*Exchange_Rate</f>
        <v>0</v>
      </c>
    </row>
    <row r="80" spans="1:49">
      <c r="B80" s="258" t="s">
        <v>123</v>
      </c>
      <c r="C80" s="266">
        <f>IF('Assumption '!M96="yes",'Assumption '!J305,0)</f>
        <v>99000601.377551019</v>
      </c>
      <c r="D80" s="266">
        <f>D78*Contingency_Rate</f>
        <v>0</v>
      </c>
      <c r="E80" s="53">
        <f>C80*Exchange_Rate</f>
        <v>138600841928.57144</v>
      </c>
      <c r="F80" s="277">
        <f>D80*Exchange_Rate</f>
        <v>0</v>
      </c>
    </row>
    <row r="81" spans="2:7">
      <c r="B81" s="258" t="s">
        <v>893</v>
      </c>
      <c r="C81" s="266">
        <f>IF('Assumption '!M96="yes",'Assumption '!J306,0)</f>
        <v>216000000</v>
      </c>
      <c r="D81" s="266"/>
      <c r="E81" s="53">
        <f>C81*Exchange_Rate</f>
        <v>302400000000</v>
      </c>
      <c r="F81" s="277"/>
    </row>
    <row r="82" spans="2:7" ht="11.25" thickBot="1">
      <c r="B82" s="1963" t="s">
        <v>71</v>
      </c>
      <c r="C82" s="1964">
        <f>SUM(C78:C81)</f>
        <v>1635008619.7448981</v>
      </c>
      <c r="D82" s="267">
        <f>SUM(D78:D80)</f>
        <v>0</v>
      </c>
      <c r="E82" s="45">
        <f>SUM(E78:E81)</f>
        <v>2289012067642.8574</v>
      </c>
      <c r="F82" s="278">
        <f>SUM(F78:F80)</f>
        <v>0</v>
      </c>
      <c r="G82" s="45"/>
    </row>
    <row r="83" spans="2:7">
      <c r="B83" s="1958" t="s">
        <v>658</v>
      </c>
      <c r="C83" s="1959"/>
      <c r="D83" s="1960">
        <f>SUM(C82:D82)</f>
        <v>1635008619.7448981</v>
      </c>
      <c r="E83" s="29"/>
      <c r="F83" s="279"/>
      <c r="G83" s="55"/>
    </row>
    <row r="84" spans="2:7" ht="11.25" thickBot="1">
      <c r="B84" s="1560"/>
      <c r="C84" s="271"/>
      <c r="D84" s="272"/>
      <c r="E84" s="270" t="s">
        <v>659</v>
      </c>
      <c r="F84" s="2436">
        <f>SUM(E82:F82)</f>
        <v>2289012067642.8574</v>
      </c>
    </row>
    <row r="85" spans="2:7" ht="11.25" thickBot="1">
      <c r="C85" s="489"/>
      <c r="D85" s="489"/>
      <c r="E85" s="489"/>
    </row>
    <row r="86" spans="2:7" ht="11.25" thickBot="1">
      <c r="B86" s="1956" t="s">
        <v>960</v>
      </c>
      <c r="C86" s="1961" t="s">
        <v>134</v>
      </c>
      <c r="D86" s="1957"/>
      <c r="E86" s="569"/>
      <c r="F86" s="570"/>
    </row>
    <row r="87" spans="2:7" ht="13.15" customHeight="1">
      <c r="B87" s="258" t="s">
        <v>2031</v>
      </c>
      <c r="C87" s="277">
        <f>IF('Assumption '!J29=1,'Assumption '!J311,0)</f>
        <v>0</v>
      </c>
      <c r="D87" s="489"/>
      <c r="E87" s="571">
        <f t="shared" ref="E87:E93" si="1">C87*Exchange_Rate</f>
        <v>0</v>
      </c>
      <c r="F87" s="568"/>
    </row>
    <row r="88" spans="2:7">
      <c r="B88" s="258" t="s">
        <v>2032</v>
      </c>
      <c r="C88" s="261">
        <f>IF('Assumption '!M97="Yes",'Assumption '!J312,0)</f>
        <v>3209000</v>
      </c>
      <c r="D88" s="260">
        <v>0</v>
      </c>
      <c r="E88" s="571">
        <f t="shared" si="1"/>
        <v>4492600000</v>
      </c>
      <c r="F88" s="572">
        <f t="shared" ref="F88:F93" si="2">D88*Exchange_Rate</f>
        <v>0</v>
      </c>
    </row>
    <row r="89" spans="2:7">
      <c r="B89" s="258" t="s">
        <v>2034</v>
      </c>
      <c r="C89" s="261">
        <f>IF('Assumption '!M97="Yes",'Assumption '!J313,0)</f>
        <v>577117600</v>
      </c>
      <c r="D89" s="261">
        <v>0</v>
      </c>
      <c r="E89" s="571">
        <f t="shared" si="1"/>
        <v>807964640000</v>
      </c>
      <c r="F89" s="572">
        <f t="shared" si="2"/>
        <v>0</v>
      </c>
    </row>
    <row r="90" spans="2:7">
      <c r="B90" s="258" t="s">
        <v>845</v>
      </c>
      <c r="C90" s="261">
        <f>IF('Assumption '!M97="Yes",'Assumption '!J314,0)</f>
        <v>37836312.244897962</v>
      </c>
      <c r="D90" s="261">
        <v>0</v>
      </c>
      <c r="E90" s="571">
        <f t="shared" si="1"/>
        <v>52970837142.857147</v>
      </c>
      <c r="F90" s="572">
        <f t="shared" si="2"/>
        <v>0</v>
      </c>
    </row>
    <row r="91" spans="2:7">
      <c r="B91" s="258" t="s">
        <v>119</v>
      </c>
      <c r="C91" s="261">
        <f>IF('Assumption '!M97="Yes",'Assumption '!J315,0)</f>
        <v>42651000</v>
      </c>
      <c r="D91" s="261">
        <v>0</v>
      </c>
      <c r="E91" s="571">
        <f t="shared" si="1"/>
        <v>59711400000</v>
      </c>
      <c r="F91" s="572">
        <f t="shared" si="2"/>
        <v>0</v>
      </c>
    </row>
    <row r="92" spans="2:7">
      <c r="B92" s="258" t="s">
        <v>122</v>
      </c>
      <c r="C92" s="261">
        <f>IF('Assumption '!M97="Yes",'Assumption '!J316,0)</f>
        <v>78793700</v>
      </c>
      <c r="D92" s="261"/>
      <c r="E92" s="571">
        <f t="shared" si="1"/>
        <v>110311180000</v>
      </c>
      <c r="F92" s="572">
        <f t="shared" si="2"/>
        <v>0</v>
      </c>
    </row>
    <row r="93" spans="2:7">
      <c r="B93" s="258" t="s">
        <v>120</v>
      </c>
      <c r="C93" s="262">
        <f>IF('Assumption '!M97="Yes",'Assumption '!J317,0)</f>
        <v>56815900</v>
      </c>
      <c r="D93" s="262"/>
      <c r="E93" s="574">
        <f t="shared" si="1"/>
        <v>79542260000</v>
      </c>
      <c r="F93" s="575">
        <f t="shared" si="2"/>
        <v>0</v>
      </c>
    </row>
    <row r="94" spans="2:7">
      <c r="B94" s="263" t="s">
        <v>121</v>
      </c>
      <c r="C94" s="265">
        <f>SUM(C87:C93)</f>
        <v>796423512.24489796</v>
      </c>
      <c r="D94" s="265">
        <f>SUM(D88:D93)</f>
        <v>0</v>
      </c>
      <c r="E94" s="571">
        <f>SUM(E87:E93)</f>
        <v>1114992917142.8572</v>
      </c>
      <c r="F94" s="572">
        <f>SUM(F88:F93)</f>
        <v>0</v>
      </c>
    </row>
    <row r="95" spans="2:7">
      <c r="B95" s="258" t="s">
        <v>9</v>
      </c>
      <c r="C95" s="266">
        <f>IF('Assumption '!M97="Yes",'Assumption '!J318,0)</f>
        <v>32667800</v>
      </c>
      <c r="D95" s="266">
        <f>SUM(D88:D93)*VAT</f>
        <v>0</v>
      </c>
      <c r="E95" s="571">
        <f>C95*Exchange_Rate</f>
        <v>45734920000</v>
      </c>
      <c r="F95" s="572">
        <f>D95*Exchange_Rate</f>
        <v>0</v>
      </c>
    </row>
    <row r="96" spans="2:7">
      <c r="B96" s="258" t="s">
        <v>123</v>
      </c>
      <c r="C96" s="266">
        <f>IF('Assumption '!M97="Yes",'Assumption '!J319,0)</f>
        <v>62181848.418367341</v>
      </c>
      <c r="D96" s="266">
        <f>D94*Contingency_Rate</f>
        <v>0</v>
      </c>
      <c r="E96" s="571">
        <f>C96*Exchange_Rate</f>
        <v>87054587785.714279</v>
      </c>
      <c r="F96" s="572">
        <f>D96*Exchange_Rate</f>
        <v>0</v>
      </c>
    </row>
    <row r="97" spans="2:6" ht="11.25" thickBot="1">
      <c r="B97" s="1963" t="s">
        <v>71</v>
      </c>
      <c r="C97" s="1964">
        <f>SUM(C94:C96)</f>
        <v>891273160.66326535</v>
      </c>
      <c r="D97" s="267">
        <f>SUM(D94:D96)</f>
        <v>0</v>
      </c>
      <c r="E97" s="571">
        <f>SUM(E94:E96)</f>
        <v>1247782424928.5715</v>
      </c>
      <c r="F97" s="572">
        <f>SUM(F94:F96)</f>
        <v>0</v>
      </c>
    </row>
    <row r="98" spans="2:6">
      <c r="B98" s="1564" t="s">
        <v>658</v>
      </c>
      <c r="C98" s="1568"/>
      <c r="D98" s="1565">
        <f>SUM(C97:D97)</f>
        <v>891273160.66326535</v>
      </c>
      <c r="E98" s="571"/>
      <c r="F98" s="572"/>
    </row>
    <row r="99" spans="2:6" ht="11.25" thickBot="1">
      <c r="B99" s="1211"/>
      <c r="C99" s="271"/>
      <c r="D99" s="272"/>
      <c r="E99" s="270" t="s">
        <v>659</v>
      </c>
      <c r="F99" s="2436">
        <f>SUM(E97:F97)</f>
        <v>1247782424928.5715</v>
      </c>
    </row>
    <row r="100" spans="2:6">
      <c r="B100" s="489"/>
      <c r="C100" s="489"/>
      <c r="D100" s="489"/>
    </row>
    <row r="101" spans="2:6" ht="12.6" hidden="1" customHeight="1">
      <c r="B101" s="489"/>
      <c r="C101" s="489"/>
      <c r="D101" s="489"/>
      <c r="E101" s="1910"/>
      <c r="F101" s="911"/>
    </row>
    <row r="102" spans="2:6" ht="11.25" hidden="1" thickBot="1">
      <c r="B102" s="1561" t="s">
        <v>1063</v>
      </c>
      <c r="C102" s="1562" t="s">
        <v>134</v>
      </c>
      <c r="D102" s="1563"/>
      <c r="E102" s="569"/>
      <c r="F102" s="570"/>
    </row>
    <row r="103" spans="2:6" hidden="1">
      <c r="B103" s="258" t="s">
        <v>1894</v>
      </c>
      <c r="C103" s="52">
        <f>IF('Assumption '!M98="Yes",'Assumption '!J325,0)</f>
        <v>0</v>
      </c>
      <c r="D103" s="489"/>
      <c r="E103" s="571">
        <f t="shared" ref="E103:E109" si="3">C103*Exchange_Rate</f>
        <v>0</v>
      </c>
      <c r="F103" s="568"/>
    </row>
    <row r="104" spans="2:6" hidden="1">
      <c r="B104" s="258" t="s">
        <v>1934</v>
      </c>
      <c r="C104" s="259">
        <f>IF('Assumption '!M98="Yes",'Assumption '!J326,0)</f>
        <v>0</v>
      </c>
      <c r="D104" s="260">
        <v>0</v>
      </c>
      <c r="E104" s="571">
        <f t="shared" si="3"/>
        <v>0</v>
      </c>
      <c r="F104" s="572">
        <f t="shared" ref="F104:F109" si="4">D104*Exchange_Rate</f>
        <v>0</v>
      </c>
    </row>
    <row r="105" spans="2:6" hidden="1">
      <c r="B105" s="258" t="s">
        <v>824</v>
      </c>
      <c r="C105" s="259">
        <f>IF('Assumption '!M98="Yes",'Assumption '!J327,0)</f>
        <v>0</v>
      </c>
      <c r="D105" s="261">
        <v>0</v>
      </c>
      <c r="E105" s="571">
        <f t="shared" si="3"/>
        <v>0</v>
      </c>
      <c r="F105" s="572">
        <f t="shared" si="4"/>
        <v>0</v>
      </c>
    </row>
    <row r="106" spans="2:6" hidden="1">
      <c r="B106" s="258" t="s">
        <v>845</v>
      </c>
      <c r="C106" s="259">
        <f>IF('Assumption '!M98="Yes",'Assumption '!J328,0)</f>
        <v>0</v>
      </c>
      <c r="D106" s="261">
        <v>0</v>
      </c>
      <c r="E106" s="571">
        <f t="shared" si="3"/>
        <v>0</v>
      </c>
      <c r="F106" s="572">
        <f t="shared" si="4"/>
        <v>0</v>
      </c>
    </row>
    <row r="107" spans="2:6" hidden="1">
      <c r="B107" s="258" t="s">
        <v>119</v>
      </c>
      <c r="C107" s="259">
        <f>IF('Assumption '!M98="Yes",'Assumption '!J329,0)</f>
        <v>0</v>
      </c>
      <c r="D107" s="261">
        <v>0</v>
      </c>
      <c r="E107" s="571">
        <f t="shared" si="3"/>
        <v>0</v>
      </c>
      <c r="F107" s="572">
        <f t="shared" si="4"/>
        <v>0</v>
      </c>
    </row>
    <row r="108" spans="2:6" hidden="1">
      <c r="B108" s="258" t="s">
        <v>122</v>
      </c>
      <c r="C108" s="259">
        <f>IF('Assumption '!M98="Yes",'Assumption '!J330,0)</f>
        <v>0</v>
      </c>
      <c r="D108" s="261"/>
      <c r="E108" s="571">
        <f t="shared" si="3"/>
        <v>0</v>
      </c>
      <c r="F108" s="572">
        <f t="shared" si="4"/>
        <v>0</v>
      </c>
    </row>
    <row r="109" spans="2:6" hidden="1">
      <c r="B109" s="258" t="s">
        <v>120</v>
      </c>
      <c r="C109" s="56">
        <f>IF('Assumption '!M98="Yes",'Assumption '!J331,0)</f>
        <v>0</v>
      </c>
      <c r="D109" s="262"/>
      <c r="E109" s="574">
        <f t="shared" si="3"/>
        <v>0</v>
      </c>
      <c r="F109" s="575">
        <f t="shared" si="4"/>
        <v>0</v>
      </c>
    </row>
    <row r="110" spans="2:6" hidden="1">
      <c r="B110" s="263" t="s">
        <v>121</v>
      </c>
      <c r="C110" s="264">
        <f>SUM(C103:C109)</f>
        <v>0</v>
      </c>
      <c r="D110" s="265">
        <f>SUM(D104:D109)</f>
        <v>0</v>
      </c>
      <c r="E110" s="571">
        <f>SUM(E103:E109)</f>
        <v>0</v>
      </c>
      <c r="F110" s="572">
        <f>SUM(F104:F109)</f>
        <v>0</v>
      </c>
    </row>
    <row r="111" spans="2:6" hidden="1">
      <c r="B111" s="258" t="s">
        <v>9</v>
      </c>
      <c r="C111" s="1566">
        <f>IF('Assumption '!M98="Yes",'Assumption '!J332,0)</f>
        <v>0</v>
      </c>
      <c r="D111" s="266">
        <f>SUM(D104:D109)*VAT</f>
        <v>0</v>
      </c>
      <c r="E111" s="571">
        <f>C111*Exchange_Rate</f>
        <v>0</v>
      </c>
      <c r="F111" s="572">
        <f>D111*Exchange_Rate</f>
        <v>0</v>
      </c>
    </row>
    <row r="112" spans="2:6" hidden="1">
      <c r="B112" s="258" t="s">
        <v>123</v>
      </c>
      <c r="C112" s="1566">
        <f>IF('Assumption '!M98="Yes",'Assumption '!J333,0)</f>
        <v>0</v>
      </c>
      <c r="D112" s="266">
        <f>D110*Contingency_Rate</f>
        <v>0</v>
      </c>
      <c r="E112" s="571">
        <f>C112*Exchange_Rate</f>
        <v>0</v>
      </c>
      <c r="F112" s="572">
        <f>D112*Exchange_Rate</f>
        <v>0</v>
      </c>
    </row>
    <row r="113" spans="2:6" hidden="1">
      <c r="B113" s="263" t="s">
        <v>71</v>
      </c>
      <c r="C113" s="1567">
        <f>SUM(C110:C112)</f>
        <v>0</v>
      </c>
      <c r="D113" s="267">
        <f>SUM(D110:D112)</f>
        <v>0</v>
      </c>
      <c r="E113" s="571">
        <f>SUM(E110:E112)</f>
        <v>0</v>
      </c>
      <c r="F113" s="572">
        <f>SUM(F110:F112)</f>
        <v>0</v>
      </c>
    </row>
    <row r="114" spans="2:6" hidden="1">
      <c r="B114" s="268" t="s">
        <v>658</v>
      </c>
      <c r="C114" s="1568"/>
      <c r="D114" s="269">
        <f>SUM(C113:D113)</f>
        <v>0</v>
      </c>
      <c r="E114" s="571"/>
      <c r="F114" s="572"/>
    </row>
    <row r="115" spans="2:6" ht="11.25" hidden="1" thickBot="1">
      <c r="B115" s="270" t="s">
        <v>659</v>
      </c>
      <c r="C115" s="271"/>
      <c r="D115" s="272"/>
      <c r="E115" s="573"/>
      <c r="F115" s="280">
        <f>SUM(E113:F113)</f>
        <v>0</v>
      </c>
    </row>
    <row r="116" spans="2:6" hidden="1">
      <c r="C116" s="489"/>
      <c r="D116" s="489"/>
      <c r="E116" s="52"/>
    </row>
    <row r="117" spans="2:6" hidden="1">
      <c r="C117" s="489"/>
      <c r="D117" s="489"/>
      <c r="E117" s="52"/>
      <c r="F117" s="911"/>
    </row>
    <row r="118" spans="2:6" ht="12" customHeight="1" thickBot="1"/>
    <row r="119" spans="2:6">
      <c r="B119" s="1956" t="s">
        <v>1282</v>
      </c>
      <c r="C119" s="1961" t="s">
        <v>134</v>
      </c>
      <c r="D119" s="1582"/>
      <c r="E119" s="273" t="s">
        <v>135</v>
      </c>
      <c r="F119" s="274"/>
    </row>
    <row r="120" spans="2:6">
      <c r="B120" s="258" t="s">
        <v>2041</v>
      </c>
      <c r="C120" s="277">
        <f>'Assumption '!J354</f>
        <v>0</v>
      </c>
      <c r="D120" s="489"/>
      <c r="E120" s="259">
        <f t="shared" ref="E120:E126" si="5">C120*Exchange_Rate</f>
        <v>0</v>
      </c>
      <c r="F120" s="568"/>
    </row>
    <row r="121" spans="2:6">
      <c r="B121" s="258" t="s">
        <v>2042</v>
      </c>
      <c r="C121" s="261">
        <f>IF('Assumption '!M99="yes",'Assumption '!J355,0)</f>
        <v>8043600</v>
      </c>
      <c r="D121" s="260">
        <v>0</v>
      </c>
      <c r="E121" s="259">
        <f t="shared" si="5"/>
        <v>11261040000</v>
      </c>
      <c r="F121" s="261">
        <f t="shared" ref="F121:F126" si="6">D121*Exchange_Rate</f>
        <v>0</v>
      </c>
    </row>
    <row r="122" spans="2:6">
      <c r="B122" s="258" t="s">
        <v>2040</v>
      </c>
      <c r="C122" s="261">
        <f>IF('Assumption '!M99="YES",'Assumption '!J356,0)</f>
        <v>728519700</v>
      </c>
      <c r="D122" s="261">
        <v>0</v>
      </c>
      <c r="E122" s="259">
        <f t="shared" si="5"/>
        <v>1019927580000</v>
      </c>
      <c r="F122" s="261">
        <f t="shared" si="6"/>
        <v>0</v>
      </c>
    </row>
    <row r="123" spans="2:6">
      <c r="B123" s="258" t="s">
        <v>845</v>
      </c>
      <c r="C123" s="261">
        <f>IF('Assumption '!M99="Yes",'Assumption '!J357,0)</f>
        <v>72876518.367346942</v>
      </c>
      <c r="D123" s="261">
        <v>0</v>
      </c>
      <c r="E123" s="259">
        <f t="shared" si="5"/>
        <v>102027125714.28572</v>
      </c>
      <c r="F123" s="261">
        <f t="shared" si="6"/>
        <v>0</v>
      </c>
    </row>
    <row r="124" spans="2:6">
      <c r="B124" s="258" t="s">
        <v>119</v>
      </c>
      <c r="C124" s="261">
        <f>IF('Assumption '!M99="Yes",'Assumption '!J358,0)</f>
        <v>115364200</v>
      </c>
      <c r="D124" s="261">
        <v>0</v>
      </c>
      <c r="E124" s="259">
        <f t="shared" si="5"/>
        <v>161509880000</v>
      </c>
      <c r="F124" s="261">
        <f t="shared" si="6"/>
        <v>0</v>
      </c>
    </row>
    <row r="125" spans="2:6">
      <c r="B125" s="258" t="s">
        <v>122</v>
      </c>
      <c r="C125" s="261">
        <f>IF('Assumption '!M99="Yes",'Assumption '!J359,0)</f>
        <v>117576700</v>
      </c>
      <c r="D125" s="261"/>
      <c r="E125" s="259">
        <f t="shared" si="5"/>
        <v>164607380000</v>
      </c>
      <c r="F125" s="261">
        <f t="shared" si="6"/>
        <v>0</v>
      </c>
    </row>
    <row r="126" spans="2:6">
      <c r="B126" s="258" t="s">
        <v>120</v>
      </c>
      <c r="C126" s="262">
        <f>IF('Assumption '!M99="Yes",'Assumption '!J360,0)</f>
        <v>81853600</v>
      </c>
      <c r="D126" s="262"/>
      <c r="E126" s="56">
        <f t="shared" si="5"/>
        <v>114595040000</v>
      </c>
      <c r="F126" s="262">
        <f t="shared" si="6"/>
        <v>0</v>
      </c>
    </row>
    <row r="127" spans="2:6">
      <c r="B127" s="263" t="s">
        <v>121</v>
      </c>
      <c r="C127" s="265">
        <f>SUM(C120:C126)</f>
        <v>1124234318.367347</v>
      </c>
      <c r="D127" s="265">
        <f>SUM(D121:D126)</f>
        <v>0</v>
      </c>
      <c r="E127" s="54">
        <f>SUM(E120:E126)</f>
        <v>1573928045714.2856</v>
      </c>
      <c r="F127" s="275">
        <f>SUM(F121:F126)</f>
        <v>0</v>
      </c>
    </row>
    <row r="128" spans="2:6">
      <c r="B128" s="258" t="s">
        <v>9</v>
      </c>
      <c r="C128" s="266">
        <f>IF('Assumption '!M99="Yes",'Assumption '!J361,0)</f>
        <v>71096000</v>
      </c>
      <c r="D128" s="266">
        <f>SUM(D121:D126)*VAT</f>
        <v>0</v>
      </c>
      <c r="E128" s="578">
        <f>C128*Exchange_Rate</f>
        <v>99534400000</v>
      </c>
      <c r="F128" s="276">
        <f>D128*Exchange_Rate</f>
        <v>0</v>
      </c>
    </row>
    <row r="129" spans="1:49">
      <c r="B129" s="258" t="s">
        <v>123</v>
      </c>
      <c r="C129" s="266">
        <f>IF('Assumption '!M99="Yes",'Assumption '!J362,0)</f>
        <v>89649773.877551019</v>
      </c>
      <c r="D129" s="266">
        <f>D127*Contingency_Rate</f>
        <v>0</v>
      </c>
      <c r="E129" s="53">
        <f>C129*Exchange_Rate</f>
        <v>125509683428.57143</v>
      </c>
      <c r="F129" s="277">
        <f>D129*Exchange_Rate</f>
        <v>0</v>
      </c>
    </row>
    <row r="130" spans="1:49" ht="11.25" thickBot="1">
      <c r="B130" s="1963" t="s">
        <v>71</v>
      </c>
      <c r="C130" s="1964">
        <f>SUM(C127:C129)</f>
        <v>1284980092.2448981</v>
      </c>
      <c r="D130" s="267">
        <f>SUM(D127:D129)</f>
        <v>0</v>
      </c>
      <c r="E130" s="1909">
        <f>SUM(E127:E129)</f>
        <v>1798972129142.8572</v>
      </c>
      <c r="F130" s="278">
        <f>SUM(F127:F129)</f>
        <v>0</v>
      </c>
    </row>
    <row r="131" spans="1:49">
      <c r="B131" s="1583" t="s">
        <v>658</v>
      </c>
      <c r="C131" s="1568"/>
      <c r="D131" s="1584">
        <f>SUM(C130:D130)</f>
        <v>1284980092.2448981</v>
      </c>
      <c r="E131" s="1568"/>
      <c r="F131" s="279"/>
    </row>
    <row r="132" spans="1:49" ht="11.25" thickBot="1">
      <c r="B132" s="1211"/>
      <c r="C132" s="271"/>
      <c r="D132" s="272"/>
      <c r="E132" s="270" t="s">
        <v>659</v>
      </c>
      <c r="F132" s="280">
        <f>SUM(E130:F130)</f>
        <v>1798972129142.8572</v>
      </c>
    </row>
    <row r="133" spans="1:49" ht="11.25" thickBot="1"/>
    <row r="134" spans="1:49" ht="11.25" thickBot="1">
      <c r="B134" s="579" t="s">
        <v>965</v>
      </c>
      <c r="C134" s="580"/>
      <c r="D134" s="581">
        <f>D83+D98+D131+D114</f>
        <v>3811261872.6530619</v>
      </c>
      <c r="E134" s="580"/>
      <c r="F134" s="581">
        <f>F84+F99+F132</f>
        <v>5335766621714.2861</v>
      </c>
    </row>
    <row r="135" spans="1:49">
      <c r="B135" s="258"/>
      <c r="C135" s="489"/>
      <c r="D135" s="489"/>
      <c r="E135" s="489"/>
      <c r="F135" s="568"/>
    </row>
    <row r="136" spans="1:49" ht="11.25" thickBot="1">
      <c r="B136" s="258"/>
      <c r="C136" s="489"/>
      <c r="D136" s="489"/>
      <c r="E136" s="489"/>
      <c r="F136" s="568"/>
    </row>
    <row r="137" spans="1:49" ht="11.25" thickBot="1">
      <c r="B137" s="569" t="s">
        <v>893</v>
      </c>
      <c r="C137" s="580"/>
      <c r="D137" s="580"/>
      <c r="E137" s="580"/>
      <c r="F137" s="570"/>
    </row>
    <row r="138" spans="1:49">
      <c r="D138" s="42"/>
    </row>
    <row r="140" spans="1:49">
      <c r="A140" s="6" t="s">
        <v>124</v>
      </c>
      <c r="B140" s="9"/>
      <c r="C140" s="9"/>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row>
    <row r="142" spans="1:49">
      <c r="B142" s="4" t="s">
        <v>115</v>
      </c>
      <c r="F142" s="17"/>
    </row>
    <row r="143" spans="1:49">
      <c r="B143" s="3" t="s">
        <v>1764</v>
      </c>
      <c r="E143" s="15" t="s">
        <v>44</v>
      </c>
      <c r="F143" s="503">
        <f>'Assumption '!J243</f>
        <v>3.32</v>
      </c>
    </row>
    <row r="144" spans="1:49">
      <c r="B144" s="3" t="s">
        <v>1765</v>
      </c>
      <c r="E144" s="15"/>
      <c r="F144" s="503">
        <f>'Assumption '!J256</f>
        <v>3.32</v>
      </c>
    </row>
    <row r="145" spans="2:11">
      <c r="E145" s="15"/>
      <c r="F145" s="294"/>
    </row>
    <row r="146" spans="2:11">
      <c r="E146" s="15"/>
      <c r="F146" s="14"/>
    </row>
    <row r="147" spans="2:11">
      <c r="B147" s="3" t="s">
        <v>934</v>
      </c>
      <c r="E147" s="15" t="s">
        <v>183</v>
      </c>
      <c r="F147" s="2">
        <v>1</v>
      </c>
    </row>
    <row r="148" spans="2:11">
      <c r="B148" s="3"/>
      <c r="E148" s="15"/>
      <c r="F148" s="14"/>
    </row>
    <row r="149" spans="2:11">
      <c r="B149" s="478" t="s">
        <v>984</v>
      </c>
      <c r="E149" s="15"/>
      <c r="F149" s="14"/>
    </row>
    <row r="150" spans="2:11">
      <c r="B150" s="3" t="s">
        <v>935</v>
      </c>
      <c r="E150" s="15" t="s">
        <v>44</v>
      </c>
      <c r="F150" s="41">
        <f>'Assumption '!J63</f>
        <v>355</v>
      </c>
      <c r="H150" s="96"/>
      <c r="I150" s="96"/>
    </row>
    <row r="151" spans="2:11">
      <c r="B151" s="3" t="s">
        <v>863</v>
      </c>
      <c r="E151" s="15" t="s">
        <v>44</v>
      </c>
      <c r="F151" s="1049">
        <f>'Assumption '!J64</f>
        <v>527.25957399688559</v>
      </c>
      <c r="H151" s="96"/>
      <c r="I151" s="96"/>
    </row>
    <row r="152" spans="2:11">
      <c r="B152" s="3" t="s">
        <v>2113</v>
      </c>
      <c r="E152" s="15" t="s">
        <v>44</v>
      </c>
      <c r="F152" s="41">
        <f>'Assumption '!J495</f>
        <v>0</v>
      </c>
      <c r="H152" s="96"/>
      <c r="I152" s="96"/>
    </row>
    <row r="153" spans="2:11">
      <c r="B153" s="3" t="s">
        <v>26</v>
      </c>
      <c r="E153" s="15" t="s">
        <v>44</v>
      </c>
      <c r="G153" s="295"/>
      <c r="H153" s="96"/>
      <c r="I153" s="96"/>
    </row>
    <row r="154" spans="2:11">
      <c r="G154" s="96"/>
    </row>
    <row r="155" spans="2:11">
      <c r="B155" s="3"/>
      <c r="G155" s="96"/>
    </row>
    <row r="156" spans="2:11">
      <c r="B156" s="4" t="s">
        <v>985</v>
      </c>
      <c r="E156" s="58"/>
      <c r="G156" s="96"/>
    </row>
    <row r="157" spans="2:11">
      <c r="B157" s="3" t="s">
        <v>935</v>
      </c>
      <c r="E157" s="15" t="s">
        <v>44</v>
      </c>
      <c r="F157" s="41">
        <f>'Assumption '!J68</f>
        <v>339.64357142857142</v>
      </c>
      <c r="G157" s="96"/>
    </row>
    <row r="158" spans="2:11">
      <c r="B158" s="3" t="s">
        <v>863</v>
      </c>
      <c r="E158" s="15" t="s">
        <v>44</v>
      </c>
      <c r="F158" s="1049">
        <f>'Assumption '!J69</f>
        <v>310.10000000000002</v>
      </c>
      <c r="G158" s="96"/>
      <c r="K158" s="139"/>
    </row>
    <row r="159" spans="2:11">
      <c r="B159" s="3" t="s">
        <v>2113</v>
      </c>
      <c r="E159" s="15" t="s">
        <v>44</v>
      </c>
      <c r="F159" s="188">
        <f>Other_Products</f>
        <v>0</v>
      </c>
      <c r="G159" s="96"/>
    </row>
    <row r="160" spans="2:11">
      <c r="B160" s="3" t="s">
        <v>26</v>
      </c>
      <c r="E160" s="15" t="s">
        <v>44</v>
      </c>
      <c r="G160" s="96"/>
    </row>
    <row r="161" spans="1:34">
      <c r="B161" s="3"/>
      <c r="E161" s="15" t="s">
        <v>44</v>
      </c>
    </row>
    <row r="163" spans="1:34">
      <c r="B163" s="4" t="s">
        <v>865</v>
      </c>
      <c r="E163" s="15"/>
    </row>
    <row r="164" spans="1:34">
      <c r="B164" s="3" t="s">
        <v>935</v>
      </c>
      <c r="E164" s="15">
        <f>'Assumption '!I520</f>
        <v>0</v>
      </c>
    </row>
    <row r="165" spans="1:34">
      <c r="B165" s="3" t="s">
        <v>863</v>
      </c>
      <c r="E165" s="15" t="str">
        <f>'Assumption '!I529</f>
        <v>"</v>
      </c>
    </row>
    <row r="166" spans="1:34">
      <c r="B166" s="3" t="s">
        <v>931</v>
      </c>
      <c r="E166" s="15">
        <f>'Assumption '!I535</f>
        <v>0</v>
      </c>
    </row>
    <row r="168" spans="1:34">
      <c r="B168" s="3"/>
      <c r="E168" s="15"/>
    </row>
    <row r="169" spans="1:34">
      <c r="B169" s="3"/>
      <c r="E169" s="15"/>
    </row>
    <row r="170" spans="1:34">
      <c r="B170" s="3" t="s">
        <v>1273</v>
      </c>
      <c r="E170" s="15" t="s">
        <v>848</v>
      </c>
      <c r="F170" s="100"/>
    </row>
    <row r="172" spans="1:34">
      <c r="A172" s="6" t="s">
        <v>125</v>
      </c>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row>
    <row r="174" spans="1:34">
      <c r="B174" s="10" t="s">
        <v>38</v>
      </c>
      <c r="G174" s="15"/>
    </row>
    <row r="175" spans="1:34" ht="11.25" thickBot="1">
      <c r="C175" s="489"/>
      <c r="D175" s="489"/>
      <c r="G175" s="15"/>
    </row>
    <row r="176" spans="1:34" ht="27" customHeight="1">
      <c r="B176" s="490" t="s">
        <v>126</v>
      </c>
      <c r="C176" s="466"/>
      <c r="D176" s="491" t="s">
        <v>136</v>
      </c>
      <c r="E176" s="492" t="s">
        <v>127</v>
      </c>
      <c r="F176" s="493" t="s">
        <v>128</v>
      </c>
    </row>
    <row r="177" spans="2:9">
      <c r="B177" s="494" t="s">
        <v>129</v>
      </c>
      <c r="C177" s="49"/>
      <c r="D177" s="48"/>
      <c r="E177" s="46"/>
      <c r="F177" s="495">
        <f>D177*E177</f>
        <v>0</v>
      </c>
    </row>
    <row r="178" spans="2:9">
      <c r="B178" s="494" t="s">
        <v>130</v>
      </c>
      <c r="C178" s="49"/>
      <c r="D178" s="48"/>
      <c r="E178" s="46"/>
      <c r="F178" s="495">
        <f t="shared" ref="F178:F186" si="7">D178*E178</f>
        <v>0</v>
      </c>
    </row>
    <row r="179" spans="2:9">
      <c r="B179" s="494" t="s">
        <v>131</v>
      </c>
      <c r="C179" s="49"/>
      <c r="D179" s="48"/>
      <c r="E179" s="46"/>
      <c r="F179" s="495">
        <f t="shared" si="7"/>
        <v>0</v>
      </c>
    </row>
    <row r="180" spans="2:9">
      <c r="B180" s="494" t="s">
        <v>666</v>
      </c>
      <c r="C180" s="49"/>
      <c r="D180" s="48"/>
      <c r="E180" s="46"/>
      <c r="F180" s="495">
        <f t="shared" si="7"/>
        <v>0</v>
      </c>
    </row>
    <row r="181" spans="2:9">
      <c r="B181" s="494" t="s">
        <v>667</v>
      </c>
      <c r="C181" s="49"/>
      <c r="D181" s="48"/>
      <c r="E181" s="46"/>
      <c r="F181" s="495">
        <f t="shared" si="7"/>
        <v>0</v>
      </c>
    </row>
    <row r="182" spans="2:9">
      <c r="B182" s="494" t="s">
        <v>668</v>
      </c>
      <c r="C182" s="49"/>
      <c r="D182" s="48"/>
      <c r="E182" s="46"/>
      <c r="F182" s="495">
        <f t="shared" si="7"/>
        <v>0</v>
      </c>
    </row>
    <row r="183" spans="2:9">
      <c r="B183" s="494" t="s">
        <v>669</v>
      </c>
      <c r="C183" s="49"/>
      <c r="D183" s="48"/>
      <c r="E183" s="46"/>
      <c r="F183" s="495">
        <f t="shared" si="7"/>
        <v>0</v>
      </c>
    </row>
    <row r="184" spans="2:9">
      <c r="B184" s="494" t="s">
        <v>670</v>
      </c>
      <c r="C184" s="49"/>
      <c r="D184" s="48"/>
      <c r="E184" s="46"/>
      <c r="F184" s="495">
        <f t="shared" si="7"/>
        <v>0</v>
      </c>
    </row>
    <row r="185" spans="2:9">
      <c r="B185" s="494" t="s">
        <v>671</v>
      </c>
      <c r="C185" s="49"/>
      <c r="D185" s="48"/>
      <c r="E185" s="46"/>
      <c r="F185" s="495">
        <f t="shared" si="7"/>
        <v>0</v>
      </c>
    </row>
    <row r="186" spans="2:9">
      <c r="B186" s="496" t="s">
        <v>665</v>
      </c>
      <c r="C186" s="60"/>
      <c r="D186" s="61"/>
      <c r="E186" s="62"/>
      <c r="F186" s="497">
        <f t="shared" si="7"/>
        <v>0</v>
      </c>
    </row>
    <row r="187" spans="2:9" ht="11.25" thickBot="1">
      <c r="B187" s="498" t="s">
        <v>71</v>
      </c>
      <c r="C187" s="486"/>
      <c r="D187" s="487">
        <f>SUM(D177:D186)</f>
        <v>0</v>
      </c>
      <c r="E187" s="488"/>
      <c r="F187" s="499">
        <f>SUM(F177:F186)</f>
        <v>0</v>
      </c>
      <c r="I187" s="214"/>
    </row>
    <row r="188" spans="2:9">
      <c r="B188" s="10"/>
      <c r="D188" s="44"/>
      <c r="E188" s="44"/>
      <c r="F188" s="44"/>
      <c r="G188" s="57"/>
    </row>
    <row r="189" spans="2:9">
      <c r="B189" s="2" t="s">
        <v>307</v>
      </c>
      <c r="D189" s="44"/>
      <c r="E189" s="59" t="s">
        <v>183</v>
      </c>
      <c r="F189" s="484" t="s">
        <v>79</v>
      </c>
      <c r="G189" s="144"/>
    </row>
    <row r="190" spans="2:9">
      <c r="B190" s="10"/>
      <c r="D190" s="44"/>
      <c r="E190" s="44"/>
      <c r="F190" s="44"/>
      <c r="G190" s="57"/>
    </row>
    <row r="191" spans="2:9">
      <c r="B191" s="2" t="s">
        <v>137</v>
      </c>
      <c r="E191" s="15" t="s">
        <v>18</v>
      </c>
      <c r="F191" s="106">
        <v>5.0000000000000001E-3</v>
      </c>
      <c r="G191" s="15"/>
    </row>
    <row r="192" spans="2:9">
      <c r="B192" s="2" t="s">
        <v>138</v>
      </c>
      <c r="E192" s="15" t="s">
        <v>44</v>
      </c>
      <c r="F192" s="163">
        <f>Insurance_Rate_*D83</f>
        <v>8175043.098724491</v>
      </c>
    </row>
    <row r="193" spans="2:6">
      <c r="B193" s="2" t="s">
        <v>132</v>
      </c>
      <c r="E193" s="15" t="s">
        <v>133</v>
      </c>
      <c r="F193" s="106">
        <v>5.0000000000000001E-3</v>
      </c>
    </row>
    <row r="194" spans="2:6">
      <c r="E194" s="15"/>
      <c r="F194" s="14"/>
    </row>
    <row r="195" spans="2:6">
      <c r="B195" s="2" t="s">
        <v>321</v>
      </c>
      <c r="E195" s="15" t="s">
        <v>44</v>
      </c>
      <c r="F195" s="163"/>
    </row>
    <row r="196" spans="2:6">
      <c r="B196" s="2" t="s">
        <v>330</v>
      </c>
      <c r="E196" s="15" t="s">
        <v>45</v>
      </c>
      <c r="F196" s="163">
        <v>1</v>
      </c>
    </row>
    <row r="197" spans="2:6">
      <c r="B197" s="2" t="s">
        <v>331</v>
      </c>
      <c r="E197" s="15" t="s">
        <v>183</v>
      </c>
      <c r="F197" s="484" t="s">
        <v>39</v>
      </c>
    </row>
    <row r="198" spans="2:6">
      <c r="E198" s="15"/>
      <c r="F198" s="14"/>
    </row>
    <row r="199" spans="2:6">
      <c r="B199" s="2" t="s">
        <v>332</v>
      </c>
      <c r="E199" s="15" t="s">
        <v>44</v>
      </c>
      <c r="F199" s="163">
        <v>7</v>
      </c>
    </row>
    <row r="200" spans="2:6">
      <c r="B200" s="2" t="s">
        <v>333</v>
      </c>
      <c r="E200" s="15" t="s">
        <v>183</v>
      </c>
      <c r="F200" s="484" t="s">
        <v>39</v>
      </c>
    </row>
    <row r="201" spans="2:6">
      <c r="E201" s="15"/>
      <c r="F201" s="14"/>
    </row>
    <row r="202" spans="2:6">
      <c r="B202" s="2" t="s">
        <v>334</v>
      </c>
      <c r="E202" s="15" t="s">
        <v>44</v>
      </c>
      <c r="F202" s="163">
        <v>0</v>
      </c>
    </row>
    <row r="203" spans="2:6">
      <c r="B203" s="2" t="s">
        <v>335</v>
      </c>
      <c r="E203" s="15" t="s">
        <v>45</v>
      </c>
      <c r="F203" s="163">
        <v>2</v>
      </c>
    </row>
    <row r="204" spans="2:6">
      <c r="B204" s="2" t="s">
        <v>336</v>
      </c>
      <c r="E204" s="15" t="s">
        <v>183</v>
      </c>
      <c r="F204" s="484" t="s">
        <v>39</v>
      </c>
    </row>
    <row r="205" spans="2:6">
      <c r="E205" s="15"/>
      <c r="F205" s="14"/>
    </row>
    <row r="206" spans="2:6">
      <c r="B206" s="2" t="s">
        <v>337</v>
      </c>
      <c r="E206" s="15" t="s">
        <v>44</v>
      </c>
      <c r="F206" s="163">
        <v>0</v>
      </c>
    </row>
    <row r="207" spans="2:6">
      <c r="E207" s="15"/>
    </row>
    <row r="208" spans="2:6">
      <c r="B208" s="2" t="s">
        <v>338</v>
      </c>
      <c r="E208" s="15"/>
    </row>
    <row r="209" spans="2:6" ht="37.5" customHeight="1">
      <c r="B209" s="166" t="s">
        <v>339</v>
      </c>
      <c r="C209" s="49"/>
      <c r="D209" s="167" t="s">
        <v>340</v>
      </c>
      <c r="E209" s="168" t="s">
        <v>341</v>
      </c>
      <c r="F209" s="169" t="s">
        <v>342</v>
      </c>
    </row>
    <row r="210" spans="2:6">
      <c r="B210" s="47" t="s">
        <v>90</v>
      </c>
      <c r="C210" s="49"/>
      <c r="D210" s="77">
        <v>4</v>
      </c>
      <c r="E210" s="249">
        <v>0</v>
      </c>
      <c r="F210" s="163">
        <f>D210*E210</f>
        <v>0</v>
      </c>
    </row>
    <row r="211" spans="2:6">
      <c r="B211" s="47" t="s">
        <v>91</v>
      </c>
      <c r="C211" s="49"/>
      <c r="D211" s="77">
        <v>4</v>
      </c>
      <c r="E211" s="249">
        <v>0</v>
      </c>
      <c r="F211" s="163">
        <f>D211*E211</f>
        <v>0</v>
      </c>
    </row>
    <row r="212" spans="2:6">
      <c r="B212" s="47" t="s">
        <v>92</v>
      </c>
      <c r="C212" s="49"/>
      <c r="D212" s="77">
        <v>4</v>
      </c>
      <c r="E212" s="249">
        <v>0</v>
      </c>
      <c r="F212" s="163">
        <f>D212*E212</f>
        <v>0</v>
      </c>
    </row>
    <row r="213" spans="2:6">
      <c r="B213" s="47" t="s">
        <v>346</v>
      </c>
      <c r="C213" s="49"/>
      <c r="D213" s="77">
        <v>4</v>
      </c>
      <c r="E213" s="249">
        <v>0</v>
      </c>
      <c r="F213" s="163">
        <f>D213*E213</f>
        <v>0</v>
      </c>
    </row>
    <row r="214" spans="2:6">
      <c r="E214" s="15"/>
    </row>
    <row r="215" spans="2:6">
      <c r="B215" s="50" t="s">
        <v>343</v>
      </c>
      <c r="E215" s="15"/>
    </row>
    <row r="216" spans="2:6">
      <c r="B216" s="2" t="s">
        <v>90</v>
      </c>
      <c r="E216" s="15" t="s">
        <v>45</v>
      </c>
      <c r="F216" s="170">
        <v>1</v>
      </c>
    </row>
    <row r="217" spans="2:6">
      <c r="B217" s="2" t="s">
        <v>91</v>
      </c>
      <c r="E217" s="15" t="s">
        <v>45</v>
      </c>
      <c r="F217" s="170">
        <v>1</v>
      </c>
    </row>
    <row r="218" spans="2:6">
      <c r="B218" s="2" t="s">
        <v>92</v>
      </c>
      <c r="E218" s="15" t="s">
        <v>45</v>
      </c>
      <c r="F218" s="170">
        <v>1</v>
      </c>
    </row>
    <row r="219" spans="2:6">
      <c r="B219" s="2" t="s">
        <v>344</v>
      </c>
      <c r="E219" s="15" t="s">
        <v>45</v>
      </c>
      <c r="F219" s="170">
        <v>3</v>
      </c>
    </row>
    <row r="220" spans="2:6">
      <c r="E220" s="15"/>
    </row>
    <row r="221" spans="2:6">
      <c r="B221" s="2" t="s">
        <v>345</v>
      </c>
      <c r="E221" s="15" t="s">
        <v>183</v>
      </c>
      <c r="F221" s="184" t="s">
        <v>39</v>
      </c>
    </row>
    <row r="222" spans="2:6" ht="11.25" thickBot="1">
      <c r="E222" s="15"/>
    </row>
    <row r="223" spans="2:6" ht="11.25" thickBot="1">
      <c r="B223" s="2421" t="s">
        <v>977</v>
      </c>
      <c r="C223" s="2412"/>
      <c r="D223" s="2412"/>
      <c r="E223" s="2412"/>
      <c r="F223" s="2425" t="s">
        <v>2052</v>
      </c>
    </row>
    <row r="224" spans="2:6">
      <c r="B224" s="258" t="s">
        <v>1758</v>
      </c>
      <c r="C224" s="489"/>
      <c r="D224" s="489"/>
      <c r="E224" s="577" t="s">
        <v>44</v>
      </c>
      <c r="F224" s="1653">
        <f>'Assumption '!J549</f>
        <v>624930.67466666666</v>
      </c>
    </row>
    <row r="225" spans="2:6">
      <c r="B225" s="258" t="s">
        <v>968</v>
      </c>
      <c r="C225" s="489"/>
      <c r="D225" s="489"/>
      <c r="E225" s="577"/>
      <c r="F225" s="1651">
        <f>'Assumption '!J550</f>
        <v>0</v>
      </c>
    </row>
    <row r="226" spans="2:6">
      <c r="B226" s="258" t="s">
        <v>969</v>
      </c>
      <c r="C226" s="489"/>
      <c r="D226" s="489"/>
      <c r="E226" s="577"/>
      <c r="F226" s="1651">
        <f>'Assumption '!J551</f>
        <v>1597500</v>
      </c>
    </row>
    <row r="227" spans="2:6">
      <c r="B227" s="258" t="s">
        <v>970</v>
      </c>
      <c r="C227" s="489"/>
      <c r="D227" s="489"/>
      <c r="E227" s="577"/>
      <c r="F227" s="1651">
        <f>'Assumption '!J552</f>
        <v>8466750</v>
      </c>
    </row>
    <row r="228" spans="2:6" ht="11.45" customHeight="1">
      <c r="B228" s="258" t="s">
        <v>971</v>
      </c>
      <c r="C228" s="489"/>
      <c r="D228" s="489"/>
      <c r="E228" s="577"/>
      <c r="F228" s="1651">
        <f>'Assumption '!J553</f>
        <v>486606</v>
      </c>
    </row>
    <row r="229" spans="2:6" ht="10.9" customHeight="1">
      <c r="B229" s="258" t="s">
        <v>972</v>
      </c>
      <c r="C229" s="489"/>
      <c r="D229" s="489"/>
      <c r="E229" s="577"/>
      <c r="F229" s="1651">
        <f>'Assumption '!J554</f>
        <v>1821364</v>
      </c>
    </row>
    <row r="230" spans="2:6" ht="10.9" customHeight="1">
      <c r="B230" s="258" t="s">
        <v>973</v>
      </c>
      <c r="C230" s="489"/>
      <c r="D230" s="489"/>
      <c r="E230" s="577"/>
      <c r="F230" s="1652">
        <f>'Assumption '!J555</f>
        <v>2687365</v>
      </c>
    </row>
    <row r="231" spans="2:6" ht="10.9" customHeight="1" thickBot="1">
      <c r="B231" s="2417" t="s">
        <v>655</v>
      </c>
      <c r="C231" s="2418"/>
      <c r="D231" s="2418"/>
      <c r="E231" s="2419"/>
      <c r="F231" s="2424">
        <f>SUM(F224:F230)</f>
        <v>15684515.674666665</v>
      </c>
    </row>
    <row r="232" spans="2:6" ht="10.9" customHeight="1" thickBot="1">
      <c r="E232" s="15"/>
      <c r="F232" s="1656"/>
    </row>
    <row r="233" spans="2:6" ht="10.9" customHeight="1" thickBot="1">
      <c r="B233" s="2421" t="s">
        <v>1064</v>
      </c>
      <c r="C233" s="2414"/>
      <c r="D233" s="2414"/>
      <c r="E233" s="2415"/>
      <c r="F233" s="2426" t="s">
        <v>44</v>
      </c>
    </row>
    <row r="234" spans="2:6" ht="11.45" customHeight="1">
      <c r="B234" s="258" t="s">
        <v>1758</v>
      </c>
      <c r="C234" s="489"/>
      <c r="D234" s="489"/>
      <c r="E234" s="577" t="s">
        <v>938</v>
      </c>
      <c r="F234" s="1659">
        <f>'Assumption '!J559</f>
        <v>627042.06242176867</v>
      </c>
    </row>
    <row r="235" spans="2:6" hidden="1">
      <c r="B235" s="258" t="s">
        <v>968</v>
      </c>
      <c r="C235" s="489"/>
      <c r="D235" s="489"/>
      <c r="E235" s="577" t="s">
        <v>938</v>
      </c>
      <c r="F235" s="1660">
        <f>'Assumption '!J560</f>
        <v>0</v>
      </c>
    </row>
    <row r="236" spans="2:6">
      <c r="B236" s="258" t="s">
        <v>969</v>
      </c>
      <c r="C236" s="489"/>
      <c r="D236" s="489"/>
      <c r="E236" s="577"/>
      <c r="F236" s="1660">
        <f>'Assumption '!J561</f>
        <v>1237500</v>
      </c>
    </row>
    <row r="237" spans="2:6">
      <c r="B237" s="258" t="s">
        <v>970</v>
      </c>
      <c r="C237" s="489"/>
      <c r="D237" s="489"/>
      <c r="E237" s="577" t="s">
        <v>44</v>
      </c>
      <c r="F237" s="1660">
        <f>'Assumption '!J562</f>
        <v>6187500</v>
      </c>
    </row>
    <row r="238" spans="2:6">
      <c r="B238" s="258" t="s">
        <v>971</v>
      </c>
      <c r="C238" s="489"/>
      <c r="D238" s="489"/>
      <c r="E238" s="577" t="s">
        <v>44</v>
      </c>
      <c r="F238" s="1660">
        <f>'Assumption '!J563</f>
        <v>397437</v>
      </c>
    </row>
    <row r="239" spans="2:6">
      <c r="B239" s="258" t="s">
        <v>972</v>
      </c>
      <c r="C239" s="489"/>
      <c r="D239" s="489"/>
      <c r="E239" s="577" t="s">
        <v>44</v>
      </c>
      <c r="F239" s="1660">
        <f>'Assumption '!J564</f>
        <v>1410916</v>
      </c>
    </row>
    <row r="240" spans="2:6" ht="11.25" thickBot="1">
      <c r="B240" s="258" t="s">
        <v>973</v>
      </c>
      <c r="C240" s="489"/>
      <c r="D240" s="489"/>
      <c r="E240" s="577" t="s">
        <v>44</v>
      </c>
      <c r="F240" s="1661">
        <f>'Assumption '!J565</f>
        <v>1688470</v>
      </c>
    </row>
    <row r="241" spans="2:6" ht="11.25" thickBot="1">
      <c r="B241" s="2421" t="s">
        <v>71</v>
      </c>
      <c r="C241" s="2427"/>
      <c r="D241" s="2427"/>
      <c r="E241" s="2428"/>
      <c r="F241" s="2429">
        <f>SUM(F234:F240)</f>
        <v>11548865.062421769</v>
      </c>
    </row>
    <row r="242" spans="2:6" ht="11.25" thickBot="1">
      <c r="E242" s="15"/>
      <c r="F242" s="1664"/>
    </row>
    <row r="243" spans="2:6" ht="11.25" thickBot="1">
      <c r="B243" s="1654" t="s">
        <v>1065</v>
      </c>
      <c r="C243" s="1655"/>
      <c r="D243" s="1655"/>
      <c r="E243" s="1662"/>
      <c r="F243" s="1665"/>
    </row>
    <row r="244" spans="2:6">
      <c r="B244" s="258" t="s">
        <v>1758</v>
      </c>
      <c r="C244" s="489"/>
      <c r="D244" s="489"/>
      <c r="E244" s="577"/>
      <c r="F244" s="1666">
        <f>'Assumption '!J569</f>
        <v>0</v>
      </c>
    </row>
    <row r="245" spans="2:6">
      <c r="B245" s="258" t="s">
        <v>968</v>
      </c>
      <c r="C245" s="489"/>
      <c r="D245" s="489"/>
      <c r="E245" s="577"/>
      <c r="F245" s="1667">
        <f>'Assumption '!J570</f>
        <v>0</v>
      </c>
    </row>
    <row r="246" spans="2:6">
      <c r="B246" s="258" t="s">
        <v>969</v>
      </c>
      <c r="C246" s="489"/>
      <c r="D246" s="489"/>
      <c r="E246" s="577"/>
      <c r="F246" s="1667">
        <f>'Assumption '!J571</f>
        <v>0</v>
      </c>
    </row>
    <row r="247" spans="2:6">
      <c r="B247" s="258" t="s">
        <v>970</v>
      </c>
      <c r="C247" s="489"/>
      <c r="D247" s="489"/>
      <c r="E247" s="577"/>
      <c r="F247" s="1667">
        <f>'Assumption '!J572</f>
        <v>0</v>
      </c>
    </row>
    <row r="248" spans="2:6">
      <c r="B248" s="258" t="s">
        <v>971</v>
      </c>
      <c r="C248" s="489"/>
      <c r="D248" s="489"/>
      <c r="E248" s="577"/>
      <c r="F248" s="1667">
        <f>'Assumption '!J573</f>
        <v>0</v>
      </c>
    </row>
    <row r="249" spans="2:6">
      <c r="B249" s="258" t="s">
        <v>972</v>
      </c>
      <c r="C249" s="489"/>
      <c r="D249" s="489"/>
      <c r="E249" s="577"/>
      <c r="F249" s="1667">
        <f>'Assumption '!J574</f>
        <v>0</v>
      </c>
    </row>
    <row r="250" spans="2:6" ht="11.25" thickBot="1">
      <c r="B250" s="258" t="s">
        <v>973</v>
      </c>
      <c r="C250" s="489"/>
      <c r="D250" s="489"/>
      <c r="E250" s="577"/>
      <c r="F250" s="1668">
        <f>'Assumption '!J575</f>
        <v>0</v>
      </c>
    </row>
    <row r="251" spans="2:6" ht="11.25" thickBot="1">
      <c r="B251" s="569" t="s">
        <v>71</v>
      </c>
      <c r="C251" s="580"/>
      <c r="D251" s="580"/>
      <c r="E251" s="1657"/>
      <c r="F251" s="1669">
        <f>SUM(F244:F250)</f>
        <v>0</v>
      </c>
    </row>
    <row r="252" spans="2:6">
      <c r="E252" s="15"/>
      <c r="F252" s="1658"/>
    </row>
    <row r="253" spans="2:6" ht="11.25" thickBot="1">
      <c r="E253" s="15"/>
      <c r="F253" s="855"/>
    </row>
    <row r="254" spans="2:6" ht="11.25" thickBot="1">
      <c r="B254" s="2421" t="s">
        <v>2231</v>
      </c>
      <c r="C254" s="2414"/>
      <c r="D254" s="2414"/>
      <c r="E254" s="2415"/>
      <c r="F254" s="2422" t="s">
        <v>44</v>
      </c>
    </row>
    <row r="255" spans="2:6">
      <c r="B255" s="258" t="s">
        <v>1758</v>
      </c>
      <c r="C255" s="489"/>
      <c r="D255" s="489"/>
      <c r="E255" s="577"/>
      <c r="F255" s="1666">
        <f>'Assumption '!J582</f>
        <v>627042.06242176867</v>
      </c>
    </row>
    <row r="256" spans="2:6" ht="11.45" customHeight="1">
      <c r="B256" s="258" t="s">
        <v>968</v>
      </c>
      <c r="C256" s="489"/>
      <c r="D256" s="489"/>
      <c r="E256" s="577"/>
      <c r="F256" s="1667">
        <f>'Assumption '!J583</f>
        <v>0</v>
      </c>
    </row>
    <row r="257" spans="2:6">
      <c r="B257" s="258" t="s">
        <v>969</v>
      </c>
      <c r="C257" s="489"/>
      <c r="D257" s="489"/>
      <c r="E257" s="577"/>
      <c r="F257" s="1667">
        <f>'Assumption '!J584</f>
        <v>1240000</v>
      </c>
    </row>
    <row r="258" spans="2:6">
      <c r="B258" s="258" t="s">
        <v>970</v>
      </c>
      <c r="C258" s="489"/>
      <c r="D258" s="489"/>
      <c r="E258" s="577"/>
      <c r="F258" s="1667">
        <f>'Assumption '!J585</f>
        <v>6572000</v>
      </c>
    </row>
    <row r="259" spans="2:6">
      <c r="B259" s="258" t="s">
        <v>971</v>
      </c>
      <c r="C259" s="489"/>
      <c r="D259" s="489"/>
      <c r="E259" s="577"/>
      <c r="F259" s="1667">
        <f>'Assumption '!J586</f>
        <v>377710</v>
      </c>
    </row>
    <row r="260" spans="2:6">
      <c r="B260" s="258" t="s">
        <v>972</v>
      </c>
      <c r="C260" s="489"/>
      <c r="D260" s="489"/>
      <c r="E260" s="577"/>
      <c r="F260" s="1667">
        <f>'Assumption '!J587</f>
        <v>1413766</v>
      </c>
    </row>
    <row r="261" spans="2:6" ht="11.25" thickBot="1">
      <c r="B261" s="258" t="s">
        <v>973</v>
      </c>
      <c r="C261" s="489"/>
      <c r="D261" s="489"/>
      <c r="E261" s="577"/>
      <c r="F261" s="1668">
        <f>'Assumption '!J588</f>
        <v>1620891</v>
      </c>
    </row>
    <row r="262" spans="2:6" ht="11.25" thickBot="1">
      <c r="B262" s="2413" t="s">
        <v>655</v>
      </c>
      <c r="C262" s="2414"/>
      <c r="D262" s="2414"/>
      <c r="E262" s="2415"/>
      <c r="F262" s="2423">
        <f>SUM(F255:F261)</f>
        <v>11851409.062421769</v>
      </c>
    </row>
    <row r="263" spans="2:6">
      <c r="E263" s="15"/>
      <c r="F263" s="1523"/>
    </row>
    <row r="264" spans="2:6" ht="11.25" thickBot="1">
      <c r="E264" s="15"/>
      <c r="F264" s="1523"/>
    </row>
    <row r="265" spans="2:6" ht="11.25" thickBot="1">
      <c r="B265" s="2413" t="s">
        <v>1759</v>
      </c>
      <c r="C265" s="2414"/>
      <c r="D265" s="2414"/>
      <c r="E265" s="2415"/>
      <c r="F265" s="2416" t="s">
        <v>44</v>
      </c>
    </row>
    <row r="266" spans="2:6">
      <c r="B266" s="258" t="s">
        <v>1757</v>
      </c>
      <c r="C266" s="489"/>
      <c r="D266" s="489"/>
      <c r="E266" s="577"/>
      <c r="F266" s="1666">
        <f>'Assumption '!J114</f>
        <v>43271455.281119995</v>
      </c>
    </row>
    <row r="267" spans="2:6" hidden="1">
      <c r="B267" s="258" t="s">
        <v>1478</v>
      </c>
      <c r="C267" s="489"/>
      <c r="D267" s="489"/>
      <c r="E267" s="577"/>
      <c r="F267" s="1667">
        <f>'Assumption '!J115</f>
        <v>0</v>
      </c>
    </row>
    <row r="268" spans="2:6" hidden="1">
      <c r="B268" s="258" t="s">
        <v>1018</v>
      </c>
      <c r="C268" s="489"/>
      <c r="D268" s="489"/>
      <c r="E268" s="577"/>
      <c r="F268" s="1667">
        <f>'Assumption '!J116</f>
        <v>0</v>
      </c>
    </row>
    <row r="269" spans="2:6">
      <c r="B269" s="258" t="s">
        <v>969</v>
      </c>
      <c r="C269" s="489"/>
      <c r="D269" s="489"/>
      <c r="E269" s="577"/>
      <c r="F269" s="1667">
        <f>'Assumption '!J117</f>
        <v>907600.04409657163</v>
      </c>
    </row>
    <row r="270" spans="2:6">
      <c r="B270" s="258" t="s">
        <v>970</v>
      </c>
      <c r="C270" s="489"/>
      <c r="D270" s="489"/>
      <c r="E270" s="577"/>
      <c r="F270" s="1667">
        <f>'Assumption '!J118</f>
        <v>11194323.942233492</v>
      </c>
    </row>
    <row r="271" spans="2:6">
      <c r="B271" s="258" t="s">
        <v>971</v>
      </c>
      <c r="C271" s="489"/>
      <c r="D271" s="489"/>
      <c r="E271" s="577"/>
      <c r="F271" s="1667">
        <f>'Assumption '!J119</f>
        <v>273963.53213537647</v>
      </c>
    </row>
    <row r="272" spans="2:6">
      <c r="B272" s="258" t="s">
        <v>972</v>
      </c>
      <c r="C272" s="489"/>
      <c r="D272" s="489"/>
      <c r="E272" s="577"/>
      <c r="F272" s="1667">
        <f>'Assumption '!J120</f>
        <v>2030098.7763201413</v>
      </c>
    </row>
    <row r="273" spans="1:34">
      <c r="B273" s="258" t="s">
        <v>973</v>
      </c>
      <c r="C273" s="489"/>
      <c r="D273" s="489"/>
      <c r="E273" s="577"/>
      <c r="F273" s="1667">
        <f>'Assumption '!J121</f>
        <v>714013.70521441964</v>
      </c>
    </row>
    <row r="274" spans="1:34" ht="11.25" thickBot="1">
      <c r="B274" s="2417" t="s">
        <v>71</v>
      </c>
      <c r="C274" s="2418"/>
      <c r="D274" s="2418"/>
      <c r="E274" s="2419"/>
      <c r="F274" s="2420">
        <f>SUM(F266:F273)</f>
        <v>58391455.281120002</v>
      </c>
    </row>
    <row r="275" spans="1:34">
      <c r="E275" s="15"/>
      <c r="F275" s="1658"/>
    </row>
    <row r="276" spans="1:34">
      <c r="E276" s="15"/>
      <c r="F276" s="163">
        <f>'Assumption '!J123</f>
        <v>0</v>
      </c>
    </row>
    <row r="277" spans="1:34">
      <c r="E277" s="15"/>
    </row>
    <row r="278" spans="1:34">
      <c r="B278" s="2" t="s">
        <v>351</v>
      </c>
      <c r="E278" s="15" t="s">
        <v>183</v>
      </c>
      <c r="F278" s="483" t="s">
        <v>79</v>
      </c>
    </row>
    <row r="279" spans="1:34">
      <c r="E279" s="58"/>
      <c r="F279" s="59"/>
    </row>
    <row r="280" spans="1:34">
      <c r="A280" s="6" t="s">
        <v>120</v>
      </c>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row>
    <row r="282" spans="1:34">
      <c r="B282" s="2" t="s">
        <v>139</v>
      </c>
      <c r="E282" s="15" t="s">
        <v>19</v>
      </c>
      <c r="F282" s="64">
        <v>30</v>
      </c>
    </row>
    <row r="283" spans="1:34" hidden="1">
      <c r="E283" s="15"/>
      <c r="F283" s="64"/>
    </row>
    <row r="284" spans="1:34" hidden="1">
      <c r="E284" s="15"/>
      <c r="F284" s="64"/>
    </row>
    <row r="285" spans="1:34" hidden="1">
      <c r="E285" s="15"/>
      <c r="F285" s="64"/>
    </row>
    <row r="286" spans="1:34" hidden="1">
      <c r="E286" s="15"/>
      <c r="F286" s="64"/>
    </row>
    <row r="287" spans="1:34" hidden="1">
      <c r="E287" s="15"/>
      <c r="F287" s="64"/>
    </row>
    <row r="288" spans="1:34">
      <c r="B288" s="2" t="s">
        <v>140</v>
      </c>
      <c r="E288" s="15" t="s">
        <v>19</v>
      </c>
      <c r="F288" s="64">
        <v>45</v>
      </c>
    </row>
    <row r="289" spans="1:34" hidden="1">
      <c r="E289" s="15"/>
      <c r="F289" s="64"/>
    </row>
    <row r="290" spans="1:34" hidden="1">
      <c r="E290" s="15"/>
      <c r="F290" s="64"/>
    </row>
    <row r="291" spans="1:34" hidden="1">
      <c r="E291" s="15"/>
      <c r="F291" s="64"/>
    </row>
    <row r="292" spans="1:34" hidden="1">
      <c r="E292" s="15"/>
      <c r="F292" s="64"/>
    </row>
    <row r="293" spans="1:34">
      <c r="B293" s="2" t="s">
        <v>141</v>
      </c>
      <c r="E293" s="15" t="s">
        <v>19</v>
      </c>
      <c r="F293" s="64">
        <v>45</v>
      </c>
    </row>
    <row r="296" spans="1:34">
      <c r="A296" s="6" t="s">
        <v>142</v>
      </c>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row>
    <row r="297" spans="1:34" ht="11.25" thickBot="1"/>
    <row r="298" spans="1:34" ht="11.25" thickBot="1">
      <c r="B298" s="2607" t="s">
        <v>143</v>
      </c>
      <c r="C298" s="1219"/>
      <c r="D298" s="1219"/>
      <c r="E298" s="2608"/>
      <c r="F298" s="1220"/>
    </row>
    <row r="299" spans="1:34">
      <c r="B299" s="258" t="s">
        <v>144</v>
      </c>
      <c r="C299" s="489"/>
      <c r="D299" s="489"/>
      <c r="E299" s="577" t="s">
        <v>18</v>
      </c>
      <c r="F299" s="2609">
        <f>1-F300</f>
        <v>0.7</v>
      </c>
    </row>
    <row r="300" spans="1:34">
      <c r="B300" s="2610" t="s">
        <v>145</v>
      </c>
      <c r="C300" s="27"/>
      <c r="D300" s="27"/>
      <c r="E300" s="28" t="s">
        <v>18</v>
      </c>
      <c r="F300" s="2611">
        <f>'Sens WIP'!D45</f>
        <v>0.3</v>
      </c>
    </row>
    <row r="301" spans="1:34" ht="11.25" thickBot="1">
      <c r="B301" s="1211" t="s">
        <v>71</v>
      </c>
      <c r="C301" s="271"/>
      <c r="D301" s="271"/>
      <c r="E301" s="271"/>
      <c r="F301" s="2612">
        <f>SUM(F299:F300)</f>
        <v>1</v>
      </c>
    </row>
    <row r="302" spans="1:34">
      <c r="F302" s="15"/>
    </row>
    <row r="303" spans="1:34">
      <c r="B303" s="10" t="s">
        <v>146</v>
      </c>
      <c r="F303" s="15"/>
    </row>
    <row r="304" spans="1:34">
      <c r="B304" s="2" t="s">
        <v>147</v>
      </c>
      <c r="E304" s="15" t="s">
        <v>18</v>
      </c>
      <c r="F304" s="66">
        <v>0.12</v>
      </c>
    </row>
    <row r="305" spans="2:6">
      <c r="B305" s="2" t="s">
        <v>148</v>
      </c>
      <c r="E305" s="15" t="s">
        <v>18</v>
      </c>
      <c r="F305" s="86">
        <f ca="1">Summary!O14</f>
        <v>0.39596746177121789</v>
      </c>
    </row>
    <row r="307" spans="2:6">
      <c r="B307" s="10" t="s">
        <v>151</v>
      </c>
      <c r="E307" s="15"/>
    </row>
    <row r="308" spans="2:6">
      <c r="B308" s="30" t="s">
        <v>152</v>
      </c>
      <c r="C308" s="69"/>
      <c r="D308" s="69"/>
      <c r="E308" s="70" t="s">
        <v>153</v>
      </c>
      <c r="F308" s="76" t="s">
        <v>154</v>
      </c>
    </row>
    <row r="309" spans="2:6">
      <c r="B309" s="71" t="s">
        <v>98</v>
      </c>
      <c r="D309" s="15" t="s">
        <v>18</v>
      </c>
      <c r="E309" s="74">
        <v>0</v>
      </c>
      <c r="F309" s="18">
        <v>46023</v>
      </c>
    </row>
    <row r="310" spans="2:6">
      <c r="B310" s="72" t="s">
        <v>99</v>
      </c>
      <c r="C310" s="27"/>
      <c r="D310" s="28" t="s">
        <v>18</v>
      </c>
      <c r="E310" s="75">
        <f>1-E309</f>
        <v>1</v>
      </c>
      <c r="F310" s="18">
        <v>46023</v>
      </c>
    </row>
    <row r="311" spans="2:6">
      <c r="B311" s="2" t="s">
        <v>71</v>
      </c>
      <c r="E311" s="65">
        <f>SUM(E309:E310)</f>
        <v>1</v>
      </c>
    </row>
    <row r="313" spans="2:6">
      <c r="B313" s="2" t="s">
        <v>155</v>
      </c>
      <c r="E313" s="15" t="s">
        <v>45</v>
      </c>
      <c r="F313" s="77">
        <v>2</v>
      </c>
    </row>
    <row r="314" spans="2:6">
      <c r="B314" s="2" t="s">
        <v>156</v>
      </c>
      <c r="E314" s="15" t="s">
        <v>45</v>
      </c>
      <c r="F314" s="77">
        <v>2</v>
      </c>
    </row>
    <row r="317" spans="2:6">
      <c r="B317" s="79" t="s">
        <v>162</v>
      </c>
      <c r="D317" s="80" t="s">
        <v>163</v>
      </c>
      <c r="E317" s="34" t="s">
        <v>164</v>
      </c>
      <c r="F317" s="73" t="s">
        <v>165</v>
      </c>
    </row>
    <row r="318" spans="2:6">
      <c r="B318" s="71" t="s">
        <v>98</v>
      </c>
      <c r="D318" s="15" t="s">
        <v>158</v>
      </c>
      <c r="E318" s="35">
        <f>EDATE(F309,F313*Months_year)</f>
        <v>46753</v>
      </c>
      <c r="F318" s="2">
        <v>10</v>
      </c>
    </row>
    <row r="319" spans="2:6">
      <c r="B319" s="49" t="s">
        <v>99</v>
      </c>
      <c r="D319" s="15" t="s">
        <v>158</v>
      </c>
      <c r="E319" s="35">
        <f>EDATE(F310,F314*Months_year)</f>
        <v>46753</v>
      </c>
      <c r="F319" s="2">
        <f>'Sens WIP'!D47</f>
        <v>10</v>
      </c>
    </row>
    <row r="321" spans="2:6">
      <c r="B321" s="2" t="s">
        <v>166</v>
      </c>
      <c r="F321" s="83">
        <v>1</v>
      </c>
    </row>
    <row r="322" spans="2:6">
      <c r="B322" s="2" t="s">
        <v>167</v>
      </c>
      <c r="F322" s="13">
        <v>1</v>
      </c>
    </row>
    <row r="324" spans="2:6">
      <c r="B324" s="10" t="s">
        <v>169</v>
      </c>
      <c r="D324" s="15"/>
      <c r="E324" s="15"/>
    </row>
    <row r="325" spans="2:6">
      <c r="D325" s="15"/>
      <c r="E325" s="15"/>
    </row>
    <row r="326" spans="2:6">
      <c r="B326" s="30" t="s">
        <v>170</v>
      </c>
      <c r="E326" s="15"/>
      <c r="F326" s="90" t="s">
        <v>171</v>
      </c>
    </row>
    <row r="327" spans="2:6">
      <c r="B327" s="2" t="s">
        <v>1075</v>
      </c>
      <c r="E327" s="15" t="s">
        <v>18</v>
      </c>
      <c r="F327" s="1475">
        <f>CofCapital!G12</f>
        <v>7.0419999999999996E-2</v>
      </c>
    </row>
    <row r="328" spans="2:6">
      <c r="B328" s="2" t="s">
        <v>1076</v>
      </c>
      <c r="E328" s="15" t="s">
        <v>18</v>
      </c>
      <c r="F328" s="84">
        <v>0</v>
      </c>
    </row>
    <row r="329" spans="2:6">
      <c r="E329" s="15"/>
      <c r="F329" s="15"/>
    </row>
    <row r="330" spans="2:6">
      <c r="B330" s="30" t="s">
        <v>172</v>
      </c>
      <c r="E330" s="15"/>
      <c r="F330" s="90" t="s">
        <v>171</v>
      </c>
    </row>
    <row r="331" spans="2:6">
      <c r="B331" s="2" t="s">
        <v>99</v>
      </c>
      <c r="E331" s="15"/>
      <c r="F331" s="85"/>
    </row>
    <row r="332" spans="2:6">
      <c r="B332" s="2" t="s">
        <v>1074</v>
      </c>
      <c r="E332" s="15" t="s">
        <v>18</v>
      </c>
      <c r="F332" s="102">
        <v>5.0599999999999999E-2</v>
      </c>
    </row>
    <row r="333" spans="2:6">
      <c r="B333" s="2" t="s">
        <v>173</v>
      </c>
      <c r="E333" s="15" t="s">
        <v>18</v>
      </c>
      <c r="F333" s="102">
        <v>0.05</v>
      </c>
    </row>
    <row r="334" spans="2:6">
      <c r="B334" s="2" t="s">
        <v>71</v>
      </c>
      <c r="E334" s="15" t="s">
        <v>18</v>
      </c>
      <c r="F334" s="183">
        <f>SUM(F332:F333)</f>
        <v>0.10059999999999999</v>
      </c>
    </row>
    <row r="336" spans="2:6">
      <c r="B336" s="30" t="s">
        <v>174</v>
      </c>
      <c r="D336" s="31" t="s">
        <v>175</v>
      </c>
      <c r="E336" s="87" t="s">
        <v>176</v>
      </c>
      <c r="F336" s="88" t="s">
        <v>177</v>
      </c>
    </row>
    <row r="337" spans="2:7">
      <c r="B337" s="2" t="s">
        <v>98</v>
      </c>
      <c r="D337" s="89">
        <v>0</v>
      </c>
      <c r="E337" s="89">
        <v>0</v>
      </c>
      <c r="F337" s="89">
        <v>0</v>
      </c>
    </row>
    <row r="338" spans="2:7">
      <c r="B338" s="2" t="s">
        <v>99</v>
      </c>
      <c r="D338" s="89">
        <v>2.5000000000000001E-3</v>
      </c>
      <c r="E338" s="89">
        <v>2.5000000000000001E-3</v>
      </c>
      <c r="F338" s="89">
        <v>2.5000000000000001E-3</v>
      </c>
    </row>
    <row r="340" spans="2:7">
      <c r="B340" s="10" t="s">
        <v>178</v>
      </c>
      <c r="E340" s="15"/>
      <c r="F340" s="15"/>
    </row>
    <row r="341" spans="2:7">
      <c r="E341" s="15"/>
      <c r="F341" s="15"/>
    </row>
    <row r="342" spans="2:7">
      <c r="B342" s="2" t="s">
        <v>179</v>
      </c>
      <c r="E342" s="15" t="s">
        <v>180</v>
      </c>
      <c r="F342" s="81">
        <v>1</v>
      </c>
      <c r="G342" s="15"/>
    </row>
    <row r="343" spans="2:7">
      <c r="B343" s="2" t="s">
        <v>181</v>
      </c>
      <c r="E343" s="15" t="s">
        <v>20</v>
      </c>
      <c r="F343" s="81">
        <v>0</v>
      </c>
      <c r="G343" s="15"/>
    </row>
    <row r="344" spans="2:7">
      <c r="B344" s="2" t="s">
        <v>182</v>
      </c>
      <c r="E344" s="15" t="s">
        <v>183</v>
      </c>
      <c r="F344" s="81">
        <v>1</v>
      </c>
    </row>
    <row r="345" spans="2:7">
      <c r="F345" s="15"/>
      <c r="G345" s="15"/>
    </row>
    <row r="346" spans="2:7">
      <c r="B346" s="10" t="s">
        <v>1704</v>
      </c>
      <c r="F346" s="15"/>
      <c r="G346" s="15"/>
    </row>
    <row r="347" spans="2:7">
      <c r="F347" s="15"/>
      <c r="G347" s="15"/>
    </row>
    <row r="348" spans="2:7">
      <c r="B348" s="2" t="s">
        <v>181</v>
      </c>
      <c r="E348" s="15" t="s">
        <v>20</v>
      </c>
      <c r="F348" s="81">
        <v>0</v>
      </c>
      <c r="G348" s="15"/>
    </row>
    <row r="349" spans="2:7">
      <c r="B349" s="2" t="s">
        <v>182</v>
      </c>
      <c r="E349" s="15" t="s">
        <v>183</v>
      </c>
      <c r="F349" s="81"/>
    </row>
    <row r="350" spans="2:7">
      <c r="F350" s="15"/>
      <c r="G350" s="15"/>
    </row>
    <row r="351" spans="2:7">
      <c r="B351" s="90" t="s">
        <v>184</v>
      </c>
      <c r="F351" s="91" t="s">
        <v>185</v>
      </c>
      <c r="G351" s="15"/>
    </row>
    <row r="352" spans="2:7">
      <c r="B352" s="92">
        <v>1</v>
      </c>
      <c r="E352" s="15" t="s">
        <v>18</v>
      </c>
      <c r="F352" s="93">
        <v>1</v>
      </c>
      <c r="G352" s="15"/>
    </row>
    <row r="353" spans="1:34">
      <c r="B353" s="81">
        <v>2</v>
      </c>
      <c r="E353" s="15" t="s">
        <v>18</v>
      </c>
      <c r="F353" s="94">
        <v>0.75</v>
      </c>
      <c r="G353" s="15"/>
    </row>
    <row r="354" spans="1:34">
      <c r="B354" s="81">
        <v>3</v>
      </c>
      <c r="E354" s="15" t="s">
        <v>18</v>
      </c>
      <c r="F354" s="94">
        <v>0.5</v>
      </c>
      <c r="G354" s="15"/>
    </row>
    <row r="355" spans="1:34">
      <c r="B355" s="81">
        <v>4</v>
      </c>
      <c r="E355" s="15" t="s">
        <v>18</v>
      </c>
      <c r="F355" s="94">
        <v>0.25</v>
      </c>
      <c r="G355" s="15"/>
    </row>
    <row r="356" spans="1:34">
      <c r="B356" s="81">
        <v>5</v>
      </c>
      <c r="E356" s="15" t="s">
        <v>18</v>
      </c>
      <c r="F356" s="94">
        <v>0.1</v>
      </c>
      <c r="G356" s="15"/>
    </row>
    <row r="358" spans="1:34">
      <c r="A358" s="6" t="s">
        <v>186</v>
      </c>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row>
    <row r="360" spans="1:34">
      <c r="B360" s="10" t="s">
        <v>187</v>
      </c>
      <c r="E360" s="15"/>
    </row>
    <row r="361" spans="1:34">
      <c r="B361" s="50" t="s">
        <v>188</v>
      </c>
      <c r="D361" s="15"/>
      <c r="E361" s="77"/>
      <c r="F361" s="95">
        <v>1</v>
      </c>
    </row>
    <row r="362" spans="1:34">
      <c r="B362" s="2" t="s">
        <v>940</v>
      </c>
      <c r="D362" s="15" t="s">
        <v>45</v>
      </c>
      <c r="E362" s="248">
        <v>50</v>
      </c>
      <c r="F362" s="94">
        <f>F361/E362</f>
        <v>0.02</v>
      </c>
    </row>
    <row r="363" spans="1:34">
      <c r="B363" s="2" t="s">
        <v>118</v>
      </c>
      <c r="D363" s="15" t="s">
        <v>45</v>
      </c>
      <c r="E363" s="248">
        <v>10</v>
      </c>
      <c r="F363" s="94">
        <f>F361/E363</f>
        <v>0.1</v>
      </c>
    </row>
    <row r="364" spans="1:34">
      <c r="B364" s="2" t="s">
        <v>189</v>
      </c>
      <c r="D364" s="15" t="s">
        <v>45</v>
      </c>
      <c r="E364" s="248">
        <v>10</v>
      </c>
      <c r="F364" s="94">
        <f>F361/E364</f>
        <v>0.1</v>
      </c>
    </row>
    <row r="365" spans="1:34">
      <c r="B365" s="2" t="s">
        <v>190</v>
      </c>
      <c r="D365" s="15" t="s">
        <v>45</v>
      </c>
      <c r="E365" s="81">
        <v>4</v>
      </c>
      <c r="F365" s="94">
        <f>F361/E365</f>
        <v>0.25</v>
      </c>
    </row>
    <row r="366" spans="1:34">
      <c r="D366" s="15"/>
      <c r="E366" s="15"/>
    </row>
    <row r="367" spans="1:34">
      <c r="B367" s="29" t="s">
        <v>191</v>
      </c>
      <c r="D367" s="15"/>
      <c r="E367" s="15"/>
    </row>
    <row r="368" spans="1:34">
      <c r="D368" s="15"/>
      <c r="E368" s="15"/>
    </row>
    <row r="369" spans="2:6">
      <c r="B369" s="2" t="s">
        <v>192</v>
      </c>
      <c r="D369" s="15" t="s">
        <v>18</v>
      </c>
      <c r="E369" s="94">
        <v>0.5</v>
      </c>
      <c r="F369" s="96" t="s">
        <v>193</v>
      </c>
    </row>
    <row r="370" spans="2:6">
      <c r="B370" s="2" t="s">
        <v>194</v>
      </c>
      <c r="D370" s="15" t="s">
        <v>18</v>
      </c>
      <c r="E370" s="94">
        <v>0.25</v>
      </c>
      <c r="F370" s="96" t="s">
        <v>193</v>
      </c>
    </row>
    <row r="371" spans="2:6">
      <c r="B371" s="2" t="s">
        <v>195</v>
      </c>
      <c r="D371" s="15" t="s">
        <v>18</v>
      </c>
      <c r="E371" s="94">
        <v>0.1</v>
      </c>
      <c r="F371" s="96" t="s">
        <v>193</v>
      </c>
    </row>
    <row r="372" spans="2:6">
      <c r="F372" s="96"/>
    </row>
    <row r="373" spans="2:6">
      <c r="B373" s="2" t="s">
        <v>196</v>
      </c>
      <c r="D373" s="15" t="s">
        <v>45</v>
      </c>
      <c r="E373" s="2">
        <v>5</v>
      </c>
      <c r="F373" s="96"/>
    </row>
    <row r="374" spans="2:6">
      <c r="B374" s="2" t="s">
        <v>198</v>
      </c>
      <c r="D374" s="15" t="s">
        <v>41</v>
      </c>
      <c r="E374" s="18">
        <f>Ops_start</f>
        <v>47119</v>
      </c>
      <c r="F374" s="96"/>
    </row>
    <row r="375" spans="2:6">
      <c r="B375" s="2" t="s">
        <v>199</v>
      </c>
      <c r="D375" s="15" t="s">
        <v>41</v>
      </c>
      <c r="E375" s="18">
        <f>IF(E373=0,Const_start,EDATE(E374,E373*Months_year)-1)</f>
        <v>48944</v>
      </c>
      <c r="F375" s="96"/>
    </row>
    <row r="377" spans="2:6">
      <c r="B377" s="29" t="s">
        <v>200</v>
      </c>
    </row>
    <row r="378" spans="2:6">
      <c r="B378" s="2" t="s">
        <v>201</v>
      </c>
      <c r="D378" s="15" t="s">
        <v>18</v>
      </c>
      <c r="E378" s="99">
        <f>'Assumption '!J437</f>
        <v>0.3</v>
      </c>
      <c r="F378" s="96" t="s">
        <v>193</v>
      </c>
    </row>
    <row r="379" spans="2:6">
      <c r="B379" s="2" t="s">
        <v>202</v>
      </c>
      <c r="D379" s="15" t="s">
        <v>18</v>
      </c>
      <c r="E379" s="99">
        <f>'Assumption '!J438</f>
        <v>0.03</v>
      </c>
      <c r="F379" s="96" t="s">
        <v>193</v>
      </c>
    </row>
    <row r="380" spans="2:6">
      <c r="B380" s="2" t="s">
        <v>203</v>
      </c>
      <c r="D380" s="15" t="s">
        <v>18</v>
      </c>
      <c r="E380" s="293">
        <v>7.4999999999999997E-2</v>
      </c>
      <c r="F380" s="96" t="s">
        <v>193</v>
      </c>
    </row>
    <row r="382" spans="2:6">
      <c r="B382" s="2" t="s">
        <v>204</v>
      </c>
      <c r="D382" s="15" t="s">
        <v>45</v>
      </c>
      <c r="E382" s="100">
        <v>5</v>
      </c>
      <c r="F382" s="96" t="s">
        <v>193</v>
      </c>
    </row>
    <row r="384" spans="2:6">
      <c r="B384" s="2" t="s">
        <v>205</v>
      </c>
      <c r="D384" s="15" t="s">
        <v>18</v>
      </c>
      <c r="E384" s="101">
        <v>0.66669999999999996</v>
      </c>
      <c r="F384" s="96" t="s">
        <v>193</v>
      </c>
    </row>
    <row r="386" spans="1:34">
      <c r="A386" s="6" t="s">
        <v>206</v>
      </c>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row>
    <row r="388" spans="1:34">
      <c r="E388" s="15" t="s">
        <v>16</v>
      </c>
      <c r="F388" s="15" t="s">
        <v>207</v>
      </c>
    </row>
    <row r="389" spans="1:34">
      <c r="B389" s="2" t="s">
        <v>208</v>
      </c>
      <c r="D389" s="15" t="s">
        <v>18</v>
      </c>
      <c r="E389" s="84">
        <v>0.18</v>
      </c>
      <c r="F389" s="102">
        <v>2.3E-2</v>
      </c>
    </row>
    <row r="390" spans="1:34">
      <c r="E390" s="15"/>
    </row>
    <row r="391" spans="1:34">
      <c r="B391" s="2" t="s">
        <v>209</v>
      </c>
      <c r="D391" s="15" t="s">
        <v>18</v>
      </c>
      <c r="E391" s="86">
        <v>0.1</v>
      </c>
    </row>
    <row r="392" spans="1:34" ht="11.25" thickBot="1"/>
    <row r="393" spans="1:34" ht="15">
      <c r="A393" s="3281" t="s">
        <v>1794</v>
      </c>
      <c r="B393" s="3282"/>
      <c r="C393" s="3282"/>
      <c r="D393" s="3283"/>
      <c r="E393" s="3284"/>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row>
    <row r="394" spans="1:34">
      <c r="A394" s="258"/>
      <c r="B394" s="489"/>
      <c r="C394" s="489"/>
      <c r="D394" s="489"/>
      <c r="E394" s="568"/>
    </row>
    <row r="395" spans="1:34">
      <c r="A395" s="258"/>
      <c r="B395" s="489" t="s">
        <v>212</v>
      </c>
      <c r="C395" s="489"/>
      <c r="D395" s="577" t="s">
        <v>41</v>
      </c>
      <c r="E395" s="1716">
        <f>Proj_comm_date</f>
        <v>46023</v>
      </c>
    </row>
    <row r="396" spans="1:34">
      <c r="A396" s="258"/>
      <c r="B396" s="489"/>
      <c r="C396" s="489"/>
      <c r="D396" s="489"/>
      <c r="E396" s="568"/>
    </row>
    <row r="397" spans="1:34">
      <c r="A397" s="258"/>
      <c r="B397" s="30" t="s">
        <v>213</v>
      </c>
      <c r="C397" s="489"/>
      <c r="D397" s="577" t="s">
        <v>18</v>
      </c>
      <c r="E397" s="568"/>
    </row>
    <row r="398" spans="1:34">
      <c r="A398" s="258"/>
      <c r="B398" s="79" t="s">
        <v>145</v>
      </c>
      <c r="C398" s="489"/>
      <c r="D398" s="225">
        <f>'Project Cost Monthly'!D230</f>
        <v>0.3</v>
      </c>
      <c r="E398" s="568"/>
    </row>
    <row r="399" spans="1:34" ht="12" customHeight="1">
      <c r="A399" s="258"/>
      <c r="B399" s="79" t="s">
        <v>99</v>
      </c>
      <c r="C399" s="489"/>
      <c r="D399" s="161">
        <f>'Project Cost Monthly'!D232</f>
        <v>0.7</v>
      </c>
      <c r="E399" s="568"/>
      <c r="H399" s="104">
        <f>D398*Cost_of_Equity</f>
        <v>4.8712426190476173E-2</v>
      </c>
    </row>
    <row r="400" spans="1:34" hidden="1">
      <c r="A400" s="258"/>
      <c r="B400" s="79" t="s">
        <v>98</v>
      </c>
      <c r="C400" s="489"/>
      <c r="D400" s="86">
        <f>'Project Cost Monthly'!D231</f>
        <v>0</v>
      </c>
      <c r="E400" s="568"/>
      <c r="H400" s="17">
        <f>D399*F334</f>
        <v>7.0419999999999996E-2</v>
      </c>
    </row>
    <row r="401" spans="1:30">
      <c r="A401" s="258"/>
      <c r="B401" s="79" t="s">
        <v>71</v>
      </c>
      <c r="C401" s="489"/>
      <c r="D401" s="1505">
        <f>SUM(D398:D400)</f>
        <v>1</v>
      </c>
      <c r="E401" s="568"/>
    </row>
    <row r="402" spans="1:30">
      <c r="A402" s="258"/>
      <c r="B402" s="489"/>
      <c r="C402" s="489"/>
      <c r="D402" s="489"/>
      <c r="E402" s="568"/>
    </row>
    <row r="403" spans="1:30">
      <c r="A403" s="258"/>
      <c r="B403" s="489" t="s">
        <v>214</v>
      </c>
      <c r="C403" s="489"/>
      <c r="D403" s="577" t="s">
        <v>18</v>
      </c>
      <c r="E403" s="1717">
        <f>(D398*E404)+(D399*'Debt Schedule'!$D$38)+('Input '!D400*'Input '!F334)</f>
        <v>9.800642619047617E-2</v>
      </c>
    </row>
    <row r="404" spans="1:30">
      <c r="A404" s="258"/>
      <c r="B404" s="489" t="s">
        <v>215</v>
      </c>
      <c r="C404" s="489"/>
      <c r="D404" s="577" t="s">
        <v>18</v>
      </c>
      <c r="E404" s="1718">
        <f>CofCapital!G25</f>
        <v>0.1623747539682539</v>
      </c>
    </row>
    <row r="405" spans="1:30" ht="11.25" thickBot="1">
      <c r="A405" s="1211"/>
      <c r="B405" s="271" t="s">
        <v>1874</v>
      </c>
      <c r="C405" s="271"/>
      <c r="D405" s="271"/>
      <c r="E405" s="1808">
        <v>0.03</v>
      </c>
    </row>
    <row r="406" spans="1:30">
      <c r="A406" s="6" t="s">
        <v>216</v>
      </c>
      <c r="B406" s="9"/>
      <c r="C406" s="9"/>
      <c r="D406" s="9"/>
      <c r="E406" s="19"/>
      <c r="F406" s="9"/>
      <c r="G406" s="9"/>
      <c r="H406" s="9"/>
      <c r="I406" s="9"/>
      <c r="J406" s="9"/>
      <c r="K406" s="9"/>
      <c r="L406" s="9"/>
      <c r="M406" s="9"/>
      <c r="N406" s="9"/>
      <c r="O406" s="9"/>
      <c r="P406" s="9"/>
      <c r="Q406" s="9"/>
      <c r="R406" s="9"/>
      <c r="S406" s="9"/>
      <c r="T406" s="9"/>
      <c r="U406" s="9"/>
      <c r="V406" s="9"/>
      <c r="W406" s="9"/>
      <c r="X406" s="9"/>
      <c r="Y406" s="9"/>
      <c r="Z406" s="9"/>
      <c r="AA406" s="9"/>
      <c r="AB406" s="9"/>
      <c r="AC406" s="9"/>
      <c r="AD406" s="9"/>
    </row>
    <row r="408" spans="1:30">
      <c r="B408" s="2" t="s">
        <v>117</v>
      </c>
      <c r="E408" s="17">
        <v>1</v>
      </c>
    </row>
    <row r="409" spans="1:30">
      <c r="B409" s="2" t="s">
        <v>1341</v>
      </c>
      <c r="E409" s="17">
        <v>1</v>
      </c>
    </row>
    <row r="410" spans="1:30">
      <c r="B410" s="2" t="s">
        <v>1342</v>
      </c>
      <c r="E410" s="17">
        <v>1</v>
      </c>
    </row>
    <row r="411" spans="1:30">
      <c r="B411" s="2" t="s">
        <v>710</v>
      </c>
      <c r="E411" s="17">
        <v>1</v>
      </c>
    </row>
    <row r="412" spans="1:30">
      <c r="B412" s="2" t="s">
        <v>347</v>
      </c>
      <c r="E412" s="17">
        <v>1</v>
      </c>
    </row>
    <row r="413" spans="1:30">
      <c r="B413" s="2" t="s">
        <v>348</v>
      </c>
      <c r="E413" s="17">
        <v>1</v>
      </c>
    </row>
    <row r="414" spans="1:30">
      <c r="B414" s="2" t="s">
        <v>349</v>
      </c>
      <c r="E414" s="17">
        <v>1</v>
      </c>
    </row>
    <row r="415" spans="1:30">
      <c r="B415" s="2" t="s">
        <v>830</v>
      </c>
      <c r="E415" s="17">
        <v>1</v>
      </c>
    </row>
    <row r="489" spans="10:10">
      <c r="J489" s="2">
        <f>SUM(J482:J488)</f>
        <v>0</v>
      </c>
    </row>
    <row r="498" spans="10:10">
      <c r="J498" s="2">
        <f>SUM(J492:J497)</f>
        <v>0</v>
      </c>
    </row>
    <row r="522" spans="10:10">
      <c r="J522" s="2">
        <f>SUM(J515:J521)</f>
        <v>0</v>
      </c>
    </row>
  </sheetData>
  <sheetProtection formatCells="0" formatColumns="0" formatRows="0" insertColumns="0" insertRows="0" insertHyperlinks="0" deleteColumns="0" deleteRows="0" sort="0" autoFilter="0" pivotTables="0"/>
  <mergeCells count="1">
    <mergeCell ref="A393:E393"/>
  </mergeCells>
  <dataValidations count="1">
    <dataValidation type="list" allowBlank="1" showInputMessage="1" showErrorMessage="1" sqref="F67" xr:uid="{6C5DB860-CDC3-4093-99A2-D61AB52E6D3B}">
      <formula1>"WITH ADJ,NO ADJ"</formula1>
    </dataValidation>
  </dataValidations>
  <pageMargins left="0.7" right="0.7" top="0.75" bottom="0.75" header="0.3" footer="0.3"/>
  <pageSetup paperSize="9" orientation="portrait" r:id="rId1"/>
  <ignoredErrors>
    <ignoredError sqref="E78:F78 E127:F127 D94:F94 D82:E82 E110:F110 D110 D78 D127" formula="1"/>
    <ignoredError sqref="F27:F29 F31" unlockedFormula="1"/>
  </ignoredErrors>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0000000}">
          <x14:formula1>
            <xm:f>'Drop down list'!$E$2:$E$28</xm:f>
          </x14:formula1>
          <xm:sqref>F310 F309</xm:sqref>
        </x14:dataValidation>
        <x14:dataValidation type="list" allowBlank="1" showInputMessage="1" showErrorMessage="1" promptTitle="Repayment Method" xr:uid="{00000000-0002-0000-0000-000002000000}">
          <x14:formula1>
            <xm:f>'Drop down list'!$H$2:$H$5</xm:f>
          </x14:formula1>
          <xm:sqref>D318</xm:sqref>
        </x14:dataValidation>
        <x14:dataValidation type="list" allowBlank="1" showInputMessage="1" showErrorMessage="1" xr:uid="{00000000-0002-0000-0000-000003000000}">
          <x14:formula1>
            <xm:f>'Drop down list'!$H$2:$H$5</xm:f>
          </x14:formula1>
          <xm:sqref>D319</xm:sqref>
        </x14:dataValidation>
        <x14:dataValidation type="list" allowBlank="1" showInputMessage="1" showErrorMessage="1" promptTitle="Dividend Lock up" xr:uid="{00000000-0002-0000-0000-000004000000}">
          <x14:formula1>
            <xm:f>'Drop down list'!$H$9:$H$10</xm:f>
          </x14:formula1>
          <xm:sqref>F322</xm:sqref>
        </x14:dataValidation>
        <x14:dataValidation type="list" allowBlank="1" showInputMessage="1" showErrorMessage="1" xr:uid="{00000000-0002-0000-0000-000005000000}">
          <x14:formula1>
            <xm:f>'Drop down list'!$H$14:$H$15</xm:f>
          </x14:formula1>
          <xm:sqref>E373</xm:sqref>
        </x14:dataValidation>
        <x14:dataValidation type="list" allowBlank="1" showInputMessage="1" showErrorMessage="1" promptTitle="Indexation" xr:uid="{00000000-0002-0000-0000-000006000000}">
          <x14:formula1>
            <xm:f>'Drop down list'!$H$26:$H$28</xm:f>
          </x14:formula1>
          <xm:sqref>F189 F197 F200 F204 F221 F278</xm:sqref>
        </x14:dataValidation>
        <x14:dataValidation type="list" allowBlank="1" showInputMessage="1" showErrorMessage="1" xr:uid="{00000000-0002-0000-0000-000007000000}">
          <x14:formula1>
            <xm:f>'Drop down list'!$H$22:$H$23</xm:f>
          </x14:formula1>
          <xm:sqref>F9</xm:sqref>
        </x14:dataValidation>
        <x14:dataValidation type="list" allowBlank="1" showInputMessage="1" showErrorMessage="1" xr:uid="{00000000-0002-0000-0000-000008000000}">
          <x14:formula1>
            <xm:f>'Drop down list'!$K$3:$K$4</xm:f>
          </x14:formula1>
          <xm:sqref>F147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60D31-53D9-42EB-9C23-8EFDEC511834}">
  <sheetPr codeName="Sheet42">
    <tabColor rgb="FF333333"/>
  </sheetPr>
  <dimension ref="A1:Z1000"/>
  <sheetViews>
    <sheetView zoomScale="172" workbookViewId="0">
      <selection sqref="A1:H35"/>
    </sheetView>
  </sheetViews>
  <sheetFormatPr defaultColWidth="14.390625" defaultRowHeight="15" customHeight="1"/>
  <cols>
    <col min="1" max="4" width="2.41796875" style="1498" customWidth="1"/>
    <col min="5" max="5" width="33.49609375" style="1498" customWidth="1"/>
    <col min="6" max="6" width="8.609375" style="1498" hidden="1" customWidth="1"/>
    <col min="7" max="7" width="10.22265625" style="1498" customWidth="1"/>
    <col min="8" max="8" width="18.83203125" style="1498" customWidth="1"/>
    <col min="9" max="26" width="9.953125" style="1498" customWidth="1"/>
    <col min="27" max="16384" width="14.390625" style="1498"/>
  </cols>
  <sheetData>
    <row r="1" spans="1:26" ht="21.75" customHeight="1">
      <c r="A1" s="3231" t="s">
        <v>1525</v>
      </c>
      <c r="B1" s="3232"/>
      <c r="C1" s="3232"/>
      <c r="D1" s="3232"/>
      <c r="E1" s="3232"/>
      <c r="F1" s="3232"/>
      <c r="G1" s="3232"/>
      <c r="H1" s="3232"/>
      <c r="I1" s="1497"/>
      <c r="J1" s="1497"/>
      <c r="K1" s="1497"/>
      <c r="L1" s="1497"/>
      <c r="M1" s="1497"/>
      <c r="N1" s="1497"/>
      <c r="O1" s="1497"/>
      <c r="P1" s="1497"/>
      <c r="Q1" s="1497"/>
      <c r="R1" s="1497"/>
      <c r="S1" s="1497"/>
      <c r="T1" s="1497"/>
      <c r="U1" s="1497"/>
      <c r="V1" s="1497"/>
      <c r="W1" s="1497"/>
      <c r="X1" s="1497"/>
      <c r="Y1" s="1497"/>
      <c r="Z1" s="1497"/>
    </row>
    <row r="2" spans="1:26" ht="12.75" customHeight="1">
      <c r="A2" s="3232"/>
      <c r="B2" s="3232"/>
      <c r="C2" s="3232"/>
      <c r="D2" s="3232"/>
      <c r="E2" s="3232"/>
      <c r="F2" s="3232"/>
      <c r="G2" s="3232"/>
      <c r="H2" s="3232"/>
      <c r="I2" s="1497"/>
      <c r="J2" s="1497"/>
      <c r="K2" s="1497"/>
      <c r="L2" s="1497"/>
      <c r="M2" s="1497"/>
      <c r="N2" s="1497"/>
      <c r="O2" s="1497"/>
      <c r="P2" s="1497"/>
      <c r="Q2" s="1497"/>
      <c r="R2" s="1497"/>
      <c r="S2" s="1497"/>
      <c r="T2" s="1497"/>
      <c r="U2" s="1497"/>
      <c r="V2" s="1497"/>
      <c r="W2" s="1497"/>
      <c r="X2" s="1497"/>
      <c r="Y2" s="1497"/>
      <c r="Z2" s="1497"/>
    </row>
    <row r="3" spans="1:26" ht="12.75" customHeight="1">
      <c r="A3" s="3232"/>
      <c r="B3" s="3232"/>
      <c r="C3" s="3232"/>
      <c r="D3" s="3232"/>
      <c r="E3" s="3233" t="s">
        <v>1526</v>
      </c>
      <c r="F3" s="3233"/>
      <c r="G3" s="3233"/>
      <c r="H3" s="3233" t="s">
        <v>680</v>
      </c>
      <c r="I3" s="1497"/>
      <c r="J3" s="1497"/>
      <c r="K3" s="1497"/>
      <c r="L3" s="1497"/>
      <c r="M3" s="1497"/>
      <c r="N3" s="1497"/>
      <c r="O3" s="1497"/>
      <c r="P3" s="1497"/>
      <c r="Q3" s="1497"/>
      <c r="R3" s="1497"/>
      <c r="S3" s="1497"/>
      <c r="T3" s="1497"/>
      <c r="U3" s="1497"/>
      <c r="V3" s="1497"/>
      <c r="W3" s="1497"/>
      <c r="X3" s="1497"/>
      <c r="Y3" s="1497"/>
      <c r="Z3" s="1497"/>
    </row>
    <row r="4" spans="1:26" ht="12.75" customHeight="1">
      <c r="A4" s="3232"/>
      <c r="B4" s="3232"/>
      <c r="C4" s="3232"/>
      <c r="D4" s="3232"/>
      <c r="E4" s="3232"/>
      <c r="F4" s="3232"/>
      <c r="G4" s="3232"/>
      <c r="H4" s="3232"/>
      <c r="I4" s="1497"/>
      <c r="J4" s="1497"/>
      <c r="K4" s="1497"/>
      <c r="L4" s="1497"/>
      <c r="M4" s="1497"/>
      <c r="N4" s="1497"/>
      <c r="O4" s="1497"/>
      <c r="P4" s="1497"/>
      <c r="Q4" s="1497"/>
      <c r="R4" s="1497"/>
      <c r="S4" s="1497"/>
      <c r="T4" s="1497"/>
      <c r="U4" s="1497"/>
      <c r="V4" s="1497"/>
      <c r="W4" s="1497"/>
      <c r="X4" s="1497"/>
      <c r="Y4" s="1497"/>
      <c r="Z4" s="1497"/>
    </row>
    <row r="5" spans="1:26" ht="12.75" customHeight="1">
      <c r="A5" s="3232"/>
      <c r="B5" s="3232"/>
      <c r="C5" s="3232"/>
      <c r="D5" s="3232"/>
      <c r="E5" s="3234" t="s">
        <v>143</v>
      </c>
      <c r="F5" s="3234"/>
      <c r="G5" s="3234"/>
      <c r="H5" s="3234"/>
      <c r="I5" s="1497"/>
      <c r="J5" s="1497"/>
      <c r="K5" s="1497"/>
      <c r="L5" s="1497"/>
      <c r="M5" s="1497"/>
      <c r="N5" s="1497"/>
      <c r="O5" s="1497"/>
      <c r="P5" s="1497"/>
      <c r="Q5" s="1497"/>
      <c r="R5" s="1497"/>
      <c r="S5" s="1497"/>
      <c r="T5" s="1497"/>
      <c r="U5" s="1497"/>
      <c r="V5" s="1497"/>
      <c r="W5" s="1497"/>
      <c r="X5" s="1497"/>
      <c r="Y5" s="1497"/>
      <c r="Z5" s="1497"/>
    </row>
    <row r="6" spans="1:26" ht="12.75" customHeight="1">
      <c r="A6" s="3232"/>
      <c r="B6" s="3232"/>
      <c r="C6" s="3232"/>
      <c r="D6" s="3232"/>
      <c r="E6" s="3232" t="s">
        <v>1527</v>
      </c>
      <c r="F6" s="3232"/>
      <c r="G6" s="3235">
        <v>0.7</v>
      </c>
      <c r="H6" s="3232" t="s">
        <v>1528</v>
      </c>
      <c r="I6" s="1497"/>
      <c r="J6" s="1497"/>
      <c r="K6" s="1497"/>
      <c r="L6" s="1497"/>
      <c r="M6" s="1497"/>
      <c r="N6" s="1497"/>
      <c r="O6" s="1497"/>
      <c r="P6" s="1497"/>
      <c r="Q6" s="1497"/>
      <c r="R6" s="1497"/>
      <c r="S6" s="1497"/>
      <c r="T6" s="1497"/>
      <c r="U6" s="1497"/>
      <c r="V6" s="1497"/>
      <c r="W6" s="1497"/>
      <c r="X6" s="1497"/>
      <c r="Y6" s="1497"/>
      <c r="Z6" s="1497"/>
    </row>
    <row r="7" spans="1:26" ht="12.75" customHeight="1">
      <c r="A7" s="3232"/>
      <c r="B7" s="3232"/>
      <c r="C7" s="3232"/>
      <c r="D7" s="3232"/>
      <c r="E7" s="3232" t="s">
        <v>1529</v>
      </c>
      <c r="F7" s="3232"/>
      <c r="G7" s="3235">
        <f>1-G6</f>
        <v>0.30000000000000004</v>
      </c>
      <c r="H7" s="3232" t="s">
        <v>1528</v>
      </c>
      <c r="I7" s="1497"/>
      <c r="J7" s="1497"/>
      <c r="K7" s="1497"/>
      <c r="L7" s="1497"/>
      <c r="M7" s="1497"/>
      <c r="N7" s="1497"/>
      <c r="O7" s="1497"/>
      <c r="P7" s="1497"/>
      <c r="Q7" s="1497"/>
      <c r="R7" s="1497"/>
      <c r="S7" s="1497"/>
      <c r="T7" s="1497"/>
      <c r="U7" s="1497"/>
      <c r="V7" s="1497"/>
      <c r="W7" s="1497"/>
      <c r="X7" s="1497"/>
      <c r="Y7" s="1497"/>
      <c r="Z7" s="1497"/>
    </row>
    <row r="8" spans="1:26" ht="12.75" customHeight="1">
      <c r="A8" s="3232"/>
      <c r="B8" s="3232"/>
      <c r="C8" s="3232"/>
      <c r="D8" s="3232"/>
      <c r="E8" s="3232"/>
      <c r="F8" s="3232"/>
      <c r="G8" s="3232"/>
      <c r="H8" s="3232"/>
      <c r="I8" s="1497"/>
      <c r="J8" s="1497"/>
      <c r="K8" s="1497"/>
      <c r="L8" s="1497"/>
      <c r="M8" s="1497"/>
      <c r="N8" s="1497"/>
      <c r="O8" s="1497"/>
      <c r="P8" s="1497"/>
      <c r="Q8" s="1497"/>
      <c r="R8" s="1497"/>
      <c r="S8" s="1497"/>
      <c r="T8" s="1497"/>
      <c r="U8" s="1497"/>
      <c r="V8" s="1497"/>
      <c r="W8" s="1497"/>
      <c r="X8" s="1497"/>
      <c r="Y8" s="1497"/>
      <c r="Z8" s="1497"/>
    </row>
    <row r="9" spans="1:26" ht="12.75" customHeight="1">
      <c r="A9" s="3232"/>
      <c r="B9" s="3232"/>
      <c r="C9" s="3232"/>
      <c r="D9" s="3232"/>
      <c r="E9" s="3234" t="s">
        <v>1530</v>
      </c>
      <c r="F9" s="3234"/>
      <c r="G9" s="3234"/>
      <c r="H9" s="3234"/>
      <c r="I9" s="1497"/>
      <c r="J9" s="1497"/>
      <c r="K9" s="1497"/>
      <c r="L9" s="1497"/>
      <c r="M9" s="1497"/>
      <c r="N9" s="1497"/>
      <c r="O9" s="1497"/>
      <c r="P9" s="1497"/>
      <c r="Q9" s="1497"/>
      <c r="R9" s="1497"/>
      <c r="S9" s="1497"/>
      <c r="T9" s="1497"/>
      <c r="U9" s="1497"/>
      <c r="V9" s="1497"/>
      <c r="W9" s="1497"/>
      <c r="X9" s="1497"/>
      <c r="Y9" s="1497"/>
      <c r="Z9" s="1497"/>
    </row>
    <row r="10" spans="1:26" ht="12.75" customHeight="1">
      <c r="A10" s="3232"/>
      <c r="B10" s="3232"/>
      <c r="C10" s="3232"/>
      <c r="D10" s="3232"/>
      <c r="E10" s="3232" t="s">
        <v>1531</v>
      </c>
      <c r="F10" s="3232"/>
      <c r="G10" s="3235">
        <f>'Input '!F334</f>
        <v>0.10059999999999999</v>
      </c>
      <c r="H10" s="3232" t="s">
        <v>1532</v>
      </c>
      <c r="I10" s="1497"/>
      <c r="J10" s="1497"/>
      <c r="K10" s="1497"/>
      <c r="L10" s="1497"/>
      <c r="M10" s="1497"/>
      <c r="N10" s="1497"/>
      <c r="O10" s="1497"/>
      <c r="P10" s="1497"/>
      <c r="Q10" s="1497"/>
      <c r="R10" s="1497"/>
      <c r="S10" s="1497"/>
      <c r="T10" s="1497"/>
      <c r="U10" s="1497"/>
      <c r="V10" s="1497"/>
      <c r="W10" s="1497"/>
      <c r="X10" s="1497"/>
      <c r="Y10" s="1497"/>
      <c r="Z10" s="1497"/>
    </row>
    <row r="11" spans="1:26" ht="12.75" customHeight="1">
      <c r="A11" s="3232"/>
      <c r="B11" s="3232"/>
      <c r="C11" s="3232"/>
      <c r="D11" s="3232"/>
      <c r="E11" s="3232" t="s">
        <v>1533</v>
      </c>
      <c r="F11" s="3232"/>
      <c r="G11" s="3235">
        <v>0.3</v>
      </c>
      <c r="H11" s="3232" t="s">
        <v>1534</v>
      </c>
      <c r="I11" s="1497"/>
      <c r="J11" s="1497"/>
      <c r="K11" s="1497"/>
      <c r="L11" s="1497"/>
      <c r="M11" s="1497"/>
      <c r="N11" s="1497"/>
      <c r="O11" s="1497"/>
      <c r="P11" s="1497"/>
      <c r="Q11" s="1497"/>
      <c r="R11" s="1497"/>
      <c r="S11" s="1497"/>
      <c r="T11" s="1497"/>
      <c r="U11" s="1497"/>
      <c r="V11" s="1497"/>
      <c r="W11" s="1497"/>
      <c r="X11" s="1497"/>
      <c r="Y11" s="1497"/>
      <c r="Z11" s="1497"/>
    </row>
    <row r="12" spans="1:26" ht="13.5" customHeight="1" thickBot="1">
      <c r="A12" s="3232"/>
      <c r="B12" s="3232"/>
      <c r="C12" s="3232"/>
      <c r="D12" s="3232"/>
      <c r="E12" s="3236" t="s">
        <v>1535</v>
      </c>
      <c r="F12" s="3236"/>
      <c r="G12" s="3237">
        <f>G10*(1-G11)</f>
        <v>7.0419999999999996E-2</v>
      </c>
      <c r="H12" s="3232" t="s">
        <v>1536</v>
      </c>
      <c r="I12" s="1497"/>
      <c r="J12" s="1497"/>
      <c r="K12" s="1497"/>
      <c r="L12" s="1497"/>
      <c r="M12" s="1497"/>
      <c r="N12" s="1497"/>
      <c r="O12" s="1497"/>
      <c r="P12" s="1497"/>
      <c r="Q12" s="1497"/>
      <c r="R12" s="1497"/>
      <c r="S12" s="1497"/>
      <c r="T12" s="1497"/>
      <c r="U12" s="1497"/>
      <c r="V12" s="1497"/>
      <c r="W12" s="1497"/>
      <c r="X12" s="1497"/>
      <c r="Y12" s="1497"/>
      <c r="Z12" s="1497"/>
    </row>
    <row r="13" spans="1:26" ht="13.5" customHeight="1" thickTop="1" thickBot="1">
      <c r="A13" s="3232"/>
      <c r="B13" s="3232"/>
      <c r="C13" s="3232"/>
      <c r="D13" s="3232"/>
      <c r="E13" s="3232"/>
      <c r="F13" s="3232"/>
      <c r="G13" s="3232"/>
      <c r="H13" s="3232"/>
      <c r="I13" s="1497"/>
      <c r="J13" s="1497"/>
      <c r="K13" s="1497"/>
      <c r="L13" s="1497"/>
      <c r="M13" s="1497"/>
      <c r="N13" s="1497"/>
      <c r="O13" s="1497"/>
      <c r="P13" s="1497"/>
      <c r="Q13" s="1497"/>
      <c r="R13" s="1497"/>
      <c r="S13" s="1497"/>
      <c r="T13" s="1497"/>
      <c r="U13" s="1497"/>
      <c r="V13" s="1497"/>
      <c r="W13" s="1497"/>
      <c r="X13" s="1497"/>
      <c r="Y13" s="1497"/>
      <c r="Z13" s="1497"/>
    </row>
    <row r="14" spans="1:26" ht="13.9" customHeight="1">
      <c r="A14" s="3232"/>
      <c r="B14" s="3232"/>
      <c r="C14" s="3232"/>
      <c r="D14" s="3232"/>
      <c r="E14" s="3238" t="s">
        <v>797</v>
      </c>
      <c r="F14" s="3239"/>
      <c r="G14" s="3240"/>
      <c r="H14" s="3232"/>
      <c r="I14" s="1497"/>
      <c r="J14" s="1497"/>
      <c r="K14" s="1497"/>
      <c r="L14" s="1497"/>
      <c r="M14" s="1497"/>
      <c r="N14" s="1497"/>
      <c r="O14" s="1497"/>
      <c r="P14" s="1497"/>
      <c r="Q14" s="1497"/>
      <c r="R14" s="1497"/>
      <c r="S14" s="1497"/>
      <c r="T14" s="1497"/>
      <c r="U14" s="1497"/>
      <c r="V14" s="1497"/>
      <c r="W14" s="1497"/>
      <c r="X14" s="1497"/>
      <c r="Y14" s="1497"/>
      <c r="Z14" s="1497"/>
    </row>
    <row r="15" spans="1:26" ht="12.75" hidden="1" customHeight="1">
      <c r="A15" s="3232"/>
      <c r="B15" s="3232"/>
      <c r="C15" s="3232"/>
      <c r="D15" s="3232"/>
      <c r="E15" s="3241"/>
      <c r="F15" s="3242"/>
      <c r="G15" s="3243"/>
      <c r="H15" s="3232"/>
      <c r="I15" s="1497"/>
      <c r="J15" s="1497"/>
      <c r="K15" s="1497"/>
      <c r="L15" s="1497"/>
      <c r="M15" s="1497"/>
      <c r="N15" s="1497"/>
      <c r="O15" s="1497"/>
      <c r="P15" s="1497"/>
      <c r="Q15" s="1497"/>
      <c r="R15" s="1497"/>
      <c r="S15" s="1497"/>
      <c r="T15" s="1497"/>
      <c r="U15" s="1497"/>
      <c r="V15" s="1497"/>
      <c r="W15" s="1497"/>
      <c r="X15" s="1497"/>
      <c r="Y15" s="1497"/>
      <c r="Z15" s="1497"/>
    </row>
    <row r="16" spans="1:26" ht="12.75" customHeight="1">
      <c r="A16" s="3232"/>
      <c r="B16" s="3232"/>
      <c r="C16" s="3232"/>
      <c r="D16" s="3232"/>
      <c r="E16" s="3241" t="s">
        <v>1728</v>
      </c>
      <c r="F16" s="3242"/>
      <c r="G16" s="3244">
        <f>'YIELD (2)'!Q260/100</f>
        <v>0.10377075396825391</v>
      </c>
      <c r="H16" s="3232" t="s">
        <v>1537</v>
      </c>
      <c r="I16" s="1497"/>
      <c r="J16" s="1497"/>
      <c r="K16" s="1497"/>
      <c r="L16" s="1497"/>
      <c r="M16" s="1497"/>
      <c r="N16" s="1497"/>
      <c r="O16" s="1497"/>
      <c r="P16" s="1497"/>
      <c r="Q16" s="1497"/>
      <c r="R16" s="1497"/>
      <c r="S16" s="1497"/>
      <c r="T16" s="1497"/>
      <c r="U16" s="1497"/>
      <c r="V16" s="1497"/>
      <c r="W16" s="1497"/>
      <c r="X16" s="1497"/>
      <c r="Y16" s="1497"/>
      <c r="Z16" s="1497"/>
    </row>
    <row r="17" spans="1:26" ht="13.15" customHeight="1">
      <c r="A17" s="3232"/>
      <c r="B17" s="3232"/>
      <c r="C17" s="3232"/>
      <c r="D17" s="3232"/>
      <c r="E17" s="3245" t="s">
        <v>1538</v>
      </c>
      <c r="F17" s="3246"/>
      <c r="G17" s="3247">
        <f>G16</f>
        <v>0.10377075396825391</v>
      </c>
      <c r="H17" s="3232" t="s">
        <v>1536</v>
      </c>
      <c r="I17" s="1497"/>
      <c r="J17" s="1497"/>
      <c r="K17" s="1497"/>
      <c r="L17" s="1497"/>
      <c r="M17" s="1497"/>
      <c r="N17" s="1497"/>
      <c r="O17" s="1497"/>
      <c r="P17" s="1497"/>
      <c r="Q17" s="1497"/>
      <c r="R17" s="1497"/>
      <c r="S17" s="1497"/>
      <c r="T17" s="1497"/>
      <c r="U17" s="1497"/>
      <c r="V17" s="1497"/>
      <c r="W17" s="1497"/>
      <c r="X17" s="1497"/>
      <c r="Y17" s="1497"/>
      <c r="Z17" s="1497"/>
    </row>
    <row r="18" spans="1:26" ht="0.6" customHeight="1">
      <c r="A18" s="3232"/>
      <c r="B18" s="3232"/>
      <c r="C18" s="3232"/>
      <c r="D18" s="3232"/>
      <c r="E18" s="3241"/>
      <c r="F18" s="3242"/>
      <c r="G18" s="3243"/>
      <c r="H18" s="3232"/>
      <c r="I18" s="1497"/>
      <c r="J18" s="1497"/>
      <c r="K18" s="1497"/>
      <c r="L18" s="1497"/>
      <c r="M18" s="1497"/>
      <c r="N18" s="1497"/>
      <c r="O18" s="1497"/>
      <c r="P18" s="1497"/>
      <c r="Q18" s="1497"/>
      <c r="R18" s="1497"/>
      <c r="S18" s="1497"/>
      <c r="T18" s="1497"/>
      <c r="U18" s="1497"/>
      <c r="V18" s="1497"/>
      <c r="W18" s="1497"/>
      <c r="X18" s="1497"/>
      <c r="Y18" s="1497"/>
      <c r="Z18" s="1497"/>
    </row>
    <row r="19" spans="1:26" ht="18" customHeight="1">
      <c r="A19" s="3232"/>
      <c r="B19" s="3232"/>
      <c r="C19" s="3232"/>
      <c r="D19" s="3232"/>
      <c r="E19" s="3241" t="s">
        <v>1729</v>
      </c>
      <c r="F19" s="3242"/>
      <c r="G19" s="3244">
        <f>'Country Lookup'!B14</f>
        <v>4.5999999999999999E-2</v>
      </c>
      <c r="H19" s="3232" t="s">
        <v>1756</v>
      </c>
      <c r="I19" s="1497"/>
      <c r="J19" s="1497"/>
      <c r="K19" s="1497"/>
      <c r="L19" s="1497"/>
      <c r="M19" s="1497"/>
      <c r="N19" s="1497"/>
      <c r="O19" s="1497"/>
      <c r="P19" s="1497"/>
      <c r="Q19" s="1497"/>
      <c r="R19" s="1497"/>
      <c r="S19" s="1497"/>
      <c r="T19" s="1497"/>
      <c r="U19" s="1497"/>
      <c r="V19" s="1497"/>
      <c r="W19" s="1497"/>
      <c r="X19" s="1497"/>
      <c r="Y19" s="1497"/>
      <c r="Z19" s="1497"/>
    </row>
    <row r="20" spans="1:26" ht="5.45" customHeight="1">
      <c r="A20" s="3232"/>
      <c r="B20" s="3232"/>
      <c r="C20" s="3232"/>
      <c r="D20" s="3232"/>
      <c r="E20" s="3241"/>
      <c r="F20" s="3242"/>
      <c r="G20" s="3244"/>
      <c r="H20" s="3232"/>
      <c r="I20" s="1497"/>
      <c r="J20" s="1497"/>
      <c r="K20" s="1497"/>
      <c r="L20" s="1497"/>
      <c r="M20" s="1497"/>
      <c r="N20" s="1497"/>
      <c r="O20" s="1497"/>
      <c r="P20" s="1497"/>
      <c r="Q20" s="1497"/>
      <c r="R20" s="1497"/>
      <c r="S20" s="1497"/>
      <c r="T20" s="1497"/>
      <c r="U20" s="1497"/>
      <c r="V20" s="1497"/>
      <c r="W20" s="1497"/>
      <c r="X20" s="1497"/>
      <c r="Y20" s="1497"/>
      <c r="Z20" s="1497"/>
    </row>
    <row r="21" spans="1:26" ht="13.9" customHeight="1" thickBot="1">
      <c r="A21" s="3232"/>
      <c r="B21" s="3232"/>
      <c r="C21" s="3232"/>
      <c r="D21" s="3232"/>
      <c r="E21" s="3248" t="s">
        <v>1539</v>
      </c>
      <c r="F21" s="3249"/>
      <c r="G21" s="3250">
        <f>SUM(G19:G20)</f>
        <v>4.5999999999999999E-2</v>
      </c>
      <c r="H21" s="3232" t="s">
        <v>1536</v>
      </c>
      <c r="I21" s="1497"/>
      <c r="J21" s="1497"/>
      <c r="K21" s="1497"/>
      <c r="L21" s="1497"/>
      <c r="M21" s="1497"/>
      <c r="N21" s="1497"/>
      <c r="O21" s="1497"/>
      <c r="P21" s="1497"/>
      <c r="Q21" s="1497"/>
      <c r="R21" s="1497"/>
      <c r="S21" s="1497"/>
      <c r="T21" s="1497"/>
      <c r="U21" s="1497"/>
      <c r="V21" s="1497"/>
      <c r="W21" s="1497"/>
      <c r="X21" s="1497"/>
      <c r="Y21" s="1497"/>
      <c r="Z21" s="1497"/>
    </row>
    <row r="22" spans="1:26" ht="4.9000000000000004" hidden="1" customHeight="1">
      <c r="A22" s="3232"/>
      <c r="B22" s="3232"/>
      <c r="C22" s="3232"/>
      <c r="D22" s="3232"/>
      <c r="E22" s="3241"/>
      <c r="F22" s="3242"/>
      <c r="G22" s="3244"/>
      <c r="H22" s="3232"/>
      <c r="I22" s="1497"/>
      <c r="J22" s="1497"/>
      <c r="K22" s="1497"/>
      <c r="L22" s="1497"/>
      <c r="M22" s="1497"/>
      <c r="N22" s="1497"/>
      <c r="O22" s="1497"/>
      <c r="P22" s="1497"/>
      <c r="Q22" s="1497"/>
      <c r="R22" s="1497"/>
      <c r="S22" s="1497"/>
      <c r="T22" s="1497"/>
      <c r="U22" s="1497"/>
      <c r="V22" s="1497"/>
      <c r="W22" s="1497"/>
      <c r="X22" s="1497"/>
      <c r="Y22" s="1497"/>
      <c r="Z22" s="1497"/>
    </row>
    <row r="23" spans="1:26" ht="14.45" customHeight="1">
      <c r="A23" s="3232"/>
      <c r="B23" s="3232"/>
      <c r="C23" s="3232"/>
      <c r="D23" s="3232"/>
      <c r="E23" s="3241" t="s">
        <v>795</v>
      </c>
      <c r="F23" s="3242"/>
      <c r="G23" s="3251">
        <f>'YIELD (2)'!U277</f>
        <v>1.274</v>
      </c>
      <c r="H23" s="3232" t="s">
        <v>796</v>
      </c>
      <c r="I23" s="1497"/>
      <c r="J23" s="1497"/>
      <c r="K23" s="1497"/>
      <c r="L23" s="1497"/>
      <c r="M23" s="1497"/>
      <c r="N23" s="1497"/>
      <c r="O23" s="1497"/>
      <c r="P23" s="1497"/>
      <c r="Q23" s="1497"/>
      <c r="R23" s="1497"/>
      <c r="S23" s="1497"/>
      <c r="T23" s="1497"/>
      <c r="U23" s="1497"/>
      <c r="V23" s="1497"/>
      <c r="W23" s="1497"/>
      <c r="X23" s="1497"/>
      <c r="Y23" s="1497"/>
      <c r="Z23" s="1497"/>
    </row>
    <row r="24" spans="1:26" ht="14.45" customHeight="1">
      <c r="A24" s="3232"/>
      <c r="B24" s="3232"/>
      <c r="C24" s="3232"/>
      <c r="D24" s="3232"/>
      <c r="E24" s="3241"/>
      <c r="F24" s="3242"/>
      <c r="G24" s="3244"/>
      <c r="H24" s="3232" t="s">
        <v>796</v>
      </c>
      <c r="I24" s="1497"/>
      <c r="J24" s="1497"/>
      <c r="K24" s="1497"/>
      <c r="L24" s="1497"/>
      <c r="M24" s="1497"/>
      <c r="O24" s="1497"/>
      <c r="P24" s="1497"/>
      <c r="Q24" s="1497"/>
      <c r="R24" s="1497"/>
      <c r="S24" s="1497"/>
      <c r="T24" s="1497"/>
      <c r="U24" s="1497"/>
      <c r="V24" s="1497"/>
      <c r="W24" s="1497"/>
      <c r="X24" s="1497"/>
      <c r="Y24" s="1497"/>
      <c r="Z24" s="1497"/>
    </row>
    <row r="25" spans="1:26" ht="13.5" customHeight="1" thickBot="1">
      <c r="A25" s="3232"/>
      <c r="B25" s="3232"/>
      <c r="C25" s="3232"/>
      <c r="D25" s="3232"/>
      <c r="E25" s="3252" t="s">
        <v>797</v>
      </c>
      <c r="F25" s="3253"/>
      <c r="G25" s="3254">
        <f>G17+(G21*G23)+G24</f>
        <v>0.1623747539682539</v>
      </c>
      <c r="H25" s="3232" t="s">
        <v>1536</v>
      </c>
      <c r="I25" s="1497"/>
      <c r="J25" s="1497"/>
      <c r="K25" s="1497"/>
      <c r="L25" s="1497"/>
      <c r="M25" s="1497"/>
      <c r="N25" s="1497"/>
      <c r="O25" s="1497"/>
      <c r="P25" s="1497"/>
      <c r="Q25" s="1497"/>
      <c r="R25" s="1497"/>
      <c r="S25" s="1497"/>
      <c r="T25" s="1497"/>
      <c r="U25" s="1497"/>
      <c r="V25" s="1497"/>
      <c r="W25" s="1497"/>
      <c r="X25" s="1497"/>
      <c r="Y25" s="1497"/>
      <c r="Z25" s="1497"/>
    </row>
    <row r="26" spans="1:26" ht="13.5" customHeight="1">
      <c r="A26" s="3232"/>
      <c r="B26" s="3232"/>
      <c r="C26" s="3232"/>
      <c r="D26" s="3232"/>
      <c r="E26" s="3232"/>
      <c r="F26" s="3232"/>
      <c r="G26" s="3232"/>
      <c r="H26" s="3232"/>
      <c r="I26" s="1497"/>
      <c r="J26" s="1497"/>
      <c r="K26" s="1497"/>
      <c r="L26" s="1497"/>
      <c r="M26" s="1497"/>
      <c r="N26" s="1497"/>
      <c r="O26" s="1497"/>
      <c r="P26" s="1497"/>
      <c r="Q26" s="1497"/>
      <c r="R26" s="1497"/>
      <c r="S26" s="1497"/>
      <c r="T26" s="1497"/>
      <c r="U26" s="1497"/>
      <c r="V26" s="1497"/>
      <c r="W26" s="1497"/>
      <c r="X26" s="1497"/>
      <c r="Y26" s="1497"/>
      <c r="Z26" s="1497"/>
    </row>
    <row r="27" spans="1:26" ht="12.75" customHeight="1">
      <c r="A27" s="3232"/>
      <c r="B27" s="3232"/>
      <c r="C27" s="3232"/>
      <c r="D27" s="3232"/>
      <c r="E27" s="3234" t="s">
        <v>574</v>
      </c>
      <c r="F27" s="3234"/>
      <c r="G27" s="3234"/>
      <c r="H27" s="3234"/>
      <c r="I27" s="1497"/>
      <c r="J27" s="1497"/>
      <c r="K27" s="1497"/>
      <c r="L27" s="1497"/>
      <c r="M27" s="1497"/>
      <c r="N27" s="1497"/>
      <c r="O27" s="1497"/>
      <c r="P27" s="1497"/>
      <c r="Q27" s="1497"/>
      <c r="R27" s="1497"/>
      <c r="S27" s="1497"/>
      <c r="T27" s="1497"/>
      <c r="U27" s="1497"/>
      <c r="V27" s="1497"/>
      <c r="W27" s="1497"/>
      <c r="X27" s="1497"/>
      <c r="Y27" s="1497"/>
      <c r="Z27" s="1497"/>
    </row>
    <row r="28" spans="1:26" ht="12.75" customHeight="1">
      <c r="A28" s="3232"/>
      <c r="B28" s="3232"/>
      <c r="C28" s="3232"/>
      <c r="D28" s="3232"/>
      <c r="E28" s="3232" t="s">
        <v>1540</v>
      </c>
      <c r="F28" s="3232"/>
      <c r="G28" s="3235">
        <f>$G$12</f>
        <v>7.0419999999999996E-2</v>
      </c>
      <c r="H28" s="3232" t="s">
        <v>1536</v>
      </c>
      <c r="I28" s="1497"/>
      <c r="J28" s="1497"/>
      <c r="K28" s="1497"/>
      <c r="L28" s="1497"/>
      <c r="M28" s="1497"/>
      <c r="N28" s="1497"/>
      <c r="O28" s="1497"/>
      <c r="P28" s="1497"/>
      <c r="Q28" s="1497"/>
      <c r="R28" s="1497"/>
      <c r="S28" s="1497"/>
      <c r="T28" s="1497"/>
      <c r="U28" s="1497"/>
      <c r="V28" s="1497"/>
      <c r="W28" s="1497"/>
      <c r="X28" s="1497"/>
      <c r="Y28" s="1497"/>
      <c r="Z28" s="1497"/>
    </row>
    <row r="29" spans="1:26" ht="12.75" customHeight="1">
      <c r="A29" s="3232"/>
      <c r="B29" s="3232"/>
      <c r="C29" s="3232"/>
      <c r="D29" s="3232"/>
      <c r="E29" s="3232" t="s">
        <v>797</v>
      </c>
      <c r="F29" s="3232"/>
      <c r="G29" s="3235">
        <f>G25</f>
        <v>0.1623747539682539</v>
      </c>
      <c r="H29" s="3232" t="s">
        <v>1536</v>
      </c>
      <c r="I29" s="1497"/>
      <c r="J29" s="1497"/>
      <c r="K29" s="1497"/>
      <c r="L29" s="1497"/>
      <c r="M29" s="1497"/>
      <c r="N29" s="1497"/>
      <c r="O29" s="1497"/>
      <c r="P29" s="1497"/>
      <c r="Q29" s="1497"/>
      <c r="R29" s="1497"/>
      <c r="S29" s="1497"/>
      <c r="T29" s="1497"/>
      <c r="U29" s="1497"/>
      <c r="V29" s="1497"/>
      <c r="W29" s="1497"/>
      <c r="X29" s="1497"/>
      <c r="Y29" s="1497"/>
      <c r="Z29" s="1497"/>
    </row>
    <row r="30" spans="1:26" ht="12.75" customHeight="1">
      <c r="A30" s="3232"/>
      <c r="B30" s="3232"/>
      <c r="C30" s="3232"/>
      <c r="D30" s="3232"/>
      <c r="E30" s="3232" t="s">
        <v>1541</v>
      </c>
      <c r="F30" s="3232"/>
      <c r="G30" s="3255">
        <f>$G$6</f>
        <v>0.7</v>
      </c>
      <c r="H30" s="3232" t="s">
        <v>1528</v>
      </c>
      <c r="I30" s="1497"/>
      <c r="J30" s="1497"/>
      <c r="K30" s="1497"/>
      <c r="L30" s="1497"/>
      <c r="M30" s="1497"/>
      <c r="N30" s="1497"/>
      <c r="O30" s="1497"/>
      <c r="P30" s="1497"/>
      <c r="Q30" s="1497"/>
      <c r="R30" s="1497"/>
      <c r="S30" s="1497"/>
      <c r="T30" s="1497"/>
      <c r="U30" s="1497"/>
      <c r="V30" s="1497"/>
      <c r="W30" s="1497"/>
      <c r="X30" s="1497"/>
      <c r="Y30" s="1497"/>
      <c r="Z30" s="1497"/>
    </row>
    <row r="31" spans="1:26" ht="12.75" customHeight="1">
      <c r="A31" s="3232"/>
      <c r="B31" s="3232"/>
      <c r="C31" s="3232"/>
      <c r="D31" s="3232"/>
      <c r="E31" s="3232" t="s">
        <v>1529</v>
      </c>
      <c r="F31" s="3232"/>
      <c r="G31" s="3255">
        <f>$G$7</f>
        <v>0.30000000000000004</v>
      </c>
      <c r="H31" s="3232" t="s">
        <v>1528</v>
      </c>
      <c r="I31" s="1497"/>
      <c r="J31" s="1497"/>
      <c r="K31" s="1497"/>
      <c r="L31" s="1497"/>
      <c r="M31" s="1497"/>
      <c r="N31" s="1497"/>
      <c r="O31" s="1497"/>
      <c r="P31" s="1497"/>
      <c r="Q31" s="1497"/>
      <c r="R31" s="1497"/>
      <c r="S31" s="1497"/>
      <c r="T31" s="1497"/>
      <c r="U31" s="1497"/>
      <c r="V31" s="1497"/>
      <c r="W31" s="1497"/>
      <c r="X31" s="1497"/>
      <c r="Y31" s="1497"/>
      <c r="Z31" s="1497"/>
    </row>
    <row r="32" spans="1:26" ht="13.5" customHeight="1" thickBot="1">
      <c r="A32" s="3232"/>
      <c r="B32" s="3232"/>
      <c r="C32" s="3232"/>
      <c r="D32" s="3232"/>
      <c r="E32" s="3236" t="s">
        <v>574</v>
      </c>
      <c r="F32" s="3236"/>
      <c r="G32" s="3237">
        <f>(G28*G30)+(G29*G31)</f>
        <v>9.800642619047617E-2</v>
      </c>
      <c r="H32" s="3232" t="s">
        <v>1536</v>
      </c>
      <c r="I32" s="1497"/>
      <c r="J32" s="1497"/>
      <c r="K32" s="1497"/>
      <c r="L32" s="1497"/>
      <c r="M32" s="1497"/>
      <c r="N32" s="1497"/>
      <c r="O32" s="1497"/>
      <c r="P32" s="1497"/>
      <c r="Q32" s="1497"/>
      <c r="R32" s="1497"/>
      <c r="S32" s="1497"/>
      <c r="T32" s="1497"/>
      <c r="U32" s="1497"/>
      <c r="V32" s="1497"/>
      <c r="W32" s="1497"/>
      <c r="X32" s="1497"/>
      <c r="Y32" s="1497"/>
      <c r="Z32" s="1497"/>
    </row>
    <row r="33" spans="1:26" ht="13.5" customHeight="1" thickTop="1">
      <c r="A33" s="3232"/>
      <c r="B33" s="3232"/>
      <c r="C33" s="3232"/>
      <c r="D33" s="3232"/>
      <c r="E33" s="3232"/>
      <c r="F33" s="3232"/>
      <c r="G33" s="3232"/>
      <c r="H33" s="3232"/>
      <c r="I33" s="1497"/>
      <c r="J33" s="1497"/>
      <c r="K33" s="1497"/>
      <c r="L33" s="1497"/>
      <c r="M33" s="1497"/>
      <c r="N33" s="1497"/>
      <c r="O33" s="1497"/>
      <c r="P33" s="1497"/>
      <c r="Q33" s="1497"/>
      <c r="R33" s="1497"/>
      <c r="S33" s="1497"/>
      <c r="T33" s="1497"/>
      <c r="U33" s="1497"/>
      <c r="V33" s="1497"/>
      <c r="W33" s="1497"/>
      <c r="X33" s="1497"/>
      <c r="Y33" s="1497"/>
      <c r="Z33" s="1497"/>
    </row>
    <row r="34" spans="1:26" ht="12.75" customHeight="1">
      <c r="A34" s="3232"/>
      <c r="B34" s="3232"/>
      <c r="C34" s="3232"/>
      <c r="D34" s="3232"/>
      <c r="E34" s="3232"/>
      <c r="F34" s="3232"/>
      <c r="G34" s="3232"/>
      <c r="H34" s="3232"/>
      <c r="I34" s="1497"/>
      <c r="J34" s="1497"/>
      <c r="K34" s="1497"/>
      <c r="L34" s="1497"/>
      <c r="M34" s="1497"/>
      <c r="N34" s="1497"/>
      <c r="O34" s="1497"/>
      <c r="P34" s="1497"/>
      <c r="Q34" s="1497"/>
      <c r="R34" s="1497"/>
      <c r="S34" s="1497"/>
      <c r="T34" s="1497"/>
      <c r="U34" s="1497"/>
      <c r="V34" s="1497"/>
      <c r="W34" s="1497"/>
      <c r="X34" s="1497"/>
      <c r="Y34" s="1497"/>
      <c r="Z34" s="1497"/>
    </row>
    <row r="35" spans="1:26" ht="12.75" customHeight="1">
      <c r="A35" s="3232"/>
      <c r="B35" s="3232"/>
      <c r="C35" s="3232"/>
      <c r="D35" s="3232"/>
      <c r="E35" s="3232"/>
      <c r="F35" s="3232"/>
      <c r="G35" s="3232"/>
      <c r="H35" s="3232"/>
      <c r="I35" s="1497"/>
      <c r="J35" s="1497"/>
      <c r="K35" s="1497"/>
      <c r="L35" s="1497"/>
      <c r="M35" s="1497"/>
      <c r="N35" s="1497"/>
      <c r="O35" s="1497"/>
      <c r="P35" s="1497"/>
      <c r="Q35" s="1497"/>
      <c r="R35" s="1497"/>
      <c r="S35" s="1497"/>
      <c r="T35" s="1497"/>
      <c r="U35" s="1497"/>
      <c r="V35" s="1497"/>
      <c r="W35" s="1497"/>
      <c r="X35" s="1497"/>
      <c r="Y35" s="1497"/>
      <c r="Z35" s="1497"/>
    </row>
    <row r="36" spans="1:26" ht="12.75" customHeight="1">
      <c r="A36" s="1497"/>
      <c r="B36" s="1497"/>
      <c r="C36" s="1497"/>
      <c r="D36" s="1497"/>
      <c r="E36" s="1497"/>
      <c r="F36" s="1497"/>
      <c r="G36" s="1497"/>
      <c r="H36" s="1497"/>
      <c r="I36" s="1497"/>
      <c r="J36" s="1497"/>
      <c r="K36" s="1497"/>
      <c r="L36" s="1497"/>
      <c r="M36" s="1497"/>
      <c r="N36" s="1497"/>
      <c r="O36" s="1497"/>
      <c r="P36" s="1497"/>
      <c r="Q36" s="1497"/>
      <c r="R36" s="1497"/>
      <c r="S36" s="1497"/>
      <c r="T36" s="1497"/>
      <c r="U36" s="1497"/>
      <c r="V36" s="1497"/>
      <c r="W36" s="1497"/>
      <c r="X36" s="1497"/>
      <c r="Y36" s="1497"/>
      <c r="Z36" s="1497"/>
    </row>
    <row r="37" spans="1:26" ht="12.75" customHeight="1">
      <c r="A37" s="1497"/>
      <c r="B37" s="1497"/>
      <c r="C37" s="1497"/>
      <c r="D37" s="1497"/>
      <c r="E37" s="1497"/>
      <c r="F37" s="1497"/>
      <c r="G37" s="1497"/>
      <c r="H37" s="1497"/>
      <c r="I37" s="1497"/>
      <c r="J37" s="1497"/>
      <c r="K37" s="1497"/>
      <c r="L37" s="1497"/>
      <c r="M37" s="1497"/>
      <c r="N37" s="1497"/>
      <c r="O37" s="1497"/>
      <c r="P37" s="1497"/>
      <c r="Q37" s="1497"/>
      <c r="R37" s="1497"/>
      <c r="S37" s="1497"/>
      <c r="T37" s="1497"/>
      <c r="U37" s="1497"/>
      <c r="V37" s="1497"/>
      <c r="W37" s="1497"/>
      <c r="X37" s="1497"/>
      <c r="Y37" s="1497"/>
      <c r="Z37" s="1497"/>
    </row>
    <row r="38" spans="1:26" ht="12.75" customHeight="1">
      <c r="A38" s="1497"/>
      <c r="B38" s="1497"/>
      <c r="C38" s="1497"/>
      <c r="D38" s="1497"/>
      <c r="E38" s="1497"/>
      <c r="F38" s="1497"/>
      <c r="G38" s="1497"/>
      <c r="H38" s="1497"/>
      <c r="I38" s="1497"/>
      <c r="J38" s="1497"/>
      <c r="K38" s="1497"/>
      <c r="L38" s="1497"/>
      <c r="M38" s="1497"/>
      <c r="N38" s="1497"/>
      <c r="O38" s="1497"/>
      <c r="P38" s="1497"/>
      <c r="Q38" s="1497"/>
      <c r="R38" s="1497"/>
      <c r="S38" s="1497"/>
      <c r="T38" s="1497"/>
      <c r="U38" s="1497"/>
      <c r="V38" s="1497"/>
      <c r="W38" s="1497"/>
      <c r="X38" s="1497"/>
      <c r="Y38" s="1497"/>
      <c r="Z38" s="1497"/>
    </row>
    <row r="39" spans="1:26" ht="12.75" customHeight="1">
      <c r="A39" s="1497"/>
      <c r="B39" s="1497"/>
      <c r="C39" s="1497"/>
      <c r="D39" s="1497"/>
      <c r="E39" s="1497"/>
      <c r="F39" s="1497"/>
      <c r="G39" s="1497"/>
      <c r="H39" s="1497"/>
      <c r="I39" s="1497"/>
      <c r="J39" s="1497"/>
      <c r="K39" s="1497"/>
      <c r="L39" s="1497"/>
      <c r="M39" s="1497"/>
      <c r="N39" s="1497"/>
      <c r="O39" s="1497"/>
      <c r="P39" s="1497"/>
      <c r="Q39" s="1497"/>
      <c r="R39" s="1497"/>
      <c r="S39" s="1497"/>
      <c r="T39" s="1497"/>
      <c r="U39" s="1497"/>
      <c r="V39" s="1497"/>
      <c r="W39" s="1497"/>
      <c r="X39" s="1497"/>
      <c r="Y39" s="1497"/>
      <c r="Z39" s="1497"/>
    </row>
    <row r="40" spans="1:26" ht="12.75" customHeight="1">
      <c r="A40" s="1497"/>
      <c r="B40" s="1497"/>
      <c r="C40" s="1497"/>
      <c r="D40" s="1497"/>
      <c r="E40" s="1497"/>
      <c r="F40" s="1497"/>
      <c r="G40" s="1497"/>
      <c r="H40" s="1497"/>
      <c r="I40" s="1497"/>
      <c r="J40" s="1497"/>
      <c r="K40" s="1497"/>
      <c r="L40" s="1497"/>
      <c r="M40" s="1497"/>
      <c r="N40" s="1497"/>
      <c r="O40" s="1497"/>
      <c r="P40" s="1497"/>
      <c r="Q40" s="1497"/>
      <c r="R40" s="1497"/>
      <c r="S40" s="1497"/>
      <c r="T40" s="1497"/>
      <c r="U40" s="1497"/>
      <c r="V40" s="1497"/>
      <c r="W40" s="1497"/>
      <c r="X40" s="1497"/>
      <c r="Y40" s="1497"/>
      <c r="Z40" s="1497"/>
    </row>
    <row r="41" spans="1:26" ht="12.75" customHeight="1">
      <c r="A41" s="1497"/>
      <c r="B41" s="1497"/>
      <c r="C41" s="1497"/>
      <c r="D41" s="1497"/>
      <c r="E41" s="1497"/>
      <c r="F41" s="1497"/>
      <c r="G41" s="1497"/>
      <c r="H41" s="1497"/>
      <c r="I41" s="1497"/>
      <c r="J41" s="1497"/>
      <c r="K41" s="1497"/>
      <c r="L41" s="1497"/>
      <c r="M41" s="1497"/>
      <c r="N41" s="1497"/>
      <c r="O41" s="1497"/>
      <c r="P41" s="1497"/>
      <c r="Q41" s="1497"/>
      <c r="R41" s="1497"/>
      <c r="S41" s="1497"/>
      <c r="T41" s="1497"/>
      <c r="U41" s="1497"/>
      <c r="V41" s="1497"/>
      <c r="W41" s="1497"/>
      <c r="X41" s="1497"/>
      <c r="Y41" s="1497"/>
      <c r="Z41" s="1497"/>
    </row>
    <row r="42" spans="1:26" ht="12.75" customHeight="1">
      <c r="A42" s="1497"/>
      <c r="B42" s="1497"/>
      <c r="C42" s="1497"/>
      <c r="D42" s="1497"/>
      <c r="E42" s="1497"/>
      <c r="F42" s="1497"/>
      <c r="G42" s="1497"/>
      <c r="H42" s="1497"/>
      <c r="I42" s="1497"/>
      <c r="J42" s="1497"/>
      <c r="K42" s="1497"/>
      <c r="L42" s="1497"/>
      <c r="M42" s="1497"/>
      <c r="N42" s="1497"/>
      <c r="O42" s="1497"/>
      <c r="P42" s="1497"/>
      <c r="Q42" s="1497"/>
      <c r="R42" s="1497"/>
      <c r="S42" s="1497"/>
      <c r="T42" s="1497"/>
      <c r="U42" s="1497"/>
      <c r="V42" s="1497"/>
      <c r="W42" s="1497"/>
      <c r="X42" s="1497"/>
      <c r="Y42" s="1497"/>
      <c r="Z42" s="1497"/>
    </row>
    <row r="43" spans="1:26" ht="12.75" customHeight="1">
      <c r="A43" s="1497"/>
      <c r="B43" s="1497"/>
      <c r="C43" s="1497"/>
      <c r="D43" s="1497"/>
      <c r="E43" s="1497"/>
      <c r="F43" s="1497"/>
      <c r="G43" s="1497"/>
      <c r="H43" s="1497"/>
      <c r="I43" s="1497"/>
      <c r="J43" s="1497"/>
      <c r="K43" s="1497"/>
      <c r="L43" s="1497"/>
      <c r="M43" s="1497"/>
      <c r="N43" s="1497"/>
      <c r="O43" s="1497"/>
      <c r="P43" s="1497"/>
      <c r="Q43" s="1497"/>
      <c r="R43" s="1497"/>
      <c r="S43" s="1497"/>
      <c r="T43" s="1497"/>
      <c r="U43" s="1497"/>
      <c r="V43" s="1497"/>
      <c r="W43" s="1497"/>
      <c r="X43" s="1497"/>
      <c r="Y43" s="1497"/>
      <c r="Z43" s="1497"/>
    </row>
    <row r="44" spans="1:26" ht="12.75" customHeight="1">
      <c r="A44" s="1497"/>
      <c r="B44" s="1497"/>
      <c r="C44" s="1497"/>
      <c r="D44" s="1497"/>
      <c r="E44" s="1497"/>
      <c r="F44" s="1497"/>
      <c r="G44" s="1497"/>
      <c r="H44" s="1497"/>
      <c r="I44" s="1497"/>
      <c r="J44" s="1497"/>
      <c r="K44" s="1497"/>
      <c r="L44" s="1497"/>
      <c r="M44" s="1497"/>
      <c r="N44" s="1497"/>
      <c r="O44" s="1497"/>
      <c r="P44" s="1497"/>
      <c r="Q44" s="1497"/>
      <c r="R44" s="1497"/>
      <c r="S44" s="1497"/>
      <c r="T44" s="1497"/>
      <c r="U44" s="1497"/>
      <c r="V44" s="1497"/>
      <c r="W44" s="1497"/>
      <c r="X44" s="1497"/>
      <c r="Y44" s="1497"/>
      <c r="Z44" s="1497"/>
    </row>
    <row r="45" spans="1:26" ht="12.75" customHeight="1">
      <c r="A45" s="1497"/>
      <c r="B45" s="1497"/>
      <c r="C45" s="1497"/>
      <c r="D45" s="1497"/>
      <c r="E45" s="1497"/>
      <c r="F45" s="1497"/>
      <c r="G45" s="1497"/>
      <c r="H45" s="1497"/>
      <c r="I45" s="1497"/>
      <c r="J45" s="1497"/>
      <c r="K45" s="1497"/>
      <c r="L45" s="1497"/>
      <c r="M45" s="1497"/>
      <c r="N45" s="1497"/>
      <c r="O45" s="1497"/>
      <c r="P45" s="1497"/>
      <c r="Q45" s="1497"/>
      <c r="R45" s="1497"/>
      <c r="S45" s="1497"/>
      <c r="T45" s="1497"/>
      <c r="U45" s="1497"/>
      <c r="V45" s="1497"/>
      <c r="W45" s="1497"/>
      <c r="X45" s="1497"/>
      <c r="Y45" s="1497"/>
      <c r="Z45" s="1497"/>
    </row>
    <row r="46" spans="1:26" ht="12.75" customHeight="1">
      <c r="A46" s="1497"/>
      <c r="B46" s="1497"/>
      <c r="C46" s="1497"/>
      <c r="D46" s="1497"/>
      <c r="E46" s="1497"/>
      <c r="F46" s="1497"/>
      <c r="G46" s="1497"/>
      <c r="H46" s="1497"/>
      <c r="I46" s="1497"/>
      <c r="J46" s="1497"/>
      <c r="K46" s="1497"/>
      <c r="L46" s="1497"/>
      <c r="M46" s="1497"/>
      <c r="N46" s="1497"/>
      <c r="O46" s="1497"/>
      <c r="P46" s="1497"/>
      <c r="Q46" s="1497"/>
      <c r="R46" s="1497"/>
      <c r="S46" s="1497"/>
      <c r="T46" s="1497"/>
      <c r="U46" s="1497"/>
      <c r="V46" s="1497"/>
      <c r="W46" s="1497"/>
      <c r="X46" s="1497"/>
      <c r="Y46" s="1497"/>
      <c r="Z46" s="1497"/>
    </row>
    <row r="47" spans="1:26" ht="12.75" customHeight="1">
      <c r="A47" s="1497"/>
      <c r="B47" s="1497"/>
      <c r="C47" s="1497"/>
      <c r="D47" s="1497"/>
      <c r="E47" s="1497"/>
      <c r="F47" s="1497"/>
      <c r="G47" s="1497"/>
      <c r="H47" s="1497"/>
      <c r="I47" s="1497"/>
      <c r="J47" s="1497"/>
      <c r="K47" s="1497"/>
      <c r="L47" s="1497"/>
      <c r="M47" s="1497"/>
      <c r="N47" s="1497"/>
      <c r="O47" s="1497"/>
      <c r="P47" s="1497"/>
      <c r="Q47" s="1497"/>
      <c r="R47" s="1497"/>
      <c r="S47" s="1497"/>
      <c r="T47" s="1497"/>
      <c r="U47" s="1497"/>
      <c r="V47" s="1497"/>
      <c r="W47" s="1497"/>
      <c r="X47" s="1497"/>
      <c r="Y47" s="1497"/>
      <c r="Z47" s="1497"/>
    </row>
    <row r="48" spans="1:26" ht="12.75" customHeight="1">
      <c r="A48" s="1497"/>
      <c r="B48" s="1497"/>
      <c r="C48" s="1497"/>
      <c r="D48" s="1497"/>
      <c r="E48" s="1497"/>
      <c r="F48" s="1497"/>
      <c r="G48" s="1497"/>
      <c r="H48" s="1497"/>
      <c r="I48" s="1497"/>
      <c r="J48" s="1497"/>
      <c r="K48" s="1497"/>
      <c r="L48" s="1497"/>
      <c r="M48" s="1497"/>
      <c r="N48" s="1497"/>
      <c r="O48" s="1497"/>
      <c r="P48" s="1497"/>
      <c r="Q48" s="1497"/>
      <c r="R48" s="1497"/>
      <c r="S48" s="1497"/>
      <c r="T48" s="1497"/>
      <c r="U48" s="1497"/>
      <c r="V48" s="1497"/>
      <c r="W48" s="1497"/>
      <c r="X48" s="1497"/>
      <c r="Y48" s="1497"/>
      <c r="Z48" s="1497"/>
    </row>
    <row r="49" spans="1:26" ht="12.75" customHeight="1">
      <c r="A49" s="1497"/>
      <c r="B49" s="1497"/>
      <c r="C49" s="1497"/>
      <c r="D49" s="1497"/>
      <c r="E49" s="1497"/>
      <c r="F49" s="1497"/>
      <c r="G49" s="1497"/>
      <c r="H49" s="1497"/>
      <c r="I49" s="1497"/>
      <c r="J49" s="1497"/>
      <c r="K49" s="1497"/>
      <c r="L49" s="1497"/>
      <c r="M49" s="1497"/>
      <c r="N49" s="1497"/>
      <c r="O49" s="1497"/>
      <c r="P49" s="1497"/>
      <c r="Q49" s="1497"/>
      <c r="R49" s="1497"/>
      <c r="S49" s="1497"/>
      <c r="T49" s="1497"/>
      <c r="U49" s="1497"/>
      <c r="V49" s="1497"/>
      <c r="W49" s="1497"/>
      <c r="X49" s="1497"/>
      <c r="Y49" s="1497"/>
      <c r="Z49" s="1497"/>
    </row>
    <row r="50" spans="1:26" ht="12.75" customHeight="1">
      <c r="A50" s="1497"/>
      <c r="B50" s="1497"/>
      <c r="C50" s="1497"/>
      <c r="D50" s="1497"/>
      <c r="E50" s="1497"/>
      <c r="F50" s="1497"/>
      <c r="G50" s="1497"/>
      <c r="H50" s="1497"/>
      <c r="I50" s="1497"/>
      <c r="J50" s="1497"/>
      <c r="K50" s="1497"/>
      <c r="L50" s="1497"/>
      <c r="M50" s="1497"/>
      <c r="N50" s="1497"/>
      <c r="O50" s="1497"/>
      <c r="P50" s="1497"/>
      <c r="Q50" s="1497"/>
      <c r="R50" s="1497"/>
      <c r="S50" s="1497"/>
      <c r="T50" s="1497"/>
      <c r="U50" s="1497"/>
      <c r="V50" s="1497"/>
      <c r="W50" s="1497"/>
      <c r="X50" s="1497"/>
      <c r="Y50" s="1497"/>
      <c r="Z50" s="1497"/>
    </row>
    <row r="51" spans="1:26" ht="12.75" customHeight="1">
      <c r="A51" s="1497"/>
      <c r="B51" s="1497"/>
      <c r="C51" s="1497"/>
      <c r="D51" s="1497"/>
      <c r="E51" s="1497"/>
      <c r="F51" s="1497"/>
      <c r="G51" s="1497"/>
      <c r="H51" s="1497"/>
      <c r="I51" s="1497"/>
      <c r="J51" s="1497"/>
      <c r="K51" s="1497"/>
      <c r="L51" s="1497"/>
      <c r="M51" s="1497"/>
      <c r="N51" s="1497"/>
      <c r="O51" s="1497"/>
      <c r="P51" s="1497"/>
      <c r="Q51" s="1497"/>
      <c r="R51" s="1497"/>
      <c r="S51" s="1497"/>
      <c r="T51" s="1497"/>
      <c r="U51" s="1497"/>
      <c r="V51" s="1497"/>
      <c r="W51" s="1497"/>
      <c r="X51" s="1497"/>
      <c r="Y51" s="1497"/>
      <c r="Z51" s="1497"/>
    </row>
    <row r="52" spans="1:26" ht="12.75" customHeight="1">
      <c r="A52" s="1497"/>
      <c r="B52" s="1497"/>
      <c r="C52" s="1497"/>
      <c r="D52" s="1497"/>
      <c r="E52" s="1497"/>
      <c r="F52" s="1497"/>
      <c r="G52" s="1497"/>
      <c r="H52" s="1497"/>
      <c r="I52" s="1497"/>
      <c r="J52" s="1497"/>
      <c r="K52" s="1497"/>
      <c r="L52" s="1497"/>
      <c r="M52" s="1497"/>
      <c r="N52" s="1497"/>
      <c r="O52" s="1497"/>
      <c r="P52" s="1497"/>
      <c r="Q52" s="1497"/>
      <c r="R52" s="1497"/>
      <c r="S52" s="1497"/>
      <c r="T52" s="1497"/>
      <c r="U52" s="1497"/>
      <c r="V52" s="1497"/>
      <c r="W52" s="1497"/>
      <c r="X52" s="1497"/>
      <c r="Y52" s="1497"/>
      <c r="Z52" s="1497"/>
    </row>
    <row r="53" spans="1:26" ht="12.75" customHeight="1">
      <c r="A53" s="1497"/>
      <c r="B53" s="1497"/>
      <c r="C53" s="1497"/>
      <c r="D53" s="1497"/>
      <c r="E53" s="1497"/>
      <c r="F53" s="1497"/>
      <c r="G53" s="1497"/>
      <c r="H53" s="1497"/>
      <c r="I53" s="1497"/>
      <c r="J53" s="1497"/>
      <c r="K53" s="1497"/>
      <c r="L53" s="1497"/>
      <c r="M53" s="1497"/>
      <c r="N53" s="1497"/>
      <c r="O53" s="1497"/>
      <c r="P53" s="1497"/>
      <c r="Q53" s="1497"/>
      <c r="R53" s="1497"/>
      <c r="S53" s="1497"/>
      <c r="T53" s="1497"/>
      <c r="U53" s="1497"/>
      <c r="V53" s="1497"/>
      <c r="W53" s="1497"/>
      <c r="X53" s="1497"/>
      <c r="Y53" s="1497"/>
      <c r="Z53" s="1497"/>
    </row>
    <row r="54" spans="1:26" ht="12.75" customHeight="1">
      <c r="A54" s="1497"/>
      <c r="B54" s="1497"/>
      <c r="C54" s="1497"/>
      <c r="D54" s="1497"/>
      <c r="E54" s="1497"/>
      <c r="F54" s="1497"/>
      <c r="G54" s="1497"/>
      <c r="H54" s="1497"/>
      <c r="I54" s="1497"/>
      <c r="J54" s="1497"/>
      <c r="K54" s="1497"/>
      <c r="L54" s="1497"/>
      <c r="M54" s="1497"/>
      <c r="N54" s="1497"/>
      <c r="O54" s="1497"/>
      <c r="P54" s="1497"/>
      <c r="Q54" s="1497"/>
      <c r="R54" s="1497"/>
      <c r="S54" s="1497"/>
      <c r="T54" s="1497"/>
      <c r="U54" s="1497"/>
      <c r="V54" s="1497"/>
      <c r="W54" s="1497"/>
      <c r="X54" s="1497"/>
      <c r="Y54" s="1497"/>
      <c r="Z54" s="1497"/>
    </row>
    <row r="55" spans="1:26" ht="12.75" customHeight="1">
      <c r="A55" s="1497"/>
      <c r="B55" s="1497"/>
      <c r="C55" s="1497"/>
      <c r="D55" s="1497"/>
      <c r="E55" s="1497"/>
      <c r="F55" s="1497"/>
      <c r="G55" s="1497"/>
      <c r="H55" s="1497"/>
      <c r="I55" s="1497"/>
      <c r="J55" s="1497"/>
      <c r="K55" s="1497"/>
      <c r="L55" s="1497"/>
      <c r="M55" s="1497"/>
      <c r="N55" s="1497"/>
      <c r="O55" s="1497"/>
      <c r="P55" s="1497"/>
      <c r="Q55" s="1497"/>
      <c r="R55" s="1497"/>
      <c r="S55" s="1497"/>
      <c r="T55" s="1497"/>
      <c r="U55" s="1497"/>
      <c r="V55" s="1497"/>
      <c r="W55" s="1497"/>
      <c r="X55" s="1497"/>
      <c r="Y55" s="1497"/>
      <c r="Z55" s="1497"/>
    </row>
    <row r="56" spans="1:26" ht="12.75" customHeight="1">
      <c r="A56" s="1497"/>
      <c r="B56" s="1497"/>
      <c r="C56" s="1497"/>
      <c r="D56" s="1497"/>
      <c r="E56" s="1497"/>
      <c r="F56" s="1497"/>
      <c r="G56" s="1497"/>
      <c r="H56" s="1497"/>
      <c r="I56" s="1497"/>
      <c r="J56" s="1497"/>
      <c r="K56" s="1497"/>
      <c r="L56" s="1497"/>
      <c r="M56" s="1497"/>
      <c r="N56" s="1497"/>
      <c r="O56" s="1497"/>
      <c r="P56" s="1497"/>
      <c r="Q56" s="1497"/>
      <c r="R56" s="1497"/>
      <c r="S56" s="1497"/>
      <c r="T56" s="1497"/>
      <c r="U56" s="1497"/>
      <c r="V56" s="1497"/>
      <c r="W56" s="1497"/>
      <c r="X56" s="1497"/>
      <c r="Y56" s="1497"/>
      <c r="Z56" s="1497"/>
    </row>
    <row r="57" spans="1:26" ht="12.75" customHeight="1">
      <c r="A57" s="1497"/>
      <c r="B57" s="1497"/>
      <c r="C57" s="1497"/>
      <c r="D57" s="1497"/>
      <c r="E57" s="1497"/>
      <c r="F57" s="1497"/>
      <c r="G57" s="1497"/>
      <c r="H57" s="1497"/>
      <c r="I57" s="1497"/>
      <c r="J57" s="1497"/>
      <c r="K57" s="1497"/>
      <c r="L57" s="1497"/>
      <c r="M57" s="1497"/>
      <c r="N57" s="1497"/>
      <c r="O57" s="1497"/>
      <c r="P57" s="1497"/>
      <c r="Q57" s="1497"/>
      <c r="R57" s="1497"/>
      <c r="S57" s="1497"/>
      <c r="T57" s="1497"/>
      <c r="U57" s="1497"/>
      <c r="V57" s="1497"/>
      <c r="W57" s="1497"/>
      <c r="X57" s="1497"/>
      <c r="Y57" s="1497"/>
      <c r="Z57" s="1497"/>
    </row>
    <row r="58" spans="1:26" ht="12.75" customHeight="1">
      <c r="A58" s="1497"/>
      <c r="B58" s="1497"/>
      <c r="C58" s="1497"/>
      <c r="D58" s="1497"/>
      <c r="E58" s="1497"/>
      <c r="F58" s="1497"/>
      <c r="G58" s="1497"/>
      <c r="H58" s="1497"/>
      <c r="I58" s="1497"/>
      <c r="J58" s="1497"/>
      <c r="K58" s="1497"/>
      <c r="L58" s="1497"/>
      <c r="M58" s="1497"/>
      <c r="N58" s="1497"/>
      <c r="O58" s="1497"/>
      <c r="P58" s="1497"/>
      <c r="Q58" s="1497"/>
      <c r="R58" s="1497"/>
      <c r="S58" s="1497"/>
      <c r="T58" s="1497"/>
      <c r="U58" s="1497"/>
      <c r="V58" s="1497"/>
      <c r="W58" s="1497"/>
      <c r="X58" s="1497"/>
      <c r="Y58" s="1497"/>
      <c r="Z58" s="1497"/>
    </row>
    <row r="59" spans="1:26" ht="12.75" customHeight="1">
      <c r="A59" s="1497"/>
      <c r="B59" s="1497"/>
      <c r="C59" s="1497"/>
      <c r="D59" s="1497"/>
      <c r="E59" s="1497"/>
      <c r="F59" s="1497"/>
      <c r="G59" s="1497"/>
      <c r="H59" s="1497"/>
      <c r="I59" s="1497"/>
      <c r="J59" s="1497"/>
      <c r="K59" s="1497"/>
      <c r="L59" s="1497"/>
      <c r="M59" s="1497"/>
      <c r="N59" s="1497"/>
      <c r="O59" s="1497"/>
      <c r="P59" s="1497"/>
      <c r="Q59" s="1497"/>
      <c r="R59" s="1497"/>
      <c r="S59" s="1497"/>
      <c r="T59" s="1497"/>
      <c r="U59" s="1497"/>
      <c r="V59" s="1497"/>
      <c r="W59" s="1497"/>
      <c r="X59" s="1497"/>
      <c r="Y59" s="1497"/>
      <c r="Z59" s="1497"/>
    </row>
    <row r="60" spans="1:26" ht="12.75" customHeight="1">
      <c r="A60" s="1497"/>
      <c r="B60" s="1497"/>
      <c r="C60" s="1497"/>
      <c r="D60" s="1497"/>
      <c r="E60" s="1497"/>
      <c r="F60" s="1497"/>
      <c r="G60" s="1497"/>
      <c r="H60" s="1497"/>
      <c r="I60" s="1497"/>
      <c r="J60" s="1497"/>
      <c r="K60" s="1497"/>
      <c r="L60" s="1497"/>
      <c r="M60" s="1497"/>
      <c r="N60" s="1497"/>
      <c r="O60" s="1497"/>
      <c r="P60" s="1497"/>
      <c r="Q60" s="1497"/>
      <c r="R60" s="1497"/>
      <c r="S60" s="1497"/>
      <c r="T60" s="1497"/>
      <c r="U60" s="1497"/>
      <c r="V60" s="1497"/>
      <c r="W60" s="1497"/>
      <c r="X60" s="1497"/>
      <c r="Y60" s="1497"/>
      <c r="Z60" s="1497"/>
    </row>
    <row r="61" spans="1:26" ht="12.75" customHeight="1">
      <c r="A61" s="1497"/>
      <c r="B61" s="1497"/>
      <c r="C61" s="1497"/>
      <c r="D61" s="1497"/>
      <c r="E61" s="1497"/>
      <c r="F61" s="1497"/>
      <c r="G61" s="1497"/>
      <c r="H61" s="1497"/>
      <c r="I61" s="1497"/>
      <c r="J61" s="1497"/>
      <c r="K61" s="1497"/>
      <c r="L61" s="1497"/>
      <c r="M61" s="1497"/>
      <c r="N61" s="1497"/>
      <c r="O61" s="1497"/>
      <c r="P61" s="1497"/>
      <c r="Q61" s="1497"/>
      <c r="R61" s="1497"/>
      <c r="S61" s="1497"/>
      <c r="T61" s="1497"/>
      <c r="U61" s="1497"/>
      <c r="V61" s="1497"/>
      <c r="W61" s="1497"/>
      <c r="X61" s="1497"/>
      <c r="Y61" s="1497"/>
      <c r="Z61" s="1497"/>
    </row>
    <row r="62" spans="1:26" ht="12.75" customHeight="1">
      <c r="A62" s="1497"/>
      <c r="B62" s="1497"/>
      <c r="C62" s="1497"/>
      <c r="D62" s="1497"/>
      <c r="E62" s="1497"/>
      <c r="F62" s="1497"/>
      <c r="G62" s="1497"/>
      <c r="H62" s="1497"/>
      <c r="I62" s="1497"/>
      <c r="J62" s="1497"/>
      <c r="K62" s="1497"/>
      <c r="L62" s="1497"/>
      <c r="M62" s="1497"/>
      <c r="N62" s="1497"/>
      <c r="O62" s="1497"/>
      <c r="P62" s="1497"/>
      <c r="Q62" s="1497"/>
      <c r="R62" s="1497"/>
      <c r="S62" s="1497"/>
      <c r="T62" s="1497"/>
      <c r="U62" s="1497"/>
      <c r="V62" s="1497"/>
      <c r="W62" s="1497"/>
      <c r="X62" s="1497"/>
      <c r="Y62" s="1497"/>
      <c r="Z62" s="1497"/>
    </row>
    <row r="63" spans="1:26" ht="12.75" customHeight="1">
      <c r="A63" s="1497"/>
      <c r="B63" s="1497"/>
      <c r="C63" s="1497"/>
      <c r="D63" s="1497"/>
      <c r="E63" s="1497"/>
      <c r="F63" s="1497"/>
      <c r="G63" s="1497"/>
      <c r="H63" s="1497"/>
      <c r="I63" s="1497"/>
      <c r="J63" s="1497"/>
      <c r="K63" s="1497"/>
      <c r="L63" s="1497"/>
      <c r="M63" s="1497"/>
      <c r="N63" s="1497"/>
      <c r="O63" s="1497"/>
      <c r="P63" s="1497"/>
      <c r="Q63" s="1497"/>
      <c r="R63" s="1497"/>
      <c r="S63" s="1497"/>
      <c r="T63" s="1497"/>
      <c r="U63" s="1497"/>
      <c r="V63" s="1497"/>
      <c r="W63" s="1497"/>
      <c r="X63" s="1497"/>
      <c r="Y63" s="1497"/>
      <c r="Z63" s="1497"/>
    </row>
    <row r="64" spans="1:26" ht="12.75" customHeight="1">
      <c r="A64" s="1497"/>
      <c r="B64" s="1497"/>
      <c r="C64" s="1497"/>
      <c r="D64" s="1497"/>
      <c r="E64" s="1497"/>
      <c r="F64" s="1497"/>
      <c r="G64" s="1497"/>
      <c r="H64" s="1497"/>
      <c r="I64" s="1497"/>
      <c r="J64" s="1497"/>
      <c r="K64" s="1497"/>
      <c r="L64" s="1497"/>
      <c r="M64" s="1497"/>
      <c r="N64" s="1497"/>
      <c r="O64" s="1497"/>
      <c r="P64" s="1497"/>
      <c r="Q64" s="1497"/>
      <c r="R64" s="1497"/>
      <c r="S64" s="1497"/>
      <c r="T64" s="1497"/>
      <c r="U64" s="1497"/>
      <c r="V64" s="1497"/>
      <c r="W64" s="1497"/>
      <c r="X64" s="1497"/>
      <c r="Y64" s="1497"/>
      <c r="Z64" s="1497"/>
    </row>
    <row r="65" spans="1:26" ht="12.75" customHeight="1">
      <c r="A65" s="1497"/>
      <c r="B65" s="1497"/>
      <c r="C65" s="1497"/>
      <c r="D65" s="1497"/>
      <c r="E65" s="1497"/>
      <c r="F65" s="1497"/>
      <c r="G65" s="1497"/>
      <c r="H65" s="1497"/>
      <c r="I65" s="1497"/>
      <c r="J65" s="1497"/>
      <c r="K65" s="1497"/>
      <c r="L65" s="1497"/>
      <c r="M65" s="1497"/>
      <c r="N65" s="1497"/>
      <c r="O65" s="1497"/>
      <c r="P65" s="1497"/>
      <c r="Q65" s="1497"/>
      <c r="R65" s="1497"/>
      <c r="S65" s="1497"/>
      <c r="T65" s="1497"/>
      <c r="U65" s="1497"/>
      <c r="V65" s="1497"/>
      <c r="W65" s="1497"/>
      <c r="X65" s="1497"/>
      <c r="Y65" s="1497"/>
      <c r="Z65" s="1497"/>
    </row>
    <row r="66" spans="1:26" ht="12.75" customHeight="1">
      <c r="A66" s="1497"/>
      <c r="B66" s="1497"/>
      <c r="C66" s="1497"/>
      <c r="D66" s="1497"/>
      <c r="E66" s="1497"/>
      <c r="F66" s="1497"/>
      <c r="G66" s="1497"/>
      <c r="H66" s="1497"/>
      <c r="I66" s="1497"/>
      <c r="J66" s="1497"/>
      <c r="K66" s="1497"/>
      <c r="L66" s="1497"/>
      <c r="M66" s="1497"/>
      <c r="N66" s="1497"/>
      <c r="O66" s="1497"/>
      <c r="P66" s="1497"/>
      <c r="Q66" s="1497"/>
      <c r="R66" s="1497"/>
      <c r="S66" s="1497"/>
      <c r="T66" s="1497"/>
      <c r="U66" s="1497"/>
      <c r="V66" s="1497"/>
      <c r="W66" s="1497"/>
      <c r="X66" s="1497"/>
      <c r="Y66" s="1497"/>
      <c r="Z66" s="1497"/>
    </row>
    <row r="67" spans="1:26" ht="12.75" customHeight="1">
      <c r="A67" s="1497"/>
      <c r="B67" s="1497"/>
      <c r="C67" s="1497"/>
      <c r="D67" s="1497"/>
      <c r="E67" s="1497"/>
      <c r="F67" s="1497"/>
      <c r="G67" s="1497"/>
      <c r="H67" s="1497"/>
      <c r="I67" s="1497"/>
      <c r="J67" s="1497"/>
      <c r="K67" s="1497"/>
      <c r="L67" s="1497"/>
      <c r="M67" s="1497"/>
      <c r="N67" s="1497"/>
      <c r="O67" s="1497"/>
      <c r="P67" s="1497"/>
      <c r="Q67" s="1497"/>
      <c r="R67" s="1497"/>
      <c r="S67" s="1497"/>
      <c r="T67" s="1497"/>
      <c r="U67" s="1497"/>
      <c r="V67" s="1497"/>
      <c r="W67" s="1497"/>
      <c r="X67" s="1497"/>
      <c r="Y67" s="1497"/>
      <c r="Z67" s="1497"/>
    </row>
    <row r="68" spans="1:26" ht="12.75" customHeight="1">
      <c r="A68" s="1497"/>
      <c r="B68" s="1497"/>
      <c r="C68" s="1497"/>
      <c r="D68" s="1497"/>
      <c r="E68" s="1497"/>
      <c r="F68" s="1497"/>
      <c r="G68" s="1497"/>
      <c r="H68" s="1497"/>
      <c r="I68" s="1497"/>
      <c r="J68" s="1497"/>
      <c r="K68" s="1497"/>
      <c r="L68" s="1497"/>
      <c r="M68" s="1497"/>
      <c r="N68" s="1497"/>
      <c r="O68" s="1497"/>
      <c r="P68" s="1497"/>
      <c r="Q68" s="1497"/>
      <c r="R68" s="1497"/>
      <c r="S68" s="1497"/>
      <c r="T68" s="1497"/>
      <c r="U68" s="1497"/>
      <c r="V68" s="1497"/>
      <c r="W68" s="1497"/>
      <c r="X68" s="1497"/>
      <c r="Y68" s="1497"/>
      <c r="Z68" s="1497"/>
    </row>
    <row r="69" spans="1:26" ht="12.75" customHeight="1">
      <c r="A69" s="1497"/>
      <c r="B69" s="1497"/>
      <c r="C69" s="1497"/>
      <c r="D69" s="1497"/>
      <c r="E69" s="1497"/>
      <c r="F69" s="1497"/>
      <c r="G69" s="1497"/>
      <c r="H69" s="1497"/>
      <c r="I69" s="1497"/>
      <c r="J69" s="1497"/>
      <c r="K69" s="1497"/>
      <c r="L69" s="1497"/>
      <c r="M69" s="1497"/>
      <c r="N69" s="1497"/>
      <c r="O69" s="1497"/>
      <c r="P69" s="1497"/>
      <c r="Q69" s="1497"/>
      <c r="R69" s="1497"/>
      <c r="S69" s="1497"/>
      <c r="T69" s="1497"/>
      <c r="U69" s="1497"/>
      <c r="V69" s="1497"/>
      <c r="W69" s="1497"/>
      <c r="X69" s="1497"/>
      <c r="Y69" s="1497"/>
      <c r="Z69" s="1497"/>
    </row>
    <row r="70" spans="1:26" ht="12.75" customHeight="1">
      <c r="A70" s="1497"/>
      <c r="B70" s="1497"/>
      <c r="C70" s="1497"/>
      <c r="D70" s="1497"/>
      <c r="E70" s="1497"/>
      <c r="F70" s="1497"/>
      <c r="G70" s="1497"/>
      <c r="H70" s="1497"/>
      <c r="I70" s="1497"/>
      <c r="J70" s="1497"/>
      <c r="K70" s="1497"/>
      <c r="L70" s="1497"/>
      <c r="M70" s="1497"/>
      <c r="N70" s="1497"/>
      <c r="O70" s="1497"/>
      <c r="P70" s="1497"/>
      <c r="Q70" s="1497"/>
      <c r="R70" s="1497"/>
      <c r="S70" s="1497"/>
      <c r="T70" s="1497"/>
      <c r="U70" s="1497"/>
      <c r="V70" s="1497"/>
      <c r="W70" s="1497"/>
      <c r="X70" s="1497"/>
      <c r="Y70" s="1497"/>
      <c r="Z70" s="1497"/>
    </row>
    <row r="71" spans="1:26" ht="12.75" customHeight="1">
      <c r="A71" s="1497"/>
      <c r="B71" s="1497"/>
      <c r="C71" s="1497"/>
      <c r="D71" s="1497"/>
      <c r="E71" s="1497"/>
      <c r="F71" s="1497"/>
      <c r="G71" s="1497"/>
      <c r="H71" s="1497"/>
      <c r="I71" s="1497"/>
      <c r="J71" s="1497"/>
      <c r="K71" s="1497"/>
      <c r="L71" s="1497"/>
      <c r="M71" s="1497"/>
      <c r="N71" s="1497"/>
      <c r="O71" s="1497"/>
      <c r="P71" s="1497"/>
      <c r="Q71" s="1497"/>
      <c r="R71" s="1497"/>
      <c r="S71" s="1497"/>
      <c r="T71" s="1497"/>
      <c r="U71" s="1497"/>
      <c r="V71" s="1497"/>
      <c r="W71" s="1497"/>
      <c r="X71" s="1497"/>
      <c r="Y71" s="1497"/>
      <c r="Z71" s="1497"/>
    </row>
    <row r="72" spans="1:26" ht="12.75" customHeight="1">
      <c r="A72" s="1497"/>
      <c r="B72" s="1497"/>
      <c r="C72" s="1497"/>
      <c r="D72" s="1497"/>
      <c r="E72" s="1497"/>
      <c r="F72" s="1497"/>
      <c r="G72" s="1497"/>
      <c r="H72" s="1497"/>
      <c r="I72" s="1497"/>
      <c r="J72" s="1497"/>
      <c r="K72" s="1497"/>
      <c r="L72" s="1497"/>
      <c r="M72" s="1497"/>
      <c r="N72" s="1497"/>
      <c r="O72" s="1497"/>
      <c r="P72" s="1497"/>
      <c r="Q72" s="1497"/>
      <c r="R72" s="1497"/>
      <c r="S72" s="1497"/>
      <c r="T72" s="1497"/>
      <c r="U72" s="1497"/>
      <c r="V72" s="1497"/>
      <c r="W72" s="1497"/>
      <c r="X72" s="1497"/>
      <c r="Y72" s="1497"/>
      <c r="Z72" s="1497"/>
    </row>
    <row r="73" spans="1:26" ht="12.75" customHeight="1">
      <c r="A73" s="1497"/>
      <c r="B73" s="1497"/>
      <c r="C73" s="1497"/>
      <c r="D73" s="1497"/>
      <c r="E73" s="1497"/>
      <c r="F73" s="1497"/>
      <c r="G73" s="1497"/>
      <c r="H73" s="1497"/>
      <c r="I73" s="1497"/>
      <c r="J73" s="1497"/>
      <c r="K73" s="1497"/>
      <c r="L73" s="1497"/>
      <c r="M73" s="1497"/>
      <c r="N73" s="1497"/>
      <c r="O73" s="1497"/>
      <c r="P73" s="1497"/>
      <c r="Q73" s="1497"/>
      <c r="R73" s="1497"/>
      <c r="S73" s="1497"/>
      <c r="T73" s="1497"/>
      <c r="U73" s="1497"/>
      <c r="V73" s="1497"/>
      <c r="W73" s="1497"/>
      <c r="X73" s="1497"/>
      <c r="Y73" s="1497"/>
      <c r="Z73" s="1497"/>
    </row>
    <row r="74" spans="1:26" ht="12.75" customHeight="1">
      <c r="A74" s="1497"/>
      <c r="B74" s="1497"/>
      <c r="C74" s="1497"/>
      <c r="D74" s="1497"/>
      <c r="E74" s="1497"/>
      <c r="F74" s="1497"/>
      <c r="G74" s="1497"/>
      <c r="H74" s="1497"/>
      <c r="I74" s="1497"/>
      <c r="J74" s="1497"/>
      <c r="K74" s="1497"/>
      <c r="L74" s="1497"/>
      <c r="M74" s="1497"/>
      <c r="N74" s="1497"/>
      <c r="O74" s="1497"/>
      <c r="P74" s="1497"/>
      <c r="Q74" s="1497"/>
      <c r="R74" s="1497"/>
      <c r="S74" s="1497"/>
      <c r="T74" s="1497"/>
      <c r="U74" s="1497"/>
      <c r="V74" s="1497"/>
      <c r="W74" s="1497"/>
      <c r="X74" s="1497"/>
      <c r="Y74" s="1497"/>
      <c r="Z74" s="1497"/>
    </row>
    <row r="75" spans="1:26" ht="12.75" customHeight="1">
      <c r="A75" s="1497"/>
      <c r="B75" s="1497"/>
      <c r="C75" s="1497"/>
      <c r="D75" s="1497"/>
      <c r="E75" s="1497"/>
      <c r="F75" s="1497"/>
      <c r="G75" s="1497"/>
      <c r="H75" s="1497"/>
      <c r="I75" s="1497"/>
      <c r="J75" s="1497"/>
      <c r="K75" s="1497"/>
      <c r="L75" s="1497"/>
      <c r="M75" s="1497"/>
      <c r="N75" s="1497"/>
      <c r="O75" s="1497"/>
      <c r="P75" s="1497"/>
      <c r="Q75" s="1497"/>
      <c r="R75" s="1497"/>
      <c r="S75" s="1497"/>
      <c r="T75" s="1497"/>
      <c r="U75" s="1497"/>
      <c r="V75" s="1497"/>
      <c r="W75" s="1497"/>
      <c r="X75" s="1497"/>
      <c r="Y75" s="1497"/>
      <c r="Z75" s="1497"/>
    </row>
    <row r="76" spans="1:26" ht="12.75" customHeight="1">
      <c r="A76" s="1497"/>
      <c r="B76" s="1497"/>
      <c r="C76" s="1497"/>
      <c r="D76" s="1497"/>
      <c r="E76" s="1497"/>
      <c r="F76" s="1497"/>
      <c r="G76" s="1497"/>
      <c r="H76" s="1497"/>
      <c r="I76" s="1497"/>
      <c r="J76" s="1497"/>
      <c r="K76" s="1497"/>
      <c r="L76" s="1497"/>
      <c r="M76" s="1497"/>
      <c r="N76" s="1497"/>
      <c r="O76" s="1497"/>
      <c r="P76" s="1497"/>
      <c r="Q76" s="1497"/>
      <c r="R76" s="1497"/>
      <c r="S76" s="1497"/>
      <c r="T76" s="1497"/>
      <c r="U76" s="1497"/>
      <c r="V76" s="1497"/>
      <c r="W76" s="1497"/>
      <c r="X76" s="1497"/>
      <c r="Y76" s="1497"/>
      <c r="Z76" s="1497"/>
    </row>
    <row r="77" spans="1:26" ht="12.75" customHeight="1">
      <c r="A77" s="1497"/>
      <c r="B77" s="1497"/>
      <c r="C77" s="1497"/>
      <c r="D77" s="1497"/>
      <c r="E77" s="1497"/>
      <c r="F77" s="1497"/>
      <c r="G77" s="1497"/>
      <c r="H77" s="1497"/>
      <c r="I77" s="1497"/>
      <c r="J77" s="1497"/>
      <c r="K77" s="1497"/>
      <c r="L77" s="1497"/>
      <c r="M77" s="1497"/>
      <c r="N77" s="1497"/>
      <c r="O77" s="1497"/>
      <c r="P77" s="1497"/>
      <c r="Q77" s="1497"/>
      <c r="R77" s="1497"/>
      <c r="S77" s="1497"/>
      <c r="T77" s="1497"/>
      <c r="U77" s="1497"/>
      <c r="V77" s="1497"/>
      <c r="W77" s="1497"/>
      <c r="X77" s="1497"/>
      <c r="Y77" s="1497"/>
      <c r="Z77" s="1497"/>
    </row>
    <row r="78" spans="1:26" ht="12.75" customHeight="1">
      <c r="A78" s="1497"/>
      <c r="B78" s="1497"/>
      <c r="C78" s="1497"/>
      <c r="D78" s="1497"/>
      <c r="E78" s="1497"/>
      <c r="F78" s="1497"/>
      <c r="G78" s="1497"/>
      <c r="H78" s="1497"/>
      <c r="I78" s="1497"/>
      <c r="J78" s="1497"/>
      <c r="K78" s="1497"/>
      <c r="L78" s="1497"/>
      <c r="M78" s="1497"/>
      <c r="N78" s="1497"/>
      <c r="O78" s="1497"/>
      <c r="P78" s="1497"/>
      <c r="Q78" s="1497"/>
      <c r="R78" s="1497"/>
      <c r="S78" s="1497"/>
      <c r="T78" s="1497"/>
      <c r="U78" s="1497"/>
      <c r="V78" s="1497"/>
      <c r="W78" s="1497"/>
      <c r="X78" s="1497"/>
      <c r="Y78" s="1497"/>
      <c r="Z78" s="1497"/>
    </row>
    <row r="79" spans="1:26" ht="12.75" customHeight="1">
      <c r="A79" s="1497"/>
      <c r="B79" s="1497"/>
      <c r="C79" s="1497"/>
      <c r="D79" s="1497"/>
      <c r="E79" s="1497"/>
      <c r="F79" s="1497"/>
      <c r="G79" s="1497"/>
      <c r="H79" s="1497"/>
      <c r="I79" s="1497"/>
      <c r="J79" s="1497"/>
      <c r="K79" s="1497"/>
      <c r="L79" s="1497"/>
      <c r="M79" s="1497"/>
      <c r="N79" s="1497"/>
      <c r="O79" s="1497"/>
      <c r="P79" s="1497"/>
      <c r="Q79" s="1497"/>
      <c r="R79" s="1497"/>
      <c r="S79" s="1497"/>
      <c r="T79" s="1497"/>
      <c r="U79" s="1497"/>
      <c r="V79" s="1497"/>
      <c r="W79" s="1497"/>
      <c r="X79" s="1497"/>
      <c r="Y79" s="1497"/>
      <c r="Z79" s="1497"/>
    </row>
    <row r="80" spans="1:26" ht="12.75" customHeight="1">
      <c r="A80" s="1497"/>
      <c r="B80" s="1497"/>
      <c r="C80" s="1497"/>
      <c r="D80" s="1497"/>
      <c r="E80" s="1497"/>
      <c r="F80" s="1497"/>
      <c r="G80" s="1497"/>
      <c r="H80" s="1497"/>
      <c r="I80" s="1497"/>
      <c r="J80" s="1497"/>
      <c r="K80" s="1497"/>
      <c r="L80" s="1497"/>
      <c r="M80" s="1497"/>
      <c r="N80" s="1497"/>
      <c r="O80" s="1497"/>
      <c r="P80" s="1497"/>
      <c r="Q80" s="1497"/>
      <c r="R80" s="1497"/>
      <c r="S80" s="1497"/>
      <c r="T80" s="1497"/>
      <c r="U80" s="1497"/>
      <c r="V80" s="1497"/>
      <c r="W80" s="1497"/>
      <c r="X80" s="1497"/>
      <c r="Y80" s="1497"/>
      <c r="Z80" s="1497"/>
    </row>
    <row r="81" spans="1:26" ht="12.75" customHeight="1">
      <c r="A81" s="1497"/>
      <c r="B81" s="1497"/>
      <c r="C81" s="1497"/>
      <c r="D81" s="1497"/>
      <c r="E81" s="1497"/>
      <c r="F81" s="1497"/>
      <c r="G81" s="1497"/>
      <c r="H81" s="1497"/>
      <c r="I81" s="1497"/>
      <c r="J81" s="1497"/>
      <c r="K81" s="1497"/>
      <c r="L81" s="1497"/>
      <c r="M81" s="1497"/>
      <c r="N81" s="1497"/>
      <c r="O81" s="1497"/>
      <c r="P81" s="1497"/>
      <c r="Q81" s="1497"/>
      <c r="R81" s="1497"/>
      <c r="S81" s="1497"/>
      <c r="T81" s="1497"/>
      <c r="U81" s="1497"/>
      <c r="V81" s="1497"/>
      <c r="W81" s="1497"/>
      <c r="X81" s="1497"/>
      <c r="Y81" s="1497"/>
      <c r="Z81" s="1497"/>
    </row>
    <row r="82" spans="1:26" ht="12.75" customHeight="1">
      <c r="A82" s="1497"/>
      <c r="B82" s="1497"/>
      <c r="C82" s="1497"/>
      <c r="D82" s="1497"/>
      <c r="E82" s="1497"/>
      <c r="F82" s="1497"/>
      <c r="G82" s="1497"/>
      <c r="H82" s="1497"/>
      <c r="I82" s="1497"/>
      <c r="J82" s="1497"/>
      <c r="K82" s="1497"/>
      <c r="L82" s="1497"/>
      <c r="M82" s="1497"/>
      <c r="N82" s="1497"/>
      <c r="O82" s="1497"/>
      <c r="P82" s="1497"/>
      <c r="Q82" s="1497"/>
      <c r="R82" s="1497"/>
      <c r="S82" s="1497"/>
      <c r="T82" s="1497"/>
      <c r="U82" s="1497"/>
      <c r="V82" s="1497"/>
      <c r="W82" s="1497"/>
      <c r="X82" s="1497"/>
      <c r="Y82" s="1497"/>
      <c r="Z82" s="1497"/>
    </row>
    <row r="83" spans="1:26" ht="12.75" customHeight="1">
      <c r="A83" s="1497"/>
      <c r="B83" s="1497"/>
      <c r="C83" s="1497"/>
      <c r="D83" s="1497"/>
      <c r="E83" s="1497"/>
      <c r="F83" s="1497"/>
      <c r="G83" s="1497"/>
      <c r="H83" s="1497"/>
      <c r="I83" s="1497"/>
      <c r="J83" s="1497"/>
      <c r="K83" s="1497"/>
      <c r="L83" s="1497"/>
      <c r="M83" s="1497"/>
      <c r="N83" s="1497"/>
      <c r="O83" s="1497"/>
      <c r="P83" s="1497"/>
      <c r="Q83" s="1497"/>
      <c r="R83" s="1497"/>
      <c r="S83" s="1497"/>
      <c r="T83" s="1497"/>
      <c r="U83" s="1497"/>
      <c r="V83" s="1497"/>
      <c r="W83" s="1497"/>
      <c r="X83" s="1497"/>
      <c r="Y83" s="1497"/>
      <c r="Z83" s="1497"/>
    </row>
    <row r="84" spans="1:26" ht="12.75" customHeight="1">
      <c r="A84" s="1497"/>
      <c r="B84" s="1497"/>
      <c r="C84" s="1497"/>
      <c r="D84" s="1497"/>
      <c r="E84" s="1497"/>
      <c r="F84" s="1497"/>
      <c r="G84" s="1497"/>
      <c r="H84" s="1497"/>
      <c r="I84" s="1497"/>
      <c r="J84" s="1497"/>
      <c r="K84" s="1497"/>
      <c r="L84" s="1497"/>
      <c r="M84" s="1497"/>
      <c r="N84" s="1497"/>
      <c r="O84" s="1497"/>
      <c r="P84" s="1497"/>
      <c r="Q84" s="1497"/>
      <c r="R84" s="1497"/>
      <c r="S84" s="1497"/>
      <c r="T84" s="1497"/>
      <c r="U84" s="1497"/>
      <c r="V84" s="1497"/>
      <c r="W84" s="1497"/>
      <c r="X84" s="1497"/>
      <c r="Y84" s="1497"/>
      <c r="Z84" s="1497"/>
    </row>
    <row r="85" spans="1:26" ht="12.75" customHeight="1">
      <c r="A85" s="1497"/>
      <c r="B85" s="1497"/>
      <c r="C85" s="1497"/>
      <c r="D85" s="1497"/>
      <c r="E85" s="1497"/>
      <c r="F85" s="1497"/>
      <c r="G85" s="1497"/>
      <c r="H85" s="1497"/>
      <c r="I85" s="1497"/>
      <c r="J85" s="1497"/>
      <c r="K85" s="1497"/>
      <c r="L85" s="1497"/>
      <c r="M85" s="1497"/>
      <c r="N85" s="1497"/>
      <c r="O85" s="1497"/>
      <c r="P85" s="1497"/>
      <c r="Q85" s="1497"/>
      <c r="R85" s="1497"/>
      <c r="S85" s="1497"/>
      <c r="T85" s="1497"/>
      <c r="U85" s="1497"/>
      <c r="V85" s="1497"/>
      <c r="W85" s="1497"/>
      <c r="X85" s="1497"/>
      <c r="Y85" s="1497"/>
      <c r="Z85" s="1497"/>
    </row>
    <row r="86" spans="1:26" ht="12.75" customHeight="1">
      <c r="A86" s="1497"/>
      <c r="B86" s="1497"/>
      <c r="C86" s="1497"/>
      <c r="D86" s="1497"/>
      <c r="E86" s="1497"/>
      <c r="F86" s="1497"/>
      <c r="G86" s="1497"/>
      <c r="H86" s="1497"/>
      <c r="I86" s="1497"/>
      <c r="J86" s="1497"/>
      <c r="K86" s="1497"/>
      <c r="L86" s="1497"/>
      <c r="M86" s="1497"/>
      <c r="N86" s="1497"/>
      <c r="O86" s="1497"/>
      <c r="P86" s="1497"/>
      <c r="Q86" s="1497"/>
      <c r="R86" s="1497"/>
      <c r="S86" s="1497"/>
      <c r="T86" s="1497"/>
      <c r="U86" s="1497"/>
      <c r="V86" s="1497"/>
      <c r="W86" s="1497"/>
      <c r="X86" s="1497"/>
      <c r="Y86" s="1497"/>
      <c r="Z86" s="1497"/>
    </row>
    <row r="87" spans="1:26" ht="12.75" customHeight="1">
      <c r="A87" s="1497"/>
      <c r="B87" s="1497"/>
      <c r="C87" s="1497"/>
      <c r="D87" s="1497"/>
      <c r="E87" s="1497"/>
      <c r="F87" s="1497"/>
      <c r="G87" s="1497"/>
      <c r="H87" s="1497"/>
      <c r="I87" s="1497"/>
      <c r="J87" s="1497"/>
      <c r="K87" s="1497"/>
      <c r="L87" s="1497"/>
      <c r="M87" s="1497"/>
      <c r="N87" s="1497"/>
      <c r="O87" s="1497"/>
      <c r="P87" s="1497"/>
      <c r="Q87" s="1497"/>
      <c r="R87" s="1497"/>
      <c r="S87" s="1497"/>
      <c r="T87" s="1497"/>
      <c r="U87" s="1497"/>
      <c r="V87" s="1497"/>
      <c r="W87" s="1497"/>
      <c r="X87" s="1497"/>
      <c r="Y87" s="1497"/>
      <c r="Z87" s="1497"/>
    </row>
    <row r="88" spans="1:26" ht="12.75" customHeight="1">
      <c r="A88" s="1497"/>
      <c r="B88" s="1497"/>
      <c r="C88" s="1497"/>
      <c r="D88" s="1497"/>
      <c r="E88" s="1497"/>
      <c r="F88" s="1497"/>
      <c r="G88" s="1497"/>
      <c r="H88" s="1497"/>
      <c r="I88" s="1497"/>
      <c r="J88" s="1497"/>
      <c r="K88" s="1497"/>
      <c r="L88" s="1497"/>
      <c r="M88" s="1497"/>
      <c r="N88" s="1497"/>
      <c r="O88" s="1497"/>
      <c r="P88" s="1497"/>
      <c r="Q88" s="1497"/>
      <c r="R88" s="1497"/>
      <c r="S88" s="1497"/>
      <c r="T88" s="1497"/>
      <c r="U88" s="1497"/>
      <c r="V88" s="1497"/>
      <c r="W88" s="1497"/>
      <c r="X88" s="1497"/>
      <c r="Y88" s="1497"/>
      <c r="Z88" s="1497"/>
    </row>
    <row r="89" spans="1:26" ht="12.75" customHeight="1">
      <c r="A89" s="1497"/>
      <c r="B89" s="1497"/>
      <c r="C89" s="1497"/>
      <c r="D89" s="1497"/>
      <c r="E89" s="1497"/>
      <c r="F89" s="1497"/>
      <c r="G89" s="1497"/>
      <c r="H89" s="1497"/>
      <c r="I89" s="1497"/>
      <c r="J89" s="1497"/>
      <c r="K89" s="1497"/>
      <c r="L89" s="1497"/>
      <c r="M89" s="1497"/>
      <c r="N89" s="1497"/>
      <c r="O89" s="1497"/>
      <c r="P89" s="1497"/>
      <c r="Q89" s="1497"/>
      <c r="R89" s="1497"/>
      <c r="S89" s="1497"/>
      <c r="T89" s="1497"/>
      <c r="U89" s="1497"/>
      <c r="V89" s="1497"/>
      <c r="W89" s="1497"/>
      <c r="X89" s="1497"/>
      <c r="Y89" s="1497"/>
      <c r="Z89" s="1497"/>
    </row>
    <row r="90" spans="1:26" ht="12.75" customHeight="1">
      <c r="A90" s="1497"/>
      <c r="B90" s="1497"/>
      <c r="C90" s="1497"/>
      <c r="D90" s="1497"/>
      <c r="E90" s="1497"/>
      <c r="F90" s="1497"/>
      <c r="G90" s="1497"/>
      <c r="H90" s="1497"/>
      <c r="I90" s="1497"/>
      <c r="J90" s="1497"/>
      <c r="K90" s="1497"/>
      <c r="L90" s="1497"/>
      <c r="M90" s="1497"/>
      <c r="N90" s="1497"/>
      <c r="O90" s="1497"/>
      <c r="P90" s="1497"/>
      <c r="Q90" s="1497"/>
      <c r="R90" s="1497"/>
      <c r="S90" s="1497"/>
      <c r="T90" s="1497"/>
      <c r="U90" s="1497"/>
      <c r="V90" s="1497"/>
      <c r="W90" s="1497"/>
      <c r="X90" s="1497"/>
      <c r="Y90" s="1497"/>
      <c r="Z90" s="1497"/>
    </row>
    <row r="91" spans="1:26" ht="12.75" customHeight="1">
      <c r="A91" s="1497"/>
      <c r="B91" s="1497"/>
      <c r="C91" s="1497"/>
      <c r="D91" s="1497"/>
      <c r="E91" s="1497"/>
      <c r="F91" s="1497"/>
      <c r="G91" s="1497"/>
      <c r="H91" s="1497"/>
      <c r="I91" s="1497"/>
      <c r="J91" s="1497"/>
      <c r="K91" s="1497"/>
      <c r="L91" s="1497"/>
      <c r="M91" s="1497"/>
      <c r="N91" s="1497"/>
      <c r="O91" s="1497"/>
      <c r="P91" s="1497"/>
      <c r="Q91" s="1497"/>
      <c r="R91" s="1497"/>
      <c r="S91" s="1497"/>
      <c r="T91" s="1497"/>
      <c r="U91" s="1497"/>
      <c r="V91" s="1497"/>
      <c r="W91" s="1497"/>
      <c r="X91" s="1497"/>
      <c r="Y91" s="1497"/>
      <c r="Z91" s="1497"/>
    </row>
    <row r="92" spans="1:26" ht="12.75" customHeight="1">
      <c r="A92" s="1497"/>
      <c r="B92" s="1497"/>
      <c r="C92" s="1497"/>
      <c r="D92" s="1497"/>
      <c r="E92" s="1497"/>
      <c r="F92" s="1497"/>
      <c r="G92" s="1497"/>
      <c r="H92" s="1497"/>
      <c r="I92" s="1497"/>
      <c r="J92" s="1497"/>
      <c r="K92" s="1497"/>
      <c r="L92" s="1497"/>
      <c r="M92" s="1497"/>
      <c r="N92" s="1497"/>
      <c r="O92" s="1497"/>
      <c r="P92" s="1497"/>
      <c r="Q92" s="1497"/>
      <c r="R92" s="1497"/>
      <c r="S92" s="1497"/>
      <c r="T92" s="1497"/>
      <c r="U92" s="1497"/>
      <c r="V92" s="1497"/>
      <c r="W92" s="1497"/>
      <c r="X92" s="1497"/>
      <c r="Y92" s="1497"/>
      <c r="Z92" s="1497"/>
    </row>
    <row r="93" spans="1:26" ht="12.75" customHeight="1">
      <c r="A93" s="1497"/>
      <c r="B93" s="1497"/>
      <c r="C93" s="1497"/>
      <c r="D93" s="1497"/>
      <c r="E93" s="1497"/>
      <c r="F93" s="1497"/>
      <c r="G93" s="1497"/>
      <c r="H93" s="1497"/>
      <c r="I93" s="1497"/>
      <c r="J93" s="1497"/>
      <c r="K93" s="1497"/>
      <c r="L93" s="1497"/>
      <c r="M93" s="1497"/>
      <c r="N93" s="1497"/>
      <c r="O93" s="1497"/>
      <c r="P93" s="1497"/>
      <c r="Q93" s="1497"/>
      <c r="R93" s="1497"/>
      <c r="S93" s="1497"/>
      <c r="T93" s="1497"/>
      <c r="U93" s="1497"/>
      <c r="V93" s="1497"/>
      <c r="W93" s="1497"/>
      <c r="X93" s="1497"/>
      <c r="Y93" s="1497"/>
      <c r="Z93" s="1497"/>
    </row>
    <row r="94" spans="1:26" ht="12.75" customHeight="1">
      <c r="A94" s="1497"/>
      <c r="B94" s="1497"/>
      <c r="C94" s="1497"/>
      <c r="D94" s="1497"/>
      <c r="E94" s="1497"/>
      <c r="F94" s="1497"/>
      <c r="G94" s="1497"/>
      <c r="H94" s="1497"/>
      <c r="I94" s="1497"/>
      <c r="J94" s="1497"/>
      <c r="K94" s="1497"/>
      <c r="L94" s="1497"/>
      <c r="M94" s="1497"/>
      <c r="N94" s="1497"/>
      <c r="O94" s="1497"/>
      <c r="P94" s="1497"/>
      <c r="Q94" s="1497"/>
      <c r="R94" s="1497"/>
      <c r="S94" s="1497"/>
      <c r="T94" s="1497"/>
      <c r="U94" s="1497"/>
      <c r="V94" s="1497"/>
      <c r="W94" s="1497"/>
      <c r="X94" s="1497"/>
      <c r="Y94" s="1497"/>
      <c r="Z94" s="1497"/>
    </row>
    <row r="95" spans="1:26" ht="12.75" customHeight="1">
      <c r="A95" s="1497"/>
      <c r="B95" s="1497"/>
      <c r="C95" s="1497"/>
      <c r="D95" s="1497"/>
      <c r="E95" s="1497"/>
      <c r="F95" s="1497"/>
      <c r="G95" s="1497"/>
      <c r="H95" s="1497"/>
      <c r="I95" s="1497"/>
      <c r="J95" s="1497"/>
      <c r="K95" s="1497"/>
      <c r="L95" s="1497"/>
      <c r="M95" s="1497"/>
      <c r="N95" s="1497"/>
      <c r="O95" s="1497"/>
      <c r="P95" s="1497"/>
      <c r="Q95" s="1497"/>
      <c r="R95" s="1497"/>
      <c r="S95" s="1497"/>
      <c r="T95" s="1497"/>
      <c r="U95" s="1497"/>
      <c r="V95" s="1497"/>
      <c r="W95" s="1497"/>
      <c r="X95" s="1497"/>
      <c r="Y95" s="1497"/>
      <c r="Z95" s="1497"/>
    </row>
    <row r="96" spans="1:26" ht="12.75" customHeight="1">
      <c r="A96" s="1497"/>
      <c r="B96" s="1497"/>
      <c r="C96" s="1497"/>
      <c r="D96" s="1497"/>
      <c r="E96" s="1497"/>
      <c r="F96" s="1497"/>
      <c r="G96" s="1497"/>
      <c r="H96" s="1497"/>
      <c r="I96" s="1497"/>
      <c r="J96" s="1497"/>
      <c r="K96" s="1497"/>
      <c r="L96" s="1497"/>
      <c r="M96" s="1497"/>
      <c r="N96" s="1497"/>
      <c r="O96" s="1497"/>
      <c r="P96" s="1497"/>
      <c r="Q96" s="1497"/>
      <c r="R96" s="1497"/>
      <c r="S96" s="1497"/>
      <c r="T96" s="1497"/>
      <c r="U96" s="1497"/>
      <c r="V96" s="1497"/>
      <c r="W96" s="1497"/>
      <c r="X96" s="1497"/>
      <c r="Y96" s="1497"/>
      <c r="Z96" s="1497"/>
    </row>
    <row r="97" spans="1:26" ht="12.75" customHeight="1">
      <c r="A97" s="1497"/>
      <c r="B97" s="1497"/>
      <c r="C97" s="1497"/>
      <c r="D97" s="1497"/>
      <c r="E97" s="1497"/>
      <c r="F97" s="1497"/>
      <c r="G97" s="1497"/>
      <c r="H97" s="1497"/>
      <c r="I97" s="1497"/>
      <c r="J97" s="1497"/>
      <c r="K97" s="1497"/>
      <c r="L97" s="1497"/>
      <c r="M97" s="1497"/>
      <c r="N97" s="1497"/>
      <c r="O97" s="1497"/>
      <c r="P97" s="1497"/>
      <c r="Q97" s="1497"/>
      <c r="R97" s="1497"/>
      <c r="S97" s="1497"/>
      <c r="T97" s="1497"/>
      <c r="U97" s="1497"/>
      <c r="V97" s="1497"/>
      <c r="W97" s="1497"/>
      <c r="X97" s="1497"/>
      <c r="Y97" s="1497"/>
      <c r="Z97" s="1497"/>
    </row>
    <row r="98" spans="1:26" ht="12.75" customHeight="1">
      <c r="A98" s="1497"/>
      <c r="B98" s="1497"/>
      <c r="C98" s="1497"/>
      <c r="D98" s="1497"/>
      <c r="E98" s="1497"/>
      <c r="F98" s="1497"/>
      <c r="G98" s="1497"/>
      <c r="H98" s="1497"/>
      <c r="I98" s="1497"/>
      <c r="J98" s="1497"/>
      <c r="K98" s="1497"/>
      <c r="L98" s="1497"/>
      <c r="M98" s="1497"/>
      <c r="N98" s="1497"/>
      <c r="O98" s="1497"/>
      <c r="P98" s="1497"/>
      <c r="Q98" s="1497"/>
      <c r="R98" s="1497"/>
      <c r="S98" s="1497"/>
      <c r="T98" s="1497"/>
      <c r="U98" s="1497"/>
      <c r="V98" s="1497"/>
      <c r="W98" s="1497"/>
      <c r="X98" s="1497"/>
      <c r="Y98" s="1497"/>
      <c r="Z98" s="1497"/>
    </row>
    <row r="99" spans="1:26" ht="12.75" customHeight="1">
      <c r="A99" s="1497"/>
      <c r="B99" s="1497"/>
      <c r="C99" s="1497"/>
      <c r="D99" s="1497"/>
      <c r="E99" s="1497"/>
      <c r="F99" s="1497"/>
      <c r="G99" s="1497"/>
      <c r="H99" s="1497"/>
      <c r="I99" s="1497"/>
      <c r="J99" s="1497"/>
      <c r="K99" s="1497"/>
      <c r="L99" s="1497"/>
      <c r="M99" s="1497"/>
      <c r="N99" s="1497"/>
      <c r="O99" s="1497"/>
      <c r="P99" s="1497"/>
      <c r="Q99" s="1497"/>
      <c r="R99" s="1497"/>
      <c r="S99" s="1497"/>
      <c r="T99" s="1497"/>
      <c r="U99" s="1497"/>
      <c r="V99" s="1497"/>
      <c r="W99" s="1497"/>
      <c r="X99" s="1497"/>
      <c r="Y99" s="1497"/>
      <c r="Z99" s="1497"/>
    </row>
    <row r="100" spans="1:26" ht="12.75" customHeight="1">
      <c r="A100" s="1497"/>
      <c r="B100" s="1497"/>
      <c r="C100" s="1497"/>
      <c r="D100" s="1497"/>
      <c r="E100" s="1497"/>
      <c r="F100" s="1497"/>
      <c r="G100" s="1497"/>
      <c r="H100" s="1497"/>
      <c r="I100" s="1497"/>
      <c r="J100" s="1497"/>
      <c r="K100" s="1497"/>
      <c r="L100" s="1497"/>
      <c r="M100" s="1497"/>
      <c r="N100" s="1497"/>
      <c r="O100" s="1497"/>
      <c r="P100" s="1497"/>
      <c r="Q100" s="1497"/>
      <c r="R100" s="1497"/>
      <c r="S100" s="1497"/>
      <c r="T100" s="1497"/>
      <c r="U100" s="1497"/>
      <c r="V100" s="1497"/>
      <c r="W100" s="1497"/>
      <c r="X100" s="1497"/>
      <c r="Y100" s="1497"/>
      <c r="Z100" s="1497"/>
    </row>
    <row r="101" spans="1:26" ht="12.75" customHeight="1">
      <c r="A101" s="1497"/>
      <c r="B101" s="1497"/>
      <c r="C101" s="1497"/>
      <c r="D101" s="1497"/>
      <c r="E101" s="1497"/>
      <c r="F101" s="1497"/>
      <c r="G101" s="1497"/>
      <c r="H101" s="1497"/>
      <c r="I101" s="1497"/>
      <c r="J101" s="1497"/>
      <c r="K101" s="1497"/>
      <c r="L101" s="1497"/>
      <c r="M101" s="1497"/>
      <c r="N101" s="1497"/>
      <c r="O101" s="1497"/>
      <c r="P101" s="1497"/>
      <c r="Q101" s="1497"/>
      <c r="R101" s="1497"/>
      <c r="S101" s="1497"/>
      <c r="T101" s="1497"/>
      <c r="U101" s="1497"/>
      <c r="V101" s="1497"/>
      <c r="W101" s="1497"/>
      <c r="X101" s="1497"/>
      <c r="Y101" s="1497"/>
      <c r="Z101" s="1497"/>
    </row>
    <row r="102" spans="1:26" ht="12.75" customHeight="1">
      <c r="A102" s="1497"/>
      <c r="B102" s="1497"/>
      <c r="C102" s="1497"/>
      <c r="D102" s="1497"/>
      <c r="E102" s="1497"/>
      <c r="F102" s="1497"/>
      <c r="G102" s="1497"/>
      <c r="H102" s="1497"/>
      <c r="I102" s="1497"/>
      <c r="J102" s="1497"/>
      <c r="K102" s="1497"/>
      <c r="L102" s="1497"/>
      <c r="M102" s="1497"/>
      <c r="N102" s="1497"/>
      <c r="O102" s="1497"/>
      <c r="P102" s="1497"/>
      <c r="Q102" s="1497"/>
      <c r="R102" s="1497"/>
      <c r="S102" s="1497"/>
      <c r="T102" s="1497"/>
      <c r="U102" s="1497"/>
      <c r="V102" s="1497"/>
      <c r="W102" s="1497"/>
      <c r="X102" s="1497"/>
      <c r="Y102" s="1497"/>
      <c r="Z102" s="1497"/>
    </row>
    <row r="103" spans="1:26" ht="12.75" customHeight="1">
      <c r="A103" s="1497"/>
      <c r="B103" s="1497"/>
      <c r="C103" s="1497"/>
      <c r="D103" s="1497"/>
      <c r="E103" s="1497"/>
      <c r="F103" s="1497"/>
      <c r="G103" s="1497"/>
      <c r="H103" s="1497"/>
      <c r="I103" s="1497"/>
      <c r="J103" s="1497"/>
      <c r="K103" s="1497"/>
      <c r="L103" s="1497"/>
      <c r="M103" s="1497"/>
      <c r="N103" s="1497"/>
      <c r="O103" s="1497"/>
      <c r="P103" s="1497"/>
      <c r="Q103" s="1497"/>
      <c r="R103" s="1497"/>
      <c r="S103" s="1497"/>
      <c r="T103" s="1497"/>
      <c r="U103" s="1497"/>
      <c r="V103" s="1497"/>
      <c r="W103" s="1497"/>
      <c r="X103" s="1497"/>
      <c r="Y103" s="1497"/>
      <c r="Z103" s="1497"/>
    </row>
    <row r="104" spans="1:26" ht="12.75" customHeight="1">
      <c r="A104" s="1497"/>
      <c r="B104" s="1497"/>
      <c r="C104" s="1497"/>
      <c r="D104" s="1497"/>
      <c r="E104" s="1497"/>
      <c r="F104" s="1497"/>
      <c r="G104" s="1497"/>
      <c r="H104" s="1497"/>
      <c r="I104" s="1497"/>
      <c r="J104" s="1497"/>
      <c r="K104" s="1497"/>
      <c r="L104" s="1497"/>
      <c r="M104" s="1497"/>
      <c r="N104" s="1497"/>
      <c r="O104" s="1497"/>
      <c r="P104" s="1497"/>
      <c r="Q104" s="1497"/>
      <c r="R104" s="1497"/>
      <c r="S104" s="1497"/>
      <c r="T104" s="1497"/>
      <c r="U104" s="1497"/>
      <c r="V104" s="1497"/>
      <c r="W104" s="1497"/>
      <c r="X104" s="1497"/>
      <c r="Y104" s="1497"/>
      <c r="Z104" s="1497"/>
    </row>
    <row r="105" spans="1:26" ht="12.75" customHeight="1">
      <c r="A105" s="1497"/>
      <c r="B105" s="1497"/>
      <c r="C105" s="1497"/>
      <c r="D105" s="1497"/>
      <c r="E105" s="1497"/>
      <c r="F105" s="1497"/>
      <c r="G105" s="1497"/>
      <c r="H105" s="1497"/>
      <c r="I105" s="1497"/>
      <c r="J105" s="1497"/>
      <c r="K105" s="1497"/>
      <c r="L105" s="1497"/>
      <c r="M105" s="1497"/>
      <c r="N105" s="1497"/>
      <c r="O105" s="1497"/>
      <c r="P105" s="1497"/>
      <c r="Q105" s="1497"/>
      <c r="R105" s="1497"/>
      <c r="S105" s="1497"/>
      <c r="T105" s="1497"/>
      <c r="U105" s="1497"/>
      <c r="V105" s="1497"/>
      <c r="W105" s="1497"/>
      <c r="X105" s="1497"/>
      <c r="Y105" s="1497"/>
      <c r="Z105" s="1497"/>
    </row>
    <row r="106" spans="1:26" ht="12.75" customHeight="1">
      <c r="A106" s="1497"/>
      <c r="B106" s="1497"/>
      <c r="C106" s="1497"/>
      <c r="D106" s="1497"/>
      <c r="E106" s="1497"/>
      <c r="F106" s="1497"/>
      <c r="G106" s="1497"/>
      <c r="H106" s="1497"/>
      <c r="I106" s="1497"/>
      <c r="J106" s="1497"/>
      <c r="K106" s="1497"/>
      <c r="L106" s="1497"/>
      <c r="M106" s="1497"/>
      <c r="N106" s="1497"/>
      <c r="O106" s="1497"/>
      <c r="P106" s="1497"/>
      <c r="Q106" s="1497"/>
      <c r="R106" s="1497"/>
      <c r="S106" s="1497"/>
      <c r="T106" s="1497"/>
      <c r="U106" s="1497"/>
      <c r="V106" s="1497"/>
      <c r="W106" s="1497"/>
      <c r="X106" s="1497"/>
      <c r="Y106" s="1497"/>
      <c r="Z106" s="1497"/>
    </row>
    <row r="107" spans="1:26" ht="12.75" customHeight="1">
      <c r="A107" s="1497"/>
      <c r="B107" s="1497"/>
      <c r="C107" s="1497"/>
      <c r="D107" s="1497"/>
      <c r="E107" s="1497"/>
      <c r="F107" s="1497"/>
      <c r="G107" s="1497"/>
      <c r="H107" s="1497"/>
      <c r="I107" s="1497"/>
      <c r="J107" s="1497"/>
      <c r="K107" s="1497"/>
      <c r="L107" s="1497"/>
      <c r="M107" s="1497"/>
      <c r="N107" s="1497"/>
      <c r="O107" s="1497"/>
      <c r="P107" s="1497"/>
      <c r="Q107" s="1497"/>
      <c r="R107" s="1497"/>
      <c r="S107" s="1497"/>
      <c r="T107" s="1497"/>
      <c r="U107" s="1497"/>
      <c r="V107" s="1497"/>
      <c r="W107" s="1497"/>
      <c r="X107" s="1497"/>
      <c r="Y107" s="1497"/>
      <c r="Z107" s="1497"/>
    </row>
    <row r="108" spans="1:26" ht="12.75" customHeight="1">
      <c r="A108" s="1497"/>
      <c r="B108" s="1497"/>
      <c r="C108" s="1497"/>
      <c r="D108" s="1497"/>
      <c r="E108" s="1497"/>
      <c r="F108" s="1497"/>
      <c r="G108" s="1497"/>
      <c r="H108" s="1497"/>
      <c r="I108" s="1497"/>
      <c r="J108" s="1497"/>
      <c r="K108" s="1497"/>
      <c r="L108" s="1497"/>
      <c r="M108" s="1497"/>
      <c r="N108" s="1497"/>
      <c r="O108" s="1497"/>
      <c r="P108" s="1497"/>
      <c r="Q108" s="1497"/>
      <c r="R108" s="1497"/>
      <c r="S108" s="1497"/>
      <c r="T108" s="1497"/>
      <c r="U108" s="1497"/>
      <c r="V108" s="1497"/>
      <c r="W108" s="1497"/>
      <c r="X108" s="1497"/>
      <c r="Y108" s="1497"/>
      <c r="Z108" s="1497"/>
    </row>
    <row r="109" spans="1:26" ht="12.75" customHeight="1">
      <c r="A109" s="1497"/>
      <c r="B109" s="1497"/>
      <c r="C109" s="1497"/>
      <c r="D109" s="1497"/>
      <c r="E109" s="1497"/>
      <c r="F109" s="1497"/>
      <c r="G109" s="1497"/>
      <c r="H109" s="1497"/>
      <c r="I109" s="1497"/>
      <c r="J109" s="1497"/>
      <c r="K109" s="1497"/>
      <c r="L109" s="1497"/>
      <c r="M109" s="1497"/>
      <c r="N109" s="1497"/>
      <c r="O109" s="1497"/>
      <c r="P109" s="1497"/>
      <c r="Q109" s="1497"/>
      <c r="R109" s="1497"/>
      <c r="S109" s="1497"/>
      <c r="T109" s="1497"/>
      <c r="U109" s="1497"/>
      <c r="V109" s="1497"/>
      <c r="W109" s="1497"/>
      <c r="X109" s="1497"/>
      <c r="Y109" s="1497"/>
      <c r="Z109" s="1497"/>
    </row>
    <row r="110" spans="1:26" ht="12.75" customHeight="1">
      <c r="A110" s="1497"/>
      <c r="B110" s="1497"/>
      <c r="C110" s="1497"/>
      <c r="D110" s="1497"/>
      <c r="E110" s="1497"/>
      <c r="F110" s="1497"/>
      <c r="G110" s="1497"/>
      <c r="H110" s="1497"/>
      <c r="I110" s="1497"/>
      <c r="J110" s="1497"/>
      <c r="K110" s="1497"/>
      <c r="L110" s="1497"/>
      <c r="M110" s="1497"/>
      <c r="N110" s="1497"/>
      <c r="O110" s="1497"/>
      <c r="P110" s="1497"/>
      <c r="Q110" s="1497"/>
      <c r="R110" s="1497"/>
      <c r="S110" s="1497"/>
      <c r="T110" s="1497"/>
      <c r="U110" s="1497"/>
      <c r="V110" s="1497"/>
      <c r="W110" s="1497"/>
      <c r="X110" s="1497"/>
      <c r="Y110" s="1497"/>
      <c r="Z110" s="1497"/>
    </row>
    <row r="111" spans="1:26" ht="12.75" customHeight="1">
      <c r="A111" s="1497"/>
      <c r="B111" s="1497"/>
      <c r="C111" s="1497"/>
      <c r="D111" s="1497"/>
      <c r="E111" s="1497"/>
      <c r="F111" s="1497"/>
      <c r="G111" s="1497"/>
      <c r="H111" s="1497"/>
      <c r="I111" s="1497"/>
      <c r="J111" s="1497"/>
      <c r="K111" s="1497"/>
      <c r="L111" s="1497"/>
      <c r="M111" s="1497"/>
      <c r="N111" s="1497"/>
      <c r="O111" s="1497"/>
      <c r="P111" s="1497"/>
      <c r="Q111" s="1497"/>
      <c r="R111" s="1497"/>
      <c r="S111" s="1497"/>
      <c r="T111" s="1497"/>
      <c r="U111" s="1497"/>
      <c r="V111" s="1497"/>
      <c r="W111" s="1497"/>
      <c r="X111" s="1497"/>
      <c r="Y111" s="1497"/>
      <c r="Z111" s="1497"/>
    </row>
    <row r="112" spans="1:26" ht="12.75" customHeight="1">
      <c r="A112" s="1497"/>
      <c r="B112" s="1497"/>
      <c r="C112" s="1497"/>
      <c r="D112" s="1497"/>
      <c r="E112" s="1497"/>
      <c r="F112" s="1497"/>
      <c r="G112" s="1497"/>
      <c r="H112" s="1497"/>
      <c r="I112" s="1497"/>
      <c r="J112" s="1497"/>
      <c r="K112" s="1497"/>
      <c r="L112" s="1497"/>
      <c r="M112" s="1497"/>
      <c r="N112" s="1497"/>
      <c r="O112" s="1497"/>
      <c r="P112" s="1497"/>
      <c r="Q112" s="1497"/>
      <c r="R112" s="1497"/>
      <c r="S112" s="1497"/>
      <c r="T112" s="1497"/>
      <c r="U112" s="1497"/>
      <c r="V112" s="1497"/>
      <c r="W112" s="1497"/>
      <c r="X112" s="1497"/>
      <c r="Y112" s="1497"/>
      <c r="Z112" s="1497"/>
    </row>
    <row r="113" spans="1:26" ht="12.75" customHeight="1">
      <c r="A113" s="1497"/>
      <c r="B113" s="1497"/>
      <c r="C113" s="1497"/>
      <c r="D113" s="1497"/>
      <c r="E113" s="1497"/>
      <c r="F113" s="1497"/>
      <c r="G113" s="1497"/>
      <c r="H113" s="1497"/>
      <c r="I113" s="1497"/>
      <c r="J113" s="1497"/>
      <c r="K113" s="1497"/>
      <c r="L113" s="1497"/>
      <c r="M113" s="1497"/>
      <c r="N113" s="1497"/>
      <c r="O113" s="1497"/>
      <c r="P113" s="1497"/>
      <c r="Q113" s="1497"/>
      <c r="R113" s="1497"/>
      <c r="S113" s="1497"/>
      <c r="T113" s="1497"/>
      <c r="U113" s="1497"/>
      <c r="V113" s="1497"/>
      <c r="W113" s="1497"/>
      <c r="X113" s="1497"/>
      <c r="Y113" s="1497"/>
      <c r="Z113" s="1497"/>
    </row>
    <row r="114" spans="1:26" ht="12.75" customHeight="1">
      <c r="A114" s="1497"/>
      <c r="B114" s="1497"/>
      <c r="C114" s="1497"/>
      <c r="D114" s="1497"/>
      <c r="E114" s="1497"/>
      <c r="F114" s="1497"/>
      <c r="G114" s="1497"/>
      <c r="H114" s="1497"/>
      <c r="I114" s="1497"/>
      <c r="J114" s="1497"/>
      <c r="K114" s="1497"/>
      <c r="L114" s="1497"/>
      <c r="M114" s="1497"/>
      <c r="N114" s="1497"/>
      <c r="O114" s="1497"/>
      <c r="P114" s="1497"/>
      <c r="Q114" s="1497"/>
      <c r="R114" s="1497"/>
      <c r="S114" s="1497"/>
      <c r="T114" s="1497"/>
      <c r="U114" s="1497"/>
      <c r="V114" s="1497"/>
      <c r="W114" s="1497"/>
      <c r="X114" s="1497"/>
      <c r="Y114" s="1497"/>
      <c r="Z114" s="1497"/>
    </row>
    <row r="115" spans="1:26" ht="12.75" customHeight="1">
      <c r="A115" s="1497"/>
      <c r="B115" s="1497"/>
      <c r="C115" s="1497"/>
      <c r="D115" s="1497"/>
      <c r="E115" s="1497"/>
      <c r="F115" s="1497"/>
      <c r="G115" s="1497"/>
      <c r="H115" s="1497"/>
      <c r="I115" s="1497"/>
      <c r="J115" s="1497"/>
      <c r="K115" s="1497"/>
      <c r="L115" s="1497"/>
      <c r="M115" s="1497"/>
      <c r="N115" s="1497"/>
      <c r="O115" s="1497"/>
      <c r="P115" s="1497"/>
      <c r="Q115" s="1497"/>
      <c r="R115" s="1497"/>
      <c r="S115" s="1497"/>
      <c r="T115" s="1497"/>
      <c r="U115" s="1497"/>
      <c r="V115" s="1497"/>
      <c r="W115" s="1497"/>
      <c r="X115" s="1497"/>
      <c r="Y115" s="1497"/>
      <c r="Z115" s="1497"/>
    </row>
    <row r="116" spans="1:26" ht="12.75" customHeight="1">
      <c r="A116" s="1497"/>
      <c r="B116" s="1497"/>
      <c r="C116" s="1497"/>
      <c r="D116" s="1497"/>
      <c r="E116" s="1497"/>
      <c r="F116" s="1497"/>
      <c r="G116" s="1497"/>
      <c r="H116" s="1497"/>
      <c r="I116" s="1497"/>
      <c r="J116" s="1497"/>
      <c r="K116" s="1497"/>
      <c r="L116" s="1497"/>
      <c r="M116" s="1497"/>
      <c r="N116" s="1497"/>
      <c r="O116" s="1497"/>
      <c r="P116" s="1497"/>
      <c r="Q116" s="1497"/>
      <c r="R116" s="1497"/>
      <c r="S116" s="1497"/>
      <c r="T116" s="1497"/>
      <c r="U116" s="1497"/>
      <c r="V116" s="1497"/>
      <c r="W116" s="1497"/>
      <c r="X116" s="1497"/>
      <c r="Y116" s="1497"/>
      <c r="Z116" s="1497"/>
    </row>
    <row r="117" spans="1:26" ht="12.75" customHeight="1">
      <c r="A117" s="1497"/>
      <c r="B117" s="1497"/>
      <c r="C117" s="1497"/>
      <c r="D117" s="1497"/>
      <c r="E117" s="1497"/>
      <c r="F117" s="1497"/>
      <c r="G117" s="1497"/>
      <c r="H117" s="1497"/>
      <c r="I117" s="1497"/>
      <c r="J117" s="1497"/>
      <c r="K117" s="1497"/>
      <c r="L117" s="1497"/>
      <c r="M117" s="1497"/>
      <c r="N117" s="1497"/>
      <c r="O117" s="1497"/>
      <c r="P117" s="1497"/>
      <c r="Q117" s="1497"/>
      <c r="R117" s="1497"/>
      <c r="S117" s="1497"/>
      <c r="T117" s="1497"/>
      <c r="U117" s="1497"/>
      <c r="V117" s="1497"/>
      <c r="W117" s="1497"/>
      <c r="X117" s="1497"/>
      <c r="Y117" s="1497"/>
      <c r="Z117" s="1497"/>
    </row>
    <row r="118" spans="1:26" ht="12.75" customHeight="1">
      <c r="A118" s="1497"/>
      <c r="B118" s="1497"/>
      <c r="C118" s="1497"/>
      <c r="D118" s="1497"/>
      <c r="E118" s="1497"/>
      <c r="F118" s="1497"/>
      <c r="G118" s="1497"/>
      <c r="H118" s="1497"/>
      <c r="I118" s="1497"/>
      <c r="J118" s="1497"/>
      <c r="K118" s="1497"/>
      <c r="L118" s="1497"/>
      <c r="M118" s="1497"/>
      <c r="N118" s="1497"/>
      <c r="O118" s="1497"/>
      <c r="P118" s="1497"/>
      <c r="Q118" s="1497"/>
      <c r="R118" s="1497"/>
      <c r="S118" s="1497"/>
      <c r="T118" s="1497"/>
      <c r="U118" s="1497"/>
      <c r="V118" s="1497"/>
      <c r="W118" s="1497"/>
      <c r="X118" s="1497"/>
      <c r="Y118" s="1497"/>
      <c r="Z118" s="1497"/>
    </row>
    <row r="119" spans="1:26" ht="12.75" customHeight="1">
      <c r="A119" s="1497"/>
      <c r="B119" s="1497"/>
      <c r="C119" s="1497"/>
      <c r="D119" s="1497"/>
      <c r="E119" s="1497"/>
      <c r="F119" s="1497"/>
      <c r="G119" s="1497"/>
      <c r="H119" s="1497"/>
      <c r="I119" s="1497"/>
      <c r="J119" s="1497"/>
      <c r="K119" s="1497"/>
      <c r="L119" s="1497"/>
      <c r="M119" s="1497"/>
      <c r="N119" s="1497"/>
      <c r="O119" s="1497"/>
      <c r="P119" s="1497"/>
      <c r="Q119" s="1497"/>
      <c r="R119" s="1497"/>
      <c r="S119" s="1497"/>
      <c r="T119" s="1497"/>
      <c r="U119" s="1497"/>
      <c r="V119" s="1497"/>
      <c r="W119" s="1497"/>
      <c r="X119" s="1497"/>
      <c r="Y119" s="1497"/>
      <c r="Z119" s="1497"/>
    </row>
    <row r="120" spans="1:26" ht="12.75" customHeight="1">
      <c r="A120" s="1497"/>
      <c r="B120" s="1497"/>
      <c r="C120" s="1497"/>
      <c r="D120" s="1497"/>
      <c r="E120" s="1497"/>
      <c r="F120" s="1497"/>
      <c r="G120" s="1497"/>
      <c r="H120" s="1497"/>
      <c r="I120" s="1497"/>
      <c r="J120" s="1497"/>
      <c r="K120" s="1497"/>
      <c r="L120" s="1497"/>
      <c r="M120" s="1497"/>
      <c r="N120" s="1497"/>
      <c r="O120" s="1497"/>
      <c r="P120" s="1497"/>
      <c r="Q120" s="1497"/>
      <c r="R120" s="1497"/>
      <c r="S120" s="1497"/>
      <c r="T120" s="1497"/>
      <c r="U120" s="1497"/>
      <c r="V120" s="1497"/>
      <c r="W120" s="1497"/>
      <c r="X120" s="1497"/>
      <c r="Y120" s="1497"/>
      <c r="Z120" s="1497"/>
    </row>
    <row r="121" spans="1:26" ht="12.75" customHeight="1">
      <c r="A121" s="1497"/>
      <c r="B121" s="1497"/>
      <c r="C121" s="1497"/>
      <c r="D121" s="1497"/>
      <c r="E121" s="1497"/>
      <c r="F121" s="1497"/>
      <c r="G121" s="1497"/>
      <c r="H121" s="1497"/>
      <c r="I121" s="1497"/>
      <c r="J121" s="1497"/>
      <c r="K121" s="1497"/>
      <c r="L121" s="1497"/>
      <c r="M121" s="1497"/>
      <c r="N121" s="1497"/>
      <c r="O121" s="1497"/>
      <c r="P121" s="1497"/>
      <c r="Q121" s="1497"/>
      <c r="R121" s="1497"/>
      <c r="S121" s="1497"/>
      <c r="T121" s="1497"/>
      <c r="U121" s="1497"/>
      <c r="V121" s="1497"/>
      <c r="W121" s="1497"/>
      <c r="X121" s="1497"/>
      <c r="Y121" s="1497"/>
      <c r="Z121" s="1497"/>
    </row>
    <row r="122" spans="1:26" ht="12.75" customHeight="1">
      <c r="A122" s="1497"/>
      <c r="B122" s="1497"/>
      <c r="C122" s="1497"/>
      <c r="D122" s="1497"/>
      <c r="E122" s="1497"/>
      <c r="F122" s="1497"/>
      <c r="G122" s="1497"/>
      <c r="H122" s="1497"/>
      <c r="I122" s="1497"/>
      <c r="J122" s="1497"/>
      <c r="K122" s="1497"/>
      <c r="L122" s="1497"/>
      <c r="M122" s="1497"/>
      <c r="N122" s="1497"/>
      <c r="O122" s="1497"/>
      <c r="P122" s="1497"/>
      <c r="Q122" s="1497"/>
      <c r="R122" s="1497"/>
      <c r="S122" s="1497"/>
      <c r="T122" s="1497"/>
      <c r="U122" s="1497"/>
      <c r="V122" s="1497"/>
      <c r="W122" s="1497"/>
      <c r="X122" s="1497"/>
      <c r="Y122" s="1497"/>
      <c r="Z122" s="1497"/>
    </row>
    <row r="123" spans="1:26" ht="12.75" customHeight="1">
      <c r="A123" s="1497"/>
      <c r="B123" s="1497"/>
      <c r="C123" s="1497"/>
      <c r="D123" s="1497"/>
      <c r="E123" s="1497"/>
      <c r="F123" s="1497"/>
      <c r="G123" s="1497"/>
      <c r="H123" s="1497"/>
      <c r="I123" s="1497"/>
      <c r="J123" s="1497"/>
      <c r="K123" s="1497"/>
      <c r="L123" s="1497"/>
      <c r="M123" s="1497"/>
      <c r="N123" s="1497"/>
      <c r="O123" s="1497"/>
      <c r="P123" s="1497"/>
      <c r="Q123" s="1497"/>
      <c r="R123" s="1497"/>
      <c r="S123" s="1497"/>
      <c r="T123" s="1497"/>
      <c r="U123" s="1497"/>
      <c r="V123" s="1497"/>
      <c r="W123" s="1497"/>
      <c r="X123" s="1497"/>
      <c r="Y123" s="1497"/>
      <c r="Z123" s="1497"/>
    </row>
    <row r="124" spans="1:26" ht="12.75" customHeight="1">
      <c r="A124" s="1497"/>
      <c r="B124" s="1497"/>
      <c r="C124" s="1497"/>
      <c r="D124" s="1497"/>
      <c r="E124" s="1497"/>
      <c r="F124" s="1497"/>
      <c r="G124" s="1497"/>
      <c r="H124" s="1497"/>
      <c r="I124" s="1497"/>
      <c r="J124" s="1497"/>
      <c r="K124" s="1497"/>
      <c r="L124" s="1497"/>
      <c r="M124" s="1497"/>
      <c r="N124" s="1497"/>
      <c r="O124" s="1497"/>
      <c r="P124" s="1497"/>
      <c r="Q124" s="1497"/>
      <c r="R124" s="1497"/>
      <c r="S124" s="1497"/>
      <c r="T124" s="1497"/>
      <c r="U124" s="1497"/>
      <c r="V124" s="1497"/>
      <c r="W124" s="1497"/>
      <c r="X124" s="1497"/>
      <c r="Y124" s="1497"/>
      <c r="Z124" s="1497"/>
    </row>
    <row r="125" spans="1:26" ht="12.75" customHeight="1">
      <c r="A125" s="1497"/>
      <c r="B125" s="1497"/>
      <c r="C125" s="1497"/>
      <c r="D125" s="1497"/>
      <c r="E125" s="1497"/>
      <c r="F125" s="1497"/>
      <c r="G125" s="1497"/>
      <c r="H125" s="1497"/>
      <c r="I125" s="1497"/>
      <c r="J125" s="1497"/>
      <c r="K125" s="1497"/>
      <c r="L125" s="1497"/>
      <c r="M125" s="1497"/>
      <c r="N125" s="1497"/>
      <c r="O125" s="1497"/>
      <c r="P125" s="1497"/>
      <c r="Q125" s="1497"/>
      <c r="R125" s="1497"/>
      <c r="S125" s="1497"/>
      <c r="T125" s="1497"/>
      <c r="U125" s="1497"/>
      <c r="V125" s="1497"/>
      <c r="W125" s="1497"/>
      <c r="X125" s="1497"/>
      <c r="Y125" s="1497"/>
      <c r="Z125" s="1497"/>
    </row>
    <row r="126" spans="1:26" ht="12.75" customHeight="1">
      <c r="A126" s="1497"/>
      <c r="B126" s="1497"/>
      <c r="C126" s="1497"/>
      <c r="D126" s="1497"/>
      <c r="E126" s="1497"/>
      <c r="F126" s="1497"/>
      <c r="G126" s="1497"/>
      <c r="H126" s="1497"/>
      <c r="I126" s="1497"/>
      <c r="J126" s="1497"/>
      <c r="K126" s="1497"/>
      <c r="L126" s="1497"/>
      <c r="M126" s="1497"/>
      <c r="N126" s="1497"/>
      <c r="O126" s="1497"/>
      <c r="P126" s="1497"/>
      <c r="Q126" s="1497"/>
      <c r="R126" s="1497"/>
      <c r="S126" s="1497"/>
      <c r="T126" s="1497"/>
      <c r="U126" s="1497"/>
      <c r="V126" s="1497"/>
      <c r="W126" s="1497"/>
      <c r="X126" s="1497"/>
      <c r="Y126" s="1497"/>
      <c r="Z126" s="1497"/>
    </row>
    <row r="127" spans="1:26" ht="12.75" customHeight="1">
      <c r="A127" s="1497"/>
      <c r="B127" s="1497"/>
      <c r="C127" s="1497"/>
      <c r="D127" s="1497"/>
      <c r="E127" s="1497"/>
      <c r="F127" s="1497"/>
      <c r="G127" s="1497"/>
      <c r="H127" s="1497"/>
      <c r="I127" s="1497"/>
      <c r="J127" s="1497"/>
      <c r="K127" s="1497"/>
      <c r="L127" s="1497"/>
      <c r="M127" s="1497"/>
      <c r="N127" s="1497"/>
      <c r="O127" s="1497"/>
      <c r="P127" s="1497"/>
      <c r="Q127" s="1497"/>
      <c r="R127" s="1497"/>
      <c r="S127" s="1497"/>
      <c r="T127" s="1497"/>
      <c r="U127" s="1497"/>
      <c r="V127" s="1497"/>
      <c r="W127" s="1497"/>
      <c r="X127" s="1497"/>
      <c r="Y127" s="1497"/>
      <c r="Z127" s="1497"/>
    </row>
    <row r="128" spans="1:26" ht="12.75" customHeight="1">
      <c r="A128" s="1497"/>
      <c r="B128" s="1497"/>
      <c r="C128" s="1497"/>
      <c r="D128" s="1497"/>
      <c r="E128" s="1497"/>
      <c r="F128" s="1497"/>
      <c r="G128" s="1497"/>
      <c r="H128" s="1497"/>
      <c r="I128" s="1497"/>
      <c r="J128" s="1497"/>
      <c r="K128" s="1497"/>
      <c r="L128" s="1497"/>
      <c r="M128" s="1497"/>
      <c r="N128" s="1497"/>
      <c r="O128" s="1497"/>
      <c r="P128" s="1497"/>
      <c r="Q128" s="1497"/>
      <c r="R128" s="1497"/>
      <c r="S128" s="1497"/>
      <c r="T128" s="1497"/>
      <c r="U128" s="1497"/>
      <c r="V128" s="1497"/>
      <c r="W128" s="1497"/>
      <c r="X128" s="1497"/>
      <c r="Y128" s="1497"/>
      <c r="Z128" s="1497"/>
    </row>
    <row r="129" spans="1:26" ht="12.75" customHeight="1">
      <c r="A129" s="1497"/>
      <c r="B129" s="1497"/>
      <c r="C129" s="1497"/>
      <c r="D129" s="1497"/>
      <c r="E129" s="1497"/>
      <c r="F129" s="1497"/>
      <c r="G129" s="1497"/>
      <c r="H129" s="1497"/>
      <c r="I129" s="1497"/>
      <c r="J129" s="1497"/>
      <c r="K129" s="1497"/>
      <c r="L129" s="1497"/>
      <c r="M129" s="1497"/>
      <c r="N129" s="1497"/>
      <c r="O129" s="1497"/>
      <c r="P129" s="1497"/>
      <c r="Q129" s="1497"/>
      <c r="R129" s="1497"/>
      <c r="S129" s="1497"/>
      <c r="T129" s="1497"/>
      <c r="U129" s="1497"/>
      <c r="V129" s="1497"/>
      <c r="W129" s="1497"/>
      <c r="X129" s="1497"/>
      <c r="Y129" s="1497"/>
      <c r="Z129" s="1497"/>
    </row>
    <row r="130" spans="1:26" ht="12.75" customHeight="1">
      <c r="A130" s="1497"/>
      <c r="B130" s="1497"/>
      <c r="C130" s="1497"/>
      <c r="D130" s="1497"/>
      <c r="E130" s="1497"/>
      <c r="F130" s="1497"/>
      <c r="G130" s="1497"/>
      <c r="H130" s="1497"/>
      <c r="I130" s="1497"/>
      <c r="J130" s="1497"/>
      <c r="K130" s="1497"/>
      <c r="L130" s="1497"/>
      <c r="M130" s="1497"/>
      <c r="N130" s="1497"/>
      <c r="O130" s="1497"/>
      <c r="P130" s="1497"/>
      <c r="Q130" s="1497"/>
      <c r="R130" s="1497"/>
      <c r="S130" s="1497"/>
      <c r="T130" s="1497"/>
      <c r="U130" s="1497"/>
      <c r="V130" s="1497"/>
      <c r="W130" s="1497"/>
      <c r="X130" s="1497"/>
      <c r="Y130" s="1497"/>
      <c r="Z130" s="1497"/>
    </row>
    <row r="131" spans="1:26" ht="12.75" customHeight="1">
      <c r="A131" s="1497"/>
      <c r="B131" s="1497"/>
      <c r="C131" s="1497"/>
      <c r="D131" s="1497"/>
      <c r="E131" s="1497"/>
      <c r="F131" s="1497"/>
      <c r="G131" s="1497"/>
      <c r="H131" s="1497"/>
      <c r="I131" s="1497"/>
      <c r="J131" s="1497"/>
      <c r="K131" s="1497"/>
      <c r="L131" s="1497"/>
      <c r="M131" s="1497"/>
      <c r="N131" s="1497"/>
      <c r="O131" s="1497"/>
      <c r="P131" s="1497"/>
      <c r="Q131" s="1497"/>
      <c r="R131" s="1497"/>
      <c r="S131" s="1497"/>
      <c r="T131" s="1497"/>
      <c r="U131" s="1497"/>
      <c r="V131" s="1497"/>
      <c r="W131" s="1497"/>
      <c r="X131" s="1497"/>
      <c r="Y131" s="1497"/>
      <c r="Z131" s="1497"/>
    </row>
    <row r="132" spans="1:26" ht="12.75" customHeight="1">
      <c r="A132" s="1497"/>
      <c r="B132" s="1497"/>
      <c r="C132" s="1497"/>
      <c r="D132" s="1497"/>
      <c r="E132" s="1497"/>
      <c r="F132" s="1497"/>
      <c r="G132" s="1497"/>
      <c r="H132" s="1497"/>
      <c r="I132" s="1497"/>
      <c r="J132" s="1497"/>
      <c r="K132" s="1497"/>
      <c r="L132" s="1497"/>
      <c r="M132" s="1497"/>
      <c r="N132" s="1497"/>
      <c r="O132" s="1497"/>
      <c r="P132" s="1497"/>
      <c r="Q132" s="1497"/>
      <c r="R132" s="1497"/>
      <c r="S132" s="1497"/>
      <c r="T132" s="1497"/>
      <c r="U132" s="1497"/>
      <c r="V132" s="1497"/>
      <c r="W132" s="1497"/>
      <c r="X132" s="1497"/>
      <c r="Y132" s="1497"/>
      <c r="Z132" s="1497"/>
    </row>
    <row r="133" spans="1:26" ht="12.75" customHeight="1">
      <c r="A133" s="1497"/>
      <c r="B133" s="1497"/>
      <c r="C133" s="1497"/>
      <c r="D133" s="1497"/>
      <c r="E133" s="1497"/>
      <c r="F133" s="1497"/>
      <c r="G133" s="1497"/>
      <c r="H133" s="1497"/>
      <c r="I133" s="1497"/>
      <c r="J133" s="1497"/>
      <c r="K133" s="1497"/>
      <c r="L133" s="1497"/>
      <c r="M133" s="1497"/>
      <c r="N133" s="1497"/>
      <c r="O133" s="1497"/>
      <c r="P133" s="1497"/>
      <c r="Q133" s="1497"/>
      <c r="R133" s="1497"/>
      <c r="S133" s="1497"/>
      <c r="T133" s="1497"/>
      <c r="U133" s="1497"/>
      <c r="V133" s="1497"/>
      <c r="W133" s="1497"/>
      <c r="X133" s="1497"/>
      <c r="Y133" s="1497"/>
      <c r="Z133" s="1497"/>
    </row>
    <row r="134" spans="1:26" ht="12.75" customHeight="1">
      <c r="A134" s="1497"/>
      <c r="B134" s="1497"/>
      <c r="C134" s="1497"/>
      <c r="D134" s="1497"/>
      <c r="E134" s="1497"/>
      <c r="F134" s="1497"/>
      <c r="G134" s="1497"/>
      <c r="H134" s="1497"/>
      <c r="I134" s="1497"/>
      <c r="J134" s="1497"/>
      <c r="K134" s="1497"/>
      <c r="L134" s="1497"/>
      <c r="M134" s="1497"/>
      <c r="N134" s="1497"/>
      <c r="O134" s="1497"/>
      <c r="P134" s="1497"/>
      <c r="Q134" s="1497"/>
      <c r="R134" s="1497"/>
      <c r="S134" s="1497"/>
      <c r="T134" s="1497"/>
      <c r="U134" s="1497"/>
      <c r="V134" s="1497"/>
      <c r="W134" s="1497"/>
      <c r="X134" s="1497"/>
      <c r="Y134" s="1497"/>
      <c r="Z134" s="1497"/>
    </row>
    <row r="135" spans="1:26" ht="12.75" customHeight="1">
      <c r="A135" s="1497"/>
      <c r="B135" s="1497"/>
      <c r="C135" s="1497"/>
      <c r="D135" s="1497"/>
      <c r="E135" s="1497"/>
      <c r="F135" s="1497"/>
      <c r="G135" s="1497"/>
      <c r="H135" s="1497"/>
      <c r="I135" s="1497"/>
      <c r="J135" s="1497"/>
      <c r="K135" s="1497"/>
      <c r="L135" s="1497"/>
      <c r="M135" s="1497"/>
      <c r="N135" s="1497"/>
      <c r="O135" s="1497"/>
      <c r="P135" s="1497"/>
      <c r="Q135" s="1497"/>
      <c r="R135" s="1497"/>
      <c r="S135" s="1497"/>
      <c r="T135" s="1497"/>
      <c r="U135" s="1497"/>
      <c r="V135" s="1497"/>
      <c r="W135" s="1497"/>
      <c r="X135" s="1497"/>
      <c r="Y135" s="1497"/>
      <c r="Z135" s="1497"/>
    </row>
    <row r="136" spans="1:26" ht="12.75" customHeight="1">
      <c r="A136" s="1497"/>
      <c r="B136" s="1497"/>
      <c r="C136" s="1497"/>
      <c r="D136" s="1497"/>
      <c r="E136" s="1497"/>
      <c r="F136" s="1497"/>
      <c r="G136" s="1497"/>
      <c r="H136" s="1497"/>
      <c r="I136" s="1497"/>
      <c r="J136" s="1497"/>
      <c r="K136" s="1497"/>
      <c r="L136" s="1497"/>
      <c r="M136" s="1497"/>
      <c r="N136" s="1497"/>
      <c r="O136" s="1497"/>
      <c r="P136" s="1497"/>
      <c r="Q136" s="1497"/>
      <c r="R136" s="1497"/>
      <c r="S136" s="1497"/>
      <c r="T136" s="1497"/>
      <c r="U136" s="1497"/>
      <c r="V136" s="1497"/>
      <c r="W136" s="1497"/>
      <c r="X136" s="1497"/>
      <c r="Y136" s="1497"/>
      <c r="Z136" s="1497"/>
    </row>
    <row r="137" spans="1:26" ht="12.75" customHeight="1">
      <c r="A137" s="1497"/>
      <c r="B137" s="1497"/>
      <c r="C137" s="1497"/>
      <c r="D137" s="1497"/>
      <c r="E137" s="1497"/>
      <c r="F137" s="1497"/>
      <c r="G137" s="1497"/>
      <c r="H137" s="1497"/>
      <c r="I137" s="1497"/>
      <c r="J137" s="1497"/>
      <c r="K137" s="1497"/>
      <c r="L137" s="1497"/>
      <c r="M137" s="1497"/>
      <c r="N137" s="1497"/>
      <c r="O137" s="1497"/>
      <c r="P137" s="1497"/>
      <c r="Q137" s="1497"/>
      <c r="R137" s="1497"/>
      <c r="S137" s="1497"/>
      <c r="T137" s="1497"/>
      <c r="U137" s="1497"/>
      <c r="V137" s="1497"/>
      <c r="W137" s="1497"/>
      <c r="X137" s="1497"/>
      <c r="Y137" s="1497"/>
      <c r="Z137" s="1497"/>
    </row>
    <row r="138" spans="1:26" ht="12.75" customHeight="1">
      <c r="A138" s="1497"/>
      <c r="B138" s="1497"/>
      <c r="C138" s="1497"/>
      <c r="D138" s="1497"/>
      <c r="E138" s="1497"/>
      <c r="F138" s="1497"/>
      <c r="G138" s="1497"/>
      <c r="H138" s="1497"/>
      <c r="I138" s="1497"/>
      <c r="J138" s="1497"/>
      <c r="K138" s="1497"/>
      <c r="L138" s="1497"/>
      <c r="M138" s="1497"/>
      <c r="N138" s="1497"/>
      <c r="O138" s="1497"/>
      <c r="P138" s="1497"/>
      <c r="Q138" s="1497"/>
      <c r="R138" s="1497"/>
      <c r="S138" s="1497"/>
      <c r="T138" s="1497"/>
      <c r="U138" s="1497"/>
      <c r="V138" s="1497"/>
      <c r="W138" s="1497"/>
      <c r="X138" s="1497"/>
      <c r="Y138" s="1497"/>
      <c r="Z138" s="1497"/>
    </row>
    <row r="139" spans="1:26" ht="12.75" customHeight="1">
      <c r="A139" s="1497"/>
      <c r="B139" s="1497"/>
      <c r="C139" s="1497"/>
      <c r="D139" s="1497"/>
      <c r="E139" s="1497"/>
      <c r="F139" s="1497"/>
      <c r="G139" s="1497"/>
      <c r="H139" s="1497"/>
      <c r="I139" s="1497"/>
      <c r="J139" s="1497"/>
      <c r="K139" s="1497"/>
      <c r="L139" s="1497"/>
      <c r="M139" s="1497"/>
      <c r="N139" s="1497"/>
      <c r="O139" s="1497"/>
      <c r="P139" s="1497"/>
      <c r="Q139" s="1497"/>
      <c r="R139" s="1497"/>
      <c r="S139" s="1497"/>
      <c r="T139" s="1497"/>
      <c r="U139" s="1497"/>
      <c r="V139" s="1497"/>
      <c r="W139" s="1497"/>
      <c r="X139" s="1497"/>
      <c r="Y139" s="1497"/>
      <c r="Z139" s="1497"/>
    </row>
    <row r="140" spans="1:26" ht="12.75" customHeight="1">
      <c r="A140" s="1497"/>
      <c r="B140" s="1497"/>
      <c r="C140" s="1497"/>
      <c r="D140" s="1497"/>
      <c r="E140" s="1497"/>
      <c r="F140" s="1497"/>
      <c r="G140" s="1497"/>
      <c r="H140" s="1497"/>
      <c r="I140" s="1497"/>
      <c r="J140" s="1497"/>
      <c r="K140" s="1497"/>
      <c r="L140" s="1497"/>
      <c r="M140" s="1497"/>
      <c r="N140" s="1497"/>
      <c r="O140" s="1497"/>
      <c r="P140" s="1497"/>
      <c r="Q140" s="1497"/>
      <c r="R140" s="1497"/>
      <c r="S140" s="1497"/>
      <c r="T140" s="1497"/>
      <c r="U140" s="1497"/>
      <c r="V140" s="1497"/>
      <c r="W140" s="1497"/>
      <c r="X140" s="1497"/>
      <c r="Y140" s="1497"/>
      <c r="Z140" s="1497"/>
    </row>
    <row r="141" spans="1:26" ht="12.75" customHeight="1">
      <c r="A141" s="1497"/>
      <c r="B141" s="1497"/>
      <c r="C141" s="1497"/>
      <c r="D141" s="1497"/>
      <c r="E141" s="1497"/>
      <c r="F141" s="1497"/>
      <c r="G141" s="1497"/>
      <c r="H141" s="1497"/>
      <c r="I141" s="1497"/>
      <c r="J141" s="1497"/>
      <c r="K141" s="1497"/>
      <c r="L141" s="1497"/>
      <c r="M141" s="1497"/>
      <c r="N141" s="1497"/>
      <c r="O141" s="1497"/>
      <c r="P141" s="1497"/>
      <c r="Q141" s="1497"/>
      <c r="R141" s="1497"/>
      <c r="S141" s="1497"/>
      <c r="T141" s="1497"/>
      <c r="U141" s="1497"/>
      <c r="V141" s="1497"/>
      <c r="W141" s="1497"/>
      <c r="X141" s="1497"/>
      <c r="Y141" s="1497"/>
      <c r="Z141" s="1497"/>
    </row>
    <row r="142" spans="1:26" ht="12.75" customHeight="1">
      <c r="A142" s="1497"/>
      <c r="B142" s="1497"/>
      <c r="C142" s="1497"/>
      <c r="D142" s="1497"/>
      <c r="E142" s="1497"/>
      <c r="F142" s="1497"/>
      <c r="G142" s="1497"/>
      <c r="H142" s="1497"/>
      <c r="I142" s="1497"/>
      <c r="J142" s="1497"/>
      <c r="K142" s="1497"/>
      <c r="L142" s="1497"/>
      <c r="M142" s="1497"/>
      <c r="N142" s="1497"/>
      <c r="O142" s="1497"/>
      <c r="P142" s="1497"/>
      <c r="Q142" s="1497"/>
      <c r="R142" s="1497"/>
      <c r="S142" s="1497"/>
      <c r="T142" s="1497"/>
      <c r="U142" s="1497"/>
      <c r="V142" s="1497"/>
      <c r="W142" s="1497"/>
      <c r="X142" s="1497"/>
      <c r="Y142" s="1497"/>
      <c r="Z142" s="1497"/>
    </row>
    <row r="143" spans="1:26" ht="12.75" customHeight="1">
      <c r="A143" s="1497"/>
      <c r="B143" s="1497"/>
      <c r="C143" s="1497"/>
      <c r="D143" s="1497"/>
      <c r="E143" s="1497"/>
      <c r="F143" s="1497"/>
      <c r="G143" s="1497"/>
      <c r="H143" s="1497"/>
      <c r="I143" s="1497"/>
      <c r="J143" s="1497"/>
      <c r="K143" s="1497"/>
      <c r="L143" s="1497"/>
      <c r="M143" s="1497"/>
      <c r="N143" s="1497"/>
      <c r="O143" s="1497"/>
      <c r="P143" s="1497"/>
      <c r="Q143" s="1497"/>
      <c r="R143" s="1497"/>
      <c r="S143" s="1497"/>
      <c r="T143" s="1497"/>
      <c r="U143" s="1497"/>
      <c r="V143" s="1497"/>
      <c r="W143" s="1497"/>
      <c r="X143" s="1497"/>
      <c r="Y143" s="1497"/>
      <c r="Z143" s="1497"/>
    </row>
    <row r="144" spans="1:26" ht="12.75" customHeight="1">
      <c r="A144" s="1497"/>
      <c r="B144" s="1497"/>
      <c r="C144" s="1497"/>
      <c r="D144" s="1497"/>
      <c r="E144" s="1497"/>
      <c r="F144" s="1497"/>
      <c r="G144" s="1497"/>
      <c r="H144" s="1497"/>
      <c r="I144" s="1497"/>
      <c r="J144" s="1497"/>
      <c r="K144" s="1497"/>
      <c r="L144" s="1497"/>
      <c r="M144" s="1497"/>
      <c r="N144" s="1497"/>
      <c r="O144" s="1497"/>
      <c r="P144" s="1497"/>
      <c r="Q144" s="1497"/>
      <c r="R144" s="1497"/>
      <c r="S144" s="1497"/>
      <c r="T144" s="1497"/>
      <c r="U144" s="1497"/>
      <c r="V144" s="1497"/>
      <c r="W144" s="1497"/>
      <c r="X144" s="1497"/>
      <c r="Y144" s="1497"/>
      <c r="Z144" s="1497"/>
    </row>
    <row r="145" spans="1:26" ht="12.75" customHeight="1">
      <c r="A145" s="1497"/>
      <c r="B145" s="1497"/>
      <c r="C145" s="1497"/>
      <c r="D145" s="1497"/>
      <c r="E145" s="1497"/>
      <c r="F145" s="1497"/>
      <c r="G145" s="1497"/>
      <c r="H145" s="1497"/>
      <c r="I145" s="1497"/>
      <c r="J145" s="1497"/>
      <c r="K145" s="1497"/>
      <c r="L145" s="1497"/>
      <c r="M145" s="1497"/>
      <c r="N145" s="1497"/>
      <c r="O145" s="1497"/>
      <c r="P145" s="1497"/>
      <c r="Q145" s="1497"/>
      <c r="R145" s="1497"/>
      <c r="S145" s="1497"/>
      <c r="T145" s="1497"/>
      <c r="U145" s="1497"/>
      <c r="V145" s="1497"/>
      <c r="W145" s="1497"/>
      <c r="X145" s="1497"/>
      <c r="Y145" s="1497"/>
      <c r="Z145" s="1497"/>
    </row>
    <row r="146" spans="1:26" ht="12.75" customHeight="1">
      <c r="A146" s="1497"/>
      <c r="B146" s="1497"/>
      <c r="C146" s="1497"/>
      <c r="D146" s="1497"/>
      <c r="E146" s="1497"/>
      <c r="F146" s="1497"/>
      <c r="G146" s="1497"/>
      <c r="H146" s="1497"/>
      <c r="I146" s="1497"/>
      <c r="J146" s="1497"/>
      <c r="K146" s="1497"/>
      <c r="L146" s="1497"/>
      <c r="M146" s="1497"/>
      <c r="N146" s="1497"/>
      <c r="O146" s="1497"/>
      <c r="P146" s="1497"/>
      <c r="Q146" s="1497"/>
      <c r="R146" s="1497"/>
      <c r="S146" s="1497"/>
      <c r="T146" s="1497"/>
      <c r="U146" s="1497"/>
      <c r="V146" s="1497"/>
      <c r="W146" s="1497"/>
      <c r="X146" s="1497"/>
      <c r="Y146" s="1497"/>
      <c r="Z146" s="1497"/>
    </row>
    <row r="147" spans="1:26" ht="12.75" customHeight="1">
      <c r="A147" s="1497"/>
      <c r="B147" s="1497"/>
      <c r="C147" s="1497"/>
      <c r="D147" s="1497"/>
      <c r="E147" s="1497"/>
      <c r="F147" s="1497"/>
      <c r="G147" s="1497"/>
      <c r="H147" s="1497"/>
      <c r="I147" s="1497"/>
      <c r="J147" s="1497"/>
      <c r="K147" s="1497"/>
      <c r="L147" s="1497"/>
      <c r="M147" s="1497"/>
      <c r="N147" s="1497"/>
      <c r="O147" s="1497"/>
      <c r="P147" s="1497"/>
      <c r="Q147" s="1497"/>
      <c r="R147" s="1497"/>
      <c r="S147" s="1497"/>
      <c r="T147" s="1497"/>
      <c r="U147" s="1497"/>
      <c r="V147" s="1497"/>
      <c r="W147" s="1497"/>
      <c r="X147" s="1497"/>
      <c r="Y147" s="1497"/>
      <c r="Z147" s="1497"/>
    </row>
    <row r="148" spans="1:26" ht="12.75" customHeight="1">
      <c r="A148" s="1497"/>
      <c r="B148" s="1497"/>
      <c r="C148" s="1497"/>
      <c r="D148" s="1497"/>
      <c r="E148" s="1497"/>
      <c r="F148" s="1497"/>
      <c r="G148" s="1497"/>
      <c r="H148" s="1497"/>
      <c r="I148" s="1497"/>
      <c r="J148" s="1497"/>
      <c r="K148" s="1497"/>
      <c r="L148" s="1497"/>
      <c r="M148" s="1497"/>
      <c r="N148" s="1497"/>
      <c r="O148" s="1497"/>
      <c r="P148" s="1497"/>
      <c r="Q148" s="1497"/>
      <c r="R148" s="1497"/>
      <c r="S148" s="1497"/>
      <c r="T148" s="1497"/>
      <c r="U148" s="1497"/>
      <c r="V148" s="1497"/>
      <c r="W148" s="1497"/>
      <c r="X148" s="1497"/>
      <c r="Y148" s="1497"/>
      <c r="Z148" s="1497"/>
    </row>
    <row r="149" spans="1:26" ht="12.75" customHeight="1">
      <c r="A149" s="1497"/>
      <c r="B149" s="1497"/>
      <c r="C149" s="1497"/>
      <c r="D149" s="1497"/>
      <c r="E149" s="1497"/>
      <c r="F149" s="1497"/>
      <c r="G149" s="1497"/>
      <c r="H149" s="1497"/>
      <c r="I149" s="1497"/>
      <c r="J149" s="1497"/>
      <c r="K149" s="1497"/>
      <c r="L149" s="1497"/>
      <c r="M149" s="1497"/>
      <c r="N149" s="1497"/>
      <c r="O149" s="1497"/>
      <c r="P149" s="1497"/>
      <c r="Q149" s="1497"/>
      <c r="R149" s="1497"/>
      <c r="S149" s="1497"/>
      <c r="T149" s="1497"/>
      <c r="U149" s="1497"/>
      <c r="V149" s="1497"/>
      <c r="W149" s="1497"/>
      <c r="X149" s="1497"/>
      <c r="Y149" s="1497"/>
      <c r="Z149" s="1497"/>
    </row>
    <row r="150" spans="1:26" ht="12.75" customHeight="1">
      <c r="A150" s="1497"/>
      <c r="B150" s="1497"/>
      <c r="C150" s="1497"/>
      <c r="D150" s="1497"/>
      <c r="E150" s="1497"/>
      <c r="F150" s="1497"/>
      <c r="G150" s="1497"/>
      <c r="H150" s="1497"/>
      <c r="I150" s="1497"/>
      <c r="J150" s="1497"/>
      <c r="K150" s="1497"/>
      <c r="L150" s="1497"/>
      <c r="M150" s="1497"/>
      <c r="N150" s="1497"/>
      <c r="O150" s="1497"/>
      <c r="P150" s="1497"/>
      <c r="Q150" s="1497"/>
      <c r="R150" s="1497"/>
      <c r="S150" s="1497"/>
      <c r="T150" s="1497"/>
      <c r="U150" s="1497"/>
      <c r="V150" s="1497"/>
      <c r="W150" s="1497"/>
      <c r="X150" s="1497"/>
      <c r="Y150" s="1497"/>
      <c r="Z150" s="1497"/>
    </row>
    <row r="151" spans="1:26" ht="12.75" customHeight="1">
      <c r="A151" s="1497"/>
      <c r="B151" s="1497"/>
      <c r="C151" s="1497"/>
      <c r="D151" s="1497"/>
      <c r="E151" s="1497"/>
      <c r="F151" s="1497"/>
      <c r="G151" s="1497"/>
      <c r="H151" s="1497"/>
      <c r="I151" s="1497"/>
      <c r="J151" s="1497"/>
      <c r="K151" s="1497"/>
      <c r="L151" s="1497"/>
      <c r="M151" s="1497"/>
      <c r="N151" s="1497"/>
      <c r="O151" s="1497"/>
      <c r="P151" s="1497"/>
      <c r="Q151" s="1497"/>
      <c r="R151" s="1497"/>
      <c r="S151" s="1497"/>
      <c r="T151" s="1497"/>
      <c r="U151" s="1497"/>
      <c r="V151" s="1497"/>
      <c r="W151" s="1497"/>
      <c r="X151" s="1497"/>
      <c r="Y151" s="1497"/>
      <c r="Z151" s="1497"/>
    </row>
    <row r="152" spans="1:26" ht="12.75" customHeight="1">
      <c r="A152" s="1497"/>
      <c r="B152" s="1497"/>
      <c r="C152" s="1497"/>
      <c r="D152" s="1497"/>
      <c r="E152" s="1497"/>
      <c r="F152" s="1497"/>
      <c r="G152" s="1497"/>
      <c r="H152" s="1497"/>
      <c r="I152" s="1497"/>
      <c r="J152" s="1497"/>
      <c r="K152" s="1497"/>
      <c r="L152" s="1497"/>
      <c r="M152" s="1497"/>
      <c r="N152" s="1497"/>
      <c r="O152" s="1497"/>
      <c r="P152" s="1497"/>
      <c r="Q152" s="1497"/>
      <c r="R152" s="1497"/>
      <c r="S152" s="1497"/>
      <c r="T152" s="1497"/>
      <c r="U152" s="1497"/>
      <c r="V152" s="1497"/>
      <c r="W152" s="1497"/>
      <c r="X152" s="1497"/>
      <c r="Y152" s="1497"/>
      <c r="Z152" s="1497"/>
    </row>
    <row r="153" spans="1:26" ht="12.75" customHeight="1">
      <c r="A153" s="1497"/>
      <c r="B153" s="1497"/>
      <c r="C153" s="1497"/>
      <c r="D153" s="1497"/>
      <c r="E153" s="1497"/>
      <c r="F153" s="1497"/>
      <c r="G153" s="1497"/>
      <c r="H153" s="1497"/>
      <c r="I153" s="1497"/>
      <c r="J153" s="1497"/>
      <c r="K153" s="1497"/>
      <c r="L153" s="1497"/>
      <c r="M153" s="1497"/>
      <c r="N153" s="1497"/>
      <c r="O153" s="1497"/>
      <c r="P153" s="1497"/>
      <c r="Q153" s="1497"/>
      <c r="R153" s="1497"/>
      <c r="S153" s="1497"/>
      <c r="T153" s="1497"/>
      <c r="U153" s="1497"/>
      <c r="V153" s="1497"/>
      <c r="W153" s="1497"/>
      <c r="X153" s="1497"/>
      <c r="Y153" s="1497"/>
      <c r="Z153" s="1497"/>
    </row>
    <row r="154" spans="1:26" ht="12.75" customHeight="1">
      <c r="A154" s="1497"/>
      <c r="B154" s="1497"/>
      <c r="C154" s="1497"/>
      <c r="D154" s="1497"/>
      <c r="E154" s="1497"/>
      <c r="F154" s="1497"/>
      <c r="G154" s="1497"/>
      <c r="H154" s="1497"/>
      <c r="I154" s="1497"/>
      <c r="J154" s="1497"/>
      <c r="K154" s="1497"/>
      <c r="L154" s="1497"/>
      <c r="M154" s="1497"/>
      <c r="N154" s="1497"/>
      <c r="O154" s="1497"/>
      <c r="P154" s="1497"/>
      <c r="Q154" s="1497"/>
      <c r="R154" s="1497"/>
      <c r="S154" s="1497"/>
      <c r="T154" s="1497"/>
      <c r="U154" s="1497"/>
      <c r="V154" s="1497"/>
      <c r="W154" s="1497"/>
      <c r="X154" s="1497"/>
      <c r="Y154" s="1497"/>
      <c r="Z154" s="1497"/>
    </row>
    <row r="155" spans="1:26" ht="12.75" customHeight="1">
      <c r="A155" s="1497"/>
      <c r="B155" s="1497"/>
      <c r="C155" s="1497"/>
      <c r="D155" s="1497"/>
      <c r="E155" s="1497"/>
      <c r="F155" s="1497"/>
      <c r="G155" s="1497"/>
      <c r="H155" s="1497"/>
      <c r="I155" s="1497"/>
      <c r="J155" s="1497"/>
      <c r="K155" s="1497"/>
      <c r="L155" s="1497"/>
      <c r="M155" s="1497"/>
      <c r="N155" s="1497"/>
      <c r="O155" s="1497"/>
      <c r="P155" s="1497"/>
      <c r="Q155" s="1497"/>
      <c r="R155" s="1497"/>
      <c r="S155" s="1497"/>
      <c r="T155" s="1497"/>
      <c r="U155" s="1497"/>
      <c r="V155" s="1497"/>
      <c r="W155" s="1497"/>
      <c r="X155" s="1497"/>
      <c r="Y155" s="1497"/>
      <c r="Z155" s="1497"/>
    </row>
    <row r="156" spans="1:26" ht="12.75" customHeight="1">
      <c r="A156" s="1497"/>
      <c r="B156" s="1497"/>
      <c r="C156" s="1497"/>
      <c r="D156" s="1497"/>
      <c r="E156" s="1497"/>
      <c r="F156" s="1497"/>
      <c r="G156" s="1497"/>
      <c r="H156" s="1497"/>
      <c r="I156" s="1497"/>
      <c r="J156" s="1497"/>
      <c r="K156" s="1497"/>
      <c r="L156" s="1497"/>
      <c r="M156" s="1497"/>
      <c r="N156" s="1497"/>
      <c r="O156" s="1497"/>
      <c r="P156" s="1497"/>
      <c r="Q156" s="1497"/>
      <c r="R156" s="1497"/>
      <c r="S156" s="1497"/>
      <c r="T156" s="1497"/>
      <c r="U156" s="1497"/>
      <c r="V156" s="1497"/>
      <c r="W156" s="1497"/>
      <c r="X156" s="1497"/>
      <c r="Y156" s="1497"/>
      <c r="Z156" s="1497"/>
    </row>
    <row r="157" spans="1:26" ht="12.75" customHeight="1">
      <c r="A157" s="1497"/>
      <c r="B157" s="1497"/>
      <c r="C157" s="1497"/>
      <c r="D157" s="1497"/>
      <c r="E157" s="1497"/>
      <c r="F157" s="1497"/>
      <c r="G157" s="1497"/>
      <c r="H157" s="1497"/>
      <c r="I157" s="1497"/>
      <c r="J157" s="1497"/>
      <c r="K157" s="1497"/>
      <c r="L157" s="1497"/>
      <c r="M157" s="1497"/>
      <c r="N157" s="1497"/>
      <c r="O157" s="1497"/>
      <c r="P157" s="1497"/>
      <c r="Q157" s="1497"/>
      <c r="R157" s="1497"/>
      <c r="S157" s="1497"/>
      <c r="T157" s="1497"/>
      <c r="U157" s="1497"/>
      <c r="V157" s="1497"/>
      <c r="W157" s="1497"/>
      <c r="X157" s="1497"/>
      <c r="Y157" s="1497"/>
      <c r="Z157" s="1497"/>
    </row>
    <row r="158" spans="1:26" ht="12.75" customHeight="1">
      <c r="A158" s="1497"/>
      <c r="B158" s="1497"/>
      <c r="C158" s="1497"/>
      <c r="D158" s="1497"/>
      <c r="E158" s="1497"/>
      <c r="F158" s="1497"/>
      <c r="G158" s="1497"/>
      <c r="H158" s="1497"/>
      <c r="I158" s="1497"/>
      <c r="J158" s="1497"/>
      <c r="K158" s="1497"/>
      <c r="L158" s="1497"/>
      <c r="M158" s="1497"/>
      <c r="N158" s="1497"/>
      <c r="O158" s="1497"/>
      <c r="P158" s="1497"/>
      <c r="Q158" s="1497"/>
      <c r="R158" s="1497"/>
      <c r="S158" s="1497"/>
      <c r="T158" s="1497"/>
      <c r="U158" s="1497"/>
      <c r="V158" s="1497"/>
      <c r="W158" s="1497"/>
      <c r="X158" s="1497"/>
      <c r="Y158" s="1497"/>
      <c r="Z158" s="1497"/>
    </row>
    <row r="159" spans="1:26" ht="12.75" customHeight="1">
      <c r="A159" s="1497"/>
      <c r="B159" s="1497"/>
      <c r="C159" s="1497"/>
      <c r="D159" s="1497"/>
      <c r="E159" s="1497"/>
      <c r="F159" s="1497"/>
      <c r="G159" s="1497"/>
      <c r="H159" s="1497"/>
      <c r="I159" s="1497"/>
      <c r="J159" s="1497"/>
      <c r="K159" s="1497"/>
      <c r="L159" s="1497"/>
      <c r="M159" s="1497"/>
      <c r="N159" s="1497"/>
      <c r="O159" s="1497"/>
      <c r="P159" s="1497"/>
      <c r="Q159" s="1497"/>
      <c r="R159" s="1497"/>
      <c r="S159" s="1497"/>
      <c r="T159" s="1497"/>
      <c r="U159" s="1497"/>
      <c r="V159" s="1497"/>
      <c r="W159" s="1497"/>
      <c r="X159" s="1497"/>
      <c r="Y159" s="1497"/>
      <c r="Z159" s="1497"/>
    </row>
    <row r="160" spans="1:26" ht="12.75" customHeight="1">
      <c r="A160" s="1497"/>
      <c r="B160" s="1497"/>
      <c r="C160" s="1497"/>
      <c r="D160" s="1497"/>
      <c r="E160" s="1497"/>
      <c r="F160" s="1497"/>
      <c r="G160" s="1497"/>
      <c r="H160" s="1497"/>
      <c r="I160" s="1497"/>
      <c r="J160" s="1497"/>
      <c r="K160" s="1497"/>
      <c r="L160" s="1497"/>
      <c r="M160" s="1497"/>
      <c r="N160" s="1497"/>
      <c r="O160" s="1497"/>
      <c r="P160" s="1497"/>
      <c r="Q160" s="1497"/>
      <c r="R160" s="1497"/>
      <c r="S160" s="1497"/>
      <c r="T160" s="1497"/>
      <c r="U160" s="1497"/>
      <c r="V160" s="1497"/>
      <c r="W160" s="1497"/>
      <c r="X160" s="1497"/>
      <c r="Y160" s="1497"/>
      <c r="Z160" s="1497"/>
    </row>
    <row r="161" spans="1:26" ht="12.75" customHeight="1">
      <c r="A161" s="1497"/>
      <c r="B161" s="1497"/>
      <c r="C161" s="1497"/>
      <c r="D161" s="1497"/>
      <c r="E161" s="1497"/>
      <c r="F161" s="1497"/>
      <c r="G161" s="1497"/>
      <c r="H161" s="1497"/>
      <c r="I161" s="1497"/>
      <c r="J161" s="1497"/>
      <c r="K161" s="1497"/>
      <c r="L161" s="1497"/>
      <c r="M161" s="1497"/>
      <c r="N161" s="1497"/>
      <c r="O161" s="1497"/>
      <c r="P161" s="1497"/>
      <c r="Q161" s="1497"/>
      <c r="R161" s="1497"/>
      <c r="S161" s="1497"/>
      <c r="T161" s="1497"/>
      <c r="U161" s="1497"/>
      <c r="V161" s="1497"/>
      <c r="W161" s="1497"/>
      <c r="X161" s="1497"/>
      <c r="Y161" s="1497"/>
      <c r="Z161" s="1497"/>
    </row>
    <row r="162" spans="1:26" ht="12.75" customHeight="1">
      <c r="A162" s="1497"/>
      <c r="B162" s="1497"/>
      <c r="C162" s="1497"/>
      <c r="D162" s="1497"/>
      <c r="E162" s="1497"/>
      <c r="F162" s="1497"/>
      <c r="G162" s="1497"/>
      <c r="H162" s="1497"/>
      <c r="I162" s="1497"/>
      <c r="J162" s="1497"/>
      <c r="K162" s="1497"/>
      <c r="L162" s="1497"/>
      <c r="M162" s="1497"/>
      <c r="N162" s="1497"/>
      <c r="O162" s="1497"/>
      <c r="P162" s="1497"/>
      <c r="Q162" s="1497"/>
      <c r="R162" s="1497"/>
      <c r="S162" s="1497"/>
      <c r="T162" s="1497"/>
      <c r="U162" s="1497"/>
      <c r="V162" s="1497"/>
      <c r="W162" s="1497"/>
      <c r="X162" s="1497"/>
      <c r="Y162" s="1497"/>
      <c r="Z162" s="1497"/>
    </row>
    <row r="163" spans="1:26" ht="12.75" customHeight="1">
      <c r="A163" s="1497"/>
      <c r="B163" s="1497"/>
      <c r="C163" s="1497"/>
      <c r="D163" s="1497"/>
      <c r="E163" s="1497"/>
      <c r="F163" s="1497"/>
      <c r="G163" s="1497"/>
      <c r="H163" s="1497"/>
      <c r="I163" s="1497"/>
      <c r="J163" s="1497"/>
      <c r="K163" s="1497"/>
      <c r="L163" s="1497"/>
      <c r="M163" s="1497"/>
      <c r="N163" s="1497"/>
      <c r="O163" s="1497"/>
      <c r="P163" s="1497"/>
      <c r="Q163" s="1497"/>
      <c r="R163" s="1497"/>
      <c r="S163" s="1497"/>
      <c r="T163" s="1497"/>
      <c r="U163" s="1497"/>
      <c r="V163" s="1497"/>
      <c r="W163" s="1497"/>
      <c r="X163" s="1497"/>
      <c r="Y163" s="1497"/>
      <c r="Z163" s="1497"/>
    </row>
    <row r="164" spans="1:26" ht="12.75" customHeight="1">
      <c r="A164" s="1497"/>
      <c r="B164" s="1497"/>
      <c r="C164" s="1497"/>
      <c r="D164" s="1497"/>
      <c r="E164" s="1497"/>
      <c r="F164" s="1497"/>
      <c r="G164" s="1497"/>
      <c r="H164" s="1497"/>
      <c r="I164" s="1497"/>
      <c r="J164" s="1497"/>
      <c r="K164" s="1497"/>
      <c r="L164" s="1497"/>
      <c r="M164" s="1497"/>
      <c r="N164" s="1497"/>
      <c r="O164" s="1497"/>
      <c r="P164" s="1497"/>
      <c r="Q164" s="1497"/>
      <c r="R164" s="1497"/>
      <c r="S164" s="1497"/>
      <c r="T164" s="1497"/>
      <c r="U164" s="1497"/>
      <c r="V164" s="1497"/>
      <c r="W164" s="1497"/>
      <c r="X164" s="1497"/>
      <c r="Y164" s="1497"/>
      <c r="Z164" s="1497"/>
    </row>
    <row r="165" spans="1:26" ht="12.75" customHeight="1">
      <c r="A165" s="1497"/>
      <c r="B165" s="1497"/>
      <c r="C165" s="1497"/>
      <c r="D165" s="1497"/>
      <c r="E165" s="1497"/>
      <c r="F165" s="1497"/>
      <c r="G165" s="1497"/>
      <c r="H165" s="1497"/>
      <c r="I165" s="1497"/>
      <c r="J165" s="1497"/>
      <c r="K165" s="1497"/>
      <c r="L165" s="1497"/>
      <c r="M165" s="1497"/>
      <c r="N165" s="1497"/>
      <c r="O165" s="1497"/>
      <c r="P165" s="1497"/>
      <c r="Q165" s="1497"/>
      <c r="R165" s="1497"/>
      <c r="S165" s="1497"/>
      <c r="T165" s="1497"/>
      <c r="U165" s="1497"/>
      <c r="V165" s="1497"/>
      <c r="W165" s="1497"/>
      <c r="X165" s="1497"/>
      <c r="Y165" s="1497"/>
      <c r="Z165" s="1497"/>
    </row>
    <row r="166" spans="1:26" ht="12.75" customHeight="1">
      <c r="A166" s="1497"/>
      <c r="B166" s="1497"/>
      <c r="C166" s="1497"/>
      <c r="D166" s="1497"/>
      <c r="E166" s="1497"/>
      <c r="F166" s="1497"/>
      <c r="G166" s="1497"/>
      <c r="H166" s="1497"/>
      <c r="I166" s="1497"/>
      <c r="J166" s="1497"/>
      <c r="K166" s="1497"/>
      <c r="L166" s="1497"/>
      <c r="M166" s="1497"/>
      <c r="N166" s="1497"/>
      <c r="O166" s="1497"/>
      <c r="P166" s="1497"/>
      <c r="Q166" s="1497"/>
      <c r="R166" s="1497"/>
      <c r="S166" s="1497"/>
      <c r="T166" s="1497"/>
      <c r="U166" s="1497"/>
      <c r="V166" s="1497"/>
      <c r="W166" s="1497"/>
      <c r="X166" s="1497"/>
      <c r="Y166" s="1497"/>
      <c r="Z166" s="1497"/>
    </row>
    <row r="167" spans="1:26" ht="12.75" customHeight="1">
      <c r="A167" s="1497"/>
      <c r="B167" s="1497"/>
      <c r="C167" s="1497"/>
      <c r="D167" s="1497"/>
      <c r="E167" s="1497"/>
      <c r="F167" s="1497"/>
      <c r="G167" s="1497"/>
      <c r="H167" s="1497"/>
      <c r="I167" s="1497"/>
      <c r="J167" s="1497"/>
      <c r="K167" s="1497"/>
      <c r="L167" s="1497"/>
      <c r="M167" s="1497"/>
      <c r="N167" s="1497"/>
      <c r="O167" s="1497"/>
      <c r="P167" s="1497"/>
      <c r="Q167" s="1497"/>
      <c r="R167" s="1497"/>
      <c r="S167" s="1497"/>
      <c r="T167" s="1497"/>
      <c r="U167" s="1497"/>
      <c r="V167" s="1497"/>
      <c r="W167" s="1497"/>
      <c r="X167" s="1497"/>
      <c r="Y167" s="1497"/>
      <c r="Z167" s="1497"/>
    </row>
    <row r="168" spans="1:26" ht="12.75" customHeight="1">
      <c r="A168" s="1497"/>
      <c r="B168" s="1497"/>
      <c r="C168" s="1497"/>
      <c r="D168" s="1497"/>
      <c r="E168" s="1497"/>
      <c r="F168" s="1497"/>
      <c r="G168" s="1497"/>
      <c r="H168" s="1497"/>
      <c r="I168" s="1497"/>
      <c r="J168" s="1497"/>
      <c r="K168" s="1497"/>
      <c r="L168" s="1497"/>
      <c r="M168" s="1497"/>
      <c r="N168" s="1497"/>
      <c r="O168" s="1497"/>
      <c r="P168" s="1497"/>
      <c r="Q168" s="1497"/>
      <c r="R168" s="1497"/>
      <c r="S168" s="1497"/>
      <c r="T168" s="1497"/>
      <c r="U168" s="1497"/>
      <c r="V168" s="1497"/>
      <c r="W168" s="1497"/>
      <c r="X168" s="1497"/>
      <c r="Y168" s="1497"/>
      <c r="Z168" s="1497"/>
    </row>
    <row r="169" spans="1:26" ht="12.75" customHeight="1">
      <c r="A169" s="1497"/>
      <c r="B169" s="1497"/>
      <c r="C169" s="1497"/>
      <c r="D169" s="1497"/>
      <c r="E169" s="1497"/>
      <c r="F169" s="1497"/>
      <c r="G169" s="1497"/>
      <c r="H169" s="1497"/>
      <c r="I169" s="1497"/>
      <c r="J169" s="1497"/>
      <c r="K169" s="1497"/>
      <c r="L169" s="1497"/>
      <c r="M169" s="1497"/>
      <c r="N169" s="1497"/>
      <c r="O169" s="1497"/>
      <c r="P169" s="1497"/>
      <c r="Q169" s="1497"/>
      <c r="R169" s="1497"/>
      <c r="S169" s="1497"/>
      <c r="T169" s="1497"/>
      <c r="U169" s="1497"/>
      <c r="V169" s="1497"/>
      <c r="W169" s="1497"/>
      <c r="X169" s="1497"/>
      <c r="Y169" s="1497"/>
      <c r="Z169" s="1497"/>
    </row>
    <row r="170" spans="1:26" ht="12.75" customHeight="1">
      <c r="A170" s="1497"/>
      <c r="B170" s="1497"/>
      <c r="C170" s="1497"/>
      <c r="D170" s="1497"/>
      <c r="E170" s="1497"/>
      <c r="F170" s="1497"/>
      <c r="G170" s="1497"/>
      <c r="H170" s="1497"/>
      <c r="I170" s="1497"/>
      <c r="J170" s="1497"/>
      <c r="K170" s="1497"/>
      <c r="L170" s="1497"/>
      <c r="M170" s="1497"/>
      <c r="N170" s="1497"/>
      <c r="O170" s="1497"/>
      <c r="P170" s="1497"/>
      <c r="Q170" s="1497"/>
      <c r="R170" s="1497"/>
      <c r="S170" s="1497"/>
      <c r="T170" s="1497"/>
      <c r="U170" s="1497"/>
      <c r="V170" s="1497"/>
      <c r="W170" s="1497"/>
      <c r="X170" s="1497"/>
      <c r="Y170" s="1497"/>
      <c r="Z170" s="1497"/>
    </row>
    <row r="171" spans="1:26" ht="12.75" customHeight="1">
      <c r="A171" s="1497"/>
      <c r="B171" s="1497"/>
      <c r="C171" s="1497"/>
      <c r="D171" s="1497"/>
      <c r="E171" s="1497"/>
      <c r="F171" s="1497"/>
      <c r="G171" s="1497"/>
      <c r="H171" s="1497"/>
      <c r="I171" s="1497"/>
      <c r="J171" s="1497"/>
      <c r="K171" s="1497"/>
      <c r="L171" s="1497"/>
      <c r="M171" s="1497"/>
      <c r="N171" s="1497"/>
      <c r="O171" s="1497"/>
      <c r="P171" s="1497"/>
      <c r="Q171" s="1497"/>
      <c r="R171" s="1497"/>
      <c r="S171" s="1497"/>
      <c r="T171" s="1497"/>
      <c r="U171" s="1497"/>
      <c r="V171" s="1497"/>
      <c r="W171" s="1497"/>
      <c r="X171" s="1497"/>
      <c r="Y171" s="1497"/>
      <c r="Z171" s="1497"/>
    </row>
    <row r="172" spans="1:26" ht="12.75" customHeight="1">
      <c r="A172" s="1497"/>
      <c r="B172" s="1497"/>
      <c r="C172" s="1497"/>
      <c r="D172" s="1497"/>
      <c r="E172" s="1497"/>
      <c r="F172" s="1497"/>
      <c r="G172" s="1497"/>
      <c r="H172" s="1497"/>
      <c r="I172" s="1497"/>
      <c r="J172" s="1497"/>
      <c r="K172" s="1497"/>
      <c r="L172" s="1497"/>
      <c r="M172" s="1497"/>
      <c r="N172" s="1497"/>
      <c r="O172" s="1497"/>
      <c r="P172" s="1497"/>
      <c r="Q172" s="1497"/>
      <c r="R172" s="1497"/>
      <c r="S172" s="1497"/>
      <c r="T172" s="1497"/>
      <c r="U172" s="1497"/>
      <c r="V172" s="1497"/>
      <c r="W172" s="1497"/>
      <c r="X172" s="1497"/>
      <c r="Y172" s="1497"/>
      <c r="Z172" s="1497"/>
    </row>
    <row r="173" spans="1:26" ht="12.75" customHeight="1">
      <c r="A173" s="1497"/>
      <c r="B173" s="1497"/>
      <c r="C173" s="1497"/>
      <c r="D173" s="1497"/>
      <c r="E173" s="1497"/>
      <c r="F173" s="1497"/>
      <c r="G173" s="1497"/>
      <c r="H173" s="1497"/>
      <c r="I173" s="1497"/>
      <c r="J173" s="1497"/>
      <c r="K173" s="1497"/>
      <c r="L173" s="1497"/>
      <c r="M173" s="1497"/>
      <c r="N173" s="1497"/>
      <c r="O173" s="1497"/>
      <c r="P173" s="1497"/>
      <c r="Q173" s="1497"/>
      <c r="R173" s="1497"/>
      <c r="S173" s="1497"/>
      <c r="T173" s="1497"/>
      <c r="U173" s="1497"/>
      <c r="V173" s="1497"/>
      <c r="W173" s="1497"/>
      <c r="X173" s="1497"/>
      <c r="Y173" s="1497"/>
      <c r="Z173" s="1497"/>
    </row>
    <row r="174" spans="1:26" ht="12.75" customHeight="1">
      <c r="A174" s="1497"/>
      <c r="B174" s="1497"/>
      <c r="C174" s="1497"/>
      <c r="D174" s="1497"/>
      <c r="E174" s="1497"/>
      <c r="F174" s="1497"/>
      <c r="G174" s="1497"/>
      <c r="H174" s="1497"/>
      <c r="I174" s="1497"/>
      <c r="J174" s="1497"/>
      <c r="K174" s="1497"/>
      <c r="L174" s="1497"/>
      <c r="M174" s="1497"/>
      <c r="N174" s="1497"/>
      <c r="O174" s="1497"/>
      <c r="P174" s="1497"/>
      <c r="Q174" s="1497"/>
      <c r="R174" s="1497"/>
      <c r="S174" s="1497"/>
      <c r="T174" s="1497"/>
      <c r="U174" s="1497"/>
      <c r="V174" s="1497"/>
      <c r="W174" s="1497"/>
      <c r="X174" s="1497"/>
      <c r="Y174" s="1497"/>
      <c r="Z174" s="1497"/>
    </row>
    <row r="175" spans="1:26" ht="12.75" customHeight="1">
      <c r="A175" s="1497"/>
      <c r="B175" s="1497"/>
      <c r="C175" s="1497"/>
      <c r="D175" s="1497"/>
      <c r="E175" s="1497"/>
      <c r="F175" s="1497"/>
      <c r="G175" s="1497"/>
      <c r="H175" s="1497"/>
      <c r="I175" s="1497"/>
      <c r="J175" s="1497"/>
      <c r="K175" s="1497"/>
      <c r="L175" s="1497"/>
      <c r="M175" s="1497"/>
      <c r="N175" s="1497"/>
      <c r="O175" s="1497"/>
      <c r="P175" s="1497"/>
      <c r="Q175" s="1497"/>
      <c r="R175" s="1497"/>
      <c r="S175" s="1497"/>
      <c r="T175" s="1497"/>
      <c r="U175" s="1497"/>
      <c r="V175" s="1497"/>
      <c r="W175" s="1497"/>
      <c r="X175" s="1497"/>
      <c r="Y175" s="1497"/>
      <c r="Z175" s="1497"/>
    </row>
    <row r="176" spans="1:26" ht="12.75" customHeight="1">
      <c r="A176" s="1497"/>
      <c r="B176" s="1497"/>
      <c r="C176" s="1497"/>
      <c r="D176" s="1497"/>
      <c r="E176" s="1497"/>
      <c r="F176" s="1497"/>
      <c r="G176" s="1497"/>
      <c r="H176" s="1497"/>
      <c r="I176" s="1497"/>
      <c r="J176" s="1497"/>
      <c r="K176" s="1497"/>
      <c r="L176" s="1497"/>
      <c r="M176" s="1497"/>
      <c r="N176" s="1497"/>
      <c r="O176" s="1497"/>
      <c r="P176" s="1497"/>
      <c r="Q176" s="1497"/>
      <c r="R176" s="1497"/>
      <c r="S176" s="1497"/>
      <c r="T176" s="1497"/>
      <c r="U176" s="1497"/>
      <c r="V176" s="1497"/>
      <c r="W176" s="1497"/>
      <c r="X176" s="1497"/>
      <c r="Y176" s="1497"/>
      <c r="Z176" s="1497"/>
    </row>
    <row r="177" spans="1:26" ht="12.75" customHeight="1">
      <c r="A177" s="1497"/>
      <c r="B177" s="1497"/>
      <c r="C177" s="1497"/>
      <c r="D177" s="1497"/>
      <c r="E177" s="1497"/>
      <c r="F177" s="1497"/>
      <c r="G177" s="1497"/>
      <c r="H177" s="1497"/>
      <c r="I177" s="1497"/>
      <c r="J177" s="1497"/>
      <c r="K177" s="1497"/>
      <c r="L177" s="1497"/>
      <c r="M177" s="1497"/>
      <c r="N177" s="1497"/>
      <c r="O177" s="1497"/>
      <c r="P177" s="1497"/>
      <c r="Q177" s="1497"/>
      <c r="R177" s="1497"/>
      <c r="S177" s="1497"/>
      <c r="T177" s="1497"/>
      <c r="U177" s="1497"/>
      <c r="V177" s="1497"/>
      <c r="W177" s="1497"/>
      <c r="X177" s="1497"/>
      <c r="Y177" s="1497"/>
      <c r="Z177" s="1497"/>
    </row>
    <row r="178" spans="1:26" ht="12.75" customHeight="1">
      <c r="A178" s="1497"/>
      <c r="B178" s="1497"/>
      <c r="C178" s="1497"/>
      <c r="D178" s="1497"/>
      <c r="E178" s="1497"/>
      <c r="F178" s="1497"/>
      <c r="G178" s="1497"/>
      <c r="H178" s="1497"/>
      <c r="I178" s="1497"/>
      <c r="J178" s="1497"/>
      <c r="K178" s="1497"/>
      <c r="L178" s="1497"/>
      <c r="M178" s="1497"/>
      <c r="N178" s="1497"/>
      <c r="O178" s="1497"/>
      <c r="P178" s="1497"/>
      <c r="Q178" s="1497"/>
      <c r="R178" s="1497"/>
      <c r="S178" s="1497"/>
      <c r="T178" s="1497"/>
      <c r="U178" s="1497"/>
      <c r="V178" s="1497"/>
      <c r="W178" s="1497"/>
      <c r="X178" s="1497"/>
      <c r="Y178" s="1497"/>
      <c r="Z178" s="1497"/>
    </row>
    <row r="179" spans="1:26" ht="12.75" customHeight="1">
      <c r="A179" s="1497"/>
      <c r="B179" s="1497"/>
      <c r="C179" s="1497"/>
      <c r="D179" s="1497"/>
      <c r="E179" s="1497"/>
      <c r="F179" s="1497"/>
      <c r="G179" s="1497"/>
      <c r="H179" s="1497"/>
      <c r="I179" s="1497"/>
      <c r="J179" s="1497"/>
      <c r="K179" s="1497"/>
      <c r="L179" s="1497"/>
      <c r="M179" s="1497"/>
      <c r="N179" s="1497"/>
      <c r="O179" s="1497"/>
      <c r="P179" s="1497"/>
      <c r="Q179" s="1497"/>
      <c r="R179" s="1497"/>
      <c r="S179" s="1497"/>
      <c r="T179" s="1497"/>
      <c r="U179" s="1497"/>
      <c r="V179" s="1497"/>
      <c r="W179" s="1497"/>
      <c r="X179" s="1497"/>
      <c r="Y179" s="1497"/>
      <c r="Z179" s="1497"/>
    </row>
    <row r="180" spans="1:26" ht="12.75" customHeight="1">
      <c r="A180" s="1497"/>
      <c r="B180" s="1497"/>
      <c r="C180" s="1497"/>
      <c r="D180" s="1497"/>
      <c r="E180" s="1497"/>
      <c r="F180" s="1497"/>
      <c r="G180" s="1497"/>
      <c r="H180" s="1497"/>
      <c r="I180" s="1497"/>
      <c r="J180" s="1497"/>
      <c r="K180" s="1497"/>
      <c r="L180" s="1497"/>
      <c r="M180" s="1497"/>
      <c r="N180" s="1497"/>
      <c r="O180" s="1497"/>
      <c r="P180" s="1497"/>
      <c r="Q180" s="1497"/>
      <c r="R180" s="1497"/>
      <c r="S180" s="1497"/>
      <c r="T180" s="1497"/>
      <c r="U180" s="1497"/>
      <c r="V180" s="1497"/>
      <c r="W180" s="1497"/>
      <c r="X180" s="1497"/>
      <c r="Y180" s="1497"/>
      <c r="Z180" s="1497"/>
    </row>
    <row r="181" spans="1:26" ht="12.75" customHeight="1">
      <c r="A181" s="1497"/>
      <c r="B181" s="1497"/>
      <c r="C181" s="1497"/>
      <c r="D181" s="1497"/>
      <c r="E181" s="1497"/>
      <c r="F181" s="1497"/>
      <c r="G181" s="1497"/>
      <c r="H181" s="1497"/>
      <c r="I181" s="1497"/>
      <c r="J181" s="1497"/>
      <c r="K181" s="1497"/>
      <c r="L181" s="1497"/>
      <c r="M181" s="1497"/>
      <c r="N181" s="1497"/>
      <c r="O181" s="1497"/>
      <c r="P181" s="1497"/>
      <c r="Q181" s="1497"/>
      <c r="R181" s="1497"/>
      <c r="S181" s="1497"/>
      <c r="T181" s="1497"/>
      <c r="U181" s="1497"/>
      <c r="V181" s="1497"/>
      <c r="W181" s="1497"/>
      <c r="X181" s="1497"/>
      <c r="Y181" s="1497"/>
      <c r="Z181" s="1497"/>
    </row>
    <row r="182" spans="1:26" ht="12.75" customHeight="1">
      <c r="A182" s="1497"/>
      <c r="B182" s="1497"/>
      <c r="C182" s="1497"/>
      <c r="D182" s="1497"/>
      <c r="E182" s="1497"/>
      <c r="F182" s="1497"/>
      <c r="G182" s="1497"/>
      <c r="H182" s="1497"/>
      <c r="I182" s="1497"/>
      <c r="J182" s="1497"/>
      <c r="K182" s="1497"/>
      <c r="L182" s="1497"/>
      <c r="M182" s="1497"/>
      <c r="N182" s="1497"/>
      <c r="O182" s="1497"/>
      <c r="P182" s="1497"/>
      <c r="Q182" s="1497"/>
      <c r="R182" s="1497"/>
      <c r="S182" s="1497"/>
      <c r="T182" s="1497"/>
      <c r="U182" s="1497"/>
      <c r="V182" s="1497"/>
      <c r="W182" s="1497"/>
      <c r="X182" s="1497"/>
      <c r="Y182" s="1497"/>
      <c r="Z182" s="1497"/>
    </row>
    <row r="183" spans="1:26" ht="12.75" customHeight="1">
      <c r="A183" s="1497"/>
      <c r="B183" s="1497"/>
      <c r="C183" s="1497"/>
      <c r="D183" s="1497"/>
      <c r="E183" s="1497"/>
      <c r="F183" s="1497"/>
      <c r="G183" s="1497"/>
      <c r="H183" s="1497"/>
      <c r="I183" s="1497"/>
      <c r="J183" s="1497"/>
      <c r="K183" s="1497"/>
      <c r="L183" s="1497"/>
      <c r="M183" s="1497"/>
      <c r="N183" s="1497"/>
      <c r="O183" s="1497"/>
      <c r="P183" s="1497"/>
      <c r="Q183" s="1497"/>
      <c r="R183" s="1497"/>
      <c r="S183" s="1497"/>
      <c r="T183" s="1497"/>
      <c r="U183" s="1497"/>
      <c r="V183" s="1497"/>
      <c r="W183" s="1497"/>
      <c r="X183" s="1497"/>
      <c r="Y183" s="1497"/>
      <c r="Z183" s="1497"/>
    </row>
    <row r="184" spans="1:26" ht="12.75" customHeight="1">
      <c r="A184" s="1497"/>
      <c r="B184" s="1497"/>
      <c r="C184" s="1497"/>
      <c r="D184" s="1497"/>
      <c r="E184" s="1497"/>
      <c r="F184" s="1497"/>
      <c r="G184" s="1497"/>
      <c r="H184" s="1497"/>
      <c r="I184" s="1497"/>
      <c r="J184" s="1497"/>
      <c r="K184" s="1497"/>
      <c r="L184" s="1497"/>
      <c r="M184" s="1497"/>
      <c r="N184" s="1497"/>
      <c r="O184" s="1497"/>
      <c r="P184" s="1497"/>
      <c r="Q184" s="1497"/>
      <c r="R184" s="1497"/>
      <c r="S184" s="1497"/>
      <c r="T184" s="1497"/>
      <c r="U184" s="1497"/>
      <c r="V184" s="1497"/>
      <c r="W184" s="1497"/>
      <c r="X184" s="1497"/>
      <c r="Y184" s="1497"/>
      <c r="Z184" s="1497"/>
    </row>
    <row r="185" spans="1:26" ht="12.75" customHeight="1">
      <c r="A185" s="1497"/>
      <c r="B185" s="1497"/>
      <c r="C185" s="1497"/>
      <c r="D185" s="1497"/>
      <c r="E185" s="1497"/>
      <c r="F185" s="1497"/>
      <c r="G185" s="1497"/>
      <c r="H185" s="1497"/>
      <c r="I185" s="1497"/>
      <c r="J185" s="1497"/>
      <c r="K185" s="1497"/>
      <c r="L185" s="1497"/>
      <c r="M185" s="1497"/>
      <c r="N185" s="1497"/>
      <c r="O185" s="1497"/>
      <c r="P185" s="1497"/>
      <c r="Q185" s="1497"/>
      <c r="R185" s="1497"/>
      <c r="S185" s="1497"/>
      <c r="T185" s="1497"/>
      <c r="U185" s="1497"/>
      <c r="V185" s="1497"/>
      <c r="W185" s="1497"/>
      <c r="X185" s="1497"/>
      <c r="Y185" s="1497"/>
      <c r="Z185" s="1497"/>
    </row>
    <row r="186" spans="1:26" ht="12.75" customHeight="1">
      <c r="A186" s="1497"/>
      <c r="B186" s="1497"/>
      <c r="C186" s="1497"/>
      <c r="D186" s="1497"/>
      <c r="E186" s="1497"/>
      <c r="F186" s="1497"/>
      <c r="G186" s="1497"/>
      <c r="H186" s="1497"/>
      <c r="I186" s="1497"/>
      <c r="J186" s="1497"/>
      <c r="K186" s="1497"/>
      <c r="L186" s="1497"/>
      <c r="M186" s="1497"/>
      <c r="N186" s="1497"/>
      <c r="O186" s="1497"/>
      <c r="P186" s="1497"/>
      <c r="Q186" s="1497"/>
      <c r="R186" s="1497"/>
      <c r="S186" s="1497"/>
      <c r="T186" s="1497"/>
      <c r="U186" s="1497"/>
      <c r="V186" s="1497"/>
      <c r="W186" s="1497"/>
      <c r="X186" s="1497"/>
      <c r="Y186" s="1497"/>
      <c r="Z186" s="1497"/>
    </row>
    <row r="187" spans="1:26" ht="12.75" customHeight="1">
      <c r="A187" s="1497"/>
      <c r="B187" s="1497"/>
      <c r="C187" s="1497"/>
      <c r="D187" s="1497"/>
      <c r="E187" s="1497"/>
      <c r="F187" s="1497"/>
      <c r="G187" s="1497"/>
      <c r="H187" s="1497"/>
      <c r="I187" s="1497"/>
      <c r="J187" s="1497"/>
      <c r="K187" s="1497"/>
      <c r="L187" s="1497"/>
      <c r="M187" s="1497"/>
      <c r="N187" s="1497"/>
      <c r="O187" s="1497"/>
      <c r="P187" s="1497"/>
      <c r="Q187" s="1497"/>
      <c r="R187" s="1497"/>
      <c r="S187" s="1497"/>
      <c r="T187" s="1497"/>
      <c r="U187" s="1497"/>
      <c r="V187" s="1497"/>
      <c r="W187" s="1497"/>
      <c r="X187" s="1497"/>
      <c r="Y187" s="1497"/>
      <c r="Z187" s="1497"/>
    </row>
    <row r="188" spans="1:26" ht="12.75" customHeight="1">
      <c r="A188" s="1497"/>
      <c r="B188" s="1497"/>
      <c r="C188" s="1497"/>
      <c r="D188" s="1497"/>
      <c r="E188" s="1497"/>
      <c r="F188" s="1497"/>
      <c r="G188" s="1497"/>
      <c r="H188" s="1497"/>
      <c r="I188" s="1497"/>
      <c r="J188" s="1497"/>
      <c r="K188" s="1497"/>
      <c r="L188" s="1497"/>
      <c r="M188" s="1497"/>
      <c r="N188" s="1497"/>
      <c r="O188" s="1497"/>
      <c r="P188" s="1497"/>
      <c r="Q188" s="1497"/>
      <c r="R188" s="1497"/>
      <c r="S188" s="1497"/>
      <c r="T188" s="1497"/>
      <c r="U188" s="1497"/>
      <c r="V188" s="1497"/>
      <c r="W188" s="1497"/>
      <c r="X188" s="1497"/>
      <c r="Y188" s="1497"/>
      <c r="Z188" s="1497"/>
    </row>
    <row r="189" spans="1:26" ht="12.75" customHeight="1">
      <c r="A189" s="1497"/>
      <c r="B189" s="1497"/>
      <c r="C189" s="1497"/>
      <c r="D189" s="1497"/>
      <c r="E189" s="1497"/>
      <c r="F189" s="1497"/>
      <c r="G189" s="1497"/>
      <c r="H189" s="1497"/>
      <c r="I189" s="1497"/>
      <c r="J189" s="1497"/>
      <c r="K189" s="1497"/>
      <c r="L189" s="1497"/>
      <c r="M189" s="1497"/>
      <c r="N189" s="1497"/>
      <c r="O189" s="1497"/>
      <c r="P189" s="1497"/>
      <c r="Q189" s="1497"/>
      <c r="R189" s="1497"/>
      <c r="S189" s="1497"/>
      <c r="T189" s="1497"/>
      <c r="U189" s="1497"/>
      <c r="V189" s="1497"/>
      <c r="W189" s="1497"/>
      <c r="X189" s="1497"/>
      <c r="Y189" s="1497"/>
      <c r="Z189" s="1497"/>
    </row>
    <row r="190" spans="1:26" ht="12.75" customHeight="1">
      <c r="A190" s="1497"/>
      <c r="B190" s="1497"/>
      <c r="C190" s="1497"/>
      <c r="D190" s="1497"/>
      <c r="E190" s="1497"/>
      <c r="F190" s="1497"/>
      <c r="G190" s="1497"/>
      <c r="H190" s="1497"/>
      <c r="I190" s="1497"/>
      <c r="J190" s="1497"/>
      <c r="K190" s="1497"/>
      <c r="L190" s="1497"/>
      <c r="M190" s="1497"/>
      <c r="N190" s="1497"/>
      <c r="O190" s="1497"/>
      <c r="P190" s="1497"/>
      <c r="Q190" s="1497"/>
      <c r="R190" s="1497"/>
      <c r="S190" s="1497"/>
      <c r="T190" s="1497"/>
      <c r="U190" s="1497"/>
      <c r="V190" s="1497"/>
      <c r="W190" s="1497"/>
      <c r="X190" s="1497"/>
      <c r="Y190" s="1497"/>
      <c r="Z190" s="1497"/>
    </row>
    <row r="191" spans="1:26" ht="12.75" customHeight="1">
      <c r="A191" s="1497"/>
      <c r="B191" s="1497"/>
      <c r="C191" s="1497"/>
      <c r="D191" s="1497"/>
      <c r="E191" s="1497"/>
      <c r="F191" s="1497"/>
      <c r="G191" s="1497"/>
      <c r="H191" s="1497"/>
      <c r="I191" s="1497"/>
      <c r="J191" s="1497"/>
      <c r="K191" s="1497"/>
      <c r="L191" s="1497"/>
      <c r="M191" s="1497"/>
      <c r="N191" s="1497"/>
      <c r="O191" s="1497"/>
      <c r="P191" s="1497"/>
      <c r="Q191" s="1497"/>
      <c r="R191" s="1497"/>
      <c r="S191" s="1497"/>
      <c r="T191" s="1497"/>
      <c r="U191" s="1497"/>
      <c r="V191" s="1497"/>
      <c r="W191" s="1497"/>
      <c r="X191" s="1497"/>
      <c r="Y191" s="1497"/>
      <c r="Z191" s="1497"/>
    </row>
    <row r="192" spans="1:26" ht="12.75" customHeight="1">
      <c r="A192" s="1497"/>
      <c r="B192" s="1497"/>
      <c r="C192" s="1497"/>
      <c r="D192" s="1497"/>
      <c r="E192" s="1497"/>
      <c r="F192" s="1497"/>
      <c r="G192" s="1497"/>
      <c r="H192" s="1497"/>
      <c r="I192" s="1497"/>
      <c r="J192" s="1497"/>
      <c r="K192" s="1497"/>
      <c r="L192" s="1497"/>
      <c r="M192" s="1497"/>
      <c r="N192" s="1497"/>
      <c r="O192" s="1497"/>
      <c r="P192" s="1497"/>
      <c r="Q192" s="1497"/>
      <c r="R192" s="1497"/>
      <c r="S192" s="1497"/>
      <c r="T192" s="1497"/>
      <c r="U192" s="1497"/>
      <c r="V192" s="1497"/>
      <c r="W192" s="1497"/>
      <c r="X192" s="1497"/>
      <c r="Y192" s="1497"/>
      <c r="Z192" s="1497"/>
    </row>
    <row r="193" spans="1:26" ht="12.75" customHeight="1">
      <c r="A193" s="1497"/>
      <c r="B193" s="1497"/>
      <c r="C193" s="1497"/>
      <c r="D193" s="1497"/>
      <c r="E193" s="1497"/>
      <c r="F193" s="1497"/>
      <c r="G193" s="1497"/>
      <c r="H193" s="1497"/>
      <c r="I193" s="1497"/>
      <c r="J193" s="1497"/>
      <c r="K193" s="1497"/>
      <c r="L193" s="1497"/>
      <c r="M193" s="1497"/>
      <c r="N193" s="1497"/>
      <c r="O193" s="1497"/>
      <c r="P193" s="1497"/>
      <c r="Q193" s="1497"/>
      <c r="R193" s="1497"/>
      <c r="S193" s="1497"/>
      <c r="T193" s="1497"/>
      <c r="U193" s="1497"/>
      <c r="V193" s="1497"/>
      <c r="W193" s="1497"/>
      <c r="X193" s="1497"/>
      <c r="Y193" s="1497"/>
      <c r="Z193" s="1497"/>
    </row>
    <row r="194" spans="1:26" ht="12.75" customHeight="1">
      <c r="A194" s="1497"/>
      <c r="B194" s="1497"/>
      <c r="C194" s="1497"/>
      <c r="D194" s="1497"/>
      <c r="E194" s="1497"/>
      <c r="F194" s="1497"/>
      <c r="G194" s="1497"/>
      <c r="H194" s="1497"/>
      <c r="I194" s="1497"/>
      <c r="J194" s="1497"/>
      <c r="K194" s="1497"/>
      <c r="L194" s="1497"/>
      <c r="M194" s="1497"/>
      <c r="N194" s="1497"/>
      <c r="O194" s="1497"/>
      <c r="P194" s="1497"/>
      <c r="Q194" s="1497"/>
      <c r="R194" s="1497"/>
      <c r="S194" s="1497"/>
      <c r="T194" s="1497"/>
      <c r="U194" s="1497"/>
      <c r="V194" s="1497"/>
      <c r="W194" s="1497"/>
      <c r="X194" s="1497"/>
      <c r="Y194" s="1497"/>
      <c r="Z194" s="1497"/>
    </row>
    <row r="195" spans="1:26" ht="12.75" customHeight="1">
      <c r="A195" s="1497"/>
      <c r="B195" s="1497"/>
      <c r="C195" s="1497"/>
      <c r="D195" s="1497"/>
      <c r="E195" s="1497"/>
      <c r="F195" s="1497"/>
      <c r="G195" s="1497"/>
      <c r="H195" s="1497"/>
      <c r="I195" s="1497"/>
      <c r="J195" s="1497"/>
      <c r="K195" s="1497"/>
      <c r="L195" s="1497"/>
      <c r="M195" s="1497"/>
      <c r="N195" s="1497"/>
      <c r="O195" s="1497"/>
      <c r="P195" s="1497"/>
      <c r="Q195" s="1497"/>
      <c r="R195" s="1497"/>
      <c r="S195" s="1497"/>
      <c r="T195" s="1497"/>
      <c r="U195" s="1497"/>
      <c r="V195" s="1497"/>
      <c r="W195" s="1497"/>
      <c r="X195" s="1497"/>
      <c r="Y195" s="1497"/>
      <c r="Z195" s="1497"/>
    </row>
    <row r="196" spans="1:26" ht="12.75" customHeight="1">
      <c r="A196" s="1497"/>
      <c r="B196" s="1497"/>
      <c r="C196" s="1497"/>
      <c r="D196" s="1497"/>
      <c r="E196" s="1497"/>
      <c r="F196" s="1497"/>
      <c r="G196" s="1497"/>
      <c r="H196" s="1497"/>
      <c r="I196" s="1497"/>
      <c r="J196" s="1497"/>
      <c r="K196" s="1497"/>
      <c r="L196" s="1497"/>
      <c r="M196" s="1497"/>
      <c r="N196" s="1497"/>
      <c r="O196" s="1497"/>
      <c r="P196" s="1497"/>
      <c r="Q196" s="1497"/>
      <c r="R196" s="1497"/>
      <c r="S196" s="1497"/>
      <c r="T196" s="1497"/>
      <c r="U196" s="1497"/>
      <c r="V196" s="1497"/>
      <c r="W196" s="1497"/>
      <c r="X196" s="1497"/>
      <c r="Y196" s="1497"/>
      <c r="Z196" s="1497"/>
    </row>
    <row r="197" spans="1:26" ht="12.75" customHeight="1">
      <c r="A197" s="1497"/>
      <c r="B197" s="1497"/>
      <c r="C197" s="1497"/>
      <c r="D197" s="1497"/>
      <c r="E197" s="1497"/>
      <c r="F197" s="1497"/>
      <c r="G197" s="1497"/>
      <c r="H197" s="1497"/>
      <c r="I197" s="1497"/>
      <c r="J197" s="1497"/>
      <c r="K197" s="1497"/>
      <c r="L197" s="1497"/>
      <c r="M197" s="1497"/>
      <c r="N197" s="1497"/>
      <c r="O197" s="1497"/>
      <c r="P197" s="1497"/>
      <c r="Q197" s="1497"/>
      <c r="R197" s="1497"/>
      <c r="S197" s="1497"/>
      <c r="T197" s="1497"/>
      <c r="U197" s="1497"/>
      <c r="V197" s="1497"/>
      <c r="W197" s="1497"/>
      <c r="X197" s="1497"/>
      <c r="Y197" s="1497"/>
      <c r="Z197" s="1497"/>
    </row>
    <row r="198" spans="1:26" ht="12.75" customHeight="1">
      <c r="A198" s="1497"/>
      <c r="B198" s="1497"/>
      <c r="C198" s="1497"/>
      <c r="D198" s="1497"/>
      <c r="E198" s="1497"/>
      <c r="F198" s="1497"/>
      <c r="G198" s="1497"/>
      <c r="H198" s="1497"/>
      <c r="I198" s="1497"/>
      <c r="J198" s="1497"/>
      <c r="K198" s="1497"/>
      <c r="L198" s="1497"/>
      <c r="M198" s="1497"/>
      <c r="N198" s="1497"/>
      <c r="O198" s="1497"/>
      <c r="P198" s="1497"/>
      <c r="Q198" s="1497"/>
      <c r="R198" s="1497"/>
      <c r="S198" s="1497"/>
      <c r="T198" s="1497"/>
      <c r="U198" s="1497"/>
      <c r="V198" s="1497"/>
      <c r="W198" s="1497"/>
      <c r="X198" s="1497"/>
      <c r="Y198" s="1497"/>
      <c r="Z198" s="1497"/>
    </row>
    <row r="199" spans="1:26" ht="12.75" customHeight="1">
      <c r="A199" s="1497"/>
      <c r="B199" s="1497"/>
      <c r="C199" s="1497"/>
      <c r="D199" s="1497"/>
      <c r="E199" s="1497"/>
      <c r="F199" s="1497"/>
      <c r="G199" s="1497"/>
      <c r="H199" s="1497"/>
      <c r="I199" s="1497"/>
      <c r="J199" s="1497"/>
      <c r="K199" s="1497"/>
      <c r="L199" s="1497"/>
      <c r="M199" s="1497"/>
      <c r="N199" s="1497"/>
      <c r="O199" s="1497"/>
      <c r="P199" s="1497"/>
      <c r="Q199" s="1497"/>
      <c r="R199" s="1497"/>
      <c r="S199" s="1497"/>
      <c r="T199" s="1497"/>
      <c r="U199" s="1497"/>
      <c r="V199" s="1497"/>
      <c r="W199" s="1497"/>
      <c r="X199" s="1497"/>
      <c r="Y199" s="1497"/>
      <c r="Z199" s="1497"/>
    </row>
    <row r="200" spans="1:26" ht="12.75" customHeight="1">
      <c r="A200" s="1497"/>
      <c r="B200" s="1497"/>
      <c r="C200" s="1497"/>
      <c r="D200" s="1497"/>
      <c r="E200" s="1497"/>
      <c r="F200" s="1497"/>
      <c r="G200" s="1497"/>
      <c r="H200" s="1497"/>
      <c r="I200" s="1497"/>
      <c r="J200" s="1497"/>
      <c r="K200" s="1497"/>
      <c r="L200" s="1497"/>
      <c r="M200" s="1497"/>
      <c r="N200" s="1497"/>
      <c r="O200" s="1497"/>
      <c r="P200" s="1497"/>
      <c r="Q200" s="1497"/>
      <c r="R200" s="1497"/>
      <c r="S200" s="1497"/>
      <c r="T200" s="1497"/>
      <c r="U200" s="1497"/>
      <c r="V200" s="1497"/>
      <c r="W200" s="1497"/>
      <c r="X200" s="1497"/>
      <c r="Y200" s="1497"/>
      <c r="Z200" s="1497"/>
    </row>
    <row r="201" spans="1:26" ht="12.75" customHeight="1">
      <c r="A201" s="1497"/>
      <c r="B201" s="1497"/>
      <c r="C201" s="1497"/>
      <c r="D201" s="1497"/>
      <c r="E201" s="1497"/>
      <c r="F201" s="1497"/>
      <c r="G201" s="1497"/>
      <c r="H201" s="1497"/>
      <c r="I201" s="1497"/>
      <c r="J201" s="1497"/>
      <c r="K201" s="1497"/>
      <c r="L201" s="1497"/>
      <c r="M201" s="1497"/>
      <c r="N201" s="1497"/>
      <c r="O201" s="1497"/>
      <c r="P201" s="1497"/>
      <c r="Q201" s="1497"/>
      <c r="R201" s="1497"/>
      <c r="S201" s="1497"/>
      <c r="T201" s="1497"/>
      <c r="U201" s="1497"/>
      <c r="V201" s="1497"/>
      <c r="W201" s="1497"/>
      <c r="X201" s="1497"/>
      <c r="Y201" s="1497"/>
      <c r="Z201" s="1497"/>
    </row>
    <row r="202" spans="1:26" ht="12.75" customHeight="1">
      <c r="A202" s="1497"/>
      <c r="B202" s="1497"/>
      <c r="C202" s="1497"/>
      <c r="D202" s="1497"/>
      <c r="E202" s="1497"/>
      <c r="F202" s="1497"/>
      <c r="G202" s="1497"/>
      <c r="H202" s="1497"/>
      <c r="I202" s="1497"/>
      <c r="J202" s="1497"/>
      <c r="K202" s="1497"/>
      <c r="L202" s="1497"/>
      <c r="M202" s="1497"/>
      <c r="N202" s="1497"/>
      <c r="O202" s="1497"/>
      <c r="P202" s="1497"/>
      <c r="Q202" s="1497"/>
      <c r="R202" s="1497"/>
      <c r="S202" s="1497"/>
      <c r="T202" s="1497"/>
      <c r="U202" s="1497"/>
      <c r="V202" s="1497"/>
      <c r="W202" s="1497"/>
      <c r="X202" s="1497"/>
      <c r="Y202" s="1497"/>
      <c r="Z202" s="1497"/>
    </row>
    <row r="203" spans="1:26" ht="12.75" customHeight="1">
      <c r="A203" s="1497"/>
      <c r="B203" s="1497"/>
      <c r="C203" s="1497"/>
      <c r="D203" s="1497"/>
      <c r="E203" s="1497"/>
      <c r="F203" s="1497"/>
      <c r="G203" s="1497"/>
      <c r="H203" s="1497"/>
      <c r="I203" s="1497"/>
      <c r="J203" s="1497"/>
      <c r="K203" s="1497"/>
      <c r="L203" s="1497"/>
      <c r="M203" s="1497"/>
      <c r="N203" s="1497"/>
      <c r="O203" s="1497"/>
      <c r="P203" s="1497"/>
      <c r="Q203" s="1497"/>
      <c r="R203" s="1497"/>
      <c r="S203" s="1497"/>
      <c r="T203" s="1497"/>
      <c r="U203" s="1497"/>
      <c r="V203" s="1497"/>
      <c r="W203" s="1497"/>
      <c r="X203" s="1497"/>
      <c r="Y203" s="1497"/>
      <c r="Z203" s="1497"/>
    </row>
    <row r="204" spans="1:26" ht="12.75" customHeight="1">
      <c r="A204" s="1497"/>
      <c r="B204" s="1497"/>
      <c r="C204" s="1497"/>
      <c r="D204" s="1497"/>
      <c r="E204" s="1497"/>
      <c r="F204" s="1497"/>
      <c r="G204" s="1497"/>
      <c r="H204" s="1497"/>
      <c r="I204" s="1497"/>
      <c r="J204" s="1497"/>
      <c r="K204" s="1497"/>
      <c r="L204" s="1497"/>
      <c r="M204" s="1497"/>
      <c r="N204" s="1497"/>
      <c r="O204" s="1497"/>
      <c r="P204" s="1497"/>
      <c r="Q204" s="1497"/>
      <c r="R204" s="1497"/>
      <c r="S204" s="1497"/>
      <c r="T204" s="1497"/>
      <c r="U204" s="1497"/>
      <c r="V204" s="1497"/>
      <c r="W204" s="1497"/>
      <c r="X204" s="1497"/>
      <c r="Y204" s="1497"/>
      <c r="Z204" s="1497"/>
    </row>
    <row r="205" spans="1:26" ht="12.75" customHeight="1">
      <c r="A205" s="1497"/>
      <c r="B205" s="1497"/>
      <c r="C205" s="1497"/>
      <c r="D205" s="1497"/>
      <c r="E205" s="1497"/>
      <c r="F205" s="1497"/>
      <c r="G205" s="1497"/>
      <c r="H205" s="1497"/>
      <c r="I205" s="1497"/>
      <c r="J205" s="1497"/>
      <c r="K205" s="1497"/>
      <c r="L205" s="1497"/>
      <c r="M205" s="1497"/>
      <c r="N205" s="1497"/>
      <c r="O205" s="1497"/>
      <c r="P205" s="1497"/>
      <c r="Q205" s="1497"/>
      <c r="R205" s="1497"/>
      <c r="S205" s="1497"/>
      <c r="T205" s="1497"/>
      <c r="U205" s="1497"/>
      <c r="V205" s="1497"/>
      <c r="W205" s="1497"/>
      <c r="X205" s="1497"/>
      <c r="Y205" s="1497"/>
      <c r="Z205" s="1497"/>
    </row>
    <row r="206" spans="1:26" ht="12.75" customHeight="1">
      <c r="A206" s="1497"/>
      <c r="B206" s="1497"/>
      <c r="C206" s="1497"/>
      <c r="D206" s="1497"/>
      <c r="E206" s="1497"/>
      <c r="F206" s="1497"/>
      <c r="G206" s="1497"/>
      <c r="H206" s="1497"/>
      <c r="I206" s="1497"/>
      <c r="J206" s="1497"/>
      <c r="K206" s="1497"/>
      <c r="L206" s="1497"/>
      <c r="M206" s="1497"/>
      <c r="N206" s="1497"/>
      <c r="O206" s="1497"/>
      <c r="P206" s="1497"/>
      <c r="Q206" s="1497"/>
      <c r="R206" s="1497"/>
      <c r="S206" s="1497"/>
      <c r="T206" s="1497"/>
      <c r="U206" s="1497"/>
      <c r="V206" s="1497"/>
      <c r="W206" s="1497"/>
      <c r="X206" s="1497"/>
      <c r="Y206" s="1497"/>
      <c r="Z206" s="1497"/>
    </row>
    <row r="207" spans="1:26" ht="12.75" customHeight="1">
      <c r="A207" s="1497"/>
      <c r="B207" s="1497"/>
      <c r="C207" s="1497"/>
      <c r="D207" s="1497"/>
      <c r="E207" s="1497"/>
      <c r="F207" s="1497"/>
      <c r="G207" s="1497"/>
      <c r="H207" s="1497"/>
      <c r="I207" s="1497"/>
      <c r="J207" s="1497"/>
      <c r="K207" s="1497"/>
      <c r="L207" s="1497"/>
      <c r="M207" s="1497"/>
      <c r="N207" s="1497"/>
      <c r="O207" s="1497"/>
      <c r="P207" s="1497"/>
      <c r="Q207" s="1497"/>
      <c r="R207" s="1497"/>
      <c r="S207" s="1497"/>
      <c r="T207" s="1497"/>
      <c r="U207" s="1497"/>
      <c r="V207" s="1497"/>
      <c r="W207" s="1497"/>
      <c r="X207" s="1497"/>
      <c r="Y207" s="1497"/>
      <c r="Z207" s="1497"/>
    </row>
    <row r="208" spans="1:26" ht="12.75" customHeight="1">
      <c r="A208" s="1497"/>
      <c r="B208" s="1497"/>
      <c r="C208" s="1497"/>
      <c r="D208" s="1497"/>
      <c r="E208" s="1497"/>
      <c r="F208" s="1497"/>
      <c r="G208" s="1497"/>
      <c r="H208" s="1497"/>
      <c r="I208" s="1497"/>
      <c r="J208" s="1497"/>
      <c r="K208" s="1497"/>
      <c r="L208" s="1497"/>
      <c r="M208" s="1497"/>
      <c r="N208" s="1497"/>
      <c r="O208" s="1497"/>
      <c r="P208" s="1497"/>
      <c r="Q208" s="1497"/>
      <c r="R208" s="1497"/>
      <c r="S208" s="1497"/>
      <c r="T208" s="1497"/>
      <c r="U208" s="1497"/>
      <c r="V208" s="1497"/>
      <c r="W208" s="1497"/>
      <c r="X208" s="1497"/>
      <c r="Y208" s="1497"/>
      <c r="Z208" s="1497"/>
    </row>
    <row r="209" spans="1:26" ht="12.75" customHeight="1">
      <c r="A209" s="1497"/>
      <c r="B209" s="1497"/>
      <c r="C209" s="1497"/>
      <c r="D209" s="1497"/>
      <c r="E209" s="1497"/>
      <c r="F209" s="1497"/>
      <c r="G209" s="1497"/>
      <c r="H209" s="1497"/>
      <c r="I209" s="1497"/>
      <c r="J209" s="1497"/>
      <c r="K209" s="1497"/>
      <c r="L209" s="1497"/>
      <c r="M209" s="1497"/>
      <c r="N209" s="1497"/>
      <c r="O209" s="1497"/>
      <c r="P209" s="1497"/>
      <c r="Q209" s="1497"/>
      <c r="R209" s="1497"/>
      <c r="S209" s="1497"/>
      <c r="T209" s="1497"/>
      <c r="U209" s="1497"/>
      <c r="V209" s="1497"/>
      <c r="W209" s="1497"/>
      <c r="X209" s="1497"/>
      <c r="Y209" s="1497"/>
      <c r="Z209" s="1497"/>
    </row>
    <row r="210" spans="1:26" ht="12.75" customHeight="1">
      <c r="A210" s="1497"/>
      <c r="B210" s="1497"/>
      <c r="C210" s="1497"/>
      <c r="D210" s="1497"/>
      <c r="E210" s="1497"/>
      <c r="F210" s="1497"/>
      <c r="G210" s="1497"/>
      <c r="H210" s="1497"/>
      <c r="I210" s="1497"/>
      <c r="J210" s="1497"/>
      <c r="K210" s="1497"/>
      <c r="L210" s="1497"/>
      <c r="M210" s="1497"/>
      <c r="N210" s="1497"/>
      <c r="O210" s="1497"/>
      <c r="P210" s="1497"/>
      <c r="Q210" s="1497"/>
      <c r="R210" s="1497"/>
      <c r="S210" s="1497"/>
      <c r="T210" s="1497"/>
      <c r="U210" s="1497"/>
      <c r="V210" s="1497"/>
      <c r="W210" s="1497"/>
      <c r="X210" s="1497"/>
      <c r="Y210" s="1497"/>
      <c r="Z210" s="1497"/>
    </row>
    <row r="211" spans="1:26" ht="12.75" customHeight="1">
      <c r="A211" s="1497"/>
      <c r="B211" s="1497"/>
      <c r="C211" s="1497"/>
      <c r="D211" s="1497"/>
      <c r="E211" s="1497"/>
      <c r="F211" s="1497"/>
      <c r="G211" s="1497"/>
      <c r="H211" s="1497"/>
      <c r="I211" s="1497"/>
      <c r="J211" s="1497"/>
      <c r="K211" s="1497"/>
      <c r="L211" s="1497"/>
      <c r="M211" s="1497"/>
      <c r="N211" s="1497"/>
      <c r="O211" s="1497"/>
      <c r="P211" s="1497"/>
      <c r="Q211" s="1497"/>
      <c r="R211" s="1497"/>
      <c r="S211" s="1497"/>
      <c r="T211" s="1497"/>
      <c r="U211" s="1497"/>
      <c r="V211" s="1497"/>
      <c r="W211" s="1497"/>
      <c r="X211" s="1497"/>
      <c r="Y211" s="1497"/>
      <c r="Z211" s="1497"/>
    </row>
    <row r="212" spans="1:26" ht="12.75" customHeight="1">
      <c r="A212" s="1497"/>
      <c r="B212" s="1497"/>
      <c r="C212" s="1497"/>
      <c r="D212" s="1497"/>
      <c r="E212" s="1497"/>
      <c r="F212" s="1497"/>
      <c r="G212" s="1497"/>
      <c r="H212" s="1497"/>
      <c r="I212" s="1497"/>
      <c r="J212" s="1497"/>
      <c r="K212" s="1497"/>
      <c r="L212" s="1497"/>
      <c r="M212" s="1497"/>
      <c r="N212" s="1497"/>
      <c r="O212" s="1497"/>
      <c r="P212" s="1497"/>
      <c r="Q212" s="1497"/>
      <c r="R212" s="1497"/>
      <c r="S212" s="1497"/>
      <c r="T212" s="1497"/>
      <c r="U212" s="1497"/>
      <c r="V212" s="1497"/>
      <c r="W212" s="1497"/>
      <c r="X212" s="1497"/>
      <c r="Y212" s="1497"/>
      <c r="Z212" s="1497"/>
    </row>
    <row r="213" spans="1:26" ht="12.75" customHeight="1">
      <c r="A213" s="1497"/>
      <c r="B213" s="1497"/>
      <c r="C213" s="1497"/>
      <c r="D213" s="1497"/>
      <c r="E213" s="1497"/>
      <c r="F213" s="1497"/>
      <c r="G213" s="1497"/>
      <c r="H213" s="1497"/>
      <c r="I213" s="1497"/>
      <c r="J213" s="1497"/>
      <c r="K213" s="1497"/>
      <c r="L213" s="1497"/>
      <c r="M213" s="1497"/>
      <c r="N213" s="1497"/>
      <c r="O213" s="1497"/>
      <c r="P213" s="1497"/>
      <c r="Q213" s="1497"/>
      <c r="R213" s="1497"/>
      <c r="S213" s="1497"/>
      <c r="T213" s="1497"/>
      <c r="U213" s="1497"/>
      <c r="V213" s="1497"/>
      <c r="W213" s="1497"/>
      <c r="X213" s="1497"/>
      <c r="Y213" s="1497"/>
      <c r="Z213" s="1497"/>
    </row>
    <row r="214" spans="1:26" ht="12.75" customHeight="1">
      <c r="A214" s="1497"/>
      <c r="B214" s="1497"/>
      <c r="C214" s="1497"/>
      <c r="D214" s="1497"/>
      <c r="E214" s="1497"/>
      <c r="F214" s="1497"/>
      <c r="G214" s="1497"/>
      <c r="H214" s="1497"/>
      <c r="I214" s="1497"/>
      <c r="J214" s="1497"/>
      <c r="K214" s="1497"/>
      <c r="L214" s="1497"/>
      <c r="M214" s="1497"/>
      <c r="N214" s="1497"/>
      <c r="O214" s="1497"/>
      <c r="P214" s="1497"/>
      <c r="Q214" s="1497"/>
      <c r="R214" s="1497"/>
      <c r="S214" s="1497"/>
      <c r="T214" s="1497"/>
      <c r="U214" s="1497"/>
      <c r="V214" s="1497"/>
      <c r="W214" s="1497"/>
      <c r="X214" s="1497"/>
      <c r="Y214" s="1497"/>
      <c r="Z214" s="1497"/>
    </row>
    <row r="215" spans="1:26" ht="12.75" customHeight="1">
      <c r="A215" s="1497"/>
      <c r="B215" s="1497"/>
      <c r="C215" s="1497"/>
      <c r="D215" s="1497"/>
      <c r="E215" s="1497"/>
      <c r="F215" s="1497"/>
      <c r="G215" s="1497"/>
      <c r="H215" s="1497"/>
      <c r="I215" s="1497"/>
      <c r="J215" s="1497"/>
      <c r="K215" s="1497"/>
      <c r="L215" s="1497"/>
      <c r="M215" s="1497"/>
      <c r="N215" s="1497"/>
      <c r="O215" s="1497"/>
      <c r="P215" s="1497"/>
      <c r="Q215" s="1497"/>
      <c r="R215" s="1497"/>
      <c r="S215" s="1497"/>
      <c r="T215" s="1497"/>
      <c r="U215" s="1497"/>
      <c r="V215" s="1497"/>
      <c r="W215" s="1497"/>
      <c r="X215" s="1497"/>
      <c r="Y215" s="1497"/>
      <c r="Z215" s="1497"/>
    </row>
    <row r="216" spans="1:26" ht="12.75" customHeight="1">
      <c r="A216" s="1497"/>
      <c r="B216" s="1497"/>
      <c r="C216" s="1497"/>
      <c r="D216" s="1497"/>
      <c r="E216" s="1497"/>
      <c r="F216" s="1497"/>
      <c r="G216" s="1497"/>
      <c r="H216" s="1497"/>
      <c r="I216" s="1497"/>
      <c r="J216" s="1497"/>
      <c r="K216" s="1497"/>
      <c r="L216" s="1497"/>
      <c r="M216" s="1497"/>
      <c r="N216" s="1497"/>
      <c r="O216" s="1497"/>
      <c r="P216" s="1497"/>
      <c r="Q216" s="1497"/>
      <c r="R216" s="1497"/>
      <c r="S216" s="1497"/>
      <c r="T216" s="1497"/>
      <c r="U216" s="1497"/>
      <c r="V216" s="1497"/>
      <c r="W216" s="1497"/>
      <c r="X216" s="1497"/>
      <c r="Y216" s="1497"/>
      <c r="Z216" s="1497"/>
    </row>
    <row r="217" spans="1:26" ht="12.75" customHeight="1">
      <c r="A217" s="1497"/>
      <c r="B217" s="1497"/>
      <c r="C217" s="1497"/>
      <c r="D217" s="1497"/>
      <c r="E217" s="1497"/>
      <c r="F217" s="1497"/>
      <c r="G217" s="1497"/>
      <c r="H217" s="1497"/>
      <c r="I217" s="1497"/>
      <c r="J217" s="1497"/>
      <c r="K217" s="1497"/>
      <c r="L217" s="1497"/>
      <c r="M217" s="1497"/>
      <c r="N217" s="1497"/>
      <c r="O217" s="1497"/>
      <c r="P217" s="1497"/>
      <c r="Q217" s="1497"/>
      <c r="R217" s="1497"/>
      <c r="S217" s="1497"/>
      <c r="T217" s="1497"/>
      <c r="U217" s="1497"/>
      <c r="V217" s="1497"/>
      <c r="W217" s="1497"/>
      <c r="X217" s="1497"/>
      <c r="Y217" s="1497"/>
      <c r="Z217" s="1497"/>
    </row>
    <row r="218" spans="1:26" ht="12.75" customHeight="1">
      <c r="A218" s="1497"/>
      <c r="B218" s="1497"/>
      <c r="C218" s="1497"/>
      <c r="D218" s="1497"/>
      <c r="E218" s="1497"/>
      <c r="F218" s="1497"/>
      <c r="G218" s="1497"/>
      <c r="H218" s="1497"/>
      <c r="I218" s="1497"/>
      <c r="J218" s="1497"/>
      <c r="K218" s="1497"/>
      <c r="L218" s="1497"/>
      <c r="M218" s="1497"/>
      <c r="N218" s="1497"/>
      <c r="O218" s="1497"/>
      <c r="P218" s="1497"/>
      <c r="Q218" s="1497"/>
      <c r="R218" s="1497"/>
      <c r="S218" s="1497"/>
      <c r="T218" s="1497"/>
      <c r="U218" s="1497"/>
      <c r="V218" s="1497"/>
      <c r="W218" s="1497"/>
      <c r="X218" s="1497"/>
      <c r="Y218" s="1497"/>
      <c r="Z218" s="1497"/>
    </row>
    <row r="219" spans="1:26" ht="12.75" customHeight="1">
      <c r="A219" s="1497"/>
      <c r="B219" s="1497"/>
      <c r="C219" s="1497"/>
      <c r="D219" s="1497"/>
      <c r="E219" s="1497"/>
      <c r="F219" s="1497"/>
      <c r="G219" s="1497"/>
      <c r="H219" s="1497"/>
      <c r="I219" s="1497"/>
      <c r="J219" s="1497"/>
      <c r="K219" s="1497"/>
      <c r="L219" s="1497"/>
      <c r="M219" s="1497"/>
      <c r="N219" s="1497"/>
      <c r="O219" s="1497"/>
      <c r="P219" s="1497"/>
      <c r="Q219" s="1497"/>
      <c r="R219" s="1497"/>
      <c r="S219" s="1497"/>
      <c r="T219" s="1497"/>
      <c r="U219" s="1497"/>
      <c r="V219" s="1497"/>
      <c r="W219" s="1497"/>
      <c r="X219" s="1497"/>
      <c r="Y219" s="1497"/>
      <c r="Z219" s="1497"/>
    </row>
    <row r="220" spans="1:26" ht="12.75" customHeight="1">
      <c r="A220" s="1497"/>
      <c r="B220" s="1497"/>
      <c r="C220" s="1497"/>
      <c r="D220" s="1497"/>
      <c r="E220" s="1497"/>
      <c r="F220" s="1497"/>
      <c r="G220" s="1497"/>
      <c r="H220" s="1497"/>
      <c r="I220" s="1497"/>
      <c r="J220" s="1497"/>
      <c r="K220" s="1497"/>
      <c r="L220" s="1497"/>
      <c r="M220" s="1497"/>
      <c r="N220" s="1497"/>
      <c r="O220" s="1497"/>
      <c r="P220" s="1497"/>
      <c r="Q220" s="1497"/>
      <c r="R220" s="1497"/>
      <c r="S220" s="1497"/>
      <c r="T220" s="1497"/>
      <c r="U220" s="1497"/>
      <c r="V220" s="1497"/>
      <c r="W220" s="1497"/>
      <c r="X220" s="1497"/>
      <c r="Y220" s="1497"/>
      <c r="Z220" s="1497"/>
    </row>
    <row r="221" spans="1:26" ht="12.75" customHeight="1">
      <c r="A221" s="1497"/>
      <c r="B221" s="1497"/>
      <c r="C221" s="1497"/>
      <c r="D221" s="1497"/>
      <c r="E221" s="1497"/>
      <c r="F221" s="1497"/>
      <c r="G221" s="1497"/>
      <c r="H221" s="1497"/>
      <c r="I221" s="1497"/>
      <c r="J221" s="1497"/>
      <c r="K221" s="1497"/>
      <c r="L221" s="1497"/>
      <c r="M221" s="1497"/>
      <c r="N221" s="1497"/>
      <c r="O221" s="1497"/>
      <c r="P221" s="1497"/>
      <c r="Q221" s="1497"/>
      <c r="R221" s="1497"/>
      <c r="S221" s="1497"/>
      <c r="T221" s="1497"/>
      <c r="U221" s="1497"/>
      <c r="V221" s="1497"/>
      <c r="W221" s="1497"/>
      <c r="X221" s="1497"/>
      <c r="Y221" s="1497"/>
      <c r="Z221" s="1497"/>
    </row>
    <row r="222" spans="1:26" ht="12.75" customHeight="1">
      <c r="A222" s="1497"/>
      <c r="B222" s="1497"/>
      <c r="C222" s="1497"/>
      <c r="D222" s="1497"/>
      <c r="E222" s="1497"/>
      <c r="F222" s="1497"/>
      <c r="G222" s="1497"/>
      <c r="H222" s="1497"/>
      <c r="I222" s="1497"/>
      <c r="J222" s="1497"/>
      <c r="K222" s="1497"/>
      <c r="L222" s="1497"/>
      <c r="M222" s="1497"/>
      <c r="N222" s="1497"/>
      <c r="O222" s="1497"/>
      <c r="P222" s="1497"/>
      <c r="Q222" s="1497"/>
      <c r="R222" s="1497"/>
      <c r="S222" s="1497"/>
      <c r="T222" s="1497"/>
      <c r="U222" s="1497"/>
      <c r="V222" s="1497"/>
      <c r="W222" s="1497"/>
      <c r="X222" s="1497"/>
      <c r="Y222" s="1497"/>
      <c r="Z222" s="1497"/>
    </row>
    <row r="223" spans="1:26" ht="12.75" customHeight="1">
      <c r="A223" s="1497"/>
      <c r="B223" s="1497"/>
      <c r="C223" s="1497"/>
      <c r="D223" s="1497"/>
      <c r="E223" s="1497"/>
      <c r="F223" s="1497"/>
      <c r="G223" s="1497"/>
      <c r="H223" s="1497"/>
      <c r="I223" s="1497"/>
      <c r="J223" s="1497"/>
      <c r="K223" s="1497"/>
      <c r="L223" s="1497"/>
      <c r="M223" s="1497"/>
      <c r="N223" s="1497"/>
      <c r="O223" s="1497"/>
      <c r="P223" s="1497"/>
      <c r="Q223" s="1497"/>
      <c r="R223" s="1497"/>
      <c r="S223" s="1497"/>
      <c r="T223" s="1497"/>
      <c r="U223" s="1497"/>
      <c r="V223" s="1497"/>
      <c r="W223" s="1497"/>
      <c r="X223" s="1497"/>
      <c r="Y223" s="1497"/>
      <c r="Z223" s="1497"/>
    </row>
    <row r="224" spans="1:26" ht="12.75" customHeight="1">
      <c r="A224" s="1497"/>
      <c r="B224" s="1497"/>
      <c r="C224" s="1497"/>
      <c r="D224" s="1497"/>
      <c r="E224" s="1497"/>
      <c r="F224" s="1497"/>
      <c r="G224" s="1497"/>
      <c r="H224" s="1497"/>
      <c r="I224" s="1497"/>
      <c r="J224" s="1497"/>
      <c r="K224" s="1497"/>
      <c r="L224" s="1497"/>
      <c r="M224" s="1497"/>
      <c r="N224" s="1497"/>
      <c r="O224" s="1497"/>
      <c r="P224" s="1497"/>
      <c r="Q224" s="1497"/>
      <c r="R224" s="1497"/>
      <c r="S224" s="1497"/>
      <c r="T224" s="1497"/>
      <c r="U224" s="1497"/>
      <c r="V224" s="1497"/>
      <c r="W224" s="1497"/>
      <c r="X224" s="1497"/>
      <c r="Y224" s="1497"/>
      <c r="Z224" s="1497"/>
    </row>
    <row r="225" spans="1:26" ht="12.75" customHeight="1">
      <c r="A225" s="1497"/>
      <c r="B225" s="1497"/>
      <c r="C225" s="1497"/>
      <c r="D225" s="1497"/>
      <c r="E225" s="1497"/>
      <c r="F225" s="1497"/>
      <c r="G225" s="1497"/>
      <c r="H225" s="1497"/>
      <c r="I225" s="1497"/>
      <c r="J225" s="1497"/>
      <c r="K225" s="1497"/>
      <c r="L225" s="1497"/>
      <c r="M225" s="1497"/>
      <c r="N225" s="1497"/>
      <c r="O225" s="1497"/>
      <c r="P225" s="1497"/>
      <c r="Q225" s="1497"/>
      <c r="R225" s="1497"/>
      <c r="S225" s="1497"/>
      <c r="T225" s="1497"/>
      <c r="U225" s="1497"/>
      <c r="V225" s="1497"/>
      <c r="W225" s="1497"/>
      <c r="X225" s="1497"/>
      <c r="Y225" s="1497"/>
      <c r="Z225" s="1497"/>
    </row>
    <row r="226" spans="1:26" ht="12.75" customHeight="1">
      <c r="A226" s="1497"/>
      <c r="B226" s="1497"/>
      <c r="C226" s="1497"/>
      <c r="D226" s="1497"/>
      <c r="E226" s="1497"/>
      <c r="F226" s="1497"/>
      <c r="G226" s="1497"/>
      <c r="H226" s="1497"/>
      <c r="I226" s="1497"/>
      <c r="J226" s="1497"/>
      <c r="K226" s="1497"/>
      <c r="L226" s="1497"/>
      <c r="M226" s="1497"/>
      <c r="N226" s="1497"/>
      <c r="O226" s="1497"/>
      <c r="P226" s="1497"/>
      <c r="Q226" s="1497"/>
      <c r="R226" s="1497"/>
      <c r="S226" s="1497"/>
      <c r="T226" s="1497"/>
      <c r="U226" s="1497"/>
      <c r="V226" s="1497"/>
      <c r="W226" s="1497"/>
      <c r="X226" s="1497"/>
      <c r="Y226" s="1497"/>
      <c r="Z226" s="1497"/>
    </row>
    <row r="227" spans="1:26" ht="12.75" customHeight="1">
      <c r="A227" s="1497"/>
      <c r="B227" s="1497"/>
      <c r="C227" s="1497"/>
      <c r="D227" s="1497"/>
      <c r="E227" s="1497"/>
      <c r="F227" s="1497"/>
      <c r="G227" s="1497"/>
      <c r="H227" s="1497"/>
      <c r="I227" s="1497"/>
      <c r="J227" s="1497"/>
      <c r="K227" s="1497"/>
      <c r="L227" s="1497"/>
      <c r="M227" s="1497"/>
      <c r="N227" s="1497"/>
      <c r="O227" s="1497"/>
      <c r="P227" s="1497"/>
      <c r="Q227" s="1497"/>
      <c r="R227" s="1497"/>
      <c r="S227" s="1497"/>
      <c r="T227" s="1497"/>
      <c r="U227" s="1497"/>
      <c r="V227" s="1497"/>
      <c r="W227" s="1497"/>
      <c r="X227" s="1497"/>
      <c r="Y227" s="1497"/>
      <c r="Z227" s="1497"/>
    </row>
    <row r="228" spans="1:26" ht="12.75" customHeight="1">
      <c r="A228" s="1497"/>
      <c r="B228" s="1497"/>
      <c r="C228" s="1497"/>
      <c r="D228" s="1497"/>
      <c r="E228" s="1497"/>
      <c r="F228" s="1497"/>
      <c r="G228" s="1497"/>
      <c r="H228" s="1497"/>
      <c r="I228" s="1497"/>
      <c r="J228" s="1497"/>
      <c r="K228" s="1497"/>
      <c r="L228" s="1497"/>
      <c r="M228" s="1497"/>
      <c r="N228" s="1497"/>
      <c r="O228" s="1497"/>
      <c r="P228" s="1497"/>
      <c r="Q228" s="1497"/>
      <c r="R228" s="1497"/>
      <c r="S228" s="1497"/>
      <c r="T228" s="1497"/>
      <c r="U228" s="1497"/>
      <c r="V228" s="1497"/>
      <c r="W228" s="1497"/>
      <c r="X228" s="1497"/>
      <c r="Y228" s="1497"/>
      <c r="Z228" s="1497"/>
    </row>
    <row r="229" spans="1:26" ht="12.75" customHeight="1">
      <c r="A229" s="1497"/>
      <c r="B229" s="1497"/>
      <c r="C229" s="1497"/>
      <c r="D229" s="1497"/>
      <c r="E229" s="1497"/>
      <c r="F229" s="1497"/>
      <c r="G229" s="1497"/>
      <c r="H229" s="1497"/>
      <c r="I229" s="1497"/>
      <c r="J229" s="1497"/>
      <c r="K229" s="1497"/>
      <c r="L229" s="1497"/>
      <c r="M229" s="1497"/>
      <c r="N229" s="1497"/>
      <c r="O229" s="1497"/>
      <c r="P229" s="1497"/>
      <c r="Q229" s="1497"/>
      <c r="R229" s="1497"/>
      <c r="S229" s="1497"/>
      <c r="T229" s="1497"/>
      <c r="U229" s="1497"/>
      <c r="V229" s="1497"/>
      <c r="W229" s="1497"/>
      <c r="X229" s="1497"/>
      <c r="Y229" s="1497"/>
      <c r="Z229" s="1497"/>
    </row>
    <row r="230" spans="1:26" ht="12.75" customHeight="1">
      <c r="A230" s="1497"/>
      <c r="B230" s="1497"/>
      <c r="C230" s="1497"/>
      <c r="D230" s="1497"/>
      <c r="E230" s="1497"/>
      <c r="F230" s="1497"/>
      <c r="G230" s="1497"/>
      <c r="H230" s="1497"/>
      <c r="I230" s="1497"/>
      <c r="J230" s="1497"/>
      <c r="K230" s="1497"/>
      <c r="L230" s="1497"/>
      <c r="M230" s="1497"/>
      <c r="N230" s="1497"/>
      <c r="O230" s="1497"/>
      <c r="P230" s="1497"/>
      <c r="Q230" s="1497"/>
      <c r="R230" s="1497"/>
      <c r="S230" s="1497"/>
      <c r="T230" s="1497"/>
      <c r="U230" s="1497"/>
      <c r="V230" s="1497"/>
      <c r="W230" s="1497"/>
      <c r="X230" s="1497"/>
      <c r="Y230" s="1497"/>
      <c r="Z230" s="1497"/>
    </row>
    <row r="231" spans="1:26" ht="12.75" customHeight="1">
      <c r="A231" s="1497"/>
      <c r="B231" s="1497"/>
      <c r="C231" s="1497"/>
      <c r="D231" s="1497"/>
      <c r="E231" s="1497"/>
      <c r="F231" s="1497"/>
      <c r="G231" s="1497"/>
      <c r="H231" s="1497"/>
      <c r="I231" s="1497"/>
      <c r="J231" s="1497"/>
      <c r="K231" s="1497"/>
      <c r="L231" s="1497"/>
      <c r="M231" s="1497"/>
      <c r="N231" s="1497"/>
      <c r="O231" s="1497"/>
      <c r="P231" s="1497"/>
      <c r="Q231" s="1497"/>
      <c r="R231" s="1497"/>
      <c r="S231" s="1497"/>
      <c r="T231" s="1497"/>
      <c r="U231" s="1497"/>
      <c r="V231" s="1497"/>
      <c r="W231" s="1497"/>
      <c r="X231" s="1497"/>
      <c r="Y231" s="1497"/>
      <c r="Z231" s="1497"/>
    </row>
    <row r="232" spans="1:26" ht="12.75" customHeight="1">
      <c r="A232" s="1497"/>
      <c r="B232" s="1497"/>
      <c r="C232" s="1497"/>
      <c r="D232" s="1497"/>
      <c r="E232" s="1497"/>
      <c r="F232" s="1497"/>
      <c r="G232" s="1497"/>
      <c r="H232" s="1497"/>
      <c r="I232" s="1497"/>
      <c r="J232" s="1497"/>
      <c r="K232" s="1497"/>
      <c r="L232" s="1497"/>
      <c r="M232" s="1497"/>
      <c r="N232" s="1497"/>
      <c r="O232" s="1497"/>
      <c r="P232" s="1497"/>
      <c r="Q232" s="1497"/>
      <c r="R232" s="1497"/>
      <c r="S232" s="1497"/>
      <c r="T232" s="1497"/>
      <c r="U232" s="1497"/>
      <c r="V232" s="1497"/>
      <c r="W232" s="1497"/>
      <c r="X232" s="1497"/>
      <c r="Y232" s="1497"/>
      <c r="Z232" s="1497"/>
    </row>
    <row r="233" spans="1:26" ht="12.75" customHeight="1">
      <c r="A233" s="1497"/>
      <c r="B233" s="1497"/>
      <c r="C233" s="1497"/>
      <c r="D233" s="1497"/>
      <c r="E233" s="1497"/>
      <c r="F233" s="1497"/>
      <c r="G233" s="1497"/>
      <c r="H233" s="1497"/>
      <c r="I233" s="1497"/>
      <c r="J233" s="1497"/>
      <c r="K233" s="1497"/>
      <c r="L233" s="1497"/>
      <c r="M233" s="1497"/>
      <c r="N233" s="1497"/>
      <c r="O233" s="1497"/>
      <c r="P233" s="1497"/>
      <c r="Q233" s="1497"/>
      <c r="R233" s="1497"/>
      <c r="S233" s="1497"/>
      <c r="T233" s="1497"/>
      <c r="U233" s="1497"/>
      <c r="V233" s="1497"/>
      <c r="W233" s="1497"/>
      <c r="X233" s="1497"/>
      <c r="Y233" s="1497"/>
      <c r="Z233" s="1497"/>
    </row>
    <row r="234" spans="1:26" ht="12.75" customHeight="1">
      <c r="A234" s="1497"/>
      <c r="B234" s="1497"/>
      <c r="C234" s="1497"/>
      <c r="D234" s="1497"/>
      <c r="E234" s="1497"/>
      <c r="F234" s="1497"/>
      <c r="G234" s="1497"/>
      <c r="H234" s="1497"/>
      <c r="I234" s="1497"/>
      <c r="J234" s="1497"/>
      <c r="K234" s="1497"/>
      <c r="L234" s="1497"/>
      <c r="M234" s="1497"/>
      <c r="N234" s="1497"/>
      <c r="O234" s="1497"/>
      <c r="P234" s="1497"/>
      <c r="Q234" s="1497"/>
      <c r="R234" s="1497"/>
      <c r="S234" s="1497"/>
      <c r="T234" s="1497"/>
      <c r="U234" s="1497"/>
      <c r="V234" s="1497"/>
      <c r="W234" s="1497"/>
      <c r="X234" s="1497"/>
      <c r="Y234" s="1497"/>
      <c r="Z234" s="1497"/>
    </row>
    <row r="235" spans="1:26" ht="12.75" customHeight="1">
      <c r="A235" s="1497"/>
      <c r="B235" s="1497"/>
      <c r="C235" s="1497"/>
      <c r="D235" s="1497"/>
      <c r="E235" s="1497"/>
      <c r="F235" s="1497"/>
      <c r="G235" s="1497"/>
      <c r="H235" s="1497"/>
      <c r="I235" s="1497"/>
      <c r="J235" s="1497"/>
      <c r="K235" s="1497"/>
      <c r="L235" s="1497"/>
      <c r="M235" s="1497"/>
      <c r="N235" s="1497"/>
      <c r="O235" s="1497"/>
      <c r="P235" s="1497"/>
      <c r="Q235" s="1497"/>
      <c r="R235" s="1497"/>
      <c r="S235" s="1497"/>
      <c r="T235" s="1497"/>
      <c r="U235" s="1497"/>
      <c r="V235" s="1497"/>
      <c r="W235" s="1497"/>
      <c r="X235" s="1497"/>
      <c r="Y235" s="1497"/>
      <c r="Z235" s="1497"/>
    </row>
    <row r="236" spans="1:26" ht="12.75" customHeight="1">
      <c r="A236" s="1497"/>
      <c r="B236" s="1497"/>
      <c r="C236" s="1497"/>
      <c r="D236" s="1497"/>
      <c r="E236" s="1497"/>
      <c r="F236" s="1497"/>
      <c r="G236" s="1497"/>
      <c r="H236" s="1497"/>
      <c r="I236" s="1497"/>
      <c r="J236" s="1497"/>
      <c r="K236" s="1497"/>
      <c r="L236" s="1497"/>
      <c r="M236" s="1497"/>
      <c r="N236" s="1497"/>
      <c r="O236" s="1497"/>
      <c r="P236" s="1497"/>
      <c r="Q236" s="1497"/>
      <c r="R236" s="1497"/>
      <c r="S236" s="1497"/>
      <c r="T236" s="1497"/>
      <c r="U236" s="1497"/>
      <c r="V236" s="1497"/>
      <c r="W236" s="1497"/>
      <c r="X236" s="1497"/>
      <c r="Y236" s="1497"/>
      <c r="Z236" s="1497"/>
    </row>
    <row r="237" spans="1:26" ht="12.75" customHeight="1">
      <c r="A237" s="1497"/>
      <c r="B237" s="1497"/>
      <c r="C237" s="1497"/>
      <c r="D237" s="1497"/>
      <c r="E237" s="1497"/>
      <c r="F237" s="1497"/>
      <c r="G237" s="1497"/>
      <c r="H237" s="1497"/>
      <c r="I237" s="1497"/>
      <c r="J237" s="1497"/>
      <c r="K237" s="1497"/>
      <c r="L237" s="1497"/>
      <c r="M237" s="1497"/>
      <c r="N237" s="1497"/>
      <c r="O237" s="1497"/>
      <c r="P237" s="1497"/>
      <c r="Q237" s="1497"/>
      <c r="R237" s="1497"/>
      <c r="S237" s="1497"/>
      <c r="T237" s="1497"/>
      <c r="U237" s="1497"/>
      <c r="V237" s="1497"/>
      <c r="W237" s="1497"/>
      <c r="X237" s="1497"/>
      <c r="Y237" s="1497"/>
      <c r="Z237" s="1497"/>
    </row>
    <row r="238" spans="1:26" ht="12.75" customHeight="1">
      <c r="A238" s="1497"/>
      <c r="B238" s="1497"/>
      <c r="C238" s="1497"/>
      <c r="D238" s="1497"/>
      <c r="E238" s="1497"/>
      <c r="F238" s="1497"/>
      <c r="G238" s="1497"/>
      <c r="H238" s="1497"/>
      <c r="I238" s="1497"/>
      <c r="J238" s="1497"/>
      <c r="K238" s="1497"/>
      <c r="L238" s="1497"/>
      <c r="M238" s="1497"/>
      <c r="N238" s="1497"/>
      <c r="O238" s="1497"/>
      <c r="P238" s="1497"/>
      <c r="Q238" s="1497"/>
      <c r="R238" s="1497"/>
      <c r="S238" s="1497"/>
      <c r="T238" s="1497"/>
      <c r="U238" s="1497"/>
      <c r="V238" s="1497"/>
      <c r="W238" s="1497"/>
      <c r="X238" s="1497"/>
      <c r="Y238" s="1497"/>
      <c r="Z238" s="1497"/>
    </row>
    <row r="239" spans="1:26" ht="12.75" customHeight="1">
      <c r="A239" s="1497"/>
      <c r="B239" s="1497"/>
      <c r="C239" s="1497"/>
      <c r="D239" s="1497"/>
      <c r="E239" s="1497"/>
      <c r="F239" s="1497"/>
      <c r="G239" s="1497"/>
      <c r="H239" s="1497"/>
      <c r="I239" s="1497"/>
      <c r="J239" s="1497"/>
      <c r="K239" s="1497"/>
      <c r="L239" s="1497"/>
      <c r="M239" s="1497"/>
      <c r="N239" s="1497"/>
      <c r="O239" s="1497"/>
      <c r="P239" s="1497"/>
      <c r="Q239" s="1497"/>
      <c r="R239" s="1497"/>
      <c r="S239" s="1497"/>
      <c r="T239" s="1497"/>
      <c r="U239" s="1497"/>
      <c r="V239" s="1497"/>
      <c r="W239" s="1497"/>
      <c r="X239" s="1497"/>
      <c r="Y239" s="1497"/>
      <c r="Z239" s="1497"/>
    </row>
    <row r="240" spans="1:26" ht="12.75" customHeight="1">
      <c r="A240" s="1497"/>
      <c r="B240" s="1497"/>
      <c r="C240" s="1497"/>
      <c r="D240" s="1497"/>
      <c r="E240" s="1497"/>
      <c r="F240" s="1497"/>
      <c r="G240" s="1497"/>
      <c r="H240" s="1497"/>
      <c r="I240" s="1497"/>
      <c r="J240" s="1497"/>
      <c r="K240" s="1497"/>
      <c r="L240" s="1497"/>
      <c r="M240" s="1497"/>
      <c r="N240" s="1497"/>
      <c r="O240" s="1497"/>
      <c r="P240" s="1497"/>
      <c r="Q240" s="1497"/>
      <c r="R240" s="1497"/>
      <c r="S240" s="1497"/>
      <c r="T240" s="1497"/>
      <c r="U240" s="1497"/>
      <c r="V240" s="1497"/>
      <c r="W240" s="1497"/>
      <c r="X240" s="1497"/>
      <c r="Y240" s="1497"/>
      <c r="Z240" s="1497"/>
    </row>
    <row r="241" spans="1:26" ht="12.75" customHeight="1">
      <c r="A241" s="1497"/>
      <c r="B241" s="1497"/>
      <c r="C241" s="1497"/>
      <c r="D241" s="1497"/>
      <c r="E241" s="1497"/>
      <c r="F241" s="1497"/>
      <c r="G241" s="1497"/>
      <c r="H241" s="1497"/>
      <c r="I241" s="1497"/>
      <c r="J241" s="1497"/>
      <c r="K241" s="1497"/>
      <c r="L241" s="1497"/>
      <c r="M241" s="1497"/>
      <c r="N241" s="1497"/>
      <c r="O241" s="1497"/>
      <c r="P241" s="1497"/>
      <c r="Q241" s="1497"/>
      <c r="R241" s="1497"/>
      <c r="S241" s="1497"/>
      <c r="T241" s="1497"/>
      <c r="U241" s="1497"/>
      <c r="V241" s="1497"/>
      <c r="W241" s="1497"/>
      <c r="X241" s="1497"/>
      <c r="Y241" s="1497"/>
      <c r="Z241" s="1497"/>
    </row>
    <row r="242" spans="1:26" ht="12.75" customHeight="1">
      <c r="A242" s="1497"/>
      <c r="B242" s="1497"/>
      <c r="C242" s="1497"/>
      <c r="D242" s="1497"/>
      <c r="E242" s="1497"/>
      <c r="F242" s="1497"/>
      <c r="G242" s="1497"/>
      <c r="H242" s="1497"/>
      <c r="I242" s="1497"/>
      <c r="J242" s="1497"/>
      <c r="K242" s="1497"/>
      <c r="L242" s="1497"/>
      <c r="M242" s="1497"/>
      <c r="N242" s="1497"/>
      <c r="O242" s="1497"/>
      <c r="P242" s="1497"/>
      <c r="Q242" s="1497"/>
      <c r="R242" s="1497"/>
      <c r="S242" s="1497"/>
      <c r="T242" s="1497"/>
      <c r="U242" s="1497"/>
      <c r="V242" s="1497"/>
      <c r="W242" s="1497"/>
      <c r="X242" s="1497"/>
      <c r="Y242" s="1497"/>
      <c r="Z242" s="1497"/>
    </row>
    <row r="243" spans="1:26" ht="12.75" customHeight="1">
      <c r="A243" s="1497"/>
      <c r="B243" s="1497"/>
      <c r="C243" s="1497"/>
      <c r="D243" s="1497"/>
      <c r="E243" s="1497"/>
      <c r="F243" s="1497"/>
      <c r="G243" s="1497"/>
      <c r="H243" s="1497"/>
      <c r="I243" s="1497"/>
      <c r="J243" s="1497"/>
      <c r="K243" s="1497"/>
      <c r="L243" s="1497"/>
      <c r="M243" s="1497"/>
      <c r="N243" s="1497"/>
      <c r="O243" s="1497"/>
      <c r="P243" s="1497"/>
      <c r="Q243" s="1497"/>
      <c r="R243" s="1497"/>
      <c r="S243" s="1497"/>
      <c r="T243" s="1497"/>
      <c r="U243" s="1497"/>
      <c r="V243" s="1497"/>
      <c r="W243" s="1497"/>
      <c r="X243" s="1497"/>
      <c r="Y243" s="1497"/>
      <c r="Z243" s="1497"/>
    </row>
    <row r="244" spans="1:26" ht="12.75" customHeight="1">
      <c r="A244" s="1497"/>
      <c r="B244" s="1497"/>
      <c r="C244" s="1497"/>
      <c r="D244" s="1497"/>
      <c r="E244" s="1497"/>
      <c r="F244" s="1497"/>
      <c r="G244" s="1497"/>
      <c r="H244" s="1497"/>
      <c r="I244" s="1497"/>
      <c r="J244" s="1497"/>
      <c r="K244" s="1497"/>
      <c r="L244" s="1497"/>
      <c r="M244" s="1497"/>
      <c r="N244" s="1497"/>
      <c r="O244" s="1497"/>
      <c r="P244" s="1497"/>
      <c r="Q244" s="1497"/>
      <c r="R244" s="1497"/>
      <c r="S244" s="1497"/>
      <c r="T244" s="1497"/>
      <c r="U244" s="1497"/>
      <c r="V244" s="1497"/>
      <c r="W244" s="1497"/>
      <c r="X244" s="1497"/>
      <c r="Y244" s="1497"/>
      <c r="Z244" s="1497"/>
    </row>
    <row r="245" spans="1:26" ht="12.75" customHeight="1">
      <c r="A245" s="1497"/>
      <c r="B245" s="1497"/>
      <c r="C245" s="1497"/>
      <c r="D245" s="1497"/>
      <c r="E245" s="1497"/>
      <c r="F245" s="1497"/>
      <c r="G245" s="1497"/>
      <c r="H245" s="1497"/>
      <c r="I245" s="1497"/>
      <c r="J245" s="1497"/>
      <c r="K245" s="1497"/>
      <c r="L245" s="1497"/>
      <c r="M245" s="1497"/>
      <c r="N245" s="1497"/>
      <c r="O245" s="1497"/>
      <c r="P245" s="1497"/>
      <c r="Q245" s="1497"/>
      <c r="R245" s="1497"/>
      <c r="S245" s="1497"/>
      <c r="T245" s="1497"/>
      <c r="U245" s="1497"/>
      <c r="V245" s="1497"/>
      <c r="W245" s="1497"/>
      <c r="X245" s="1497"/>
      <c r="Y245" s="1497"/>
      <c r="Z245" s="1497"/>
    </row>
    <row r="246" spans="1:26" ht="12.75" customHeight="1">
      <c r="A246" s="1497"/>
      <c r="B246" s="1497"/>
      <c r="C246" s="1497"/>
      <c r="D246" s="1497"/>
      <c r="E246" s="1497"/>
      <c r="F246" s="1497"/>
      <c r="G246" s="1497"/>
      <c r="H246" s="1497"/>
      <c r="I246" s="1497"/>
      <c r="J246" s="1497"/>
      <c r="K246" s="1497"/>
      <c r="L246" s="1497"/>
      <c r="M246" s="1497"/>
      <c r="N246" s="1497"/>
      <c r="O246" s="1497"/>
      <c r="P246" s="1497"/>
      <c r="Q246" s="1497"/>
      <c r="R246" s="1497"/>
      <c r="S246" s="1497"/>
      <c r="T246" s="1497"/>
      <c r="U246" s="1497"/>
      <c r="V246" s="1497"/>
      <c r="W246" s="1497"/>
      <c r="X246" s="1497"/>
      <c r="Y246" s="1497"/>
      <c r="Z246" s="1497"/>
    </row>
    <row r="247" spans="1:26" ht="12.75" customHeight="1">
      <c r="A247" s="1497"/>
      <c r="B247" s="1497"/>
      <c r="C247" s="1497"/>
      <c r="D247" s="1497"/>
      <c r="E247" s="1497"/>
      <c r="F247" s="1497"/>
      <c r="G247" s="1497"/>
      <c r="H247" s="1497"/>
      <c r="I247" s="1497"/>
      <c r="J247" s="1497"/>
      <c r="K247" s="1497"/>
      <c r="L247" s="1497"/>
      <c r="M247" s="1497"/>
      <c r="N247" s="1497"/>
      <c r="O247" s="1497"/>
      <c r="P247" s="1497"/>
      <c r="Q247" s="1497"/>
      <c r="R247" s="1497"/>
      <c r="S247" s="1497"/>
      <c r="T247" s="1497"/>
      <c r="U247" s="1497"/>
      <c r="V247" s="1497"/>
      <c r="W247" s="1497"/>
      <c r="X247" s="1497"/>
      <c r="Y247" s="1497"/>
      <c r="Z247" s="1497"/>
    </row>
    <row r="248" spans="1:26" ht="12.75" customHeight="1">
      <c r="A248" s="1497"/>
      <c r="B248" s="1497"/>
      <c r="C248" s="1497"/>
      <c r="D248" s="1497"/>
      <c r="E248" s="1497"/>
      <c r="F248" s="1497"/>
      <c r="G248" s="1497"/>
      <c r="H248" s="1497"/>
      <c r="I248" s="1497"/>
      <c r="J248" s="1497"/>
      <c r="K248" s="1497"/>
      <c r="L248" s="1497"/>
      <c r="M248" s="1497"/>
      <c r="N248" s="1497"/>
      <c r="O248" s="1497"/>
      <c r="P248" s="1497"/>
      <c r="Q248" s="1497"/>
      <c r="R248" s="1497"/>
      <c r="S248" s="1497"/>
      <c r="T248" s="1497"/>
      <c r="U248" s="1497"/>
      <c r="V248" s="1497"/>
      <c r="W248" s="1497"/>
      <c r="X248" s="1497"/>
      <c r="Y248" s="1497"/>
      <c r="Z248" s="1497"/>
    </row>
    <row r="249" spans="1:26" ht="12.75" customHeight="1">
      <c r="A249" s="1497"/>
      <c r="B249" s="1497"/>
      <c r="C249" s="1497"/>
      <c r="D249" s="1497"/>
      <c r="E249" s="1497"/>
      <c r="F249" s="1497"/>
      <c r="G249" s="1497"/>
      <c r="H249" s="1497"/>
      <c r="I249" s="1497"/>
      <c r="J249" s="1497"/>
      <c r="K249" s="1497"/>
      <c r="L249" s="1497"/>
      <c r="M249" s="1497"/>
      <c r="N249" s="1497"/>
      <c r="O249" s="1497"/>
      <c r="P249" s="1497"/>
      <c r="Q249" s="1497"/>
      <c r="R249" s="1497"/>
      <c r="S249" s="1497"/>
      <c r="T249" s="1497"/>
      <c r="U249" s="1497"/>
      <c r="V249" s="1497"/>
      <c r="W249" s="1497"/>
      <c r="X249" s="1497"/>
      <c r="Y249" s="1497"/>
      <c r="Z249" s="1497"/>
    </row>
    <row r="250" spans="1:26" ht="12.75" customHeight="1">
      <c r="A250" s="1497"/>
      <c r="B250" s="1497"/>
      <c r="C250" s="1497"/>
      <c r="D250" s="1497"/>
      <c r="E250" s="1497"/>
      <c r="F250" s="1497"/>
      <c r="G250" s="1497"/>
      <c r="H250" s="1497"/>
      <c r="I250" s="1497"/>
      <c r="J250" s="1497"/>
      <c r="K250" s="1497"/>
      <c r="L250" s="1497"/>
      <c r="M250" s="1497"/>
      <c r="N250" s="1497"/>
      <c r="O250" s="1497"/>
      <c r="P250" s="1497"/>
      <c r="Q250" s="1497"/>
      <c r="R250" s="1497"/>
      <c r="S250" s="1497"/>
      <c r="T250" s="1497"/>
      <c r="U250" s="1497"/>
      <c r="V250" s="1497"/>
      <c r="W250" s="1497"/>
      <c r="X250" s="1497"/>
      <c r="Y250" s="1497"/>
      <c r="Z250" s="1497"/>
    </row>
    <row r="251" spans="1:26" ht="12.75" customHeight="1">
      <c r="A251" s="1497"/>
      <c r="B251" s="1497"/>
      <c r="C251" s="1497"/>
      <c r="D251" s="1497"/>
      <c r="E251" s="1497"/>
      <c r="F251" s="1497"/>
      <c r="G251" s="1497"/>
      <c r="H251" s="1497"/>
      <c r="I251" s="1497"/>
      <c r="J251" s="1497"/>
      <c r="K251" s="1497"/>
      <c r="L251" s="1497"/>
      <c r="M251" s="1497"/>
      <c r="N251" s="1497"/>
      <c r="O251" s="1497"/>
      <c r="P251" s="1497"/>
      <c r="Q251" s="1497"/>
      <c r="R251" s="1497"/>
      <c r="S251" s="1497"/>
      <c r="T251" s="1497"/>
      <c r="U251" s="1497"/>
      <c r="V251" s="1497"/>
      <c r="W251" s="1497"/>
      <c r="X251" s="1497"/>
      <c r="Y251" s="1497"/>
      <c r="Z251" s="1497"/>
    </row>
    <row r="252" spans="1:26" ht="12.75" customHeight="1">
      <c r="A252" s="1497"/>
      <c r="B252" s="1497"/>
      <c r="C252" s="1497"/>
      <c r="D252" s="1497"/>
      <c r="E252" s="1497"/>
      <c r="F252" s="1497"/>
      <c r="G252" s="1497"/>
      <c r="H252" s="1497"/>
      <c r="I252" s="1497"/>
      <c r="J252" s="1497"/>
      <c r="K252" s="1497"/>
      <c r="L252" s="1497"/>
      <c r="M252" s="1497"/>
      <c r="N252" s="1497"/>
      <c r="O252" s="1497"/>
      <c r="P252" s="1497"/>
      <c r="Q252" s="1497"/>
      <c r="R252" s="1497"/>
      <c r="S252" s="1497"/>
      <c r="T252" s="1497"/>
      <c r="U252" s="1497"/>
      <c r="V252" s="1497"/>
      <c r="W252" s="1497"/>
      <c r="X252" s="1497"/>
      <c r="Y252" s="1497"/>
      <c r="Z252" s="1497"/>
    </row>
    <row r="253" spans="1:26" ht="12.75" customHeight="1">
      <c r="A253" s="1497"/>
      <c r="B253" s="1497"/>
      <c r="C253" s="1497"/>
      <c r="D253" s="1497"/>
      <c r="E253" s="1497"/>
      <c r="F253" s="1497"/>
      <c r="G253" s="1497"/>
      <c r="H253" s="1497"/>
      <c r="I253" s="1497"/>
      <c r="J253" s="1497"/>
      <c r="K253" s="1497"/>
      <c r="L253" s="1497"/>
      <c r="M253" s="1497"/>
      <c r="N253" s="1497"/>
      <c r="O253" s="1497"/>
      <c r="P253" s="1497"/>
      <c r="Q253" s="1497"/>
      <c r="R253" s="1497"/>
      <c r="S253" s="1497"/>
      <c r="T253" s="1497"/>
      <c r="U253" s="1497"/>
      <c r="V253" s="1497"/>
      <c r="W253" s="1497"/>
      <c r="X253" s="1497"/>
      <c r="Y253" s="1497"/>
      <c r="Z253" s="1497"/>
    </row>
    <row r="254" spans="1:26" ht="12.75" customHeight="1">
      <c r="A254" s="1497"/>
      <c r="B254" s="1497"/>
      <c r="C254" s="1497"/>
      <c r="D254" s="1497"/>
      <c r="E254" s="1497"/>
      <c r="F254" s="1497"/>
      <c r="G254" s="1497"/>
      <c r="H254" s="1497"/>
      <c r="I254" s="1497"/>
      <c r="J254" s="1497"/>
      <c r="K254" s="1497"/>
      <c r="L254" s="1497"/>
      <c r="M254" s="1497"/>
      <c r="N254" s="1497"/>
      <c r="O254" s="1497"/>
      <c r="P254" s="1497"/>
      <c r="Q254" s="1497"/>
      <c r="R254" s="1497"/>
      <c r="S254" s="1497"/>
      <c r="T254" s="1497"/>
      <c r="U254" s="1497"/>
      <c r="V254" s="1497"/>
      <c r="W254" s="1497"/>
      <c r="X254" s="1497"/>
      <c r="Y254" s="1497"/>
      <c r="Z254" s="1497"/>
    </row>
    <row r="255" spans="1:26" ht="12.75" customHeight="1">
      <c r="A255" s="1497"/>
      <c r="B255" s="1497"/>
      <c r="C255" s="1497"/>
      <c r="D255" s="1497"/>
      <c r="E255" s="1497"/>
      <c r="F255" s="1497"/>
      <c r="G255" s="1497"/>
      <c r="H255" s="1497"/>
      <c r="I255" s="1497"/>
      <c r="J255" s="1497"/>
      <c r="K255" s="1497"/>
      <c r="L255" s="1497"/>
      <c r="M255" s="1497"/>
      <c r="N255" s="1497"/>
      <c r="O255" s="1497"/>
      <c r="P255" s="1497"/>
      <c r="Q255" s="1497"/>
      <c r="R255" s="1497"/>
      <c r="S255" s="1497"/>
      <c r="T255" s="1497"/>
      <c r="U255" s="1497"/>
      <c r="V255" s="1497"/>
      <c r="W255" s="1497"/>
      <c r="X255" s="1497"/>
      <c r="Y255" s="1497"/>
      <c r="Z255" s="1497"/>
    </row>
    <row r="256" spans="1:26" ht="12.75" customHeight="1">
      <c r="A256" s="1497"/>
      <c r="B256" s="1497"/>
      <c r="C256" s="1497"/>
      <c r="D256" s="1497"/>
      <c r="E256" s="1497"/>
      <c r="F256" s="1497"/>
      <c r="G256" s="1497"/>
      <c r="H256" s="1497"/>
      <c r="I256" s="1497"/>
      <c r="J256" s="1497"/>
      <c r="K256" s="1497"/>
      <c r="L256" s="1497"/>
      <c r="M256" s="1497"/>
      <c r="N256" s="1497"/>
      <c r="O256" s="1497"/>
      <c r="P256" s="1497"/>
      <c r="Q256" s="1497"/>
      <c r="R256" s="1497"/>
      <c r="S256" s="1497"/>
      <c r="T256" s="1497"/>
      <c r="U256" s="1497"/>
      <c r="V256" s="1497"/>
      <c r="W256" s="1497"/>
      <c r="X256" s="1497"/>
      <c r="Y256" s="1497"/>
      <c r="Z256" s="1497"/>
    </row>
    <row r="257" spans="1:26" ht="12.75" customHeight="1">
      <c r="A257" s="1497"/>
      <c r="B257" s="1497"/>
      <c r="C257" s="1497"/>
      <c r="D257" s="1497"/>
      <c r="E257" s="1497"/>
      <c r="F257" s="1497"/>
      <c r="G257" s="1497"/>
      <c r="H257" s="1497"/>
      <c r="I257" s="1497"/>
      <c r="J257" s="1497"/>
      <c r="K257" s="1497"/>
      <c r="L257" s="1497"/>
      <c r="M257" s="1497"/>
      <c r="N257" s="1497"/>
      <c r="O257" s="1497"/>
      <c r="P257" s="1497"/>
      <c r="Q257" s="1497"/>
      <c r="R257" s="1497"/>
      <c r="S257" s="1497"/>
      <c r="T257" s="1497"/>
      <c r="U257" s="1497"/>
      <c r="V257" s="1497"/>
      <c r="W257" s="1497"/>
      <c r="X257" s="1497"/>
      <c r="Y257" s="1497"/>
      <c r="Z257" s="1497"/>
    </row>
    <row r="258" spans="1:26" ht="12.75" customHeight="1">
      <c r="A258" s="1497"/>
      <c r="B258" s="1497"/>
      <c r="C258" s="1497"/>
      <c r="D258" s="1497"/>
      <c r="E258" s="1497"/>
      <c r="F258" s="1497"/>
      <c r="G258" s="1497"/>
      <c r="H258" s="1497"/>
      <c r="I258" s="1497"/>
      <c r="J258" s="1497"/>
      <c r="K258" s="1497"/>
      <c r="L258" s="1497"/>
      <c r="M258" s="1497"/>
      <c r="N258" s="1497"/>
      <c r="O258" s="1497"/>
      <c r="P258" s="1497"/>
      <c r="Q258" s="1497"/>
      <c r="R258" s="1497"/>
      <c r="S258" s="1497"/>
      <c r="T258" s="1497"/>
      <c r="U258" s="1497"/>
      <c r="V258" s="1497"/>
      <c r="W258" s="1497"/>
      <c r="X258" s="1497"/>
      <c r="Y258" s="1497"/>
      <c r="Z258" s="1497"/>
    </row>
    <row r="259" spans="1:26" ht="12.75" customHeight="1">
      <c r="A259" s="1497"/>
      <c r="B259" s="1497"/>
      <c r="C259" s="1497"/>
      <c r="D259" s="1497"/>
      <c r="E259" s="1497"/>
      <c r="F259" s="1497"/>
      <c r="G259" s="1497"/>
      <c r="H259" s="1497"/>
      <c r="I259" s="1497"/>
      <c r="J259" s="1497"/>
      <c r="K259" s="1497"/>
      <c r="L259" s="1497"/>
      <c r="M259" s="1497"/>
      <c r="N259" s="1497"/>
      <c r="O259" s="1497"/>
      <c r="P259" s="1497"/>
      <c r="Q259" s="1497"/>
      <c r="R259" s="1497"/>
      <c r="S259" s="1497"/>
      <c r="T259" s="1497"/>
      <c r="U259" s="1497"/>
      <c r="V259" s="1497"/>
      <c r="W259" s="1497"/>
      <c r="X259" s="1497"/>
      <c r="Y259" s="1497"/>
      <c r="Z259" s="1497"/>
    </row>
    <row r="260" spans="1:26" ht="12.75" customHeight="1">
      <c r="A260" s="1497"/>
      <c r="B260" s="1497"/>
      <c r="C260" s="1497"/>
      <c r="D260" s="1497"/>
      <c r="E260" s="1497"/>
      <c r="F260" s="1497"/>
      <c r="G260" s="1497"/>
      <c r="H260" s="1497"/>
      <c r="I260" s="1497"/>
      <c r="J260" s="1497"/>
      <c r="K260" s="1497"/>
      <c r="L260" s="1497"/>
      <c r="M260" s="1497"/>
      <c r="N260" s="1497"/>
      <c r="O260" s="1497"/>
      <c r="P260" s="1497"/>
      <c r="Q260" s="1497"/>
      <c r="R260" s="1497"/>
      <c r="S260" s="1497"/>
      <c r="T260" s="1497"/>
      <c r="U260" s="1497"/>
      <c r="V260" s="1497"/>
      <c r="W260" s="1497"/>
      <c r="X260" s="1497"/>
      <c r="Y260" s="1497"/>
      <c r="Z260" s="1497"/>
    </row>
    <row r="261" spans="1:26" ht="12.75" customHeight="1">
      <c r="A261" s="1497"/>
      <c r="B261" s="1497"/>
      <c r="C261" s="1497"/>
      <c r="D261" s="1497"/>
      <c r="E261" s="1497"/>
      <c r="F261" s="1497"/>
      <c r="G261" s="1497"/>
      <c r="H261" s="1497"/>
      <c r="I261" s="1497"/>
      <c r="J261" s="1497"/>
      <c r="K261" s="1497"/>
      <c r="L261" s="1497"/>
      <c r="M261" s="1497"/>
      <c r="N261" s="1497"/>
      <c r="O261" s="1497"/>
      <c r="P261" s="1497"/>
      <c r="Q261" s="1497"/>
      <c r="R261" s="1497"/>
      <c r="S261" s="1497"/>
      <c r="T261" s="1497"/>
      <c r="U261" s="1497"/>
      <c r="V261" s="1497"/>
      <c r="W261" s="1497"/>
      <c r="X261" s="1497"/>
      <c r="Y261" s="1497"/>
      <c r="Z261" s="1497"/>
    </row>
    <row r="262" spans="1:26" ht="12.75" customHeight="1">
      <c r="A262" s="1497"/>
      <c r="B262" s="1497"/>
      <c r="C262" s="1497"/>
      <c r="D262" s="1497"/>
      <c r="E262" s="1497"/>
      <c r="F262" s="1497"/>
      <c r="G262" s="1497"/>
      <c r="H262" s="1497"/>
      <c r="I262" s="1497"/>
      <c r="J262" s="1497"/>
      <c r="K262" s="1497"/>
      <c r="L262" s="1497"/>
      <c r="M262" s="1497"/>
      <c r="N262" s="1497"/>
      <c r="O262" s="1497"/>
      <c r="P262" s="1497"/>
      <c r="Q262" s="1497"/>
      <c r="R262" s="1497"/>
      <c r="S262" s="1497"/>
      <c r="T262" s="1497"/>
      <c r="U262" s="1497"/>
      <c r="V262" s="1497"/>
      <c r="W262" s="1497"/>
      <c r="X262" s="1497"/>
      <c r="Y262" s="1497"/>
      <c r="Z262" s="1497"/>
    </row>
    <row r="263" spans="1:26" ht="12.75" customHeight="1">
      <c r="A263" s="1497"/>
      <c r="B263" s="1497"/>
      <c r="C263" s="1497"/>
      <c r="D263" s="1497"/>
      <c r="E263" s="1497"/>
      <c r="F263" s="1497"/>
      <c r="G263" s="1497"/>
      <c r="H263" s="1497"/>
      <c r="I263" s="1497"/>
      <c r="J263" s="1497"/>
      <c r="K263" s="1497"/>
      <c r="L263" s="1497"/>
      <c r="M263" s="1497"/>
      <c r="N263" s="1497"/>
      <c r="O263" s="1497"/>
      <c r="P263" s="1497"/>
      <c r="Q263" s="1497"/>
      <c r="R263" s="1497"/>
      <c r="S263" s="1497"/>
      <c r="T263" s="1497"/>
      <c r="U263" s="1497"/>
      <c r="V263" s="1497"/>
      <c r="W263" s="1497"/>
      <c r="X263" s="1497"/>
      <c r="Y263" s="1497"/>
      <c r="Z263" s="1497"/>
    </row>
    <row r="264" spans="1:26" ht="12.75" customHeight="1">
      <c r="A264" s="1497"/>
      <c r="B264" s="1497"/>
      <c r="C264" s="1497"/>
      <c r="D264" s="1497"/>
      <c r="E264" s="1497"/>
      <c r="F264" s="1497"/>
      <c r="G264" s="1497"/>
      <c r="H264" s="1497"/>
      <c r="I264" s="1497"/>
      <c r="J264" s="1497"/>
      <c r="K264" s="1497"/>
      <c r="L264" s="1497"/>
      <c r="M264" s="1497"/>
      <c r="N264" s="1497"/>
      <c r="O264" s="1497"/>
      <c r="P264" s="1497"/>
      <c r="Q264" s="1497"/>
      <c r="R264" s="1497"/>
      <c r="S264" s="1497"/>
      <c r="T264" s="1497"/>
      <c r="U264" s="1497"/>
      <c r="V264" s="1497"/>
      <c r="W264" s="1497"/>
      <c r="X264" s="1497"/>
      <c r="Y264" s="1497"/>
      <c r="Z264" s="1497"/>
    </row>
    <row r="265" spans="1:26" ht="12.75" customHeight="1">
      <c r="A265" s="1497"/>
      <c r="B265" s="1497"/>
      <c r="C265" s="1497"/>
      <c r="D265" s="1497"/>
      <c r="E265" s="1497"/>
      <c r="F265" s="1497"/>
      <c r="G265" s="1497"/>
      <c r="H265" s="1497"/>
      <c r="I265" s="1497"/>
      <c r="J265" s="1497"/>
      <c r="K265" s="1497"/>
      <c r="L265" s="1497"/>
      <c r="M265" s="1497"/>
      <c r="N265" s="1497"/>
      <c r="O265" s="1497"/>
      <c r="P265" s="1497"/>
      <c r="Q265" s="1497"/>
      <c r="R265" s="1497"/>
      <c r="S265" s="1497"/>
      <c r="T265" s="1497"/>
      <c r="U265" s="1497"/>
      <c r="V265" s="1497"/>
      <c r="W265" s="1497"/>
      <c r="X265" s="1497"/>
      <c r="Y265" s="1497"/>
      <c r="Z265" s="1497"/>
    </row>
    <row r="266" spans="1:26" ht="12.75" customHeight="1">
      <c r="A266" s="1497"/>
      <c r="B266" s="1497"/>
      <c r="C266" s="1497"/>
      <c r="D266" s="1497"/>
      <c r="E266" s="1497"/>
      <c r="F266" s="1497"/>
      <c r="G266" s="1497"/>
      <c r="H266" s="1497"/>
      <c r="I266" s="1497"/>
      <c r="J266" s="1497"/>
      <c r="K266" s="1497"/>
      <c r="L266" s="1497"/>
      <c r="M266" s="1497"/>
      <c r="N266" s="1497"/>
      <c r="O266" s="1497"/>
      <c r="P266" s="1497"/>
      <c r="Q266" s="1497"/>
      <c r="R266" s="1497"/>
      <c r="S266" s="1497"/>
      <c r="T266" s="1497"/>
      <c r="U266" s="1497"/>
      <c r="V266" s="1497"/>
      <c r="W266" s="1497"/>
      <c r="X266" s="1497"/>
      <c r="Y266" s="1497"/>
      <c r="Z266" s="1497"/>
    </row>
    <row r="267" spans="1:26" ht="12.75" customHeight="1">
      <c r="A267" s="1497"/>
      <c r="B267" s="1497"/>
      <c r="C267" s="1497"/>
      <c r="D267" s="1497"/>
      <c r="E267" s="1497"/>
      <c r="F267" s="1497"/>
      <c r="G267" s="1497"/>
      <c r="H267" s="1497"/>
      <c r="I267" s="1497"/>
      <c r="J267" s="1497"/>
      <c r="K267" s="1497"/>
      <c r="L267" s="1497"/>
      <c r="M267" s="1497"/>
      <c r="N267" s="1497"/>
      <c r="O267" s="1497"/>
      <c r="P267" s="1497"/>
      <c r="Q267" s="1497"/>
      <c r="R267" s="1497"/>
      <c r="S267" s="1497"/>
      <c r="T267" s="1497"/>
      <c r="U267" s="1497"/>
      <c r="V267" s="1497"/>
      <c r="W267" s="1497"/>
      <c r="X267" s="1497"/>
      <c r="Y267" s="1497"/>
      <c r="Z267" s="1497"/>
    </row>
    <row r="268" spans="1:26" ht="12.75" customHeight="1">
      <c r="A268" s="1497"/>
      <c r="B268" s="1497"/>
      <c r="C268" s="1497"/>
      <c r="D268" s="1497"/>
      <c r="E268" s="1497"/>
      <c r="F268" s="1497"/>
      <c r="G268" s="1497"/>
      <c r="H268" s="1497"/>
      <c r="I268" s="1497"/>
      <c r="J268" s="1497"/>
      <c r="K268" s="1497"/>
      <c r="L268" s="1497"/>
      <c r="M268" s="1497"/>
      <c r="N268" s="1497"/>
      <c r="O268" s="1497"/>
      <c r="P268" s="1497"/>
      <c r="Q268" s="1497"/>
      <c r="R268" s="1497"/>
      <c r="S268" s="1497"/>
      <c r="T268" s="1497"/>
      <c r="U268" s="1497"/>
      <c r="V268" s="1497"/>
      <c r="W268" s="1497"/>
      <c r="X268" s="1497"/>
      <c r="Y268" s="1497"/>
      <c r="Z268" s="1497"/>
    </row>
    <row r="269" spans="1:26" ht="12.75" customHeight="1">
      <c r="A269" s="1497"/>
      <c r="B269" s="1497"/>
      <c r="C269" s="1497"/>
      <c r="D269" s="1497"/>
      <c r="E269" s="1497"/>
      <c r="F269" s="1497"/>
      <c r="G269" s="1497"/>
      <c r="H269" s="1497"/>
      <c r="I269" s="1497"/>
      <c r="J269" s="1497"/>
      <c r="K269" s="1497"/>
      <c r="L269" s="1497"/>
      <c r="M269" s="1497"/>
      <c r="N269" s="1497"/>
      <c r="O269" s="1497"/>
      <c r="P269" s="1497"/>
      <c r="Q269" s="1497"/>
      <c r="R269" s="1497"/>
      <c r="S269" s="1497"/>
      <c r="T269" s="1497"/>
      <c r="U269" s="1497"/>
      <c r="V269" s="1497"/>
      <c r="W269" s="1497"/>
      <c r="X269" s="1497"/>
      <c r="Y269" s="1497"/>
      <c r="Z269" s="1497"/>
    </row>
    <row r="270" spans="1:26" ht="12.75" customHeight="1">
      <c r="A270" s="1497"/>
      <c r="B270" s="1497"/>
      <c r="C270" s="1497"/>
      <c r="D270" s="1497"/>
      <c r="E270" s="1497"/>
      <c r="F270" s="1497"/>
      <c r="G270" s="1497"/>
      <c r="H270" s="1497"/>
      <c r="I270" s="1497"/>
      <c r="J270" s="1497"/>
      <c r="K270" s="1497"/>
      <c r="L270" s="1497"/>
      <c r="M270" s="1497"/>
      <c r="N270" s="1497"/>
      <c r="O270" s="1497"/>
      <c r="P270" s="1497"/>
      <c r="Q270" s="1497"/>
      <c r="R270" s="1497"/>
      <c r="S270" s="1497"/>
      <c r="T270" s="1497"/>
      <c r="U270" s="1497"/>
      <c r="V270" s="1497"/>
      <c r="W270" s="1497"/>
      <c r="X270" s="1497"/>
      <c r="Y270" s="1497"/>
      <c r="Z270" s="1497"/>
    </row>
    <row r="271" spans="1:26" ht="12.75" customHeight="1">
      <c r="A271" s="1497"/>
      <c r="B271" s="1497"/>
      <c r="C271" s="1497"/>
      <c r="D271" s="1497"/>
      <c r="E271" s="1497"/>
      <c r="F271" s="1497"/>
      <c r="G271" s="1497"/>
      <c r="H271" s="1497"/>
      <c r="I271" s="1497"/>
      <c r="J271" s="1497"/>
      <c r="K271" s="1497"/>
      <c r="L271" s="1497"/>
      <c r="M271" s="1497"/>
      <c r="N271" s="1497"/>
      <c r="O271" s="1497"/>
      <c r="P271" s="1497"/>
      <c r="Q271" s="1497"/>
      <c r="R271" s="1497"/>
      <c r="S271" s="1497"/>
      <c r="T271" s="1497"/>
      <c r="U271" s="1497"/>
      <c r="V271" s="1497"/>
      <c r="W271" s="1497"/>
      <c r="X271" s="1497"/>
      <c r="Y271" s="1497"/>
      <c r="Z271" s="1497"/>
    </row>
    <row r="272" spans="1:26" ht="12.75" customHeight="1">
      <c r="A272" s="1497"/>
      <c r="B272" s="1497"/>
      <c r="C272" s="1497"/>
      <c r="D272" s="1497"/>
      <c r="E272" s="1497"/>
      <c r="F272" s="1497"/>
      <c r="G272" s="1497"/>
      <c r="H272" s="1497"/>
      <c r="I272" s="1497"/>
      <c r="J272" s="1497"/>
      <c r="K272" s="1497"/>
      <c r="L272" s="1497"/>
      <c r="M272" s="1497"/>
      <c r="N272" s="1497"/>
      <c r="O272" s="1497"/>
      <c r="P272" s="1497"/>
      <c r="Q272" s="1497"/>
      <c r="R272" s="1497"/>
      <c r="S272" s="1497"/>
      <c r="T272" s="1497"/>
      <c r="U272" s="1497"/>
      <c r="V272" s="1497"/>
      <c r="W272" s="1497"/>
      <c r="X272" s="1497"/>
      <c r="Y272" s="1497"/>
      <c r="Z272" s="1497"/>
    </row>
    <row r="273" spans="1:26" ht="12.75" customHeight="1">
      <c r="A273" s="1497"/>
      <c r="B273" s="1497"/>
      <c r="C273" s="1497"/>
      <c r="D273" s="1497"/>
      <c r="E273" s="1497"/>
      <c r="F273" s="1497"/>
      <c r="G273" s="1497"/>
      <c r="H273" s="1497"/>
      <c r="I273" s="1497"/>
      <c r="J273" s="1497"/>
      <c r="K273" s="1497"/>
      <c r="L273" s="1497"/>
      <c r="M273" s="1497"/>
      <c r="N273" s="1497"/>
      <c r="O273" s="1497"/>
      <c r="P273" s="1497"/>
      <c r="Q273" s="1497"/>
      <c r="R273" s="1497"/>
      <c r="S273" s="1497"/>
      <c r="T273" s="1497"/>
      <c r="U273" s="1497"/>
      <c r="V273" s="1497"/>
      <c r="W273" s="1497"/>
      <c r="X273" s="1497"/>
      <c r="Y273" s="1497"/>
      <c r="Z273" s="1497"/>
    </row>
    <row r="274" spans="1:26" ht="12.75" customHeight="1">
      <c r="A274" s="1497"/>
      <c r="B274" s="1497"/>
      <c r="C274" s="1497"/>
      <c r="D274" s="1497"/>
      <c r="E274" s="1497"/>
      <c r="F274" s="1497"/>
      <c r="G274" s="1497"/>
      <c r="H274" s="1497"/>
      <c r="I274" s="1497"/>
      <c r="J274" s="1497"/>
      <c r="K274" s="1497"/>
      <c r="L274" s="1497"/>
      <c r="M274" s="1497"/>
      <c r="N274" s="1497"/>
      <c r="O274" s="1497"/>
      <c r="P274" s="1497"/>
      <c r="Q274" s="1497"/>
      <c r="R274" s="1497"/>
      <c r="S274" s="1497"/>
      <c r="T274" s="1497"/>
      <c r="U274" s="1497"/>
      <c r="V274" s="1497"/>
      <c r="W274" s="1497"/>
      <c r="X274" s="1497"/>
      <c r="Y274" s="1497"/>
      <c r="Z274" s="1497"/>
    </row>
    <row r="275" spans="1:26" ht="12.75" customHeight="1">
      <c r="A275" s="1497"/>
      <c r="B275" s="1497"/>
      <c r="C275" s="1497"/>
      <c r="D275" s="1497"/>
      <c r="E275" s="1497"/>
      <c r="F275" s="1497"/>
      <c r="G275" s="1497"/>
      <c r="H275" s="1497"/>
      <c r="I275" s="1497"/>
      <c r="J275" s="1497"/>
      <c r="K275" s="1497"/>
      <c r="L275" s="1497"/>
      <c r="M275" s="1497"/>
      <c r="N275" s="1497"/>
      <c r="O275" s="1497"/>
      <c r="P275" s="1497"/>
      <c r="Q275" s="1497"/>
      <c r="R275" s="1497"/>
      <c r="S275" s="1497"/>
      <c r="T275" s="1497"/>
      <c r="U275" s="1497"/>
      <c r="V275" s="1497"/>
      <c r="W275" s="1497"/>
      <c r="X275" s="1497"/>
      <c r="Y275" s="1497"/>
      <c r="Z275" s="1497"/>
    </row>
    <row r="276" spans="1:26" ht="12.75" customHeight="1">
      <c r="A276" s="1497"/>
      <c r="B276" s="1497"/>
      <c r="C276" s="1497"/>
      <c r="D276" s="1497"/>
      <c r="E276" s="1497"/>
      <c r="F276" s="1497"/>
      <c r="G276" s="1497"/>
      <c r="H276" s="1497"/>
      <c r="I276" s="1497"/>
      <c r="J276" s="1497"/>
      <c r="K276" s="1497"/>
      <c r="L276" s="1497"/>
      <c r="M276" s="1497"/>
      <c r="N276" s="1497"/>
      <c r="O276" s="1497"/>
      <c r="P276" s="1497"/>
      <c r="Q276" s="1497"/>
      <c r="R276" s="1497"/>
      <c r="S276" s="1497"/>
      <c r="T276" s="1497"/>
      <c r="U276" s="1497"/>
      <c r="V276" s="1497"/>
      <c r="W276" s="1497"/>
      <c r="X276" s="1497"/>
      <c r="Y276" s="1497"/>
      <c r="Z276" s="1497"/>
    </row>
    <row r="277" spans="1:26" ht="12.75" customHeight="1">
      <c r="A277" s="1497"/>
      <c r="B277" s="1497"/>
      <c r="C277" s="1497"/>
      <c r="D277" s="1497"/>
      <c r="E277" s="1497"/>
      <c r="F277" s="1497"/>
      <c r="G277" s="1497"/>
      <c r="H277" s="1497"/>
      <c r="I277" s="1497"/>
      <c r="J277" s="1497"/>
      <c r="K277" s="1497"/>
      <c r="L277" s="1497"/>
      <c r="M277" s="1497"/>
      <c r="N277" s="1497"/>
      <c r="O277" s="1497"/>
      <c r="P277" s="1497"/>
      <c r="Q277" s="1497"/>
      <c r="R277" s="1497"/>
      <c r="S277" s="1497"/>
      <c r="T277" s="1497"/>
      <c r="U277" s="1497"/>
      <c r="V277" s="1497"/>
      <c r="W277" s="1497"/>
      <c r="X277" s="1497"/>
      <c r="Y277" s="1497"/>
      <c r="Z277" s="1497"/>
    </row>
    <row r="278" spans="1:26" ht="12.75" customHeight="1">
      <c r="A278" s="1497"/>
      <c r="B278" s="1497"/>
      <c r="C278" s="1497"/>
      <c r="D278" s="1497"/>
      <c r="E278" s="1497"/>
      <c r="F278" s="1497"/>
      <c r="G278" s="1497"/>
      <c r="H278" s="1497"/>
      <c r="I278" s="1497"/>
      <c r="J278" s="1497"/>
      <c r="K278" s="1497"/>
      <c r="L278" s="1497"/>
      <c r="M278" s="1497"/>
      <c r="N278" s="1497"/>
      <c r="O278" s="1497"/>
      <c r="P278" s="1497"/>
      <c r="Q278" s="1497"/>
      <c r="R278" s="1497"/>
      <c r="S278" s="1497"/>
      <c r="T278" s="1497"/>
      <c r="U278" s="1497"/>
      <c r="V278" s="1497"/>
      <c r="W278" s="1497"/>
      <c r="X278" s="1497"/>
      <c r="Y278" s="1497"/>
      <c r="Z278" s="1497"/>
    </row>
    <row r="279" spans="1:26" ht="12.75" customHeight="1">
      <c r="A279" s="1497"/>
      <c r="B279" s="1497"/>
      <c r="C279" s="1497"/>
      <c r="D279" s="1497"/>
      <c r="E279" s="1497"/>
      <c r="F279" s="1497"/>
      <c r="G279" s="1497"/>
      <c r="H279" s="1497"/>
      <c r="I279" s="1497"/>
      <c r="J279" s="1497"/>
      <c r="K279" s="1497"/>
      <c r="L279" s="1497"/>
      <c r="M279" s="1497"/>
      <c r="N279" s="1497"/>
      <c r="O279" s="1497"/>
      <c r="P279" s="1497"/>
      <c r="Q279" s="1497"/>
      <c r="R279" s="1497"/>
      <c r="S279" s="1497"/>
      <c r="T279" s="1497"/>
      <c r="U279" s="1497"/>
      <c r="V279" s="1497"/>
      <c r="W279" s="1497"/>
      <c r="X279" s="1497"/>
      <c r="Y279" s="1497"/>
      <c r="Z279" s="1497"/>
    </row>
    <row r="280" spans="1:26" ht="12.75" customHeight="1">
      <c r="A280" s="1497"/>
      <c r="B280" s="1497"/>
      <c r="C280" s="1497"/>
      <c r="D280" s="1497"/>
      <c r="E280" s="1497"/>
      <c r="F280" s="1497"/>
      <c r="G280" s="1497"/>
      <c r="H280" s="1497"/>
      <c r="I280" s="1497"/>
      <c r="J280" s="1497"/>
      <c r="K280" s="1497"/>
      <c r="L280" s="1497"/>
      <c r="M280" s="1497"/>
      <c r="N280" s="1497"/>
      <c r="O280" s="1497"/>
      <c r="P280" s="1497"/>
      <c r="Q280" s="1497"/>
      <c r="R280" s="1497"/>
      <c r="S280" s="1497"/>
      <c r="T280" s="1497"/>
      <c r="U280" s="1497"/>
      <c r="V280" s="1497"/>
      <c r="W280" s="1497"/>
      <c r="X280" s="1497"/>
      <c r="Y280" s="1497"/>
      <c r="Z280" s="1497"/>
    </row>
    <row r="281" spans="1:26" ht="12.75" customHeight="1">
      <c r="A281" s="1497"/>
      <c r="B281" s="1497"/>
      <c r="C281" s="1497"/>
      <c r="D281" s="1497"/>
      <c r="E281" s="1497"/>
      <c r="F281" s="1497"/>
      <c r="G281" s="1497"/>
      <c r="H281" s="1497"/>
      <c r="I281" s="1497"/>
      <c r="J281" s="1497"/>
      <c r="K281" s="1497"/>
      <c r="L281" s="1497"/>
      <c r="M281" s="1497"/>
      <c r="N281" s="1497"/>
      <c r="O281" s="1497"/>
      <c r="P281" s="1497"/>
      <c r="Q281" s="1497"/>
      <c r="R281" s="1497"/>
      <c r="S281" s="1497"/>
      <c r="T281" s="1497"/>
      <c r="U281" s="1497"/>
      <c r="V281" s="1497"/>
      <c r="W281" s="1497"/>
      <c r="X281" s="1497"/>
      <c r="Y281" s="1497"/>
      <c r="Z281" s="1497"/>
    </row>
    <row r="282" spans="1:26" ht="12.75" customHeight="1">
      <c r="A282" s="1497"/>
      <c r="B282" s="1497"/>
      <c r="C282" s="1497"/>
      <c r="D282" s="1497"/>
      <c r="E282" s="1497"/>
      <c r="F282" s="1497"/>
      <c r="G282" s="1497"/>
      <c r="H282" s="1497"/>
      <c r="I282" s="1497"/>
      <c r="J282" s="1497"/>
      <c r="K282" s="1497"/>
      <c r="L282" s="1497"/>
      <c r="M282" s="1497"/>
      <c r="N282" s="1497"/>
      <c r="O282" s="1497"/>
      <c r="P282" s="1497"/>
      <c r="Q282" s="1497"/>
      <c r="R282" s="1497"/>
      <c r="S282" s="1497"/>
      <c r="T282" s="1497"/>
      <c r="U282" s="1497"/>
      <c r="V282" s="1497"/>
      <c r="W282" s="1497"/>
      <c r="X282" s="1497"/>
      <c r="Y282" s="1497"/>
      <c r="Z282" s="1497"/>
    </row>
    <row r="283" spans="1:26" ht="12.75" customHeight="1">
      <c r="A283" s="1497"/>
      <c r="B283" s="1497"/>
      <c r="C283" s="1497"/>
      <c r="D283" s="1497"/>
      <c r="E283" s="1497"/>
      <c r="F283" s="1497"/>
      <c r="G283" s="1497"/>
      <c r="H283" s="1497"/>
      <c r="I283" s="1497"/>
      <c r="J283" s="1497"/>
      <c r="K283" s="1497"/>
      <c r="L283" s="1497"/>
      <c r="M283" s="1497"/>
      <c r="N283" s="1497"/>
      <c r="O283" s="1497"/>
      <c r="P283" s="1497"/>
      <c r="Q283" s="1497"/>
      <c r="R283" s="1497"/>
      <c r="S283" s="1497"/>
      <c r="T283" s="1497"/>
      <c r="U283" s="1497"/>
      <c r="V283" s="1497"/>
      <c r="W283" s="1497"/>
      <c r="X283" s="1497"/>
      <c r="Y283" s="1497"/>
      <c r="Z283" s="1497"/>
    </row>
    <row r="284" spans="1:26" ht="12.75" customHeight="1">
      <c r="A284" s="1497"/>
      <c r="B284" s="1497"/>
      <c r="C284" s="1497"/>
      <c r="D284" s="1497"/>
      <c r="E284" s="1497"/>
      <c r="F284" s="1497"/>
      <c r="G284" s="1497"/>
      <c r="H284" s="1497"/>
      <c r="I284" s="1497"/>
      <c r="J284" s="1497"/>
      <c r="K284" s="1497"/>
      <c r="L284" s="1497"/>
      <c r="M284" s="1497"/>
      <c r="N284" s="1497"/>
      <c r="O284" s="1497"/>
      <c r="P284" s="1497"/>
      <c r="Q284" s="1497"/>
      <c r="R284" s="1497"/>
      <c r="S284" s="1497"/>
      <c r="T284" s="1497"/>
      <c r="U284" s="1497"/>
      <c r="V284" s="1497"/>
      <c r="W284" s="1497"/>
      <c r="X284" s="1497"/>
      <c r="Y284" s="1497"/>
      <c r="Z284" s="1497"/>
    </row>
    <row r="285" spans="1:26" ht="12.75" customHeight="1">
      <c r="A285" s="1497"/>
      <c r="B285" s="1497"/>
      <c r="C285" s="1497"/>
      <c r="D285" s="1497"/>
      <c r="E285" s="1497"/>
      <c r="F285" s="1497"/>
      <c r="G285" s="1497"/>
      <c r="H285" s="1497"/>
      <c r="I285" s="1497"/>
      <c r="J285" s="1497"/>
      <c r="K285" s="1497"/>
      <c r="L285" s="1497"/>
      <c r="M285" s="1497"/>
      <c r="N285" s="1497"/>
      <c r="O285" s="1497"/>
      <c r="P285" s="1497"/>
      <c r="Q285" s="1497"/>
      <c r="R285" s="1497"/>
      <c r="S285" s="1497"/>
      <c r="T285" s="1497"/>
      <c r="U285" s="1497"/>
      <c r="V285" s="1497"/>
      <c r="W285" s="1497"/>
      <c r="X285" s="1497"/>
      <c r="Y285" s="1497"/>
      <c r="Z285" s="1497"/>
    </row>
    <row r="286" spans="1:26" ht="12.75" customHeight="1">
      <c r="A286" s="1497"/>
      <c r="B286" s="1497"/>
      <c r="C286" s="1497"/>
      <c r="D286" s="1497"/>
      <c r="E286" s="1497"/>
      <c r="F286" s="1497"/>
      <c r="G286" s="1497"/>
      <c r="H286" s="1497"/>
      <c r="I286" s="1497"/>
      <c r="J286" s="1497"/>
      <c r="K286" s="1497"/>
      <c r="L286" s="1497"/>
      <c r="M286" s="1497"/>
      <c r="N286" s="1497"/>
      <c r="O286" s="1497"/>
      <c r="P286" s="1497"/>
      <c r="Q286" s="1497"/>
      <c r="R286" s="1497"/>
      <c r="S286" s="1497"/>
      <c r="T286" s="1497"/>
      <c r="U286" s="1497"/>
      <c r="V286" s="1497"/>
      <c r="W286" s="1497"/>
      <c r="X286" s="1497"/>
      <c r="Y286" s="1497"/>
      <c r="Z286" s="1497"/>
    </row>
    <row r="287" spans="1:26" ht="12.75" customHeight="1">
      <c r="A287" s="1497"/>
      <c r="B287" s="1497"/>
      <c r="C287" s="1497"/>
      <c r="D287" s="1497"/>
      <c r="E287" s="1497"/>
      <c r="F287" s="1497"/>
      <c r="G287" s="1497"/>
      <c r="H287" s="1497"/>
      <c r="I287" s="1497"/>
      <c r="J287" s="1497"/>
      <c r="K287" s="1497"/>
      <c r="L287" s="1497"/>
      <c r="M287" s="1497"/>
      <c r="N287" s="1497"/>
      <c r="O287" s="1497"/>
      <c r="P287" s="1497"/>
      <c r="Q287" s="1497"/>
      <c r="R287" s="1497"/>
      <c r="S287" s="1497"/>
      <c r="T287" s="1497"/>
      <c r="U287" s="1497"/>
      <c r="V287" s="1497"/>
      <c r="W287" s="1497"/>
      <c r="X287" s="1497"/>
      <c r="Y287" s="1497"/>
      <c r="Z287" s="1497"/>
    </row>
    <row r="288" spans="1:26" ht="12.75" customHeight="1">
      <c r="A288" s="1497"/>
      <c r="B288" s="1497"/>
      <c r="C288" s="1497"/>
      <c r="D288" s="1497"/>
      <c r="E288" s="1497"/>
      <c r="F288" s="1497"/>
      <c r="G288" s="1497"/>
      <c r="H288" s="1497"/>
      <c r="I288" s="1497"/>
      <c r="J288" s="1497"/>
      <c r="K288" s="1497"/>
      <c r="L288" s="1497"/>
      <c r="M288" s="1497"/>
      <c r="N288" s="1497"/>
      <c r="O288" s="1497"/>
      <c r="P288" s="1497"/>
      <c r="Q288" s="1497"/>
      <c r="R288" s="1497"/>
      <c r="S288" s="1497"/>
      <c r="T288" s="1497"/>
      <c r="U288" s="1497"/>
      <c r="V288" s="1497"/>
      <c r="W288" s="1497"/>
      <c r="X288" s="1497"/>
      <c r="Y288" s="1497"/>
      <c r="Z288" s="1497"/>
    </row>
    <row r="289" spans="1:26" ht="12.75" customHeight="1">
      <c r="A289" s="1497"/>
      <c r="B289" s="1497"/>
      <c r="C289" s="1497"/>
      <c r="D289" s="1497"/>
      <c r="E289" s="1497"/>
      <c r="F289" s="1497"/>
      <c r="G289" s="1497"/>
      <c r="H289" s="1497"/>
      <c r="I289" s="1497"/>
      <c r="J289" s="1497"/>
      <c r="K289" s="1497"/>
      <c r="L289" s="1497"/>
      <c r="M289" s="1497"/>
      <c r="N289" s="1497"/>
      <c r="O289" s="1497"/>
      <c r="P289" s="1497"/>
      <c r="Q289" s="1497"/>
      <c r="R289" s="1497"/>
      <c r="S289" s="1497"/>
      <c r="T289" s="1497"/>
      <c r="U289" s="1497"/>
      <c r="V289" s="1497"/>
      <c r="W289" s="1497"/>
      <c r="X289" s="1497"/>
      <c r="Y289" s="1497"/>
      <c r="Z289" s="1497"/>
    </row>
    <row r="290" spans="1:26" ht="12.75" customHeight="1">
      <c r="A290" s="1497"/>
      <c r="B290" s="1497"/>
      <c r="C290" s="1497"/>
      <c r="D290" s="1497"/>
      <c r="E290" s="1497"/>
      <c r="F290" s="1497"/>
      <c r="G290" s="1497"/>
      <c r="H290" s="1497"/>
      <c r="I290" s="1497"/>
      <c r="J290" s="1497"/>
      <c r="K290" s="1497"/>
      <c r="L290" s="1497"/>
      <c r="M290" s="1497"/>
      <c r="N290" s="1497"/>
      <c r="O290" s="1497"/>
      <c r="P290" s="1497"/>
      <c r="Q290" s="1497"/>
      <c r="R290" s="1497"/>
      <c r="S290" s="1497"/>
      <c r="T290" s="1497"/>
      <c r="U290" s="1497"/>
      <c r="V290" s="1497"/>
      <c r="W290" s="1497"/>
      <c r="X290" s="1497"/>
      <c r="Y290" s="1497"/>
      <c r="Z290" s="1497"/>
    </row>
    <row r="291" spans="1:26" ht="12.75" customHeight="1">
      <c r="A291" s="1497"/>
      <c r="B291" s="1497"/>
      <c r="C291" s="1497"/>
      <c r="D291" s="1497"/>
      <c r="E291" s="1497"/>
      <c r="F291" s="1497"/>
      <c r="G291" s="1497"/>
      <c r="H291" s="1497"/>
      <c r="I291" s="1497"/>
      <c r="J291" s="1497"/>
      <c r="K291" s="1497"/>
      <c r="L291" s="1497"/>
      <c r="M291" s="1497"/>
      <c r="N291" s="1497"/>
      <c r="O291" s="1497"/>
      <c r="P291" s="1497"/>
      <c r="Q291" s="1497"/>
      <c r="R291" s="1497"/>
      <c r="S291" s="1497"/>
      <c r="T291" s="1497"/>
      <c r="U291" s="1497"/>
      <c r="V291" s="1497"/>
      <c r="W291" s="1497"/>
      <c r="X291" s="1497"/>
      <c r="Y291" s="1497"/>
      <c r="Z291" s="1497"/>
    </row>
    <row r="292" spans="1:26" ht="12.75" customHeight="1">
      <c r="A292" s="1497"/>
      <c r="B292" s="1497"/>
      <c r="C292" s="1497"/>
      <c r="D292" s="1497"/>
      <c r="E292" s="1497"/>
      <c r="F292" s="1497"/>
      <c r="G292" s="1497"/>
      <c r="H292" s="1497"/>
      <c r="I292" s="1497"/>
      <c r="J292" s="1497"/>
      <c r="K292" s="1497"/>
      <c r="L292" s="1497"/>
      <c r="M292" s="1497"/>
      <c r="N292" s="1497"/>
      <c r="O292" s="1497"/>
      <c r="P292" s="1497"/>
      <c r="Q292" s="1497"/>
      <c r="R292" s="1497"/>
      <c r="S292" s="1497"/>
      <c r="T292" s="1497"/>
      <c r="U292" s="1497"/>
      <c r="V292" s="1497"/>
      <c r="W292" s="1497"/>
      <c r="X292" s="1497"/>
      <c r="Y292" s="1497"/>
      <c r="Z292" s="1497"/>
    </row>
    <row r="293" spans="1:26" ht="12.75" customHeight="1">
      <c r="A293" s="1497"/>
      <c r="B293" s="1497"/>
      <c r="C293" s="1497"/>
      <c r="D293" s="1497"/>
      <c r="E293" s="1497"/>
      <c r="F293" s="1497"/>
      <c r="G293" s="1497"/>
      <c r="H293" s="1497"/>
      <c r="I293" s="1497"/>
      <c r="J293" s="1497"/>
      <c r="K293" s="1497"/>
      <c r="L293" s="1497"/>
      <c r="M293" s="1497"/>
      <c r="N293" s="1497"/>
      <c r="O293" s="1497"/>
      <c r="P293" s="1497"/>
      <c r="Q293" s="1497"/>
      <c r="R293" s="1497"/>
      <c r="S293" s="1497"/>
      <c r="T293" s="1497"/>
      <c r="U293" s="1497"/>
      <c r="V293" s="1497"/>
      <c r="W293" s="1497"/>
      <c r="X293" s="1497"/>
      <c r="Y293" s="1497"/>
      <c r="Z293" s="1497"/>
    </row>
    <row r="294" spans="1:26" ht="12.75" customHeight="1">
      <c r="A294" s="1497"/>
      <c r="B294" s="1497"/>
      <c r="C294" s="1497"/>
      <c r="D294" s="1497"/>
      <c r="E294" s="1497"/>
      <c r="F294" s="1497"/>
      <c r="G294" s="1497"/>
      <c r="H294" s="1497"/>
      <c r="I294" s="1497"/>
      <c r="J294" s="1497"/>
      <c r="K294" s="1497"/>
      <c r="L294" s="1497"/>
      <c r="M294" s="1497"/>
      <c r="N294" s="1497"/>
      <c r="O294" s="1497"/>
      <c r="P294" s="1497"/>
      <c r="Q294" s="1497"/>
      <c r="R294" s="1497"/>
      <c r="S294" s="1497"/>
      <c r="T294" s="1497"/>
      <c r="U294" s="1497"/>
      <c r="V294" s="1497"/>
      <c r="W294" s="1497"/>
      <c r="X294" s="1497"/>
      <c r="Y294" s="1497"/>
      <c r="Z294" s="1497"/>
    </row>
    <row r="295" spans="1:26" ht="12.75" customHeight="1">
      <c r="A295" s="1497"/>
      <c r="B295" s="1497"/>
      <c r="C295" s="1497"/>
      <c r="D295" s="1497"/>
      <c r="E295" s="1497"/>
      <c r="F295" s="1497"/>
      <c r="G295" s="1497"/>
      <c r="H295" s="1497"/>
      <c r="I295" s="1497"/>
      <c r="J295" s="1497"/>
      <c r="K295" s="1497"/>
      <c r="L295" s="1497"/>
      <c r="M295" s="1497"/>
      <c r="N295" s="1497"/>
      <c r="O295" s="1497"/>
      <c r="P295" s="1497"/>
      <c r="Q295" s="1497"/>
      <c r="R295" s="1497"/>
      <c r="S295" s="1497"/>
      <c r="T295" s="1497"/>
      <c r="U295" s="1497"/>
      <c r="V295" s="1497"/>
      <c r="W295" s="1497"/>
      <c r="X295" s="1497"/>
      <c r="Y295" s="1497"/>
      <c r="Z295" s="1497"/>
    </row>
    <row r="296" spans="1:26" ht="12.75" customHeight="1">
      <c r="A296" s="1497"/>
      <c r="B296" s="1497"/>
      <c r="C296" s="1497"/>
      <c r="D296" s="1497"/>
      <c r="E296" s="1497"/>
      <c r="F296" s="1497"/>
      <c r="G296" s="1497"/>
      <c r="H296" s="1497"/>
      <c r="I296" s="1497"/>
      <c r="J296" s="1497"/>
      <c r="K296" s="1497"/>
      <c r="L296" s="1497"/>
      <c r="M296" s="1497"/>
      <c r="N296" s="1497"/>
      <c r="O296" s="1497"/>
      <c r="P296" s="1497"/>
      <c r="Q296" s="1497"/>
      <c r="R296" s="1497"/>
      <c r="S296" s="1497"/>
      <c r="T296" s="1497"/>
      <c r="U296" s="1497"/>
      <c r="V296" s="1497"/>
      <c r="W296" s="1497"/>
      <c r="X296" s="1497"/>
      <c r="Y296" s="1497"/>
      <c r="Z296" s="1497"/>
    </row>
    <row r="297" spans="1:26" ht="12.75" customHeight="1">
      <c r="A297" s="1497"/>
      <c r="B297" s="1497"/>
      <c r="C297" s="1497"/>
      <c r="D297" s="1497"/>
      <c r="E297" s="1497"/>
      <c r="F297" s="1497"/>
      <c r="G297" s="1497"/>
      <c r="H297" s="1497"/>
      <c r="I297" s="1497"/>
      <c r="J297" s="1497"/>
      <c r="K297" s="1497"/>
      <c r="L297" s="1497"/>
      <c r="M297" s="1497"/>
      <c r="N297" s="1497"/>
      <c r="O297" s="1497"/>
      <c r="P297" s="1497"/>
      <c r="Q297" s="1497"/>
      <c r="R297" s="1497"/>
      <c r="S297" s="1497"/>
      <c r="T297" s="1497"/>
      <c r="U297" s="1497"/>
      <c r="V297" s="1497"/>
      <c r="W297" s="1497"/>
      <c r="X297" s="1497"/>
      <c r="Y297" s="1497"/>
      <c r="Z297" s="1497"/>
    </row>
    <row r="298" spans="1:26" ht="12.75" customHeight="1">
      <c r="A298" s="1497"/>
      <c r="B298" s="1497"/>
      <c r="C298" s="1497"/>
      <c r="D298" s="1497"/>
      <c r="E298" s="1497"/>
      <c r="F298" s="1497"/>
      <c r="G298" s="1497"/>
      <c r="H298" s="1497"/>
      <c r="I298" s="1497"/>
      <c r="J298" s="1497"/>
      <c r="K298" s="1497"/>
      <c r="L298" s="1497"/>
      <c r="M298" s="1497"/>
      <c r="N298" s="1497"/>
      <c r="O298" s="1497"/>
      <c r="P298" s="1497"/>
      <c r="Q298" s="1497"/>
      <c r="R298" s="1497"/>
      <c r="S298" s="1497"/>
      <c r="T298" s="1497"/>
      <c r="U298" s="1497"/>
      <c r="V298" s="1497"/>
      <c r="W298" s="1497"/>
      <c r="X298" s="1497"/>
      <c r="Y298" s="1497"/>
      <c r="Z298" s="1497"/>
    </row>
    <row r="299" spans="1:26" ht="12.75" customHeight="1">
      <c r="A299" s="1497"/>
      <c r="B299" s="1497"/>
      <c r="C299" s="1497"/>
      <c r="D299" s="1497"/>
      <c r="E299" s="1497"/>
      <c r="F299" s="1497"/>
      <c r="G299" s="1497"/>
      <c r="H299" s="1497"/>
      <c r="I299" s="1497"/>
      <c r="J299" s="1497"/>
      <c r="K299" s="1497"/>
      <c r="L299" s="1497"/>
      <c r="M299" s="1497"/>
      <c r="N299" s="1497"/>
      <c r="O299" s="1497"/>
      <c r="P299" s="1497"/>
      <c r="Q299" s="1497"/>
      <c r="R299" s="1497"/>
      <c r="S299" s="1497"/>
      <c r="T299" s="1497"/>
      <c r="U299" s="1497"/>
      <c r="V299" s="1497"/>
      <c r="W299" s="1497"/>
      <c r="X299" s="1497"/>
      <c r="Y299" s="1497"/>
      <c r="Z299" s="1497"/>
    </row>
    <row r="300" spans="1:26" ht="12.75" customHeight="1">
      <c r="A300" s="1497"/>
      <c r="B300" s="1497"/>
      <c r="C300" s="1497"/>
      <c r="D300" s="1497"/>
      <c r="E300" s="1497"/>
      <c r="F300" s="1497"/>
      <c r="G300" s="1497"/>
      <c r="H300" s="1497"/>
      <c r="I300" s="1497"/>
      <c r="J300" s="1497"/>
      <c r="K300" s="1497"/>
      <c r="L300" s="1497"/>
      <c r="M300" s="1497"/>
      <c r="N300" s="1497"/>
      <c r="O300" s="1497"/>
      <c r="P300" s="1497"/>
      <c r="Q300" s="1497"/>
      <c r="R300" s="1497"/>
      <c r="S300" s="1497"/>
      <c r="T300" s="1497"/>
      <c r="U300" s="1497"/>
      <c r="V300" s="1497"/>
      <c r="W300" s="1497"/>
      <c r="X300" s="1497"/>
      <c r="Y300" s="1497"/>
      <c r="Z300" s="1497"/>
    </row>
    <row r="301" spans="1:26" ht="12.75" customHeight="1">
      <c r="A301" s="1497"/>
      <c r="B301" s="1497"/>
      <c r="C301" s="1497"/>
      <c r="D301" s="1497"/>
      <c r="E301" s="1497"/>
      <c r="F301" s="1497"/>
      <c r="G301" s="1497"/>
      <c r="H301" s="1497"/>
      <c r="I301" s="1497"/>
      <c r="J301" s="1497"/>
      <c r="K301" s="1497"/>
      <c r="L301" s="1497"/>
      <c r="M301" s="1497"/>
      <c r="N301" s="1497"/>
      <c r="O301" s="1497"/>
      <c r="P301" s="1497"/>
      <c r="Q301" s="1497"/>
      <c r="R301" s="1497"/>
      <c r="S301" s="1497"/>
      <c r="T301" s="1497"/>
      <c r="U301" s="1497"/>
      <c r="V301" s="1497"/>
      <c r="W301" s="1497"/>
      <c r="X301" s="1497"/>
      <c r="Y301" s="1497"/>
      <c r="Z301" s="1497"/>
    </row>
    <row r="302" spans="1:26" ht="12.75" customHeight="1">
      <c r="A302" s="1497"/>
      <c r="B302" s="1497"/>
      <c r="C302" s="1497"/>
      <c r="D302" s="1497"/>
      <c r="E302" s="1497"/>
      <c r="F302" s="1497"/>
      <c r="G302" s="1497"/>
      <c r="H302" s="1497"/>
      <c r="I302" s="1497"/>
      <c r="J302" s="1497"/>
      <c r="K302" s="1497"/>
      <c r="L302" s="1497"/>
      <c r="M302" s="1497"/>
      <c r="N302" s="1497"/>
      <c r="O302" s="1497"/>
      <c r="P302" s="1497"/>
      <c r="Q302" s="1497"/>
      <c r="R302" s="1497"/>
      <c r="S302" s="1497"/>
      <c r="T302" s="1497"/>
      <c r="U302" s="1497"/>
      <c r="V302" s="1497"/>
      <c r="W302" s="1497"/>
      <c r="X302" s="1497"/>
      <c r="Y302" s="1497"/>
      <c r="Z302" s="1497"/>
    </row>
    <row r="303" spans="1:26" ht="12.75" customHeight="1">
      <c r="A303" s="1497"/>
      <c r="B303" s="1497"/>
      <c r="C303" s="1497"/>
      <c r="D303" s="1497"/>
      <c r="E303" s="1497"/>
      <c r="F303" s="1497"/>
      <c r="G303" s="1497"/>
      <c r="H303" s="1497"/>
      <c r="I303" s="1497"/>
      <c r="J303" s="1497"/>
      <c r="K303" s="1497"/>
      <c r="L303" s="1497"/>
      <c r="M303" s="1497"/>
      <c r="N303" s="1497"/>
      <c r="O303" s="1497"/>
      <c r="P303" s="1497"/>
      <c r="Q303" s="1497"/>
      <c r="R303" s="1497"/>
      <c r="S303" s="1497"/>
      <c r="T303" s="1497"/>
      <c r="U303" s="1497"/>
      <c r="V303" s="1497"/>
      <c r="W303" s="1497"/>
      <c r="X303" s="1497"/>
      <c r="Y303" s="1497"/>
      <c r="Z303" s="1497"/>
    </row>
    <row r="304" spans="1:26" ht="12.75" customHeight="1">
      <c r="A304" s="1497"/>
      <c r="B304" s="1497"/>
      <c r="C304" s="1497"/>
      <c r="D304" s="1497"/>
      <c r="E304" s="1497"/>
      <c r="F304" s="1497"/>
      <c r="G304" s="1497"/>
      <c r="H304" s="1497"/>
      <c r="I304" s="1497"/>
      <c r="J304" s="1497"/>
      <c r="K304" s="1497"/>
      <c r="L304" s="1497"/>
      <c r="M304" s="1497"/>
      <c r="N304" s="1497"/>
      <c r="O304" s="1497"/>
      <c r="P304" s="1497"/>
      <c r="Q304" s="1497"/>
      <c r="R304" s="1497"/>
      <c r="S304" s="1497"/>
      <c r="T304" s="1497"/>
      <c r="U304" s="1497"/>
      <c r="V304" s="1497"/>
      <c r="W304" s="1497"/>
      <c r="X304" s="1497"/>
      <c r="Y304" s="1497"/>
      <c r="Z304" s="1497"/>
    </row>
    <row r="305" spans="1:26" ht="12.75" customHeight="1">
      <c r="A305" s="1497"/>
      <c r="B305" s="1497"/>
      <c r="C305" s="1497"/>
      <c r="D305" s="1497"/>
      <c r="E305" s="1497"/>
      <c r="F305" s="1497"/>
      <c r="G305" s="1497"/>
      <c r="H305" s="1497"/>
      <c r="I305" s="1497"/>
      <c r="J305" s="1497"/>
      <c r="K305" s="1497"/>
      <c r="L305" s="1497"/>
      <c r="M305" s="1497"/>
      <c r="N305" s="1497"/>
      <c r="O305" s="1497"/>
      <c r="P305" s="1497"/>
      <c r="Q305" s="1497"/>
      <c r="R305" s="1497"/>
      <c r="S305" s="1497"/>
      <c r="T305" s="1497"/>
      <c r="U305" s="1497"/>
      <c r="V305" s="1497"/>
      <c r="W305" s="1497"/>
      <c r="X305" s="1497"/>
      <c r="Y305" s="1497"/>
      <c r="Z305" s="1497"/>
    </row>
    <row r="306" spans="1:26" ht="12.75" customHeight="1">
      <c r="A306" s="1497"/>
      <c r="B306" s="1497"/>
      <c r="C306" s="1497"/>
      <c r="D306" s="1497"/>
      <c r="E306" s="1497"/>
      <c r="F306" s="1497"/>
      <c r="G306" s="1497"/>
      <c r="H306" s="1497"/>
      <c r="I306" s="1497"/>
      <c r="J306" s="1497"/>
      <c r="K306" s="1497"/>
      <c r="L306" s="1497"/>
      <c r="M306" s="1497"/>
      <c r="N306" s="1497"/>
      <c r="O306" s="1497"/>
      <c r="P306" s="1497"/>
      <c r="Q306" s="1497"/>
      <c r="R306" s="1497"/>
      <c r="S306" s="1497"/>
      <c r="T306" s="1497"/>
      <c r="U306" s="1497"/>
      <c r="V306" s="1497"/>
      <c r="W306" s="1497"/>
      <c r="X306" s="1497"/>
      <c r="Y306" s="1497"/>
      <c r="Z306" s="1497"/>
    </row>
    <row r="307" spans="1:26" ht="12.75" customHeight="1">
      <c r="A307" s="1497"/>
      <c r="B307" s="1497"/>
      <c r="C307" s="1497"/>
      <c r="D307" s="1497"/>
      <c r="E307" s="1497"/>
      <c r="F307" s="1497"/>
      <c r="G307" s="1497"/>
      <c r="H307" s="1497"/>
      <c r="I307" s="1497"/>
      <c r="J307" s="1497"/>
      <c r="K307" s="1497"/>
      <c r="L307" s="1497"/>
      <c r="M307" s="1497"/>
      <c r="N307" s="1497"/>
      <c r="O307" s="1497"/>
      <c r="P307" s="1497"/>
      <c r="Q307" s="1497"/>
      <c r="R307" s="1497"/>
      <c r="S307" s="1497"/>
      <c r="T307" s="1497"/>
      <c r="U307" s="1497"/>
      <c r="V307" s="1497"/>
      <c r="W307" s="1497"/>
      <c r="X307" s="1497"/>
      <c r="Y307" s="1497"/>
      <c r="Z307" s="1497"/>
    </row>
    <row r="308" spans="1:26" ht="12.75" customHeight="1">
      <c r="A308" s="1497"/>
      <c r="B308" s="1497"/>
      <c r="C308" s="1497"/>
      <c r="D308" s="1497"/>
      <c r="E308" s="1497"/>
      <c r="F308" s="1497"/>
      <c r="G308" s="1497"/>
      <c r="H308" s="1497"/>
      <c r="I308" s="1497"/>
      <c r="J308" s="1497"/>
      <c r="K308" s="1497"/>
      <c r="L308" s="1497"/>
      <c r="M308" s="1497"/>
      <c r="N308" s="1497"/>
      <c r="O308" s="1497"/>
      <c r="P308" s="1497"/>
      <c r="Q308" s="1497"/>
      <c r="R308" s="1497"/>
      <c r="S308" s="1497"/>
      <c r="T308" s="1497"/>
      <c r="U308" s="1497"/>
      <c r="V308" s="1497"/>
      <c r="W308" s="1497"/>
      <c r="X308" s="1497"/>
      <c r="Y308" s="1497"/>
      <c r="Z308" s="1497"/>
    </row>
    <row r="309" spans="1:26" ht="12.75" customHeight="1">
      <c r="A309" s="1497"/>
      <c r="B309" s="1497"/>
      <c r="C309" s="1497"/>
      <c r="D309" s="1497"/>
      <c r="E309" s="1497"/>
      <c r="F309" s="1497"/>
      <c r="G309" s="1497"/>
      <c r="H309" s="1497"/>
      <c r="I309" s="1497"/>
      <c r="J309" s="1497"/>
      <c r="K309" s="1497"/>
      <c r="L309" s="1497"/>
      <c r="M309" s="1497"/>
      <c r="N309" s="1497"/>
      <c r="O309" s="1497"/>
      <c r="P309" s="1497"/>
      <c r="Q309" s="1497"/>
      <c r="R309" s="1497"/>
      <c r="S309" s="1497"/>
      <c r="T309" s="1497"/>
      <c r="U309" s="1497"/>
      <c r="V309" s="1497"/>
      <c r="W309" s="1497"/>
      <c r="X309" s="1497"/>
      <c r="Y309" s="1497"/>
      <c r="Z309" s="1497"/>
    </row>
    <row r="310" spans="1:26" ht="12.75" customHeight="1">
      <c r="A310" s="1497"/>
      <c r="B310" s="1497"/>
      <c r="C310" s="1497"/>
      <c r="D310" s="1497"/>
      <c r="E310" s="1497"/>
      <c r="F310" s="1497"/>
      <c r="G310" s="1497"/>
      <c r="H310" s="1497"/>
      <c r="I310" s="1497"/>
      <c r="J310" s="1497"/>
      <c r="K310" s="1497"/>
      <c r="L310" s="1497"/>
      <c r="M310" s="1497"/>
      <c r="N310" s="1497"/>
      <c r="O310" s="1497"/>
      <c r="P310" s="1497"/>
      <c r="Q310" s="1497"/>
      <c r="R310" s="1497"/>
      <c r="S310" s="1497"/>
      <c r="T310" s="1497"/>
      <c r="U310" s="1497"/>
      <c r="V310" s="1497"/>
      <c r="W310" s="1497"/>
      <c r="X310" s="1497"/>
      <c r="Y310" s="1497"/>
      <c r="Z310" s="1497"/>
    </row>
    <row r="311" spans="1:26" ht="12.75" customHeight="1">
      <c r="A311" s="1497"/>
      <c r="B311" s="1497"/>
      <c r="C311" s="1497"/>
      <c r="D311" s="1497"/>
      <c r="E311" s="1497"/>
      <c r="F311" s="1497"/>
      <c r="G311" s="1497"/>
      <c r="H311" s="1497"/>
      <c r="I311" s="1497"/>
      <c r="J311" s="1497"/>
      <c r="K311" s="1497"/>
      <c r="L311" s="1497"/>
      <c r="M311" s="1497"/>
      <c r="N311" s="1497"/>
      <c r="O311" s="1497"/>
      <c r="P311" s="1497"/>
      <c r="Q311" s="1497"/>
      <c r="R311" s="1497"/>
      <c r="S311" s="1497"/>
      <c r="T311" s="1497"/>
      <c r="U311" s="1497"/>
      <c r="V311" s="1497"/>
      <c r="W311" s="1497"/>
      <c r="X311" s="1497"/>
      <c r="Y311" s="1497"/>
      <c r="Z311" s="1497"/>
    </row>
    <row r="312" spans="1:26" ht="12.75" customHeight="1">
      <c r="A312" s="1497"/>
      <c r="B312" s="1497"/>
      <c r="C312" s="1497"/>
      <c r="D312" s="1497"/>
      <c r="E312" s="1497"/>
      <c r="F312" s="1497"/>
      <c r="G312" s="1497"/>
      <c r="H312" s="1497"/>
      <c r="I312" s="1497"/>
      <c r="J312" s="1497"/>
      <c r="K312" s="1497"/>
      <c r="L312" s="1497"/>
      <c r="M312" s="1497"/>
      <c r="N312" s="1497"/>
      <c r="O312" s="1497"/>
      <c r="P312" s="1497"/>
      <c r="Q312" s="1497"/>
      <c r="R312" s="1497"/>
      <c r="S312" s="1497"/>
      <c r="T312" s="1497"/>
      <c r="U312" s="1497"/>
      <c r="V312" s="1497"/>
      <c r="W312" s="1497"/>
      <c r="X312" s="1497"/>
      <c r="Y312" s="1497"/>
      <c r="Z312" s="1497"/>
    </row>
    <row r="313" spans="1:26" ht="12.75" customHeight="1">
      <c r="A313" s="1497"/>
      <c r="B313" s="1497"/>
      <c r="C313" s="1497"/>
      <c r="D313" s="1497"/>
      <c r="E313" s="1497"/>
      <c r="F313" s="1497"/>
      <c r="G313" s="1497"/>
      <c r="H313" s="1497"/>
      <c r="I313" s="1497"/>
      <c r="J313" s="1497"/>
      <c r="K313" s="1497"/>
      <c r="L313" s="1497"/>
      <c r="M313" s="1497"/>
      <c r="N313" s="1497"/>
      <c r="O313" s="1497"/>
      <c r="P313" s="1497"/>
      <c r="Q313" s="1497"/>
      <c r="R313" s="1497"/>
      <c r="S313" s="1497"/>
      <c r="T313" s="1497"/>
      <c r="U313" s="1497"/>
      <c r="V313" s="1497"/>
      <c r="W313" s="1497"/>
      <c r="X313" s="1497"/>
      <c r="Y313" s="1497"/>
      <c r="Z313" s="1497"/>
    </row>
    <row r="314" spans="1:26" ht="12.75" customHeight="1">
      <c r="A314" s="1497"/>
      <c r="B314" s="1497"/>
      <c r="C314" s="1497"/>
      <c r="D314" s="1497"/>
      <c r="E314" s="1497"/>
      <c r="F314" s="1497"/>
      <c r="G314" s="1497"/>
      <c r="H314" s="1497"/>
      <c r="I314" s="1497"/>
      <c r="J314" s="1497"/>
      <c r="K314" s="1497"/>
      <c r="L314" s="1497"/>
      <c r="M314" s="1497"/>
      <c r="N314" s="1497"/>
      <c r="O314" s="1497"/>
      <c r="P314" s="1497"/>
      <c r="Q314" s="1497"/>
      <c r="R314" s="1497"/>
      <c r="S314" s="1497"/>
      <c r="T314" s="1497"/>
      <c r="U314" s="1497"/>
      <c r="V314" s="1497"/>
      <c r="W314" s="1497"/>
      <c r="X314" s="1497"/>
      <c r="Y314" s="1497"/>
      <c r="Z314" s="1497"/>
    </row>
    <row r="315" spans="1:26" ht="12.75" customHeight="1">
      <c r="A315" s="1497"/>
      <c r="B315" s="1497"/>
      <c r="C315" s="1497"/>
      <c r="D315" s="1497"/>
      <c r="E315" s="1497"/>
      <c r="F315" s="1497"/>
      <c r="G315" s="1497"/>
      <c r="H315" s="1497"/>
      <c r="I315" s="1497"/>
      <c r="J315" s="1497"/>
      <c r="K315" s="1497"/>
      <c r="L315" s="1497"/>
      <c r="M315" s="1497"/>
      <c r="N315" s="1497"/>
      <c r="O315" s="1497"/>
      <c r="P315" s="1497"/>
      <c r="Q315" s="1497"/>
      <c r="R315" s="1497"/>
      <c r="S315" s="1497"/>
      <c r="T315" s="1497"/>
      <c r="U315" s="1497"/>
      <c r="V315" s="1497"/>
      <c r="W315" s="1497"/>
      <c r="X315" s="1497"/>
      <c r="Y315" s="1497"/>
      <c r="Z315" s="1497"/>
    </row>
    <row r="316" spans="1:26" ht="12.75" customHeight="1">
      <c r="A316" s="1497"/>
      <c r="B316" s="1497"/>
      <c r="C316" s="1497"/>
      <c r="D316" s="1497"/>
      <c r="E316" s="1497"/>
      <c r="F316" s="1497"/>
      <c r="G316" s="1497"/>
      <c r="H316" s="1497"/>
      <c r="I316" s="1497"/>
      <c r="J316" s="1497"/>
      <c r="K316" s="1497"/>
      <c r="L316" s="1497"/>
      <c r="M316" s="1497"/>
      <c r="N316" s="1497"/>
      <c r="O316" s="1497"/>
      <c r="P316" s="1497"/>
      <c r="Q316" s="1497"/>
      <c r="R316" s="1497"/>
      <c r="S316" s="1497"/>
      <c r="T316" s="1497"/>
      <c r="U316" s="1497"/>
      <c r="V316" s="1497"/>
      <c r="W316" s="1497"/>
      <c r="X316" s="1497"/>
      <c r="Y316" s="1497"/>
      <c r="Z316" s="1497"/>
    </row>
    <row r="317" spans="1:26" ht="12.75" customHeight="1">
      <c r="A317" s="1497"/>
      <c r="B317" s="1497"/>
      <c r="C317" s="1497"/>
      <c r="D317" s="1497"/>
      <c r="E317" s="1497"/>
      <c r="F317" s="1497"/>
      <c r="G317" s="1497"/>
      <c r="H317" s="1497"/>
      <c r="I317" s="1497"/>
      <c r="J317" s="1497"/>
      <c r="K317" s="1497"/>
      <c r="L317" s="1497"/>
      <c r="M317" s="1497"/>
      <c r="N317" s="1497"/>
      <c r="O317" s="1497"/>
      <c r="P317" s="1497"/>
      <c r="Q317" s="1497"/>
      <c r="R317" s="1497"/>
      <c r="S317" s="1497"/>
      <c r="T317" s="1497"/>
      <c r="U317" s="1497"/>
      <c r="V317" s="1497"/>
      <c r="W317" s="1497"/>
      <c r="X317" s="1497"/>
      <c r="Y317" s="1497"/>
      <c r="Z317" s="1497"/>
    </row>
    <row r="318" spans="1:26" ht="12.75" customHeight="1">
      <c r="A318" s="1497"/>
      <c r="B318" s="1497"/>
      <c r="C318" s="1497"/>
      <c r="D318" s="1497"/>
      <c r="E318" s="1497"/>
      <c r="F318" s="1497"/>
      <c r="G318" s="1497"/>
      <c r="H318" s="1497"/>
      <c r="I318" s="1497"/>
      <c r="J318" s="1497"/>
      <c r="K318" s="1497"/>
      <c r="L318" s="1497"/>
      <c r="M318" s="1497"/>
      <c r="N318" s="1497"/>
      <c r="O318" s="1497"/>
      <c r="P318" s="1497"/>
      <c r="Q318" s="1497"/>
      <c r="R318" s="1497"/>
      <c r="S318" s="1497"/>
      <c r="T318" s="1497"/>
      <c r="U318" s="1497"/>
      <c r="V318" s="1497"/>
      <c r="W318" s="1497"/>
      <c r="X318" s="1497"/>
      <c r="Y318" s="1497"/>
      <c r="Z318" s="1497"/>
    </row>
    <row r="319" spans="1:26" ht="12.75" customHeight="1">
      <c r="A319" s="1497"/>
      <c r="B319" s="1497"/>
      <c r="C319" s="1497"/>
      <c r="D319" s="1497"/>
      <c r="E319" s="1497"/>
      <c r="F319" s="1497"/>
      <c r="G319" s="1497"/>
      <c r="H319" s="1497"/>
      <c r="I319" s="1497"/>
      <c r="J319" s="1497"/>
      <c r="K319" s="1497"/>
      <c r="L319" s="1497"/>
      <c r="M319" s="1497"/>
      <c r="N319" s="1497"/>
      <c r="O319" s="1497"/>
      <c r="P319" s="1497"/>
      <c r="Q319" s="1497"/>
      <c r="R319" s="1497"/>
      <c r="S319" s="1497"/>
      <c r="T319" s="1497"/>
      <c r="U319" s="1497"/>
      <c r="V319" s="1497"/>
      <c r="W319" s="1497"/>
      <c r="X319" s="1497"/>
      <c r="Y319" s="1497"/>
      <c r="Z319" s="1497"/>
    </row>
    <row r="320" spans="1:26" ht="12.75" customHeight="1">
      <c r="A320" s="1497"/>
      <c r="B320" s="1497"/>
      <c r="C320" s="1497"/>
      <c r="D320" s="1497"/>
      <c r="E320" s="1497"/>
      <c r="F320" s="1497"/>
      <c r="G320" s="1497"/>
      <c r="H320" s="1497"/>
      <c r="I320" s="1497"/>
      <c r="J320" s="1497"/>
      <c r="K320" s="1497"/>
      <c r="L320" s="1497"/>
      <c r="M320" s="1497"/>
      <c r="N320" s="1497"/>
      <c r="O320" s="1497"/>
      <c r="P320" s="1497"/>
      <c r="Q320" s="1497"/>
      <c r="R320" s="1497"/>
      <c r="S320" s="1497"/>
      <c r="T320" s="1497"/>
      <c r="U320" s="1497"/>
      <c r="V320" s="1497"/>
      <c r="W320" s="1497"/>
      <c r="X320" s="1497"/>
      <c r="Y320" s="1497"/>
      <c r="Z320" s="1497"/>
    </row>
    <row r="321" spans="1:26" ht="12.75" customHeight="1">
      <c r="A321" s="1497"/>
      <c r="B321" s="1497"/>
      <c r="C321" s="1497"/>
      <c r="D321" s="1497"/>
      <c r="E321" s="1497"/>
      <c r="F321" s="1497"/>
      <c r="G321" s="1497"/>
      <c r="H321" s="1497"/>
      <c r="I321" s="1497"/>
      <c r="J321" s="1497"/>
      <c r="K321" s="1497"/>
      <c r="L321" s="1497"/>
      <c r="M321" s="1497"/>
      <c r="N321" s="1497"/>
      <c r="O321" s="1497"/>
      <c r="P321" s="1497"/>
      <c r="Q321" s="1497"/>
      <c r="R321" s="1497"/>
      <c r="S321" s="1497"/>
      <c r="T321" s="1497"/>
      <c r="U321" s="1497"/>
      <c r="V321" s="1497"/>
      <c r="W321" s="1497"/>
      <c r="X321" s="1497"/>
      <c r="Y321" s="1497"/>
      <c r="Z321" s="1497"/>
    </row>
    <row r="322" spans="1:26" ht="12.75" customHeight="1">
      <c r="A322" s="1497"/>
      <c r="B322" s="1497"/>
      <c r="C322" s="1497"/>
      <c r="D322" s="1497"/>
      <c r="E322" s="1497"/>
      <c r="F322" s="1497"/>
      <c r="G322" s="1497"/>
      <c r="H322" s="1497"/>
      <c r="I322" s="1497"/>
      <c r="J322" s="1497"/>
      <c r="K322" s="1497"/>
      <c r="L322" s="1497"/>
      <c r="M322" s="1497"/>
      <c r="N322" s="1497"/>
      <c r="O322" s="1497"/>
      <c r="P322" s="1497"/>
      <c r="Q322" s="1497"/>
      <c r="R322" s="1497"/>
      <c r="S322" s="1497"/>
      <c r="T322" s="1497"/>
      <c r="U322" s="1497"/>
      <c r="V322" s="1497"/>
      <c r="W322" s="1497"/>
      <c r="X322" s="1497"/>
      <c r="Y322" s="1497"/>
      <c r="Z322" s="1497"/>
    </row>
    <row r="323" spans="1:26" ht="12.75" customHeight="1">
      <c r="A323" s="1497"/>
      <c r="B323" s="1497"/>
      <c r="C323" s="1497"/>
      <c r="D323" s="1497"/>
      <c r="E323" s="1497"/>
      <c r="F323" s="1497"/>
      <c r="G323" s="1497"/>
      <c r="H323" s="1497"/>
      <c r="I323" s="1497"/>
      <c r="J323" s="1497"/>
      <c r="K323" s="1497"/>
      <c r="L323" s="1497"/>
      <c r="M323" s="1497"/>
      <c r="N323" s="1497"/>
      <c r="O323" s="1497"/>
      <c r="P323" s="1497"/>
      <c r="Q323" s="1497"/>
      <c r="R323" s="1497"/>
      <c r="S323" s="1497"/>
      <c r="T323" s="1497"/>
      <c r="U323" s="1497"/>
      <c r="V323" s="1497"/>
      <c r="W323" s="1497"/>
      <c r="X323" s="1497"/>
      <c r="Y323" s="1497"/>
      <c r="Z323" s="1497"/>
    </row>
    <row r="324" spans="1:26" ht="12.75" customHeight="1">
      <c r="A324" s="1497"/>
      <c r="B324" s="1497"/>
      <c r="C324" s="1497"/>
      <c r="D324" s="1497"/>
      <c r="E324" s="1497"/>
      <c r="F324" s="1497"/>
      <c r="G324" s="1497"/>
      <c r="H324" s="1497"/>
      <c r="I324" s="1497"/>
      <c r="J324" s="1497"/>
      <c r="K324" s="1497"/>
      <c r="L324" s="1497"/>
      <c r="M324" s="1497"/>
      <c r="N324" s="1497"/>
      <c r="O324" s="1497"/>
      <c r="P324" s="1497"/>
      <c r="Q324" s="1497"/>
      <c r="R324" s="1497"/>
      <c r="S324" s="1497"/>
      <c r="T324" s="1497"/>
      <c r="U324" s="1497"/>
      <c r="V324" s="1497"/>
      <c r="W324" s="1497"/>
      <c r="X324" s="1497"/>
      <c r="Y324" s="1497"/>
      <c r="Z324" s="1497"/>
    </row>
    <row r="325" spans="1:26" ht="12.75" customHeight="1">
      <c r="A325" s="1497"/>
      <c r="B325" s="1497"/>
      <c r="C325" s="1497"/>
      <c r="D325" s="1497"/>
      <c r="E325" s="1497"/>
      <c r="F325" s="1497"/>
      <c r="G325" s="1497"/>
      <c r="H325" s="1497"/>
      <c r="I325" s="1497"/>
      <c r="J325" s="1497"/>
      <c r="K325" s="1497"/>
      <c r="L325" s="1497"/>
      <c r="M325" s="1497"/>
      <c r="N325" s="1497"/>
      <c r="O325" s="1497"/>
      <c r="P325" s="1497"/>
      <c r="Q325" s="1497"/>
      <c r="R325" s="1497"/>
      <c r="S325" s="1497"/>
      <c r="T325" s="1497"/>
      <c r="U325" s="1497"/>
      <c r="V325" s="1497"/>
      <c r="W325" s="1497"/>
      <c r="X325" s="1497"/>
      <c r="Y325" s="1497"/>
      <c r="Z325" s="1497"/>
    </row>
    <row r="326" spans="1:26" ht="12.75" customHeight="1">
      <c r="A326" s="1497"/>
      <c r="B326" s="1497"/>
      <c r="C326" s="1497"/>
      <c r="D326" s="1497"/>
      <c r="E326" s="1497"/>
      <c r="F326" s="1497"/>
      <c r="G326" s="1497"/>
      <c r="H326" s="1497"/>
      <c r="I326" s="1497"/>
      <c r="J326" s="1497"/>
      <c r="K326" s="1497"/>
      <c r="L326" s="1497"/>
      <c r="M326" s="1497"/>
      <c r="N326" s="1497"/>
      <c r="O326" s="1497"/>
      <c r="P326" s="1497"/>
      <c r="Q326" s="1497"/>
      <c r="R326" s="1497"/>
      <c r="S326" s="1497"/>
      <c r="T326" s="1497"/>
      <c r="U326" s="1497"/>
      <c r="V326" s="1497"/>
      <c r="W326" s="1497"/>
      <c r="X326" s="1497"/>
      <c r="Y326" s="1497"/>
      <c r="Z326" s="1497"/>
    </row>
    <row r="327" spans="1:26" ht="12.75" customHeight="1">
      <c r="A327" s="1497"/>
      <c r="B327" s="1497"/>
      <c r="C327" s="1497"/>
      <c r="D327" s="1497"/>
      <c r="E327" s="1497"/>
      <c r="F327" s="1497"/>
      <c r="G327" s="1497"/>
      <c r="H327" s="1497"/>
      <c r="I327" s="1497"/>
      <c r="J327" s="1497"/>
      <c r="K327" s="1497"/>
      <c r="L327" s="1497"/>
      <c r="M327" s="1497"/>
      <c r="N327" s="1497"/>
      <c r="O327" s="1497"/>
      <c r="P327" s="1497"/>
      <c r="Q327" s="1497"/>
      <c r="R327" s="1497"/>
      <c r="S327" s="1497"/>
      <c r="T327" s="1497"/>
      <c r="U327" s="1497"/>
      <c r="V327" s="1497"/>
      <c r="W327" s="1497"/>
      <c r="X327" s="1497"/>
      <c r="Y327" s="1497"/>
      <c r="Z327" s="1497"/>
    </row>
    <row r="328" spans="1:26" ht="12.75" customHeight="1">
      <c r="A328" s="1497"/>
      <c r="B328" s="1497"/>
      <c r="C328" s="1497"/>
      <c r="D328" s="1497"/>
      <c r="E328" s="1497"/>
      <c r="F328" s="1497"/>
      <c r="G328" s="1497"/>
      <c r="H328" s="1497"/>
      <c r="I328" s="1497"/>
      <c r="J328" s="1497"/>
      <c r="K328" s="1497"/>
      <c r="L328" s="1497"/>
      <c r="M328" s="1497"/>
      <c r="N328" s="1497"/>
      <c r="O328" s="1497"/>
      <c r="P328" s="1497"/>
      <c r="Q328" s="1497"/>
      <c r="R328" s="1497"/>
      <c r="S328" s="1497"/>
      <c r="T328" s="1497"/>
      <c r="U328" s="1497"/>
      <c r="V328" s="1497"/>
      <c r="W328" s="1497"/>
      <c r="X328" s="1497"/>
      <c r="Y328" s="1497"/>
      <c r="Z328" s="1497"/>
    </row>
    <row r="329" spans="1:26" ht="12.75" customHeight="1">
      <c r="A329" s="1497"/>
      <c r="B329" s="1497"/>
      <c r="C329" s="1497"/>
      <c r="D329" s="1497"/>
      <c r="E329" s="1497"/>
      <c r="F329" s="1497"/>
      <c r="G329" s="1497"/>
      <c r="H329" s="1497"/>
      <c r="I329" s="1497"/>
      <c r="J329" s="1497"/>
      <c r="K329" s="1497"/>
      <c r="L329" s="1497"/>
      <c r="M329" s="1497"/>
      <c r="N329" s="1497"/>
      <c r="O329" s="1497"/>
      <c r="P329" s="1497"/>
      <c r="Q329" s="1497"/>
      <c r="R329" s="1497"/>
      <c r="S329" s="1497"/>
      <c r="T329" s="1497"/>
      <c r="U329" s="1497"/>
      <c r="V329" s="1497"/>
      <c r="W329" s="1497"/>
      <c r="X329" s="1497"/>
      <c r="Y329" s="1497"/>
      <c r="Z329" s="1497"/>
    </row>
    <row r="330" spans="1:26" ht="12.75" customHeight="1">
      <c r="A330" s="1497"/>
      <c r="B330" s="1497"/>
      <c r="C330" s="1497"/>
      <c r="D330" s="1497"/>
      <c r="E330" s="1497"/>
      <c r="F330" s="1497"/>
      <c r="G330" s="1497"/>
      <c r="H330" s="1497"/>
      <c r="I330" s="1497"/>
      <c r="J330" s="1497"/>
      <c r="K330" s="1497"/>
      <c r="L330" s="1497"/>
      <c r="M330" s="1497"/>
      <c r="N330" s="1497"/>
      <c r="O330" s="1497"/>
      <c r="P330" s="1497"/>
      <c r="Q330" s="1497"/>
      <c r="R330" s="1497"/>
      <c r="S330" s="1497"/>
      <c r="T330" s="1497"/>
      <c r="U330" s="1497"/>
      <c r="V330" s="1497"/>
      <c r="W330" s="1497"/>
      <c r="X330" s="1497"/>
      <c r="Y330" s="1497"/>
      <c r="Z330" s="1497"/>
    </row>
    <row r="331" spans="1:26" ht="12.75" customHeight="1">
      <c r="A331" s="1497"/>
      <c r="B331" s="1497"/>
      <c r="C331" s="1497"/>
      <c r="D331" s="1497"/>
      <c r="E331" s="1497"/>
      <c r="F331" s="1497"/>
      <c r="G331" s="1497"/>
      <c r="H331" s="1497"/>
      <c r="I331" s="1497"/>
      <c r="J331" s="1497"/>
      <c r="K331" s="1497"/>
      <c r="L331" s="1497"/>
      <c r="M331" s="1497"/>
      <c r="N331" s="1497"/>
      <c r="O331" s="1497"/>
      <c r="P331" s="1497"/>
      <c r="Q331" s="1497"/>
      <c r="R331" s="1497"/>
      <c r="S331" s="1497"/>
      <c r="T331" s="1497"/>
      <c r="U331" s="1497"/>
      <c r="V331" s="1497"/>
      <c r="W331" s="1497"/>
      <c r="X331" s="1497"/>
      <c r="Y331" s="1497"/>
      <c r="Z331" s="1497"/>
    </row>
    <row r="332" spans="1:26" ht="12.75" customHeight="1">
      <c r="A332" s="1497"/>
      <c r="B332" s="1497"/>
      <c r="C332" s="1497"/>
      <c r="D332" s="1497"/>
      <c r="E332" s="1497"/>
      <c r="F332" s="1497"/>
      <c r="G332" s="1497"/>
      <c r="H332" s="1497"/>
      <c r="I332" s="1497"/>
      <c r="J332" s="1497"/>
      <c r="K332" s="1497"/>
      <c r="L332" s="1497"/>
      <c r="M332" s="1497"/>
      <c r="N332" s="1497"/>
      <c r="O332" s="1497"/>
      <c r="P332" s="1497"/>
      <c r="Q332" s="1497"/>
      <c r="R332" s="1497"/>
      <c r="S332" s="1497"/>
      <c r="T332" s="1497"/>
      <c r="U332" s="1497"/>
      <c r="V332" s="1497"/>
      <c r="W332" s="1497"/>
      <c r="X332" s="1497"/>
      <c r="Y332" s="1497"/>
      <c r="Z332" s="1497"/>
    </row>
    <row r="333" spans="1:26" ht="12.75" customHeight="1">
      <c r="A333" s="1497"/>
      <c r="B333" s="1497"/>
      <c r="C333" s="1497"/>
      <c r="D333" s="1497"/>
      <c r="E333" s="1497"/>
      <c r="F333" s="1497"/>
      <c r="G333" s="1497"/>
      <c r="H333" s="1497"/>
      <c r="I333" s="1497"/>
      <c r="J333" s="1497"/>
      <c r="K333" s="1497"/>
      <c r="L333" s="1497"/>
      <c r="M333" s="1497"/>
      <c r="N333" s="1497"/>
      <c r="O333" s="1497"/>
      <c r="P333" s="1497"/>
      <c r="Q333" s="1497"/>
      <c r="R333" s="1497"/>
      <c r="S333" s="1497"/>
      <c r="T333" s="1497"/>
      <c r="U333" s="1497"/>
      <c r="V333" s="1497"/>
      <c r="W333" s="1497"/>
      <c r="X333" s="1497"/>
      <c r="Y333" s="1497"/>
      <c r="Z333" s="1497"/>
    </row>
    <row r="334" spans="1:26" ht="12.75" customHeight="1">
      <c r="A334" s="1497"/>
      <c r="B334" s="1497"/>
      <c r="C334" s="1497"/>
      <c r="D334" s="1497"/>
      <c r="E334" s="1497"/>
      <c r="F334" s="1497"/>
      <c r="G334" s="1497"/>
      <c r="H334" s="1497"/>
      <c r="I334" s="1497"/>
      <c r="J334" s="1497"/>
      <c r="K334" s="1497"/>
      <c r="L334" s="1497"/>
      <c r="M334" s="1497"/>
      <c r="N334" s="1497"/>
      <c r="O334" s="1497"/>
      <c r="P334" s="1497"/>
      <c r="Q334" s="1497"/>
      <c r="R334" s="1497"/>
      <c r="S334" s="1497"/>
      <c r="T334" s="1497"/>
      <c r="U334" s="1497"/>
      <c r="V334" s="1497"/>
      <c r="W334" s="1497"/>
      <c r="X334" s="1497"/>
      <c r="Y334" s="1497"/>
      <c r="Z334" s="1497"/>
    </row>
    <row r="335" spans="1:26" ht="12.75" customHeight="1">
      <c r="A335" s="1497"/>
      <c r="B335" s="1497"/>
      <c r="C335" s="1497"/>
      <c r="D335" s="1497"/>
      <c r="E335" s="1497"/>
      <c r="F335" s="1497"/>
      <c r="G335" s="1497"/>
      <c r="H335" s="1497"/>
      <c r="I335" s="1497"/>
      <c r="J335" s="1497"/>
      <c r="K335" s="1497"/>
      <c r="L335" s="1497"/>
      <c r="M335" s="1497"/>
      <c r="N335" s="1497"/>
      <c r="O335" s="1497"/>
      <c r="P335" s="1497"/>
      <c r="Q335" s="1497"/>
      <c r="R335" s="1497"/>
      <c r="S335" s="1497"/>
      <c r="T335" s="1497"/>
      <c r="U335" s="1497"/>
      <c r="V335" s="1497"/>
      <c r="W335" s="1497"/>
      <c r="X335" s="1497"/>
      <c r="Y335" s="1497"/>
      <c r="Z335" s="1497"/>
    </row>
    <row r="336" spans="1:26" ht="12.75" customHeight="1">
      <c r="A336" s="1497"/>
      <c r="B336" s="1497"/>
      <c r="C336" s="1497"/>
      <c r="D336" s="1497"/>
      <c r="E336" s="1497"/>
      <c r="F336" s="1497"/>
      <c r="G336" s="1497"/>
      <c r="H336" s="1497"/>
      <c r="I336" s="1497"/>
      <c r="J336" s="1497"/>
      <c r="K336" s="1497"/>
      <c r="L336" s="1497"/>
      <c r="M336" s="1497"/>
      <c r="N336" s="1497"/>
      <c r="O336" s="1497"/>
      <c r="P336" s="1497"/>
      <c r="Q336" s="1497"/>
      <c r="R336" s="1497"/>
      <c r="S336" s="1497"/>
      <c r="T336" s="1497"/>
      <c r="U336" s="1497"/>
      <c r="V336" s="1497"/>
      <c r="W336" s="1497"/>
      <c r="X336" s="1497"/>
      <c r="Y336" s="1497"/>
      <c r="Z336" s="1497"/>
    </row>
    <row r="337" spans="1:26" ht="12.75" customHeight="1">
      <c r="A337" s="1497"/>
      <c r="B337" s="1497"/>
      <c r="C337" s="1497"/>
      <c r="D337" s="1497"/>
      <c r="E337" s="1497"/>
      <c r="F337" s="1497"/>
      <c r="G337" s="1497"/>
      <c r="H337" s="1497"/>
      <c r="I337" s="1497"/>
      <c r="J337" s="1497"/>
      <c r="K337" s="1497"/>
      <c r="L337" s="1497"/>
      <c r="M337" s="1497"/>
      <c r="N337" s="1497"/>
      <c r="O337" s="1497"/>
      <c r="P337" s="1497"/>
      <c r="Q337" s="1497"/>
      <c r="R337" s="1497"/>
      <c r="S337" s="1497"/>
      <c r="T337" s="1497"/>
      <c r="U337" s="1497"/>
      <c r="V337" s="1497"/>
      <c r="W337" s="1497"/>
      <c r="X337" s="1497"/>
      <c r="Y337" s="1497"/>
      <c r="Z337" s="1497"/>
    </row>
    <row r="338" spans="1:26" ht="12.75" customHeight="1">
      <c r="A338" s="1497"/>
      <c r="B338" s="1497"/>
      <c r="C338" s="1497"/>
      <c r="D338" s="1497"/>
      <c r="E338" s="1497"/>
      <c r="F338" s="1497"/>
      <c r="G338" s="1497"/>
      <c r="H338" s="1497"/>
      <c r="I338" s="1497"/>
      <c r="J338" s="1497"/>
      <c r="K338" s="1497"/>
      <c r="L338" s="1497"/>
      <c r="M338" s="1497"/>
      <c r="N338" s="1497"/>
      <c r="O338" s="1497"/>
      <c r="P338" s="1497"/>
      <c r="Q338" s="1497"/>
      <c r="R338" s="1497"/>
      <c r="S338" s="1497"/>
      <c r="T338" s="1497"/>
      <c r="U338" s="1497"/>
      <c r="V338" s="1497"/>
      <c r="W338" s="1497"/>
      <c r="X338" s="1497"/>
      <c r="Y338" s="1497"/>
      <c r="Z338" s="1497"/>
    </row>
    <row r="339" spans="1:26" ht="12.75" customHeight="1">
      <c r="A339" s="1497"/>
      <c r="B339" s="1497"/>
      <c r="C339" s="1497"/>
      <c r="D339" s="1497"/>
      <c r="E339" s="1497"/>
      <c r="F339" s="1497"/>
      <c r="G339" s="1497"/>
      <c r="H339" s="1497"/>
      <c r="I339" s="1497"/>
      <c r="J339" s="1497"/>
      <c r="K339" s="1497"/>
      <c r="L339" s="1497"/>
      <c r="M339" s="1497"/>
      <c r="N339" s="1497"/>
      <c r="O339" s="1497"/>
      <c r="P339" s="1497"/>
      <c r="Q339" s="1497"/>
      <c r="R339" s="1497"/>
      <c r="S339" s="1497"/>
      <c r="T339" s="1497"/>
      <c r="U339" s="1497"/>
      <c r="V339" s="1497"/>
      <c r="W339" s="1497"/>
      <c r="X339" s="1497"/>
      <c r="Y339" s="1497"/>
      <c r="Z339" s="1497"/>
    </row>
    <row r="340" spans="1:26" ht="12.75" customHeight="1">
      <c r="A340" s="1497"/>
      <c r="B340" s="1497"/>
      <c r="C340" s="1497"/>
      <c r="D340" s="1497"/>
      <c r="E340" s="1497"/>
      <c r="F340" s="1497"/>
      <c r="G340" s="1497"/>
      <c r="H340" s="1497"/>
      <c r="I340" s="1497"/>
      <c r="J340" s="1497"/>
      <c r="K340" s="1497"/>
      <c r="L340" s="1497"/>
      <c r="M340" s="1497"/>
      <c r="N340" s="1497"/>
      <c r="O340" s="1497"/>
      <c r="P340" s="1497"/>
      <c r="Q340" s="1497"/>
      <c r="R340" s="1497"/>
      <c r="S340" s="1497"/>
      <c r="T340" s="1497"/>
      <c r="U340" s="1497"/>
      <c r="V340" s="1497"/>
      <c r="W340" s="1497"/>
      <c r="X340" s="1497"/>
      <c r="Y340" s="1497"/>
      <c r="Z340" s="1497"/>
    </row>
    <row r="341" spans="1:26" ht="12.75" customHeight="1">
      <c r="A341" s="1497"/>
      <c r="B341" s="1497"/>
      <c r="C341" s="1497"/>
      <c r="D341" s="1497"/>
      <c r="E341" s="1497"/>
      <c r="F341" s="1497"/>
      <c r="G341" s="1497"/>
      <c r="H341" s="1497"/>
      <c r="I341" s="1497"/>
      <c r="J341" s="1497"/>
      <c r="K341" s="1497"/>
      <c r="L341" s="1497"/>
      <c r="M341" s="1497"/>
      <c r="N341" s="1497"/>
      <c r="O341" s="1497"/>
      <c r="P341" s="1497"/>
      <c r="Q341" s="1497"/>
      <c r="R341" s="1497"/>
      <c r="S341" s="1497"/>
      <c r="T341" s="1497"/>
      <c r="U341" s="1497"/>
      <c r="V341" s="1497"/>
      <c r="W341" s="1497"/>
      <c r="X341" s="1497"/>
      <c r="Y341" s="1497"/>
      <c r="Z341" s="1497"/>
    </row>
    <row r="342" spans="1:26" ht="12.75" customHeight="1">
      <c r="A342" s="1497"/>
      <c r="B342" s="1497"/>
      <c r="C342" s="1497"/>
      <c r="D342" s="1497"/>
      <c r="E342" s="1497"/>
      <c r="F342" s="1497"/>
      <c r="G342" s="1497"/>
      <c r="H342" s="1497"/>
      <c r="I342" s="1497"/>
      <c r="J342" s="1497"/>
      <c r="K342" s="1497"/>
      <c r="L342" s="1497"/>
      <c r="M342" s="1497"/>
      <c r="N342" s="1497"/>
      <c r="O342" s="1497"/>
      <c r="P342" s="1497"/>
      <c r="Q342" s="1497"/>
      <c r="R342" s="1497"/>
      <c r="S342" s="1497"/>
      <c r="T342" s="1497"/>
      <c r="U342" s="1497"/>
      <c r="V342" s="1497"/>
      <c r="W342" s="1497"/>
      <c r="X342" s="1497"/>
      <c r="Y342" s="1497"/>
      <c r="Z342" s="1497"/>
    </row>
    <row r="343" spans="1:26" ht="12.75" customHeight="1">
      <c r="A343" s="1497"/>
      <c r="B343" s="1497"/>
      <c r="C343" s="1497"/>
      <c r="D343" s="1497"/>
      <c r="E343" s="1497"/>
      <c r="F343" s="1497"/>
      <c r="G343" s="1497"/>
      <c r="H343" s="1497"/>
      <c r="I343" s="1497"/>
      <c r="J343" s="1497"/>
      <c r="K343" s="1497"/>
      <c r="L343" s="1497"/>
      <c r="M343" s="1497"/>
      <c r="N343" s="1497"/>
      <c r="O343" s="1497"/>
      <c r="P343" s="1497"/>
      <c r="Q343" s="1497"/>
      <c r="R343" s="1497"/>
      <c r="S343" s="1497"/>
      <c r="T343" s="1497"/>
      <c r="U343" s="1497"/>
      <c r="V343" s="1497"/>
      <c r="W343" s="1497"/>
      <c r="X343" s="1497"/>
      <c r="Y343" s="1497"/>
      <c r="Z343" s="1497"/>
    </row>
    <row r="344" spans="1:26" ht="12.75" customHeight="1">
      <c r="A344" s="1497"/>
      <c r="B344" s="1497"/>
      <c r="C344" s="1497"/>
      <c r="D344" s="1497"/>
      <c r="E344" s="1497"/>
      <c r="F344" s="1497"/>
      <c r="G344" s="1497"/>
      <c r="H344" s="1497"/>
      <c r="I344" s="1497"/>
      <c r="J344" s="1497"/>
      <c r="K344" s="1497"/>
      <c r="L344" s="1497"/>
      <c r="M344" s="1497"/>
      <c r="N344" s="1497"/>
      <c r="O344" s="1497"/>
      <c r="P344" s="1497"/>
      <c r="Q344" s="1497"/>
      <c r="R344" s="1497"/>
      <c r="S344" s="1497"/>
      <c r="T344" s="1497"/>
      <c r="U344" s="1497"/>
      <c r="V344" s="1497"/>
      <c r="W344" s="1497"/>
      <c r="X344" s="1497"/>
      <c r="Y344" s="1497"/>
      <c r="Z344" s="1497"/>
    </row>
    <row r="345" spans="1:26" ht="12.75" customHeight="1">
      <c r="A345" s="1497"/>
      <c r="B345" s="1497"/>
      <c r="C345" s="1497"/>
      <c r="D345" s="1497"/>
      <c r="E345" s="1497"/>
      <c r="F345" s="1497"/>
      <c r="G345" s="1497"/>
      <c r="H345" s="1497"/>
      <c r="I345" s="1497"/>
      <c r="J345" s="1497"/>
      <c r="K345" s="1497"/>
      <c r="L345" s="1497"/>
      <c r="M345" s="1497"/>
      <c r="N345" s="1497"/>
      <c r="O345" s="1497"/>
      <c r="P345" s="1497"/>
      <c r="Q345" s="1497"/>
      <c r="R345" s="1497"/>
      <c r="S345" s="1497"/>
      <c r="T345" s="1497"/>
      <c r="U345" s="1497"/>
      <c r="V345" s="1497"/>
      <c r="W345" s="1497"/>
      <c r="X345" s="1497"/>
      <c r="Y345" s="1497"/>
      <c r="Z345" s="1497"/>
    </row>
    <row r="346" spans="1:26" ht="12.75" customHeight="1">
      <c r="A346" s="1497"/>
      <c r="B346" s="1497"/>
      <c r="C346" s="1497"/>
      <c r="D346" s="1497"/>
      <c r="E346" s="1497"/>
      <c r="F346" s="1497"/>
      <c r="G346" s="1497"/>
      <c r="H346" s="1497"/>
      <c r="I346" s="1497"/>
      <c r="J346" s="1497"/>
      <c r="K346" s="1497"/>
      <c r="L346" s="1497"/>
      <c r="M346" s="1497"/>
      <c r="N346" s="1497"/>
      <c r="O346" s="1497"/>
      <c r="P346" s="1497"/>
      <c r="Q346" s="1497"/>
      <c r="R346" s="1497"/>
      <c r="S346" s="1497"/>
      <c r="T346" s="1497"/>
      <c r="U346" s="1497"/>
      <c r="V346" s="1497"/>
      <c r="W346" s="1497"/>
      <c r="X346" s="1497"/>
      <c r="Y346" s="1497"/>
      <c r="Z346" s="1497"/>
    </row>
    <row r="347" spans="1:26" ht="12.75" customHeight="1">
      <c r="A347" s="1497"/>
      <c r="B347" s="1497"/>
      <c r="C347" s="1497"/>
      <c r="D347" s="1497"/>
      <c r="E347" s="1497"/>
      <c r="F347" s="1497"/>
      <c r="G347" s="1497"/>
      <c r="H347" s="1497"/>
      <c r="I347" s="1497"/>
      <c r="J347" s="1497"/>
      <c r="K347" s="1497"/>
      <c r="L347" s="1497"/>
      <c r="M347" s="1497"/>
      <c r="N347" s="1497"/>
      <c r="O347" s="1497"/>
      <c r="P347" s="1497"/>
      <c r="Q347" s="1497"/>
      <c r="R347" s="1497"/>
      <c r="S347" s="1497"/>
      <c r="T347" s="1497"/>
      <c r="U347" s="1497"/>
      <c r="V347" s="1497"/>
      <c r="W347" s="1497"/>
      <c r="X347" s="1497"/>
      <c r="Y347" s="1497"/>
      <c r="Z347" s="1497"/>
    </row>
    <row r="348" spans="1:26" ht="12.75" customHeight="1">
      <c r="A348" s="1497"/>
      <c r="B348" s="1497"/>
      <c r="C348" s="1497"/>
      <c r="D348" s="1497"/>
      <c r="E348" s="1497"/>
      <c r="F348" s="1497"/>
      <c r="G348" s="1497"/>
      <c r="H348" s="1497"/>
      <c r="I348" s="1497"/>
      <c r="J348" s="1497"/>
      <c r="K348" s="1497"/>
      <c r="L348" s="1497"/>
      <c r="M348" s="1497"/>
      <c r="N348" s="1497"/>
      <c r="O348" s="1497"/>
      <c r="P348" s="1497"/>
      <c r="Q348" s="1497"/>
      <c r="R348" s="1497"/>
      <c r="S348" s="1497"/>
      <c r="T348" s="1497"/>
      <c r="U348" s="1497"/>
      <c r="V348" s="1497"/>
      <c r="W348" s="1497"/>
      <c r="X348" s="1497"/>
      <c r="Y348" s="1497"/>
      <c r="Z348" s="1497"/>
    </row>
    <row r="349" spans="1:26" ht="12.75" customHeight="1">
      <c r="A349" s="1497"/>
      <c r="B349" s="1497"/>
      <c r="C349" s="1497"/>
      <c r="D349" s="1497"/>
      <c r="E349" s="1497"/>
      <c r="F349" s="1497"/>
      <c r="G349" s="1497"/>
      <c r="H349" s="1497"/>
      <c r="I349" s="1497"/>
      <c r="J349" s="1497"/>
      <c r="K349" s="1497"/>
      <c r="L349" s="1497"/>
      <c r="M349" s="1497"/>
      <c r="N349" s="1497"/>
      <c r="O349" s="1497"/>
      <c r="P349" s="1497"/>
      <c r="Q349" s="1497"/>
      <c r="R349" s="1497"/>
      <c r="S349" s="1497"/>
      <c r="T349" s="1497"/>
      <c r="U349" s="1497"/>
      <c r="V349" s="1497"/>
      <c r="W349" s="1497"/>
      <c r="X349" s="1497"/>
      <c r="Y349" s="1497"/>
      <c r="Z349" s="1497"/>
    </row>
    <row r="350" spans="1:26" ht="12.75" customHeight="1">
      <c r="A350" s="1497"/>
      <c r="B350" s="1497"/>
      <c r="C350" s="1497"/>
      <c r="D350" s="1497"/>
      <c r="E350" s="1497"/>
      <c r="F350" s="1497"/>
      <c r="G350" s="1497"/>
      <c r="H350" s="1497"/>
      <c r="I350" s="1497"/>
      <c r="J350" s="1497"/>
      <c r="K350" s="1497"/>
      <c r="L350" s="1497"/>
      <c r="M350" s="1497"/>
      <c r="N350" s="1497"/>
      <c r="O350" s="1497"/>
      <c r="P350" s="1497"/>
      <c r="Q350" s="1497"/>
      <c r="R350" s="1497"/>
      <c r="S350" s="1497"/>
      <c r="T350" s="1497"/>
      <c r="U350" s="1497"/>
      <c r="V350" s="1497"/>
      <c r="W350" s="1497"/>
      <c r="X350" s="1497"/>
      <c r="Y350" s="1497"/>
      <c r="Z350" s="1497"/>
    </row>
    <row r="351" spans="1:26" ht="12.75" customHeight="1">
      <c r="A351" s="1497"/>
      <c r="B351" s="1497"/>
      <c r="C351" s="1497"/>
      <c r="D351" s="1497"/>
      <c r="E351" s="1497"/>
      <c r="F351" s="1497"/>
      <c r="G351" s="1497"/>
      <c r="H351" s="1497"/>
      <c r="I351" s="1497"/>
      <c r="J351" s="1497"/>
      <c r="K351" s="1497"/>
      <c r="L351" s="1497"/>
      <c r="M351" s="1497"/>
      <c r="N351" s="1497"/>
      <c r="O351" s="1497"/>
      <c r="P351" s="1497"/>
      <c r="Q351" s="1497"/>
      <c r="R351" s="1497"/>
      <c r="S351" s="1497"/>
      <c r="T351" s="1497"/>
      <c r="U351" s="1497"/>
      <c r="V351" s="1497"/>
      <c r="W351" s="1497"/>
      <c r="X351" s="1497"/>
      <c r="Y351" s="1497"/>
      <c r="Z351" s="1497"/>
    </row>
    <row r="352" spans="1:26" ht="12.75" customHeight="1">
      <c r="A352" s="1497"/>
      <c r="B352" s="1497"/>
      <c r="C352" s="1497"/>
      <c r="D352" s="1497"/>
      <c r="E352" s="1497"/>
      <c r="F352" s="1497"/>
      <c r="G352" s="1497"/>
      <c r="H352" s="1497"/>
      <c r="I352" s="1497"/>
      <c r="J352" s="1497"/>
      <c r="K352" s="1497"/>
      <c r="L352" s="1497"/>
      <c r="M352" s="1497"/>
      <c r="N352" s="1497"/>
      <c r="O352" s="1497"/>
      <c r="P352" s="1497"/>
      <c r="Q352" s="1497"/>
      <c r="R352" s="1497"/>
      <c r="S352" s="1497"/>
      <c r="T352" s="1497"/>
      <c r="U352" s="1497"/>
      <c r="V352" s="1497"/>
      <c r="W352" s="1497"/>
      <c r="X352" s="1497"/>
      <c r="Y352" s="1497"/>
      <c r="Z352" s="1497"/>
    </row>
    <row r="353" spans="1:26" ht="12.75" customHeight="1">
      <c r="A353" s="1497"/>
      <c r="B353" s="1497"/>
      <c r="C353" s="1497"/>
      <c r="D353" s="1497"/>
      <c r="E353" s="1497"/>
      <c r="F353" s="1497"/>
      <c r="G353" s="1497"/>
      <c r="H353" s="1497"/>
      <c r="I353" s="1497"/>
      <c r="J353" s="1497"/>
      <c r="K353" s="1497"/>
      <c r="L353" s="1497"/>
      <c r="M353" s="1497"/>
      <c r="N353" s="1497"/>
      <c r="O353" s="1497"/>
      <c r="P353" s="1497"/>
      <c r="Q353" s="1497"/>
      <c r="R353" s="1497"/>
      <c r="S353" s="1497"/>
      <c r="T353" s="1497"/>
      <c r="U353" s="1497"/>
      <c r="V353" s="1497"/>
      <c r="W353" s="1497"/>
      <c r="X353" s="1497"/>
      <c r="Y353" s="1497"/>
      <c r="Z353" s="1497"/>
    </row>
    <row r="354" spans="1:26" ht="12.75" customHeight="1">
      <c r="A354" s="1497"/>
      <c r="B354" s="1497"/>
      <c r="C354" s="1497"/>
      <c r="D354" s="1497"/>
      <c r="E354" s="1497"/>
      <c r="F354" s="1497"/>
      <c r="G354" s="1497"/>
      <c r="H354" s="1497"/>
      <c r="I354" s="1497"/>
      <c r="J354" s="1497"/>
      <c r="K354" s="1497"/>
      <c r="L354" s="1497"/>
      <c r="M354" s="1497"/>
      <c r="N354" s="1497"/>
      <c r="O354" s="1497"/>
      <c r="P354" s="1497"/>
      <c r="Q354" s="1497"/>
      <c r="R354" s="1497"/>
      <c r="S354" s="1497"/>
      <c r="T354" s="1497"/>
      <c r="U354" s="1497"/>
      <c r="V354" s="1497"/>
      <c r="W354" s="1497"/>
      <c r="X354" s="1497"/>
      <c r="Y354" s="1497"/>
      <c r="Z354" s="1497"/>
    </row>
    <row r="355" spans="1:26" ht="12.75" customHeight="1">
      <c r="A355" s="1497"/>
      <c r="B355" s="1497"/>
      <c r="C355" s="1497"/>
      <c r="D355" s="1497"/>
      <c r="E355" s="1497"/>
      <c r="F355" s="1497"/>
      <c r="G355" s="1497"/>
      <c r="H355" s="1497"/>
      <c r="I355" s="1497"/>
      <c r="J355" s="1497"/>
      <c r="K355" s="1497"/>
      <c r="L355" s="1497"/>
      <c r="M355" s="1497"/>
      <c r="N355" s="1497"/>
      <c r="O355" s="1497"/>
      <c r="P355" s="1497"/>
      <c r="Q355" s="1497"/>
      <c r="R355" s="1497"/>
      <c r="S355" s="1497"/>
      <c r="T355" s="1497"/>
      <c r="U355" s="1497"/>
      <c r="V355" s="1497"/>
      <c r="W355" s="1497"/>
      <c r="X355" s="1497"/>
      <c r="Y355" s="1497"/>
      <c r="Z355" s="1497"/>
    </row>
    <row r="356" spans="1:26" ht="12.75" customHeight="1">
      <c r="A356" s="1497"/>
      <c r="B356" s="1497"/>
      <c r="C356" s="1497"/>
      <c r="D356" s="1497"/>
      <c r="E356" s="1497"/>
      <c r="F356" s="1497"/>
      <c r="G356" s="1497"/>
      <c r="H356" s="1497"/>
      <c r="I356" s="1497"/>
      <c r="J356" s="1497"/>
      <c r="K356" s="1497"/>
      <c r="L356" s="1497"/>
      <c r="M356" s="1497"/>
      <c r="N356" s="1497"/>
      <c r="O356" s="1497"/>
      <c r="P356" s="1497"/>
      <c r="Q356" s="1497"/>
      <c r="R356" s="1497"/>
      <c r="S356" s="1497"/>
      <c r="T356" s="1497"/>
      <c r="U356" s="1497"/>
      <c r="V356" s="1497"/>
      <c r="W356" s="1497"/>
      <c r="X356" s="1497"/>
      <c r="Y356" s="1497"/>
      <c r="Z356" s="1497"/>
    </row>
    <row r="357" spans="1:26" ht="12.75" customHeight="1">
      <c r="A357" s="1497"/>
      <c r="B357" s="1497"/>
      <c r="C357" s="1497"/>
      <c r="D357" s="1497"/>
      <c r="E357" s="1497"/>
      <c r="F357" s="1497"/>
      <c r="G357" s="1497"/>
      <c r="H357" s="1497"/>
      <c r="I357" s="1497"/>
      <c r="J357" s="1497"/>
      <c r="K357" s="1497"/>
      <c r="L357" s="1497"/>
      <c r="M357" s="1497"/>
      <c r="N357" s="1497"/>
      <c r="O357" s="1497"/>
      <c r="P357" s="1497"/>
      <c r="Q357" s="1497"/>
      <c r="R357" s="1497"/>
      <c r="S357" s="1497"/>
      <c r="T357" s="1497"/>
      <c r="U357" s="1497"/>
      <c r="V357" s="1497"/>
      <c r="W357" s="1497"/>
      <c r="X357" s="1497"/>
      <c r="Y357" s="1497"/>
      <c r="Z357" s="1497"/>
    </row>
    <row r="358" spans="1:26" ht="12.75" customHeight="1">
      <c r="A358" s="1497"/>
      <c r="B358" s="1497"/>
      <c r="C358" s="1497"/>
      <c r="D358" s="1497"/>
      <c r="E358" s="1497"/>
      <c r="F358" s="1497"/>
      <c r="G358" s="1497"/>
      <c r="H358" s="1497"/>
      <c r="I358" s="1497"/>
      <c r="J358" s="1497"/>
      <c r="K358" s="1497"/>
      <c r="L358" s="1497"/>
      <c r="M358" s="1497"/>
      <c r="N358" s="1497"/>
      <c r="O358" s="1497"/>
      <c r="P358" s="1497"/>
      <c r="Q358" s="1497"/>
      <c r="R358" s="1497"/>
      <c r="S358" s="1497"/>
      <c r="T358" s="1497"/>
      <c r="U358" s="1497"/>
      <c r="V358" s="1497"/>
      <c r="W358" s="1497"/>
      <c r="X358" s="1497"/>
      <c r="Y358" s="1497"/>
      <c r="Z358" s="1497"/>
    </row>
    <row r="359" spans="1:26" ht="12.75" customHeight="1">
      <c r="A359" s="1497"/>
      <c r="B359" s="1497"/>
      <c r="C359" s="1497"/>
      <c r="D359" s="1497"/>
      <c r="E359" s="1497"/>
      <c r="F359" s="1497"/>
      <c r="G359" s="1497"/>
      <c r="H359" s="1497"/>
      <c r="I359" s="1497"/>
      <c r="J359" s="1497"/>
      <c r="K359" s="1497"/>
      <c r="L359" s="1497"/>
      <c r="M359" s="1497"/>
      <c r="N359" s="1497"/>
      <c r="O359" s="1497"/>
      <c r="P359" s="1497"/>
      <c r="Q359" s="1497"/>
      <c r="R359" s="1497"/>
      <c r="S359" s="1497"/>
      <c r="T359" s="1497"/>
      <c r="U359" s="1497"/>
      <c r="V359" s="1497"/>
      <c r="W359" s="1497"/>
      <c r="X359" s="1497"/>
      <c r="Y359" s="1497"/>
      <c r="Z359" s="1497"/>
    </row>
    <row r="360" spans="1:26" ht="12.75" customHeight="1">
      <c r="A360" s="1497"/>
      <c r="B360" s="1497"/>
      <c r="C360" s="1497"/>
      <c r="D360" s="1497"/>
      <c r="E360" s="1497"/>
      <c r="F360" s="1497"/>
      <c r="G360" s="1497"/>
      <c r="H360" s="1497"/>
      <c r="I360" s="1497"/>
      <c r="J360" s="1497"/>
      <c r="K360" s="1497"/>
      <c r="L360" s="1497"/>
      <c r="M360" s="1497"/>
      <c r="N360" s="1497"/>
      <c r="O360" s="1497"/>
      <c r="P360" s="1497"/>
      <c r="Q360" s="1497"/>
      <c r="R360" s="1497"/>
      <c r="S360" s="1497"/>
      <c r="T360" s="1497"/>
      <c r="U360" s="1497"/>
      <c r="V360" s="1497"/>
      <c r="W360" s="1497"/>
      <c r="X360" s="1497"/>
      <c r="Y360" s="1497"/>
      <c r="Z360" s="1497"/>
    </row>
    <row r="361" spans="1:26" ht="12.75" customHeight="1">
      <c r="A361" s="1497"/>
      <c r="B361" s="1497"/>
      <c r="C361" s="1497"/>
      <c r="D361" s="1497"/>
      <c r="E361" s="1497"/>
      <c r="F361" s="1497"/>
      <c r="G361" s="1497"/>
      <c r="H361" s="1497"/>
      <c r="I361" s="1497"/>
      <c r="J361" s="1497"/>
      <c r="K361" s="1497"/>
      <c r="L361" s="1497"/>
      <c r="M361" s="1497"/>
      <c r="N361" s="1497"/>
      <c r="O361" s="1497"/>
      <c r="P361" s="1497"/>
      <c r="Q361" s="1497"/>
      <c r="R361" s="1497"/>
      <c r="S361" s="1497"/>
      <c r="T361" s="1497"/>
      <c r="U361" s="1497"/>
      <c r="V361" s="1497"/>
      <c r="W361" s="1497"/>
      <c r="X361" s="1497"/>
      <c r="Y361" s="1497"/>
      <c r="Z361" s="1497"/>
    </row>
    <row r="362" spans="1:26" ht="12.75" customHeight="1">
      <c r="A362" s="1497"/>
      <c r="B362" s="1497"/>
      <c r="C362" s="1497"/>
      <c r="D362" s="1497"/>
      <c r="E362" s="1497"/>
      <c r="F362" s="1497"/>
      <c r="G362" s="1497"/>
      <c r="H362" s="1497"/>
      <c r="I362" s="1497"/>
      <c r="J362" s="1497"/>
      <c r="K362" s="1497"/>
      <c r="L362" s="1497"/>
      <c r="M362" s="1497"/>
      <c r="N362" s="1497"/>
      <c r="O362" s="1497"/>
      <c r="P362" s="1497"/>
      <c r="Q362" s="1497"/>
      <c r="R362" s="1497"/>
      <c r="S362" s="1497"/>
      <c r="T362" s="1497"/>
      <c r="U362" s="1497"/>
      <c r="V362" s="1497"/>
      <c r="W362" s="1497"/>
      <c r="X362" s="1497"/>
      <c r="Y362" s="1497"/>
      <c r="Z362" s="1497"/>
    </row>
    <row r="363" spans="1:26" ht="12.75" customHeight="1">
      <c r="A363" s="1497"/>
      <c r="B363" s="1497"/>
      <c r="C363" s="1497"/>
      <c r="D363" s="1497"/>
      <c r="E363" s="1497"/>
      <c r="F363" s="1497"/>
      <c r="G363" s="1497"/>
      <c r="H363" s="1497"/>
      <c r="I363" s="1497"/>
      <c r="J363" s="1497"/>
      <c r="K363" s="1497"/>
      <c r="L363" s="1497"/>
      <c r="M363" s="1497"/>
      <c r="N363" s="1497"/>
      <c r="O363" s="1497"/>
      <c r="P363" s="1497"/>
      <c r="Q363" s="1497"/>
      <c r="R363" s="1497"/>
      <c r="S363" s="1497"/>
      <c r="T363" s="1497"/>
      <c r="U363" s="1497"/>
      <c r="V363" s="1497"/>
      <c r="W363" s="1497"/>
      <c r="X363" s="1497"/>
      <c r="Y363" s="1497"/>
      <c r="Z363" s="1497"/>
    </row>
    <row r="364" spans="1:26" ht="12.75" customHeight="1">
      <c r="A364" s="1497"/>
      <c r="B364" s="1497"/>
      <c r="C364" s="1497"/>
      <c r="D364" s="1497"/>
      <c r="E364" s="1497"/>
      <c r="F364" s="1497"/>
      <c r="G364" s="1497"/>
      <c r="H364" s="1497"/>
      <c r="I364" s="1497"/>
      <c r="J364" s="1497"/>
      <c r="K364" s="1497"/>
      <c r="L364" s="1497"/>
      <c r="M364" s="1497"/>
      <c r="N364" s="1497"/>
      <c r="O364" s="1497"/>
      <c r="P364" s="1497"/>
      <c r="Q364" s="1497"/>
      <c r="R364" s="1497"/>
      <c r="S364" s="1497"/>
      <c r="T364" s="1497"/>
      <c r="U364" s="1497"/>
      <c r="V364" s="1497"/>
      <c r="W364" s="1497"/>
      <c r="X364" s="1497"/>
      <c r="Y364" s="1497"/>
      <c r="Z364" s="1497"/>
    </row>
    <row r="365" spans="1:26" ht="12.75" customHeight="1">
      <c r="A365" s="1497"/>
      <c r="B365" s="1497"/>
      <c r="C365" s="1497"/>
      <c r="D365" s="1497"/>
      <c r="E365" s="1497"/>
      <c r="F365" s="1497"/>
      <c r="G365" s="1497"/>
      <c r="H365" s="1497"/>
      <c r="I365" s="1497"/>
      <c r="J365" s="1497"/>
      <c r="K365" s="1497"/>
      <c r="L365" s="1497"/>
      <c r="M365" s="1497"/>
      <c r="N365" s="1497"/>
      <c r="O365" s="1497"/>
      <c r="P365" s="1497"/>
      <c r="Q365" s="1497"/>
      <c r="R365" s="1497"/>
      <c r="S365" s="1497"/>
      <c r="T365" s="1497"/>
      <c r="U365" s="1497"/>
      <c r="V365" s="1497"/>
      <c r="W365" s="1497"/>
      <c r="X365" s="1497"/>
      <c r="Y365" s="1497"/>
      <c r="Z365" s="1497"/>
    </row>
    <row r="366" spans="1:26" ht="12.75" customHeight="1">
      <c r="A366" s="1497"/>
      <c r="B366" s="1497"/>
      <c r="C366" s="1497"/>
      <c r="D366" s="1497"/>
      <c r="E366" s="1497"/>
      <c r="F366" s="1497"/>
      <c r="G366" s="1497"/>
      <c r="H366" s="1497"/>
      <c r="I366" s="1497"/>
      <c r="J366" s="1497"/>
      <c r="K366" s="1497"/>
      <c r="L366" s="1497"/>
      <c r="M366" s="1497"/>
      <c r="N366" s="1497"/>
      <c r="O366" s="1497"/>
      <c r="P366" s="1497"/>
      <c r="Q366" s="1497"/>
      <c r="R366" s="1497"/>
      <c r="S366" s="1497"/>
      <c r="T366" s="1497"/>
      <c r="U366" s="1497"/>
      <c r="V366" s="1497"/>
      <c r="W366" s="1497"/>
      <c r="X366" s="1497"/>
      <c r="Y366" s="1497"/>
      <c r="Z366" s="1497"/>
    </row>
    <row r="367" spans="1:26" ht="12.75" customHeight="1">
      <c r="A367" s="1497"/>
      <c r="B367" s="1497"/>
      <c r="C367" s="1497"/>
      <c r="D367" s="1497"/>
      <c r="E367" s="1497"/>
      <c r="F367" s="1497"/>
      <c r="G367" s="1497"/>
      <c r="H367" s="1497"/>
      <c r="I367" s="1497"/>
      <c r="J367" s="1497"/>
      <c r="K367" s="1497"/>
      <c r="L367" s="1497"/>
      <c r="M367" s="1497"/>
      <c r="N367" s="1497"/>
      <c r="O367" s="1497"/>
      <c r="P367" s="1497"/>
      <c r="Q367" s="1497"/>
      <c r="R367" s="1497"/>
      <c r="S367" s="1497"/>
      <c r="T367" s="1497"/>
      <c r="U367" s="1497"/>
      <c r="V367" s="1497"/>
      <c r="W367" s="1497"/>
      <c r="X367" s="1497"/>
      <c r="Y367" s="1497"/>
      <c r="Z367" s="1497"/>
    </row>
    <row r="368" spans="1:26" ht="12.75" customHeight="1">
      <c r="A368" s="1497"/>
      <c r="B368" s="1497"/>
      <c r="C368" s="1497"/>
      <c r="D368" s="1497"/>
      <c r="E368" s="1497"/>
      <c r="F368" s="1497"/>
      <c r="G368" s="1497"/>
      <c r="H368" s="1497"/>
      <c r="I368" s="1497"/>
      <c r="J368" s="1497"/>
      <c r="K368" s="1497"/>
      <c r="L368" s="1497"/>
      <c r="M368" s="1497"/>
      <c r="N368" s="1497"/>
      <c r="O368" s="1497"/>
      <c r="P368" s="1497"/>
      <c r="Q368" s="1497"/>
      <c r="R368" s="1497"/>
      <c r="S368" s="1497"/>
      <c r="T368" s="1497"/>
      <c r="U368" s="1497"/>
      <c r="V368" s="1497"/>
      <c r="W368" s="1497"/>
      <c r="X368" s="1497"/>
      <c r="Y368" s="1497"/>
      <c r="Z368" s="1497"/>
    </row>
    <row r="369" spans="1:26" ht="12.75" customHeight="1">
      <c r="A369" s="1497"/>
      <c r="B369" s="1497"/>
      <c r="C369" s="1497"/>
      <c r="D369" s="1497"/>
      <c r="E369" s="1497"/>
      <c r="F369" s="1497"/>
      <c r="G369" s="1497"/>
      <c r="H369" s="1497"/>
      <c r="I369" s="1497"/>
      <c r="J369" s="1497"/>
      <c r="K369" s="1497"/>
      <c r="L369" s="1497"/>
      <c r="M369" s="1497"/>
      <c r="N369" s="1497"/>
      <c r="O369" s="1497"/>
      <c r="P369" s="1497"/>
      <c r="Q369" s="1497"/>
      <c r="R369" s="1497"/>
      <c r="S369" s="1497"/>
      <c r="T369" s="1497"/>
      <c r="U369" s="1497"/>
      <c r="V369" s="1497"/>
      <c r="W369" s="1497"/>
      <c r="X369" s="1497"/>
      <c r="Y369" s="1497"/>
      <c r="Z369" s="1497"/>
    </row>
    <row r="370" spans="1:26" ht="12.75" customHeight="1">
      <c r="A370" s="1497"/>
      <c r="B370" s="1497"/>
      <c r="C370" s="1497"/>
      <c r="D370" s="1497"/>
      <c r="E370" s="1497"/>
      <c r="F370" s="1497"/>
      <c r="G370" s="1497"/>
      <c r="H370" s="1497"/>
      <c r="I370" s="1497"/>
      <c r="J370" s="1497"/>
      <c r="K370" s="1497"/>
      <c r="L370" s="1497"/>
      <c r="M370" s="1497"/>
      <c r="N370" s="1497"/>
      <c r="O370" s="1497"/>
      <c r="P370" s="1497"/>
      <c r="Q370" s="1497"/>
      <c r="R370" s="1497"/>
      <c r="S370" s="1497"/>
      <c r="T370" s="1497"/>
      <c r="U370" s="1497"/>
      <c r="V370" s="1497"/>
      <c r="W370" s="1497"/>
      <c r="X370" s="1497"/>
      <c r="Y370" s="1497"/>
      <c r="Z370" s="1497"/>
    </row>
    <row r="371" spans="1:26" ht="12.75" customHeight="1">
      <c r="A371" s="1497"/>
      <c r="B371" s="1497"/>
      <c r="C371" s="1497"/>
      <c r="D371" s="1497"/>
      <c r="E371" s="1497"/>
      <c r="F371" s="1497"/>
      <c r="G371" s="1497"/>
      <c r="H371" s="1497"/>
      <c r="I371" s="1497"/>
      <c r="J371" s="1497"/>
      <c r="K371" s="1497"/>
      <c r="L371" s="1497"/>
      <c r="M371" s="1497"/>
      <c r="N371" s="1497"/>
      <c r="O371" s="1497"/>
      <c r="P371" s="1497"/>
      <c r="Q371" s="1497"/>
      <c r="R371" s="1497"/>
      <c r="S371" s="1497"/>
      <c r="T371" s="1497"/>
      <c r="U371" s="1497"/>
      <c r="V371" s="1497"/>
      <c r="W371" s="1497"/>
      <c r="X371" s="1497"/>
      <c r="Y371" s="1497"/>
      <c r="Z371" s="1497"/>
    </row>
    <row r="372" spans="1:26" ht="12.75" customHeight="1">
      <c r="A372" s="1497"/>
      <c r="B372" s="1497"/>
      <c r="C372" s="1497"/>
      <c r="D372" s="1497"/>
      <c r="E372" s="1497"/>
      <c r="F372" s="1497"/>
      <c r="G372" s="1497"/>
      <c r="H372" s="1497"/>
      <c r="I372" s="1497"/>
      <c r="J372" s="1497"/>
      <c r="K372" s="1497"/>
      <c r="L372" s="1497"/>
      <c r="M372" s="1497"/>
      <c r="N372" s="1497"/>
      <c r="O372" s="1497"/>
      <c r="P372" s="1497"/>
      <c r="Q372" s="1497"/>
      <c r="R372" s="1497"/>
      <c r="S372" s="1497"/>
      <c r="T372" s="1497"/>
      <c r="U372" s="1497"/>
      <c r="V372" s="1497"/>
      <c r="W372" s="1497"/>
      <c r="X372" s="1497"/>
      <c r="Y372" s="1497"/>
      <c r="Z372" s="1497"/>
    </row>
    <row r="373" spans="1:26" ht="12.75" customHeight="1">
      <c r="A373" s="1497"/>
      <c r="B373" s="1497"/>
      <c r="C373" s="1497"/>
      <c r="D373" s="1497"/>
      <c r="E373" s="1497"/>
      <c r="F373" s="1497"/>
      <c r="G373" s="1497"/>
      <c r="H373" s="1497"/>
      <c r="I373" s="1497"/>
      <c r="J373" s="1497"/>
      <c r="K373" s="1497"/>
      <c r="L373" s="1497"/>
      <c r="M373" s="1497"/>
      <c r="N373" s="1497"/>
      <c r="O373" s="1497"/>
      <c r="P373" s="1497"/>
      <c r="Q373" s="1497"/>
      <c r="R373" s="1497"/>
      <c r="S373" s="1497"/>
      <c r="T373" s="1497"/>
      <c r="U373" s="1497"/>
      <c r="V373" s="1497"/>
      <c r="W373" s="1497"/>
      <c r="X373" s="1497"/>
      <c r="Y373" s="1497"/>
      <c r="Z373" s="1497"/>
    </row>
    <row r="374" spans="1:26" ht="12.75" customHeight="1">
      <c r="A374" s="1497"/>
      <c r="B374" s="1497"/>
      <c r="C374" s="1497"/>
      <c r="D374" s="1497"/>
      <c r="E374" s="1497"/>
      <c r="F374" s="1497"/>
      <c r="G374" s="1497"/>
      <c r="H374" s="1497"/>
      <c r="I374" s="1497"/>
      <c r="J374" s="1497"/>
      <c r="K374" s="1497"/>
      <c r="L374" s="1497"/>
      <c r="M374" s="1497"/>
      <c r="N374" s="1497"/>
      <c r="O374" s="1497"/>
      <c r="P374" s="1497"/>
      <c r="Q374" s="1497"/>
      <c r="R374" s="1497"/>
      <c r="S374" s="1497"/>
      <c r="T374" s="1497"/>
      <c r="U374" s="1497"/>
      <c r="V374" s="1497"/>
      <c r="W374" s="1497"/>
      <c r="X374" s="1497"/>
      <c r="Y374" s="1497"/>
      <c r="Z374" s="1497"/>
    </row>
    <row r="375" spans="1:26" ht="12.75" customHeight="1">
      <c r="A375" s="1497"/>
      <c r="B375" s="1497"/>
      <c r="C375" s="1497"/>
      <c r="D375" s="1497"/>
      <c r="E375" s="1497"/>
      <c r="F375" s="1497"/>
      <c r="G375" s="1497"/>
      <c r="H375" s="1497"/>
      <c r="I375" s="1497"/>
      <c r="J375" s="1497"/>
      <c r="K375" s="1497"/>
      <c r="L375" s="1497"/>
      <c r="M375" s="1497"/>
      <c r="N375" s="1497"/>
      <c r="O375" s="1497"/>
      <c r="P375" s="1497"/>
      <c r="Q375" s="1497"/>
      <c r="R375" s="1497"/>
      <c r="S375" s="1497"/>
      <c r="T375" s="1497"/>
      <c r="U375" s="1497"/>
      <c r="V375" s="1497"/>
      <c r="W375" s="1497"/>
      <c r="X375" s="1497"/>
      <c r="Y375" s="1497"/>
      <c r="Z375" s="1497"/>
    </row>
    <row r="376" spans="1:26" ht="12.75" customHeight="1">
      <c r="A376" s="1497"/>
      <c r="B376" s="1497"/>
      <c r="C376" s="1497"/>
      <c r="D376" s="1497"/>
      <c r="E376" s="1497"/>
      <c r="F376" s="1497"/>
      <c r="G376" s="1497"/>
      <c r="H376" s="1497"/>
      <c r="I376" s="1497"/>
      <c r="J376" s="1497"/>
      <c r="K376" s="1497"/>
      <c r="L376" s="1497"/>
      <c r="M376" s="1497"/>
      <c r="N376" s="1497"/>
      <c r="O376" s="1497"/>
      <c r="P376" s="1497"/>
      <c r="Q376" s="1497"/>
      <c r="R376" s="1497"/>
      <c r="S376" s="1497"/>
      <c r="T376" s="1497"/>
      <c r="U376" s="1497"/>
      <c r="V376" s="1497"/>
      <c r="W376" s="1497"/>
      <c r="X376" s="1497"/>
      <c r="Y376" s="1497"/>
      <c r="Z376" s="1497"/>
    </row>
    <row r="377" spans="1:26" ht="12.75" customHeight="1">
      <c r="A377" s="1497"/>
      <c r="B377" s="1497"/>
      <c r="C377" s="1497"/>
      <c r="D377" s="1497"/>
      <c r="E377" s="1497"/>
      <c r="F377" s="1497"/>
      <c r="G377" s="1497"/>
      <c r="H377" s="1497"/>
      <c r="I377" s="1497"/>
      <c r="J377" s="1497"/>
      <c r="K377" s="1497"/>
      <c r="L377" s="1497"/>
      <c r="M377" s="1497"/>
      <c r="N377" s="1497"/>
      <c r="O377" s="1497"/>
      <c r="P377" s="1497"/>
      <c r="Q377" s="1497"/>
      <c r="R377" s="1497"/>
      <c r="S377" s="1497"/>
      <c r="T377" s="1497"/>
      <c r="U377" s="1497"/>
      <c r="V377" s="1497"/>
      <c r="W377" s="1497"/>
      <c r="X377" s="1497"/>
      <c r="Y377" s="1497"/>
      <c r="Z377" s="1497"/>
    </row>
    <row r="378" spans="1:26" ht="12.75" customHeight="1">
      <c r="A378" s="1497"/>
      <c r="B378" s="1497"/>
      <c r="C378" s="1497"/>
      <c r="D378" s="1497"/>
      <c r="E378" s="1497"/>
      <c r="F378" s="1497"/>
      <c r="G378" s="1497"/>
      <c r="H378" s="1497"/>
      <c r="I378" s="1497"/>
      <c r="J378" s="1497"/>
      <c r="K378" s="1497"/>
      <c r="L378" s="1497"/>
      <c r="M378" s="1497"/>
      <c r="N378" s="1497"/>
      <c r="O378" s="1497"/>
      <c r="P378" s="1497"/>
      <c r="Q378" s="1497"/>
      <c r="R378" s="1497"/>
      <c r="S378" s="1497"/>
      <c r="T378" s="1497"/>
      <c r="U378" s="1497"/>
      <c r="V378" s="1497"/>
      <c r="W378" s="1497"/>
      <c r="X378" s="1497"/>
      <c r="Y378" s="1497"/>
      <c r="Z378" s="1497"/>
    </row>
    <row r="379" spans="1:26" ht="12.75" customHeight="1">
      <c r="A379" s="1497"/>
      <c r="B379" s="1497"/>
      <c r="C379" s="1497"/>
      <c r="D379" s="1497"/>
      <c r="E379" s="1497"/>
      <c r="F379" s="1497"/>
      <c r="G379" s="1497"/>
      <c r="H379" s="1497"/>
      <c r="I379" s="1497"/>
      <c r="J379" s="1497"/>
      <c r="K379" s="1497"/>
      <c r="L379" s="1497"/>
      <c r="M379" s="1497"/>
      <c r="N379" s="1497"/>
      <c r="O379" s="1497"/>
      <c r="P379" s="1497"/>
      <c r="Q379" s="1497"/>
      <c r="R379" s="1497"/>
      <c r="S379" s="1497"/>
      <c r="T379" s="1497"/>
      <c r="U379" s="1497"/>
      <c r="V379" s="1497"/>
      <c r="W379" s="1497"/>
      <c r="X379" s="1497"/>
      <c r="Y379" s="1497"/>
      <c r="Z379" s="1497"/>
    </row>
    <row r="380" spans="1:26" ht="12.75" customHeight="1">
      <c r="A380" s="1497"/>
      <c r="B380" s="1497"/>
      <c r="C380" s="1497"/>
      <c r="D380" s="1497"/>
      <c r="E380" s="1497"/>
      <c r="F380" s="1497"/>
      <c r="G380" s="1497"/>
      <c r="H380" s="1497"/>
      <c r="I380" s="1497"/>
      <c r="J380" s="1497"/>
      <c r="K380" s="1497"/>
      <c r="L380" s="1497"/>
      <c r="M380" s="1497"/>
      <c r="N380" s="1497"/>
      <c r="O380" s="1497"/>
      <c r="P380" s="1497"/>
      <c r="Q380" s="1497"/>
      <c r="R380" s="1497"/>
      <c r="S380" s="1497"/>
      <c r="T380" s="1497"/>
      <c r="U380" s="1497"/>
      <c r="V380" s="1497"/>
      <c r="W380" s="1497"/>
      <c r="X380" s="1497"/>
      <c r="Y380" s="1497"/>
      <c r="Z380" s="1497"/>
    </row>
    <row r="381" spans="1:26" ht="12.75" customHeight="1">
      <c r="A381" s="1497"/>
      <c r="B381" s="1497"/>
      <c r="C381" s="1497"/>
      <c r="D381" s="1497"/>
      <c r="E381" s="1497"/>
      <c r="F381" s="1497"/>
      <c r="G381" s="1497"/>
      <c r="H381" s="1497"/>
      <c r="I381" s="1497"/>
      <c r="J381" s="1497"/>
      <c r="K381" s="1497"/>
      <c r="L381" s="1497"/>
      <c r="M381" s="1497"/>
      <c r="N381" s="1497"/>
      <c r="O381" s="1497"/>
      <c r="P381" s="1497"/>
      <c r="Q381" s="1497"/>
      <c r="R381" s="1497"/>
      <c r="S381" s="1497"/>
      <c r="T381" s="1497"/>
      <c r="U381" s="1497"/>
      <c r="V381" s="1497"/>
      <c r="W381" s="1497"/>
      <c r="X381" s="1497"/>
      <c r="Y381" s="1497"/>
      <c r="Z381" s="1497"/>
    </row>
    <row r="382" spans="1:26" ht="12.75" customHeight="1">
      <c r="A382" s="1497"/>
      <c r="B382" s="1497"/>
      <c r="C382" s="1497"/>
      <c r="D382" s="1497"/>
      <c r="E382" s="1497"/>
      <c r="F382" s="1497"/>
      <c r="G382" s="1497"/>
      <c r="H382" s="1497"/>
      <c r="I382" s="1497"/>
      <c r="J382" s="1497"/>
      <c r="K382" s="1497"/>
      <c r="L382" s="1497"/>
      <c r="M382" s="1497"/>
      <c r="N382" s="1497"/>
      <c r="O382" s="1497"/>
      <c r="P382" s="1497"/>
      <c r="Q382" s="1497"/>
      <c r="R382" s="1497"/>
      <c r="S382" s="1497"/>
      <c r="T382" s="1497"/>
      <c r="U382" s="1497"/>
      <c r="V382" s="1497"/>
      <c r="W382" s="1497"/>
      <c r="X382" s="1497"/>
      <c r="Y382" s="1497"/>
      <c r="Z382" s="1497"/>
    </row>
    <row r="383" spans="1:26" ht="12.75" customHeight="1">
      <c r="A383" s="1497"/>
      <c r="B383" s="1497"/>
      <c r="C383" s="1497"/>
      <c r="D383" s="1497"/>
      <c r="E383" s="1497"/>
      <c r="F383" s="1497"/>
      <c r="G383" s="1497"/>
      <c r="H383" s="1497"/>
      <c r="I383" s="1497"/>
      <c r="J383" s="1497"/>
      <c r="K383" s="1497"/>
      <c r="L383" s="1497"/>
      <c r="M383" s="1497"/>
      <c r="N383" s="1497"/>
      <c r="O383" s="1497"/>
      <c r="P383" s="1497"/>
      <c r="Q383" s="1497"/>
      <c r="R383" s="1497"/>
      <c r="S383" s="1497"/>
      <c r="T383" s="1497"/>
      <c r="U383" s="1497"/>
      <c r="V383" s="1497"/>
      <c r="W383" s="1497"/>
      <c r="X383" s="1497"/>
      <c r="Y383" s="1497"/>
      <c r="Z383" s="1497"/>
    </row>
    <row r="384" spans="1:26" ht="12.75" customHeight="1">
      <c r="A384" s="1497"/>
      <c r="B384" s="1497"/>
      <c r="C384" s="1497"/>
      <c r="D384" s="1497"/>
      <c r="E384" s="1497"/>
      <c r="F384" s="1497"/>
      <c r="G384" s="1497"/>
      <c r="H384" s="1497"/>
      <c r="I384" s="1497"/>
      <c r="J384" s="1497"/>
      <c r="K384" s="1497"/>
      <c r="L384" s="1497"/>
      <c r="M384" s="1497"/>
      <c r="N384" s="1497"/>
      <c r="O384" s="1497"/>
      <c r="P384" s="1497"/>
      <c r="Q384" s="1497"/>
      <c r="R384" s="1497"/>
      <c r="S384" s="1497"/>
      <c r="T384" s="1497"/>
      <c r="U384" s="1497"/>
      <c r="V384" s="1497"/>
      <c r="W384" s="1497"/>
      <c r="X384" s="1497"/>
      <c r="Y384" s="1497"/>
      <c r="Z384" s="1497"/>
    </row>
    <row r="385" spans="1:26" ht="12.75" customHeight="1">
      <c r="A385" s="1497"/>
      <c r="B385" s="1497"/>
      <c r="C385" s="1497"/>
      <c r="D385" s="1497"/>
      <c r="E385" s="1497"/>
      <c r="F385" s="1497"/>
      <c r="G385" s="1497"/>
      <c r="H385" s="1497"/>
      <c r="I385" s="1497"/>
      <c r="J385" s="1497"/>
      <c r="K385" s="1497"/>
      <c r="L385" s="1497"/>
      <c r="M385" s="1497"/>
      <c r="N385" s="1497"/>
      <c r="O385" s="1497"/>
      <c r="P385" s="1497"/>
      <c r="Q385" s="1497"/>
      <c r="R385" s="1497"/>
      <c r="S385" s="1497"/>
      <c r="T385" s="1497"/>
      <c r="U385" s="1497"/>
      <c r="V385" s="1497"/>
      <c r="W385" s="1497"/>
      <c r="X385" s="1497"/>
      <c r="Y385" s="1497"/>
      <c r="Z385" s="1497"/>
    </row>
    <row r="386" spans="1:26" ht="12.75" customHeight="1">
      <c r="A386" s="1497"/>
      <c r="B386" s="1497"/>
      <c r="C386" s="1497"/>
      <c r="D386" s="1497"/>
      <c r="E386" s="1497"/>
      <c r="F386" s="1497"/>
      <c r="G386" s="1497"/>
      <c r="H386" s="1497"/>
      <c r="I386" s="1497"/>
      <c r="J386" s="1497"/>
      <c r="K386" s="1497"/>
      <c r="L386" s="1497"/>
      <c r="M386" s="1497"/>
      <c r="N386" s="1497"/>
      <c r="O386" s="1497"/>
      <c r="P386" s="1497"/>
      <c r="Q386" s="1497"/>
      <c r="R386" s="1497"/>
      <c r="S386" s="1497"/>
      <c r="T386" s="1497"/>
      <c r="U386" s="1497"/>
      <c r="V386" s="1497"/>
      <c r="W386" s="1497"/>
      <c r="X386" s="1497"/>
      <c r="Y386" s="1497"/>
      <c r="Z386" s="1497"/>
    </row>
    <row r="387" spans="1:26" ht="12.75" customHeight="1">
      <c r="A387" s="1497"/>
      <c r="B387" s="1497"/>
      <c r="C387" s="1497"/>
      <c r="D387" s="1497"/>
      <c r="E387" s="1497"/>
      <c r="F387" s="1497"/>
      <c r="G387" s="1497"/>
      <c r="H387" s="1497"/>
      <c r="I387" s="1497"/>
      <c r="J387" s="1497"/>
      <c r="K387" s="1497"/>
      <c r="L387" s="1497"/>
      <c r="M387" s="1497"/>
      <c r="N387" s="1497"/>
      <c r="O387" s="1497"/>
      <c r="P387" s="1497"/>
      <c r="Q387" s="1497"/>
      <c r="R387" s="1497"/>
      <c r="S387" s="1497"/>
      <c r="T387" s="1497"/>
      <c r="U387" s="1497"/>
      <c r="V387" s="1497"/>
      <c r="W387" s="1497"/>
      <c r="X387" s="1497"/>
      <c r="Y387" s="1497"/>
      <c r="Z387" s="1497"/>
    </row>
    <row r="388" spans="1:26" ht="12.75" customHeight="1">
      <c r="A388" s="1497"/>
      <c r="B388" s="1497"/>
      <c r="C388" s="1497"/>
      <c r="D388" s="1497"/>
      <c r="E388" s="1497"/>
      <c r="F388" s="1497"/>
      <c r="G388" s="1497"/>
      <c r="H388" s="1497"/>
      <c r="I388" s="1497"/>
      <c r="J388" s="1497"/>
      <c r="K388" s="1497"/>
      <c r="L388" s="1497"/>
      <c r="M388" s="1497"/>
      <c r="N388" s="1497"/>
      <c r="O388" s="1497"/>
      <c r="P388" s="1497"/>
      <c r="Q388" s="1497"/>
      <c r="R388" s="1497"/>
      <c r="S388" s="1497"/>
      <c r="T388" s="1497"/>
      <c r="U388" s="1497"/>
      <c r="V388" s="1497"/>
      <c r="W388" s="1497"/>
      <c r="X388" s="1497"/>
      <c r="Y388" s="1497"/>
      <c r="Z388" s="1497"/>
    </row>
    <row r="389" spans="1:26" ht="12.75" customHeight="1">
      <c r="A389" s="1497"/>
      <c r="B389" s="1497"/>
      <c r="C389" s="1497"/>
      <c r="D389" s="1497"/>
      <c r="E389" s="1497"/>
      <c r="F389" s="1497"/>
      <c r="G389" s="1497"/>
      <c r="H389" s="1497"/>
      <c r="I389" s="1497"/>
      <c r="J389" s="1497"/>
      <c r="K389" s="1497"/>
      <c r="L389" s="1497"/>
      <c r="M389" s="1497"/>
      <c r="N389" s="1497"/>
      <c r="O389" s="1497"/>
      <c r="P389" s="1497"/>
      <c r="Q389" s="1497"/>
      <c r="R389" s="1497"/>
      <c r="S389" s="1497"/>
      <c r="T389" s="1497"/>
      <c r="U389" s="1497"/>
      <c r="V389" s="1497"/>
      <c r="W389" s="1497"/>
      <c r="X389" s="1497"/>
      <c r="Y389" s="1497"/>
      <c r="Z389" s="1497"/>
    </row>
    <row r="390" spans="1:26" ht="12.75" customHeight="1">
      <c r="A390" s="1497"/>
      <c r="B390" s="1497"/>
      <c r="C390" s="1497"/>
      <c r="D390" s="1497"/>
      <c r="E390" s="1497"/>
      <c r="F390" s="1497"/>
      <c r="G390" s="1497"/>
      <c r="H390" s="1497"/>
      <c r="I390" s="1497"/>
      <c r="J390" s="1497"/>
      <c r="K390" s="1497"/>
      <c r="L390" s="1497"/>
      <c r="M390" s="1497"/>
      <c r="N390" s="1497"/>
      <c r="O390" s="1497"/>
      <c r="P390" s="1497"/>
      <c r="Q390" s="1497"/>
      <c r="R390" s="1497"/>
      <c r="S390" s="1497"/>
      <c r="T390" s="1497"/>
      <c r="U390" s="1497"/>
      <c r="V390" s="1497"/>
      <c r="W390" s="1497"/>
      <c r="X390" s="1497"/>
      <c r="Y390" s="1497"/>
      <c r="Z390" s="1497"/>
    </row>
    <row r="391" spans="1:26" ht="12.75" customHeight="1">
      <c r="A391" s="1497"/>
      <c r="B391" s="1497"/>
      <c r="C391" s="1497"/>
      <c r="D391" s="1497"/>
      <c r="E391" s="1497"/>
      <c r="F391" s="1497"/>
      <c r="G391" s="1497"/>
      <c r="H391" s="1497"/>
      <c r="I391" s="1497"/>
      <c r="J391" s="1497"/>
      <c r="K391" s="1497"/>
      <c r="L391" s="1497"/>
      <c r="M391" s="1497"/>
      <c r="N391" s="1497"/>
      <c r="O391" s="1497"/>
      <c r="P391" s="1497"/>
      <c r="Q391" s="1497"/>
      <c r="R391" s="1497"/>
      <c r="S391" s="1497"/>
      <c r="T391" s="1497"/>
      <c r="U391" s="1497"/>
      <c r="V391" s="1497"/>
      <c r="W391" s="1497"/>
      <c r="X391" s="1497"/>
      <c r="Y391" s="1497"/>
      <c r="Z391" s="1497"/>
    </row>
    <row r="392" spans="1:26" ht="12.75" customHeight="1">
      <c r="A392" s="1497"/>
      <c r="B392" s="1497"/>
      <c r="C392" s="1497"/>
      <c r="D392" s="1497"/>
      <c r="E392" s="1497"/>
      <c r="F392" s="1497"/>
      <c r="G392" s="1497"/>
      <c r="H392" s="1497"/>
      <c r="I392" s="1497"/>
      <c r="J392" s="1497"/>
      <c r="K392" s="1497"/>
      <c r="L392" s="1497"/>
      <c r="M392" s="1497"/>
      <c r="N392" s="1497"/>
      <c r="O392" s="1497"/>
      <c r="P392" s="1497"/>
      <c r="Q392" s="1497"/>
      <c r="R392" s="1497"/>
      <c r="S392" s="1497"/>
      <c r="T392" s="1497"/>
      <c r="U392" s="1497"/>
      <c r="V392" s="1497"/>
      <c r="W392" s="1497"/>
      <c r="X392" s="1497"/>
      <c r="Y392" s="1497"/>
      <c r="Z392" s="1497"/>
    </row>
    <row r="393" spans="1:26" ht="12.75" customHeight="1">
      <c r="A393" s="1497"/>
      <c r="B393" s="1497"/>
      <c r="C393" s="1497"/>
      <c r="D393" s="1497"/>
      <c r="E393" s="1497"/>
      <c r="F393" s="1497"/>
      <c r="G393" s="1497"/>
      <c r="H393" s="1497"/>
      <c r="I393" s="1497"/>
      <c r="J393" s="1497"/>
      <c r="K393" s="1497"/>
      <c r="L393" s="1497"/>
      <c r="M393" s="1497"/>
      <c r="N393" s="1497"/>
      <c r="O393" s="1497"/>
      <c r="P393" s="1497"/>
      <c r="Q393" s="1497"/>
      <c r="R393" s="1497"/>
      <c r="S393" s="1497"/>
      <c r="T393" s="1497"/>
      <c r="U393" s="1497"/>
      <c r="V393" s="1497"/>
      <c r="W393" s="1497"/>
      <c r="X393" s="1497"/>
      <c r="Y393" s="1497"/>
      <c r="Z393" s="1497"/>
    </row>
    <row r="394" spans="1:26" ht="12.75" customHeight="1">
      <c r="A394" s="1497"/>
      <c r="B394" s="1497"/>
      <c r="C394" s="1497"/>
      <c r="D394" s="1497"/>
      <c r="E394" s="1497"/>
      <c r="F394" s="1497"/>
      <c r="G394" s="1497"/>
      <c r="H394" s="1497"/>
      <c r="I394" s="1497"/>
      <c r="J394" s="1497"/>
      <c r="K394" s="1497"/>
      <c r="L394" s="1497"/>
      <c r="M394" s="1497"/>
      <c r="N394" s="1497"/>
      <c r="O394" s="1497"/>
      <c r="P394" s="1497"/>
      <c r="Q394" s="1497"/>
      <c r="R394" s="1497"/>
      <c r="S394" s="1497"/>
      <c r="T394" s="1497"/>
      <c r="U394" s="1497"/>
      <c r="V394" s="1497"/>
      <c r="W394" s="1497"/>
      <c r="X394" s="1497"/>
      <c r="Y394" s="1497"/>
      <c r="Z394" s="1497"/>
    </row>
    <row r="395" spans="1:26" ht="12.75" customHeight="1">
      <c r="A395" s="1497"/>
      <c r="B395" s="1497"/>
      <c r="C395" s="1497"/>
      <c r="D395" s="1497"/>
      <c r="E395" s="1497"/>
      <c r="F395" s="1497"/>
      <c r="G395" s="1497"/>
      <c r="H395" s="1497"/>
      <c r="I395" s="1497"/>
      <c r="J395" s="1497"/>
      <c r="K395" s="1497"/>
      <c r="L395" s="1497"/>
      <c r="M395" s="1497"/>
      <c r="N395" s="1497"/>
      <c r="O395" s="1497"/>
      <c r="P395" s="1497"/>
      <c r="Q395" s="1497"/>
      <c r="R395" s="1497"/>
      <c r="S395" s="1497"/>
      <c r="T395" s="1497"/>
      <c r="U395" s="1497"/>
      <c r="V395" s="1497"/>
      <c r="W395" s="1497"/>
      <c r="X395" s="1497"/>
      <c r="Y395" s="1497"/>
      <c r="Z395" s="1497"/>
    </row>
    <row r="396" spans="1:26" ht="12.75" customHeight="1">
      <c r="A396" s="1497"/>
      <c r="B396" s="1497"/>
      <c r="C396" s="1497"/>
      <c r="D396" s="1497"/>
      <c r="E396" s="1497"/>
      <c r="F396" s="1497"/>
      <c r="G396" s="1497"/>
      <c r="H396" s="1497"/>
      <c r="I396" s="1497"/>
      <c r="J396" s="1497"/>
      <c r="K396" s="1497"/>
      <c r="L396" s="1497"/>
      <c r="M396" s="1497"/>
      <c r="N396" s="1497"/>
      <c r="O396" s="1497"/>
      <c r="P396" s="1497"/>
      <c r="Q396" s="1497"/>
      <c r="R396" s="1497"/>
      <c r="S396" s="1497"/>
      <c r="T396" s="1497"/>
      <c r="U396" s="1497"/>
      <c r="V396" s="1497"/>
      <c r="W396" s="1497"/>
      <c r="X396" s="1497"/>
      <c r="Y396" s="1497"/>
      <c r="Z396" s="1497"/>
    </row>
    <row r="397" spans="1:26" ht="12.75" customHeight="1">
      <c r="A397" s="1497"/>
      <c r="B397" s="1497"/>
      <c r="C397" s="1497"/>
      <c r="D397" s="1497"/>
      <c r="E397" s="1497"/>
      <c r="F397" s="1497"/>
      <c r="G397" s="1497"/>
      <c r="H397" s="1497"/>
      <c r="I397" s="1497"/>
      <c r="J397" s="1497"/>
      <c r="K397" s="1497"/>
      <c r="L397" s="1497"/>
      <c r="M397" s="1497"/>
      <c r="N397" s="1497"/>
      <c r="O397" s="1497"/>
      <c r="P397" s="1497"/>
      <c r="Q397" s="1497"/>
      <c r="R397" s="1497"/>
      <c r="S397" s="1497"/>
      <c r="T397" s="1497"/>
      <c r="U397" s="1497"/>
      <c r="V397" s="1497"/>
      <c r="W397" s="1497"/>
      <c r="X397" s="1497"/>
      <c r="Y397" s="1497"/>
      <c r="Z397" s="1497"/>
    </row>
    <row r="398" spans="1:26" ht="12.75" customHeight="1">
      <c r="A398" s="1497"/>
      <c r="B398" s="1497"/>
      <c r="C398" s="1497"/>
      <c r="D398" s="1497"/>
      <c r="E398" s="1497"/>
      <c r="F398" s="1497"/>
      <c r="G398" s="1497"/>
      <c r="H398" s="1497"/>
      <c r="I398" s="1497"/>
      <c r="J398" s="1497"/>
      <c r="K398" s="1497"/>
      <c r="L398" s="1497"/>
      <c r="M398" s="1497"/>
      <c r="N398" s="1497"/>
      <c r="O398" s="1497"/>
      <c r="P398" s="1497"/>
      <c r="Q398" s="1497"/>
      <c r="R398" s="1497"/>
      <c r="S398" s="1497"/>
      <c r="T398" s="1497"/>
      <c r="U398" s="1497"/>
      <c r="V398" s="1497"/>
      <c r="W398" s="1497"/>
      <c r="X398" s="1497"/>
      <c r="Y398" s="1497"/>
      <c r="Z398" s="1497"/>
    </row>
    <row r="399" spans="1:26" ht="12.75" customHeight="1">
      <c r="A399" s="1497"/>
      <c r="B399" s="1497"/>
      <c r="C399" s="1497"/>
      <c r="D399" s="1497"/>
      <c r="E399" s="1497"/>
      <c r="F399" s="1497"/>
      <c r="G399" s="1497"/>
      <c r="H399" s="1497"/>
      <c r="I399" s="1497"/>
      <c r="J399" s="1497"/>
      <c r="K399" s="1497"/>
      <c r="L399" s="1497"/>
      <c r="M399" s="1497"/>
      <c r="N399" s="1497"/>
      <c r="O399" s="1497"/>
      <c r="P399" s="1497"/>
      <c r="Q399" s="1497"/>
      <c r="R399" s="1497"/>
      <c r="S399" s="1497"/>
      <c r="T399" s="1497"/>
      <c r="U399" s="1497"/>
      <c r="V399" s="1497"/>
      <c r="W399" s="1497"/>
      <c r="X399" s="1497"/>
      <c r="Y399" s="1497"/>
      <c r="Z399" s="1497"/>
    </row>
    <row r="400" spans="1:26" ht="12.75" customHeight="1">
      <c r="A400" s="1497"/>
      <c r="B400" s="1497"/>
      <c r="C400" s="1497"/>
      <c r="D400" s="1497"/>
      <c r="E400" s="1497"/>
      <c r="F400" s="1497"/>
      <c r="G400" s="1497"/>
      <c r="H400" s="1497"/>
      <c r="I400" s="1497"/>
      <c r="J400" s="1497"/>
      <c r="K400" s="1497"/>
      <c r="L400" s="1497"/>
      <c r="M400" s="1497"/>
      <c r="N400" s="1497"/>
      <c r="O400" s="1497"/>
      <c r="P400" s="1497"/>
      <c r="Q400" s="1497"/>
      <c r="R400" s="1497"/>
      <c r="S400" s="1497"/>
      <c r="T400" s="1497"/>
      <c r="U400" s="1497"/>
      <c r="V400" s="1497"/>
      <c r="W400" s="1497"/>
      <c r="X400" s="1497"/>
      <c r="Y400" s="1497"/>
      <c r="Z400" s="1497"/>
    </row>
    <row r="401" spans="1:26" ht="12.75" customHeight="1">
      <c r="A401" s="1497"/>
      <c r="B401" s="1497"/>
      <c r="C401" s="1497"/>
      <c r="D401" s="1497"/>
      <c r="E401" s="1497"/>
      <c r="F401" s="1497"/>
      <c r="G401" s="1497"/>
      <c r="H401" s="1497"/>
      <c r="I401" s="1497"/>
      <c r="J401" s="1497"/>
      <c r="K401" s="1497"/>
      <c r="L401" s="1497"/>
      <c r="M401" s="1497"/>
      <c r="N401" s="1497"/>
      <c r="O401" s="1497"/>
      <c r="P401" s="1497"/>
      <c r="Q401" s="1497"/>
      <c r="R401" s="1497"/>
      <c r="S401" s="1497"/>
      <c r="T401" s="1497"/>
      <c r="U401" s="1497"/>
      <c r="V401" s="1497"/>
      <c r="W401" s="1497"/>
      <c r="X401" s="1497"/>
      <c r="Y401" s="1497"/>
      <c r="Z401" s="1497"/>
    </row>
    <row r="402" spans="1:26" ht="12.75" customHeight="1">
      <c r="A402" s="1497"/>
      <c r="B402" s="1497"/>
      <c r="C402" s="1497"/>
      <c r="D402" s="1497"/>
      <c r="E402" s="1497"/>
      <c r="F402" s="1497"/>
      <c r="G402" s="1497"/>
      <c r="H402" s="1497"/>
      <c r="I402" s="1497"/>
      <c r="J402" s="1497"/>
      <c r="K402" s="1497"/>
      <c r="L402" s="1497"/>
      <c r="M402" s="1497"/>
      <c r="N402" s="1497"/>
      <c r="O402" s="1497"/>
      <c r="P402" s="1497"/>
      <c r="Q402" s="1497"/>
      <c r="R402" s="1497"/>
      <c r="S402" s="1497"/>
      <c r="T402" s="1497"/>
      <c r="U402" s="1497"/>
      <c r="V402" s="1497"/>
      <c r="W402" s="1497"/>
      <c r="X402" s="1497"/>
      <c r="Y402" s="1497"/>
      <c r="Z402" s="1497"/>
    </row>
    <row r="403" spans="1:26" ht="12.75" customHeight="1">
      <c r="A403" s="1497"/>
      <c r="B403" s="1497"/>
      <c r="C403" s="1497"/>
      <c r="D403" s="1497"/>
      <c r="E403" s="1497"/>
      <c r="F403" s="1497"/>
      <c r="G403" s="1497"/>
      <c r="H403" s="1497"/>
      <c r="I403" s="1497"/>
      <c r="J403" s="1497"/>
      <c r="K403" s="1497"/>
      <c r="L403" s="1497"/>
      <c r="M403" s="1497"/>
      <c r="N403" s="1497"/>
      <c r="O403" s="1497"/>
      <c r="P403" s="1497"/>
      <c r="Q403" s="1497"/>
      <c r="R403" s="1497"/>
      <c r="S403" s="1497"/>
      <c r="T403" s="1497"/>
      <c r="U403" s="1497"/>
      <c r="V403" s="1497"/>
      <c r="W403" s="1497"/>
      <c r="X403" s="1497"/>
      <c r="Y403" s="1497"/>
      <c r="Z403" s="1497"/>
    </row>
    <row r="404" spans="1:26" ht="12.75" customHeight="1">
      <c r="A404" s="1497"/>
      <c r="B404" s="1497"/>
      <c r="C404" s="1497"/>
      <c r="D404" s="1497"/>
      <c r="E404" s="1497"/>
      <c r="F404" s="1497"/>
      <c r="G404" s="1497"/>
      <c r="H404" s="1497"/>
      <c r="I404" s="1497"/>
      <c r="J404" s="1497"/>
      <c r="K404" s="1497"/>
      <c r="L404" s="1497"/>
      <c r="M404" s="1497"/>
      <c r="N404" s="1497"/>
      <c r="O404" s="1497"/>
      <c r="P404" s="1497"/>
      <c r="Q404" s="1497"/>
      <c r="R404" s="1497"/>
      <c r="S404" s="1497"/>
      <c r="T404" s="1497"/>
      <c r="U404" s="1497"/>
      <c r="V404" s="1497"/>
      <c r="W404" s="1497"/>
      <c r="X404" s="1497"/>
      <c r="Y404" s="1497"/>
      <c r="Z404" s="1497"/>
    </row>
    <row r="405" spans="1:26" ht="12.75" customHeight="1">
      <c r="A405" s="1497"/>
      <c r="B405" s="1497"/>
      <c r="C405" s="1497"/>
      <c r="D405" s="1497"/>
      <c r="E405" s="1497"/>
      <c r="F405" s="1497"/>
      <c r="G405" s="1497"/>
      <c r="H405" s="1497"/>
      <c r="I405" s="1497"/>
      <c r="J405" s="1497"/>
      <c r="K405" s="1497"/>
      <c r="L405" s="1497"/>
      <c r="M405" s="1497"/>
      <c r="N405" s="1497"/>
      <c r="O405" s="1497"/>
      <c r="P405" s="1497"/>
      <c r="Q405" s="1497"/>
      <c r="R405" s="1497"/>
      <c r="S405" s="1497"/>
      <c r="T405" s="1497"/>
      <c r="U405" s="1497"/>
      <c r="V405" s="1497"/>
      <c r="W405" s="1497"/>
      <c r="X405" s="1497"/>
      <c r="Y405" s="1497"/>
      <c r="Z405" s="1497"/>
    </row>
    <row r="406" spans="1:26" ht="12.75" customHeight="1">
      <c r="A406" s="1497"/>
      <c r="B406" s="1497"/>
      <c r="C406" s="1497"/>
      <c r="D406" s="1497"/>
      <c r="E406" s="1497"/>
      <c r="F406" s="1497"/>
      <c r="G406" s="1497"/>
      <c r="H406" s="1497"/>
      <c r="I406" s="1497"/>
      <c r="J406" s="1497"/>
      <c r="K406" s="1497"/>
      <c r="L406" s="1497"/>
      <c r="M406" s="1497"/>
      <c r="N406" s="1497"/>
      <c r="O406" s="1497"/>
      <c r="P406" s="1497"/>
      <c r="Q406" s="1497"/>
      <c r="R406" s="1497"/>
      <c r="S406" s="1497"/>
      <c r="T406" s="1497"/>
      <c r="U406" s="1497"/>
      <c r="V406" s="1497"/>
      <c r="W406" s="1497"/>
      <c r="X406" s="1497"/>
      <c r="Y406" s="1497"/>
      <c r="Z406" s="1497"/>
    </row>
    <row r="407" spans="1:26" ht="12.75" customHeight="1">
      <c r="A407" s="1497"/>
      <c r="B407" s="1497"/>
      <c r="C407" s="1497"/>
      <c r="D407" s="1497"/>
      <c r="E407" s="1497"/>
      <c r="F407" s="1497"/>
      <c r="G407" s="1497"/>
      <c r="H407" s="1497"/>
      <c r="I407" s="1497"/>
      <c r="J407" s="1497"/>
      <c r="K407" s="1497"/>
      <c r="L407" s="1497"/>
      <c r="M407" s="1497"/>
      <c r="N407" s="1497"/>
      <c r="O407" s="1497"/>
      <c r="P407" s="1497"/>
      <c r="Q407" s="1497"/>
      <c r="R407" s="1497"/>
      <c r="S407" s="1497"/>
      <c r="T407" s="1497"/>
      <c r="U407" s="1497"/>
      <c r="V407" s="1497"/>
      <c r="W407" s="1497"/>
      <c r="X407" s="1497"/>
      <c r="Y407" s="1497"/>
      <c r="Z407" s="1497"/>
    </row>
    <row r="408" spans="1:26" ht="12.75" customHeight="1">
      <c r="A408" s="1497"/>
      <c r="B408" s="1497"/>
      <c r="C408" s="1497"/>
      <c r="D408" s="1497"/>
      <c r="E408" s="1497"/>
      <c r="F408" s="1497"/>
      <c r="G408" s="1497"/>
      <c r="H408" s="1497"/>
      <c r="I408" s="1497"/>
      <c r="J408" s="1497"/>
      <c r="K408" s="1497"/>
      <c r="L408" s="1497"/>
      <c r="M408" s="1497"/>
      <c r="N408" s="1497"/>
      <c r="O408" s="1497"/>
      <c r="P408" s="1497"/>
      <c r="Q408" s="1497"/>
      <c r="R408" s="1497"/>
      <c r="S408" s="1497"/>
      <c r="T408" s="1497"/>
      <c r="U408" s="1497"/>
      <c r="V408" s="1497"/>
      <c r="W408" s="1497"/>
      <c r="X408" s="1497"/>
      <c r="Y408" s="1497"/>
      <c r="Z408" s="1497"/>
    </row>
    <row r="409" spans="1:26" ht="12.75" customHeight="1">
      <c r="A409" s="1497"/>
      <c r="B409" s="1497"/>
      <c r="C409" s="1497"/>
      <c r="D409" s="1497"/>
      <c r="E409" s="1497"/>
      <c r="F409" s="1497"/>
      <c r="G409" s="1497"/>
      <c r="H409" s="1497"/>
      <c r="I409" s="1497"/>
      <c r="J409" s="1497"/>
      <c r="K409" s="1497"/>
      <c r="L409" s="1497"/>
      <c r="M409" s="1497"/>
      <c r="N409" s="1497"/>
      <c r="O409" s="1497"/>
      <c r="P409" s="1497"/>
      <c r="Q409" s="1497"/>
      <c r="R409" s="1497"/>
      <c r="S409" s="1497"/>
      <c r="T409" s="1497"/>
      <c r="U409" s="1497"/>
      <c r="V409" s="1497"/>
      <c r="W409" s="1497"/>
      <c r="X409" s="1497"/>
      <c r="Y409" s="1497"/>
      <c r="Z409" s="1497"/>
    </row>
    <row r="410" spans="1:26" ht="12.75" customHeight="1">
      <c r="A410" s="1497"/>
      <c r="B410" s="1497"/>
      <c r="C410" s="1497"/>
      <c r="D410" s="1497"/>
      <c r="E410" s="1497"/>
      <c r="F410" s="1497"/>
      <c r="G410" s="1497"/>
      <c r="H410" s="1497"/>
      <c r="I410" s="1497"/>
      <c r="J410" s="1497"/>
      <c r="K410" s="1497"/>
      <c r="L410" s="1497"/>
      <c r="M410" s="1497"/>
      <c r="N410" s="1497"/>
      <c r="O410" s="1497"/>
      <c r="P410" s="1497"/>
      <c r="Q410" s="1497"/>
      <c r="R410" s="1497"/>
      <c r="S410" s="1497"/>
      <c r="T410" s="1497"/>
      <c r="U410" s="1497"/>
      <c r="V410" s="1497"/>
      <c r="W410" s="1497"/>
      <c r="X410" s="1497"/>
      <c r="Y410" s="1497"/>
      <c r="Z410" s="1497"/>
    </row>
    <row r="411" spans="1:26" ht="12.75" customHeight="1">
      <c r="A411" s="1497"/>
      <c r="B411" s="1497"/>
      <c r="C411" s="1497"/>
      <c r="D411" s="1497"/>
      <c r="E411" s="1497"/>
      <c r="F411" s="1497"/>
      <c r="G411" s="1497"/>
      <c r="H411" s="1497"/>
      <c r="I411" s="1497"/>
      <c r="J411" s="1497"/>
      <c r="K411" s="1497"/>
      <c r="L411" s="1497"/>
      <c r="M411" s="1497"/>
      <c r="N411" s="1497"/>
      <c r="O411" s="1497"/>
      <c r="P411" s="1497"/>
      <c r="Q411" s="1497"/>
      <c r="R411" s="1497"/>
      <c r="S411" s="1497"/>
      <c r="T411" s="1497"/>
      <c r="U411" s="1497"/>
      <c r="V411" s="1497"/>
      <c r="W411" s="1497"/>
      <c r="X411" s="1497"/>
      <c r="Y411" s="1497"/>
      <c r="Z411" s="1497"/>
    </row>
    <row r="412" spans="1:26" ht="12.75" customHeight="1">
      <c r="A412" s="1497"/>
      <c r="B412" s="1497"/>
      <c r="C412" s="1497"/>
      <c r="D412" s="1497"/>
      <c r="E412" s="1497"/>
      <c r="F412" s="1497"/>
      <c r="G412" s="1497"/>
      <c r="H412" s="1497"/>
      <c r="I412" s="1497"/>
      <c r="J412" s="1497"/>
      <c r="K412" s="1497"/>
      <c r="L412" s="1497"/>
      <c r="M412" s="1497"/>
      <c r="N412" s="1497"/>
      <c r="O412" s="1497"/>
      <c r="P412" s="1497"/>
      <c r="Q412" s="1497"/>
      <c r="R412" s="1497"/>
      <c r="S412" s="1497"/>
      <c r="T412" s="1497"/>
      <c r="U412" s="1497"/>
      <c r="V412" s="1497"/>
      <c r="W412" s="1497"/>
      <c r="X412" s="1497"/>
      <c r="Y412" s="1497"/>
      <c r="Z412" s="1497"/>
    </row>
    <row r="413" spans="1:26" ht="12.75" customHeight="1">
      <c r="A413" s="1497"/>
      <c r="B413" s="1497"/>
      <c r="C413" s="1497"/>
      <c r="D413" s="1497"/>
      <c r="E413" s="1497"/>
      <c r="F413" s="1497"/>
      <c r="G413" s="1497"/>
      <c r="H413" s="1497"/>
      <c r="I413" s="1497"/>
      <c r="J413" s="1497"/>
      <c r="K413" s="1497"/>
      <c r="L413" s="1497"/>
      <c r="M413" s="1497"/>
      <c r="N413" s="1497"/>
      <c r="O413" s="1497"/>
      <c r="P413" s="1497"/>
      <c r="Q413" s="1497"/>
      <c r="R413" s="1497"/>
      <c r="S413" s="1497"/>
      <c r="T413" s="1497"/>
      <c r="U413" s="1497"/>
      <c r="V413" s="1497"/>
      <c r="W413" s="1497"/>
      <c r="X413" s="1497"/>
      <c r="Y413" s="1497"/>
      <c r="Z413" s="1497"/>
    </row>
    <row r="414" spans="1:26" ht="12.75" customHeight="1">
      <c r="A414" s="1497"/>
      <c r="B414" s="1497"/>
      <c r="C414" s="1497"/>
      <c r="D414" s="1497"/>
      <c r="E414" s="1497"/>
      <c r="F414" s="1497"/>
      <c r="G414" s="1497"/>
      <c r="H414" s="1497"/>
      <c r="I414" s="1497"/>
      <c r="J414" s="1497"/>
      <c r="K414" s="1497"/>
      <c r="L414" s="1497"/>
      <c r="M414" s="1497"/>
      <c r="N414" s="1497"/>
      <c r="O414" s="1497"/>
      <c r="P414" s="1497"/>
      <c r="Q414" s="1497"/>
      <c r="R414" s="1497"/>
      <c r="S414" s="1497"/>
      <c r="T414" s="1497"/>
      <c r="U414" s="1497"/>
      <c r="V414" s="1497"/>
      <c r="W414" s="1497"/>
      <c r="X414" s="1497"/>
      <c r="Y414" s="1497"/>
      <c r="Z414" s="1497"/>
    </row>
    <row r="415" spans="1:26" ht="12.75" customHeight="1">
      <c r="A415" s="1497"/>
      <c r="B415" s="1497"/>
      <c r="C415" s="1497"/>
      <c r="D415" s="1497"/>
      <c r="E415" s="1497"/>
      <c r="F415" s="1497"/>
      <c r="G415" s="1497"/>
      <c r="H415" s="1497"/>
      <c r="I415" s="1497"/>
      <c r="J415" s="1497"/>
      <c r="K415" s="1497"/>
      <c r="L415" s="1497"/>
      <c r="M415" s="1497"/>
      <c r="N415" s="1497"/>
      <c r="O415" s="1497"/>
      <c r="P415" s="1497"/>
      <c r="Q415" s="1497"/>
      <c r="R415" s="1497"/>
      <c r="S415" s="1497"/>
      <c r="T415" s="1497"/>
      <c r="U415" s="1497"/>
      <c r="V415" s="1497"/>
      <c r="W415" s="1497"/>
      <c r="X415" s="1497"/>
      <c r="Y415" s="1497"/>
      <c r="Z415" s="1497"/>
    </row>
    <row r="416" spans="1:26" ht="12.75" customHeight="1">
      <c r="A416" s="1497"/>
      <c r="B416" s="1497"/>
      <c r="C416" s="1497"/>
      <c r="D416" s="1497"/>
      <c r="E416" s="1497"/>
      <c r="F416" s="1497"/>
      <c r="G416" s="1497"/>
      <c r="H416" s="1497"/>
      <c r="I416" s="1497"/>
      <c r="J416" s="1497"/>
      <c r="K416" s="1497"/>
      <c r="L416" s="1497"/>
      <c r="M416" s="1497"/>
      <c r="N416" s="1497"/>
      <c r="O416" s="1497"/>
      <c r="P416" s="1497"/>
      <c r="Q416" s="1497"/>
      <c r="R416" s="1497"/>
      <c r="S416" s="1497"/>
      <c r="T416" s="1497"/>
      <c r="U416" s="1497"/>
      <c r="V416" s="1497"/>
      <c r="W416" s="1497"/>
      <c r="X416" s="1497"/>
      <c r="Y416" s="1497"/>
      <c r="Z416" s="1497"/>
    </row>
    <row r="417" spans="1:26" ht="12.75" customHeight="1">
      <c r="A417" s="1497"/>
      <c r="B417" s="1497"/>
      <c r="C417" s="1497"/>
      <c r="D417" s="1497"/>
      <c r="E417" s="1497"/>
      <c r="F417" s="1497"/>
      <c r="G417" s="1497"/>
      <c r="H417" s="1497"/>
      <c r="I417" s="1497"/>
      <c r="J417" s="1497"/>
      <c r="K417" s="1497"/>
      <c r="L417" s="1497"/>
      <c r="M417" s="1497"/>
      <c r="N417" s="1497"/>
      <c r="O417" s="1497"/>
      <c r="P417" s="1497"/>
      <c r="Q417" s="1497"/>
      <c r="R417" s="1497"/>
      <c r="S417" s="1497"/>
      <c r="T417" s="1497"/>
      <c r="U417" s="1497"/>
      <c r="V417" s="1497"/>
      <c r="W417" s="1497"/>
      <c r="X417" s="1497"/>
      <c r="Y417" s="1497"/>
      <c r="Z417" s="1497"/>
    </row>
    <row r="418" spans="1:26" ht="12.75" customHeight="1">
      <c r="A418" s="1497"/>
      <c r="B418" s="1497"/>
      <c r="C418" s="1497"/>
      <c r="D418" s="1497"/>
      <c r="E418" s="1497"/>
      <c r="F418" s="1497"/>
      <c r="G418" s="1497"/>
      <c r="H418" s="1497"/>
      <c r="I418" s="1497"/>
      <c r="J418" s="1497"/>
      <c r="K418" s="1497"/>
      <c r="L418" s="1497"/>
      <c r="M418" s="1497"/>
      <c r="N418" s="1497"/>
      <c r="O418" s="1497"/>
      <c r="P418" s="1497"/>
      <c r="Q418" s="1497"/>
      <c r="R418" s="1497"/>
      <c r="S418" s="1497"/>
      <c r="T418" s="1497"/>
      <c r="U418" s="1497"/>
      <c r="V418" s="1497"/>
      <c r="W418" s="1497"/>
      <c r="X418" s="1497"/>
      <c r="Y418" s="1497"/>
      <c r="Z418" s="1497"/>
    </row>
    <row r="419" spans="1:26" ht="12.75" customHeight="1">
      <c r="A419" s="1497"/>
      <c r="B419" s="1497"/>
      <c r="C419" s="1497"/>
      <c r="D419" s="1497"/>
      <c r="E419" s="1497"/>
      <c r="F419" s="1497"/>
      <c r="G419" s="1497"/>
      <c r="H419" s="1497"/>
      <c r="I419" s="1497"/>
      <c r="J419" s="1497"/>
      <c r="K419" s="1497"/>
      <c r="L419" s="1497"/>
      <c r="M419" s="1497"/>
      <c r="N419" s="1497"/>
      <c r="O419" s="1497"/>
      <c r="P419" s="1497"/>
      <c r="Q419" s="1497"/>
      <c r="R419" s="1497"/>
      <c r="S419" s="1497"/>
      <c r="T419" s="1497"/>
      <c r="U419" s="1497"/>
      <c r="V419" s="1497"/>
      <c r="W419" s="1497"/>
      <c r="X419" s="1497"/>
      <c r="Y419" s="1497"/>
      <c r="Z419" s="1497"/>
    </row>
    <row r="420" spans="1:26" ht="12.75" customHeight="1">
      <c r="A420" s="1497"/>
      <c r="B420" s="1497"/>
      <c r="C420" s="1497"/>
      <c r="D420" s="1497"/>
      <c r="E420" s="1497"/>
      <c r="F420" s="1497"/>
      <c r="G420" s="1497"/>
      <c r="H420" s="1497"/>
      <c r="I420" s="1497"/>
      <c r="J420" s="1497"/>
      <c r="K420" s="1497"/>
      <c r="L420" s="1497"/>
      <c r="M420" s="1497"/>
      <c r="N420" s="1497"/>
      <c r="O420" s="1497"/>
      <c r="P420" s="1497"/>
      <c r="Q420" s="1497"/>
      <c r="R420" s="1497"/>
      <c r="S420" s="1497"/>
      <c r="T420" s="1497"/>
      <c r="U420" s="1497"/>
      <c r="V420" s="1497"/>
      <c r="W420" s="1497"/>
      <c r="X420" s="1497"/>
      <c r="Y420" s="1497"/>
      <c r="Z420" s="1497"/>
    </row>
    <row r="421" spans="1:26" ht="12.75" customHeight="1">
      <c r="A421" s="1497"/>
      <c r="B421" s="1497"/>
      <c r="C421" s="1497"/>
      <c r="D421" s="1497"/>
      <c r="E421" s="1497"/>
      <c r="F421" s="1497"/>
      <c r="G421" s="1497"/>
      <c r="H421" s="1497"/>
      <c r="I421" s="1497"/>
      <c r="J421" s="1497"/>
      <c r="K421" s="1497"/>
      <c r="L421" s="1497"/>
      <c r="M421" s="1497"/>
      <c r="N421" s="1497"/>
      <c r="O421" s="1497"/>
      <c r="P421" s="1497"/>
      <c r="Q421" s="1497"/>
      <c r="R421" s="1497"/>
      <c r="S421" s="1497"/>
      <c r="T421" s="1497"/>
      <c r="U421" s="1497"/>
      <c r="V421" s="1497"/>
      <c r="W421" s="1497"/>
      <c r="X421" s="1497"/>
      <c r="Y421" s="1497"/>
      <c r="Z421" s="1497"/>
    </row>
    <row r="422" spans="1:26" ht="12.75" customHeight="1">
      <c r="A422" s="1497"/>
      <c r="B422" s="1497"/>
      <c r="C422" s="1497"/>
      <c r="D422" s="1497"/>
      <c r="E422" s="1497"/>
      <c r="F422" s="1497"/>
      <c r="G422" s="1497"/>
      <c r="H422" s="1497"/>
      <c r="I422" s="1497"/>
      <c r="J422" s="1497"/>
      <c r="K422" s="1497"/>
      <c r="L422" s="1497"/>
      <c r="M422" s="1497"/>
      <c r="N422" s="1497"/>
      <c r="O422" s="1497"/>
      <c r="P422" s="1497"/>
      <c r="Q422" s="1497"/>
      <c r="R422" s="1497"/>
      <c r="S422" s="1497"/>
      <c r="T422" s="1497"/>
      <c r="U422" s="1497"/>
      <c r="V422" s="1497"/>
      <c r="W422" s="1497"/>
      <c r="X422" s="1497"/>
      <c r="Y422" s="1497"/>
      <c r="Z422" s="1497"/>
    </row>
    <row r="423" spans="1:26" ht="12.75" customHeight="1">
      <c r="A423" s="1497"/>
      <c r="B423" s="1497"/>
      <c r="C423" s="1497"/>
      <c r="D423" s="1497"/>
      <c r="E423" s="1497"/>
      <c r="F423" s="1497"/>
      <c r="G423" s="1497"/>
      <c r="H423" s="1497"/>
      <c r="I423" s="1497"/>
      <c r="J423" s="1497"/>
      <c r="K423" s="1497"/>
      <c r="L423" s="1497"/>
      <c r="M423" s="1497"/>
      <c r="N423" s="1497"/>
      <c r="O423" s="1497"/>
      <c r="P423" s="1497"/>
      <c r="Q423" s="1497"/>
      <c r="R423" s="1497"/>
      <c r="S423" s="1497"/>
      <c r="T423" s="1497"/>
      <c r="U423" s="1497"/>
      <c r="V423" s="1497"/>
      <c r="W423" s="1497"/>
      <c r="X423" s="1497"/>
      <c r="Y423" s="1497"/>
      <c r="Z423" s="1497"/>
    </row>
    <row r="424" spans="1:26" ht="12.75" customHeight="1">
      <c r="A424" s="1497"/>
      <c r="B424" s="1497"/>
      <c r="C424" s="1497"/>
      <c r="D424" s="1497"/>
      <c r="E424" s="1497"/>
      <c r="F424" s="1497"/>
      <c r="G424" s="1497"/>
      <c r="H424" s="1497"/>
      <c r="I424" s="1497"/>
      <c r="J424" s="1497"/>
      <c r="K424" s="1497"/>
      <c r="L424" s="1497"/>
      <c r="M424" s="1497"/>
      <c r="N424" s="1497"/>
      <c r="O424" s="1497"/>
      <c r="P424" s="1497"/>
      <c r="Q424" s="1497"/>
      <c r="R424" s="1497"/>
      <c r="S424" s="1497"/>
      <c r="T424" s="1497"/>
      <c r="U424" s="1497"/>
      <c r="V424" s="1497"/>
      <c r="W424" s="1497"/>
      <c r="X424" s="1497"/>
      <c r="Y424" s="1497"/>
      <c r="Z424" s="1497"/>
    </row>
    <row r="425" spans="1:26" ht="12.75" customHeight="1">
      <c r="A425" s="1497"/>
      <c r="B425" s="1497"/>
      <c r="C425" s="1497"/>
      <c r="D425" s="1497"/>
      <c r="E425" s="1497"/>
      <c r="F425" s="1497"/>
      <c r="G425" s="1497"/>
      <c r="H425" s="1497"/>
      <c r="I425" s="1497"/>
      <c r="J425" s="1497"/>
      <c r="K425" s="1497"/>
      <c r="L425" s="1497"/>
      <c r="M425" s="1497"/>
      <c r="N425" s="1497"/>
      <c r="O425" s="1497"/>
      <c r="P425" s="1497"/>
      <c r="Q425" s="1497"/>
      <c r="R425" s="1497"/>
      <c r="S425" s="1497"/>
      <c r="T425" s="1497"/>
      <c r="U425" s="1497"/>
      <c r="V425" s="1497"/>
      <c r="W425" s="1497"/>
      <c r="X425" s="1497"/>
      <c r="Y425" s="1497"/>
      <c r="Z425" s="1497"/>
    </row>
    <row r="426" spans="1:26" ht="12.75" customHeight="1">
      <c r="A426" s="1497"/>
      <c r="B426" s="1497"/>
      <c r="C426" s="1497"/>
      <c r="D426" s="1497"/>
      <c r="E426" s="1497"/>
      <c r="F426" s="1497"/>
      <c r="G426" s="1497"/>
      <c r="H426" s="1497"/>
      <c r="I426" s="1497"/>
      <c r="J426" s="1497"/>
      <c r="K426" s="1497"/>
      <c r="L426" s="1497"/>
      <c r="M426" s="1497"/>
      <c r="N426" s="1497"/>
      <c r="O426" s="1497"/>
      <c r="P426" s="1497"/>
      <c r="Q426" s="1497"/>
      <c r="R426" s="1497"/>
      <c r="S426" s="1497"/>
      <c r="T426" s="1497"/>
      <c r="U426" s="1497"/>
      <c r="V426" s="1497"/>
      <c r="W426" s="1497"/>
      <c r="X426" s="1497"/>
      <c r="Y426" s="1497"/>
      <c r="Z426" s="1497"/>
    </row>
    <row r="427" spans="1:26" ht="12.75" customHeight="1">
      <c r="A427" s="1497"/>
      <c r="B427" s="1497"/>
      <c r="C427" s="1497"/>
      <c r="D427" s="1497"/>
      <c r="E427" s="1497"/>
      <c r="F427" s="1497"/>
      <c r="G427" s="1497"/>
      <c r="H427" s="1497"/>
      <c r="I427" s="1497"/>
      <c r="J427" s="1497"/>
      <c r="K427" s="1497"/>
      <c r="L427" s="1497"/>
      <c r="M427" s="1497"/>
      <c r="N427" s="1497"/>
      <c r="O427" s="1497"/>
      <c r="P427" s="1497"/>
      <c r="Q427" s="1497"/>
      <c r="R427" s="1497"/>
      <c r="S427" s="1497"/>
      <c r="T427" s="1497"/>
      <c r="U427" s="1497"/>
      <c r="V427" s="1497"/>
      <c r="W427" s="1497"/>
      <c r="X427" s="1497"/>
      <c r="Y427" s="1497"/>
      <c r="Z427" s="1497"/>
    </row>
    <row r="428" spans="1:26" ht="12.75" customHeight="1">
      <c r="A428" s="1497"/>
      <c r="B428" s="1497"/>
      <c r="C428" s="1497"/>
      <c r="D428" s="1497"/>
      <c r="E428" s="1497"/>
      <c r="F428" s="1497"/>
      <c r="G428" s="1497"/>
      <c r="H428" s="1497"/>
      <c r="I428" s="1497"/>
      <c r="J428" s="1497"/>
      <c r="K428" s="1497"/>
      <c r="L428" s="1497"/>
      <c r="M428" s="1497"/>
      <c r="N428" s="1497"/>
      <c r="O428" s="1497"/>
      <c r="P428" s="1497"/>
      <c r="Q428" s="1497"/>
      <c r="R428" s="1497"/>
      <c r="S428" s="1497"/>
      <c r="T428" s="1497"/>
      <c r="U428" s="1497"/>
      <c r="V428" s="1497"/>
      <c r="W428" s="1497"/>
      <c r="X428" s="1497"/>
      <c r="Y428" s="1497"/>
      <c r="Z428" s="1497"/>
    </row>
    <row r="429" spans="1:26" ht="12.75" customHeight="1">
      <c r="A429" s="1497"/>
      <c r="B429" s="1497"/>
      <c r="C429" s="1497"/>
      <c r="D429" s="1497"/>
      <c r="E429" s="1497"/>
      <c r="F429" s="1497"/>
      <c r="G429" s="1497"/>
      <c r="H429" s="1497"/>
      <c r="I429" s="1497"/>
      <c r="J429" s="1497"/>
      <c r="K429" s="1497"/>
      <c r="L429" s="1497"/>
      <c r="M429" s="1497"/>
      <c r="N429" s="1497"/>
      <c r="O429" s="1497"/>
      <c r="P429" s="1497"/>
      <c r="Q429" s="1497"/>
      <c r="R429" s="1497"/>
      <c r="S429" s="1497"/>
      <c r="T429" s="1497"/>
      <c r="U429" s="1497"/>
      <c r="V429" s="1497"/>
      <c r="W429" s="1497"/>
      <c r="X429" s="1497"/>
      <c r="Y429" s="1497"/>
      <c r="Z429" s="1497"/>
    </row>
    <row r="430" spans="1:26" ht="12.75" customHeight="1">
      <c r="A430" s="1497"/>
      <c r="B430" s="1497"/>
      <c r="C430" s="1497"/>
      <c r="D430" s="1497"/>
      <c r="E430" s="1497"/>
      <c r="F430" s="1497"/>
      <c r="G430" s="1497"/>
      <c r="H430" s="1497"/>
      <c r="I430" s="1497"/>
      <c r="J430" s="1497"/>
      <c r="K430" s="1497"/>
      <c r="L430" s="1497"/>
      <c r="M430" s="1497"/>
      <c r="N430" s="1497"/>
      <c r="O430" s="1497"/>
      <c r="P430" s="1497"/>
      <c r="Q430" s="1497"/>
      <c r="R430" s="1497"/>
      <c r="S430" s="1497"/>
      <c r="T430" s="1497"/>
      <c r="U430" s="1497"/>
      <c r="V430" s="1497"/>
      <c r="W430" s="1497"/>
      <c r="X430" s="1497"/>
      <c r="Y430" s="1497"/>
      <c r="Z430" s="1497"/>
    </row>
    <row r="431" spans="1:26" ht="12.75" customHeight="1">
      <c r="A431" s="1497"/>
      <c r="B431" s="1497"/>
      <c r="C431" s="1497"/>
      <c r="D431" s="1497"/>
      <c r="E431" s="1497"/>
      <c r="F431" s="1497"/>
      <c r="G431" s="1497"/>
      <c r="H431" s="1497"/>
      <c r="I431" s="1497"/>
      <c r="J431" s="1497"/>
      <c r="K431" s="1497"/>
      <c r="L431" s="1497"/>
      <c r="M431" s="1497"/>
      <c r="N431" s="1497"/>
      <c r="O431" s="1497"/>
      <c r="P431" s="1497"/>
      <c r="Q431" s="1497"/>
      <c r="R431" s="1497"/>
      <c r="S431" s="1497"/>
      <c r="T431" s="1497"/>
      <c r="U431" s="1497"/>
      <c r="V431" s="1497"/>
      <c r="W431" s="1497"/>
      <c r="X431" s="1497"/>
      <c r="Y431" s="1497"/>
      <c r="Z431" s="1497"/>
    </row>
    <row r="432" spans="1:26" ht="12.75" customHeight="1">
      <c r="A432" s="1497"/>
      <c r="B432" s="1497"/>
      <c r="C432" s="1497"/>
      <c r="D432" s="1497"/>
      <c r="E432" s="1497"/>
      <c r="F432" s="1497"/>
      <c r="G432" s="1497"/>
      <c r="H432" s="1497"/>
      <c r="I432" s="1497"/>
      <c r="J432" s="1497"/>
      <c r="K432" s="1497"/>
      <c r="L432" s="1497"/>
      <c r="M432" s="1497"/>
      <c r="N432" s="1497"/>
      <c r="O432" s="1497"/>
      <c r="P432" s="1497"/>
      <c r="Q432" s="1497"/>
      <c r="R432" s="1497"/>
      <c r="S432" s="1497"/>
      <c r="T432" s="1497"/>
      <c r="U432" s="1497"/>
      <c r="V432" s="1497"/>
      <c r="W432" s="1497"/>
      <c r="X432" s="1497"/>
      <c r="Y432" s="1497"/>
      <c r="Z432" s="1497"/>
    </row>
    <row r="433" spans="1:26" ht="12.75" customHeight="1">
      <c r="A433" s="1497"/>
      <c r="B433" s="1497"/>
      <c r="C433" s="1497"/>
      <c r="D433" s="1497"/>
      <c r="E433" s="1497"/>
      <c r="F433" s="1497"/>
      <c r="G433" s="1497"/>
      <c r="H433" s="1497"/>
      <c r="I433" s="1497"/>
      <c r="J433" s="1497"/>
      <c r="K433" s="1497"/>
      <c r="L433" s="1497"/>
      <c r="M433" s="1497"/>
      <c r="N433" s="1497"/>
      <c r="O433" s="1497"/>
      <c r="P433" s="1497"/>
      <c r="Q433" s="1497"/>
      <c r="R433" s="1497"/>
      <c r="S433" s="1497"/>
      <c r="T433" s="1497"/>
      <c r="U433" s="1497"/>
      <c r="V433" s="1497"/>
      <c r="W433" s="1497"/>
      <c r="X433" s="1497"/>
      <c r="Y433" s="1497"/>
      <c r="Z433" s="1497"/>
    </row>
    <row r="434" spans="1:26" ht="12.75" customHeight="1">
      <c r="A434" s="1497"/>
      <c r="B434" s="1497"/>
      <c r="C434" s="1497"/>
      <c r="D434" s="1497"/>
      <c r="E434" s="1497"/>
      <c r="F434" s="1497"/>
      <c r="G434" s="1497"/>
      <c r="H434" s="1497"/>
      <c r="I434" s="1497"/>
      <c r="J434" s="1497"/>
      <c r="K434" s="1497"/>
      <c r="L434" s="1497"/>
      <c r="M434" s="1497"/>
      <c r="N434" s="1497"/>
      <c r="O434" s="1497"/>
      <c r="P434" s="1497"/>
      <c r="Q434" s="1497"/>
      <c r="R434" s="1497"/>
      <c r="S434" s="1497"/>
      <c r="T434" s="1497"/>
      <c r="U434" s="1497"/>
      <c r="V434" s="1497"/>
      <c r="W434" s="1497"/>
      <c r="X434" s="1497"/>
      <c r="Y434" s="1497"/>
      <c r="Z434" s="1497"/>
    </row>
    <row r="435" spans="1:26" ht="12.75" customHeight="1">
      <c r="A435" s="1497"/>
      <c r="B435" s="1497"/>
      <c r="C435" s="1497"/>
      <c r="D435" s="1497"/>
      <c r="E435" s="1497"/>
      <c r="F435" s="1497"/>
      <c r="G435" s="1497"/>
      <c r="H435" s="1497"/>
      <c r="I435" s="1497"/>
      <c r="J435" s="1497"/>
      <c r="K435" s="1497"/>
      <c r="L435" s="1497"/>
      <c r="M435" s="1497"/>
      <c r="N435" s="1497"/>
      <c r="O435" s="1497"/>
      <c r="P435" s="1497"/>
      <c r="Q435" s="1497"/>
      <c r="R435" s="1497"/>
      <c r="S435" s="1497"/>
      <c r="T435" s="1497"/>
      <c r="U435" s="1497"/>
      <c r="V435" s="1497"/>
      <c r="W435" s="1497"/>
      <c r="X435" s="1497"/>
      <c r="Y435" s="1497"/>
      <c r="Z435" s="1497"/>
    </row>
    <row r="436" spans="1:26" ht="12.75" customHeight="1">
      <c r="A436" s="1497"/>
      <c r="B436" s="1497"/>
      <c r="C436" s="1497"/>
      <c r="D436" s="1497"/>
      <c r="E436" s="1497"/>
      <c r="F436" s="1497"/>
      <c r="G436" s="1497"/>
      <c r="H436" s="1497"/>
      <c r="I436" s="1497"/>
      <c r="J436" s="1497"/>
      <c r="K436" s="1497"/>
      <c r="L436" s="1497"/>
      <c r="M436" s="1497"/>
      <c r="N436" s="1497"/>
      <c r="O436" s="1497"/>
      <c r="P436" s="1497"/>
      <c r="Q436" s="1497"/>
      <c r="R436" s="1497"/>
      <c r="S436" s="1497"/>
      <c r="T436" s="1497"/>
      <c r="U436" s="1497"/>
      <c r="V436" s="1497"/>
      <c r="W436" s="1497"/>
      <c r="X436" s="1497"/>
      <c r="Y436" s="1497"/>
      <c r="Z436" s="1497"/>
    </row>
    <row r="437" spans="1:26" ht="12.75" customHeight="1">
      <c r="A437" s="1497"/>
      <c r="B437" s="1497"/>
      <c r="C437" s="1497"/>
      <c r="D437" s="1497"/>
      <c r="E437" s="1497"/>
      <c r="F437" s="1497"/>
      <c r="G437" s="1497"/>
      <c r="H437" s="1497"/>
      <c r="I437" s="1497"/>
      <c r="J437" s="1497"/>
      <c r="K437" s="1497"/>
      <c r="L437" s="1497"/>
      <c r="M437" s="1497"/>
      <c r="N437" s="1497"/>
      <c r="O437" s="1497"/>
      <c r="P437" s="1497"/>
      <c r="Q437" s="1497"/>
      <c r="R437" s="1497"/>
      <c r="S437" s="1497"/>
      <c r="T437" s="1497"/>
      <c r="U437" s="1497"/>
      <c r="V437" s="1497"/>
      <c r="W437" s="1497"/>
      <c r="X437" s="1497"/>
      <c r="Y437" s="1497"/>
      <c r="Z437" s="1497"/>
    </row>
    <row r="438" spans="1:26" ht="12.75" customHeight="1">
      <c r="A438" s="1497"/>
      <c r="B438" s="1497"/>
      <c r="C438" s="1497"/>
      <c r="D438" s="1497"/>
      <c r="E438" s="1497"/>
      <c r="F438" s="1497"/>
      <c r="G438" s="1497"/>
      <c r="H438" s="1497"/>
      <c r="I438" s="1497"/>
      <c r="J438" s="1497"/>
      <c r="K438" s="1497"/>
      <c r="L438" s="1497"/>
      <c r="M438" s="1497"/>
      <c r="N438" s="1497"/>
      <c r="O438" s="1497"/>
      <c r="P438" s="1497"/>
      <c r="Q438" s="1497"/>
      <c r="R438" s="1497"/>
      <c r="S438" s="1497"/>
      <c r="T438" s="1497"/>
      <c r="U438" s="1497"/>
      <c r="V438" s="1497"/>
      <c r="W438" s="1497"/>
      <c r="X438" s="1497"/>
      <c r="Y438" s="1497"/>
      <c r="Z438" s="1497"/>
    </row>
    <row r="439" spans="1:26" ht="12.75" customHeight="1">
      <c r="A439" s="1497"/>
      <c r="B439" s="1497"/>
      <c r="C439" s="1497"/>
      <c r="D439" s="1497"/>
      <c r="E439" s="1497"/>
      <c r="F439" s="1497"/>
      <c r="G439" s="1497"/>
      <c r="H439" s="1497"/>
      <c r="I439" s="1497"/>
      <c r="J439" s="1497"/>
      <c r="K439" s="1497"/>
      <c r="L439" s="1497"/>
      <c r="M439" s="1497"/>
      <c r="N439" s="1497"/>
      <c r="O439" s="1497"/>
      <c r="P439" s="1497"/>
      <c r="Q439" s="1497"/>
      <c r="R439" s="1497"/>
      <c r="S439" s="1497"/>
      <c r="T439" s="1497"/>
      <c r="U439" s="1497"/>
      <c r="V439" s="1497"/>
      <c r="W439" s="1497"/>
      <c r="X439" s="1497"/>
      <c r="Y439" s="1497"/>
      <c r="Z439" s="1497"/>
    </row>
    <row r="440" spans="1:26" ht="12.75" customHeight="1">
      <c r="A440" s="1497"/>
      <c r="B440" s="1497"/>
      <c r="C440" s="1497"/>
      <c r="D440" s="1497"/>
      <c r="E440" s="1497"/>
      <c r="F440" s="1497"/>
      <c r="G440" s="1497"/>
      <c r="H440" s="1497"/>
      <c r="I440" s="1497"/>
      <c r="J440" s="1497"/>
      <c r="K440" s="1497"/>
      <c r="L440" s="1497"/>
      <c r="M440" s="1497"/>
      <c r="N440" s="1497"/>
      <c r="O440" s="1497"/>
      <c r="P440" s="1497"/>
      <c r="Q440" s="1497"/>
      <c r="R440" s="1497"/>
      <c r="S440" s="1497"/>
      <c r="T440" s="1497"/>
      <c r="U440" s="1497"/>
      <c r="V440" s="1497"/>
      <c r="W440" s="1497"/>
      <c r="X440" s="1497"/>
      <c r="Y440" s="1497"/>
      <c r="Z440" s="1497"/>
    </row>
    <row r="441" spans="1:26" ht="12.75" customHeight="1">
      <c r="A441" s="1497"/>
      <c r="B441" s="1497"/>
      <c r="C441" s="1497"/>
      <c r="D441" s="1497"/>
      <c r="E441" s="1497"/>
      <c r="F441" s="1497"/>
      <c r="G441" s="1497"/>
      <c r="H441" s="1497"/>
      <c r="I441" s="1497"/>
      <c r="J441" s="1497"/>
      <c r="K441" s="1497"/>
      <c r="L441" s="1497"/>
      <c r="M441" s="1497"/>
      <c r="N441" s="1497"/>
      <c r="O441" s="1497"/>
      <c r="P441" s="1497"/>
      <c r="Q441" s="1497"/>
      <c r="R441" s="1497"/>
      <c r="S441" s="1497"/>
      <c r="T441" s="1497"/>
      <c r="U441" s="1497"/>
      <c r="V441" s="1497"/>
      <c r="W441" s="1497"/>
      <c r="X441" s="1497"/>
      <c r="Y441" s="1497"/>
      <c r="Z441" s="1497"/>
    </row>
    <row r="442" spans="1:26" ht="12.75" customHeight="1">
      <c r="A442" s="1497"/>
      <c r="B442" s="1497"/>
      <c r="C442" s="1497"/>
      <c r="D442" s="1497"/>
      <c r="E442" s="1497"/>
      <c r="F442" s="1497"/>
      <c r="G442" s="1497"/>
      <c r="H442" s="1497"/>
      <c r="I442" s="1497"/>
      <c r="J442" s="1497"/>
      <c r="K442" s="1497"/>
      <c r="L442" s="1497"/>
      <c r="M442" s="1497"/>
      <c r="N442" s="1497"/>
      <c r="O442" s="1497"/>
      <c r="P442" s="1497"/>
      <c r="Q442" s="1497"/>
      <c r="R442" s="1497"/>
      <c r="S442" s="1497"/>
      <c r="T442" s="1497"/>
      <c r="U442" s="1497"/>
      <c r="V442" s="1497"/>
      <c r="W442" s="1497"/>
      <c r="X442" s="1497"/>
      <c r="Y442" s="1497"/>
      <c r="Z442" s="1497"/>
    </row>
    <row r="443" spans="1:26" ht="12.75" customHeight="1">
      <c r="A443" s="1497"/>
      <c r="B443" s="1497"/>
      <c r="C443" s="1497"/>
      <c r="D443" s="1497"/>
      <c r="E443" s="1497"/>
      <c r="F443" s="1497"/>
      <c r="G443" s="1497"/>
      <c r="H443" s="1497"/>
      <c r="I443" s="1497"/>
      <c r="J443" s="1497"/>
      <c r="K443" s="1497"/>
      <c r="L443" s="1497"/>
      <c r="M443" s="1497"/>
      <c r="N443" s="1497"/>
      <c r="O443" s="1497"/>
      <c r="P443" s="1497"/>
      <c r="Q443" s="1497"/>
      <c r="R443" s="1497"/>
      <c r="S443" s="1497"/>
      <c r="T443" s="1497"/>
      <c r="U443" s="1497"/>
      <c r="V443" s="1497"/>
      <c r="W443" s="1497"/>
      <c r="X443" s="1497"/>
      <c r="Y443" s="1497"/>
      <c r="Z443" s="1497"/>
    </row>
    <row r="444" spans="1:26" ht="12.75" customHeight="1">
      <c r="A444" s="1497"/>
      <c r="B444" s="1497"/>
      <c r="C444" s="1497"/>
      <c r="D444" s="1497"/>
      <c r="E444" s="1497"/>
      <c r="F444" s="1497"/>
      <c r="G444" s="1497"/>
      <c r="H444" s="1497"/>
      <c r="I444" s="1497"/>
      <c r="J444" s="1497"/>
      <c r="K444" s="1497"/>
      <c r="L444" s="1497"/>
      <c r="M444" s="1497"/>
      <c r="N444" s="1497"/>
      <c r="O444" s="1497"/>
      <c r="P444" s="1497"/>
      <c r="Q444" s="1497"/>
      <c r="R444" s="1497"/>
      <c r="S444" s="1497"/>
      <c r="T444" s="1497"/>
      <c r="U444" s="1497"/>
      <c r="V444" s="1497"/>
      <c r="W444" s="1497"/>
      <c r="X444" s="1497"/>
      <c r="Y444" s="1497"/>
      <c r="Z444" s="1497"/>
    </row>
    <row r="445" spans="1:26" ht="12.75" customHeight="1">
      <c r="A445" s="1497"/>
      <c r="B445" s="1497"/>
      <c r="C445" s="1497"/>
      <c r="D445" s="1497"/>
      <c r="E445" s="1497"/>
      <c r="F445" s="1497"/>
      <c r="G445" s="1497"/>
      <c r="H445" s="1497"/>
      <c r="I445" s="1497"/>
      <c r="J445" s="1497"/>
      <c r="K445" s="1497"/>
      <c r="L445" s="1497"/>
      <c r="M445" s="1497"/>
      <c r="N445" s="1497"/>
      <c r="O445" s="1497"/>
      <c r="P445" s="1497"/>
      <c r="Q445" s="1497"/>
      <c r="R445" s="1497"/>
      <c r="S445" s="1497"/>
      <c r="T445" s="1497"/>
      <c r="U445" s="1497"/>
      <c r="V445" s="1497"/>
      <c r="W445" s="1497"/>
      <c r="X445" s="1497"/>
      <c r="Y445" s="1497"/>
      <c r="Z445" s="1497"/>
    </row>
    <row r="446" spans="1:26" ht="12.75" customHeight="1">
      <c r="A446" s="1497"/>
      <c r="B446" s="1497"/>
      <c r="C446" s="1497"/>
      <c r="D446" s="1497"/>
      <c r="E446" s="1497"/>
      <c r="F446" s="1497"/>
      <c r="G446" s="1497"/>
      <c r="H446" s="1497"/>
      <c r="I446" s="1497"/>
      <c r="J446" s="1497"/>
      <c r="K446" s="1497"/>
      <c r="L446" s="1497"/>
      <c r="M446" s="1497"/>
      <c r="N446" s="1497"/>
      <c r="O446" s="1497"/>
      <c r="P446" s="1497"/>
      <c r="Q446" s="1497"/>
      <c r="R446" s="1497"/>
      <c r="S446" s="1497"/>
      <c r="T446" s="1497"/>
      <c r="U446" s="1497"/>
      <c r="V446" s="1497"/>
      <c r="W446" s="1497"/>
      <c r="X446" s="1497"/>
      <c r="Y446" s="1497"/>
      <c r="Z446" s="1497"/>
    </row>
    <row r="447" spans="1:26" ht="12.75" customHeight="1">
      <c r="A447" s="1497"/>
      <c r="B447" s="1497"/>
      <c r="C447" s="1497"/>
      <c r="D447" s="1497"/>
      <c r="E447" s="1497"/>
      <c r="F447" s="1497"/>
      <c r="G447" s="1497"/>
      <c r="H447" s="1497"/>
      <c r="I447" s="1497"/>
      <c r="J447" s="1497"/>
      <c r="K447" s="1497"/>
      <c r="L447" s="1497"/>
      <c r="M447" s="1497"/>
      <c r="N447" s="1497"/>
      <c r="O447" s="1497"/>
      <c r="P447" s="1497"/>
      <c r="Q447" s="1497"/>
      <c r="R447" s="1497"/>
      <c r="S447" s="1497"/>
      <c r="T447" s="1497"/>
      <c r="U447" s="1497"/>
      <c r="V447" s="1497"/>
      <c r="W447" s="1497"/>
      <c r="X447" s="1497"/>
      <c r="Y447" s="1497"/>
      <c r="Z447" s="1497"/>
    </row>
    <row r="448" spans="1:26" ht="12.75" customHeight="1">
      <c r="A448" s="1497"/>
      <c r="B448" s="1497"/>
      <c r="C448" s="1497"/>
      <c r="D448" s="1497"/>
      <c r="E448" s="1497"/>
      <c r="F448" s="1497"/>
      <c r="G448" s="1497"/>
      <c r="H448" s="1497"/>
      <c r="I448" s="1497"/>
      <c r="J448" s="1497"/>
      <c r="K448" s="1497"/>
      <c r="L448" s="1497"/>
      <c r="M448" s="1497"/>
      <c r="N448" s="1497"/>
      <c r="O448" s="1497"/>
      <c r="P448" s="1497"/>
      <c r="Q448" s="1497"/>
      <c r="R448" s="1497"/>
      <c r="S448" s="1497"/>
      <c r="T448" s="1497"/>
      <c r="U448" s="1497"/>
      <c r="V448" s="1497"/>
      <c r="W448" s="1497"/>
      <c r="X448" s="1497"/>
      <c r="Y448" s="1497"/>
      <c r="Z448" s="1497"/>
    </row>
    <row r="449" spans="1:26" ht="12.75" customHeight="1">
      <c r="A449" s="1497"/>
      <c r="B449" s="1497"/>
      <c r="C449" s="1497"/>
      <c r="D449" s="1497"/>
      <c r="E449" s="1497"/>
      <c r="F449" s="1497"/>
      <c r="G449" s="1497"/>
      <c r="H449" s="1497"/>
      <c r="I449" s="1497"/>
      <c r="J449" s="1497"/>
      <c r="K449" s="1497"/>
      <c r="L449" s="1497"/>
      <c r="M449" s="1497"/>
      <c r="N449" s="1497"/>
      <c r="O449" s="1497"/>
      <c r="P449" s="1497"/>
      <c r="Q449" s="1497"/>
      <c r="R449" s="1497"/>
      <c r="S449" s="1497"/>
      <c r="T449" s="1497"/>
      <c r="U449" s="1497"/>
      <c r="V449" s="1497"/>
      <c r="W449" s="1497"/>
      <c r="X449" s="1497"/>
      <c r="Y449" s="1497"/>
      <c r="Z449" s="1497"/>
    </row>
    <row r="450" spans="1:26" ht="12.75" customHeight="1">
      <c r="A450" s="1497"/>
      <c r="B450" s="1497"/>
      <c r="C450" s="1497"/>
      <c r="D450" s="1497"/>
      <c r="E450" s="1497"/>
      <c r="F450" s="1497"/>
      <c r="G450" s="1497"/>
      <c r="H450" s="1497"/>
      <c r="I450" s="1497"/>
      <c r="J450" s="1497"/>
      <c r="K450" s="1497"/>
      <c r="L450" s="1497"/>
      <c r="M450" s="1497"/>
      <c r="N450" s="1497"/>
      <c r="O450" s="1497"/>
      <c r="P450" s="1497"/>
      <c r="Q450" s="1497"/>
      <c r="R450" s="1497"/>
      <c r="S450" s="1497"/>
      <c r="T450" s="1497"/>
      <c r="U450" s="1497"/>
      <c r="V450" s="1497"/>
      <c r="W450" s="1497"/>
      <c r="X450" s="1497"/>
      <c r="Y450" s="1497"/>
      <c r="Z450" s="1497"/>
    </row>
    <row r="451" spans="1:26" ht="12.75" customHeight="1">
      <c r="A451" s="1497"/>
      <c r="B451" s="1497"/>
      <c r="C451" s="1497"/>
      <c r="D451" s="1497"/>
      <c r="E451" s="1497"/>
      <c r="F451" s="1497"/>
      <c r="G451" s="1497"/>
      <c r="H451" s="1497"/>
      <c r="I451" s="1497"/>
      <c r="J451" s="1497"/>
      <c r="K451" s="1497"/>
      <c r="L451" s="1497"/>
      <c r="M451" s="1497"/>
      <c r="N451" s="1497"/>
      <c r="O451" s="1497"/>
      <c r="P451" s="1497"/>
      <c r="Q451" s="1497"/>
      <c r="R451" s="1497"/>
      <c r="S451" s="1497"/>
      <c r="T451" s="1497"/>
      <c r="U451" s="1497"/>
      <c r="V451" s="1497"/>
      <c r="W451" s="1497"/>
      <c r="X451" s="1497"/>
      <c r="Y451" s="1497"/>
      <c r="Z451" s="1497"/>
    </row>
    <row r="452" spans="1:26" ht="12.75" customHeight="1">
      <c r="A452" s="1497"/>
      <c r="B452" s="1497"/>
      <c r="C452" s="1497"/>
      <c r="D452" s="1497"/>
      <c r="E452" s="1497"/>
      <c r="F452" s="1497"/>
      <c r="G452" s="1497"/>
      <c r="H452" s="1497"/>
      <c r="I452" s="1497"/>
      <c r="J452" s="1497"/>
      <c r="K452" s="1497"/>
      <c r="L452" s="1497"/>
      <c r="M452" s="1497"/>
      <c r="N452" s="1497"/>
      <c r="O452" s="1497"/>
      <c r="P452" s="1497"/>
      <c r="Q452" s="1497"/>
      <c r="R452" s="1497"/>
      <c r="S452" s="1497"/>
      <c r="T452" s="1497"/>
      <c r="U452" s="1497"/>
      <c r="V452" s="1497"/>
      <c r="W452" s="1497"/>
      <c r="X452" s="1497"/>
      <c r="Y452" s="1497"/>
      <c r="Z452" s="1497"/>
    </row>
    <row r="453" spans="1:26" ht="12.75" customHeight="1">
      <c r="A453" s="1497"/>
      <c r="B453" s="1497"/>
      <c r="C453" s="1497"/>
      <c r="D453" s="1497"/>
      <c r="E453" s="1497"/>
      <c r="F453" s="1497"/>
      <c r="G453" s="1497"/>
      <c r="H453" s="1497"/>
      <c r="I453" s="1497"/>
      <c r="J453" s="1497"/>
      <c r="K453" s="1497"/>
      <c r="L453" s="1497"/>
      <c r="M453" s="1497"/>
      <c r="N453" s="1497"/>
      <c r="O453" s="1497"/>
      <c r="P453" s="1497"/>
      <c r="Q453" s="1497"/>
      <c r="R453" s="1497"/>
      <c r="S453" s="1497"/>
      <c r="T453" s="1497"/>
      <c r="U453" s="1497"/>
      <c r="V453" s="1497"/>
      <c r="W453" s="1497"/>
      <c r="X453" s="1497"/>
      <c r="Y453" s="1497"/>
      <c r="Z453" s="1497"/>
    </row>
    <row r="454" spans="1:26" ht="12.75" customHeight="1">
      <c r="A454" s="1497"/>
      <c r="B454" s="1497"/>
      <c r="C454" s="1497"/>
      <c r="D454" s="1497"/>
      <c r="E454" s="1497"/>
      <c r="F454" s="1497"/>
      <c r="G454" s="1497"/>
      <c r="H454" s="1497"/>
      <c r="I454" s="1497"/>
      <c r="J454" s="1497"/>
      <c r="K454" s="1497"/>
      <c r="L454" s="1497"/>
      <c r="M454" s="1497"/>
      <c r="N454" s="1497"/>
      <c r="O454" s="1497"/>
      <c r="P454" s="1497"/>
      <c r="Q454" s="1497"/>
      <c r="R454" s="1497"/>
      <c r="S454" s="1497"/>
      <c r="T454" s="1497"/>
      <c r="U454" s="1497"/>
      <c r="V454" s="1497"/>
      <c r="W454" s="1497"/>
      <c r="X454" s="1497"/>
      <c r="Y454" s="1497"/>
      <c r="Z454" s="1497"/>
    </row>
    <row r="455" spans="1:26" ht="12.75" customHeight="1">
      <c r="A455" s="1497"/>
      <c r="B455" s="1497"/>
      <c r="C455" s="1497"/>
      <c r="D455" s="1497"/>
      <c r="E455" s="1497"/>
      <c r="F455" s="1497"/>
      <c r="G455" s="1497"/>
      <c r="H455" s="1497"/>
      <c r="I455" s="1497"/>
      <c r="J455" s="1497"/>
      <c r="K455" s="1497"/>
      <c r="L455" s="1497"/>
      <c r="M455" s="1497"/>
      <c r="N455" s="1497"/>
      <c r="O455" s="1497"/>
      <c r="P455" s="1497"/>
      <c r="Q455" s="1497"/>
      <c r="R455" s="1497"/>
      <c r="S455" s="1497"/>
      <c r="T455" s="1497"/>
      <c r="U455" s="1497"/>
      <c r="V455" s="1497"/>
      <c r="W455" s="1497"/>
      <c r="X455" s="1497"/>
      <c r="Y455" s="1497"/>
      <c r="Z455" s="1497"/>
    </row>
    <row r="456" spans="1:26" ht="12.75" customHeight="1">
      <c r="A456" s="1497"/>
      <c r="B456" s="1497"/>
      <c r="C456" s="1497"/>
      <c r="D456" s="1497"/>
      <c r="E456" s="1497"/>
      <c r="F456" s="1497"/>
      <c r="G456" s="1497"/>
      <c r="H456" s="1497"/>
      <c r="I456" s="1497"/>
      <c r="J456" s="1497"/>
      <c r="K456" s="1497"/>
      <c r="L456" s="1497"/>
      <c r="M456" s="1497"/>
      <c r="N456" s="1497"/>
      <c r="O456" s="1497"/>
      <c r="P456" s="1497"/>
      <c r="Q456" s="1497"/>
      <c r="R456" s="1497"/>
      <c r="S456" s="1497"/>
      <c r="T456" s="1497"/>
      <c r="U456" s="1497"/>
      <c r="V456" s="1497"/>
      <c r="W456" s="1497"/>
      <c r="X456" s="1497"/>
      <c r="Y456" s="1497"/>
      <c r="Z456" s="1497"/>
    </row>
    <row r="457" spans="1:26" ht="12.75" customHeight="1">
      <c r="A457" s="1497"/>
      <c r="B457" s="1497"/>
      <c r="C457" s="1497"/>
      <c r="D457" s="1497"/>
      <c r="E457" s="1497"/>
      <c r="F457" s="1497"/>
      <c r="G457" s="1497"/>
      <c r="H457" s="1497"/>
      <c r="I457" s="1497"/>
      <c r="J457" s="1497"/>
      <c r="K457" s="1497"/>
      <c r="L457" s="1497"/>
      <c r="M457" s="1497"/>
      <c r="N457" s="1497"/>
      <c r="O457" s="1497"/>
      <c r="P457" s="1497"/>
      <c r="Q457" s="1497"/>
      <c r="R457" s="1497"/>
      <c r="S457" s="1497"/>
      <c r="T457" s="1497"/>
      <c r="U457" s="1497"/>
      <c r="V457" s="1497"/>
      <c r="W457" s="1497"/>
      <c r="X457" s="1497"/>
      <c r="Y457" s="1497"/>
      <c r="Z457" s="1497"/>
    </row>
    <row r="458" spans="1:26" ht="12.75" customHeight="1">
      <c r="A458" s="1497"/>
      <c r="B458" s="1497"/>
      <c r="C458" s="1497"/>
      <c r="D458" s="1497"/>
      <c r="E458" s="1497"/>
      <c r="F458" s="1497"/>
      <c r="G458" s="1497"/>
      <c r="H458" s="1497"/>
      <c r="I458" s="1497"/>
      <c r="J458" s="1497"/>
      <c r="K458" s="1497"/>
      <c r="L458" s="1497"/>
      <c r="M458" s="1497"/>
      <c r="N458" s="1497"/>
      <c r="O458" s="1497"/>
      <c r="P458" s="1497"/>
      <c r="Q458" s="1497"/>
      <c r="R458" s="1497"/>
      <c r="S458" s="1497"/>
      <c r="T458" s="1497"/>
      <c r="U458" s="1497"/>
      <c r="V458" s="1497"/>
      <c r="W458" s="1497"/>
      <c r="X458" s="1497"/>
      <c r="Y458" s="1497"/>
      <c r="Z458" s="1497"/>
    </row>
    <row r="459" spans="1:26" ht="12.75" customHeight="1">
      <c r="A459" s="1497"/>
      <c r="B459" s="1497"/>
      <c r="C459" s="1497"/>
      <c r="D459" s="1497"/>
      <c r="E459" s="1497"/>
      <c r="F459" s="1497"/>
      <c r="G459" s="1497"/>
      <c r="H459" s="1497"/>
      <c r="I459" s="1497"/>
      <c r="J459" s="1497"/>
      <c r="K459" s="1497"/>
      <c r="L459" s="1497"/>
      <c r="M459" s="1497"/>
      <c r="N459" s="1497"/>
      <c r="O459" s="1497"/>
      <c r="P459" s="1497"/>
      <c r="Q459" s="1497"/>
      <c r="R459" s="1497"/>
      <c r="S459" s="1497"/>
      <c r="T459" s="1497"/>
      <c r="U459" s="1497"/>
      <c r="V459" s="1497"/>
      <c r="W459" s="1497"/>
      <c r="X459" s="1497"/>
      <c r="Y459" s="1497"/>
      <c r="Z459" s="1497"/>
    </row>
    <row r="460" spans="1:26" ht="12.75" customHeight="1">
      <c r="A460" s="1497"/>
      <c r="B460" s="1497"/>
      <c r="C460" s="1497"/>
      <c r="D460" s="1497"/>
      <c r="E460" s="1497"/>
      <c r="F460" s="1497"/>
      <c r="G460" s="1497"/>
      <c r="H460" s="1497"/>
      <c r="I460" s="1497"/>
      <c r="J460" s="1497"/>
      <c r="K460" s="1497"/>
      <c r="L460" s="1497"/>
      <c r="M460" s="1497"/>
      <c r="N460" s="1497"/>
      <c r="O460" s="1497"/>
      <c r="P460" s="1497"/>
      <c r="Q460" s="1497"/>
      <c r="R460" s="1497"/>
      <c r="S460" s="1497"/>
      <c r="T460" s="1497"/>
      <c r="U460" s="1497"/>
      <c r="V460" s="1497"/>
      <c r="W460" s="1497"/>
      <c r="X460" s="1497"/>
      <c r="Y460" s="1497"/>
      <c r="Z460" s="1497"/>
    </row>
    <row r="461" spans="1:26" ht="12.75" customHeight="1">
      <c r="A461" s="1497"/>
      <c r="B461" s="1497"/>
      <c r="C461" s="1497"/>
      <c r="D461" s="1497"/>
      <c r="E461" s="1497"/>
      <c r="F461" s="1497"/>
      <c r="G461" s="1497"/>
      <c r="H461" s="1497"/>
      <c r="I461" s="1497"/>
      <c r="J461" s="1497"/>
      <c r="K461" s="1497"/>
      <c r="L461" s="1497"/>
      <c r="M461" s="1497"/>
      <c r="N461" s="1497"/>
      <c r="O461" s="1497"/>
      <c r="P461" s="1497"/>
      <c r="Q461" s="1497"/>
      <c r="R461" s="1497"/>
      <c r="S461" s="1497"/>
      <c r="T461" s="1497"/>
      <c r="U461" s="1497"/>
      <c r="V461" s="1497"/>
      <c r="W461" s="1497"/>
      <c r="X461" s="1497"/>
      <c r="Y461" s="1497"/>
      <c r="Z461" s="1497"/>
    </row>
    <row r="462" spans="1:26" ht="12.75" customHeight="1">
      <c r="A462" s="1497"/>
      <c r="B462" s="1497"/>
      <c r="C462" s="1497"/>
      <c r="D462" s="1497"/>
      <c r="E462" s="1497"/>
      <c r="F462" s="1497"/>
      <c r="G462" s="1497"/>
      <c r="H462" s="1497"/>
      <c r="I462" s="1497"/>
      <c r="J462" s="1497"/>
      <c r="K462" s="1497"/>
      <c r="L462" s="1497"/>
      <c r="M462" s="1497"/>
      <c r="N462" s="1497"/>
      <c r="O462" s="1497"/>
      <c r="P462" s="1497"/>
      <c r="Q462" s="1497"/>
      <c r="R462" s="1497"/>
      <c r="S462" s="1497"/>
      <c r="T462" s="1497"/>
      <c r="U462" s="1497"/>
      <c r="V462" s="1497"/>
      <c r="W462" s="1497"/>
      <c r="X462" s="1497"/>
      <c r="Y462" s="1497"/>
      <c r="Z462" s="1497"/>
    </row>
    <row r="463" spans="1:26" ht="12.75" customHeight="1">
      <c r="A463" s="1497"/>
      <c r="B463" s="1497"/>
      <c r="C463" s="1497"/>
      <c r="D463" s="1497"/>
      <c r="E463" s="1497"/>
      <c r="F463" s="1497"/>
      <c r="G463" s="1497"/>
      <c r="H463" s="1497"/>
      <c r="I463" s="1497"/>
      <c r="J463" s="1497"/>
      <c r="K463" s="1497"/>
      <c r="L463" s="1497"/>
      <c r="M463" s="1497"/>
      <c r="N463" s="1497"/>
      <c r="O463" s="1497"/>
      <c r="P463" s="1497"/>
      <c r="Q463" s="1497"/>
      <c r="R463" s="1497"/>
      <c r="S463" s="1497"/>
      <c r="T463" s="1497"/>
      <c r="U463" s="1497"/>
      <c r="V463" s="1497"/>
      <c r="W463" s="1497"/>
      <c r="X463" s="1497"/>
      <c r="Y463" s="1497"/>
      <c r="Z463" s="1497"/>
    </row>
    <row r="464" spans="1:26" ht="12.75" customHeight="1">
      <c r="A464" s="1497"/>
      <c r="B464" s="1497"/>
      <c r="C464" s="1497"/>
      <c r="D464" s="1497"/>
      <c r="E464" s="1497"/>
      <c r="F464" s="1497"/>
      <c r="G464" s="1497"/>
      <c r="H464" s="1497"/>
      <c r="I464" s="1497"/>
      <c r="J464" s="1497"/>
      <c r="K464" s="1497"/>
      <c r="L464" s="1497"/>
      <c r="M464" s="1497"/>
      <c r="N464" s="1497"/>
      <c r="O464" s="1497"/>
      <c r="P464" s="1497"/>
      <c r="Q464" s="1497"/>
      <c r="R464" s="1497"/>
      <c r="S464" s="1497"/>
      <c r="T464" s="1497"/>
      <c r="U464" s="1497"/>
      <c r="V464" s="1497"/>
      <c r="W464" s="1497"/>
      <c r="X464" s="1497"/>
      <c r="Y464" s="1497"/>
      <c r="Z464" s="1497"/>
    </row>
    <row r="465" spans="1:26" ht="12.75" customHeight="1">
      <c r="A465" s="1497"/>
      <c r="B465" s="1497"/>
      <c r="C465" s="1497"/>
      <c r="D465" s="1497"/>
      <c r="E465" s="1497"/>
      <c r="F465" s="1497"/>
      <c r="G465" s="1497"/>
      <c r="H465" s="1497"/>
      <c r="I465" s="1497"/>
      <c r="J465" s="1497"/>
      <c r="K465" s="1497"/>
      <c r="L465" s="1497"/>
      <c r="M465" s="1497"/>
      <c r="N465" s="1497"/>
      <c r="O465" s="1497"/>
      <c r="P465" s="1497"/>
      <c r="Q465" s="1497"/>
      <c r="R465" s="1497"/>
      <c r="S465" s="1497"/>
      <c r="T465" s="1497"/>
      <c r="U465" s="1497"/>
      <c r="V465" s="1497"/>
      <c r="W465" s="1497"/>
      <c r="X465" s="1497"/>
      <c r="Y465" s="1497"/>
      <c r="Z465" s="1497"/>
    </row>
    <row r="466" spans="1:26" ht="12.75" customHeight="1">
      <c r="A466" s="1497"/>
      <c r="B466" s="1497"/>
      <c r="C466" s="1497"/>
      <c r="D466" s="1497"/>
      <c r="E466" s="1497"/>
      <c r="F466" s="1497"/>
      <c r="G466" s="1497"/>
      <c r="H466" s="1497"/>
      <c r="I466" s="1497"/>
      <c r="J466" s="1497"/>
      <c r="K466" s="1497"/>
      <c r="L466" s="1497"/>
      <c r="M466" s="1497"/>
      <c r="N466" s="1497"/>
      <c r="O466" s="1497"/>
      <c r="P466" s="1497"/>
      <c r="Q466" s="1497"/>
      <c r="R466" s="1497"/>
      <c r="S466" s="1497"/>
      <c r="T466" s="1497"/>
      <c r="U466" s="1497"/>
      <c r="V466" s="1497"/>
      <c r="W466" s="1497"/>
      <c r="X466" s="1497"/>
      <c r="Y466" s="1497"/>
      <c r="Z466" s="1497"/>
    </row>
    <row r="467" spans="1:26" ht="12.75" customHeight="1">
      <c r="A467" s="1497"/>
      <c r="B467" s="1497"/>
      <c r="C467" s="1497"/>
      <c r="D467" s="1497"/>
      <c r="E467" s="1497"/>
      <c r="F467" s="1497"/>
      <c r="G467" s="1497"/>
      <c r="H467" s="1497"/>
      <c r="I467" s="1497"/>
      <c r="J467" s="1497"/>
      <c r="K467" s="1497"/>
      <c r="L467" s="1497"/>
      <c r="M467" s="1497"/>
      <c r="N467" s="1497"/>
      <c r="O467" s="1497"/>
      <c r="P467" s="1497"/>
      <c r="Q467" s="1497"/>
      <c r="R467" s="1497"/>
      <c r="S467" s="1497"/>
      <c r="T467" s="1497"/>
      <c r="U467" s="1497"/>
      <c r="V467" s="1497"/>
      <c r="W467" s="1497"/>
      <c r="X467" s="1497"/>
      <c r="Y467" s="1497"/>
      <c r="Z467" s="1497"/>
    </row>
    <row r="468" spans="1:26" ht="12.75" customHeight="1">
      <c r="A468" s="1497"/>
      <c r="B468" s="1497"/>
      <c r="C468" s="1497"/>
      <c r="D468" s="1497"/>
      <c r="E468" s="1497"/>
      <c r="F468" s="1497"/>
      <c r="G468" s="1497"/>
      <c r="H468" s="1497"/>
      <c r="I468" s="1497"/>
      <c r="J468" s="1497"/>
      <c r="K468" s="1497"/>
      <c r="L468" s="1497"/>
      <c r="M468" s="1497"/>
      <c r="N468" s="1497"/>
      <c r="O468" s="1497"/>
      <c r="P468" s="1497"/>
      <c r="Q468" s="1497"/>
      <c r="R468" s="1497"/>
      <c r="S468" s="1497"/>
      <c r="T468" s="1497"/>
      <c r="U468" s="1497"/>
      <c r="V468" s="1497"/>
      <c r="W468" s="1497"/>
      <c r="X468" s="1497"/>
      <c r="Y468" s="1497"/>
      <c r="Z468" s="1497"/>
    </row>
    <row r="469" spans="1:26" ht="12.75" customHeight="1">
      <c r="A469" s="1497"/>
      <c r="B469" s="1497"/>
      <c r="C469" s="1497"/>
      <c r="D469" s="1497"/>
      <c r="E469" s="1497"/>
      <c r="F469" s="1497"/>
      <c r="G469" s="1497"/>
      <c r="H469" s="1497"/>
      <c r="I469" s="1497"/>
      <c r="J469" s="1497"/>
      <c r="K469" s="1497"/>
      <c r="L469" s="1497"/>
      <c r="M469" s="1497"/>
      <c r="N469" s="1497"/>
      <c r="O469" s="1497"/>
      <c r="P469" s="1497"/>
      <c r="Q469" s="1497"/>
      <c r="R469" s="1497"/>
      <c r="S469" s="1497"/>
      <c r="T469" s="1497"/>
      <c r="U469" s="1497"/>
      <c r="V469" s="1497"/>
      <c r="W469" s="1497"/>
      <c r="X469" s="1497"/>
      <c r="Y469" s="1497"/>
      <c r="Z469" s="1497"/>
    </row>
    <row r="470" spans="1:26" ht="12.75" customHeight="1">
      <c r="A470" s="1497"/>
      <c r="B470" s="1497"/>
      <c r="C470" s="1497"/>
      <c r="D470" s="1497"/>
      <c r="E470" s="1497"/>
      <c r="F470" s="1497"/>
      <c r="G470" s="1497"/>
      <c r="H470" s="1497"/>
      <c r="I470" s="1497"/>
      <c r="J470" s="1497"/>
      <c r="K470" s="1497"/>
      <c r="L470" s="1497"/>
      <c r="M470" s="1497"/>
      <c r="N470" s="1497"/>
      <c r="O470" s="1497"/>
      <c r="P470" s="1497"/>
      <c r="Q470" s="1497"/>
      <c r="R470" s="1497"/>
      <c r="S470" s="1497"/>
      <c r="T470" s="1497"/>
      <c r="U470" s="1497"/>
      <c r="V470" s="1497"/>
      <c r="W470" s="1497"/>
      <c r="X470" s="1497"/>
      <c r="Y470" s="1497"/>
      <c r="Z470" s="1497"/>
    </row>
    <row r="471" spans="1:26" ht="12.75" customHeight="1">
      <c r="A471" s="1497"/>
      <c r="B471" s="1497"/>
      <c r="C471" s="1497"/>
      <c r="D471" s="1497"/>
      <c r="E471" s="1497"/>
      <c r="F471" s="1497"/>
      <c r="G471" s="1497"/>
      <c r="H471" s="1497"/>
      <c r="I471" s="1497"/>
      <c r="J471" s="1497"/>
      <c r="K471" s="1497"/>
      <c r="L471" s="1497"/>
      <c r="M471" s="1497"/>
      <c r="N471" s="1497"/>
      <c r="O471" s="1497"/>
      <c r="P471" s="1497"/>
      <c r="Q471" s="1497"/>
      <c r="R471" s="1497"/>
      <c r="S471" s="1497"/>
      <c r="T471" s="1497"/>
      <c r="U471" s="1497"/>
      <c r="V471" s="1497"/>
      <c r="W471" s="1497"/>
      <c r="X471" s="1497"/>
      <c r="Y471" s="1497"/>
      <c r="Z471" s="1497"/>
    </row>
    <row r="472" spans="1:26" ht="12.75" customHeight="1">
      <c r="A472" s="1497"/>
      <c r="B472" s="1497"/>
      <c r="C472" s="1497"/>
      <c r="D472" s="1497"/>
      <c r="E472" s="1497"/>
      <c r="F472" s="1497"/>
      <c r="G472" s="1497"/>
      <c r="H472" s="1497"/>
      <c r="I472" s="1497"/>
      <c r="J472" s="1497"/>
      <c r="K472" s="1497"/>
      <c r="L472" s="1497"/>
      <c r="M472" s="1497"/>
      <c r="N472" s="1497"/>
      <c r="O472" s="1497"/>
      <c r="P472" s="1497"/>
      <c r="Q472" s="1497"/>
      <c r="R472" s="1497"/>
      <c r="S472" s="1497"/>
      <c r="T472" s="1497"/>
      <c r="U472" s="1497"/>
      <c r="V472" s="1497"/>
      <c r="W472" s="1497"/>
      <c r="X472" s="1497"/>
      <c r="Y472" s="1497"/>
      <c r="Z472" s="1497"/>
    </row>
    <row r="473" spans="1:26" ht="12.75" customHeight="1">
      <c r="A473" s="1497"/>
      <c r="B473" s="1497"/>
      <c r="C473" s="1497"/>
      <c r="D473" s="1497"/>
      <c r="E473" s="1497"/>
      <c r="F473" s="1497"/>
      <c r="G473" s="1497"/>
      <c r="H473" s="1497"/>
      <c r="I473" s="1497"/>
      <c r="J473" s="1497"/>
      <c r="K473" s="1497"/>
      <c r="L473" s="1497"/>
      <c r="M473" s="1497"/>
      <c r="N473" s="1497"/>
      <c r="O473" s="1497"/>
      <c r="P473" s="1497"/>
      <c r="Q473" s="1497"/>
      <c r="R473" s="1497"/>
      <c r="S473" s="1497"/>
      <c r="T473" s="1497"/>
      <c r="U473" s="1497"/>
      <c r="V473" s="1497"/>
      <c r="W473" s="1497"/>
      <c r="X473" s="1497"/>
      <c r="Y473" s="1497"/>
      <c r="Z473" s="1497"/>
    </row>
    <row r="474" spans="1:26" ht="12.75" customHeight="1">
      <c r="A474" s="1497"/>
      <c r="B474" s="1497"/>
      <c r="C474" s="1497"/>
      <c r="D474" s="1497"/>
      <c r="E474" s="1497"/>
      <c r="F474" s="1497"/>
      <c r="G474" s="1497"/>
      <c r="H474" s="1497"/>
      <c r="I474" s="1497"/>
      <c r="J474" s="1497"/>
      <c r="K474" s="1497"/>
      <c r="L474" s="1497"/>
      <c r="M474" s="1497"/>
      <c r="N474" s="1497"/>
      <c r="O474" s="1497"/>
      <c r="P474" s="1497"/>
      <c r="Q474" s="1497"/>
      <c r="R474" s="1497"/>
      <c r="S474" s="1497"/>
      <c r="T474" s="1497"/>
      <c r="U474" s="1497"/>
      <c r="V474" s="1497"/>
      <c r="W474" s="1497"/>
      <c r="X474" s="1497"/>
      <c r="Y474" s="1497"/>
      <c r="Z474" s="1497"/>
    </row>
    <row r="475" spans="1:26" ht="12.75" customHeight="1">
      <c r="A475" s="1497"/>
      <c r="B475" s="1497"/>
      <c r="C475" s="1497"/>
      <c r="D475" s="1497"/>
      <c r="E475" s="1497"/>
      <c r="F475" s="1497"/>
      <c r="G475" s="1497"/>
      <c r="H475" s="1497"/>
      <c r="I475" s="1497"/>
      <c r="J475" s="1497"/>
      <c r="K475" s="1497"/>
      <c r="L475" s="1497"/>
      <c r="M475" s="1497"/>
      <c r="N475" s="1497"/>
      <c r="O475" s="1497"/>
      <c r="P475" s="1497"/>
      <c r="Q475" s="1497"/>
      <c r="R475" s="1497"/>
      <c r="S475" s="1497"/>
      <c r="T475" s="1497"/>
      <c r="U475" s="1497"/>
      <c r="V475" s="1497"/>
      <c r="W475" s="1497"/>
      <c r="X475" s="1497"/>
      <c r="Y475" s="1497"/>
      <c r="Z475" s="1497"/>
    </row>
    <row r="476" spans="1:26" ht="12.75" customHeight="1">
      <c r="A476" s="1497"/>
      <c r="B476" s="1497"/>
      <c r="C476" s="1497"/>
      <c r="D476" s="1497"/>
      <c r="E476" s="1497"/>
      <c r="F476" s="1497"/>
      <c r="G476" s="1497"/>
      <c r="H476" s="1497"/>
      <c r="I476" s="1497"/>
      <c r="J476" s="1497"/>
      <c r="K476" s="1497"/>
      <c r="L476" s="1497"/>
      <c r="M476" s="1497"/>
      <c r="N476" s="1497"/>
      <c r="O476" s="1497"/>
      <c r="P476" s="1497"/>
      <c r="Q476" s="1497"/>
      <c r="R476" s="1497"/>
      <c r="S476" s="1497"/>
      <c r="T476" s="1497"/>
      <c r="U476" s="1497"/>
      <c r="V476" s="1497"/>
      <c r="W476" s="1497"/>
      <c r="X476" s="1497"/>
      <c r="Y476" s="1497"/>
      <c r="Z476" s="1497"/>
    </row>
    <row r="477" spans="1:26" ht="12.75" customHeight="1">
      <c r="A477" s="1497"/>
      <c r="B477" s="1497"/>
      <c r="C477" s="1497"/>
      <c r="D477" s="1497"/>
      <c r="E477" s="1497"/>
      <c r="F477" s="1497"/>
      <c r="G477" s="1497"/>
      <c r="H477" s="1497"/>
      <c r="I477" s="1497"/>
      <c r="J477" s="1497"/>
      <c r="K477" s="1497"/>
      <c r="L477" s="1497"/>
      <c r="M477" s="1497"/>
      <c r="N477" s="1497"/>
      <c r="O477" s="1497"/>
      <c r="P477" s="1497"/>
      <c r="Q477" s="1497"/>
      <c r="R477" s="1497"/>
      <c r="S477" s="1497"/>
      <c r="T477" s="1497"/>
      <c r="U477" s="1497"/>
      <c r="V477" s="1497"/>
      <c r="W477" s="1497"/>
      <c r="X477" s="1497"/>
      <c r="Y477" s="1497"/>
      <c r="Z477" s="1497"/>
    </row>
    <row r="478" spans="1:26" ht="12.75" customHeight="1">
      <c r="A478" s="1497"/>
      <c r="B478" s="1497"/>
      <c r="C478" s="1497"/>
      <c r="D478" s="1497"/>
      <c r="E478" s="1497"/>
      <c r="F478" s="1497"/>
      <c r="G478" s="1497"/>
      <c r="H478" s="1497"/>
      <c r="I478" s="1497"/>
      <c r="J478" s="1497"/>
      <c r="K478" s="1497"/>
      <c r="L478" s="1497"/>
      <c r="M478" s="1497"/>
      <c r="N478" s="1497"/>
      <c r="O478" s="1497"/>
      <c r="P478" s="1497"/>
      <c r="Q478" s="1497"/>
      <c r="R478" s="1497"/>
      <c r="S478" s="1497"/>
      <c r="T478" s="1497"/>
      <c r="U478" s="1497"/>
      <c r="V478" s="1497"/>
      <c r="W478" s="1497"/>
      <c r="X478" s="1497"/>
      <c r="Y478" s="1497"/>
      <c r="Z478" s="1497"/>
    </row>
    <row r="479" spans="1:26" ht="12.75" customHeight="1">
      <c r="A479" s="1497"/>
      <c r="B479" s="1497"/>
      <c r="C479" s="1497"/>
      <c r="D479" s="1497"/>
      <c r="E479" s="1497"/>
      <c r="F479" s="1497"/>
      <c r="G479" s="1497"/>
      <c r="H479" s="1497"/>
      <c r="I479" s="1497"/>
      <c r="J479" s="1497"/>
      <c r="K479" s="1497"/>
      <c r="L479" s="1497"/>
      <c r="M479" s="1497"/>
      <c r="N479" s="1497"/>
      <c r="O479" s="1497"/>
      <c r="P479" s="1497"/>
      <c r="Q479" s="1497"/>
      <c r="R479" s="1497"/>
      <c r="S479" s="1497"/>
      <c r="T479" s="1497"/>
      <c r="U479" s="1497"/>
      <c r="V479" s="1497"/>
      <c r="W479" s="1497"/>
      <c r="X479" s="1497"/>
      <c r="Y479" s="1497"/>
      <c r="Z479" s="1497"/>
    </row>
    <row r="480" spans="1:26" ht="12.75" customHeight="1">
      <c r="A480" s="1497"/>
      <c r="B480" s="1497"/>
      <c r="C480" s="1497"/>
      <c r="D480" s="1497"/>
      <c r="E480" s="1497"/>
      <c r="F480" s="1497"/>
      <c r="G480" s="1497"/>
      <c r="H480" s="1497"/>
      <c r="I480" s="1497"/>
      <c r="J480" s="1497"/>
      <c r="K480" s="1497"/>
      <c r="L480" s="1497"/>
      <c r="M480" s="1497"/>
      <c r="N480" s="1497"/>
      <c r="O480" s="1497"/>
      <c r="P480" s="1497"/>
      <c r="Q480" s="1497"/>
      <c r="R480" s="1497"/>
      <c r="S480" s="1497"/>
      <c r="T480" s="1497"/>
      <c r="U480" s="1497"/>
      <c r="V480" s="1497"/>
      <c r="W480" s="1497"/>
      <c r="X480" s="1497"/>
      <c r="Y480" s="1497"/>
      <c r="Z480" s="1497"/>
    </row>
    <row r="481" spans="1:26" ht="12.75" customHeight="1">
      <c r="A481" s="1497"/>
      <c r="B481" s="1497"/>
      <c r="C481" s="1497"/>
      <c r="D481" s="1497"/>
      <c r="E481" s="1497"/>
      <c r="F481" s="1497"/>
      <c r="G481" s="1497"/>
      <c r="H481" s="1497"/>
      <c r="I481" s="1497"/>
      <c r="J481" s="1497"/>
      <c r="K481" s="1497"/>
      <c r="L481" s="1497"/>
      <c r="M481" s="1497"/>
      <c r="N481" s="1497"/>
      <c r="O481" s="1497"/>
      <c r="P481" s="1497"/>
      <c r="Q481" s="1497"/>
      <c r="R481" s="1497"/>
      <c r="S481" s="1497"/>
      <c r="T481" s="1497"/>
      <c r="U481" s="1497"/>
      <c r="V481" s="1497"/>
      <c r="W481" s="1497"/>
      <c r="X481" s="1497"/>
      <c r="Y481" s="1497"/>
      <c r="Z481" s="1497"/>
    </row>
    <row r="482" spans="1:26" ht="12.75" customHeight="1">
      <c r="A482" s="1497"/>
      <c r="B482" s="1497"/>
      <c r="C482" s="1497"/>
      <c r="D482" s="1497"/>
      <c r="E482" s="1497"/>
      <c r="F482" s="1497"/>
      <c r="G482" s="1497"/>
      <c r="H482" s="1497"/>
      <c r="I482" s="1497"/>
      <c r="J482" s="1497"/>
      <c r="K482" s="1497"/>
      <c r="L482" s="1497"/>
      <c r="M482" s="1497"/>
      <c r="N482" s="1497"/>
      <c r="O482" s="1497"/>
      <c r="P482" s="1497"/>
      <c r="Q482" s="1497"/>
      <c r="R482" s="1497"/>
      <c r="S482" s="1497"/>
      <c r="T482" s="1497"/>
      <c r="U482" s="1497"/>
      <c r="V482" s="1497"/>
      <c r="W482" s="1497"/>
      <c r="X482" s="1497"/>
      <c r="Y482" s="1497"/>
      <c r="Z482" s="1497"/>
    </row>
    <row r="483" spans="1:26" ht="12.75" customHeight="1">
      <c r="A483" s="1497"/>
      <c r="B483" s="1497"/>
      <c r="C483" s="1497"/>
      <c r="D483" s="1497"/>
      <c r="E483" s="1497"/>
      <c r="F483" s="1497"/>
      <c r="G483" s="1497"/>
      <c r="H483" s="1497"/>
      <c r="I483" s="1497"/>
      <c r="J483" s="1497"/>
      <c r="K483" s="1497"/>
      <c r="L483" s="1497"/>
      <c r="M483" s="1497"/>
      <c r="N483" s="1497"/>
      <c r="O483" s="1497"/>
      <c r="P483" s="1497"/>
      <c r="Q483" s="1497"/>
      <c r="R483" s="1497"/>
      <c r="S483" s="1497"/>
      <c r="T483" s="1497"/>
      <c r="U483" s="1497"/>
      <c r="V483" s="1497"/>
      <c r="W483" s="1497"/>
      <c r="X483" s="1497"/>
      <c r="Y483" s="1497"/>
      <c r="Z483" s="1497"/>
    </row>
    <row r="484" spans="1:26" ht="12.75" customHeight="1">
      <c r="A484" s="1497"/>
      <c r="B484" s="1497"/>
      <c r="C484" s="1497"/>
      <c r="D484" s="1497"/>
      <c r="E484" s="1497"/>
      <c r="F484" s="1497"/>
      <c r="G484" s="1497"/>
      <c r="H484" s="1497"/>
      <c r="I484" s="1497"/>
      <c r="J484" s="1497"/>
      <c r="K484" s="1497"/>
      <c r="L484" s="1497"/>
      <c r="M484" s="1497"/>
      <c r="N484" s="1497"/>
      <c r="O484" s="1497"/>
      <c r="P484" s="1497"/>
      <c r="Q484" s="1497"/>
      <c r="R484" s="1497"/>
      <c r="S484" s="1497"/>
      <c r="T484" s="1497"/>
      <c r="U484" s="1497"/>
      <c r="V484" s="1497"/>
      <c r="W484" s="1497"/>
      <c r="X484" s="1497"/>
      <c r="Y484" s="1497"/>
      <c r="Z484" s="1497"/>
    </row>
    <row r="485" spans="1:26" ht="12.75" customHeight="1">
      <c r="A485" s="1497"/>
      <c r="B485" s="1497"/>
      <c r="C485" s="1497"/>
      <c r="D485" s="1497"/>
      <c r="E485" s="1497"/>
      <c r="F485" s="1497"/>
      <c r="G485" s="1497"/>
      <c r="H485" s="1497"/>
      <c r="I485" s="1497"/>
      <c r="J485" s="1497"/>
      <c r="K485" s="1497"/>
      <c r="L485" s="1497"/>
      <c r="M485" s="1497"/>
      <c r="N485" s="1497"/>
      <c r="O485" s="1497"/>
      <c r="P485" s="1497"/>
      <c r="Q485" s="1497"/>
      <c r="R485" s="1497"/>
      <c r="S485" s="1497"/>
      <c r="T485" s="1497"/>
      <c r="U485" s="1497"/>
      <c r="V485" s="1497"/>
      <c r="W485" s="1497"/>
      <c r="X485" s="1497"/>
      <c r="Y485" s="1497"/>
      <c r="Z485" s="1497"/>
    </row>
    <row r="486" spans="1:26" ht="12.75" customHeight="1">
      <c r="A486" s="1497"/>
      <c r="B486" s="1497"/>
      <c r="C486" s="1497"/>
      <c r="D486" s="1497"/>
      <c r="E486" s="1497"/>
      <c r="F486" s="1497"/>
      <c r="G486" s="1497"/>
      <c r="H486" s="1497"/>
      <c r="I486" s="1497"/>
      <c r="J486" s="1497"/>
      <c r="K486" s="1497"/>
      <c r="L486" s="1497"/>
      <c r="M486" s="1497"/>
      <c r="N486" s="1497"/>
      <c r="O486" s="1497"/>
      <c r="P486" s="1497"/>
      <c r="Q486" s="1497"/>
      <c r="R486" s="1497"/>
      <c r="S486" s="1497"/>
      <c r="T486" s="1497"/>
      <c r="U486" s="1497"/>
      <c r="V486" s="1497"/>
      <c r="W486" s="1497"/>
      <c r="X486" s="1497"/>
      <c r="Y486" s="1497"/>
      <c r="Z486" s="1497"/>
    </row>
    <row r="487" spans="1:26" ht="12.75" customHeight="1">
      <c r="A487" s="1497"/>
      <c r="B487" s="1497"/>
      <c r="C487" s="1497"/>
      <c r="D487" s="1497"/>
      <c r="E487" s="1497"/>
      <c r="F487" s="1497"/>
      <c r="G487" s="1497"/>
      <c r="H487" s="1497"/>
      <c r="I487" s="1497"/>
      <c r="J487" s="1497"/>
      <c r="K487" s="1497"/>
      <c r="L487" s="1497"/>
      <c r="M487" s="1497"/>
      <c r="N487" s="1497"/>
      <c r="O487" s="1497"/>
      <c r="P487" s="1497"/>
      <c r="Q487" s="1497"/>
      <c r="R487" s="1497"/>
      <c r="S487" s="1497"/>
      <c r="T487" s="1497"/>
      <c r="U487" s="1497"/>
      <c r="V487" s="1497"/>
      <c r="W487" s="1497"/>
      <c r="X487" s="1497"/>
      <c r="Y487" s="1497"/>
      <c r="Z487" s="1497"/>
    </row>
    <row r="488" spans="1:26" ht="12.75" customHeight="1">
      <c r="A488" s="1497"/>
      <c r="B488" s="1497"/>
      <c r="C488" s="1497"/>
      <c r="D488" s="1497"/>
      <c r="E488" s="1497"/>
      <c r="F488" s="1497"/>
      <c r="G488" s="1497"/>
      <c r="H488" s="1497"/>
      <c r="I488" s="1497"/>
      <c r="J488" s="1497">
        <f>SUM(J481:J487)</f>
        <v>0</v>
      </c>
      <c r="K488" s="1497"/>
      <c r="L488" s="1497"/>
      <c r="M488" s="1497"/>
      <c r="N488" s="1497"/>
      <c r="O488" s="1497"/>
      <c r="P488" s="1497"/>
      <c r="Q488" s="1497"/>
      <c r="R488" s="1497"/>
      <c r="S488" s="1497"/>
      <c r="T488" s="1497"/>
      <c r="U488" s="1497"/>
      <c r="V488" s="1497"/>
      <c r="W488" s="1497"/>
      <c r="X488" s="1497"/>
      <c r="Y488" s="1497"/>
      <c r="Z488" s="1497"/>
    </row>
    <row r="489" spans="1:26" ht="12.75" customHeight="1">
      <c r="A489" s="1497"/>
      <c r="B489" s="1497"/>
      <c r="C489" s="1497"/>
      <c r="D489" s="1497"/>
      <c r="E489" s="1497"/>
      <c r="F489" s="1497"/>
      <c r="G489" s="1497"/>
      <c r="H489" s="1497"/>
      <c r="I489" s="1497"/>
      <c r="J489" s="1497"/>
      <c r="K489" s="1497"/>
      <c r="L489" s="1497"/>
      <c r="M489" s="1497"/>
      <c r="N489" s="1497"/>
      <c r="O489" s="1497"/>
      <c r="P489" s="1497"/>
      <c r="Q489" s="1497"/>
      <c r="R489" s="1497"/>
      <c r="S489" s="1497"/>
      <c r="T489" s="1497"/>
      <c r="U489" s="1497"/>
      <c r="V489" s="1497"/>
      <c r="W489" s="1497"/>
      <c r="X489" s="1497"/>
      <c r="Y489" s="1497"/>
      <c r="Z489" s="1497"/>
    </row>
    <row r="490" spans="1:26" ht="12.75" customHeight="1">
      <c r="A490" s="1497"/>
      <c r="B490" s="1497"/>
      <c r="C490" s="1497"/>
      <c r="D490" s="1497"/>
      <c r="E490" s="1497"/>
      <c r="F490" s="1497"/>
      <c r="G490" s="1497"/>
      <c r="H490" s="1497"/>
      <c r="I490" s="1497"/>
      <c r="J490" s="1497"/>
      <c r="K490" s="1497"/>
      <c r="L490" s="1497"/>
      <c r="M490" s="1497"/>
      <c r="N490" s="1497"/>
      <c r="O490" s="1497"/>
      <c r="P490" s="1497"/>
      <c r="Q490" s="1497"/>
      <c r="R490" s="1497"/>
      <c r="S490" s="1497"/>
      <c r="T490" s="1497"/>
      <c r="U490" s="1497"/>
      <c r="V490" s="1497"/>
      <c r="W490" s="1497"/>
      <c r="X490" s="1497"/>
      <c r="Y490" s="1497"/>
      <c r="Z490" s="1497"/>
    </row>
    <row r="491" spans="1:26" ht="12.75" customHeight="1">
      <c r="A491" s="1497"/>
      <c r="B491" s="1497"/>
      <c r="C491" s="1497"/>
      <c r="D491" s="1497"/>
      <c r="E491" s="1497"/>
      <c r="F491" s="1497"/>
      <c r="G491" s="1497"/>
      <c r="H491" s="1497"/>
      <c r="I491" s="1497"/>
      <c r="J491" s="1497"/>
      <c r="K491" s="1497"/>
      <c r="L491" s="1497"/>
      <c r="M491" s="1497"/>
      <c r="N491" s="1497"/>
      <c r="O491" s="1497"/>
      <c r="P491" s="1497"/>
      <c r="Q491" s="1497"/>
      <c r="R491" s="1497"/>
      <c r="S491" s="1497"/>
      <c r="T491" s="1497"/>
      <c r="U491" s="1497"/>
      <c r="V491" s="1497"/>
      <c r="W491" s="1497"/>
      <c r="X491" s="1497"/>
      <c r="Y491" s="1497"/>
      <c r="Z491" s="1497"/>
    </row>
    <row r="492" spans="1:26" ht="12.75" customHeight="1">
      <c r="A492" s="1497"/>
      <c r="B492" s="1497"/>
      <c r="C492" s="1497"/>
      <c r="D492" s="1497"/>
      <c r="E492" s="1497"/>
      <c r="F492" s="1497"/>
      <c r="G492" s="1497"/>
      <c r="H492" s="1497"/>
      <c r="I492" s="1497"/>
      <c r="J492" s="1497"/>
      <c r="K492" s="1497"/>
      <c r="L492" s="1497"/>
      <c r="M492" s="1497"/>
      <c r="N492" s="1497"/>
      <c r="O492" s="1497"/>
      <c r="P492" s="1497"/>
      <c r="Q492" s="1497"/>
      <c r="R492" s="1497"/>
      <c r="S492" s="1497"/>
      <c r="T492" s="1497"/>
      <c r="U492" s="1497"/>
      <c r="V492" s="1497"/>
      <c r="W492" s="1497"/>
      <c r="X492" s="1497"/>
      <c r="Y492" s="1497"/>
      <c r="Z492" s="1497"/>
    </row>
    <row r="493" spans="1:26" ht="12.75" customHeight="1">
      <c r="A493" s="1497"/>
      <c r="B493" s="1497"/>
      <c r="C493" s="1497"/>
      <c r="D493" s="1497"/>
      <c r="E493" s="1497"/>
      <c r="F493" s="1497"/>
      <c r="G493" s="1497"/>
      <c r="H493" s="1497"/>
      <c r="I493" s="1497"/>
      <c r="J493" s="1497"/>
      <c r="K493" s="1497"/>
      <c r="L493" s="1497"/>
      <c r="M493" s="1497"/>
      <c r="N493" s="1497"/>
      <c r="O493" s="1497"/>
      <c r="P493" s="1497"/>
      <c r="Q493" s="1497"/>
      <c r="R493" s="1497"/>
      <c r="S493" s="1497"/>
      <c r="T493" s="1497"/>
      <c r="U493" s="1497"/>
      <c r="V493" s="1497"/>
      <c r="W493" s="1497"/>
      <c r="X493" s="1497"/>
      <c r="Y493" s="1497"/>
      <c r="Z493" s="1497"/>
    </row>
    <row r="494" spans="1:26" ht="12.75" customHeight="1">
      <c r="A494" s="1497"/>
      <c r="B494" s="1497"/>
      <c r="C494" s="1497"/>
      <c r="D494" s="1497"/>
      <c r="E494" s="1497"/>
      <c r="F494" s="1497"/>
      <c r="G494" s="1497"/>
      <c r="H494" s="1497"/>
      <c r="I494" s="1497"/>
      <c r="J494" s="1497"/>
      <c r="K494" s="1497"/>
      <c r="L494" s="1497"/>
      <c r="M494" s="1497"/>
      <c r="N494" s="1497"/>
      <c r="O494" s="1497"/>
      <c r="P494" s="1497"/>
      <c r="Q494" s="1497"/>
      <c r="R494" s="1497"/>
      <c r="S494" s="1497"/>
      <c r="T494" s="1497"/>
      <c r="U494" s="1497"/>
      <c r="V494" s="1497"/>
      <c r="W494" s="1497"/>
      <c r="X494" s="1497"/>
      <c r="Y494" s="1497"/>
      <c r="Z494" s="1497"/>
    </row>
    <row r="495" spans="1:26" ht="12.75" customHeight="1">
      <c r="A495" s="1497"/>
      <c r="B495" s="1497"/>
      <c r="C495" s="1497"/>
      <c r="D495" s="1497"/>
      <c r="E495" s="1497"/>
      <c r="F495" s="1497"/>
      <c r="G495" s="1497"/>
      <c r="H495" s="1497"/>
      <c r="I495" s="1497"/>
      <c r="J495" s="1497"/>
      <c r="K495" s="1497"/>
      <c r="L495" s="1497"/>
      <c r="M495" s="1497"/>
      <c r="N495" s="1497"/>
      <c r="O495" s="1497"/>
      <c r="P495" s="1497"/>
      <c r="Q495" s="1497"/>
      <c r="R495" s="1497"/>
      <c r="S495" s="1497"/>
      <c r="T495" s="1497"/>
      <c r="U495" s="1497"/>
      <c r="V495" s="1497"/>
      <c r="W495" s="1497"/>
      <c r="X495" s="1497"/>
      <c r="Y495" s="1497"/>
      <c r="Z495" s="1497"/>
    </row>
    <row r="496" spans="1:26" ht="12.75" customHeight="1">
      <c r="A496" s="1497"/>
      <c r="B496" s="1497"/>
      <c r="C496" s="1497"/>
      <c r="D496" s="1497"/>
      <c r="E496" s="1497"/>
      <c r="F496" s="1497"/>
      <c r="G496" s="1497"/>
      <c r="H496" s="1497"/>
      <c r="I496" s="1497"/>
      <c r="J496" s="1497"/>
      <c r="K496" s="1497"/>
      <c r="L496" s="1497"/>
      <c r="M496" s="1497"/>
      <c r="N496" s="1497"/>
      <c r="O496" s="1497"/>
      <c r="P496" s="1497"/>
      <c r="Q496" s="1497"/>
      <c r="R496" s="1497"/>
      <c r="S496" s="1497"/>
      <c r="T496" s="1497"/>
      <c r="U496" s="1497"/>
      <c r="V496" s="1497"/>
      <c r="W496" s="1497"/>
      <c r="X496" s="1497"/>
      <c r="Y496" s="1497"/>
      <c r="Z496" s="1497"/>
    </row>
    <row r="497" spans="1:26" ht="12.75" customHeight="1">
      <c r="A497" s="1497"/>
      <c r="B497" s="1497"/>
      <c r="C497" s="1497"/>
      <c r="D497" s="1497"/>
      <c r="E497" s="1497"/>
      <c r="F497" s="1497"/>
      <c r="G497" s="1497"/>
      <c r="H497" s="1497"/>
      <c r="I497" s="1497"/>
      <c r="J497" s="1497">
        <f>SUM(J491:J496)</f>
        <v>0</v>
      </c>
      <c r="K497" s="1497"/>
      <c r="L497" s="1497"/>
      <c r="M497" s="1497"/>
      <c r="N497" s="1497"/>
      <c r="O497" s="1497"/>
      <c r="P497" s="1497"/>
      <c r="Q497" s="1497"/>
      <c r="R497" s="1497"/>
      <c r="S497" s="1497"/>
      <c r="T497" s="1497"/>
      <c r="U497" s="1497"/>
      <c r="V497" s="1497"/>
      <c r="W497" s="1497"/>
      <c r="X497" s="1497"/>
      <c r="Y497" s="1497"/>
      <c r="Z497" s="1497"/>
    </row>
    <row r="498" spans="1:26" ht="12.75" customHeight="1">
      <c r="A498" s="1497"/>
      <c r="B498" s="1497"/>
      <c r="C498" s="1497"/>
      <c r="D498" s="1497"/>
      <c r="E498" s="1497"/>
      <c r="F498" s="1497"/>
      <c r="G498" s="1497"/>
      <c r="H498" s="1497"/>
      <c r="I498" s="1497"/>
      <c r="J498" s="1497"/>
      <c r="K498" s="1497"/>
      <c r="L498" s="1497"/>
      <c r="M498" s="1497"/>
      <c r="N498" s="1497"/>
      <c r="O498" s="1497"/>
      <c r="P498" s="1497"/>
      <c r="Q498" s="1497"/>
      <c r="R498" s="1497"/>
      <c r="S498" s="1497"/>
      <c r="T498" s="1497"/>
      <c r="U498" s="1497"/>
      <c r="V498" s="1497"/>
      <c r="W498" s="1497"/>
      <c r="X498" s="1497"/>
      <c r="Y498" s="1497"/>
      <c r="Z498" s="1497"/>
    </row>
    <row r="499" spans="1:26" ht="12.75" customHeight="1">
      <c r="A499" s="1497"/>
      <c r="B499" s="1497"/>
      <c r="C499" s="1497"/>
      <c r="D499" s="1497"/>
      <c r="E499" s="1497"/>
      <c r="F499" s="1497"/>
      <c r="G499" s="1497"/>
      <c r="H499" s="1497"/>
      <c r="I499" s="1497"/>
      <c r="J499" s="1497"/>
      <c r="K499" s="1497"/>
      <c r="L499" s="1497"/>
      <c r="M499" s="1497"/>
      <c r="N499" s="1497"/>
      <c r="O499" s="1497"/>
      <c r="P499" s="1497"/>
      <c r="Q499" s="1497"/>
      <c r="R499" s="1497"/>
      <c r="S499" s="1497"/>
      <c r="T499" s="1497"/>
      <c r="U499" s="1497"/>
      <c r="V499" s="1497"/>
      <c r="W499" s="1497"/>
      <c r="X499" s="1497"/>
      <c r="Y499" s="1497"/>
      <c r="Z499" s="1497"/>
    </row>
    <row r="500" spans="1:26" ht="12.75" customHeight="1">
      <c r="A500" s="1497"/>
      <c r="B500" s="1497"/>
      <c r="C500" s="1497"/>
      <c r="D500" s="1497"/>
      <c r="E500" s="1497"/>
      <c r="F500" s="1497"/>
      <c r="G500" s="1497"/>
      <c r="H500" s="1497"/>
      <c r="I500" s="1497"/>
      <c r="J500" s="1497"/>
      <c r="K500" s="1497"/>
      <c r="L500" s="1497"/>
      <c r="M500" s="1497"/>
      <c r="N500" s="1497"/>
      <c r="O500" s="1497"/>
      <c r="P500" s="1497"/>
      <c r="Q500" s="1497"/>
      <c r="R500" s="1497"/>
      <c r="S500" s="1497"/>
      <c r="T500" s="1497"/>
      <c r="U500" s="1497"/>
      <c r="V500" s="1497"/>
      <c r="W500" s="1497"/>
      <c r="X500" s="1497"/>
      <c r="Y500" s="1497"/>
      <c r="Z500" s="1497"/>
    </row>
    <row r="501" spans="1:26" ht="12.75" customHeight="1">
      <c r="A501" s="1497"/>
      <c r="B501" s="1497"/>
      <c r="C501" s="1497"/>
      <c r="D501" s="1497"/>
      <c r="E501" s="1497"/>
      <c r="F501" s="1497"/>
      <c r="G501" s="1497"/>
      <c r="H501" s="1497"/>
      <c r="I501" s="1497"/>
      <c r="J501" s="1497"/>
      <c r="K501" s="1497"/>
      <c r="L501" s="1497"/>
      <c r="M501" s="1497"/>
      <c r="N501" s="1497"/>
      <c r="O501" s="1497"/>
      <c r="P501" s="1497"/>
      <c r="Q501" s="1497"/>
      <c r="R501" s="1497"/>
      <c r="S501" s="1497"/>
      <c r="T501" s="1497"/>
      <c r="U501" s="1497"/>
      <c r="V501" s="1497"/>
      <c r="W501" s="1497"/>
      <c r="X501" s="1497"/>
      <c r="Y501" s="1497"/>
      <c r="Z501" s="1497"/>
    </row>
    <row r="502" spans="1:26" ht="12.75" customHeight="1">
      <c r="A502" s="1497"/>
      <c r="B502" s="1497"/>
      <c r="C502" s="1497"/>
      <c r="D502" s="1497"/>
      <c r="E502" s="1497"/>
      <c r="F502" s="1497"/>
      <c r="G502" s="1497"/>
      <c r="H502" s="1497"/>
      <c r="I502" s="1497"/>
      <c r="J502" s="1497"/>
      <c r="K502" s="1497"/>
      <c r="L502" s="1497"/>
      <c r="M502" s="1497"/>
      <c r="N502" s="1497"/>
      <c r="O502" s="1497"/>
      <c r="P502" s="1497"/>
      <c r="Q502" s="1497"/>
      <c r="R502" s="1497"/>
      <c r="S502" s="1497"/>
      <c r="T502" s="1497"/>
      <c r="U502" s="1497"/>
      <c r="V502" s="1497"/>
      <c r="W502" s="1497"/>
      <c r="X502" s="1497"/>
      <c r="Y502" s="1497"/>
      <c r="Z502" s="1497"/>
    </row>
    <row r="503" spans="1:26" ht="12.75" customHeight="1">
      <c r="A503" s="1497"/>
      <c r="B503" s="1497"/>
      <c r="C503" s="1497"/>
      <c r="D503" s="1497"/>
      <c r="E503" s="1497"/>
      <c r="F503" s="1497"/>
      <c r="G503" s="1497"/>
      <c r="H503" s="1497"/>
      <c r="I503" s="1497"/>
      <c r="J503" s="1497"/>
      <c r="K503" s="1497"/>
      <c r="L503" s="1497"/>
      <c r="M503" s="1497"/>
      <c r="N503" s="1497"/>
      <c r="O503" s="1497"/>
      <c r="P503" s="1497"/>
      <c r="Q503" s="1497"/>
      <c r="R503" s="1497"/>
      <c r="S503" s="1497"/>
      <c r="T503" s="1497"/>
      <c r="U503" s="1497"/>
      <c r="V503" s="1497"/>
      <c r="W503" s="1497"/>
      <c r="X503" s="1497"/>
      <c r="Y503" s="1497"/>
      <c r="Z503" s="1497"/>
    </row>
    <row r="504" spans="1:26" ht="12.75" customHeight="1">
      <c r="A504" s="1497"/>
      <c r="B504" s="1497"/>
      <c r="C504" s="1497"/>
      <c r="D504" s="1497"/>
      <c r="E504" s="1497"/>
      <c r="F504" s="1497"/>
      <c r="G504" s="1497"/>
      <c r="H504" s="1497"/>
      <c r="I504" s="1497"/>
      <c r="J504" s="1497"/>
      <c r="K504" s="1497"/>
      <c r="L504" s="1497"/>
      <c r="M504" s="1497"/>
      <c r="N504" s="1497"/>
      <c r="O504" s="1497"/>
      <c r="P504" s="1497"/>
      <c r="Q504" s="1497"/>
      <c r="R504" s="1497"/>
      <c r="S504" s="1497"/>
      <c r="T504" s="1497"/>
      <c r="U504" s="1497"/>
      <c r="V504" s="1497"/>
      <c r="W504" s="1497"/>
      <c r="X504" s="1497"/>
      <c r="Y504" s="1497"/>
      <c r="Z504" s="1497"/>
    </row>
    <row r="505" spans="1:26" ht="12.75" customHeight="1">
      <c r="A505" s="1497"/>
      <c r="B505" s="1497"/>
      <c r="C505" s="1497"/>
      <c r="D505" s="1497"/>
      <c r="E505" s="1497"/>
      <c r="F505" s="1497"/>
      <c r="G505" s="1497"/>
      <c r="H505" s="1497"/>
      <c r="I505" s="1497"/>
      <c r="J505" s="1497"/>
      <c r="K505" s="1497"/>
      <c r="L505" s="1497"/>
      <c r="M505" s="1497"/>
      <c r="N505" s="1497"/>
      <c r="O505" s="1497"/>
      <c r="P505" s="1497"/>
      <c r="Q505" s="1497"/>
      <c r="R505" s="1497"/>
      <c r="S505" s="1497"/>
      <c r="T505" s="1497"/>
      <c r="U505" s="1497"/>
      <c r="V505" s="1497"/>
      <c r="W505" s="1497"/>
      <c r="X505" s="1497"/>
      <c r="Y505" s="1497"/>
      <c r="Z505" s="1497"/>
    </row>
    <row r="506" spans="1:26" ht="12.75" customHeight="1">
      <c r="A506" s="1497"/>
      <c r="B506" s="1497"/>
      <c r="C506" s="1497"/>
      <c r="D506" s="1497"/>
      <c r="E506" s="1497"/>
      <c r="F506" s="1497"/>
      <c r="G506" s="1497"/>
      <c r="H506" s="1497"/>
      <c r="I506" s="1497"/>
      <c r="J506" s="1497"/>
      <c r="K506" s="1497"/>
      <c r="L506" s="1497"/>
      <c r="M506" s="1497"/>
      <c r="N506" s="1497"/>
      <c r="O506" s="1497"/>
      <c r="P506" s="1497"/>
      <c r="Q506" s="1497"/>
      <c r="R506" s="1497"/>
      <c r="S506" s="1497"/>
      <c r="T506" s="1497"/>
      <c r="U506" s="1497"/>
      <c r="V506" s="1497"/>
      <c r="W506" s="1497"/>
      <c r="X506" s="1497"/>
      <c r="Y506" s="1497"/>
      <c r="Z506" s="1497"/>
    </row>
    <row r="507" spans="1:26" ht="12.75" customHeight="1">
      <c r="A507" s="1497"/>
      <c r="B507" s="1497"/>
      <c r="C507" s="1497"/>
      <c r="D507" s="1497"/>
      <c r="E507" s="1497"/>
      <c r="F507" s="1497"/>
      <c r="G507" s="1497"/>
      <c r="H507" s="1497"/>
      <c r="I507" s="1497"/>
      <c r="J507" s="1497"/>
      <c r="K507" s="1497"/>
      <c r="L507" s="1497"/>
      <c r="M507" s="1497"/>
      <c r="N507" s="1497"/>
      <c r="O507" s="1497"/>
      <c r="P507" s="1497"/>
      <c r="Q507" s="1497"/>
      <c r="R507" s="1497"/>
      <c r="S507" s="1497"/>
      <c r="T507" s="1497"/>
      <c r="U507" s="1497"/>
      <c r="V507" s="1497"/>
      <c r="W507" s="1497"/>
      <c r="X507" s="1497"/>
      <c r="Y507" s="1497"/>
      <c r="Z507" s="1497"/>
    </row>
    <row r="508" spans="1:26" ht="12.75" customHeight="1">
      <c r="A508" s="1497"/>
      <c r="B508" s="1497"/>
      <c r="C508" s="1497"/>
      <c r="D508" s="1497"/>
      <c r="E508" s="1497"/>
      <c r="F508" s="1497"/>
      <c r="G508" s="1497"/>
      <c r="H508" s="1497"/>
      <c r="I508" s="1497"/>
      <c r="J508" s="1497"/>
      <c r="K508" s="1497"/>
      <c r="L508" s="1497"/>
      <c r="M508" s="1497"/>
      <c r="N508" s="1497"/>
      <c r="O508" s="1497"/>
      <c r="P508" s="1497"/>
      <c r="Q508" s="1497"/>
      <c r="R508" s="1497"/>
      <c r="S508" s="1497"/>
      <c r="T508" s="1497"/>
      <c r="U508" s="1497"/>
      <c r="V508" s="1497"/>
      <c r="W508" s="1497"/>
      <c r="X508" s="1497"/>
      <c r="Y508" s="1497"/>
      <c r="Z508" s="1497"/>
    </row>
    <row r="509" spans="1:26" ht="12.75" customHeight="1">
      <c r="A509" s="1497"/>
      <c r="B509" s="1497"/>
      <c r="C509" s="1497"/>
      <c r="D509" s="1497"/>
      <c r="E509" s="1497"/>
      <c r="F509" s="1497"/>
      <c r="G509" s="1497"/>
      <c r="H509" s="1497"/>
      <c r="I509" s="1497"/>
      <c r="J509" s="1497"/>
      <c r="K509" s="1497"/>
      <c r="L509" s="1497"/>
      <c r="M509" s="1497"/>
      <c r="N509" s="1497"/>
      <c r="O509" s="1497"/>
      <c r="P509" s="1497"/>
      <c r="Q509" s="1497"/>
      <c r="R509" s="1497"/>
      <c r="S509" s="1497"/>
      <c r="T509" s="1497"/>
      <c r="U509" s="1497"/>
      <c r="V509" s="1497"/>
      <c r="W509" s="1497"/>
      <c r="X509" s="1497"/>
      <c r="Y509" s="1497"/>
      <c r="Z509" s="1497"/>
    </row>
    <row r="510" spans="1:26" ht="12.75" customHeight="1">
      <c r="A510" s="1497"/>
      <c r="B510" s="1497"/>
      <c r="C510" s="1497"/>
      <c r="D510" s="1497"/>
      <c r="E510" s="1497"/>
      <c r="F510" s="1497"/>
      <c r="G510" s="1497"/>
      <c r="H510" s="1497"/>
      <c r="I510" s="1497"/>
      <c r="J510" s="1497"/>
      <c r="K510" s="1497"/>
      <c r="L510" s="1497"/>
      <c r="M510" s="1497"/>
      <c r="N510" s="1497"/>
      <c r="O510" s="1497"/>
      <c r="P510" s="1497"/>
      <c r="Q510" s="1497"/>
      <c r="R510" s="1497"/>
      <c r="S510" s="1497"/>
      <c r="T510" s="1497"/>
      <c r="U510" s="1497"/>
      <c r="V510" s="1497"/>
      <c r="W510" s="1497"/>
      <c r="X510" s="1497"/>
      <c r="Y510" s="1497"/>
      <c r="Z510" s="1497"/>
    </row>
    <row r="511" spans="1:26" ht="12.75" customHeight="1">
      <c r="A511" s="1497"/>
      <c r="B511" s="1497"/>
      <c r="C511" s="1497"/>
      <c r="D511" s="1497"/>
      <c r="E511" s="1497"/>
      <c r="F511" s="1497"/>
      <c r="G511" s="1497"/>
      <c r="H511" s="1497"/>
      <c r="I511" s="1497"/>
      <c r="J511" s="1497"/>
      <c r="K511" s="1497"/>
      <c r="L511" s="1497"/>
      <c r="M511" s="1497"/>
      <c r="N511" s="1497"/>
      <c r="O511" s="1497"/>
      <c r="P511" s="1497"/>
      <c r="Q511" s="1497"/>
      <c r="R511" s="1497"/>
      <c r="S511" s="1497"/>
      <c r="T511" s="1497"/>
      <c r="U511" s="1497"/>
      <c r="V511" s="1497"/>
      <c r="W511" s="1497"/>
      <c r="X511" s="1497"/>
      <c r="Y511" s="1497"/>
      <c r="Z511" s="1497"/>
    </row>
    <row r="512" spans="1:26" ht="12.75" customHeight="1">
      <c r="A512" s="1497"/>
      <c r="B512" s="1497"/>
      <c r="C512" s="1497"/>
      <c r="D512" s="1497"/>
      <c r="E512" s="1497"/>
      <c r="F512" s="1497"/>
      <c r="G512" s="1497"/>
      <c r="H512" s="1497"/>
      <c r="I512" s="1497"/>
      <c r="J512" s="1497"/>
      <c r="K512" s="1497"/>
      <c r="L512" s="1497"/>
      <c r="M512" s="1497"/>
      <c r="N512" s="1497"/>
      <c r="O512" s="1497"/>
      <c r="P512" s="1497"/>
      <c r="Q512" s="1497"/>
      <c r="R512" s="1497"/>
      <c r="S512" s="1497"/>
      <c r="T512" s="1497"/>
      <c r="U512" s="1497"/>
      <c r="V512" s="1497"/>
      <c r="W512" s="1497"/>
      <c r="X512" s="1497"/>
      <c r="Y512" s="1497"/>
      <c r="Z512" s="1497"/>
    </row>
    <row r="513" spans="1:26" ht="12.75" customHeight="1">
      <c r="A513" s="1497"/>
      <c r="B513" s="1497"/>
      <c r="C513" s="1497"/>
      <c r="D513" s="1497"/>
      <c r="E513" s="1497"/>
      <c r="F513" s="1497"/>
      <c r="G513" s="1497"/>
      <c r="H513" s="1497"/>
      <c r="I513" s="1497"/>
      <c r="J513" s="1497"/>
      <c r="K513" s="1497"/>
      <c r="L513" s="1497"/>
      <c r="M513" s="1497"/>
      <c r="N513" s="1497"/>
      <c r="O513" s="1497"/>
      <c r="P513" s="1497"/>
      <c r="Q513" s="1497"/>
      <c r="R513" s="1497"/>
      <c r="S513" s="1497"/>
      <c r="T513" s="1497"/>
      <c r="U513" s="1497"/>
      <c r="V513" s="1497"/>
      <c r="W513" s="1497"/>
      <c r="X513" s="1497"/>
      <c r="Y513" s="1497"/>
      <c r="Z513" s="1497"/>
    </row>
    <row r="514" spans="1:26" ht="12.75" customHeight="1">
      <c r="A514" s="1497"/>
      <c r="B514" s="1497"/>
      <c r="C514" s="1497"/>
      <c r="D514" s="1497"/>
      <c r="E514" s="1497"/>
      <c r="F514" s="1497"/>
      <c r="G514" s="1497"/>
      <c r="H514" s="1497"/>
      <c r="I514" s="1497"/>
      <c r="J514" s="1497"/>
      <c r="K514" s="1497"/>
      <c r="L514" s="1497"/>
      <c r="M514" s="1497"/>
      <c r="N514" s="1497"/>
      <c r="O514" s="1497"/>
      <c r="P514" s="1497"/>
      <c r="Q514" s="1497"/>
      <c r="R514" s="1497"/>
      <c r="S514" s="1497"/>
      <c r="T514" s="1497"/>
      <c r="U514" s="1497"/>
      <c r="V514" s="1497"/>
      <c r="W514" s="1497"/>
      <c r="X514" s="1497"/>
      <c r="Y514" s="1497"/>
      <c r="Z514" s="1497"/>
    </row>
    <row r="515" spans="1:26" ht="12.75" customHeight="1">
      <c r="A515" s="1497"/>
      <c r="B515" s="1497"/>
      <c r="C515" s="1497"/>
      <c r="D515" s="1497"/>
      <c r="E515" s="1497"/>
      <c r="F515" s="1497"/>
      <c r="G515" s="1497"/>
      <c r="H515" s="1497"/>
      <c r="I515" s="1497"/>
      <c r="J515" s="1497"/>
      <c r="K515" s="1497"/>
      <c r="L515" s="1497"/>
      <c r="M515" s="1497"/>
      <c r="N515" s="1497"/>
      <c r="O515" s="1497"/>
      <c r="P515" s="1497"/>
      <c r="Q515" s="1497"/>
      <c r="R515" s="1497"/>
      <c r="S515" s="1497"/>
      <c r="T515" s="1497"/>
      <c r="U515" s="1497"/>
      <c r="V515" s="1497"/>
      <c r="W515" s="1497"/>
      <c r="X515" s="1497"/>
      <c r="Y515" s="1497"/>
      <c r="Z515" s="1497"/>
    </row>
    <row r="516" spans="1:26" ht="12.75" customHeight="1">
      <c r="A516" s="1497"/>
      <c r="B516" s="1497"/>
      <c r="C516" s="1497"/>
      <c r="D516" s="1497"/>
      <c r="E516" s="1497"/>
      <c r="F516" s="1497"/>
      <c r="G516" s="1497"/>
      <c r="H516" s="1497"/>
      <c r="I516" s="1497"/>
      <c r="J516" s="1497"/>
      <c r="K516" s="1497"/>
      <c r="L516" s="1497"/>
      <c r="M516" s="1497"/>
      <c r="N516" s="1497"/>
      <c r="O516" s="1497"/>
      <c r="P516" s="1497"/>
      <c r="Q516" s="1497"/>
      <c r="R516" s="1497"/>
      <c r="S516" s="1497"/>
      <c r="T516" s="1497"/>
      <c r="U516" s="1497"/>
      <c r="V516" s="1497"/>
      <c r="W516" s="1497"/>
      <c r="X516" s="1497"/>
      <c r="Y516" s="1497"/>
      <c r="Z516" s="1497"/>
    </row>
    <row r="517" spans="1:26" ht="12.75" customHeight="1">
      <c r="A517" s="1497"/>
      <c r="B517" s="1497"/>
      <c r="C517" s="1497"/>
      <c r="D517" s="1497"/>
      <c r="E517" s="1497"/>
      <c r="F517" s="1497"/>
      <c r="G517" s="1497"/>
      <c r="H517" s="1497"/>
      <c r="I517" s="1497"/>
      <c r="J517" s="1497"/>
      <c r="K517" s="1497"/>
      <c r="L517" s="1497"/>
      <c r="M517" s="1497"/>
      <c r="N517" s="1497"/>
      <c r="O517" s="1497"/>
      <c r="P517" s="1497"/>
      <c r="Q517" s="1497"/>
      <c r="R517" s="1497"/>
      <c r="S517" s="1497"/>
      <c r="T517" s="1497"/>
      <c r="U517" s="1497"/>
      <c r="V517" s="1497"/>
      <c r="W517" s="1497"/>
      <c r="X517" s="1497"/>
      <c r="Y517" s="1497"/>
      <c r="Z517" s="1497"/>
    </row>
    <row r="518" spans="1:26" ht="12.75" customHeight="1">
      <c r="A518" s="1497"/>
      <c r="B518" s="1497"/>
      <c r="C518" s="1497"/>
      <c r="D518" s="1497"/>
      <c r="E518" s="1497"/>
      <c r="F518" s="1497"/>
      <c r="G518" s="1497"/>
      <c r="H518" s="1497"/>
      <c r="I518" s="1497"/>
      <c r="J518" s="1497"/>
      <c r="K518" s="1497"/>
      <c r="L518" s="1497"/>
      <c r="M518" s="1497"/>
      <c r="N518" s="1497"/>
      <c r="O518" s="1497"/>
      <c r="P518" s="1497"/>
      <c r="Q518" s="1497"/>
      <c r="R518" s="1497"/>
      <c r="S518" s="1497"/>
      <c r="T518" s="1497"/>
      <c r="U518" s="1497"/>
      <c r="V518" s="1497"/>
      <c r="W518" s="1497"/>
      <c r="X518" s="1497"/>
      <c r="Y518" s="1497"/>
      <c r="Z518" s="1497"/>
    </row>
    <row r="519" spans="1:26" ht="12.75" customHeight="1">
      <c r="A519" s="1497"/>
      <c r="B519" s="1497"/>
      <c r="C519" s="1497"/>
      <c r="D519" s="1497"/>
      <c r="E519" s="1497"/>
      <c r="F519" s="1497"/>
      <c r="G519" s="1497"/>
      <c r="H519" s="1497"/>
      <c r="I519" s="1497"/>
      <c r="J519" s="1497"/>
      <c r="K519" s="1497"/>
      <c r="L519" s="1497"/>
      <c r="M519" s="1497"/>
      <c r="N519" s="1497"/>
      <c r="O519" s="1497"/>
      <c r="P519" s="1497"/>
      <c r="Q519" s="1497"/>
      <c r="R519" s="1497"/>
      <c r="S519" s="1497"/>
      <c r="T519" s="1497"/>
      <c r="U519" s="1497"/>
      <c r="V519" s="1497"/>
      <c r="W519" s="1497"/>
      <c r="X519" s="1497"/>
      <c r="Y519" s="1497"/>
      <c r="Z519" s="1497"/>
    </row>
    <row r="520" spans="1:26" ht="12.75" customHeight="1">
      <c r="A520" s="1497"/>
      <c r="B520" s="1497"/>
      <c r="C520" s="1497"/>
      <c r="D520" s="1497"/>
      <c r="E520" s="1497"/>
      <c r="F520" s="1497"/>
      <c r="G520" s="1497"/>
      <c r="H520" s="1497"/>
      <c r="I520" s="1497"/>
      <c r="J520" s="1497"/>
      <c r="K520" s="1497"/>
      <c r="L520" s="1497"/>
      <c r="M520" s="1497"/>
      <c r="N520" s="1497"/>
      <c r="O520" s="1497"/>
      <c r="P520" s="1497"/>
      <c r="Q520" s="1497"/>
      <c r="R520" s="1497"/>
      <c r="S520" s="1497"/>
      <c r="T520" s="1497"/>
      <c r="U520" s="1497"/>
      <c r="V520" s="1497"/>
      <c r="W520" s="1497"/>
      <c r="X520" s="1497"/>
      <c r="Y520" s="1497"/>
      <c r="Z520" s="1497"/>
    </row>
    <row r="521" spans="1:26" ht="12.75" customHeight="1">
      <c r="A521" s="1497"/>
      <c r="B521" s="1497"/>
      <c r="C521" s="1497"/>
      <c r="D521" s="1497"/>
      <c r="E521" s="1497"/>
      <c r="F521" s="1497"/>
      <c r="G521" s="1497"/>
      <c r="H521" s="1497"/>
      <c r="I521" s="1497"/>
      <c r="J521" s="1497">
        <f>SUM(J514:J520)</f>
        <v>0</v>
      </c>
      <c r="K521" s="1497"/>
      <c r="L521" s="1497"/>
      <c r="M521" s="1497"/>
      <c r="N521" s="1497"/>
      <c r="O521" s="1497"/>
      <c r="P521" s="1497"/>
      <c r="Q521" s="1497"/>
      <c r="R521" s="1497"/>
      <c r="S521" s="1497"/>
      <c r="T521" s="1497"/>
      <c r="U521" s="1497"/>
      <c r="V521" s="1497"/>
      <c r="W521" s="1497"/>
      <c r="X521" s="1497"/>
      <c r="Y521" s="1497"/>
      <c r="Z521" s="1497"/>
    </row>
    <row r="522" spans="1:26" ht="12.75" customHeight="1">
      <c r="A522" s="1497"/>
      <c r="B522" s="1497"/>
      <c r="C522" s="1497"/>
      <c r="D522" s="1497"/>
      <c r="E522" s="1497"/>
      <c r="F522" s="1497"/>
      <c r="G522" s="1497"/>
      <c r="H522" s="1497"/>
      <c r="I522" s="1497"/>
      <c r="J522" s="1497"/>
      <c r="K522" s="1497"/>
      <c r="L522" s="1497"/>
      <c r="M522" s="1497"/>
      <c r="N522" s="1497"/>
      <c r="O522" s="1497"/>
      <c r="P522" s="1497"/>
      <c r="Q522" s="1497"/>
      <c r="R522" s="1497"/>
      <c r="S522" s="1497"/>
      <c r="T522" s="1497"/>
      <c r="U522" s="1497"/>
      <c r="V522" s="1497"/>
      <c r="W522" s="1497"/>
      <c r="X522" s="1497"/>
      <c r="Y522" s="1497"/>
      <c r="Z522" s="1497"/>
    </row>
    <row r="523" spans="1:26" ht="12.75" customHeight="1">
      <c r="A523" s="1497"/>
      <c r="B523" s="1497"/>
      <c r="C523" s="1497"/>
      <c r="D523" s="1497"/>
      <c r="E523" s="1497"/>
      <c r="F523" s="1497"/>
      <c r="G523" s="1497"/>
      <c r="H523" s="1497"/>
      <c r="I523" s="1497"/>
      <c r="J523" s="1497"/>
      <c r="K523" s="1497"/>
      <c r="L523" s="1497"/>
      <c r="M523" s="1497"/>
      <c r="N523" s="1497"/>
      <c r="O523" s="1497"/>
      <c r="P523" s="1497"/>
      <c r="Q523" s="1497"/>
      <c r="R523" s="1497"/>
      <c r="S523" s="1497"/>
      <c r="T523" s="1497"/>
      <c r="U523" s="1497"/>
      <c r="V523" s="1497"/>
      <c r="W523" s="1497"/>
      <c r="X523" s="1497"/>
      <c r="Y523" s="1497"/>
      <c r="Z523" s="1497"/>
    </row>
    <row r="524" spans="1:26" ht="12.75" customHeight="1">
      <c r="A524" s="1497"/>
      <c r="B524" s="1497"/>
      <c r="C524" s="1497"/>
      <c r="D524" s="1497"/>
      <c r="E524" s="1497"/>
      <c r="F524" s="1497"/>
      <c r="G524" s="1497"/>
      <c r="H524" s="1497"/>
      <c r="I524" s="1497"/>
      <c r="J524" s="1497"/>
      <c r="K524" s="1497"/>
      <c r="L524" s="1497"/>
      <c r="M524" s="1497"/>
      <c r="N524" s="1497"/>
      <c r="O524" s="1497"/>
      <c r="P524" s="1497"/>
      <c r="Q524" s="1497"/>
      <c r="R524" s="1497"/>
      <c r="S524" s="1497"/>
      <c r="T524" s="1497"/>
      <c r="U524" s="1497"/>
      <c r="V524" s="1497"/>
      <c r="W524" s="1497"/>
      <c r="X524" s="1497"/>
      <c r="Y524" s="1497"/>
      <c r="Z524" s="1497"/>
    </row>
    <row r="525" spans="1:26" ht="12.75" customHeight="1">
      <c r="A525" s="1497"/>
      <c r="B525" s="1497"/>
      <c r="C525" s="1497"/>
      <c r="D525" s="1497"/>
      <c r="E525" s="1497"/>
      <c r="F525" s="1497"/>
      <c r="G525" s="1497"/>
      <c r="H525" s="1497"/>
      <c r="I525" s="1497"/>
      <c r="J525" s="1497"/>
      <c r="K525" s="1497"/>
      <c r="L525" s="1497"/>
      <c r="M525" s="1497"/>
      <c r="N525" s="1497"/>
      <c r="O525" s="1497"/>
      <c r="P525" s="1497"/>
      <c r="Q525" s="1497"/>
      <c r="R525" s="1497"/>
      <c r="S525" s="1497"/>
      <c r="T525" s="1497"/>
      <c r="U525" s="1497"/>
      <c r="V525" s="1497"/>
      <c r="W525" s="1497"/>
      <c r="X525" s="1497"/>
      <c r="Y525" s="1497"/>
      <c r="Z525" s="1497"/>
    </row>
    <row r="526" spans="1:26" ht="12.75" customHeight="1">
      <c r="A526" s="1497"/>
      <c r="B526" s="1497"/>
      <c r="C526" s="1497"/>
      <c r="D526" s="1497"/>
      <c r="E526" s="1497"/>
      <c r="F526" s="1497"/>
      <c r="G526" s="1497"/>
      <c r="H526" s="1497"/>
      <c r="I526" s="1497"/>
      <c r="J526" s="1497"/>
      <c r="K526" s="1497"/>
      <c r="L526" s="1497"/>
      <c r="M526" s="1497"/>
      <c r="N526" s="1497"/>
      <c r="O526" s="1497"/>
      <c r="P526" s="1497"/>
      <c r="Q526" s="1497"/>
      <c r="R526" s="1497"/>
      <c r="S526" s="1497"/>
      <c r="T526" s="1497"/>
      <c r="U526" s="1497"/>
      <c r="V526" s="1497"/>
      <c r="W526" s="1497"/>
      <c r="X526" s="1497"/>
      <c r="Y526" s="1497"/>
      <c r="Z526" s="1497"/>
    </row>
    <row r="527" spans="1:26" ht="12.75" customHeight="1">
      <c r="A527" s="1497"/>
      <c r="B527" s="1497"/>
      <c r="C527" s="1497"/>
      <c r="D527" s="1497"/>
      <c r="E527" s="1497"/>
      <c r="F527" s="1497"/>
      <c r="G527" s="1497"/>
      <c r="H527" s="1497"/>
      <c r="I527" s="1497"/>
      <c r="J527" s="1497"/>
      <c r="K527" s="1497"/>
      <c r="L527" s="1497"/>
      <c r="M527" s="1497"/>
      <c r="N527" s="1497"/>
      <c r="O527" s="1497"/>
      <c r="P527" s="1497"/>
      <c r="Q527" s="1497"/>
      <c r="R527" s="1497"/>
      <c r="S527" s="1497"/>
      <c r="T527" s="1497"/>
      <c r="U527" s="1497"/>
      <c r="V527" s="1497"/>
      <c r="W527" s="1497"/>
      <c r="X527" s="1497"/>
      <c r="Y527" s="1497"/>
      <c r="Z527" s="1497"/>
    </row>
    <row r="528" spans="1:26" ht="12.75" customHeight="1">
      <c r="A528" s="1497"/>
      <c r="B528" s="1497"/>
      <c r="C528" s="1497"/>
      <c r="D528" s="1497"/>
      <c r="E528" s="1497"/>
      <c r="F528" s="1497"/>
      <c r="G528" s="1497"/>
      <c r="H528" s="1497"/>
      <c r="I528" s="1497"/>
      <c r="J528" s="1497"/>
      <c r="K528" s="1497"/>
      <c r="L528" s="1497"/>
      <c r="M528" s="1497"/>
      <c r="N528" s="1497"/>
      <c r="O528" s="1497"/>
      <c r="P528" s="1497"/>
      <c r="Q528" s="1497"/>
      <c r="R528" s="1497"/>
      <c r="S528" s="1497"/>
      <c r="T528" s="1497"/>
      <c r="U528" s="1497"/>
      <c r="V528" s="1497"/>
      <c r="W528" s="1497"/>
      <c r="X528" s="1497"/>
      <c r="Y528" s="1497"/>
      <c r="Z528" s="1497"/>
    </row>
    <row r="529" spans="1:26" ht="12.75" customHeight="1">
      <c r="A529" s="1497"/>
      <c r="B529" s="1497"/>
      <c r="C529" s="1497"/>
      <c r="D529" s="1497"/>
      <c r="E529" s="1497"/>
      <c r="F529" s="1497"/>
      <c r="G529" s="1497"/>
      <c r="H529" s="1497"/>
      <c r="I529" s="1497"/>
      <c r="J529" s="1497"/>
      <c r="K529" s="1497"/>
      <c r="L529" s="1497"/>
      <c r="M529" s="1497"/>
      <c r="N529" s="1497"/>
      <c r="O529" s="1497"/>
      <c r="P529" s="1497"/>
      <c r="Q529" s="1497"/>
      <c r="R529" s="1497"/>
      <c r="S529" s="1497"/>
      <c r="T529" s="1497"/>
      <c r="U529" s="1497"/>
      <c r="V529" s="1497"/>
      <c r="W529" s="1497"/>
      <c r="X529" s="1497"/>
      <c r="Y529" s="1497"/>
      <c r="Z529" s="1497"/>
    </row>
    <row r="530" spans="1:26" ht="12.75" customHeight="1">
      <c r="A530" s="1497"/>
      <c r="B530" s="1497"/>
      <c r="C530" s="1497"/>
      <c r="D530" s="1497"/>
      <c r="E530" s="1497"/>
      <c r="F530" s="1497"/>
      <c r="G530" s="1497"/>
      <c r="H530" s="1497"/>
      <c r="I530" s="1497"/>
      <c r="J530" s="1497"/>
      <c r="K530" s="1497"/>
      <c r="L530" s="1497"/>
      <c r="M530" s="1497"/>
      <c r="N530" s="1497"/>
      <c r="O530" s="1497"/>
      <c r="P530" s="1497"/>
      <c r="Q530" s="1497"/>
      <c r="R530" s="1497"/>
      <c r="S530" s="1497"/>
      <c r="T530" s="1497"/>
      <c r="U530" s="1497"/>
      <c r="V530" s="1497"/>
      <c r="W530" s="1497"/>
      <c r="X530" s="1497"/>
      <c r="Y530" s="1497"/>
      <c r="Z530" s="1497"/>
    </row>
    <row r="531" spans="1:26" ht="12.75" customHeight="1">
      <c r="A531" s="1497"/>
      <c r="B531" s="1497"/>
      <c r="C531" s="1497"/>
      <c r="D531" s="1497"/>
      <c r="E531" s="1497"/>
      <c r="F531" s="1497"/>
      <c r="G531" s="1497"/>
      <c r="H531" s="1497"/>
      <c r="I531" s="1497"/>
      <c r="J531" s="1497"/>
      <c r="K531" s="1497"/>
      <c r="L531" s="1497"/>
      <c r="M531" s="1497"/>
      <c r="N531" s="1497"/>
      <c r="O531" s="1497"/>
      <c r="P531" s="1497"/>
      <c r="Q531" s="1497"/>
      <c r="R531" s="1497"/>
      <c r="S531" s="1497"/>
      <c r="T531" s="1497"/>
      <c r="U531" s="1497"/>
      <c r="V531" s="1497"/>
      <c r="W531" s="1497"/>
      <c r="X531" s="1497"/>
      <c r="Y531" s="1497"/>
      <c r="Z531" s="1497"/>
    </row>
    <row r="532" spans="1:26" ht="12.75" customHeight="1">
      <c r="A532" s="1497"/>
      <c r="B532" s="1497"/>
      <c r="C532" s="1497"/>
      <c r="D532" s="1497"/>
      <c r="E532" s="1497"/>
      <c r="F532" s="1497"/>
      <c r="G532" s="1497"/>
      <c r="H532" s="1497"/>
      <c r="I532" s="1497"/>
      <c r="J532" s="1497"/>
      <c r="K532" s="1497"/>
      <c r="L532" s="1497"/>
      <c r="M532" s="1497"/>
      <c r="N532" s="1497"/>
      <c r="O532" s="1497"/>
      <c r="P532" s="1497"/>
      <c r="Q532" s="1497"/>
      <c r="R532" s="1497"/>
      <c r="S532" s="1497"/>
      <c r="T532" s="1497"/>
      <c r="U532" s="1497"/>
      <c r="V532" s="1497"/>
      <c r="W532" s="1497"/>
      <c r="X532" s="1497"/>
      <c r="Y532" s="1497"/>
      <c r="Z532" s="1497"/>
    </row>
    <row r="533" spans="1:26" ht="12.75" customHeight="1">
      <c r="A533" s="1497"/>
      <c r="B533" s="1497"/>
      <c r="C533" s="1497"/>
      <c r="D533" s="1497"/>
      <c r="E533" s="1497"/>
      <c r="F533" s="1497"/>
      <c r="G533" s="1497"/>
      <c r="H533" s="1497"/>
      <c r="I533" s="1497"/>
      <c r="J533" s="1497"/>
      <c r="K533" s="1497"/>
      <c r="L533" s="1497"/>
      <c r="M533" s="1497"/>
      <c r="N533" s="1497"/>
      <c r="O533" s="1497"/>
      <c r="P533" s="1497"/>
      <c r="Q533" s="1497"/>
      <c r="R533" s="1497"/>
      <c r="S533" s="1497"/>
      <c r="T533" s="1497"/>
      <c r="U533" s="1497"/>
      <c r="V533" s="1497"/>
      <c r="W533" s="1497"/>
      <c r="X533" s="1497"/>
      <c r="Y533" s="1497"/>
      <c r="Z533" s="1497"/>
    </row>
    <row r="534" spans="1:26" ht="12.75" customHeight="1">
      <c r="A534" s="1497"/>
      <c r="B534" s="1497"/>
      <c r="C534" s="1497"/>
      <c r="D534" s="1497"/>
      <c r="E534" s="1497"/>
      <c r="F534" s="1497"/>
      <c r="G534" s="1497"/>
      <c r="H534" s="1497"/>
      <c r="I534" s="1497"/>
      <c r="J534" s="1497"/>
      <c r="K534" s="1497"/>
      <c r="L534" s="1497"/>
      <c r="M534" s="1497"/>
      <c r="N534" s="1497"/>
      <c r="O534" s="1497"/>
      <c r="P534" s="1497"/>
      <c r="Q534" s="1497"/>
      <c r="R534" s="1497"/>
      <c r="S534" s="1497"/>
      <c r="T534" s="1497"/>
      <c r="U534" s="1497"/>
      <c r="V534" s="1497"/>
      <c r="W534" s="1497"/>
      <c r="X534" s="1497"/>
      <c r="Y534" s="1497"/>
      <c r="Z534" s="1497"/>
    </row>
    <row r="535" spans="1:26" ht="12.75" customHeight="1">
      <c r="A535" s="1497"/>
      <c r="B535" s="1497"/>
      <c r="C535" s="1497"/>
      <c r="D535" s="1497"/>
      <c r="E535" s="1497"/>
      <c r="F535" s="1497"/>
      <c r="G535" s="1497"/>
      <c r="H535" s="1497"/>
      <c r="I535" s="1497"/>
      <c r="J535" s="1497"/>
      <c r="K535" s="1497"/>
      <c r="L535" s="1497"/>
      <c r="M535" s="1497"/>
      <c r="N535" s="1497"/>
      <c r="O535" s="1497"/>
      <c r="P535" s="1497"/>
      <c r="Q535" s="1497"/>
      <c r="R535" s="1497"/>
      <c r="S535" s="1497"/>
      <c r="T535" s="1497"/>
      <c r="U535" s="1497"/>
      <c r="V535" s="1497"/>
      <c r="W535" s="1497"/>
      <c r="X535" s="1497"/>
      <c r="Y535" s="1497"/>
      <c r="Z535" s="1497"/>
    </row>
    <row r="536" spans="1:26" ht="12.75" customHeight="1">
      <c r="A536" s="1497"/>
      <c r="B536" s="1497"/>
      <c r="C536" s="1497"/>
      <c r="D536" s="1497"/>
      <c r="E536" s="1497"/>
      <c r="F536" s="1497"/>
      <c r="G536" s="1497"/>
      <c r="H536" s="1497"/>
      <c r="I536" s="1497"/>
      <c r="J536" s="1497"/>
      <c r="K536" s="1497"/>
      <c r="L536" s="1497"/>
      <c r="M536" s="1497"/>
      <c r="N536" s="1497"/>
      <c r="O536" s="1497"/>
      <c r="P536" s="1497"/>
      <c r="Q536" s="1497"/>
      <c r="R536" s="1497"/>
      <c r="S536" s="1497"/>
      <c r="T536" s="1497"/>
      <c r="U536" s="1497"/>
      <c r="V536" s="1497"/>
      <c r="W536" s="1497"/>
      <c r="X536" s="1497"/>
      <c r="Y536" s="1497"/>
      <c r="Z536" s="1497"/>
    </row>
    <row r="537" spans="1:26" ht="12.75" customHeight="1">
      <c r="A537" s="1497"/>
      <c r="B537" s="1497"/>
      <c r="C537" s="1497"/>
      <c r="D537" s="1497"/>
      <c r="E537" s="1497"/>
      <c r="F537" s="1497"/>
      <c r="G537" s="1497"/>
      <c r="H537" s="1497"/>
      <c r="I537" s="1497"/>
      <c r="J537" s="1497"/>
      <c r="K537" s="1497"/>
      <c r="L537" s="1497"/>
      <c r="M537" s="1497"/>
      <c r="N537" s="1497"/>
      <c r="O537" s="1497"/>
      <c r="P537" s="1497"/>
      <c r="Q537" s="1497"/>
      <c r="R537" s="1497"/>
      <c r="S537" s="1497"/>
      <c r="T537" s="1497"/>
      <c r="U537" s="1497"/>
      <c r="V537" s="1497"/>
      <c r="W537" s="1497"/>
      <c r="X537" s="1497"/>
      <c r="Y537" s="1497"/>
      <c r="Z537" s="1497"/>
    </row>
    <row r="538" spans="1:26" ht="12.75" customHeight="1">
      <c r="A538" s="1497"/>
      <c r="B538" s="1497"/>
      <c r="C538" s="1497"/>
      <c r="D538" s="1497"/>
      <c r="E538" s="1497"/>
      <c r="F538" s="1497"/>
      <c r="G538" s="1497"/>
      <c r="H538" s="1497"/>
      <c r="I538" s="1497"/>
      <c r="J538" s="1497"/>
      <c r="K538" s="1497"/>
      <c r="L538" s="1497"/>
      <c r="M538" s="1497"/>
      <c r="N538" s="1497"/>
      <c r="O538" s="1497"/>
      <c r="P538" s="1497"/>
      <c r="Q538" s="1497"/>
      <c r="R538" s="1497"/>
      <c r="S538" s="1497"/>
      <c r="T538" s="1497"/>
      <c r="U538" s="1497"/>
      <c r="V538" s="1497"/>
      <c r="W538" s="1497"/>
      <c r="X538" s="1497"/>
      <c r="Y538" s="1497"/>
      <c r="Z538" s="1497"/>
    </row>
    <row r="539" spans="1:26" ht="12.75" customHeight="1">
      <c r="A539" s="1497"/>
      <c r="B539" s="1497"/>
      <c r="C539" s="1497"/>
      <c r="D539" s="1497"/>
      <c r="E539" s="1497"/>
      <c r="F539" s="1497"/>
      <c r="G539" s="1497"/>
      <c r="H539" s="1497"/>
      <c r="I539" s="1497"/>
      <c r="J539" s="1497"/>
      <c r="K539" s="1497"/>
      <c r="L539" s="1497"/>
      <c r="M539" s="1497"/>
      <c r="N539" s="1497"/>
      <c r="O539" s="1497"/>
      <c r="P539" s="1497"/>
      <c r="Q539" s="1497"/>
      <c r="R539" s="1497"/>
      <c r="S539" s="1497"/>
      <c r="T539" s="1497"/>
      <c r="U539" s="1497"/>
      <c r="V539" s="1497"/>
      <c r="W539" s="1497"/>
      <c r="X539" s="1497"/>
      <c r="Y539" s="1497"/>
      <c r="Z539" s="1497"/>
    </row>
    <row r="540" spans="1:26" ht="12.75" customHeight="1">
      <c r="A540" s="1497"/>
      <c r="B540" s="1497"/>
      <c r="C540" s="1497"/>
      <c r="D540" s="1497"/>
      <c r="E540" s="1497"/>
      <c r="F540" s="1497"/>
      <c r="G540" s="1497"/>
      <c r="H540" s="1497"/>
      <c r="I540" s="1497"/>
      <c r="J540" s="1497"/>
      <c r="K540" s="1497"/>
      <c r="L540" s="1497"/>
      <c r="M540" s="1497"/>
      <c r="N540" s="1497"/>
      <c r="O540" s="1497"/>
      <c r="P540" s="1497"/>
      <c r="Q540" s="1497"/>
      <c r="R540" s="1497"/>
      <c r="S540" s="1497"/>
      <c r="T540" s="1497"/>
      <c r="U540" s="1497"/>
      <c r="V540" s="1497"/>
      <c r="W540" s="1497"/>
      <c r="X540" s="1497"/>
      <c r="Y540" s="1497"/>
      <c r="Z540" s="1497"/>
    </row>
    <row r="541" spans="1:26" ht="12.75" customHeight="1">
      <c r="A541" s="1497"/>
      <c r="B541" s="1497"/>
      <c r="C541" s="1497"/>
      <c r="D541" s="1497"/>
      <c r="E541" s="1497"/>
      <c r="F541" s="1497"/>
      <c r="G541" s="1497"/>
      <c r="H541" s="1497"/>
      <c r="I541" s="1497"/>
      <c r="J541" s="1497"/>
      <c r="K541" s="1497"/>
      <c r="L541" s="1497"/>
      <c r="M541" s="1497"/>
      <c r="N541" s="1497"/>
      <c r="O541" s="1497"/>
      <c r="P541" s="1497"/>
      <c r="Q541" s="1497"/>
      <c r="R541" s="1497"/>
      <c r="S541" s="1497"/>
      <c r="T541" s="1497"/>
      <c r="U541" s="1497"/>
      <c r="V541" s="1497"/>
      <c r="W541" s="1497"/>
      <c r="X541" s="1497"/>
      <c r="Y541" s="1497"/>
      <c r="Z541" s="1497"/>
    </row>
    <row r="542" spans="1:26" ht="12.75" customHeight="1">
      <c r="A542" s="1497"/>
      <c r="B542" s="1497"/>
      <c r="C542" s="1497"/>
      <c r="D542" s="1497"/>
      <c r="E542" s="1497"/>
      <c r="F542" s="1497"/>
      <c r="G542" s="1497"/>
      <c r="H542" s="1497"/>
      <c r="I542" s="1497"/>
      <c r="J542" s="1497"/>
      <c r="K542" s="1497"/>
      <c r="L542" s="1497"/>
      <c r="M542" s="1497"/>
      <c r="N542" s="1497"/>
      <c r="O542" s="1497"/>
      <c r="P542" s="1497"/>
      <c r="Q542" s="1497"/>
      <c r="R542" s="1497"/>
      <c r="S542" s="1497"/>
      <c r="T542" s="1497"/>
      <c r="U542" s="1497"/>
      <c r="V542" s="1497"/>
      <c r="W542" s="1497"/>
      <c r="X542" s="1497"/>
      <c r="Y542" s="1497"/>
      <c r="Z542" s="1497"/>
    </row>
    <row r="543" spans="1:26" ht="12.75" customHeight="1">
      <c r="A543" s="1497"/>
      <c r="B543" s="1497"/>
      <c r="C543" s="1497"/>
      <c r="D543" s="1497"/>
      <c r="E543" s="1497"/>
      <c r="F543" s="1497"/>
      <c r="G543" s="1497"/>
      <c r="H543" s="1497"/>
      <c r="I543" s="1497"/>
      <c r="J543" s="1497"/>
      <c r="K543" s="1497"/>
      <c r="L543" s="1497"/>
      <c r="M543" s="1497"/>
      <c r="N543" s="1497"/>
      <c r="O543" s="1497"/>
      <c r="P543" s="1497"/>
      <c r="Q543" s="1497"/>
      <c r="R543" s="1497"/>
      <c r="S543" s="1497"/>
      <c r="T543" s="1497"/>
      <c r="U543" s="1497"/>
      <c r="V543" s="1497"/>
      <c r="W543" s="1497"/>
      <c r="X543" s="1497"/>
      <c r="Y543" s="1497"/>
      <c r="Z543" s="1497"/>
    </row>
    <row r="544" spans="1:26" ht="12.75" customHeight="1">
      <c r="A544" s="1497"/>
      <c r="B544" s="1497"/>
      <c r="C544" s="1497"/>
      <c r="D544" s="1497"/>
      <c r="E544" s="1497"/>
      <c r="F544" s="1497"/>
      <c r="G544" s="1497"/>
      <c r="H544" s="1497"/>
      <c r="I544" s="1497"/>
      <c r="J544" s="1497"/>
      <c r="K544" s="1497"/>
      <c r="L544" s="1497"/>
      <c r="M544" s="1497"/>
      <c r="N544" s="1497"/>
      <c r="O544" s="1497"/>
      <c r="P544" s="1497"/>
      <c r="Q544" s="1497"/>
      <c r="R544" s="1497"/>
      <c r="S544" s="1497"/>
      <c r="T544" s="1497"/>
      <c r="U544" s="1497"/>
      <c r="V544" s="1497"/>
      <c r="W544" s="1497"/>
      <c r="X544" s="1497"/>
      <c r="Y544" s="1497"/>
      <c r="Z544" s="1497"/>
    </row>
    <row r="545" spans="1:26" ht="12.75" customHeight="1">
      <c r="A545" s="1497"/>
      <c r="B545" s="1497"/>
      <c r="C545" s="1497"/>
      <c r="D545" s="1497"/>
      <c r="E545" s="1497"/>
      <c r="F545" s="1497"/>
      <c r="G545" s="1497"/>
      <c r="H545" s="1497"/>
      <c r="I545" s="1497"/>
      <c r="J545" s="1497"/>
      <c r="K545" s="1497"/>
      <c r="L545" s="1497"/>
      <c r="M545" s="1497"/>
      <c r="N545" s="1497"/>
      <c r="O545" s="1497"/>
      <c r="P545" s="1497"/>
      <c r="Q545" s="1497"/>
      <c r="R545" s="1497"/>
      <c r="S545" s="1497"/>
      <c r="T545" s="1497"/>
      <c r="U545" s="1497"/>
      <c r="V545" s="1497"/>
      <c r="W545" s="1497"/>
      <c r="X545" s="1497"/>
      <c r="Y545" s="1497"/>
      <c r="Z545" s="1497"/>
    </row>
    <row r="546" spans="1:26" ht="12.75" customHeight="1">
      <c r="A546" s="1497"/>
      <c r="B546" s="1497"/>
      <c r="C546" s="1497"/>
      <c r="D546" s="1497"/>
      <c r="E546" s="1497"/>
      <c r="F546" s="1497"/>
      <c r="G546" s="1497"/>
      <c r="H546" s="1497"/>
      <c r="I546" s="1497"/>
      <c r="J546" s="1497"/>
      <c r="K546" s="1497"/>
      <c r="L546" s="1497"/>
      <c r="M546" s="1497"/>
      <c r="N546" s="1497"/>
      <c r="O546" s="1497"/>
      <c r="P546" s="1497"/>
      <c r="Q546" s="1497"/>
      <c r="R546" s="1497"/>
      <c r="S546" s="1497"/>
      <c r="T546" s="1497"/>
      <c r="U546" s="1497"/>
      <c r="V546" s="1497"/>
      <c r="W546" s="1497"/>
      <c r="X546" s="1497"/>
      <c r="Y546" s="1497"/>
      <c r="Z546" s="1497"/>
    </row>
    <row r="547" spans="1:26" ht="12.75" customHeight="1">
      <c r="A547" s="1497"/>
      <c r="B547" s="1497"/>
      <c r="C547" s="1497"/>
      <c r="D547" s="1497"/>
      <c r="E547" s="1497"/>
      <c r="F547" s="1497"/>
      <c r="G547" s="1497"/>
      <c r="H547" s="1497"/>
      <c r="I547" s="1497"/>
      <c r="J547" s="1497"/>
      <c r="K547" s="1497"/>
      <c r="L547" s="1497"/>
      <c r="M547" s="1497"/>
      <c r="N547" s="1497"/>
      <c r="O547" s="1497"/>
      <c r="P547" s="1497"/>
      <c r="Q547" s="1497"/>
      <c r="R547" s="1497"/>
      <c r="S547" s="1497"/>
      <c r="T547" s="1497"/>
      <c r="U547" s="1497"/>
      <c r="V547" s="1497"/>
      <c r="W547" s="1497"/>
      <c r="X547" s="1497"/>
      <c r="Y547" s="1497"/>
      <c r="Z547" s="1497"/>
    </row>
    <row r="548" spans="1:26" ht="12.75" customHeight="1">
      <c r="A548" s="1497"/>
      <c r="B548" s="1497"/>
      <c r="C548" s="1497"/>
      <c r="D548" s="1497"/>
      <c r="E548" s="1497"/>
      <c r="F548" s="1497"/>
      <c r="G548" s="1497"/>
      <c r="H548" s="1497"/>
      <c r="I548" s="1497"/>
      <c r="J548" s="1497"/>
      <c r="K548" s="1497"/>
      <c r="L548" s="1497"/>
      <c r="M548" s="1497"/>
      <c r="N548" s="1497"/>
      <c r="O548" s="1497"/>
      <c r="P548" s="1497"/>
      <c r="Q548" s="1497"/>
      <c r="R548" s="1497"/>
      <c r="S548" s="1497"/>
      <c r="T548" s="1497"/>
      <c r="U548" s="1497"/>
      <c r="V548" s="1497"/>
      <c r="W548" s="1497"/>
      <c r="X548" s="1497"/>
      <c r="Y548" s="1497"/>
      <c r="Z548" s="1497"/>
    </row>
    <row r="549" spans="1:26" ht="12.75" customHeight="1">
      <c r="A549" s="1497"/>
      <c r="B549" s="1497"/>
      <c r="C549" s="1497"/>
      <c r="D549" s="1497"/>
      <c r="E549" s="1497"/>
      <c r="F549" s="1497"/>
      <c r="G549" s="1497"/>
      <c r="H549" s="1497"/>
      <c r="I549" s="1497"/>
      <c r="J549" s="1497"/>
      <c r="K549" s="1497"/>
      <c r="L549" s="1497"/>
      <c r="M549" s="1497"/>
      <c r="N549" s="1497"/>
      <c r="O549" s="1497"/>
      <c r="P549" s="1497"/>
      <c r="Q549" s="1497"/>
      <c r="R549" s="1497"/>
      <c r="S549" s="1497"/>
      <c r="T549" s="1497"/>
      <c r="U549" s="1497"/>
      <c r="V549" s="1497"/>
      <c r="W549" s="1497"/>
      <c r="X549" s="1497"/>
      <c r="Y549" s="1497"/>
      <c r="Z549" s="1497"/>
    </row>
    <row r="550" spans="1:26" ht="12.75" customHeight="1">
      <c r="A550" s="1497"/>
      <c r="B550" s="1497"/>
      <c r="C550" s="1497"/>
      <c r="D550" s="1497"/>
      <c r="E550" s="1497"/>
      <c r="F550" s="1497"/>
      <c r="G550" s="1497"/>
      <c r="H550" s="1497"/>
      <c r="I550" s="1497"/>
      <c r="J550" s="1497"/>
      <c r="K550" s="1497"/>
      <c r="L550" s="1497"/>
      <c r="M550" s="1497"/>
      <c r="N550" s="1497"/>
      <c r="O550" s="1497"/>
      <c r="P550" s="1497"/>
      <c r="Q550" s="1497"/>
      <c r="R550" s="1497"/>
      <c r="S550" s="1497"/>
      <c r="T550" s="1497"/>
      <c r="U550" s="1497"/>
      <c r="V550" s="1497"/>
      <c r="W550" s="1497"/>
      <c r="X550" s="1497"/>
      <c r="Y550" s="1497"/>
      <c r="Z550" s="1497"/>
    </row>
    <row r="551" spans="1:26" ht="12.75" customHeight="1">
      <c r="A551" s="1497"/>
      <c r="B551" s="1497"/>
      <c r="C551" s="1497"/>
      <c r="D551" s="1497"/>
      <c r="E551" s="1497"/>
      <c r="F551" s="1497"/>
      <c r="G551" s="1497"/>
      <c r="H551" s="1497"/>
      <c r="I551" s="1497"/>
      <c r="J551" s="1497"/>
      <c r="K551" s="1497"/>
      <c r="L551" s="1497"/>
      <c r="M551" s="1497"/>
      <c r="N551" s="1497"/>
      <c r="O551" s="1497"/>
      <c r="P551" s="1497"/>
      <c r="Q551" s="1497"/>
      <c r="R551" s="1497"/>
      <c r="S551" s="1497"/>
      <c r="T551" s="1497"/>
      <c r="U551" s="1497"/>
      <c r="V551" s="1497"/>
      <c r="W551" s="1497"/>
      <c r="X551" s="1497"/>
      <c r="Y551" s="1497"/>
      <c r="Z551" s="1497"/>
    </row>
    <row r="552" spans="1:26" ht="12.75" customHeight="1">
      <c r="A552" s="1497"/>
      <c r="B552" s="1497"/>
      <c r="C552" s="1497"/>
      <c r="D552" s="1497"/>
      <c r="E552" s="1497"/>
      <c r="F552" s="1497"/>
      <c r="G552" s="1497"/>
      <c r="H552" s="1497"/>
      <c r="I552" s="1497"/>
      <c r="J552" s="1497"/>
      <c r="K552" s="1497"/>
      <c r="L552" s="1497"/>
      <c r="M552" s="1497"/>
      <c r="N552" s="1497"/>
      <c r="O552" s="1497"/>
      <c r="P552" s="1497"/>
      <c r="Q552" s="1497"/>
      <c r="R552" s="1497"/>
      <c r="S552" s="1497"/>
      <c r="T552" s="1497"/>
      <c r="U552" s="1497"/>
      <c r="V552" s="1497"/>
      <c r="W552" s="1497"/>
      <c r="X552" s="1497"/>
      <c r="Y552" s="1497"/>
      <c r="Z552" s="1497"/>
    </row>
    <row r="553" spans="1:26" ht="12.75" customHeight="1">
      <c r="A553" s="1497"/>
      <c r="B553" s="1497"/>
      <c r="C553" s="1497"/>
      <c r="D553" s="1497"/>
      <c r="E553" s="1497"/>
      <c r="F553" s="1497"/>
      <c r="G553" s="1497"/>
      <c r="H553" s="1497"/>
      <c r="I553" s="1497"/>
      <c r="J553" s="1497"/>
      <c r="K553" s="1497"/>
      <c r="L553" s="1497"/>
      <c r="M553" s="1497"/>
      <c r="N553" s="1497"/>
      <c r="O553" s="1497"/>
      <c r="P553" s="1497"/>
      <c r="Q553" s="1497"/>
      <c r="R553" s="1497"/>
      <c r="S553" s="1497"/>
      <c r="T553" s="1497"/>
      <c r="U553" s="1497"/>
      <c r="V553" s="1497"/>
      <c r="W553" s="1497"/>
      <c r="X553" s="1497"/>
      <c r="Y553" s="1497"/>
      <c r="Z553" s="1497"/>
    </row>
    <row r="554" spans="1:26" ht="12.75" customHeight="1">
      <c r="A554" s="1497"/>
      <c r="B554" s="1497"/>
      <c r="C554" s="1497"/>
      <c r="D554" s="1497"/>
      <c r="E554" s="1497"/>
      <c r="F554" s="1497"/>
      <c r="G554" s="1497"/>
      <c r="H554" s="1497"/>
      <c r="I554" s="1497"/>
      <c r="J554" s="1497"/>
      <c r="K554" s="1497"/>
      <c r="L554" s="1497"/>
      <c r="M554" s="1497"/>
      <c r="N554" s="1497"/>
      <c r="O554" s="1497"/>
      <c r="P554" s="1497"/>
      <c r="Q554" s="1497"/>
      <c r="R554" s="1497"/>
      <c r="S554" s="1497"/>
      <c r="T554" s="1497"/>
      <c r="U554" s="1497"/>
      <c r="V554" s="1497"/>
      <c r="W554" s="1497"/>
      <c r="X554" s="1497"/>
      <c r="Y554" s="1497"/>
      <c r="Z554" s="1497"/>
    </row>
    <row r="555" spans="1:26" ht="12.75" customHeight="1">
      <c r="A555" s="1497"/>
      <c r="B555" s="1497"/>
      <c r="C555" s="1497"/>
      <c r="D555" s="1497"/>
      <c r="E555" s="1497"/>
      <c r="F555" s="1497"/>
      <c r="G555" s="1497"/>
      <c r="H555" s="1497"/>
      <c r="I555" s="1497"/>
      <c r="J555" s="1497"/>
      <c r="K555" s="1497"/>
      <c r="L555" s="1497"/>
      <c r="M555" s="1497"/>
      <c r="N555" s="1497"/>
      <c r="O555" s="1497"/>
      <c r="P555" s="1497"/>
      <c r="Q555" s="1497"/>
      <c r="R555" s="1497"/>
      <c r="S555" s="1497"/>
      <c r="T555" s="1497"/>
      <c r="U555" s="1497"/>
      <c r="V555" s="1497"/>
      <c r="W555" s="1497"/>
      <c r="X555" s="1497"/>
      <c r="Y555" s="1497"/>
      <c r="Z555" s="1497"/>
    </row>
    <row r="556" spans="1:26" ht="12.75" customHeight="1">
      <c r="A556" s="1497"/>
      <c r="B556" s="1497"/>
      <c r="C556" s="1497"/>
      <c r="D556" s="1497"/>
      <c r="E556" s="1497"/>
      <c r="F556" s="1497"/>
      <c r="G556" s="1497"/>
      <c r="H556" s="1497"/>
      <c r="I556" s="1497"/>
      <c r="J556" s="1497"/>
      <c r="K556" s="1497"/>
      <c r="L556" s="1497"/>
      <c r="M556" s="1497"/>
      <c r="N556" s="1497"/>
      <c r="O556" s="1497"/>
      <c r="P556" s="1497"/>
      <c r="Q556" s="1497"/>
      <c r="R556" s="1497"/>
      <c r="S556" s="1497"/>
      <c r="T556" s="1497"/>
      <c r="U556" s="1497"/>
      <c r="V556" s="1497"/>
      <c r="W556" s="1497"/>
      <c r="X556" s="1497"/>
      <c r="Y556" s="1497"/>
      <c r="Z556" s="1497"/>
    </row>
    <row r="557" spans="1:26" ht="12.75" customHeight="1">
      <c r="A557" s="1497"/>
      <c r="B557" s="1497"/>
      <c r="C557" s="1497"/>
      <c r="D557" s="1497"/>
      <c r="E557" s="1497"/>
      <c r="F557" s="1497"/>
      <c r="G557" s="1497"/>
      <c r="H557" s="1497"/>
      <c r="I557" s="1497"/>
      <c r="J557" s="1497"/>
      <c r="K557" s="1497"/>
      <c r="L557" s="1497"/>
      <c r="M557" s="1497"/>
      <c r="N557" s="1497"/>
      <c r="O557" s="1497"/>
      <c r="P557" s="1497"/>
      <c r="Q557" s="1497"/>
      <c r="R557" s="1497"/>
      <c r="S557" s="1497"/>
      <c r="T557" s="1497"/>
      <c r="U557" s="1497"/>
      <c r="V557" s="1497"/>
      <c r="W557" s="1497"/>
      <c r="X557" s="1497"/>
      <c r="Y557" s="1497"/>
      <c r="Z557" s="1497"/>
    </row>
    <row r="558" spans="1:26" ht="12.75" customHeight="1">
      <c r="A558" s="1497"/>
      <c r="B558" s="1497"/>
      <c r="C558" s="1497"/>
      <c r="D558" s="1497"/>
      <c r="E558" s="1497"/>
      <c r="F558" s="1497"/>
      <c r="G558" s="1497"/>
      <c r="H558" s="1497"/>
      <c r="I558" s="1497"/>
      <c r="J558" s="1497"/>
      <c r="K558" s="1497"/>
      <c r="L558" s="1497"/>
      <c r="M558" s="1497"/>
      <c r="N558" s="1497"/>
      <c r="O558" s="1497"/>
      <c r="P558" s="1497"/>
      <c r="Q558" s="1497"/>
      <c r="R558" s="1497"/>
      <c r="S558" s="1497"/>
      <c r="T558" s="1497"/>
      <c r="U558" s="1497"/>
      <c r="V558" s="1497"/>
      <c r="W558" s="1497"/>
      <c r="X558" s="1497"/>
      <c r="Y558" s="1497"/>
      <c r="Z558" s="1497"/>
    </row>
    <row r="559" spans="1:26" ht="12.75" customHeight="1">
      <c r="A559" s="1497"/>
      <c r="B559" s="1497"/>
      <c r="C559" s="1497"/>
      <c r="D559" s="1497"/>
      <c r="E559" s="1497"/>
      <c r="F559" s="1497"/>
      <c r="G559" s="1497"/>
      <c r="H559" s="1497"/>
      <c r="I559" s="1497"/>
      <c r="J559" s="1497"/>
      <c r="K559" s="1497"/>
      <c r="L559" s="1497"/>
      <c r="M559" s="1497"/>
      <c r="N559" s="1497"/>
      <c r="O559" s="1497"/>
      <c r="P559" s="1497"/>
      <c r="Q559" s="1497"/>
      <c r="R559" s="1497"/>
      <c r="S559" s="1497"/>
      <c r="T559" s="1497"/>
      <c r="U559" s="1497"/>
      <c r="V559" s="1497"/>
      <c r="W559" s="1497"/>
      <c r="X559" s="1497"/>
      <c r="Y559" s="1497"/>
      <c r="Z559" s="1497"/>
    </row>
    <row r="560" spans="1:26" ht="12.75" customHeight="1">
      <c r="A560" s="1497"/>
      <c r="B560" s="1497"/>
      <c r="C560" s="1497"/>
      <c r="D560" s="1497"/>
      <c r="E560" s="1497"/>
      <c r="F560" s="1497"/>
      <c r="G560" s="1497"/>
      <c r="H560" s="1497"/>
      <c r="I560" s="1497"/>
      <c r="J560" s="1497"/>
      <c r="K560" s="1497"/>
      <c r="L560" s="1497"/>
      <c r="M560" s="1497"/>
      <c r="N560" s="1497"/>
      <c r="O560" s="1497"/>
      <c r="P560" s="1497"/>
      <c r="Q560" s="1497"/>
      <c r="R560" s="1497"/>
      <c r="S560" s="1497"/>
      <c r="T560" s="1497"/>
      <c r="U560" s="1497"/>
      <c r="V560" s="1497"/>
      <c r="W560" s="1497"/>
      <c r="X560" s="1497"/>
      <c r="Y560" s="1497"/>
      <c r="Z560" s="1497"/>
    </row>
    <row r="561" spans="1:26" ht="12.75" customHeight="1">
      <c r="A561" s="1497"/>
      <c r="B561" s="1497"/>
      <c r="C561" s="1497"/>
      <c r="D561" s="1497"/>
      <c r="E561" s="1497"/>
      <c r="F561" s="1497"/>
      <c r="G561" s="1497"/>
      <c r="H561" s="1497"/>
      <c r="I561" s="1497"/>
      <c r="J561" s="1497"/>
      <c r="K561" s="1497"/>
      <c r="L561" s="1497"/>
      <c r="M561" s="1497"/>
      <c r="N561" s="1497"/>
      <c r="O561" s="1497"/>
      <c r="P561" s="1497"/>
      <c r="Q561" s="1497"/>
      <c r="R561" s="1497"/>
      <c r="S561" s="1497"/>
      <c r="T561" s="1497"/>
      <c r="U561" s="1497"/>
      <c r="V561" s="1497"/>
      <c r="W561" s="1497"/>
      <c r="X561" s="1497"/>
      <c r="Y561" s="1497"/>
      <c r="Z561" s="1497"/>
    </row>
    <row r="562" spans="1:26" ht="12.75" customHeight="1">
      <c r="A562" s="1497"/>
      <c r="B562" s="1497"/>
      <c r="C562" s="1497"/>
      <c r="D562" s="1497"/>
      <c r="E562" s="1497"/>
      <c r="F562" s="1497"/>
      <c r="G562" s="1497"/>
      <c r="H562" s="1497"/>
      <c r="I562" s="1497"/>
      <c r="J562" s="1497"/>
      <c r="K562" s="1497"/>
      <c r="L562" s="1497"/>
      <c r="M562" s="1497"/>
      <c r="N562" s="1497"/>
      <c r="O562" s="1497"/>
      <c r="P562" s="1497"/>
      <c r="Q562" s="1497"/>
      <c r="R562" s="1497"/>
      <c r="S562" s="1497"/>
      <c r="T562" s="1497"/>
      <c r="U562" s="1497"/>
      <c r="V562" s="1497"/>
      <c r="W562" s="1497"/>
      <c r="X562" s="1497"/>
      <c r="Y562" s="1497"/>
      <c r="Z562" s="1497"/>
    </row>
    <row r="563" spans="1:26" ht="12.75" customHeight="1">
      <c r="A563" s="1497"/>
      <c r="B563" s="1497"/>
      <c r="C563" s="1497"/>
      <c r="D563" s="1497"/>
      <c r="E563" s="1497"/>
      <c r="F563" s="1497"/>
      <c r="G563" s="1497"/>
      <c r="H563" s="1497"/>
      <c r="I563" s="1497"/>
      <c r="J563" s="1497"/>
      <c r="K563" s="1497"/>
      <c r="L563" s="1497"/>
      <c r="M563" s="1497"/>
      <c r="N563" s="1497"/>
      <c r="O563" s="1497"/>
      <c r="P563" s="1497"/>
      <c r="Q563" s="1497"/>
      <c r="R563" s="1497"/>
      <c r="S563" s="1497"/>
      <c r="T563" s="1497"/>
      <c r="U563" s="1497"/>
      <c r="V563" s="1497"/>
      <c r="W563" s="1497"/>
      <c r="X563" s="1497"/>
      <c r="Y563" s="1497"/>
      <c r="Z563" s="1497"/>
    </row>
    <row r="564" spans="1:26" ht="12.75" customHeight="1">
      <c r="A564" s="1497"/>
      <c r="B564" s="1497"/>
      <c r="C564" s="1497"/>
      <c r="D564" s="1497"/>
      <c r="E564" s="1497"/>
      <c r="F564" s="1497"/>
      <c r="G564" s="1497"/>
      <c r="H564" s="1497"/>
      <c r="I564" s="1497"/>
      <c r="J564" s="1497"/>
      <c r="K564" s="1497"/>
      <c r="L564" s="1497"/>
      <c r="M564" s="1497"/>
      <c r="N564" s="1497"/>
      <c r="O564" s="1497"/>
      <c r="P564" s="1497"/>
      <c r="Q564" s="1497"/>
      <c r="R564" s="1497"/>
      <c r="S564" s="1497"/>
      <c r="T564" s="1497"/>
      <c r="U564" s="1497"/>
      <c r="V564" s="1497"/>
      <c r="W564" s="1497"/>
      <c r="X564" s="1497"/>
      <c r="Y564" s="1497"/>
      <c r="Z564" s="1497"/>
    </row>
    <row r="565" spans="1:26" ht="12.75" customHeight="1">
      <c r="A565" s="1497"/>
      <c r="B565" s="1497"/>
      <c r="C565" s="1497"/>
      <c r="D565" s="1497"/>
      <c r="E565" s="1497"/>
      <c r="F565" s="1497"/>
      <c r="G565" s="1497"/>
      <c r="H565" s="1497"/>
      <c r="I565" s="1497"/>
      <c r="J565" s="1497"/>
      <c r="K565" s="1497"/>
      <c r="L565" s="1497"/>
      <c r="M565" s="1497"/>
      <c r="N565" s="1497"/>
      <c r="O565" s="1497"/>
      <c r="P565" s="1497"/>
      <c r="Q565" s="1497"/>
      <c r="R565" s="1497"/>
      <c r="S565" s="1497"/>
      <c r="T565" s="1497"/>
      <c r="U565" s="1497"/>
      <c r="V565" s="1497"/>
      <c r="W565" s="1497"/>
      <c r="X565" s="1497"/>
      <c r="Y565" s="1497"/>
      <c r="Z565" s="1497"/>
    </row>
    <row r="566" spans="1:26" ht="12.75" customHeight="1">
      <c r="A566" s="1497"/>
      <c r="B566" s="1497"/>
      <c r="C566" s="1497"/>
      <c r="D566" s="1497"/>
      <c r="E566" s="1497"/>
      <c r="F566" s="1497"/>
      <c r="G566" s="1497"/>
      <c r="H566" s="1497"/>
      <c r="I566" s="1497"/>
      <c r="J566" s="1497"/>
      <c r="K566" s="1497"/>
      <c r="L566" s="1497"/>
      <c r="M566" s="1497"/>
      <c r="N566" s="1497"/>
      <c r="O566" s="1497"/>
      <c r="P566" s="1497"/>
      <c r="Q566" s="1497"/>
      <c r="R566" s="1497"/>
      <c r="S566" s="1497"/>
      <c r="T566" s="1497"/>
      <c r="U566" s="1497"/>
      <c r="V566" s="1497"/>
      <c r="W566" s="1497"/>
      <c r="X566" s="1497"/>
      <c r="Y566" s="1497"/>
      <c r="Z566" s="1497"/>
    </row>
    <row r="567" spans="1:26" ht="12.75" customHeight="1">
      <c r="A567" s="1497"/>
      <c r="B567" s="1497"/>
      <c r="C567" s="1497"/>
      <c r="D567" s="1497"/>
      <c r="E567" s="1497"/>
      <c r="F567" s="1497"/>
      <c r="G567" s="1497"/>
      <c r="H567" s="1497"/>
      <c r="I567" s="1497"/>
      <c r="J567" s="1497"/>
      <c r="K567" s="1497"/>
      <c r="L567" s="1497"/>
      <c r="M567" s="1497"/>
      <c r="N567" s="1497"/>
      <c r="O567" s="1497"/>
      <c r="P567" s="1497"/>
      <c r="Q567" s="1497"/>
      <c r="R567" s="1497"/>
      <c r="S567" s="1497"/>
      <c r="T567" s="1497"/>
      <c r="U567" s="1497"/>
      <c r="V567" s="1497"/>
      <c r="W567" s="1497"/>
      <c r="X567" s="1497"/>
      <c r="Y567" s="1497"/>
      <c r="Z567" s="1497"/>
    </row>
    <row r="568" spans="1:26" ht="12.75" customHeight="1">
      <c r="A568" s="1497"/>
      <c r="B568" s="1497"/>
      <c r="C568" s="1497"/>
      <c r="D568" s="1497"/>
      <c r="E568" s="1497"/>
      <c r="F568" s="1497"/>
      <c r="G568" s="1497"/>
      <c r="H568" s="1497"/>
      <c r="I568" s="1497"/>
      <c r="J568" s="1497"/>
      <c r="K568" s="1497"/>
      <c r="L568" s="1497"/>
      <c r="M568" s="1497"/>
      <c r="N568" s="1497"/>
      <c r="O568" s="1497"/>
      <c r="P568" s="1497"/>
      <c r="Q568" s="1497"/>
      <c r="R568" s="1497"/>
      <c r="S568" s="1497"/>
      <c r="T568" s="1497"/>
      <c r="U568" s="1497"/>
      <c r="V568" s="1497"/>
      <c r="W568" s="1497"/>
      <c r="X568" s="1497"/>
      <c r="Y568" s="1497"/>
      <c r="Z568" s="1497"/>
    </row>
    <row r="569" spans="1:26" ht="12.75" customHeight="1">
      <c r="A569" s="1497"/>
      <c r="B569" s="1497"/>
      <c r="C569" s="1497"/>
      <c r="D569" s="1497"/>
      <c r="E569" s="1497"/>
      <c r="F569" s="1497"/>
      <c r="G569" s="1497"/>
      <c r="H569" s="1497"/>
      <c r="I569" s="1497"/>
      <c r="J569" s="1497"/>
      <c r="K569" s="1497"/>
      <c r="L569" s="1497"/>
      <c r="M569" s="1497"/>
      <c r="N569" s="1497"/>
      <c r="O569" s="1497"/>
      <c r="P569" s="1497"/>
      <c r="Q569" s="1497"/>
      <c r="R569" s="1497"/>
      <c r="S569" s="1497"/>
      <c r="T569" s="1497"/>
      <c r="U569" s="1497"/>
      <c r="V569" s="1497"/>
      <c r="W569" s="1497"/>
      <c r="X569" s="1497"/>
      <c r="Y569" s="1497"/>
      <c r="Z569" s="1497"/>
    </row>
    <row r="570" spans="1:26" ht="12.75" customHeight="1">
      <c r="A570" s="1497"/>
      <c r="B570" s="1497"/>
      <c r="C570" s="1497"/>
      <c r="D570" s="1497"/>
      <c r="E570" s="1497"/>
      <c r="F570" s="1497"/>
      <c r="G570" s="1497"/>
      <c r="H570" s="1497"/>
      <c r="I570" s="1497"/>
      <c r="J570" s="1497"/>
      <c r="K570" s="1497"/>
      <c r="L570" s="1497"/>
      <c r="M570" s="1497"/>
      <c r="N570" s="1497"/>
      <c r="O570" s="1497"/>
      <c r="P570" s="1497"/>
      <c r="Q570" s="1497"/>
      <c r="R570" s="1497"/>
      <c r="S570" s="1497"/>
      <c r="T570" s="1497"/>
      <c r="U570" s="1497"/>
      <c r="V570" s="1497"/>
      <c r="W570" s="1497"/>
      <c r="X570" s="1497"/>
      <c r="Y570" s="1497"/>
      <c r="Z570" s="1497"/>
    </row>
    <row r="571" spans="1:26" ht="12.75" customHeight="1">
      <c r="A571" s="1497"/>
      <c r="B571" s="1497"/>
      <c r="C571" s="1497"/>
      <c r="D571" s="1497"/>
      <c r="E571" s="1497"/>
      <c r="F571" s="1497"/>
      <c r="G571" s="1497"/>
      <c r="H571" s="1497"/>
      <c r="I571" s="1497"/>
      <c r="J571" s="1497"/>
      <c r="K571" s="1497"/>
      <c r="L571" s="1497"/>
      <c r="M571" s="1497"/>
      <c r="N571" s="1497"/>
      <c r="O571" s="1497"/>
      <c r="P571" s="1497"/>
      <c r="Q571" s="1497"/>
      <c r="R571" s="1497"/>
      <c r="S571" s="1497"/>
      <c r="T571" s="1497"/>
      <c r="U571" s="1497"/>
      <c r="V571" s="1497"/>
      <c r="W571" s="1497"/>
      <c r="X571" s="1497"/>
      <c r="Y571" s="1497"/>
      <c r="Z571" s="1497"/>
    </row>
    <row r="572" spans="1:26" ht="12.75" customHeight="1">
      <c r="A572" s="1497"/>
      <c r="B572" s="1497"/>
      <c r="C572" s="1497"/>
      <c r="D572" s="1497"/>
      <c r="E572" s="1497"/>
      <c r="F572" s="1497"/>
      <c r="G572" s="1497"/>
      <c r="H572" s="1497"/>
      <c r="I572" s="1497"/>
      <c r="J572" s="1497"/>
      <c r="K572" s="1497"/>
      <c r="L572" s="1497"/>
      <c r="M572" s="1497"/>
      <c r="N572" s="1497"/>
      <c r="O572" s="1497"/>
      <c r="P572" s="1497"/>
      <c r="Q572" s="1497"/>
      <c r="R572" s="1497"/>
      <c r="S572" s="1497"/>
      <c r="T572" s="1497"/>
      <c r="U572" s="1497"/>
      <c r="V572" s="1497"/>
      <c r="W572" s="1497"/>
      <c r="X572" s="1497"/>
      <c r="Y572" s="1497"/>
      <c r="Z572" s="1497"/>
    </row>
    <row r="573" spans="1:26" ht="12.75" customHeight="1">
      <c r="A573" s="1497"/>
      <c r="B573" s="1497"/>
      <c r="C573" s="1497"/>
      <c r="D573" s="1497"/>
      <c r="E573" s="1497"/>
      <c r="F573" s="1497"/>
      <c r="G573" s="1497"/>
      <c r="H573" s="1497"/>
      <c r="I573" s="1497"/>
      <c r="J573" s="1497"/>
      <c r="K573" s="1497"/>
      <c r="L573" s="1497"/>
      <c r="M573" s="1497"/>
      <c r="N573" s="1497"/>
      <c r="O573" s="1497"/>
      <c r="P573" s="1497"/>
      <c r="Q573" s="1497"/>
      <c r="R573" s="1497"/>
      <c r="S573" s="1497"/>
      <c r="T573" s="1497"/>
      <c r="U573" s="1497"/>
      <c r="V573" s="1497"/>
      <c r="W573" s="1497"/>
      <c r="X573" s="1497"/>
      <c r="Y573" s="1497"/>
      <c r="Z573" s="1497"/>
    </row>
    <row r="574" spans="1:26" ht="12.75" customHeight="1">
      <c r="A574" s="1497"/>
      <c r="B574" s="1497"/>
      <c r="C574" s="1497"/>
      <c r="D574" s="1497"/>
      <c r="E574" s="1497"/>
      <c r="F574" s="1497"/>
      <c r="G574" s="1497"/>
      <c r="H574" s="1497"/>
      <c r="I574" s="1497"/>
      <c r="J574" s="1497"/>
      <c r="K574" s="1497"/>
      <c r="L574" s="1497"/>
      <c r="M574" s="1497"/>
      <c r="N574" s="1497"/>
      <c r="O574" s="1497"/>
      <c r="P574" s="1497"/>
      <c r="Q574" s="1497"/>
      <c r="R574" s="1497"/>
      <c r="S574" s="1497"/>
      <c r="T574" s="1497"/>
      <c r="U574" s="1497"/>
      <c r="V574" s="1497"/>
      <c r="W574" s="1497"/>
      <c r="X574" s="1497"/>
      <c r="Y574" s="1497"/>
      <c r="Z574" s="1497"/>
    </row>
    <row r="575" spans="1:26" ht="12.75" customHeight="1">
      <c r="A575" s="1497"/>
      <c r="B575" s="1497"/>
      <c r="C575" s="1497"/>
      <c r="D575" s="1497"/>
      <c r="E575" s="1497"/>
      <c r="F575" s="1497"/>
      <c r="G575" s="1497"/>
      <c r="H575" s="1497"/>
      <c r="I575" s="1497"/>
      <c r="J575" s="1497"/>
      <c r="K575" s="1497"/>
      <c r="L575" s="1497"/>
      <c r="M575" s="1497"/>
      <c r="N575" s="1497"/>
      <c r="O575" s="1497"/>
      <c r="P575" s="1497"/>
      <c r="Q575" s="1497"/>
      <c r="R575" s="1497"/>
      <c r="S575" s="1497"/>
      <c r="T575" s="1497"/>
      <c r="U575" s="1497"/>
      <c r="V575" s="1497"/>
      <c r="W575" s="1497"/>
      <c r="X575" s="1497"/>
      <c r="Y575" s="1497"/>
      <c r="Z575" s="1497"/>
    </row>
    <row r="576" spans="1:26" ht="12.75" customHeight="1">
      <c r="A576" s="1497"/>
      <c r="B576" s="1497"/>
      <c r="C576" s="1497"/>
      <c r="D576" s="1497"/>
      <c r="E576" s="1497"/>
      <c r="F576" s="1497"/>
      <c r="G576" s="1497"/>
      <c r="H576" s="1497"/>
      <c r="I576" s="1497"/>
      <c r="J576" s="1497"/>
      <c r="K576" s="1497"/>
      <c r="L576" s="1497"/>
      <c r="M576" s="1497"/>
      <c r="N576" s="1497"/>
      <c r="O576" s="1497"/>
      <c r="P576" s="1497"/>
      <c r="Q576" s="1497"/>
      <c r="R576" s="1497"/>
      <c r="S576" s="1497"/>
      <c r="T576" s="1497"/>
      <c r="U576" s="1497"/>
      <c r="V576" s="1497"/>
      <c r="W576" s="1497"/>
      <c r="X576" s="1497"/>
      <c r="Y576" s="1497"/>
      <c r="Z576" s="1497"/>
    </row>
    <row r="577" spans="1:26" ht="12.75" customHeight="1">
      <c r="A577" s="1497"/>
      <c r="B577" s="1497"/>
      <c r="C577" s="1497"/>
      <c r="D577" s="1497"/>
      <c r="E577" s="1497"/>
      <c r="F577" s="1497"/>
      <c r="G577" s="1497"/>
      <c r="H577" s="1497"/>
      <c r="I577" s="1497"/>
      <c r="J577" s="1497"/>
      <c r="K577" s="1497"/>
      <c r="L577" s="1497"/>
      <c r="M577" s="1497"/>
      <c r="N577" s="1497"/>
      <c r="O577" s="1497"/>
      <c r="P577" s="1497"/>
      <c r="Q577" s="1497"/>
      <c r="R577" s="1497"/>
      <c r="S577" s="1497"/>
      <c r="T577" s="1497"/>
      <c r="U577" s="1497"/>
      <c r="V577" s="1497"/>
      <c r="W577" s="1497"/>
      <c r="X577" s="1497"/>
      <c r="Y577" s="1497"/>
      <c r="Z577" s="1497"/>
    </row>
    <row r="578" spans="1:26" ht="12.75" customHeight="1">
      <c r="A578" s="1497"/>
      <c r="B578" s="1497"/>
      <c r="C578" s="1497"/>
      <c r="D578" s="1497"/>
      <c r="E578" s="1497"/>
      <c r="F578" s="1497"/>
      <c r="G578" s="1497"/>
      <c r="H578" s="1497"/>
      <c r="I578" s="1497"/>
      <c r="J578" s="1497"/>
      <c r="K578" s="1497"/>
      <c r="L578" s="1497"/>
      <c r="M578" s="1497"/>
      <c r="N578" s="1497"/>
      <c r="O578" s="1497"/>
      <c r="P578" s="1497"/>
      <c r="Q578" s="1497"/>
      <c r="R578" s="1497"/>
      <c r="S578" s="1497"/>
      <c r="T578" s="1497"/>
      <c r="U578" s="1497"/>
      <c r="V578" s="1497"/>
      <c r="W578" s="1497"/>
      <c r="X578" s="1497"/>
      <c r="Y578" s="1497"/>
      <c r="Z578" s="1497"/>
    </row>
    <row r="579" spans="1:26" ht="12.75" customHeight="1">
      <c r="A579" s="1497"/>
      <c r="B579" s="1497"/>
      <c r="C579" s="1497"/>
      <c r="D579" s="1497"/>
      <c r="E579" s="1497"/>
      <c r="F579" s="1497"/>
      <c r="G579" s="1497"/>
      <c r="H579" s="1497"/>
      <c r="I579" s="1497"/>
      <c r="J579" s="1497"/>
      <c r="K579" s="1497"/>
      <c r="L579" s="1497"/>
      <c r="M579" s="1497"/>
      <c r="N579" s="1497"/>
      <c r="O579" s="1497"/>
      <c r="P579" s="1497"/>
      <c r="Q579" s="1497"/>
      <c r="R579" s="1497"/>
      <c r="S579" s="1497"/>
      <c r="T579" s="1497"/>
      <c r="U579" s="1497"/>
      <c r="V579" s="1497"/>
      <c r="W579" s="1497"/>
      <c r="X579" s="1497"/>
      <c r="Y579" s="1497"/>
      <c r="Z579" s="1497"/>
    </row>
    <row r="580" spans="1:26" ht="12.75" customHeight="1">
      <c r="A580" s="1497"/>
      <c r="B580" s="1497"/>
      <c r="C580" s="1497"/>
      <c r="D580" s="1497"/>
      <c r="E580" s="1497"/>
      <c r="F580" s="1497"/>
      <c r="G580" s="1497"/>
      <c r="H580" s="1497"/>
      <c r="I580" s="1497"/>
      <c r="J580" s="1497"/>
      <c r="K580" s="1497"/>
      <c r="L580" s="1497"/>
      <c r="M580" s="1497"/>
      <c r="N580" s="1497"/>
      <c r="O580" s="1497"/>
      <c r="P580" s="1497"/>
      <c r="Q580" s="1497"/>
      <c r="R580" s="1497"/>
      <c r="S580" s="1497"/>
      <c r="T580" s="1497"/>
      <c r="U580" s="1497"/>
      <c r="V580" s="1497"/>
      <c r="W580" s="1497"/>
      <c r="X580" s="1497"/>
      <c r="Y580" s="1497"/>
      <c r="Z580" s="1497"/>
    </row>
    <row r="581" spans="1:26" ht="12.75" customHeight="1">
      <c r="A581" s="1497"/>
      <c r="B581" s="1497"/>
      <c r="C581" s="1497"/>
      <c r="D581" s="1497"/>
      <c r="E581" s="1497"/>
      <c r="F581" s="1497"/>
      <c r="G581" s="1497"/>
      <c r="H581" s="1497"/>
      <c r="I581" s="1497"/>
      <c r="J581" s="1497"/>
      <c r="K581" s="1497"/>
      <c r="L581" s="1497"/>
      <c r="M581" s="1497"/>
      <c r="N581" s="1497"/>
      <c r="O581" s="1497"/>
      <c r="P581" s="1497"/>
      <c r="Q581" s="1497"/>
      <c r="R581" s="1497"/>
      <c r="S581" s="1497"/>
      <c r="T581" s="1497"/>
      <c r="U581" s="1497"/>
      <c r="V581" s="1497"/>
      <c r="W581" s="1497"/>
      <c r="X581" s="1497"/>
      <c r="Y581" s="1497"/>
      <c r="Z581" s="1497"/>
    </row>
    <row r="582" spans="1:26" ht="12.75" customHeight="1">
      <c r="A582" s="1497"/>
      <c r="B582" s="1497"/>
      <c r="C582" s="1497"/>
      <c r="D582" s="1497"/>
      <c r="E582" s="1497"/>
      <c r="F582" s="1497"/>
      <c r="G582" s="1497"/>
      <c r="H582" s="1497"/>
      <c r="I582" s="1497"/>
      <c r="J582" s="1497"/>
      <c r="K582" s="1497"/>
      <c r="L582" s="1497"/>
      <c r="M582" s="1497"/>
      <c r="N582" s="1497"/>
      <c r="O582" s="1497"/>
      <c r="P582" s="1497"/>
      <c r="Q582" s="1497"/>
      <c r="R582" s="1497"/>
      <c r="S582" s="1497"/>
      <c r="T582" s="1497"/>
      <c r="U582" s="1497"/>
      <c r="V582" s="1497"/>
      <c r="W582" s="1497"/>
      <c r="X582" s="1497"/>
      <c r="Y582" s="1497"/>
      <c r="Z582" s="1497"/>
    </row>
    <row r="583" spans="1:26" ht="12.75" customHeight="1">
      <c r="A583" s="1497"/>
      <c r="B583" s="1497"/>
      <c r="C583" s="1497"/>
      <c r="D583" s="1497"/>
      <c r="E583" s="1497"/>
      <c r="F583" s="1497"/>
      <c r="G583" s="1497"/>
      <c r="H583" s="1497"/>
      <c r="I583" s="1497"/>
      <c r="J583" s="1497"/>
      <c r="K583" s="1497"/>
      <c r="L583" s="1497"/>
      <c r="M583" s="1497"/>
      <c r="N583" s="1497"/>
      <c r="O583" s="1497"/>
      <c r="P583" s="1497"/>
      <c r="Q583" s="1497"/>
      <c r="R583" s="1497"/>
      <c r="S583" s="1497"/>
      <c r="T583" s="1497"/>
      <c r="U583" s="1497"/>
      <c r="V583" s="1497"/>
      <c r="W583" s="1497"/>
      <c r="X583" s="1497"/>
      <c r="Y583" s="1497"/>
      <c r="Z583" s="1497"/>
    </row>
    <row r="584" spans="1:26" ht="12.75" customHeight="1">
      <c r="A584" s="1497"/>
      <c r="B584" s="1497"/>
      <c r="C584" s="1497"/>
      <c r="D584" s="1497"/>
      <c r="E584" s="1497"/>
      <c r="F584" s="1497"/>
      <c r="G584" s="1497"/>
      <c r="H584" s="1497"/>
      <c r="I584" s="1497"/>
      <c r="J584" s="1497"/>
      <c r="K584" s="1497"/>
      <c r="L584" s="1497"/>
      <c r="M584" s="1497"/>
      <c r="N584" s="1497"/>
      <c r="O584" s="1497"/>
      <c r="P584" s="1497"/>
      <c r="Q584" s="1497"/>
      <c r="R584" s="1497"/>
      <c r="S584" s="1497"/>
      <c r="T584" s="1497"/>
      <c r="U584" s="1497"/>
      <c r="V584" s="1497"/>
      <c r="W584" s="1497"/>
      <c r="X584" s="1497"/>
      <c r="Y584" s="1497"/>
      <c r="Z584" s="1497"/>
    </row>
    <row r="585" spans="1:26" ht="12.75" customHeight="1">
      <c r="A585" s="1497"/>
      <c r="B585" s="1497"/>
      <c r="C585" s="1497"/>
      <c r="D585" s="1497"/>
      <c r="E585" s="1497"/>
      <c r="F585" s="1497"/>
      <c r="G585" s="1497"/>
      <c r="H585" s="1497"/>
      <c r="I585" s="1497"/>
      <c r="J585" s="1497"/>
      <c r="K585" s="1497"/>
      <c r="L585" s="1497"/>
      <c r="M585" s="1497"/>
      <c r="N585" s="1497"/>
      <c r="O585" s="1497"/>
      <c r="P585" s="1497"/>
      <c r="Q585" s="1497"/>
      <c r="R585" s="1497"/>
      <c r="S585" s="1497"/>
      <c r="T585" s="1497"/>
      <c r="U585" s="1497"/>
      <c r="V585" s="1497"/>
      <c r="W585" s="1497"/>
      <c r="X585" s="1497"/>
      <c r="Y585" s="1497"/>
      <c r="Z585" s="1497"/>
    </row>
    <row r="586" spans="1:26" ht="12.75" customHeight="1">
      <c r="A586" s="1497"/>
      <c r="B586" s="1497"/>
      <c r="C586" s="1497"/>
      <c r="D586" s="1497"/>
      <c r="E586" s="1497"/>
      <c r="F586" s="1497"/>
      <c r="G586" s="1497"/>
      <c r="H586" s="1497"/>
      <c r="I586" s="1497"/>
      <c r="J586" s="1497"/>
      <c r="K586" s="1497"/>
      <c r="L586" s="1497"/>
      <c r="M586" s="1497"/>
      <c r="N586" s="1497"/>
      <c r="O586" s="1497"/>
      <c r="P586" s="1497"/>
      <c r="Q586" s="1497"/>
      <c r="R586" s="1497"/>
      <c r="S586" s="1497"/>
      <c r="T586" s="1497"/>
      <c r="U586" s="1497"/>
      <c r="V586" s="1497"/>
      <c r="W586" s="1497"/>
      <c r="X586" s="1497"/>
      <c r="Y586" s="1497"/>
      <c r="Z586" s="1497"/>
    </row>
    <row r="587" spans="1:26" ht="12.75" customHeight="1">
      <c r="A587" s="1497"/>
      <c r="B587" s="1497"/>
      <c r="C587" s="1497"/>
      <c r="D587" s="1497"/>
      <c r="E587" s="1497"/>
      <c r="F587" s="1497"/>
      <c r="G587" s="1497"/>
      <c r="H587" s="1497"/>
      <c r="I587" s="1497"/>
      <c r="J587" s="1497"/>
      <c r="K587" s="1497"/>
      <c r="L587" s="1497"/>
      <c r="M587" s="1497"/>
      <c r="N587" s="1497"/>
      <c r="O587" s="1497"/>
      <c r="P587" s="1497"/>
      <c r="Q587" s="1497"/>
      <c r="R587" s="1497"/>
      <c r="S587" s="1497"/>
      <c r="T587" s="1497"/>
      <c r="U587" s="1497"/>
      <c r="V587" s="1497"/>
      <c r="W587" s="1497"/>
      <c r="X587" s="1497"/>
      <c r="Y587" s="1497"/>
      <c r="Z587" s="1497"/>
    </row>
    <row r="588" spans="1:26" ht="12.75" customHeight="1">
      <c r="A588" s="1497"/>
      <c r="B588" s="1497"/>
      <c r="C588" s="1497"/>
      <c r="D588" s="1497"/>
      <c r="E588" s="1497"/>
      <c r="F588" s="1497"/>
      <c r="G588" s="1497"/>
      <c r="H588" s="1497"/>
      <c r="I588" s="1497"/>
      <c r="J588" s="1497"/>
      <c r="K588" s="1497"/>
      <c r="L588" s="1497"/>
      <c r="M588" s="1497"/>
      <c r="N588" s="1497"/>
      <c r="O588" s="1497"/>
      <c r="P588" s="1497"/>
      <c r="Q588" s="1497"/>
      <c r="R588" s="1497"/>
      <c r="S588" s="1497"/>
      <c r="T588" s="1497"/>
      <c r="U588" s="1497"/>
      <c r="V588" s="1497"/>
      <c r="W588" s="1497"/>
      <c r="X588" s="1497"/>
      <c r="Y588" s="1497"/>
      <c r="Z588" s="1497"/>
    </row>
    <row r="589" spans="1:26" ht="12.75" customHeight="1">
      <c r="A589" s="1497"/>
      <c r="B589" s="1497"/>
      <c r="C589" s="1497"/>
      <c r="D589" s="1497"/>
      <c r="E589" s="1497"/>
      <c r="F589" s="1497"/>
      <c r="G589" s="1497"/>
      <c r="H589" s="1497"/>
      <c r="I589" s="1497"/>
      <c r="J589" s="1497"/>
      <c r="K589" s="1497"/>
      <c r="L589" s="1497"/>
      <c r="M589" s="1497"/>
      <c r="N589" s="1497"/>
      <c r="O589" s="1497"/>
      <c r="P589" s="1497"/>
      <c r="Q589" s="1497"/>
      <c r="R589" s="1497"/>
      <c r="S589" s="1497"/>
      <c r="T589" s="1497"/>
      <c r="U589" s="1497"/>
      <c r="V589" s="1497"/>
      <c r="W589" s="1497"/>
      <c r="X589" s="1497"/>
      <c r="Y589" s="1497"/>
      <c r="Z589" s="1497"/>
    </row>
    <row r="590" spans="1:26" ht="12.75" customHeight="1">
      <c r="A590" s="1497"/>
      <c r="B590" s="1497"/>
      <c r="C590" s="1497"/>
      <c r="D590" s="1497"/>
      <c r="E590" s="1497"/>
      <c r="F590" s="1497"/>
      <c r="G590" s="1497"/>
      <c r="H590" s="1497"/>
      <c r="I590" s="1497"/>
      <c r="J590" s="1497"/>
      <c r="K590" s="1497"/>
      <c r="L590" s="1497"/>
      <c r="M590" s="1497"/>
      <c r="N590" s="1497"/>
      <c r="O590" s="1497"/>
      <c r="P590" s="1497"/>
      <c r="Q590" s="1497"/>
      <c r="R590" s="1497"/>
      <c r="S590" s="1497"/>
      <c r="T590" s="1497"/>
      <c r="U590" s="1497"/>
      <c r="V590" s="1497"/>
      <c r="W590" s="1497"/>
      <c r="X590" s="1497"/>
      <c r="Y590" s="1497"/>
      <c r="Z590" s="1497"/>
    </row>
    <row r="591" spans="1:26" ht="12.75" customHeight="1">
      <c r="A591" s="1497"/>
      <c r="B591" s="1497"/>
      <c r="C591" s="1497"/>
      <c r="D591" s="1497"/>
      <c r="E591" s="1497"/>
      <c r="F591" s="1497"/>
      <c r="G591" s="1497"/>
      <c r="H591" s="1497"/>
      <c r="I591" s="1497"/>
      <c r="J591" s="1497"/>
      <c r="K591" s="1497"/>
      <c r="L591" s="1497"/>
      <c r="M591" s="1497"/>
      <c r="N591" s="1497"/>
      <c r="O591" s="1497"/>
      <c r="P591" s="1497"/>
      <c r="Q591" s="1497"/>
      <c r="R591" s="1497"/>
      <c r="S591" s="1497"/>
      <c r="T591" s="1497"/>
      <c r="U591" s="1497"/>
      <c r="V591" s="1497"/>
      <c r="W591" s="1497"/>
      <c r="X591" s="1497"/>
      <c r="Y591" s="1497"/>
      <c r="Z591" s="1497"/>
    </row>
    <row r="592" spans="1:26" ht="12.75" customHeight="1">
      <c r="A592" s="1497"/>
      <c r="B592" s="1497"/>
      <c r="C592" s="1497"/>
      <c r="D592" s="1497"/>
      <c r="E592" s="1497"/>
      <c r="F592" s="1497"/>
      <c r="G592" s="1497"/>
      <c r="H592" s="1497"/>
      <c r="I592" s="1497"/>
      <c r="J592" s="1497"/>
      <c r="K592" s="1497"/>
      <c r="L592" s="1497"/>
      <c r="M592" s="1497"/>
      <c r="N592" s="1497"/>
      <c r="O592" s="1497"/>
      <c r="P592" s="1497"/>
      <c r="Q592" s="1497"/>
      <c r="R592" s="1497"/>
      <c r="S592" s="1497"/>
      <c r="T592" s="1497"/>
      <c r="U592" s="1497"/>
      <c r="V592" s="1497"/>
      <c r="W592" s="1497"/>
      <c r="X592" s="1497"/>
      <c r="Y592" s="1497"/>
      <c r="Z592" s="1497"/>
    </row>
    <row r="593" spans="1:26" ht="12.75" customHeight="1">
      <c r="A593" s="1497"/>
      <c r="B593" s="1497"/>
      <c r="C593" s="1497"/>
      <c r="D593" s="1497"/>
      <c r="E593" s="1497"/>
      <c r="F593" s="1497"/>
      <c r="G593" s="1497"/>
      <c r="H593" s="1497"/>
      <c r="I593" s="1497"/>
      <c r="J593" s="1497"/>
      <c r="K593" s="1497"/>
      <c r="L593" s="1497"/>
      <c r="M593" s="1497"/>
      <c r="N593" s="1497"/>
      <c r="O593" s="1497"/>
      <c r="P593" s="1497"/>
      <c r="Q593" s="1497"/>
      <c r="R593" s="1497"/>
      <c r="S593" s="1497"/>
      <c r="T593" s="1497"/>
      <c r="U593" s="1497"/>
      <c r="V593" s="1497"/>
      <c r="W593" s="1497"/>
      <c r="X593" s="1497"/>
      <c r="Y593" s="1497"/>
      <c r="Z593" s="1497"/>
    </row>
    <row r="594" spans="1:26" ht="12.75" customHeight="1">
      <c r="A594" s="1497"/>
      <c r="B594" s="1497"/>
      <c r="C594" s="1497"/>
      <c r="D594" s="1497"/>
      <c r="E594" s="1497"/>
      <c r="F594" s="1497"/>
      <c r="G594" s="1497"/>
      <c r="H594" s="1497"/>
      <c r="I594" s="1497"/>
      <c r="J594" s="1497"/>
      <c r="K594" s="1497"/>
      <c r="L594" s="1497"/>
      <c r="M594" s="1497"/>
      <c r="N594" s="1497"/>
      <c r="O594" s="1497"/>
      <c r="P594" s="1497"/>
      <c r="Q594" s="1497"/>
      <c r="R594" s="1497"/>
      <c r="S594" s="1497"/>
      <c r="T594" s="1497"/>
      <c r="U594" s="1497"/>
      <c r="V594" s="1497"/>
      <c r="W594" s="1497"/>
      <c r="X594" s="1497"/>
      <c r="Y594" s="1497"/>
      <c r="Z594" s="1497"/>
    </row>
    <row r="595" spans="1:26" ht="12.75" customHeight="1">
      <c r="A595" s="1497"/>
      <c r="B595" s="1497"/>
      <c r="C595" s="1497"/>
      <c r="D595" s="1497"/>
      <c r="E595" s="1497"/>
      <c r="F595" s="1497"/>
      <c r="G595" s="1497"/>
      <c r="H595" s="1497"/>
      <c r="I595" s="1497"/>
      <c r="J595" s="1497"/>
      <c r="K595" s="1497"/>
      <c r="L595" s="1497"/>
      <c r="M595" s="1497"/>
      <c r="N595" s="1497"/>
      <c r="O595" s="1497"/>
      <c r="P595" s="1497"/>
      <c r="Q595" s="1497"/>
      <c r="R595" s="1497"/>
      <c r="S595" s="1497"/>
      <c r="T595" s="1497"/>
      <c r="U595" s="1497"/>
      <c r="V595" s="1497"/>
      <c r="W595" s="1497"/>
      <c r="X595" s="1497"/>
      <c r="Y595" s="1497"/>
      <c r="Z595" s="1497"/>
    </row>
    <row r="596" spans="1:26" ht="12.75" customHeight="1">
      <c r="A596" s="1497"/>
      <c r="B596" s="1497"/>
      <c r="C596" s="1497"/>
      <c r="D596" s="1497"/>
      <c r="E596" s="1497"/>
      <c r="F596" s="1497"/>
      <c r="G596" s="1497"/>
      <c r="H596" s="1497"/>
      <c r="I596" s="1497"/>
      <c r="J596" s="1497"/>
      <c r="K596" s="1497"/>
      <c r="L596" s="1497"/>
      <c r="M596" s="1497"/>
      <c r="N596" s="1497"/>
      <c r="O596" s="1497"/>
      <c r="P596" s="1497"/>
      <c r="Q596" s="1497"/>
      <c r="R596" s="1497"/>
      <c r="S596" s="1497"/>
      <c r="T596" s="1497"/>
      <c r="U596" s="1497"/>
      <c r="V596" s="1497"/>
      <c r="W596" s="1497"/>
      <c r="X596" s="1497"/>
      <c r="Y596" s="1497"/>
      <c r="Z596" s="1497"/>
    </row>
    <row r="597" spans="1:26" ht="12.75" customHeight="1">
      <c r="A597" s="1497"/>
      <c r="B597" s="1497"/>
      <c r="C597" s="1497"/>
      <c r="D597" s="1497"/>
      <c r="E597" s="1497"/>
      <c r="F597" s="1497"/>
      <c r="G597" s="1497"/>
      <c r="H597" s="1497"/>
      <c r="I597" s="1497"/>
      <c r="J597" s="1497"/>
      <c r="K597" s="1497"/>
      <c r="L597" s="1497"/>
      <c r="M597" s="1497"/>
      <c r="N597" s="1497"/>
      <c r="O597" s="1497"/>
      <c r="P597" s="1497"/>
      <c r="Q597" s="1497"/>
      <c r="R597" s="1497"/>
      <c r="S597" s="1497"/>
      <c r="T597" s="1497"/>
      <c r="U597" s="1497"/>
      <c r="V597" s="1497"/>
      <c r="W597" s="1497"/>
      <c r="X597" s="1497"/>
      <c r="Y597" s="1497"/>
      <c r="Z597" s="1497"/>
    </row>
    <row r="598" spans="1:26" ht="12.75" customHeight="1">
      <c r="A598" s="1497"/>
      <c r="B598" s="1497"/>
      <c r="C598" s="1497"/>
      <c r="D598" s="1497"/>
      <c r="E598" s="1497"/>
      <c r="F598" s="1497"/>
      <c r="G598" s="1497"/>
      <c r="H598" s="1497"/>
      <c r="I598" s="1497"/>
      <c r="J598" s="1497"/>
      <c r="K598" s="1497"/>
      <c r="L598" s="1497"/>
      <c r="M598" s="1497"/>
      <c r="N598" s="1497"/>
      <c r="O598" s="1497"/>
      <c r="P598" s="1497"/>
      <c r="Q598" s="1497"/>
      <c r="R598" s="1497"/>
      <c r="S598" s="1497"/>
      <c r="T598" s="1497"/>
      <c r="U598" s="1497"/>
      <c r="V598" s="1497"/>
      <c r="W598" s="1497"/>
      <c r="X598" s="1497"/>
      <c r="Y598" s="1497"/>
      <c r="Z598" s="1497"/>
    </row>
    <row r="599" spans="1:26" ht="12.75" customHeight="1">
      <c r="A599" s="1497"/>
      <c r="B599" s="1497"/>
      <c r="C599" s="1497"/>
      <c r="D599" s="1497"/>
      <c r="E599" s="1497"/>
      <c r="F599" s="1497"/>
      <c r="G599" s="1497"/>
      <c r="H599" s="1497"/>
      <c r="I599" s="1497"/>
      <c r="J599" s="1497"/>
      <c r="K599" s="1497"/>
      <c r="L599" s="1497"/>
      <c r="M599" s="1497"/>
      <c r="N599" s="1497"/>
      <c r="O599" s="1497"/>
      <c r="P599" s="1497"/>
      <c r="Q599" s="1497"/>
      <c r="R599" s="1497"/>
      <c r="S599" s="1497"/>
      <c r="T599" s="1497"/>
      <c r="U599" s="1497"/>
      <c r="V599" s="1497"/>
      <c r="W599" s="1497"/>
      <c r="X599" s="1497"/>
      <c r="Y599" s="1497"/>
      <c r="Z599" s="1497"/>
    </row>
    <row r="600" spans="1:26" ht="12.75" customHeight="1">
      <c r="A600" s="1497"/>
      <c r="B600" s="1497"/>
      <c r="C600" s="1497"/>
      <c r="D600" s="1497"/>
      <c r="E600" s="1497"/>
      <c r="F600" s="1497"/>
      <c r="G600" s="1497"/>
      <c r="H600" s="1497"/>
      <c r="I600" s="1497"/>
      <c r="J600" s="1497"/>
      <c r="K600" s="1497"/>
      <c r="L600" s="1497"/>
      <c r="M600" s="1497"/>
      <c r="N600" s="1497"/>
      <c r="O600" s="1497"/>
      <c r="P600" s="1497"/>
      <c r="Q600" s="1497"/>
      <c r="R600" s="1497"/>
      <c r="S600" s="1497"/>
      <c r="T600" s="1497"/>
      <c r="U600" s="1497"/>
      <c r="V600" s="1497"/>
      <c r="W600" s="1497"/>
      <c r="X600" s="1497"/>
      <c r="Y600" s="1497"/>
      <c r="Z600" s="1497"/>
    </row>
    <row r="601" spans="1:26" ht="12.75" customHeight="1">
      <c r="A601" s="1497"/>
      <c r="B601" s="1497"/>
      <c r="C601" s="1497"/>
      <c r="D601" s="1497"/>
      <c r="E601" s="1497"/>
      <c r="F601" s="1497"/>
      <c r="G601" s="1497"/>
      <c r="H601" s="1497"/>
      <c r="I601" s="1497"/>
      <c r="J601" s="1497"/>
      <c r="K601" s="1497"/>
      <c r="L601" s="1497"/>
      <c r="M601" s="1497"/>
      <c r="N601" s="1497"/>
      <c r="O601" s="1497"/>
      <c r="P601" s="1497"/>
      <c r="Q601" s="1497"/>
      <c r="R601" s="1497"/>
      <c r="S601" s="1497"/>
      <c r="T601" s="1497"/>
      <c r="U601" s="1497"/>
      <c r="V601" s="1497"/>
      <c r="W601" s="1497"/>
      <c r="X601" s="1497"/>
      <c r="Y601" s="1497"/>
      <c r="Z601" s="1497"/>
    </row>
    <row r="602" spans="1:26" ht="12.75" customHeight="1">
      <c r="A602" s="1497"/>
      <c r="B602" s="1497"/>
      <c r="C602" s="1497"/>
      <c r="D602" s="1497"/>
      <c r="E602" s="1497"/>
      <c r="F602" s="1497"/>
      <c r="G602" s="1497"/>
      <c r="H602" s="1497"/>
      <c r="I602" s="1497"/>
      <c r="J602" s="1497"/>
      <c r="K602" s="1497"/>
      <c r="L602" s="1497"/>
      <c r="M602" s="1497"/>
      <c r="N602" s="1497"/>
      <c r="O602" s="1497"/>
      <c r="P602" s="1497"/>
      <c r="Q602" s="1497"/>
      <c r="R602" s="1497"/>
      <c r="S602" s="1497"/>
      <c r="T602" s="1497"/>
      <c r="U602" s="1497"/>
      <c r="V602" s="1497"/>
      <c r="W602" s="1497"/>
      <c r="X602" s="1497"/>
      <c r="Y602" s="1497"/>
      <c r="Z602" s="1497"/>
    </row>
    <row r="603" spans="1:26" ht="12.75" customHeight="1">
      <c r="A603" s="1497"/>
      <c r="B603" s="1497"/>
      <c r="C603" s="1497"/>
      <c r="D603" s="1497"/>
      <c r="E603" s="1497"/>
      <c r="F603" s="1497"/>
      <c r="G603" s="1497"/>
      <c r="H603" s="1497"/>
      <c r="I603" s="1497"/>
      <c r="J603" s="1497"/>
      <c r="K603" s="1497"/>
      <c r="L603" s="1497"/>
      <c r="M603" s="1497"/>
      <c r="N603" s="1497"/>
      <c r="O603" s="1497"/>
      <c r="P603" s="1497"/>
      <c r="Q603" s="1497"/>
      <c r="R603" s="1497"/>
      <c r="S603" s="1497"/>
      <c r="T603" s="1497"/>
      <c r="U603" s="1497"/>
      <c r="V603" s="1497"/>
      <c r="W603" s="1497"/>
      <c r="X603" s="1497"/>
      <c r="Y603" s="1497"/>
      <c r="Z603" s="1497"/>
    </row>
    <row r="604" spans="1:26" ht="12.75" customHeight="1">
      <c r="A604" s="1497"/>
      <c r="B604" s="1497"/>
      <c r="C604" s="1497"/>
      <c r="D604" s="1497"/>
      <c r="E604" s="1497"/>
      <c r="F604" s="1497"/>
      <c r="G604" s="1497"/>
      <c r="H604" s="1497"/>
      <c r="I604" s="1497"/>
      <c r="J604" s="1497"/>
      <c r="K604" s="1497"/>
      <c r="L604" s="1497"/>
      <c r="M604" s="1497"/>
      <c r="N604" s="1497"/>
      <c r="O604" s="1497"/>
      <c r="P604" s="1497"/>
      <c r="Q604" s="1497"/>
      <c r="R604" s="1497"/>
      <c r="S604" s="1497"/>
      <c r="T604" s="1497"/>
      <c r="U604" s="1497"/>
      <c r="V604" s="1497"/>
      <c r="W604" s="1497"/>
      <c r="X604" s="1497"/>
      <c r="Y604" s="1497"/>
      <c r="Z604" s="1497"/>
    </row>
    <row r="605" spans="1:26" ht="12.75" customHeight="1">
      <c r="A605" s="1497"/>
      <c r="B605" s="1497"/>
      <c r="C605" s="1497"/>
      <c r="D605" s="1497"/>
      <c r="E605" s="1497"/>
      <c r="F605" s="1497"/>
      <c r="G605" s="1497"/>
      <c r="H605" s="1497"/>
      <c r="I605" s="1497"/>
      <c r="J605" s="1497"/>
      <c r="K605" s="1497"/>
      <c r="L605" s="1497"/>
      <c r="M605" s="1497"/>
      <c r="N605" s="1497"/>
      <c r="O605" s="1497"/>
      <c r="P605" s="1497"/>
      <c r="Q605" s="1497"/>
      <c r="R605" s="1497"/>
      <c r="S605" s="1497"/>
      <c r="T605" s="1497"/>
      <c r="U605" s="1497"/>
      <c r="V605" s="1497"/>
      <c r="W605" s="1497"/>
      <c r="X605" s="1497"/>
      <c r="Y605" s="1497"/>
      <c r="Z605" s="1497"/>
    </row>
    <row r="606" spans="1:26" ht="12.75" customHeight="1">
      <c r="A606" s="1497"/>
      <c r="B606" s="1497"/>
      <c r="C606" s="1497"/>
      <c r="D606" s="1497"/>
      <c r="E606" s="1497"/>
      <c r="F606" s="1497"/>
      <c r="G606" s="1497"/>
      <c r="H606" s="1497"/>
      <c r="I606" s="1497"/>
      <c r="J606" s="1497"/>
      <c r="K606" s="1497"/>
      <c r="L606" s="1497"/>
      <c r="M606" s="1497"/>
      <c r="N606" s="1497"/>
      <c r="O606" s="1497"/>
      <c r="P606" s="1497"/>
      <c r="Q606" s="1497"/>
      <c r="R606" s="1497"/>
      <c r="S606" s="1497"/>
      <c r="T606" s="1497"/>
      <c r="U606" s="1497"/>
      <c r="V606" s="1497"/>
      <c r="W606" s="1497"/>
      <c r="X606" s="1497"/>
      <c r="Y606" s="1497"/>
      <c r="Z606" s="1497"/>
    </row>
    <row r="607" spans="1:26" ht="12.75" customHeight="1">
      <c r="A607" s="1497"/>
      <c r="B607" s="1497"/>
      <c r="C607" s="1497"/>
      <c r="D607" s="1497"/>
      <c r="E607" s="1497"/>
      <c r="F607" s="1497"/>
      <c r="G607" s="1497"/>
      <c r="H607" s="1497"/>
      <c r="I607" s="1497"/>
      <c r="J607" s="1497"/>
      <c r="K607" s="1497"/>
      <c r="L607" s="1497"/>
      <c r="M607" s="1497"/>
      <c r="N607" s="1497"/>
      <c r="O607" s="1497"/>
      <c r="P607" s="1497"/>
      <c r="Q607" s="1497"/>
      <c r="R607" s="1497"/>
      <c r="S607" s="1497"/>
      <c r="T607" s="1497"/>
      <c r="U607" s="1497"/>
      <c r="V607" s="1497"/>
      <c r="W607" s="1497"/>
      <c r="X607" s="1497"/>
      <c r="Y607" s="1497"/>
      <c r="Z607" s="1497"/>
    </row>
    <row r="608" spans="1:26" ht="12.75" customHeight="1">
      <c r="A608" s="1497"/>
      <c r="B608" s="1497"/>
      <c r="C608" s="1497"/>
      <c r="D608" s="1497"/>
      <c r="E608" s="1497"/>
      <c r="F608" s="1497"/>
      <c r="G608" s="1497"/>
      <c r="H608" s="1497"/>
      <c r="I608" s="1497"/>
      <c r="J608" s="1497"/>
      <c r="K608" s="1497"/>
      <c r="L608" s="1497"/>
      <c r="M608" s="1497"/>
      <c r="N608" s="1497"/>
      <c r="O608" s="1497"/>
      <c r="P608" s="1497"/>
      <c r="Q608" s="1497"/>
      <c r="R608" s="1497"/>
      <c r="S608" s="1497"/>
      <c r="T608" s="1497"/>
      <c r="U608" s="1497"/>
      <c r="V608" s="1497"/>
      <c r="W608" s="1497"/>
      <c r="X608" s="1497"/>
      <c r="Y608" s="1497"/>
      <c r="Z608" s="1497"/>
    </row>
    <row r="609" spans="1:26" ht="12.75" customHeight="1">
      <c r="A609" s="1497"/>
      <c r="B609" s="1497"/>
      <c r="C609" s="1497"/>
      <c r="D609" s="1497"/>
      <c r="E609" s="1497"/>
      <c r="F609" s="1497"/>
      <c r="G609" s="1497"/>
      <c r="H609" s="1497"/>
      <c r="I609" s="1497"/>
      <c r="J609" s="1497"/>
      <c r="K609" s="1497"/>
      <c r="L609" s="1497"/>
      <c r="M609" s="1497"/>
      <c r="N609" s="1497"/>
      <c r="O609" s="1497"/>
      <c r="P609" s="1497"/>
      <c r="Q609" s="1497"/>
      <c r="R609" s="1497"/>
      <c r="S609" s="1497"/>
      <c r="T609" s="1497"/>
      <c r="U609" s="1497"/>
      <c r="V609" s="1497"/>
      <c r="W609" s="1497"/>
      <c r="X609" s="1497"/>
      <c r="Y609" s="1497"/>
      <c r="Z609" s="1497"/>
    </row>
    <row r="610" spans="1:26" ht="12.75" customHeight="1">
      <c r="A610" s="1497"/>
      <c r="B610" s="1497"/>
      <c r="C610" s="1497"/>
      <c r="D610" s="1497"/>
      <c r="E610" s="1497"/>
      <c r="F610" s="1497"/>
      <c r="G610" s="1497"/>
      <c r="H610" s="1497"/>
      <c r="I610" s="1497"/>
      <c r="J610" s="1497"/>
      <c r="K610" s="1497"/>
      <c r="L610" s="1497"/>
      <c r="M610" s="1497"/>
      <c r="N610" s="1497"/>
      <c r="O610" s="1497"/>
      <c r="P610" s="1497"/>
      <c r="Q610" s="1497"/>
      <c r="R610" s="1497"/>
      <c r="S610" s="1497"/>
      <c r="T610" s="1497"/>
      <c r="U610" s="1497"/>
      <c r="V610" s="1497"/>
      <c r="W610" s="1497"/>
      <c r="X610" s="1497"/>
      <c r="Y610" s="1497"/>
      <c r="Z610" s="1497"/>
    </row>
    <row r="611" spans="1:26" ht="12.75" customHeight="1">
      <c r="A611" s="1497"/>
      <c r="B611" s="1497"/>
      <c r="C611" s="1497"/>
      <c r="D611" s="1497"/>
      <c r="E611" s="1497"/>
      <c r="F611" s="1497"/>
      <c r="G611" s="1497"/>
      <c r="H611" s="1497"/>
      <c r="I611" s="1497"/>
      <c r="J611" s="1497"/>
      <c r="K611" s="1497"/>
      <c r="L611" s="1497"/>
      <c r="M611" s="1497"/>
      <c r="N611" s="1497"/>
      <c r="O611" s="1497"/>
      <c r="P611" s="1497"/>
      <c r="Q611" s="1497"/>
      <c r="R611" s="1497"/>
      <c r="S611" s="1497"/>
      <c r="T611" s="1497"/>
      <c r="U611" s="1497"/>
      <c r="V611" s="1497"/>
      <c r="W611" s="1497"/>
      <c r="X611" s="1497"/>
      <c r="Y611" s="1497"/>
      <c r="Z611" s="1497"/>
    </row>
    <row r="612" spans="1:26" ht="12.75" customHeight="1">
      <c r="A612" s="1497"/>
      <c r="B612" s="1497"/>
      <c r="C612" s="1497"/>
      <c r="D612" s="1497"/>
      <c r="E612" s="1497"/>
      <c r="F612" s="1497"/>
      <c r="G612" s="1497"/>
      <c r="H612" s="1497"/>
      <c r="I612" s="1497"/>
      <c r="J612" s="1497"/>
      <c r="K612" s="1497"/>
      <c r="L612" s="1497"/>
      <c r="M612" s="1497"/>
      <c r="N612" s="1497"/>
      <c r="O612" s="1497"/>
      <c r="P612" s="1497"/>
      <c r="Q612" s="1497"/>
      <c r="R612" s="1497"/>
      <c r="S612" s="1497"/>
      <c r="T612" s="1497"/>
      <c r="U612" s="1497"/>
      <c r="V612" s="1497"/>
      <c r="W612" s="1497"/>
      <c r="X612" s="1497"/>
      <c r="Y612" s="1497"/>
      <c r="Z612" s="1497"/>
    </row>
    <row r="613" spans="1:26" ht="12.75" customHeight="1">
      <c r="A613" s="1497"/>
      <c r="B613" s="1497"/>
      <c r="C613" s="1497"/>
      <c r="D613" s="1497"/>
      <c r="E613" s="1497"/>
      <c r="F613" s="1497"/>
      <c r="G613" s="1497"/>
      <c r="H613" s="1497"/>
      <c r="I613" s="1497"/>
      <c r="J613" s="1497"/>
      <c r="K613" s="1497"/>
      <c r="L613" s="1497"/>
      <c r="M613" s="1497"/>
      <c r="N613" s="1497"/>
      <c r="O613" s="1497"/>
      <c r="P613" s="1497"/>
      <c r="Q613" s="1497"/>
      <c r="R613" s="1497"/>
      <c r="S613" s="1497"/>
      <c r="T613" s="1497"/>
      <c r="U613" s="1497"/>
      <c r="V613" s="1497"/>
      <c r="W613" s="1497"/>
      <c r="X613" s="1497"/>
      <c r="Y613" s="1497"/>
      <c r="Z613" s="1497"/>
    </row>
    <row r="614" spans="1:26" ht="12.75" customHeight="1">
      <c r="A614" s="1497"/>
      <c r="B614" s="1497"/>
      <c r="C614" s="1497"/>
      <c r="D614" s="1497"/>
      <c r="E614" s="1497"/>
      <c r="F614" s="1497"/>
      <c r="G614" s="1497"/>
      <c r="H614" s="1497"/>
      <c r="I614" s="1497"/>
      <c r="J614" s="1497"/>
      <c r="K614" s="1497"/>
      <c r="L614" s="1497"/>
      <c r="M614" s="1497"/>
      <c r="N614" s="1497"/>
      <c r="O614" s="1497"/>
      <c r="P614" s="1497"/>
      <c r="Q614" s="1497"/>
      <c r="R614" s="1497"/>
      <c r="S614" s="1497"/>
      <c r="T614" s="1497"/>
      <c r="U614" s="1497"/>
      <c r="V614" s="1497"/>
      <c r="W614" s="1497"/>
      <c r="X614" s="1497"/>
      <c r="Y614" s="1497"/>
      <c r="Z614" s="1497"/>
    </row>
    <row r="615" spans="1:26" ht="12.75" customHeight="1">
      <c r="A615" s="1497"/>
      <c r="B615" s="1497"/>
      <c r="C615" s="1497"/>
      <c r="D615" s="1497"/>
      <c r="E615" s="1497"/>
      <c r="F615" s="1497"/>
      <c r="G615" s="1497"/>
      <c r="H615" s="1497"/>
      <c r="I615" s="1497"/>
      <c r="J615" s="1497"/>
      <c r="K615" s="1497"/>
      <c r="L615" s="1497"/>
      <c r="M615" s="1497"/>
      <c r="N615" s="1497"/>
      <c r="O615" s="1497"/>
      <c r="P615" s="1497"/>
      <c r="Q615" s="1497"/>
      <c r="R615" s="1497"/>
      <c r="S615" s="1497"/>
      <c r="T615" s="1497"/>
      <c r="U615" s="1497"/>
      <c r="V615" s="1497"/>
      <c r="W615" s="1497"/>
      <c r="X615" s="1497"/>
      <c r="Y615" s="1497"/>
      <c r="Z615" s="1497"/>
    </row>
    <row r="616" spans="1:26" ht="12.75" customHeight="1">
      <c r="A616" s="1497"/>
      <c r="B616" s="1497"/>
      <c r="C616" s="1497"/>
      <c r="D616" s="1497"/>
      <c r="E616" s="1497"/>
      <c r="F616" s="1497"/>
      <c r="G616" s="1497"/>
      <c r="H616" s="1497"/>
      <c r="I616" s="1497"/>
      <c r="J616" s="1497"/>
      <c r="K616" s="1497"/>
      <c r="L616" s="1497"/>
      <c r="M616" s="1497"/>
      <c r="N616" s="1497"/>
      <c r="O616" s="1497"/>
      <c r="P616" s="1497"/>
      <c r="Q616" s="1497"/>
      <c r="R616" s="1497"/>
      <c r="S616" s="1497"/>
      <c r="T616" s="1497"/>
      <c r="U616" s="1497"/>
      <c r="V616" s="1497"/>
      <c r="W616" s="1497"/>
      <c r="X616" s="1497"/>
      <c r="Y616" s="1497"/>
      <c r="Z616" s="1497"/>
    </row>
    <row r="617" spans="1:26" ht="12.75" customHeight="1">
      <c r="A617" s="1497"/>
      <c r="B617" s="1497"/>
      <c r="C617" s="1497"/>
      <c r="D617" s="1497"/>
      <c r="E617" s="1497"/>
      <c r="F617" s="1497"/>
      <c r="G617" s="1497"/>
      <c r="H617" s="1497"/>
      <c r="I617" s="1497"/>
      <c r="J617" s="1497"/>
      <c r="K617" s="1497"/>
      <c r="L617" s="1497"/>
      <c r="M617" s="1497"/>
      <c r="N617" s="1497"/>
      <c r="O617" s="1497"/>
      <c r="P617" s="1497"/>
      <c r="Q617" s="1497"/>
      <c r="R617" s="1497"/>
      <c r="S617" s="1497"/>
      <c r="T617" s="1497"/>
      <c r="U617" s="1497"/>
      <c r="V617" s="1497"/>
      <c r="W617" s="1497"/>
      <c r="X617" s="1497"/>
      <c r="Y617" s="1497"/>
      <c r="Z617" s="1497"/>
    </row>
    <row r="618" spans="1:26" ht="12.75" customHeight="1">
      <c r="A618" s="1497"/>
      <c r="B618" s="1497"/>
      <c r="C618" s="1497"/>
      <c r="D618" s="1497"/>
      <c r="E618" s="1497"/>
      <c r="F618" s="1497"/>
      <c r="G618" s="1497"/>
      <c r="H618" s="1497"/>
      <c r="I618" s="1497"/>
      <c r="J618" s="1497"/>
      <c r="K618" s="1497"/>
      <c r="L618" s="1497"/>
      <c r="M618" s="1497"/>
      <c r="N618" s="1497"/>
      <c r="O618" s="1497"/>
      <c r="P618" s="1497"/>
      <c r="Q618" s="1497"/>
      <c r="R618" s="1497"/>
      <c r="S618" s="1497"/>
      <c r="T618" s="1497"/>
      <c r="U618" s="1497"/>
      <c r="V618" s="1497"/>
      <c r="W618" s="1497"/>
      <c r="X618" s="1497"/>
      <c r="Y618" s="1497"/>
      <c r="Z618" s="1497"/>
    </row>
    <row r="619" spans="1:26" ht="12.75" customHeight="1">
      <c r="A619" s="1497"/>
      <c r="B619" s="1497"/>
      <c r="C619" s="1497"/>
      <c r="D619" s="1497"/>
      <c r="E619" s="1497"/>
      <c r="F619" s="1497"/>
      <c r="G619" s="1497"/>
      <c r="H619" s="1497"/>
      <c r="I619" s="1497"/>
      <c r="J619" s="1497"/>
      <c r="K619" s="1497"/>
      <c r="L619" s="1497"/>
      <c r="M619" s="1497"/>
      <c r="N619" s="1497"/>
      <c r="O619" s="1497"/>
      <c r="P619" s="1497"/>
      <c r="Q619" s="1497"/>
      <c r="R619" s="1497"/>
      <c r="S619" s="1497"/>
      <c r="T619" s="1497"/>
      <c r="U619" s="1497"/>
      <c r="V619" s="1497"/>
      <c r="W619" s="1497"/>
      <c r="X619" s="1497"/>
      <c r="Y619" s="1497"/>
      <c r="Z619" s="1497"/>
    </row>
    <row r="620" spans="1:26" ht="12.75" customHeight="1">
      <c r="A620" s="1497"/>
      <c r="B620" s="1497"/>
      <c r="C620" s="1497"/>
      <c r="D620" s="1497"/>
      <c r="E620" s="1497"/>
      <c r="F620" s="1497"/>
      <c r="G620" s="1497"/>
      <c r="H620" s="1497"/>
      <c r="I620" s="1497"/>
      <c r="J620" s="1497"/>
      <c r="K620" s="1497"/>
      <c r="L620" s="1497"/>
      <c r="M620" s="1497"/>
      <c r="N620" s="1497"/>
      <c r="O620" s="1497"/>
      <c r="P620" s="1497"/>
      <c r="Q620" s="1497"/>
      <c r="R620" s="1497"/>
      <c r="S620" s="1497"/>
      <c r="T620" s="1497"/>
      <c r="U620" s="1497"/>
      <c r="V620" s="1497"/>
      <c r="W620" s="1497"/>
      <c r="X620" s="1497"/>
      <c r="Y620" s="1497"/>
      <c r="Z620" s="1497"/>
    </row>
    <row r="621" spans="1:26" ht="12.75" customHeight="1">
      <c r="A621" s="1497"/>
      <c r="B621" s="1497"/>
      <c r="C621" s="1497"/>
      <c r="D621" s="1497"/>
      <c r="E621" s="1497"/>
      <c r="F621" s="1497"/>
      <c r="G621" s="1497"/>
      <c r="H621" s="1497"/>
      <c r="I621" s="1497"/>
      <c r="J621" s="1497"/>
      <c r="K621" s="1497"/>
      <c r="L621" s="1497"/>
      <c r="M621" s="1497"/>
      <c r="N621" s="1497"/>
      <c r="O621" s="1497"/>
      <c r="P621" s="1497"/>
      <c r="Q621" s="1497"/>
      <c r="R621" s="1497"/>
      <c r="S621" s="1497"/>
      <c r="T621" s="1497"/>
      <c r="U621" s="1497"/>
      <c r="V621" s="1497"/>
      <c r="W621" s="1497"/>
      <c r="X621" s="1497"/>
      <c r="Y621" s="1497"/>
      <c r="Z621" s="1497"/>
    </row>
    <row r="622" spans="1:26" ht="12.75" customHeight="1">
      <c r="A622" s="1497"/>
      <c r="B622" s="1497"/>
      <c r="C622" s="1497"/>
      <c r="D622" s="1497"/>
      <c r="E622" s="1497"/>
      <c r="F622" s="1497"/>
      <c r="G622" s="1497"/>
      <c r="H622" s="1497"/>
      <c r="I622" s="1497"/>
      <c r="J622" s="1497"/>
      <c r="K622" s="1497"/>
      <c r="L622" s="1497"/>
      <c r="M622" s="1497"/>
      <c r="N622" s="1497"/>
      <c r="O622" s="1497"/>
      <c r="P622" s="1497"/>
      <c r="Q622" s="1497"/>
      <c r="R622" s="1497"/>
      <c r="S622" s="1497"/>
      <c r="T622" s="1497"/>
      <c r="U622" s="1497"/>
      <c r="V622" s="1497"/>
      <c r="W622" s="1497"/>
      <c r="X622" s="1497"/>
      <c r="Y622" s="1497"/>
      <c r="Z622" s="1497"/>
    </row>
    <row r="623" spans="1:26" ht="12.75" customHeight="1">
      <c r="A623" s="1497"/>
      <c r="B623" s="1497"/>
      <c r="C623" s="1497"/>
      <c r="D623" s="1497"/>
      <c r="E623" s="1497"/>
      <c r="F623" s="1497"/>
      <c r="G623" s="1497"/>
      <c r="H623" s="1497"/>
      <c r="I623" s="1497"/>
      <c r="J623" s="1497"/>
      <c r="K623" s="1497"/>
      <c r="L623" s="1497"/>
      <c r="M623" s="1497"/>
      <c r="N623" s="1497"/>
      <c r="O623" s="1497"/>
      <c r="P623" s="1497"/>
      <c r="Q623" s="1497"/>
      <c r="R623" s="1497"/>
      <c r="S623" s="1497"/>
      <c r="T623" s="1497"/>
      <c r="U623" s="1497"/>
      <c r="V623" s="1497"/>
      <c r="W623" s="1497"/>
      <c r="X623" s="1497"/>
      <c r="Y623" s="1497"/>
      <c r="Z623" s="1497"/>
    </row>
    <row r="624" spans="1:26" ht="12.75" customHeight="1">
      <c r="A624" s="1497"/>
      <c r="B624" s="1497"/>
      <c r="C624" s="1497"/>
      <c r="D624" s="1497"/>
      <c r="E624" s="1497"/>
      <c r="F624" s="1497"/>
      <c r="G624" s="1497"/>
      <c r="H624" s="1497"/>
      <c r="I624" s="1497"/>
      <c r="J624" s="1497"/>
      <c r="K624" s="1497"/>
      <c r="L624" s="1497"/>
      <c r="M624" s="1497"/>
      <c r="N624" s="1497"/>
      <c r="O624" s="1497"/>
      <c r="P624" s="1497"/>
      <c r="Q624" s="1497"/>
      <c r="R624" s="1497"/>
      <c r="S624" s="1497"/>
      <c r="T624" s="1497"/>
      <c r="U624" s="1497"/>
      <c r="V624" s="1497"/>
      <c r="W624" s="1497"/>
      <c r="X624" s="1497"/>
      <c r="Y624" s="1497"/>
      <c r="Z624" s="1497"/>
    </row>
    <row r="625" spans="1:26" ht="12.75" customHeight="1">
      <c r="A625" s="1497"/>
      <c r="B625" s="1497"/>
      <c r="C625" s="1497"/>
      <c r="D625" s="1497"/>
      <c r="E625" s="1497"/>
      <c r="F625" s="1497"/>
      <c r="G625" s="1497"/>
      <c r="H625" s="1497"/>
      <c r="I625" s="1497"/>
      <c r="J625" s="1497"/>
      <c r="K625" s="1497"/>
      <c r="L625" s="1497"/>
      <c r="M625" s="1497"/>
      <c r="N625" s="1497"/>
      <c r="O625" s="1497"/>
      <c r="P625" s="1497"/>
      <c r="Q625" s="1497"/>
      <c r="R625" s="1497"/>
      <c r="S625" s="1497"/>
      <c r="T625" s="1497"/>
      <c r="U625" s="1497"/>
      <c r="V625" s="1497"/>
      <c r="W625" s="1497"/>
      <c r="X625" s="1497"/>
      <c r="Y625" s="1497"/>
      <c r="Z625" s="1497"/>
    </row>
    <row r="626" spans="1:26" ht="12.75" customHeight="1">
      <c r="A626" s="1497"/>
      <c r="B626" s="1497"/>
      <c r="C626" s="1497"/>
      <c r="D626" s="1497"/>
      <c r="E626" s="1497"/>
      <c r="F626" s="1497"/>
      <c r="G626" s="1497"/>
      <c r="H626" s="1497"/>
      <c r="I626" s="1497"/>
      <c r="J626" s="1497"/>
      <c r="K626" s="1497"/>
      <c r="L626" s="1497"/>
      <c r="M626" s="1497"/>
      <c r="N626" s="1497"/>
      <c r="O626" s="1497"/>
      <c r="P626" s="1497"/>
      <c r="Q626" s="1497"/>
      <c r="R626" s="1497"/>
      <c r="S626" s="1497"/>
      <c r="T626" s="1497"/>
      <c r="U626" s="1497"/>
      <c r="V626" s="1497"/>
      <c r="W626" s="1497"/>
      <c r="X626" s="1497"/>
      <c r="Y626" s="1497"/>
      <c r="Z626" s="1497"/>
    </row>
    <row r="627" spans="1:26" ht="12.75" customHeight="1">
      <c r="A627" s="1497"/>
      <c r="B627" s="1497"/>
      <c r="C627" s="1497"/>
      <c r="D627" s="1497"/>
      <c r="E627" s="1497"/>
      <c r="F627" s="1497"/>
      <c r="G627" s="1497"/>
      <c r="H627" s="1497"/>
      <c r="I627" s="1497"/>
      <c r="J627" s="1497"/>
      <c r="K627" s="1497"/>
      <c r="L627" s="1497"/>
      <c r="M627" s="1497"/>
      <c r="N627" s="1497"/>
      <c r="O627" s="1497"/>
      <c r="P627" s="1497"/>
      <c r="Q627" s="1497"/>
      <c r="R627" s="1497"/>
      <c r="S627" s="1497"/>
      <c r="T627" s="1497"/>
      <c r="U627" s="1497"/>
      <c r="V627" s="1497"/>
      <c r="W627" s="1497"/>
      <c r="X627" s="1497"/>
      <c r="Y627" s="1497"/>
      <c r="Z627" s="1497"/>
    </row>
    <row r="628" spans="1:26" ht="12.75" customHeight="1">
      <c r="A628" s="1497"/>
      <c r="B628" s="1497"/>
      <c r="C628" s="1497"/>
      <c r="D628" s="1497"/>
      <c r="E628" s="1497"/>
      <c r="F628" s="1497"/>
      <c r="G628" s="1497"/>
      <c r="H628" s="1497"/>
      <c r="I628" s="1497"/>
      <c r="J628" s="1497"/>
      <c r="K628" s="1497"/>
      <c r="L628" s="1497"/>
      <c r="M628" s="1497"/>
      <c r="N628" s="1497"/>
      <c r="O628" s="1497"/>
      <c r="P628" s="1497"/>
      <c r="Q628" s="1497"/>
      <c r="R628" s="1497"/>
      <c r="S628" s="1497"/>
      <c r="T628" s="1497"/>
      <c r="U628" s="1497"/>
      <c r="V628" s="1497"/>
      <c r="W628" s="1497"/>
      <c r="X628" s="1497"/>
      <c r="Y628" s="1497"/>
      <c r="Z628" s="1497"/>
    </row>
    <row r="629" spans="1:26" ht="12.75" customHeight="1">
      <c r="A629" s="1497"/>
      <c r="B629" s="1497"/>
      <c r="C629" s="1497"/>
      <c r="D629" s="1497"/>
      <c r="E629" s="1497"/>
      <c r="F629" s="1497"/>
      <c r="G629" s="1497"/>
      <c r="H629" s="1497"/>
      <c r="I629" s="1497"/>
      <c r="J629" s="1497"/>
      <c r="K629" s="1497"/>
      <c r="L629" s="1497"/>
      <c r="M629" s="1497"/>
      <c r="N629" s="1497"/>
      <c r="O629" s="1497"/>
      <c r="P629" s="1497"/>
      <c r="Q629" s="1497"/>
      <c r="R629" s="1497"/>
      <c r="S629" s="1497"/>
      <c r="T629" s="1497"/>
      <c r="U629" s="1497"/>
      <c r="V629" s="1497"/>
      <c r="W629" s="1497"/>
      <c r="X629" s="1497"/>
      <c r="Y629" s="1497"/>
      <c r="Z629" s="1497"/>
    </row>
    <row r="630" spans="1:26" ht="12.75" customHeight="1">
      <c r="A630" s="1497"/>
      <c r="B630" s="1497"/>
      <c r="C630" s="1497"/>
      <c r="D630" s="1497"/>
      <c r="E630" s="1497"/>
      <c r="F630" s="1497"/>
      <c r="G630" s="1497"/>
      <c r="H630" s="1497"/>
      <c r="I630" s="1497"/>
      <c r="J630" s="1497"/>
      <c r="K630" s="1497"/>
      <c r="L630" s="1497"/>
      <c r="M630" s="1497"/>
      <c r="N630" s="1497"/>
      <c r="O630" s="1497"/>
      <c r="P630" s="1497"/>
      <c r="Q630" s="1497"/>
      <c r="R630" s="1497"/>
      <c r="S630" s="1497"/>
      <c r="T630" s="1497"/>
      <c r="U630" s="1497"/>
      <c r="V630" s="1497"/>
      <c r="W630" s="1497"/>
      <c r="X630" s="1497"/>
      <c r="Y630" s="1497"/>
      <c r="Z630" s="1497"/>
    </row>
    <row r="631" spans="1:26" ht="12.75" customHeight="1">
      <c r="A631" s="1497"/>
      <c r="B631" s="1497"/>
      <c r="C631" s="1497"/>
      <c r="D631" s="1497"/>
      <c r="E631" s="1497"/>
      <c r="F631" s="1497"/>
      <c r="G631" s="1497"/>
      <c r="H631" s="1497"/>
      <c r="I631" s="1497"/>
      <c r="J631" s="1497"/>
      <c r="K631" s="1497"/>
      <c r="L631" s="1497"/>
      <c r="M631" s="1497"/>
      <c r="N631" s="1497"/>
      <c r="O631" s="1497"/>
      <c r="P631" s="1497"/>
      <c r="Q631" s="1497"/>
      <c r="R631" s="1497"/>
      <c r="S631" s="1497"/>
      <c r="T631" s="1497"/>
      <c r="U631" s="1497"/>
      <c r="V631" s="1497"/>
      <c r="W631" s="1497"/>
      <c r="X631" s="1497"/>
      <c r="Y631" s="1497"/>
      <c r="Z631" s="1497"/>
    </row>
    <row r="632" spans="1:26" ht="12.75" customHeight="1">
      <c r="A632" s="1497"/>
      <c r="B632" s="1497"/>
      <c r="C632" s="1497"/>
      <c r="D632" s="1497"/>
      <c r="E632" s="1497"/>
      <c r="F632" s="1497"/>
      <c r="G632" s="1497"/>
      <c r="H632" s="1497"/>
      <c r="I632" s="1497"/>
      <c r="J632" s="1497"/>
      <c r="K632" s="1497"/>
      <c r="L632" s="1497"/>
      <c r="M632" s="1497"/>
      <c r="N632" s="1497"/>
      <c r="O632" s="1497"/>
      <c r="P632" s="1497"/>
      <c r="Q632" s="1497"/>
      <c r="R632" s="1497"/>
      <c r="S632" s="1497"/>
      <c r="T632" s="1497"/>
      <c r="U632" s="1497"/>
      <c r="V632" s="1497"/>
      <c r="W632" s="1497"/>
      <c r="X632" s="1497"/>
      <c r="Y632" s="1497"/>
      <c r="Z632" s="1497"/>
    </row>
    <row r="633" spans="1:26" ht="12.75" customHeight="1">
      <c r="A633" s="1497"/>
      <c r="B633" s="1497"/>
      <c r="C633" s="1497"/>
      <c r="D633" s="1497"/>
      <c r="E633" s="1497"/>
      <c r="F633" s="1497"/>
      <c r="G633" s="1497"/>
      <c r="H633" s="1497"/>
      <c r="I633" s="1497"/>
      <c r="J633" s="1497"/>
      <c r="K633" s="1497"/>
      <c r="L633" s="1497"/>
      <c r="M633" s="1497"/>
      <c r="N633" s="1497"/>
      <c r="O633" s="1497"/>
      <c r="P633" s="1497"/>
      <c r="Q633" s="1497"/>
      <c r="R633" s="1497"/>
      <c r="S633" s="1497"/>
      <c r="T633" s="1497"/>
      <c r="U633" s="1497"/>
      <c r="V633" s="1497"/>
      <c r="W633" s="1497"/>
      <c r="X633" s="1497"/>
      <c r="Y633" s="1497"/>
      <c r="Z633" s="1497"/>
    </row>
    <row r="634" spans="1:26" ht="12.75" customHeight="1">
      <c r="A634" s="1497"/>
      <c r="B634" s="1497"/>
      <c r="C634" s="1497"/>
      <c r="D634" s="1497"/>
      <c r="E634" s="1497"/>
      <c r="F634" s="1497"/>
      <c r="G634" s="1497"/>
      <c r="H634" s="1497"/>
      <c r="I634" s="1497"/>
      <c r="J634" s="1497"/>
      <c r="K634" s="1497"/>
      <c r="L634" s="1497"/>
      <c r="M634" s="1497"/>
      <c r="N634" s="1497"/>
      <c r="O634" s="1497"/>
      <c r="P634" s="1497"/>
      <c r="Q634" s="1497"/>
      <c r="R634" s="1497"/>
      <c r="S634" s="1497"/>
      <c r="T634" s="1497"/>
      <c r="U634" s="1497"/>
      <c r="V634" s="1497"/>
      <c r="W634" s="1497"/>
      <c r="X634" s="1497"/>
      <c r="Y634" s="1497"/>
      <c r="Z634" s="1497"/>
    </row>
    <row r="635" spans="1:26" ht="12.75" customHeight="1">
      <c r="A635" s="1497"/>
      <c r="B635" s="1497"/>
      <c r="C635" s="1497"/>
      <c r="D635" s="1497"/>
      <c r="E635" s="1497"/>
      <c r="F635" s="1497"/>
      <c r="G635" s="1497"/>
      <c r="H635" s="1497"/>
      <c r="I635" s="1497"/>
      <c r="J635" s="1497"/>
      <c r="K635" s="1497"/>
      <c r="L635" s="1497"/>
      <c r="M635" s="1497"/>
      <c r="N635" s="1497"/>
      <c r="O635" s="1497"/>
      <c r="P635" s="1497"/>
      <c r="Q635" s="1497"/>
      <c r="R635" s="1497"/>
      <c r="S635" s="1497"/>
      <c r="T635" s="1497"/>
      <c r="U635" s="1497"/>
      <c r="V635" s="1497"/>
      <c r="W635" s="1497"/>
      <c r="X635" s="1497"/>
      <c r="Y635" s="1497"/>
      <c r="Z635" s="1497"/>
    </row>
    <row r="636" spans="1:26" ht="12.75" customHeight="1">
      <c r="A636" s="1497"/>
      <c r="B636" s="1497"/>
      <c r="C636" s="1497"/>
      <c r="D636" s="1497"/>
      <c r="E636" s="1497"/>
      <c r="F636" s="1497"/>
      <c r="G636" s="1497"/>
      <c r="H636" s="1497"/>
      <c r="I636" s="1497"/>
      <c r="J636" s="1497"/>
      <c r="K636" s="1497"/>
      <c r="L636" s="1497"/>
      <c r="M636" s="1497"/>
      <c r="N636" s="1497"/>
      <c r="O636" s="1497"/>
      <c r="P636" s="1497"/>
      <c r="Q636" s="1497"/>
      <c r="R636" s="1497"/>
      <c r="S636" s="1497"/>
      <c r="T636" s="1497"/>
      <c r="U636" s="1497"/>
      <c r="V636" s="1497"/>
      <c r="W636" s="1497"/>
      <c r="X636" s="1497"/>
      <c r="Y636" s="1497"/>
      <c r="Z636" s="1497"/>
    </row>
    <row r="637" spans="1:26" ht="12.75" customHeight="1">
      <c r="A637" s="1497"/>
      <c r="B637" s="1497"/>
      <c r="C637" s="1497"/>
      <c r="D637" s="1497"/>
      <c r="E637" s="1497"/>
      <c r="F637" s="1497"/>
      <c r="G637" s="1497"/>
      <c r="H637" s="1497"/>
      <c r="I637" s="1497"/>
      <c r="J637" s="1497"/>
      <c r="K637" s="1497"/>
      <c r="L637" s="1497"/>
      <c r="M637" s="1497"/>
      <c r="N637" s="1497"/>
      <c r="O637" s="1497"/>
      <c r="P637" s="1497"/>
      <c r="Q637" s="1497"/>
      <c r="R637" s="1497"/>
      <c r="S637" s="1497"/>
      <c r="T637" s="1497"/>
      <c r="U637" s="1497"/>
      <c r="V637" s="1497"/>
      <c r="W637" s="1497"/>
      <c r="X637" s="1497"/>
      <c r="Y637" s="1497"/>
      <c r="Z637" s="1497"/>
    </row>
    <row r="638" spans="1:26" ht="12.75" customHeight="1">
      <c r="A638" s="1497"/>
      <c r="B638" s="1497"/>
      <c r="C638" s="1497"/>
      <c r="D638" s="1497"/>
      <c r="E638" s="1497"/>
      <c r="F638" s="1497"/>
      <c r="G638" s="1497"/>
      <c r="H638" s="1497"/>
      <c r="I638" s="1497"/>
      <c r="J638" s="1497"/>
      <c r="K638" s="1497"/>
      <c r="L638" s="1497"/>
      <c r="M638" s="1497"/>
      <c r="N638" s="1497"/>
      <c r="O638" s="1497"/>
      <c r="P638" s="1497"/>
      <c r="Q638" s="1497"/>
      <c r="R638" s="1497"/>
      <c r="S638" s="1497"/>
      <c r="T638" s="1497"/>
      <c r="U638" s="1497"/>
      <c r="V638" s="1497"/>
      <c r="W638" s="1497"/>
      <c r="X638" s="1497"/>
      <c r="Y638" s="1497"/>
      <c r="Z638" s="1497"/>
    </row>
    <row r="639" spans="1:26" ht="12.75" customHeight="1">
      <c r="A639" s="1497"/>
      <c r="B639" s="1497"/>
      <c r="C639" s="1497"/>
      <c r="D639" s="1497"/>
      <c r="E639" s="1497"/>
      <c r="F639" s="1497"/>
      <c r="G639" s="1497"/>
      <c r="H639" s="1497"/>
      <c r="I639" s="1497"/>
      <c r="J639" s="1497"/>
      <c r="K639" s="1497"/>
      <c r="L639" s="1497"/>
      <c r="M639" s="1497"/>
      <c r="N639" s="1497"/>
      <c r="O639" s="1497"/>
      <c r="P639" s="1497"/>
      <c r="Q639" s="1497"/>
      <c r="R639" s="1497"/>
      <c r="S639" s="1497"/>
      <c r="T639" s="1497"/>
      <c r="U639" s="1497"/>
      <c r="V639" s="1497"/>
      <c r="W639" s="1497"/>
      <c r="X639" s="1497"/>
      <c r="Y639" s="1497"/>
      <c r="Z639" s="1497"/>
    </row>
    <row r="640" spans="1:26" ht="12.75" customHeight="1">
      <c r="A640" s="1497"/>
      <c r="B640" s="1497"/>
      <c r="C640" s="1497"/>
      <c r="D640" s="1497"/>
      <c r="E640" s="1497"/>
      <c r="F640" s="1497"/>
      <c r="G640" s="1497"/>
      <c r="H640" s="1497"/>
      <c r="I640" s="1497"/>
      <c r="J640" s="1497"/>
      <c r="K640" s="1497"/>
      <c r="L640" s="1497"/>
      <c r="M640" s="1497"/>
      <c r="N640" s="1497"/>
      <c r="O640" s="1497"/>
      <c r="P640" s="1497"/>
      <c r="Q640" s="1497"/>
      <c r="R640" s="1497"/>
      <c r="S640" s="1497"/>
      <c r="T640" s="1497"/>
      <c r="U640" s="1497"/>
      <c r="V640" s="1497"/>
      <c r="W640" s="1497"/>
      <c r="X640" s="1497"/>
      <c r="Y640" s="1497"/>
      <c r="Z640" s="1497"/>
    </row>
    <row r="641" spans="1:26" ht="12.75" customHeight="1">
      <c r="A641" s="1497"/>
      <c r="B641" s="1497"/>
      <c r="C641" s="1497"/>
      <c r="D641" s="1497"/>
      <c r="E641" s="1497"/>
      <c r="F641" s="1497"/>
      <c r="G641" s="1497"/>
      <c r="H641" s="1497"/>
      <c r="I641" s="1497"/>
      <c r="J641" s="1497"/>
      <c r="K641" s="1497"/>
      <c r="L641" s="1497"/>
      <c r="M641" s="1497"/>
      <c r="N641" s="1497"/>
      <c r="O641" s="1497"/>
      <c r="P641" s="1497"/>
      <c r="Q641" s="1497"/>
      <c r="R641" s="1497"/>
      <c r="S641" s="1497"/>
      <c r="T641" s="1497"/>
      <c r="U641" s="1497"/>
      <c r="V641" s="1497"/>
      <c r="W641" s="1497"/>
      <c r="X641" s="1497"/>
      <c r="Y641" s="1497"/>
      <c r="Z641" s="1497"/>
    </row>
    <row r="642" spans="1:26" ht="12.75" customHeight="1">
      <c r="A642" s="1497"/>
      <c r="B642" s="1497"/>
      <c r="C642" s="1497"/>
      <c r="D642" s="1497"/>
      <c r="E642" s="1497"/>
      <c r="F642" s="1497"/>
      <c r="G642" s="1497"/>
      <c r="H642" s="1497"/>
      <c r="I642" s="1497"/>
      <c r="J642" s="1497"/>
      <c r="K642" s="1497"/>
      <c r="L642" s="1497"/>
      <c r="M642" s="1497"/>
      <c r="N642" s="1497"/>
      <c r="O642" s="1497"/>
      <c r="P642" s="1497"/>
      <c r="Q642" s="1497"/>
      <c r="R642" s="1497"/>
      <c r="S642" s="1497"/>
      <c r="T642" s="1497"/>
      <c r="U642" s="1497"/>
      <c r="V642" s="1497"/>
      <c r="W642" s="1497"/>
      <c r="X642" s="1497"/>
      <c r="Y642" s="1497"/>
      <c r="Z642" s="1497"/>
    </row>
    <row r="643" spans="1:26" ht="12.75" customHeight="1">
      <c r="A643" s="1497"/>
      <c r="B643" s="1497"/>
      <c r="C643" s="1497"/>
      <c r="D643" s="1497"/>
      <c r="E643" s="1497"/>
      <c r="F643" s="1497"/>
      <c r="G643" s="1497"/>
      <c r="H643" s="1497"/>
      <c r="I643" s="1497"/>
      <c r="J643" s="1497"/>
      <c r="K643" s="1497"/>
      <c r="L643" s="1497"/>
      <c r="M643" s="1497"/>
      <c r="N643" s="1497"/>
      <c r="O643" s="1497"/>
      <c r="P643" s="1497"/>
      <c r="Q643" s="1497"/>
      <c r="R643" s="1497"/>
      <c r="S643" s="1497"/>
      <c r="T643" s="1497"/>
      <c r="U643" s="1497"/>
      <c r="V643" s="1497"/>
      <c r="W643" s="1497"/>
      <c r="X643" s="1497"/>
      <c r="Y643" s="1497"/>
      <c r="Z643" s="1497"/>
    </row>
    <row r="644" spans="1:26" ht="12.75" customHeight="1">
      <c r="A644" s="1497"/>
      <c r="B644" s="1497"/>
      <c r="C644" s="1497"/>
      <c r="D644" s="1497"/>
      <c r="E644" s="1497"/>
      <c r="F644" s="1497"/>
      <c r="G644" s="1497"/>
      <c r="H644" s="1497"/>
      <c r="I644" s="1497"/>
      <c r="J644" s="1497"/>
      <c r="K644" s="1497"/>
      <c r="L644" s="1497"/>
      <c r="M644" s="1497"/>
      <c r="N644" s="1497"/>
      <c r="O644" s="1497"/>
      <c r="P644" s="1497"/>
      <c r="Q644" s="1497"/>
      <c r="R644" s="1497"/>
      <c r="S644" s="1497"/>
      <c r="T644" s="1497"/>
      <c r="U644" s="1497"/>
      <c r="V644" s="1497"/>
      <c r="W644" s="1497"/>
      <c r="X644" s="1497"/>
      <c r="Y644" s="1497"/>
      <c r="Z644" s="1497"/>
    </row>
    <row r="645" spans="1:26" ht="12.75" customHeight="1">
      <c r="A645" s="1497"/>
      <c r="B645" s="1497"/>
      <c r="C645" s="1497"/>
      <c r="D645" s="1497"/>
      <c r="E645" s="1497"/>
      <c r="F645" s="1497"/>
      <c r="G645" s="1497"/>
      <c r="H645" s="1497"/>
      <c r="I645" s="1497"/>
      <c r="J645" s="1497"/>
      <c r="K645" s="1497"/>
      <c r="L645" s="1497"/>
      <c r="M645" s="1497"/>
      <c r="N645" s="1497"/>
      <c r="O645" s="1497"/>
      <c r="P645" s="1497"/>
      <c r="Q645" s="1497"/>
      <c r="R645" s="1497"/>
      <c r="S645" s="1497"/>
      <c r="T645" s="1497"/>
      <c r="U645" s="1497"/>
      <c r="V645" s="1497"/>
      <c r="W645" s="1497"/>
      <c r="X645" s="1497"/>
      <c r="Y645" s="1497"/>
      <c r="Z645" s="1497"/>
    </row>
    <row r="646" spans="1:26" ht="12.75" customHeight="1">
      <c r="A646" s="1497"/>
      <c r="B646" s="1497"/>
      <c r="C646" s="1497"/>
      <c r="D646" s="1497"/>
      <c r="E646" s="1497"/>
      <c r="F646" s="1497"/>
      <c r="G646" s="1497"/>
      <c r="H646" s="1497"/>
      <c r="I646" s="1497"/>
      <c r="J646" s="1497"/>
      <c r="K646" s="1497"/>
      <c r="L646" s="1497"/>
      <c r="M646" s="1497"/>
      <c r="N646" s="1497"/>
      <c r="O646" s="1497"/>
      <c r="P646" s="1497"/>
      <c r="Q646" s="1497"/>
      <c r="R646" s="1497"/>
      <c r="S646" s="1497"/>
      <c r="T646" s="1497"/>
      <c r="U646" s="1497"/>
      <c r="V646" s="1497"/>
      <c r="W646" s="1497"/>
      <c r="X646" s="1497"/>
      <c r="Y646" s="1497"/>
      <c r="Z646" s="1497"/>
    </row>
    <row r="647" spans="1:26" ht="12.75" customHeight="1">
      <c r="A647" s="1497"/>
      <c r="B647" s="1497"/>
      <c r="C647" s="1497"/>
      <c r="D647" s="1497"/>
      <c r="E647" s="1497"/>
      <c r="F647" s="1497"/>
      <c r="G647" s="1497"/>
      <c r="H647" s="1497"/>
      <c r="I647" s="1497"/>
      <c r="J647" s="1497"/>
      <c r="K647" s="1497"/>
      <c r="L647" s="1497"/>
      <c r="M647" s="1497"/>
      <c r="N647" s="1497"/>
      <c r="O647" s="1497"/>
      <c r="P647" s="1497"/>
      <c r="Q647" s="1497"/>
      <c r="R647" s="1497"/>
      <c r="S647" s="1497"/>
      <c r="T647" s="1497"/>
      <c r="U647" s="1497"/>
      <c r="V647" s="1497"/>
      <c r="W647" s="1497"/>
      <c r="X647" s="1497"/>
      <c r="Y647" s="1497"/>
      <c r="Z647" s="1497"/>
    </row>
    <row r="648" spans="1:26" ht="12.75" customHeight="1">
      <c r="A648" s="1497"/>
      <c r="B648" s="1497"/>
      <c r="C648" s="1497"/>
      <c r="D648" s="1497"/>
      <c r="E648" s="1497"/>
      <c r="F648" s="1497"/>
      <c r="G648" s="1497"/>
      <c r="H648" s="1497"/>
      <c r="I648" s="1497"/>
      <c r="J648" s="1497"/>
      <c r="K648" s="1497"/>
      <c r="L648" s="1497"/>
      <c r="M648" s="1497"/>
      <c r="N648" s="1497"/>
      <c r="O648" s="1497"/>
      <c r="P648" s="1497"/>
      <c r="Q648" s="1497"/>
      <c r="R648" s="1497"/>
      <c r="S648" s="1497"/>
      <c r="T648" s="1497"/>
      <c r="U648" s="1497"/>
      <c r="V648" s="1497"/>
      <c r="W648" s="1497"/>
      <c r="X648" s="1497"/>
      <c r="Y648" s="1497"/>
      <c r="Z648" s="1497"/>
    </row>
    <row r="649" spans="1:26" ht="12.75" customHeight="1">
      <c r="A649" s="1497"/>
      <c r="B649" s="1497"/>
      <c r="C649" s="1497"/>
      <c r="D649" s="1497"/>
      <c r="E649" s="1497"/>
      <c r="F649" s="1497"/>
      <c r="G649" s="1497"/>
      <c r="H649" s="1497"/>
      <c r="I649" s="1497"/>
      <c r="J649" s="1497"/>
      <c r="K649" s="1497"/>
      <c r="L649" s="1497"/>
      <c r="M649" s="1497"/>
      <c r="N649" s="1497"/>
      <c r="O649" s="1497"/>
      <c r="P649" s="1497"/>
      <c r="Q649" s="1497"/>
      <c r="R649" s="1497"/>
      <c r="S649" s="1497"/>
      <c r="T649" s="1497"/>
      <c r="U649" s="1497"/>
      <c r="V649" s="1497"/>
      <c r="W649" s="1497"/>
      <c r="X649" s="1497"/>
      <c r="Y649" s="1497"/>
      <c r="Z649" s="1497"/>
    </row>
    <row r="650" spans="1:26" ht="12.75" customHeight="1">
      <c r="A650" s="1497"/>
      <c r="B650" s="1497"/>
      <c r="C650" s="1497"/>
      <c r="D650" s="1497"/>
      <c r="E650" s="1497"/>
      <c r="F650" s="1497"/>
      <c r="G650" s="1497"/>
      <c r="H650" s="1497"/>
      <c r="I650" s="1497"/>
      <c r="J650" s="1497"/>
      <c r="K650" s="1497"/>
      <c r="L650" s="1497"/>
      <c r="M650" s="1497"/>
      <c r="N650" s="1497"/>
      <c r="O650" s="1497"/>
      <c r="P650" s="1497"/>
      <c r="Q650" s="1497"/>
      <c r="R650" s="1497"/>
      <c r="S650" s="1497"/>
      <c r="T650" s="1497"/>
      <c r="U650" s="1497"/>
      <c r="V650" s="1497"/>
      <c r="W650" s="1497"/>
      <c r="X650" s="1497"/>
      <c r="Y650" s="1497"/>
      <c r="Z650" s="1497"/>
    </row>
    <row r="651" spans="1:26" ht="12.75" customHeight="1">
      <c r="A651" s="1497"/>
      <c r="B651" s="1497"/>
      <c r="C651" s="1497"/>
      <c r="D651" s="1497"/>
      <c r="E651" s="1497"/>
      <c r="F651" s="1497"/>
      <c r="G651" s="1497"/>
      <c r="H651" s="1497"/>
      <c r="I651" s="1497"/>
      <c r="J651" s="1497"/>
      <c r="K651" s="1497"/>
      <c r="L651" s="1497"/>
      <c r="M651" s="1497"/>
      <c r="N651" s="1497"/>
      <c r="O651" s="1497"/>
      <c r="P651" s="1497"/>
      <c r="Q651" s="1497"/>
      <c r="R651" s="1497"/>
      <c r="S651" s="1497"/>
      <c r="T651" s="1497"/>
      <c r="U651" s="1497"/>
      <c r="V651" s="1497"/>
      <c r="W651" s="1497"/>
      <c r="X651" s="1497"/>
      <c r="Y651" s="1497"/>
      <c r="Z651" s="1497"/>
    </row>
    <row r="652" spans="1:26" ht="12.75" customHeight="1">
      <c r="A652" s="1497"/>
      <c r="B652" s="1497"/>
      <c r="C652" s="1497"/>
      <c r="D652" s="1497"/>
      <c r="E652" s="1497"/>
      <c r="F652" s="1497"/>
      <c r="G652" s="1497"/>
      <c r="H652" s="1497"/>
      <c r="I652" s="1497"/>
      <c r="J652" s="1497"/>
      <c r="K652" s="1497"/>
      <c r="L652" s="1497"/>
      <c r="M652" s="1497"/>
      <c r="N652" s="1497"/>
      <c r="O652" s="1497"/>
      <c r="P652" s="1497"/>
      <c r="Q652" s="1497"/>
      <c r="R652" s="1497"/>
      <c r="S652" s="1497"/>
      <c r="T652" s="1497"/>
      <c r="U652" s="1497"/>
      <c r="V652" s="1497"/>
      <c r="W652" s="1497"/>
      <c r="X652" s="1497"/>
      <c r="Y652" s="1497"/>
      <c r="Z652" s="1497"/>
    </row>
    <row r="653" spans="1:26" ht="12.75" customHeight="1">
      <c r="A653" s="1497"/>
      <c r="B653" s="1497"/>
      <c r="C653" s="1497"/>
      <c r="D653" s="1497"/>
      <c r="E653" s="1497"/>
      <c r="F653" s="1497"/>
      <c r="G653" s="1497"/>
      <c r="H653" s="1497"/>
      <c r="I653" s="1497"/>
      <c r="J653" s="1497"/>
      <c r="K653" s="1497"/>
      <c r="L653" s="1497"/>
      <c r="M653" s="1497"/>
      <c r="N653" s="1497"/>
      <c r="O653" s="1497"/>
      <c r="P653" s="1497"/>
      <c r="Q653" s="1497"/>
      <c r="R653" s="1497"/>
      <c r="S653" s="1497"/>
      <c r="T653" s="1497"/>
      <c r="U653" s="1497"/>
      <c r="V653" s="1497"/>
      <c r="W653" s="1497"/>
      <c r="X653" s="1497"/>
      <c r="Y653" s="1497"/>
      <c r="Z653" s="1497"/>
    </row>
    <row r="654" spans="1:26" ht="12.75" customHeight="1">
      <c r="A654" s="1497"/>
      <c r="B654" s="1497"/>
      <c r="C654" s="1497"/>
      <c r="D654" s="1497"/>
      <c r="E654" s="1497"/>
      <c r="F654" s="1497"/>
      <c r="G654" s="1497"/>
      <c r="H654" s="1497"/>
      <c r="I654" s="1497"/>
      <c r="J654" s="1497"/>
      <c r="K654" s="1497"/>
      <c r="L654" s="1497"/>
      <c r="M654" s="1497"/>
      <c r="N654" s="1497"/>
      <c r="O654" s="1497"/>
      <c r="P654" s="1497"/>
      <c r="Q654" s="1497"/>
      <c r="R654" s="1497"/>
      <c r="S654" s="1497"/>
      <c r="T654" s="1497"/>
      <c r="U654" s="1497"/>
      <c r="V654" s="1497"/>
      <c r="W654" s="1497"/>
      <c r="X654" s="1497"/>
      <c r="Y654" s="1497"/>
      <c r="Z654" s="1497"/>
    </row>
    <row r="655" spans="1:26" ht="12.75" customHeight="1">
      <c r="A655" s="1497"/>
      <c r="B655" s="1497"/>
      <c r="C655" s="1497"/>
      <c r="D655" s="1497"/>
      <c r="E655" s="1497"/>
      <c r="F655" s="1497"/>
      <c r="G655" s="1497"/>
      <c r="H655" s="1497"/>
      <c r="I655" s="1497"/>
      <c r="J655" s="1497"/>
      <c r="K655" s="1497"/>
      <c r="L655" s="1497"/>
      <c r="M655" s="1497"/>
      <c r="N655" s="1497"/>
      <c r="O655" s="1497"/>
      <c r="P655" s="1497"/>
      <c r="Q655" s="1497"/>
      <c r="R655" s="1497"/>
      <c r="S655" s="1497"/>
      <c r="T655" s="1497"/>
      <c r="U655" s="1497"/>
      <c r="V655" s="1497"/>
      <c r="W655" s="1497"/>
      <c r="X655" s="1497"/>
      <c r="Y655" s="1497"/>
      <c r="Z655" s="1497"/>
    </row>
    <row r="656" spans="1:26" ht="12.75" customHeight="1">
      <c r="A656" s="1497"/>
      <c r="B656" s="1497"/>
      <c r="C656" s="1497"/>
      <c r="D656" s="1497"/>
      <c r="E656" s="1497"/>
      <c r="F656" s="1497"/>
      <c r="G656" s="1497"/>
      <c r="H656" s="1497"/>
      <c r="I656" s="1497"/>
      <c r="J656" s="1497"/>
      <c r="K656" s="1497"/>
      <c r="L656" s="1497"/>
      <c r="M656" s="1497"/>
      <c r="N656" s="1497"/>
      <c r="O656" s="1497"/>
      <c r="P656" s="1497"/>
      <c r="Q656" s="1497"/>
      <c r="R656" s="1497"/>
      <c r="S656" s="1497"/>
      <c r="T656" s="1497"/>
      <c r="U656" s="1497"/>
      <c r="V656" s="1497"/>
      <c r="W656" s="1497"/>
      <c r="X656" s="1497"/>
      <c r="Y656" s="1497"/>
      <c r="Z656" s="1497"/>
    </row>
    <row r="657" spans="1:26" ht="12.75" customHeight="1">
      <c r="A657" s="1497"/>
      <c r="B657" s="1497"/>
      <c r="C657" s="1497"/>
      <c r="D657" s="1497"/>
      <c r="E657" s="1497"/>
      <c r="F657" s="1497"/>
      <c r="G657" s="1497"/>
      <c r="H657" s="1497"/>
      <c r="I657" s="1497"/>
      <c r="J657" s="1497"/>
      <c r="K657" s="1497"/>
      <c r="L657" s="1497"/>
      <c r="M657" s="1497"/>
      <c r="N657" s="1497"/>
      <c r="O657" s="1497"/>
      <c r="P657" s="1497"/>
      <c r="Q657" s="1497"/>
      <c r="R657" s="1497"/>
      <c r="S657" s="1497"/>
      <c r="T657" s="1497"/>
      <c r="U657" s="1497"/>
      <c r="V657" s="1497"/>
      <c r="W657" s="1497"/>
      <c r="X657" s="1497"/>
      <c r="Y657" s="1497"/>
      <c r="Z657" s="1497"/>
    </row>
    <row r="658" spans="1:26" ht="12.75" customHeight="1">
      <c r="A658" s="1497"/>
      <c r="B658" s="1497"/>
      <c r="C658" s="1497"/>
      <c r="D658" s="1497"/>
      <c r="E658" s="1497"/>
      <c r="F658" s="1497"/>
      <c r="G658" s="1497"/>
      <c r="H658" s="1497"/>
      <c r="I658" s="1497"/>
      <c r="J658" s="1497"/>
      <c r="K658" s="1497"/>
      <c r="L658" s="1497"/>
      <c r="M658" s="1497"/>
      <c r="N658" s="1497"/>
      <c r="O658" s="1497"/>
      <c r="P658" s="1497"/>
      <c r="Q658" s="1497"/>
      <c r="R658" s="1497"/>
      <c r="S658" s="1497"/>
      <c r="T658" s="1497"/>
      <c r="U658" s="1497"/>
      <c r="V658" s="1497"/>
      <c r="W658" s="1497"/>
      <c r="X658" s="1497"/>
      <c r="Y658" s="1497"/>
      <c r="Z658" s="1497"/>
    </row>
    <row r="659" spans="1:26" ht="12.75" customHeight="1">
      <c r="A659" s="1497"/>
      <c r="B659" s="1497"/>
      <c r="C659" s="1497"/>
      <c r="D659" s="1497"/>
      <c r="E659" s="1497"/>
      <c r="F659" s="1497"/>
      <c r="G659" s="1497"/>
      <c r="H659" s="1497"/>
      <c r="I659" s="1497"/>
      <c r="J659" s="1497"/>
      <c r="K659" s="1497"/>
      <c r="L659" s="1497"/>
      <c r="M659" s="1497"/>
      <c r="N659" s="1497"/>
      <c r="O659" s="1497"/>
      <c r="P659" s="1497"/>
      <c r="Q659" s="1497"/>
      <c r="R659" s="1497"/>
      <c r="S659" s="1497"/>
      <c r="T659" s="1497"/>
      <c r="U659" s="1497"/>
      <c r="V659" s="1497"/>
      <c r="W659" s="1497"/>
      <c r="X659" s="1497"/>
      <c r="Y659" s="1497"/>
      <c r="Z659" s="1497"/>
    </row>
    <row r="660" spans="1:26" ht="12.75" customHeight="1">
      <c r="A660" s="1497"/>
      <c r="B660" s="1497"/>
      <c r="C660" s="1497"/>
      <c r="D660" s="1497"/>
      <c r="E660" s="1497"/>
      <c r="F660" s="1497"/>
      <c r="G660" s="1497"/>
      <c r="H660" s="1497"/>
      <c r="I660" s="1497"/>
      <c r="J660" s="1497"/>
      <c r="K660" s="1497"/>
      <c r="L660" s="1497"/>
      <c r="M660" s="1497"/>
      <c r="N660" s="1497"/>
      <c r="O660" s="1497"/>
      <c r="P660" s="1497"/>
      <c r="Q660" s="1497"/>
      <c r="R660" s="1497"/>
      <c r="S660" s="1497"/>
      <c r="T660" s="1497"/>
      <c r="U660" s="1497"/>
      <c r="V660" s="1497"/>
      <c r="W660" s="1497"/>
      <c r="X660" s="1497"/>
      <c r="Y660" s="1497"/>
      <c r="Z660" s="1497"/>
    </row>
    <row r="661" spans="1:26" ht="12.75" customHeight="1">
      <c r="A661" s="1497"/>
      <c r="B661" s="1497"/>
      <c r="C661" s="1497"/>
      <c r="D661" s="1497"/>
      <c r="E661" s="1497"/>
      <c r="F661" s="1497"/>
      <c r="G661" s="1497"/>
      <c r="H661" s="1497"/>
      <c r="I661" s="1497"/>
      <c r="J661" s="1497"/>
      <c r="K661" s="1497"/>
      <c r="L661" s="1497"/>
      <c r="M661" s="1497"/>
      <c r="N661" s="1497"/>
      <c r="O661" s="1497"/>
      <c r="P661" s="1497"/>
      <c r="Q661" s="1497"/>
      <c r="R661" s="1497"/>
      <c r="S661" s="1497"/>
      <c r="T661" s="1497"/>
      <c r="U661" s="1497"/>
      <c r="V661" s="1497"/>
      <c r="W661" s="1497"/>
      <c r="X661" s="1497"/>
      <c r="Y661" s="1497"/>
      <c r="Z661" s="1497"/>
    </row>
    <row r="662" spans="1:26" ht="12.75" customHeight="1">
      <c r="A662" s="1497"/>
      <c r="B662" s="1497"/>
      <c r="C662" s="1497"/>
      <c r="D662" s="1497"/>
      <c r="E662" s="1497"/>
      <c r="F662" s="1497"/>
      <c r="G662" s="1497"/>
      <c r="H662" s="1497"/>
      <c r="I662" s="1497"/>
      <c r="J662" s="1497"/>
      <c r="K662" s="1497"/>
      <c r="L662" s="1497"/>
      <c r="M662" s="1497"/>
      <c r="N662" s="1497"/>
      <c r="O662" s="1497"/>
      <c r="P662" s="1497"/>
      <c r="Q662" s="1497"/>
      <c r="R662" s="1497"/>
      <c r="S662" s="1497"/>
      <c r="T662" s="1497"/>
      <c r="U662" s="1497"/>
      <c r="V662" s="1497"/>
      <c r="W662" s="1497"/>
      <c r="X662" s="1497"/>
      <c r="Y662" s="1497"/>
      <c r="Z662" s="1497"/>
    </row>
    <row r="663" spans="1:26" ht="12.75" customHeight="1">
      <c r="A663" s="1497"/>
      <c r="B663" s="1497"/>
      <c r="C663" s="1497"/>
      <c r="D663" s="1497"/>
      <c r="E663" s="1497"/>
      <c r="F663" s="1497"/>
      <c r="G663" s="1497"/>
      <c r="H663" s="1497"/>
      <c r="I663" s="1497"/>
      <c r="J663" s="1497"/>
      <c r="K663" s="1497"/>
      <c r="L663" s="1497"/>
      <c r="M663" s="1497"/>
      <c r="N663" s="1497"/>
      <c r="O663" s="1497"/>
      <c r="P663" s="1497"/>
      <c r="Q663" s="1497"/>
      <c r="R663" s="1497"/>
      <c r="S663" s="1497"/>
      <c r="T663" s="1497"/>
      <c r="U663" s="1497"/>
      <c r="V663" s="1497"/>
      <c r="W663" s="1497"/>
      <c r="X663" s="1497"/>
      <c r="Y663" s="1497"/>
      <c r="Z663" s="1497"/>
    </row>
    <row r="664" spans="1:26" ht="12.75" customHeight="1">
      <c r="A664" s="1497"/>
      <c r="B664" s="1497"/>
      <c r="C664" s="1497"/>
      <c r="D664" s="1497"/>
      <c r="E664" s="1497"/>
      <c r="F664" s="1497"/>
      <c r="G664" s="1497"/>
      <c r="H664" s="1497"/>
      <c r="I664" s="1497"/>
      <c r="J664" s="1497"/>
      <c r="K664" s="1497"/>
      <c r="L664" s="1497"/>
      <c r="M664" s="1497"/>
      <c r="N664" s="1497"/>
      <c r="O664" s="1497"/>
      <c r="P664" s="1497"/>
      <c r="Q664" s="1497"/>
      <c r="R664" s="1497"/>
      <c r="S664" s="1497"/>
      <c r="T664" s="1497"/>
      <c r="U664" s="1497"/>
      <c r="V664" s="1497"/>
      <c r="W664" s="1497"/>
      <c r="X664" s="1497"/>
      <c r="Y664" s="1497"/>
      <c r="Z664" s="1497"/>
    </row>
    <row r="665" spans="1:26" ht="12.75" customHeight="1">
      <c r="A665" s="1497"/>
      <c r="B665" s="1497"/>
      <c r="C665" s="1497"/>
      <c r="D665" s="1497"/>
      <c r="E665" s="1497"/>
      <c r="F665" s="1497"/>
      <c r="G665" s="1497"/>
      <c r="H665" s="1497"/>
      <c r="I665" s="1497"/>
      <c r="J665" s="1497"/>
      <c r="K665" s="1497"/>
      <c r="L665" s="1497"/>
      <c r="M665" s="1497"/>
      <c r="N665" s="1497"/>
      <c r="O665" s="1497"/>
      <c r="P665" s="1497"/>
      <c r="Q665" s="1497"/>
      <c r="R665" s="1497"/>
      <c r="S665" s="1497"/>
      <c r="T665" s="1497"/>
      <c r="U665" s="1497"/>
      <c r="V665" s="1497"/>
      <c r="W665" s="1497"/>
      <c r="X665" s="1497"/>
      <c r="Y665" s="1497"/>
      <c r="Z665" s="1497"/>
    </row>
    <row r="666" spans="1:26" ht="12.75" customHeight="1">
      <c r="A666" s="1497"/>
      <c r="B666" s="1497"/>
      <c r="C666" s="1497"/>
      <c r="D666" s="1497"/>
      <c r="E666" s="1497"/>
      <c r="F666" s="1497"/>
      <c r="G666" s="1497"/>
      <c r="H666" s="1497"/>
      <c r="I666" s="1497"/>
      <c r="J666" s="1497"/>
      <c r="K666" s="1497"/>
      <c r="L666" s="1497"/>
      <c r="M666" s="1497"/>
      <c r="N666" s="1497"/>
      <c r="O666" s="1497"/>
      <c r="P666" s="1497"/>
      <c r="Q666" s="1497"/>
      <c r="R666" s="1497"/>
      <c r="S666" s="1497"/>
      <c r="T666" s="1497"/>
      <c r="U666" s="1497"/>
      <c r="V666" s="1497"/>
      <c r="W666" s="1497"/>
      <c r="X666" s="1497"/>
      <c r="Y666" s="1497"/>
      <c r="Z666" s="1497"/>
    </row>
    <row r="667" spans="1:26" ht="12.75" customHeight="1">
      <c r="A667" s="1497"/>
      <c r="B667" s="1497"/>
      <c r="C667" s="1497"/>
      <c r="D667" s="1497"/>
      <c r="E667" s="1497"/>
      <c r="F667" s="1497"/>
      <c r="G667" s="1497"/>
      <c r="H667" s="1497"/>
      <c r="I667" s="1497"/>
      <c r="J667" s="1497"/>
      <c r="K667" s="1497"/>
      <c r="L667" s="1497"/>
      <c r="M667" s="1497"/>
      <c r="N667" s="1497"/>
      <c r="O667" s="1497"/>
      <c r="P667" s="1497"/>
      <c r="Q667" s="1497"/>
      <c r="R667" s="1497"/>
      <c r="S667" s="1497"/>
      <c r="T667" s="1497"/>
      <c r="U667" s="1497"/>
      <c r="V667" s="1497"/>
      <c r="W667" s="1497"/>
      <c r="X667" s="1497"/>
      <c r="Y667" s="1497"/>
      <c r="Z667" s="1497"/>
    </row>
    <row r="668" spans="1:26" ht="12.75" customHeight="1">
      <c r="A668" s="1497"/>
      <c r="B668" s="1497"/>
      <c r="C668" s="1497"/>
      <c r="D668" s="1497"/>
      <c r="E668" s="1497"/>
      <c r="F668" s="1497"/>
      <c r="G668" s="1497"/>
      <c r="H668" s="1497"/>
      <c r="I668" s="1497"/>
      <c r="J668" s="1497"/>
      <c r="K668" s="1497"/>
      <c r="L668" s="1497"/>
      <c r="M668" s="1497"/>
      <c r="N668" s="1497"/>
      <c r="O668" s="1497"/>
      <c r="P668" s="1497"/>
      <c r="Q668" s="1497"/>
      <c r="R668" s="1497"/>
      <c r="S668" s="1497"/>
      <c r="T668" s="1497"/>
      <c r="U668" s="1497"/>
      <c r="V668" s="1497"/>
      <c r="W668" s="1497"/>
      <c r="X668" s="1497"/>
      <c r="Y668" s="1497"/>
      <c r="Z668" s="1497"/>
    </row>
    <row r="669" spans="1:26" ht="12.75" customHeight="1">
      <c r="A669" s="1497"/>
      <c r="B669" s="1497"/>
      <c r="C669" s="1497"/>
      <c r="D669" s="1497"/>
      <c r="E669" s="1497"/>
      <c r="F669" s="1497"/>
      <c r="G669" s="1497"/>
      <c r="H669" s="1497"/>
      <c r="I669" s="1497"/>
      <c r="J669" s="1497"/>
      <c r="K669" s="1497"/>
      <c r="L669" s="1497"/>
      <c r="M669" s="1497"/>
      <c r="N669" s="1497"/>
      <c r="O669" s="1497"/>
      <c r="P669" s="1497"/>
      <c r="Q669" s="1497"/>
      <c r="R669" s="1497"/>
      <c r="S669" s="1497"/>
      <c r="T669" s="1497"/>
      <c r="U669" s="1497"/>
      <c r="V669" s="1497"/>
      <c r="W669" s="1497"/>
      <c r="X669" s="1497"/>
      <c r="Y669" s="1497"/>
      <c r="Z669" s="1497"/>
    </row>
    <row r="670" spans="1:26" ht="12.75" customHeight="1">
      <c r="A670" s="1497"/>
      <c r="B670" s="1497"/>
      <c r="C670" s="1497"/>
      <c r="D670" s="1497"/>
      <c r="E670" s="1497"/>
      <c r="F670" s="1497"/>
      <c r="G670" s="1497"/>
      <c r="H670" s="1497"/>
      <c r="I670" s="1497"/>
      <c r="J670" s="1497"/>
      <c r="K670" s="1497"/>
      <c r="L670" s="1497"/>
      <c r="M670" s="1497"/>
      <c r="N670" s="1497"/>
      <c r="O670" s="1497"/>
      <c r="P670" s="1497"/>
      <c r="Q670" s="1497"/>
      <c r="R670" s="1497"/>
      <c r="S670" s="1497"/>
      <c r="T670" s="1497"/>
      <c r="U670" s="1497"/>
      <c r="V670" s="1497"/>
      <c r="W670" s="1497"/>
      <c r="X670" s="1497"/>
      <c r="Y670" s="1497"/>
      <c r="Z670" s="1497"/>
    </row>
    <row r="671" spans="1:26" ht="12.75" customHeight="1">
      <c r="A671" s="1497"/>
      <c r="B671" s="1497"/>
      <c r="C671" s="1497"/>
      <c r="D671" s="1497"/>
      <c r="E671" s="1497"/>
      <c r="F671" s="1497"/>
      <c r="G671" s="1497"/>
      <c r="H671" s="1497"/>
      <c r="I671" s="1497"/>
      <c r="J671" s="1497"/>
      <c r="K671" s="1497"/>
      <c r="L671" s="1497"/>
      <c r="M671" s="1497"/>
      <c r="N671" s="1497"/>
      <c r="O671" s="1497"/>
      <c r="P671" s="1497"/>
      <c r="Q671" s="1497"/>
      <c r="R671" s="1497"/>
      <c r="S671" s="1497"/>
      <c r="T671" s="1497"/>
      <c r="U671" s="1497"/>
      <c r="V671" s="1497"/>
      <c r="W671" s="1497"/>
      <c r="X671" s="1497"/>
      <c r="Y671" s="1497"/>
      <c r="Z671" s="1497"/>
    </row>
    <row r="672" spans="1:26" ht="12.75" customHeight="1">
      <c r="A672" s="1497"/>
      <c r="B672" s="1497"/>
      <c r="C672" s="1497"/>
      <c r="D672" s="1497"/>
      <c r="E672" s="1497"/>
      <c r="F672" s="1497"/>
      <c r="G672" s="1497"/>
      <c r="H672" s="1497"/>
      <c r="I672" s="1497"/>
      <c r="J672" s="1497"/>
      <c r="K672" s="1497"/>
      <c r="L672" s="1497"/>
      <c r="M672" s="1497"/>
      <c r="N672" s="1497"/>
      <c r="O672" s="1497"/>
      <c r="P672" s="1497"/>
      <c r="Q672" s="1497"/>
      <c r="R672" s="1497"/>
      <c r="S672" s="1497"/>
      <c r="T672" s="1497"/>
      <c r="U672" s="1497"/>
      <c r="V672" s="1497"/>
      <c r="W672" s="1497"/>
      <c r="X672" s="1497"/>
      <c r="Y672" s="1497"/>
      <c r="Z672" s="1497"/>
    </row>
    <row r="673" spans="1:26" ht="12.75" customHeight="1">
      <c r="A673" s="1497"/>
      <c r="B673" s="1497"/>
      <c r="C673" s="1497"/>
      <c r="D673" s="1497"/>
      <c r="E673" s="1497"/>
      <c r="F673" s="1497"/>
      <c r="G673" s="1497"/>
      <c r="H673" s="1497"/>
      <c r="I673" s="1497"/>
      <c r="J673" s="1497"/>
      <c r="K673" s="1497"/>
      <c r="L673" s="1497"/>
      <c r="M673" s="1497"/>
      <c r="N673" s="1497"/>
      <c r="O673" s="1497"/>
      <c r="P673" s="1497"/>
      <c r="Q673" s="1497"/>
      <c r="R673" s="1497"/>
      <c r="S673" s="1497"/>
      <c r="T673" s="1497"/>
      <c r="U673" s="1497"/>
      <c r="V673" s="1497"/>
      <c r="W673" s="1497"/>
      <c r="X673" s="1497"/>
      <c r="Y673" s="1497"/>
      <c r="Z673" s="1497"/>
    </row>
    <row r="674" spans="1:26" ht="12.75" customHeight="1">
      <c r="A674" s="1497"/>
      <c r="B674" s="1497"/>
      <c r="C674" s="1497"/>
      <c r="D674" s="1497"/>
      <c r="E674" s="1497"/>
      <c r="F674" s="1497"/>
      <c r="G674" s="1497"/>
      <c r="H674" s="1497"/>
      <c r="I674" s="1497"/>
      <c r="J674" s="1497"/>
      <c r="K674" s="1497"/>
      <c r="L674" s="1497"/>
      <c r="M674" s="1497"/>
      <c r="N674" s="1497"/>
      <c r="O674" s="1497"/>
      <c r="P674" s="1497"/>
      <c r="Q674" s="1497"/>
      <c r="R674" s="1497"/>
      <c r="S674" s="1497"/>
      <c r="T674" s="1497"/>
      <c r="U674" s="1497"/>
      <c r="V674" s="1497"/>
      <c r="W674" s="1497"/>
      <c r="X674" s="1497"/>
      <c r="Y674" s="1497"/>
      <c r="Z674" s="1497"/>
    </row>
    <row r="675" spans="1:26" ht="12.75" customHeight="1">
      <c r="A675" s="1497"/>
      <c r="B675" s="1497"/>
      <c r="C675" s="1497"/>
      <c r="D675" s="1497"/>
      <c r="E675" s="1497"/>
      <c r="F675" s="1497"/>
      <c r="G675" s="1497"/>
      <c r="H675" s="1497"/>
      <c r="I675" s="1497"/>
      <c r="J675" s="1497"/>
      <c r="K675" s="1497"/>
      <c r="L675" s="1497"/>
      <c r="M675" s="1497"/>
      <c r="N675" s="1497"/>
      <c r="O675" s="1497"/>
      <c r="P675" s="1497"/>
      <c r="Q675" s="1497"/>
      <c r="R675" s="1497"/>
      <c r="S675" s="1497"/>
      <c r="T675" s="1497"/>
      <c r="U675" s="1497"/>
      <c r="V675" s="1497"/>
      <c r="W675" s="1497"/>
      <c r="X675" s="1497"/>
      <c r="Y675" s="1497"/>
      <c r="Z675" s="1497"/>
    </row>
    <row r="676" spans="1:26" ht="12.75" customHeight="1">
      <c r="A676" s="1497"/>
      <c r="B676" s="1497"/>
      <c r="C676" s="1497"/>
      <c r="D676" s="1497"/>
      <c r="E676" s="1497"/>
      <c r="F676" s="1497"/>
      <c r="G676" s="1497"/>
      <c r="H676" s="1497"/>
      <c r="I676" s="1497"/>
      <c r="J676" s="1497"/>
      <c r="K676" s="1497"/>
      <c r="L676" s="1497"/>
      <c r="M676" s="1497"/>
      <c r="N676" s="1497"/>
      <c r="O676" s="1497"/>
      <c r="P676" s="1497"/>
      <c r="Q676" s="1497"/>
      <c r="R676" s="1497"/>
      <c r="S676" s="1497"/>
      <c r="T676" s="1497"/>
      <c r="U676" s="1497"/>
      <c r="V676" s="1497"/>
      <c r="W676" s="1497"/>
      <c r="X676" s="1497"/>
      <c r="Y676" s="1497"/>
      <c r="Z676" s="1497"/>
    </row>
    <row r="677" spans="1:26" ht="12.75" customHeight="1">
      <c r="A677" s="1497"/>
      <c r="B677" s="1497"/>
      <c r="C677" s="1497"/>
      <c r="D677" s="1497"/>
      <c r="E677" s="1497"/>
      <c r="F677" s="1497"/>
      <c r="G677" s="1497"/>
      <c r="H677" s="1497"/>
      <c r="I677" s="1497"/>
      <c r="J677" s="1497"/>
      <c r="K677" s="1497"/>
      <c r="L677" s="1497"/>
      <c r="M677" s="1497"/>
      <c r="N677" s="1497"/>
      <c r="O677" s="1497"/>
      <c r="P677" s="1497"/>
      <c r="Q677" s="1497"/>
      <c r="R677" s="1497"/>
      <c r="S677" s="1497"/>
      <c r="T677" s="1497"/>
      <c r="U677" s="1497"/>
      <c r="V677" s="1497"/>
      <c r="W677" s="1497"/>
      <c r="X677" s="1497"/>
      <c r="Y677" s="1497"/>
      <c r="Z677" s="1497"/>
    </row>
    <row r="678" spans="1:26" ht="12.75" customHeight="1">
      <c r="A678" s="1497"/>
      <c r="B678" s="1497"/>
      <c r="C678" s="1497"/>
      <c r="D678" s="1497"/>
      <c r="E678" s="1497"/>
      <c r="F678" s="1497"/>
      <c r="G678" s="1497"/>
      <c r="H678" s="1497"/>
      <c r="I678" s="1497"/>
      <c r="J678" s="1497"/>
      <c r="K678" s="1497"/>
      <c r="L678" s="1497"/>
      <c r="M678" s="1497"/>
      <c r="N678" s="1497"/>
      <c r="O678" s="1497"/>
      <c r="P678" s="1497"/>
      <c r="Q678" s="1497"/>
      <c r="R678" s="1497"/>
      <c r="S678" s="1497"/>
      <c r="T678" s="1497"/>
      <c r="U678" s="1497"/>
      <c r="V678" s="1497"/>
      <c r="W678" s="1497"/>
      <c r="X678" s="1497"/>
      <c r="Y678" s="1497"/>
      <c r="Z678" s="1497"/>
    </row>
    <row r="679" spans="1:26" ht="12.75" customHeight="1">
      <c r="A679" s="1497"/>
      <c r="B679" s="1497"/>
      <c r="C679" s="1497"/>
      <c r="D679" s="1497"/>
      <c r="E679" s="1497"/>
      <c r="F679" s="1497"/>
      <c r="G679" s="1497"/>
      <c r="H679" s="1497"/>
      <c r="I679" s="1497"/>
      <c r="J679" s="1497"/>
      <c r="K679" s="1497"/>
      <c r="L679" s="1497"/>
      <c r="M679" s="1497"/>
      <c r="N679" s="1497"/>
      <c r="O679" s="1497"/>
      <c r="P679" s="1497"/>
      <c r="Q679" s="1497"/>
      <c r="R679" s="1497"/>
      <c r="S679" s="1497"/>
      <c r="T679" s="1497"/>
      <c r="U679" s="1497"/>
      <c r="V679" s="1497"/>
      <c r="W679" s="1497"/>
      <c r="X679" s="1497"/>
      <c r="Y679" s="1497"/>
      <c r="Z679" s="1497"/>
    </row>
    <row r="680" spans="1:26" ht="12.75" customHeight="1">
      <c r="A680" s="1497"/>
      <c r="B680" s="1497"/>
      <c r="C680" s="1497"/>
      <c r="D680" s="1497"/>
      <c r="E680" s="1497"/>
      <c r="F680" s="1497"/>
      <c r="G680" s="1497"/>
      <c r="H680" s="1497"/>
      <c r="I680" s="1497"/>
      <c r="J680" s="1497"/>
      <c r="K680" s="1497"/>
      <c r="L680" s="1497"/>
      <c r="M680" s="1497"/>
      <c r="N680" s="1497"/>
      <c r="O680" s="1497"/>
      <c r="P680" s="1497"/>
      <c r="Q680" s="1497"/>
      <c r="R680" s="1497"/>
      <c r="S680" s="1497"/>
      <c r="T680" s="1497"/>
      <c r="U680" s="1497"/>
      <c r="V680" s="1497"/>
      <c r="W680" s="1497"/>
      <c r="X680" s="1497"/>
      <c r="Y680" s="1497"/>
      <c r="Z680" s="1497"/>
    </row>
    <row r="681" spans="1:26" ht="12.75" customHeight="1">
      <c r="A681" s="1497"/>
      <c r="B681" s="1497"/>
      <c r="C681" s="1497"/>
      <c r="D681" s="1497"/>
      <c r="E681" s="1497"/>
      <c r="F681" s="1497"/>
      <c r="G681" s="1497"/>
      <c r="H681" s="1497"/>
      <c r="I681" s="1497"/>
      <c r="J681" s="1497"/>
      <c r="K681" s="1497"/>
      <c r="L681" s="1497"/>
      <c r="M681" s="1497"/>
      <c r="N681" s="1497"/>
      <c r="O681" s="1497"/>
      <c r="P681" s="1497"/>
      <c r="Q681" s="1497"/>
      <c r="R681" s="1497"/>
      <c r="S681" s="1497"/>
      <c r="T681" s="1497"/>
      <c r="U681" s="1497"/>
      <c r="V681" s="1497"/>
      <c r="W681" s="1497"/>
      <c r="X681" s="1497"/>
      <c r="Y681" s="1497"/>
      <c r="Z681" s="1497"/>
    </row>
    <row r="682" spans="1:26" ht="12.75" customHeight="1">
      <c r="A682" s="1497"/>
      <c r="B682" s="1497"/>
      <c r="C682" s="1497"/>
      <c r="D682" s="1497"/>
      <c r="E682" s="1497"/>
      <c r="F682" s="1497"/>
      <c r="G682" s="1497"/>
      <c r="H682" s="1497"/>
      <c r="I682" s="1497"/>
      <c r="J682" s="1497"/>
      <c r="K682" s="1497"/>
      <c r="L682" s="1497"/>
      <c r="M682" s="1497"/>
      <c r="N682" s="1497"/>
      <c r="O682" s="1497"/>
      <c r="P682" s="1497"/>
      <c r="Q682" s="1497"/>
      <c r="R682" s="1497"/>
      <c r="S682" s="1497"/>
      <c r="T682" s="1497"/>
      <c r="U682" s="1497"/>
      <c r="V682" s="1497"/>
      <c r="W682" s="1497"/>
      <c r="X682" s="1497"/>
      <c r="Y682" s="1497"/>
      <c r="Z682" s="1497"/>
    </row>
    <row r="683" spans="1:26" ht="12.75" customHeight="1">
      <c r="A683" s="1497"/>
      <c r="B683" s="1497"/>
      <c r="C683" s="1497"/>
      <c r="D683" s="1497"/>
      <c r="E683" s="1497"/>
      <c r="F683" s="1497"/>
      <c r="G683" s="1497"/>
      <c r="H683" s="1497"/>
      <c r="I683" s="1497"/>
      <c r="J683" s="1497"/>
      <c r="K683" s="1497"/>
      <c r="L683" s="1497"/>
      <c r="M683" s="1497"/>
      <c r="N683" s="1497"/>
      <c r="O683" s="1497"/>
      <c r="P683" s="1497"/>
      <c r="Q683" s="1497"/>
      <c r="R683" s="1497"/>
      <c r="S683" s="1497"/>
      <c r="T683" s="1497"/>
      <c r="U683" s="1497"/>
      <c r="V683" s="1497"/>
      <c r="W683" s="1497"/>
      <c r="X683" s="1497"/>
      <c r="Y683" s="1497"/>
      <c r="Z683" s="1497"/>
    </row>
    <row r="684" spans="1:26" ht="12.75" customHeight="1">
      <c r="A684" s="1497"/>
      <c r="B684" s="1497"/>
      <c r="C684" s="1497"/>
      <c r="D684" s="1497"/>
      <c r="E684" s="1497"/>
      <c r="F684" s="1497"/>
      <c r="G684" s="1497"/>
      <c r="H684" s="1497"/>
      <c r="I684" s="1497"/>
      <c r="J684" s="1497"/>
      <c r="K684" s="1497"/>
      <c r="L684" s="1497"/>
      <c r="M684" s="1497"/>
      <c r="N684" s="1497"/>
      <c r="O684" s="1497"/>
      <c r="P684" s="1497"/>
      <c r="Q684" s="1497"/>
      <c r="R684" s="1497"/>
      <c r="S684" s="1497"/>
      <c r="T684" s="1497"/>
      <c r="U684" s="1497"/>
      <c r="V684" s="1497"/>
      <c r="W684" s="1497"/>
      <c r="X684" s="1497"/>
      <c r="Y684" s="1497"/>
      <c r="Z684" s="1497"/>
    </row>
    <row r="685" spans="1:26" ht="12.75" customHeight="1">
      <c r="A685" s="1497"/>
      <c r="B685" s="1497"/>
      <c r="C685" s="1497"/>
      <c r="D685" s="1497"/>
      <c r="E685" s="1497"/>
      <c r="F685" s="1497"/>
      <c r="G685" s="1497"/>
      <c r="H685" s="1497"/>
      <c r="I685" s="1497"/>
      <c r="J685" s="1497"/>
      <c r="K685" s="1497"/>
      <c r="L685" s="1497"/>
      <c r="M685" s="1497"/>
      <c r="N685" s="1497"/>
      <c r="O685" s="1497"/>
      <c r="P685" s="1497"/>
      <c r="Q685" s="1497"/>
      <c r="R685" s="1497"/>
      <c r="S685" s="1497"/>
      <c r="T685" s="1497"/>
      <c r="U685" s="1497"/>
      <c r="V685" s="1497"/>
      <c r="W685" s="1497"/>
      <c r="X685" s="1497"/>
      <c r="Y685" s="1497"/>
      <c r="Z685" s="1497"/>
    </row>
    <row r="686" spans="1:26" ht="12.75" customHeight="1">
      <c r="A686" s="1497"/>
      <c r="B686" s="1497"/>
      <c r="C686" s="1497"/>
      <c r="D686" s="1497"/>
      <c r="E686" s="1497"/>
      <c r="F686" s="1497"/>
      <c r="G686" s="1497"/>
      <c r="H686" s="1497"/>
      <c r="I686" s="1497"/>
      <c r="J686" s="1497"/>
      <c r="K686" s="1497"/>
      <c r="L686" s="1497"/>
      <c r="M686" s="1497"/>
      <c r="N686" s="1497"/>
      <c r="O686" s="1497"/>
      <c r="P686" s="1497"/>
      <c r="Q686" s="1497"/>
      <c r="R686" s="1497"/>
      <c r="S686" s="1497"/>
      <c r="T686" s="1497"/>
      <c r="U686" s="1497"/>
      <c r="V686" s="1497"/>
      <c r="W686" s="1497"/>
      <c r="X686" s="1497"/>
      <c r="Y686" s="1497"/>
      <c r="Z686" s="1497"/>
    </row>
    <row r="687" spans="1:26" ht="12.75" customHeight="1">
      <c r="A687" s="1497"/>
      <c r="B687" s="1497"/>
      <c r="C687" s="1497"/>
      <c r="D687" s="1497"/>
      <c r="E687" s="1497"/>
      <c r="F687" s="1497"/>
      <c r="G687" s="1497"/>
      <c r="H687" s="1497"/>
      <c r="I687" s="1497"/>
      <c r="J687" s="1497"/>
      <c r="K687" s="1497"/>
      <c r="L687" s="1497"/>
      <c r="M687" s="1497"/>
      <c r="N687" s="1497"/>
      <c r="O687" s="1497"/>
      <c r="P687" s="1497"/>
      <c r="Q687" s="1497"/>
      <c r="R687" s="1497"/>
      <c r="S687" s="1497"/>
      <c r="T687" s="1497"/>
      <c r="U687" s="1497"/>
      <c r="V687" s="1497"/>
      <c r="W687" s="1497"/>
      <c r="X687" s="1497"/>
      <c r="Y687" s="1497"/>
      <c r="Z687" s="1497"/>
    </row>
    <row r="688" spans="1:26" ht="12.75" customHeight="1">
      <c r="A688" s="1497"/>
      <c r="B688" s="1497"/>
      <c r="C688" s="1497"/>
      <c r="D688" s="1497"/>
      <c r="E688" s="1497"/>
      <c r="F688" s="1497"/>
      <c r="G688" s="1497"/>
      <c r="H688" s="1497"/>
      <c r="I688" s="1497"/>
      <c r="J688" s="1497"/>
      <c r="K688" s="1497"/>
      <c r="L688" s="1497"/>
      <c r="M688" s="1497"/>
      <c r="N688" s="1497"/>
      <c r="O688" s="1497"/>
      <c r="P688" s="1497"/>
      <c r="Q688" s="1497"/>
      <c r="R688" s="1497"/>
      <c r="S688" s="1497"/>
      <c r="T688" s="1497"/>
      <c r="U688" s="1497"/>
      <c r="V688" s="1497"/>
      <c r="W688" s="1497"/>
      <c r="X688" s="1497"/>
      <c r="Y688" s="1497"/>
      <c r="Z688" s="1497"/>
    </row>
    <row r="689" spans="1:26" ht="12.75" customHeight="1">
      <c r="A689" s="1497"/>
      <c r="B689" s="1497"/>
      <c r="C689" s="1497"/>
      <c r="D689" s="1497"/>
      <c r="E689" s="1497"/>
      <c r="F689" s="1497"/>
      <c r="G689" s="1497"/>
      <c r="H689" s="1497"/>
      <c r="I689" s="1497"/>
      <c r="J689" s="1497"/>
      <c r="K689" s="1497"/>
      <c r="L689" s="1497"/>
      <c r="M689" s="1497"/>
      <c r="N689" s="1497"/>
      <c r="O689" s="1497"/>
      <c r="P689" s="1497"/>
      <c r="Q689" s="1497"/>
      <c r="R689" s="1497"/>
      <c r="S689" s="1497"/>
      <c r="T689" s="1497"/>
      <c r="U689" s="1497"/>
      <c r="V689" s="1497"/>
      <c r="W689" s="1497"/>
      <c r="X689" s="1497"/>
      <c r="Y689" s="1497"/>
      <c r="Z689" s="1497"/>
    </row>
    <row r="690" spans="1:26" ht="12.75" customHeight="1">
      <c r="A690" s="1497"/>
      <c r="B690" s="1497"/>
      <c r="C690" s="1497"/>
      <c r="D690" s="1497"/>
      <c r="E690" s="1497"/>
      <c r="F690" s="1497"/>
      <c r="G690" s="1497"/>
      <c r="H690" s="1497"/>
      <c r="I690" s="1497"/>
      <c r="J690" s="1497"/>
      <c r="K690" s="1497"/>
      <c r="L690" s="1497"/>
      <c r="M690" s="1497"/>
      <c r="N690" s="1497"/>
      <c r="O690" s="1497"/>
      <c r="P690" s="1497"/>
      <c r="Q690" s="1497"/>
      <c r="R690" s="1497"/>
      <c r="S690" s="1497"/>
      <c r="T690" s="1497"/>
      <c r="U690" s="1497"/>
      <c r="V690" s="1497"/>
      <c r="W690" s="1497"/>
      <c r="X690" s="1497"/>
      <c r="Y690" s="1497"/>
      <c r="Z690" s="1497"/>
    </row>
    <row r="691" spans="1:26" ht="12.75" customHeight="1">
      <c r="A691" s="1497"/>
      <c r="B691" s="1497"/>
      <c r="C691" s="1497"/>
      <c r="D691" s="1497"/>
      <c r="E691" s="1497"/>
      <c r="F691" s="1497"/>
      <c r="G691" s="1497"/>
      <c r="H691" s="1497"/>
      <c r="I691" s="1497"/>
      <c r="J691" s="1497"/>
      <c r="K691" s="1497"/>
      <c r="L691" s="1497"/>
      <c r="M691" s="1497"/>
      <c r="N691" s="1497"/>
      <c r="O691" s="1497"/>
      <c r="P691" s="1497"/>
      <c r="Q691" s="1497"/>
      <c r="R691" s="1497"/>
      <c r="S691" s="1497"/>
      <c r="T691" s="1497"/>
      <c r="U691" s="1497"/>
      <c r="V691" s="1497"/>
      <c r="W691" s="1497"/>
      <c r="X691" s="1497"/>
      <c r="Y691" s="1497"/>
      <c r="Z691" s="1497"/>
    </row>
    <row r="692" spans="1:26" ht="12.75" customHeight="1">
      <c r="A692" s="1497"/>
      <c r="B692" s="1497"/>
      <c r="C692" s="1497"/>
      <c r="D692" s="1497"/>
      <c r="E692" s="1497"/>
      <c r="F692" s="1497"/>
      <c r="G692" s="1497"/>
      <c r="H692" s="1497"/>
      <c r="I692" s="1497"/>
      <c r="J692" s="1497"/>
      <c r="K692" s="1497"/>
      <c r="L692" s="1497"/>
      <c r="M692" s="1497"/>
      <c r="N692" s="1497"/>
      <c r="O692" s="1497"/>
      <c r="P692" s="1497"/>
      <c r="Q692" s="1497"/>
      <c r="R692" s="1497"/>
      <c r="S692" s="1497"/>
      <c r="T692" s="1497"/>
      <c r="U692" s="1497"/>
      <c r="V692" s="1497"/>
      <c r="W692" s="1497"/>
      <c r="X692" s="1497"/>
      <c r="Y692" s="1497"/>
      <c r="Z692" s="1497"/>
    </row>
    <row r="693" spans="1:26" ht="12.75" customHeight="1">
      <c r="A693" s="1497"/>
      <c r="B693" s="1497"/>
      <c r="C693" s="1497"/>
      <c r="D693" s="1497"/>
      <c r="E693" s="1497"/>
      <c r="F693" s="1497"/>
      <c r="G693" s="1497"/>
      <c r="H693" s="1497"/>
      <c r="I693" s="1497"/>
      <c r="J693" s="1497"/>
      <c r="K693" s="1497"/>
      <c r="L693" s="1497"/>
      <c r="M693" s="1497"/>
      <c r="N693" s="1497"/>
      <c r="O693" s="1497"/>
      <c r="P693" s="1497"/>
      <c r="Q693" s="1497"/>
      <c r="R693" s="1497"/>
      <c r="S693" s="1497"/>
      <c r="T693" s="1497"/>
      <c r="U693" s="1497"/>
      <c r="V693" s="1497"/>
      <c r="W693" s="1497"/>
      <c r="X693" s="1497"/>
      <c r="Y693" s="1497"/>
      <c r="Z693" s="1497"/>
    </row>
    <row r="694" spans="1:26" ht="12.75" customHeight="1">
      <c r="A694" s="1497"/>
      <c r="B694" s="1497"/>
      <c r="C694" s="1497"/>
      <c r="D694" s="1497"/>
      <c r="E694" s="1497"/>
      <c r="F694" s="1497"/>
      <c r="G694" s="1497"/>
      <c r="H694" s="1497"/>
      <c r="I694" s="1497"/>
      <c r="J694" s="1497"/>
      <c r="K694" s="1497"/>
      <c r="L694" s="1497"/>
      <c r="M694" s="1497"/>
      <c r="N694" s="1497"/>
      <c r="O694" s="1497"/>
      <c r="P694" s="1497"/>
      <c r="Q694" s="1497"/>
      <c r="R694" s="1497"/>
      <c r="S694" s="1497"/>
      <c r="T694" s="1497"/>
      <c r="U694" s="1497"/>
      <c r="V694" s="1497"/>
      <c r="W694" s="1497"/>
      <c r="X694" s="1497"/>
      <c r="Y694" s="1497"/>
      <c r="Z694" s="1497"/>
    </row>
    <row r="695" spans="1:26" ht="12.75" customHeight="1">
      <c r="A695" s="1497"/>
      <c r="B695" s="1497"/>
      <c r="C695" s="1497"/>
      <c r="D695" s="1497"/>
      <c r="E695" s="1497"/>
      <c r="F695" s="1497"/>
      <c r="G695" s="1497"/>
      <c r="H695" s="1497"/>
      <c r="I695" s="1497"/>
      <c r="J695" s="1497"/>
      <c r="K695" s="1497"/>
      <c r="L695" s="1497"/>
      <c r="M695" s="1497"/>
      <c r="N695" s="1497"/>
      <c r="O695" s="1497"/>
      <c r="P695" s="1497"/>
      <c r="Q695" s="1497"/>
      <c r="R695" s="1497"/>
      <c r="S695" s="1497"/>
      <c r="T695" s="1497"/>
      <c r="U695" s="1497"/>
      <c r="V695" s="1497"/>
      <c r="W695" s="1497"/>
      <c r="X695" s="1497"/>
      <c r="Y695" s="1497"/>
      <c r="Z695" s="1497"/>
    </row>
    <row r="696" spans="1:26" ht="12.75" customHeight="1">
      <c r="A696" s="1497"/>
      <c r="B696" s="1497"/>
      <c r="C696" s="1497"/>
      <c r="D696" s="1497"/>
      <c r="E696" s="1497"/>
      <c r="F696" s="1497"/>
      <c r="G696" s="1497"/>
      <c r="H696" s="1497"/>
      <c r="I696" s="1497"/>
      <c r="J696" s="1497"/>
      <c r="K696" s="1497"/>
      <c r="L696" s="1497"/>
      <c r="M696" s="1497"/>
      <c r="N696" s="1497"/>
      <c r="O696" s="1497"/>
      <c r="P696" s="1497"/>
      <c r="Q696" s="1497"/>
      <c r="R696" s="1497"/>
      <c r="S696" s="1497"/>
      <c r="T696" s="1497"/>
      <c r="U696" s="1497"/>
      <c r="V696" s="1497"/>
      <c r="W696" s="1497"/>
      <c r="X696" s="1497"/>
      <c r="Y696" s="1497"/>
      <c r="Z696" s="1497"/>
    </row>
    <row r="697" spans="1:26" ht="12.75" customHeight="1">
      <c r="A697" s="1497"/>
      <c r="B697" s="1497"/>
      <c r="C697" s="1497"/>
      <c r="D697" s="1497"/>
      <c r="E697" s="1497"/>
      <c r="F697" s="1497"/>
      <c r="G697" s="1497"/>
      <c r="H697" s="1497"/>
      <c r="I697" s="1497"/>
      <c r="J697" s="1497"/>
      <c r="K697" s="1497"/>
      <c r="L697" s="1497"/>
      <c r="M697" s="1497"/>
      <c r="N697" s="1497"/>
      <c r="O697" s="1497"/>
      <c r="P697" s="1497"/>
      <c r="Q697" s="1497"/>
      <c r="R697" s="1497"/>
      <c r="S697" s="1497"/>
      <c r="T697" s="1497"/>
      <c r="U697" s="1497"/>
      <c r="V697" s="1497"/>
      <c r="W697" s="1497"/>
      <c r="X697" s="1497"/>
      <c r="Y697" s="1497"/>
      <c r="Z697" s="1497"/>
    </row>
    <row r="698" spans="1:26" ht="12.75" customHeight="1">
      <c r="A698" s="1497"/>
      <c r="B698" s="1497"/>
      <c r="C698" s="1497"/>
      <c r="D698" s="1497"/>
      <c r="E698" s="1497"/>
      <c r="F698" s="1497"/>
      <c r="G698" s="1497"/>
      <c r="H698" s="1497"/>
      <c r="I698" s="1497"/>
      <c r="J698" s="1497"/>
      <c r="K698" s="1497"/>
      <c r="L698" s="1497"/>
      <c r="M698" s="1497"/>
      <c r="N698" s="1497"/>
      <c r="O698" s="1497"/>
      <c r="P698" s="1497"/>
      <c r="Q698" s="1497"/>
      <c r="R698" s="1497"/>
      <c r="S698" s="1497"/>
      <c r="T698" s="1497"/>
      <c r="U698" s="1497"/>
      <c r="V698" s="1497"/>
      <c r="W698" s="1497"/>
      <c r="X698" s="1497"/>
      <c r="Y698" s="1497"/>
      <c r="Z698" s="1497"/>
    </row>
    <row r="699" spans="1:26" ht="12.75" customHeight="1">
      <c r="A699" s="1497"/>
      <c r="B699" s="1497"/>
      <c r="C699" s="1497"/>
      <c r="D699" s="1497"/>
      <c r="E699" s="1497"/>
      <c r="F699" s="1497"/>
      <c r="G699" s="1497"/>
      <c r="H699" s="1497"/>
      <c r="I699" s="1497"/>
      <c r="J699" s="1497"/>
      <c r="K699" s="1497"/>
      <c r="L699" s="1497"/>
      <c r="M699" s="1497"/>
      <c r="N699" s="1497"/>
      <c r="O699" s="1497"/>
      <c r="P699" s="1497"/>
      <c r="Q699" s="1497"/>
      <c r="R699" s="1497"/>
      <c r="S699" s="1497"/>
      <c r="T699" s="1497"/>
      <c r="U699" s="1497"/>
      <c r="V699" s="1497"/>
      <c r="W699" s="1497"/>
      <c r="X699" s="1497"/>
      <c r="Y699" s="1497"/>
      <c r="Z699" s="1497"/>
    </row>
    <row r="700" spans="1:26" ht="12.75" customHeight="1">
      <c r="A700" s="1497"/>
      <c r="B700" s="1497"/>
      <c r="C700" s="1497"/>
      <c r="D700" s="1497"/>
      <c r="E700" s="1497"/>
      <c r="F700" s="1497"/>
      <c r="G700" s="1497"/>
      <c r="H700" s="1497"/>
      <c r="I700" s="1497"/>
      <c r="J700" s="1497"/>
      <c r="K700" s="1497"/>
      <c r="L700" s="1497"/>
      <c r="M700" s="1497"/>
      <c r="N700" s="1497"/>
      <c r="O700" s="1497"/>
      <c r="P700" s="1497"/>
      <c r="Q700" s="1497"/>
      <c r="R700" s="1497"/>
      <c r="S700" s="1497"/>
      <c r="T700" s="1497"/>
      <c r="U700" s="1497"/>
      <c r="V700" s="1497"/>
      <c r="W700" s="1497"/>
      <c r="X700" s="1497"/>
      <c r="Y700" s="1497"/>
      <c r="Z700" s="1497"/>
    </row>
    <row r="701" spans="1:26" ht="12.75" customHeight="1">
      <c r="A701" s="1497"/>
      <c r="B701" s="1497"/>
      <c r="C701" s="1497"/>
      <c r="D701" s="1497"/>
      <c r="E701" s="1497"/>
      <c r="F701" s="1497"/>
      <c r="G701" s="1497"/>
      <c r="H701" s="1497"/>
      <c r="I701" s="1497"/>
      <c r="J701" s="1497"/>
      <c r="K701" s="1497"/>
      <c r="L701" s="1497"/>
      <c r="M701" s="1497"/>
      <c r="N701" s="1497"/>
      <c r="O701" s="1497"/>
      <c r="P701" s="1497"/>
      <c r="Q701" s="1497"/>
      <c r="R701" s="1497"/>
      <c r="S701" s="1497"/>
      <c r="T701" s="1497"/>
      <c r="U701" s="1497"/>
      <c r="V701" s="1497"/>
      <c r="W701" s="1497"/>
      <c r="X701" s="1497"/>
      <c r="Y701" s="1497"/>
      <c r="Z701" s="1497"/>
    </row>
    <row r="702" spans="1:26" ht="12.75" customHeight="1">
      <c r="A702" s="1497"/>
      <c r="B702" s="1497"/>
      <c r="C702" s="1497"/>
      <c r="D702" s="1497"/>
      <c r="E702" s="1497"/>
      <c r="F702" s="1497"/>
      <c r="G702" s="1497"/>
      <c r="H702" s="1497"/>
      <c r="I702" s="1497"/>
      <c r="J702" s="1497"/>
      <c r="K702" s="1497"/>
      <c r="L702" s="1497"/>
      <c r="M702" s="1497"/>
      <c r="N702" s="1497"/>
      <c r="O702" s="1497"/>
      <c r="P702" s="1497"/>
      <c r="Q702" s="1497"/>
      <c r="R702" s="1497"/>
      <c r="S702" s="1497"/>
      <c r="T702" s="1497"/>
      <c r="U702" s="1497"/>
      <c r="V702" s="1497"/>
      <c r="W702" s="1497"/>
      <c r="X702" s="1497"/>
      <c r="Y702" s="1497"/>
      <c r="Z702" s="1497"/>
    </row>
    <row r="703" spans="1:26" ht="12.75" customHeight="1">
      <c r="A703" s="1497"/>
      <c r="B703" s="1497"/>
      <c r="C703" s="1497"/>
      <c r="D703" s="1497"/>
      <c r="E703" s="1497"/>
      <c r="F703" s="1497"/>
      <c r="G703" s="1497"/>
      <c r="H703" s="1497"/>
      <c r="I703" s="1497"/>
      <c r="J703" s="1497"/>
      <c r="K703" s="1497"/>
      <c r="L703" s="1497"/>
      <c r="M703" s="1497"/>
      <c r="N703" s="1497"/>
      <c r="O703" s="1497"/>
      <c r="P703" s="1497"/>
      <c r="Q703" s="1497"/>
      <c r="R703" s="1497"/>
      <c r="S703" s="1497"/>
      <c r="T703" s="1497"/>
      <c r="U703" s="1497"/>
      <c r="V703" s="1497"/>
      <c r="W703" s="1497"/>
      <c r="X703" s="1497"/>
      <c r="Y703" s="1497"/>
      <c r="Z703" s="1497"/>
    </row>
    <row r="704" spans="1:26" ht="12.75" customHeight="1">
      <c r="A704" s="1497"/>
      <c r="B704" s="1497"/>
      <c r="C704" s="1497"/>
      <c r="D704" s="1497"/>
      <c r="E704" s="1497"/>
      <c r="F704" s="1497"/>
      <c r="G704" s="1497"/>
      <c r="H704" s="1497"/>
      <c r="I704" s="1497"/>
      <c r="J704" s="1497"/>
      <c r="K704" s="1497"/>
      <c r="L704" s="1497"/>
      <c r="M704" s="1497"/>
      <c r="N704" s="1497"/>
      <c r="O704" s="1497"/>
      <c r="P704" s="1497"/>
      <c r="Q704" s="1497"/>
      <c r="R704" s="1497"/>
      <c r="S704" s="1497"/>
      <c r="T704" s="1497"/>
      <c r="U704" s="1497"/>
      <c r="V704" s="1497"/>
      <c r="W704" s="1497"/>
      <c r="X704" s="1497"/>
      <c r="Y704" s="1497"/>
      <c r="Z704" s="1497"/>
    </row>
    <row r="705" spans="1:26" ht="12.75" customHeight="1">
      <c r="A705" s="1497"/>
      <c r="B705" s="1497"/>
      <c r="C705" s="1497"/>
      <c r="D705" s="1497"/>
      <c r="E705" s="1497"/>
      <c r="F705" s="1497"/>
      <c r="G705" s="1497"/>
      <c r="H705" s="1497"/>
      <c r="I705" s="1497"/>
      <c r="J705" s="1497"/>
      <c r="K705" s="1497"/>
      <c r="L705" s="1497"/>
      <c r="M705" s="1497"/>
      <c r="N705" s="1497"/>
      <c r="O705" s="1497"/>
      <c r="P705" s="1497"/>
      <c r="Q705" s="1497"/>
      <c r="R705" s="1497"/>
      <c r="S705" s="1497"/>
      <c r="T705" s="1497"/>
      <c r="U705" s="1497"/>
      <c r="V705" s="1497"/>
      <c r="W705" s="1497"/>
      <c r="X705" s="1497"/>
      <c r="Y705" s="1497"/>
      <c r="Z705" s="1497"/>
    </row>
    <row r="706" spans="1:26" ht="12.75" customHeight="1">
      <c r="A706" s="1497"/>
      <c r="B706" s="1497"/>
      <c r="C706" s="1497"/>
      <c r="D706" s="1497"/>
      <c r="E706" s="1497"/>
      <c r="F706" s="1497"/>
      <c r="G706" s="1497"/>
      <c r="H706" s="1497"/>
      <c r="I706" s="1497"/>
      <c r="J706" s="1497"/>
      <c r="K706" s="1497"/>
      <c r="L706" s="1497"/>
      <c r="M706" s="1497"/>
      <c r="N706" s="1497"/>
      <c r="O706" s="1497"/>
      <c r="P706" s="1497"/>
      <c r="Q706" s="1497"/>
      <c r="R706" s="1497"/>
      <c r="S706" s="1497"/>
      <c r="T706" s="1497"/>
      <c r="U706" s="1497"/>
      <c r="V706" s="1497"/>
      <c r="W706" s="1497"/>
      <c r="X706" s="1497"/>
      <c r="Y706" s="1497"/>
      <c r="Z706" s="1497"/>
    </row>
    <row r="707" spans="1:26" ht="12.75" customHeight="1">
      <c r="A707" s="1497"/>
      <c r="B707" s="1497"/>
      <c r="C707" s="1497"/>
      <c r="D707" s="1497"/>
      <c r="E707" s="1497"/>
      <c r="F707" s="1497"/>
      <c r="G707" s="1497"/>
      <c r="H707" s="1497"/>
      <c r="I707" s="1497"/>
      <c r="J707" s="1497"/>
      <c r="K707" s="1497"/>
      <c r="L707" s="1497"/>
      <c r="M707" s="1497"/>
      <c r="N707" s="1497"/>
      <c r="O707" s="1497"/>
      <c r="P707" s="1497"/>
      <c r="Q707" s="1497"/>
      <c r="R707" s="1497"/>
      <c r="S707" s="1497"/>
      <c r="T707" s="1497"/>
      <c r="U707" s="1497"/>
      <c r="V707" s="1497"/>
      <c r="W707" s="1497"/>
      <c r="X707" s="1497"/>
      <c r="Y707" s="1497"/>
      <c r="Z707" s="1497"/>
    </row>
    <row r="708" spans="1:26" ht="12.75" customHeight="1">
      <c r="A708" s="1497"/>
      <c r="B708" s="1497"/>
      <c r="C708" s="1497"/>
      <c r="D708" s="1497"/>
      <c r="E708" s="1497"/>
      <c r="F708" s="1497"/>
      <c r="G708" s="1497"/>
      <c r="H708" s="1497"/>
      <c r="I708" s="1497"/>
      <c r="J708" s="1497"/>
      <c r="K708" s="1497"/>
      <c r="L708" s="1497"/>
      <c r="M708" s="1497"/>
      <c r="N708" s="1497"/>
      <c r="O708" s="1497"/>
      <c r="P708" s="1497"/>
      <c r="Q708" s="1497"/>
      <c r="R708" s="1497"/>
      <c r="S708" s="1497"/>
      <c r="T708" s="1497"/>
      <c r="U708" s="1497"/>
      <c r="V708" s="1497"/>
      <c r="W708" s="1497"/>
      <c r="X708" s="1497"/>
      <c r="Y708" s="1497"/>
      <c r="Z708" s="1497"/>
    </row>
    <row r="709" spans="1:26" ht="12.75" customHeight="1">
      <c r="A709" s="1497"/>
      <c r="B709" s="1497"/>
      <c r="C709" s="1497"/>
      <c r="D709" s="1497"/>
      <c r="E709" s="1497"/>
      <c r="F709" s="1497"/>
      <c r="G709" s="1497"/>
      <c r="H709" s="1497"/>
      <c r="I709" s="1497"/>
      <c r="J709" s="1497"/>
      <c r="K709" s="1497"/>
      <c r="L709" s="1497"/>
      <c r="M709" s="1497"/>
      <c r="N709" s="1497"/>
      <c r="O709" s="1497"/>
      <c r="P709" s="1497"/>
      <c r="Q709" s="1497"/>
      <c r="R709" s="1497"/>
      <c r="S709" s="1497"/>
      <c r="T709" s="1497"/>
      <c r="U709" s="1497"/>
      <c r="V709" s="1497"/>
      <c r="W709" s="1497"/>
      <c r="X709" s="1497"/>
      <c r="Y709" s="1497"/>
      <c r="Z709" s="1497"/>
    </row>
    <row r="710" spans="1:26" ht="12.75" customHeight="1">
      <c r="A710" s="1497"/>
      <c r="B710" s="1497"/>
      <c r="C710" s="1497"/>
      <c r="D710" s="1497"/>
      <c r="E710" s="1497"/>
      <c r="F710" s="1497"/>
      <c r="G710" s="1497"/>
      <c r="H710" s="1497"/>
      <c r="I710" s="1497"/>
      <c r="J710" s="1497"/>
      <c r="K710" s="1497"/>
      <c r="L710" s="1497"/>
      <c r="M710" s="1497"/>
      <c r="N710" s="1497"/>
      <c r="O710" s="1497"/>
      <c r="P710" s="1497"/>
      <c r="Q710" s="1497"/>
      <c r="R710" s="1497"/>
      <c r="S710" s="1497"/>
      <c r="T710" s="1497"/>
      <c r="U710" s="1497"/>
      <c r="V710" s="1497"/>
      <c r="W710" s="1497"/>
      <c r="X710" s="1497"/>
      <c r="Y710" s="1497"/>
      <c r="Z710" s="1497"/>
    </row>
    <row r="711" spans="1:26" ht="12.75" customHeight="1">
      <c r="A711" s="1497"/>
      <c r="B711" s="1497"/>
      <c r="C711" s="1497"/>
      <c r="D711" s="1497"/>
      <c r="E711" s="1497"/>
      <c r="F711" s="1497"/>
      <c r="G711" s="1497"/>
      <c r="H711" s="1497"/>
      <c r="I711" s="1497"/>
      <c r="J711" s="1497"/>
      <c r="K711" s="1497"/>
      <c r="L711" s="1497"/>
      <c r="M711" s="1497"/>
      <c r="N711" s="1497"/>
      <c r="O711" s="1497"/>
      <c r="P711" s="1497"/>
      <c r="Q711" s="1497"/>
      <c r="R711" s="1497"/>
      <c r="S711" s="1497"/>
      <c r="T711" s="1497"/>
      <c r="U711" s="1497"/>
      <c r="V711" s="1497"/>
      <c r="W711" s="1497"/>
      <c r="X711" s="1497"/>
      <c r="Y711" s="1497"/>
      <c r="Z711" s="1497"/>
    </row>
    <row r="712" spans="1:26" ht="12.75" customHeight="1">
      <c r="A712" s="1497"/>
      <c r="B712" s="1497"/>
      <c r="C712" s="1497"/>
      <c r="D712" s="1497"/>
      <c r="E712" s="1497"/>
      <c r="F712" s="1497"/>
      <c r="G712" s="1497"/>
      <c r="H712" s="1497"/>
      <c r="I712" s="1497"/>
      <c r="J712" s="1497"/>
      <c r="K712" s="1497"/>
      <c r="L712" s="1497"/>
      <c r="M712" s="1497"/>
      <c r="N712" s="1497"/>
      <c r="O712" s="1497"/>
      <c r="P712" s="1497"/>
      <c r="Q712" s="1497"/>
      <c r="R712" s="1497"/>
      <c r="S712" s="1497"/>
      <c r="T712" s="1497"/>
      <c r="U712" s="1497"/>
      <c r="V712" s="1497"/>
      <c r="W712" s="1497"/>
      <c r="X712" s="1497"/>
      <c r="Y712" s="1497"/>
      <c r="Z712" s="1497"/>
    </row>
    <row r="713" spans="1:26" ht="12.75" customHeight="1">
      <c r="A713" s="1497"/>
      <c r="B713" s="1497"/>
      <c r="C713" s="1497"/>
      <c r="D713" s="1497"/>
      <c r="E713" s="1497"/>
      <c r="F713" s="1497"/>
      <c r="G713" s="1497"/>
      <c r="H713" s="1497"/>
      <c r="I713" s="1497"/>
      <c r="J713" s="1497"/>
      <c r="K713" s="1497"/>
      <c r="L713" s="1497"/>
      <c r="M713" s="1497"/>
      <c r="N713" s="1497"/>
      <c r="O713" s="1497"/>
      <c r="P713" s="1497"/>
      <c r="Q713" s="1497"/>
      <c r="R713" s="1497"/>
      <c r="S713" s="1497"/>
      <c r="T713" s="1497"/>
      <c r="U713" s="1497"/>
      <c r="V713" s="1497"/>
      <c r="W713" s="1497"/>
      <c r="X713" s="1497"/>
      <c r="Y713" s="1497"/>
      <c r="Z713" s="1497"/>
    </row>
    <row r="714" spans="1:26" ht="12.75" customHeight="1">
      <c r="A714" s="1497"/>
      <c r="B714" s="1497"/>
      <c r="C714" s="1497"/>
      <c r="D714" s="1497"/>
      <c r="E714" s="1497"/>
      <c r="F714" s="1497"/>
      <c r="G714" s="1497"/>
      <c r="H714" s="1497"/>
      <c r="I714" s="1497"/>
      <c r="J714" s="1497"/>
      <c r="K714" s="1497"/>
      <c r="L714" s="1497"/>
      <c r="M714" s="1497"/>
      <c r="N714" s="1497"/>
      <c r="O714" s="1497"/>
      <c r="P714" s="1497"/>
      <c r="Q714" s="1497"/>
      <c r="R714" s="1497"/>
      <c r="S714" s="1497"/>
      <c r="T714" s="1497"/>
      <c r="U714" s="1497"/>
      <c r="V714" s="1497"/>
      <c r="W714" s="1497"/>
      <c r="X714" s="1497"/>
      <c r="Y714" s="1497"/>
      <c r="Z714" s="1497"/>
    </row>
    <row r="715" spans="1:26" ht="12.75" customHeight="1">
      <c r="A715" s="1497"/>
      <c r="B715" s="1497"/>
      <c r="C715" s="1497"/>
      <c r="D715" s="1497"/>
      <c r="E715" s="1497"/>
      <c r="F715" s="1497"/>
      <c r="G715" s="1497"/>
      <c r="H715" s="1497"/>
      <c r="I715" s="1497"/>
      <c r="J715" s="1497"/>
      <c r="K715" s="1497"/>
      <c r="L715" s="1497"/>
      <c r="M715" s="1497"/>
      <c r="N715" s="1497"/>
      <c r="O715" s="1497"/>
      <c r="P715" s="1497"/>
      <c r="Q715" s="1497"/>
      <c r="R715" s="1497"/>
      <c r="S715" s="1497"/>
      <c r="T715" s="1497"/>
      <c r="U715" s="1497"/>
      <c r="V715" s="1497"/>
      <c r="W715" s="1497"/>
      <c r="X715" s="1497"/>
      <c r="Y715" s="1497"/>
      <c r="Z715" s="1497"/>
    </row>
    <row r="716" spans="1:26" ht="12.75" customHeight="1">
      <c r="A716" s="1497"/>
      <c r="B716" s="1497"/>
      <c r="C716" s="1497"/>
      <c r="D716" s="1497"/>
      <c r="E716" s="1497"/>
      <c r="F716" s="1497"/>
      <c r="G716" s="1497"/>
      <c r="H716" s="1497"/>
      <c r="I716" s="1497"/>
      <c r="J716" s="1497"/>
      <c r="K716" s="1497"/>
      <c r="L716" s="1497"/>
      <c r="M716" s="1497"/>
      <c r="N716" s="1497"/>
      <c r="O716" s="1497"/>
      <c r="P716" s="1497"/>
      <c r="Q716" s="1497"/>
      <c r="R716" s="1497"/>
      <c r="S716" s="1497"/>
      <c r="T716" s="1497"/>
      <c r="U716" s="1497"/>
      <c r="V716" s="1497"/>
      <c r="W716" s="1497"/>
      <c r="X716" s="1497"/>
      <c r="Y716" s="1497"/>
      <c r="Z716" s="1497"/>
    </row>
    <row r="717" spans="1:26" ht="12.75" customHeight="1">
      <c r="A717" s="1497"/>
      <c r="B717" s="1497"/>
      <c r="C717" s="1497"/>
      <c r="D717" s="1497"/>
      <c r="E717" s="1497"/>
      <c r="F717" s="1497"/>
      <c r="G717" s="1497"/>
      <c r="H717" s="1497"/>
      <c r="I717" s="1497"/>
      <c r="J717" s="1497"/>
      <c r="K717" s="1497"/>
      <c r="L717" s="1497"/>
      <c r="M717" s="1497"/>
      <c r="N717" s="1497"/>
      <c r="O717" s="1497"/>
      <c r="P717" s="1497"/>
      <c r="Q717" s="1497"/>
      <c r="R717" s="1497"/>
      <c r="S717" s="1497"/>
      <c r="T717" s="1497"/>
      <c r="U717" s="1497"/>
      <c r="V717" s="1497"/>
      <c r="W717" s="1497"/>
      <c r="X717" s="1497"/>
      <c r="Y717" s="1497"/>
      <c r="Z717" s="1497"/>
    </row>
    <row r="718" spans="1:26" ht="12.75" customHeight="1">
      <c r="A718" s="1497"/>
      <c r="B718" s="1497"/>
      <c r="C718" s="1497"/>
      <c r="D718" s="1497"/>
      <c r="E718" s="1497"/>
      <c r="F718" s="1497"/>
      <c r="G718" s="1497"/>
      <c r="H718" s="1497"/>
      <c r="I718" s="1497"/>
      <c r="J718" s="1497"/>
      <c r="K718" s="1497"/>
      <c r="L718" s="1497"/>
      <c r="M718" s="1497"/>
      <c r="N718" s="1497"/>
      <c r="O718" s="1497"/>
      <c r="P718" s="1497"/>
      <c r="Q718" s="1497"/>
      <c r="R718" s="1497"/>
      <c r="S718" s="1497"/>
      <c r="T718" s="1497"/>
      <c r="U718" s="1497"/>
      <c r="V718" s="1497"/>
      <c r="W718" s="1497"/>
      <c r="X718" s="1497"/>
      <c r="Y718" s="1497"/>
      <c r="Z718" s="1497"/>
    </row>
    <row r="719" spans="1:26" ht="12.75" customHeight="1">
      <c r="A719" s="1497"/>
      <c r="B719" s="1497"/>
      <c r="C719" s="1497"/>
      <c r="D719" s="1497"/>
      <c r="E719" s="1497"/>
      <c r="F719" s="1497"/>
      <c r="G719" s="1497"/>
      <c r="H719" s="1497"/>
      <c r="I719" s="1497"/>
      <c r="J719" s="1497"/>
      <c r="K719" s="1497"/>
      <c r="L719" s="1497"/>
      <c r="M719" s="1497"/>
      <c r="N719" s="1497"/>
      <c r="O719" s="1497"/>
      <c r="P719" s="1497"/>
      <c r="Q719" s="1497"/>
      <c r="R719" s="1497"/>
      <c r="S719" s="1497"/>
      <c r="T719" s="1497"/>
      <c r="U719" s="1497"/>
      <c r="V719" s="1497"/>
      <c r="W719" s="1497"/>
      <c r="X719" s="1497"/>
      <c r="Y719" s="1497"/>
      <c r="Z719" s="1497"/>
    </row>
    <row r="720" spans="1:26" ht="12.75" customHeight="1">
      <c r="A720" s="1497"/>
      <c r="B720" s="1497"/>
      <c r="C720" s="1497"/>
      <c r="D720" s="1497"/>
      <c r="E720" s="1497"/>
      <c r="F720" s="1497"/>
      <c r="G720" s="1497"/>
      <c r="H720" s="1497"/>
      <c r="I720" s="1497"/>
      <c r="J720" s="1497"/>
      <c r="K720" s="1497"/>
      <c r="L720" s="1497"/>
      <c r="M720" s="1497"/>
      <c r="N720" s="1497"/>
      <c r="O720" s="1497"/>
      <c r="P720" s="1497"/>
      <c r="Q720" s="1497"/>
      <c r="R720" s="1497"/>
      <c r="S720" s="1497"/>
      <c r="T720" s="1497"/>
      <c r="U720" s="1497"/>
      <c r="V720" s="1497"/>
      <c r="W720" s="1497"/>
      <c r="X720" s="1497"/>
      <c r="Y720" s="1497"/>
      <c r="Z720" s="1497"/>
    </row>
    <row r="721" spans="1:26" ht="12.75" customHeight="1">
      <c r="A721" s="1497"/>
      <c r="B721" s="1497"/>
      <c r="C721" s="1497"/>
      <c r="D721" s="1497"/>
      <c r="E721" s="1497"/>
      <c r="F721" s="1497"/>
      <c r="G721" s="1497"/>
      <c r="H721" s="1497"/>
      <c r="I721" s="1497"/>
      <c r="J721" s="1497"/>
      <c r="K721" s="1497"/>
      <c r="L721" s="1497"/>
      <c r="M721" s="1497"/>
      <c r="N721" s="1497"/>
      <c r="O721" s="1497"/>
      <c r="P721" s="1497"/>
      <c r="Q721" s="1497"/>
      <c r="R721" s="1497"/>
      <c r="S721" s="1497"/>
      <c r="T721" s="1497"/>
      <c r="U721" s="1497"/>
      <c r="V721" s="1497"/>
      <c r="W721" s="1497"/>
      <c r="X721" s="1497"/>
      <c r="Y721" s="1497"/>
      <c r="Z721" s="1497"/>
    </row>
    <row r="722" spans="1:26" ht="12.75" customHeight="1">
      <c r="A722" s="1497"/>
      <c r="B722" s="1497"/>
      <c r="C722" s="1497"/>
      <c r="D722" s="1497"/>
      <c r="E722" s="1497"/>
      <c r="F722" s="1497"/>
      <c r="G722" s="1497"/>
      <c r="H722" s="1497"/>
      <c r="I722" s="1497"/>
      <c r="J722" s="1497"/>
      <c r="K722" s="1497"/>
      <c r="L722" s="1497"/>
      <c r="M722" s="1497"/>
      <c r="N722" s="1497"/>
      <c r="O722" s="1497"/>
      <c r="P722" s="1497"/>
      <c r="Q722" s="1497"/>
      <c r="R722" s="1497"/>
      <c r="S722" s="1497"/>
      <c r="T722" s="1497"/>
      <c r="U722" s="1497"/>
      <c r="V722" s="1497"/>
      <c r="W722" s="1497"/>
      <c r="X722" s="1497"/>
      <c r="Y722" s="1497"/>
      <c r="Z722" s="1497"/>
    </row>
    <row r="723" spans="1:26" ht="12.75" customHeight="1">
      <c r="A723" s="1497"/>
      <c r="B723" s="1497"/>
      <c r="C723" s="1497"/>
      <c r="D723" s="1497"/>
      <c r="E723" s="1497"/>
      <c r="F723" s="1497"/>
      <c r="G723" s="1497"/>
      <c r="H723" s="1497"/>
      <c r="I723" s="1497"/>
      <c r="J723" s="1497"/>
      <c r="K723" s="1497"/>
      <c r="L723" s="1497"/>
      <c r="M723" s="1497"/>
      <c r="N723" s="1497"/>
      <c r="O723" s="1497"/>
      <c r="P723" s="1497"/>
      <c r="Q723" s="1497"/>
      <c r="R723" s="1497"/>
      <c r="S723" s="1497"/>
      <c r="T723" s="1497"/>
      <c r="U723" s="1497"/>
      <c r="V723" s="1497"/>
      <c r="W723" s="1497"/>
      <c r="X723" s="1497"/>
      <c r="Y723" s="1497"/>
      <c r="Z723" s="1497"/>
    </row>
    <row r="724" spans="1:26" ht="12.75" customHeight="1">
      <c r="A724" s="1497"/>
      <c r="B724" s="1497"/>
      <c r="C724" s="1497"/>
      <c r="D724" s="1497"/>
      <c r="E724" s="1497"/>
      <c r="F724" s="1497"/>
      <c r="G724" s="1497"/>
      <c r="H724" s="1497"/>
      <c r="I724" s="1497"/>
      <c r="J724" s="1497"/>
      <c r="K724" s="1497"/>
      <c r="L724" s="1497"/>
      <c r="M724" s="1497"/>
      <c r="N724" s="1497"/>
      <c r="O724" s="1497"/>
      <c r="P724" s="1497"/>
      <c r="Q724" s="1497"/>
      <c r="R724" s="1497"/>
      <c r="S724" s="1497"/>
      <c r="T724" s="1497"/>
      <c r="U724" s="1497"/>
      <c r="V724" s="1497"/>
      <c r="W724" s="1497"/>
      <c r="X724" s="1497"/>
      <c r="Y724" s="1497"/>
      <c r="Z724" s="1497"/>
    </row>
    <row r="725" spans="1:26" ht="12.75" customHeight="1">
      <c r="A725" s="1497"/>
      <c r="B725" s="1497"/>
      <c r="C725" s="1497"/>
      <c r="D725" s="1497"/>
      <c r="E725" s="1497"/>
      <c r="F725" s="1497"/>
      <c r="G725" s="1497"/>
      <c r="H725" s="1497"/>
      <c r="I725" s="1497"/>
      <c r="J725" s="1497"/>
      <c r="K725" s="1497"/>
      <c r="L725" s="1497"/>
      <c r="M725" s="1497"/>
      <c r="N725" s="1497"/>
      <c r="O725" s="1497"/>
      <c r="P725" s="1497"/>
      <c r="Q725" s="1497"/>
      <c r="R725" s="1497"/>
      <c r="S725" s="1497"/>
      <c r="T725" s="1497"/>
      <c r="U725" s="1497"/>
      <c r="V725" s="1497"/>
      <c r="W725" s="1497"/>
      <c r="X725" s="1497"/>
      <c r="Y725" s="1497"/>
      <c r="Z725" s="1497"/>
    </row>
    <row r="726" spans="1:26" ht="12.75" customHeight="1">
      <c r="A726" s="1497"/>
      <c r="B726" s="1497"/>
      <c r="C726" s="1497"/>
      <c r="D726" s="1497"/>
      <c r="E726" s="1497"/>
      <c r="F726" s="1497"/>
      <c r="G726" s="1497"/>
      <c r="H726" s="1497"/>
      <c r="I726" s="1497"/>
      <c r="J726" s="1497"/>
      <c r="K726" s="1497"/>
      <c r="L726" s="1497"/>
      <c r="M726" s="1497"/>
      <c r="N726" s="1497"/>
      <c r="O726" s="1497"/>
      <c r="P726" s="1497"/>
      <c r="Q726" s="1497"/>
      <c r="R726" s="1497"/>
      <c r="S726" s="1497"/>
      <c r="T726" s="1497"/>
      <c r="U726" s="1497"/>
      <c r="V726" s="1497"/>
      <c r="W726" s="1497"/>
      <c r="X726" s="1497"/>
      <c r="Y726" s="1497"/>
      <c r="Z726" s="1497"/>
    </row>
    <row r="727" spans="1:26" ht="12.75" customHeight="1">
      <c r="A727" s="1497"/>
      <c r="B727" s="1497"/>
      <c r="C727" s="1497"/>
      <c r="D727" s="1497"/>
      <c r="E727" s="1497"/>
      <c r="F727" s="1497"/>
      <c r="G727" s="1497"/>
      <c r="H727" s="1497"/>
      <c r="I727" s="1497"/>
      <c r="J727" s="1497"/>
      <c r="K727" s="1497"/>
      <c r="L727" s="1497"/>
      <c r="M727" s="1497"/>
      <c r="N727" s="1497"/>
      <c r="O727" s="1497"/>
      <c r="P727" s="1497"/>
      <c r="Q727" s="1497"/>
      <c r="R727" s="1497"/>
      <c r="S727" s="1497"/>
      <c r="T727" s="1497"/>
      <c r="U727" s="1497"/>
      <c r="V727" s="1497"/>
      <c r="W727" s="1497"/>
      <c r="X727" s="1497"/>
      <c r="Y727" s="1497"/>
      <c r="Z727" s="1497"/>
    </row>
    <row r="728" spans="1:26" ht="12.75" customHeight="1">
      <c r="A728" s="1497"/>
      <c r="B728" s="1497"/>
      <c r="C728" s="1497"/>
      <c r="D728" s="1497"/>
      <c r="E728" s="1497"/>
      <c r="F728" s="1497"/>
      <c r="G728" s="1497"/>
      <c r="H728" s="1497"/>
      <c r="I728" s="1497"/>
      <c r="J728" s="1497"/>
      <c r="K728" s="1497"/>
      <c r="L728" s="1497"/>
      <c r="M728" s="1497"/>
      <c r="N728" s="1497"/>
      <c r="O728" s="1497"/>
      <c r="P728" s="1497"/>
      <c r="Q728" s="1497"/>
      <c r="R728" s="1497"/>
      <c r="S728" s="1497"/>
      <c r="T728" s="1497"/>
      <c r="U728" s="1497"/>
      <c r="V728" s="1497"/>
      <c r="W728" s="1497"/>
      <c r="X728" s="1497"/>
      <c r="Y728" s="1497"/>
      <c r="Z728" s="1497"/>
    </row>
    <row r="729" spans="1:26" ht="12.75" customHeight="1">
      <c r="A729" s="1497"/>
      <c r="B729" s="1497"/>
      <c r="C729" s="1497"/>
      <c r="D729" s="1497"/>
      <c r="E729" s="1497"/>
      <c r="F729" s="1497"/>
      <c r="G729" s="1497"/>
      <c r="H729" s="1497"/>
      <c r="I729" s="1497"/>
      <c r="J729" s="1497"/>
      <c r="K729" s="1497"/>
      <c r="L729" s="1497"/>
      <c r="M729" s="1497"/>
      <c r="N729" s="1497"/>
      <c r="O729" s="1497"/>
      <c r="P729" s="1497"/>
      <c r="Q729" s="1497"/>
      <c r="R729" s="1497"/>
      <c r="S729" s="1497"/>
      <c r="T729" s="1497"/>
      <c r="U729" s="1497"/>
      <c r="V729" s="1497"/>
      <c r="W729" s="1497"/>
      <c r="X729" s="1497"/>
      <c r="Y729" s="1497"/>
      <c r="Z729" s="1497"/>
    </row>
    <row r="730" spans="1:26" ht="12.75" customHeight="1">
      <c r="A730" s="1497"/>
      <c r="B730" s="1497"/>
      <c r="C730" s="1497"/>
      <c r="D730" s="1497"/>
      <c r="E730" s="1497"/>
      <c r="F730" s="1497"/>
      <c r="G730" s="1497"/>
      <c r="H730" s="1497"/>
      <c r="I730" s="1497"/>
      <c r="J730" s="1497"/>
      <c r="K730" s="1497"/>
      <c r="L730" s="1497"/>
      <c r="M730" s="1497"/>
      <c r="N730" s="1497"/>
      <c r="O730" s="1497"/>
      <c r="P730" s="1497"/>
      <c r="Q730" s="1497"/>
      <c r="R730" s="1497"/>
      <c r="S730" s="1497"/>
      <c r="T730" s="1497"/>
      <c r="U730" s="1497"/>
      <c r="V730" s="1497"/>
      <c r="W730" s="1497"/>
      <c r="X730" s="1497"/>
      <c r="Y730" s="1497"/>
      <c r="Z730" s="1497"/>
    </row>
    <row r="731" spans="1:26" ht="12.75" customHeight="1">
      <c r="A731" s="1497"/>
      <c r="B731" s="1497"/>
      <c r="C731" s="1497"/>
      <c r="D731" s="1497"/>
      <c r="E731" s="1497"/>
      <c r="F731" s="1497"/>
      <c r="G731" s="1497"/>
      <c r="H731" s="1497"/>
      <c r="I731" s="1497"/>
      <c r="J731" s="1497"/>
      <c r="K731" s="1497"/>
      <c r="L731" s="1497"/>
      <c r="M731" s="1497"/>
      <c r="N731" s="1497"/>
      <c r="O731" s="1497"/>
      <c r="P731" s="1497"/>
      <c r="Q731" s="1497"/>
      <c r="R731" s="1497"/>
      <c r="S731" s="1497"/>
      <c r="T731" s="1497"/>
      <c r="U731" s="1497"/>
      <c r="V731" s="1497"/>
      <c r="W731" s="1497"/>
      <c r="X731" s="1497"/>
      <c r="Y731" s="1497"/>
      <c r="Z731" s="1497"/>
    </row>
    <row r="732" spans="1:26" ht="12.75" customHeight="1">
      <c r="A732" s="1497"/>
      <c r="B732" s="1497"/>
      <c r="C732" s="1497"/>
      <c r="D732" s="1497"/>
      <c r="E732" s="1497"/>
      <c r="F732" s="1497"/>
      <c r="G732" s="1497"/>
      <c r="H732" s="1497"/>
      <c r="I732" s="1497"/>
      <c r="J732" s="1497"/>
      <c r="K732" s="1497"/>
      <c r="L732" s="1497"/>
      <c r="M732" s="1497"/>
      <c r="N732" s="1497"/>
      <c r="O732" s="1497"/>
      <c r="P732" s="1497"/>
      <c r="Q732" s="1497"/>
      <c r="R732" s="1497"/>
      <c r="S732" s="1497"/>
      <c r="T732" s="1497"/>
      <c r="U732" s="1497"/>
      <c r="V732" s="1497"/>
      <c r="W732" s="1497"/>
      <c r="X732" s="1497"/>
      <c r="Y732" s="1497"/>
      <c r="Z732" s="1497"/>
    </row>
    <row r="733" spans="1:26" ht="12.75" customHeight="1">
      <c r="A733" s="1497"/>
      <c r="B733" s="1497"/>
      <c r="C733" s="1497"/>
      <c r="D733" s="1497"/>
      <c r="E733" s="1497"/>
      <c r="F733" s="1497"/>
      <c r="G733" s="1497"/>
      <c r="H733" s="1497"/>
      <c r="I733" s="1497"/>
      <c r="J733" s="1497"/>
      <c r="K733" s="1497"/>
      <c r="L733" s="1497"/>
      <c r="M733" s="1497"/>
      <c r="N733" s="1497"/>
      <c r="O733" s="1497"/>
      <c r="P733" s="1497"/>
      <c r="Q733" s="1497"/>
      <c r="R733" s="1497"/>
      <c r="S733" s="1497"/>
      <c r="T733" s="1497"/>
      <c r="U733" s="1497"/>
      <c r="V733" s="1497"/>
      <c r="W733" s="1497"/>
      <c r="X733" s="1497"/>
      <c r="Y733" s="1497"/>
      <c r="Z733" s="1497"/>
    </row>
    <row r="734" spans="1:26" ht="12.75" customHeight="1">
      <c r="A734" s="1497"/>
      <c r="B734" s="1497"/>
      <c r="C734" s="1497"/>
      <c r="D734" s="1497"/>
      <c r="E734" s="1497"/>
      <c r="F734" s="1497"/>
      <c r="G734" s="1497"/>
      <c r="H734" s="1497"/>
      <c r="I734" s="1497"/>
      <c r="J734" s="1497"/>
      <c r="K734" s="1497"/>
      <c r="L734" s="1497"/>
      <c r="M734" s="1497"/>
      <c r="N734" s="1497"/>
      <c r="O734" s="1497"/>
      <c r="P734" s="1497"/>
      <c r="Q734" s="1497"/>
      <c r="R734" s="1497"/>
      <c r="S734" s="1497"/>
      <c r="T734" s="1497"/>
      <c r="U734" s="1497"/>
      <c r="V734" s="1497"/>
      <c r="W734" s="1497"/>
      <c r="X734" s="1497"/>
      <c r="Y734" s="1497"/>
      <c r="Z734" s="1497"/>
    </row>
    <row r="735" spans="1:26" ht="12.75" customHeight="1">
      <c r="A735" s="1497"/>
      <c r="B735" s="1497"/>
      <c r="C735" s="1497"/>
      <c r="D735" s="1497"/>
      <c r="E735" s="1497"/>
      <c r="F735" s="1497"/>
      <c r="G735" s="1497"/>
      <c r="H735" s="1497"/>
      <c r="I735" s="1497"/>
      <c r="J735" s="1497"/>
      <c r="K735" s="1497"/>
      <c r="L735" s="1497"/>
      <c r="M735" s="1497"/>
      <c r="N735" s="1497"/>
      <c r="O735" s="1497"/>
      <c r="P735" s="1497"/>
      <c r="Q735" s="1497"/>
      <c r="R735" s="1497"/>
      <c r="S735" s="1497"/>
      <c r="T735" s="1497"/>
      <c r="U735" s="1497"/>
      <c r="V735" s="1497"/>
      <c r="W735" s="1497"/>
      <c r="X735" s="1497"/>
      <c r="Y735" s="1497"/>
      <c r="Z735" s="1497"/>
    </row>
    <row r="736" spans="1:26" ht="12.75" customHeight="1">
      <c r="A736" s="1497"/>
      <c r="B736" s="1497"/>
      <c r="C736" s="1497"/>
      <c r="D736" s="1497"/>
      <c r="E736" s="1497"/>
      <c r="F736" s="1497"/>
      <c r="G736" s="1497"/>
      <c r="H736" s="1497"/>
      <c r="I736" s="1497"/>
      <c r="J736" s="1497"/>
      <c r="K736" s="1497"/>
      <c r="L736" s="1497"/>
      <c r="M736" s="1497"/>
      <c r="N736" s="1497"/>
      <c r="O736" s="1497"/>
      <c r="P736" s="1497"/>
      <c r="Q736" s="1497"/>
      <c r="R736" s="1497"/>
      <c r="S736" s="1497"/>
      <c r="T736" s="1497"/>
      <c r="U736" s="1497"/>
      <c r="V736" s="1497"/>
      <c r="W736" s="1497"/>
      <c r="X736" s="1497"/>
      <c r="Y736" s="1497"/>
      <c r="Z736" s="1497"/>
    </row>
    <row r="737" spans="1:26" ht="12.75" customHeight="1">
      <c r="A737" s="1497"/>
      <c r="B737" s="1497"/>
      <c r="C737" s="1497"/>
      <c r="D737" s="1497"/>
      <c r="E737" s="1497"/>
      <c r="F737" s="1497"/>
      <c r="G737" s="1497"/>
      <c r="H737" s="1497"/>
      <c r="I737" s="1497"/>
      <c r="J737" s="1497"/>
      <c r="K737" s="1497"/>
      <c r="L737" s="1497"/>
      <c r="M737" s="1497"/>
      <c r="N737" s="1497"/>
      <c r="O737" s="1497"/>
      <c r="P737" s="1497"/>
      <c r="Q737" s="1497"/>
      <c r="R737" s="1497"/>
      <c r="S737" s="1497"/>
      <c r="T737" s="1497"/>
      <c r="U737" s="1497"/>
      <c r="V737" s="1497"/>
      <c r="W737" s="1497"/>
      <c r="X737" s="1497"/>
      <c r="Y737" s="1497"/>
      <c r="Z737" s="1497"/>
    </row>
    <row r="738" spans="1:26" ht="12.75" customHeight="1">
      <c r="A738" s="1497"/>
      <c r="B738" s="1497"/>
      <c r="C738" s="1497"/>
      <c r="D738" s="1497"/>
      <c r="E738" s="1497"/>
      <c r="F738" s="1497"/>
      <c r="G738" s="1497"/>
      <c r="H738" s="1497"/>
      <c r="I738" s="1497"/>
      <c r="J738" s="1497"/>
      <c r="K738" s="1497"/>
      <c r="L738" s="1497"/>
      <c r="M738" s="1497"/>
      <c r="N738" s="1497"/>
      <c r="O738" s="1497"/>
      <c r="P738" s="1497"/>
      <c r="Q738" s="1497"/>
      <c r="R738" s="1497"/>
      <c r="S738" s="1497"/>
      <c r="T738" s="1497"/>
      <c r="U738" s="1497"/>
      <c r="V738" s="1497"/>
      <c r="W738" s="1497"/>
      <c r="X738" s="1497"/>
      <c r="Y738" s="1497"/>
      <c r="Z738" s="1497"/>
    </row>
    <row r="739" spans="1:26" ht="12.75" customHeight="1">
      <c r="A739" s="1497"/>
      <c r="B739" s="1497"/>
      <c r="C739" s="1497"/>
      <c r="D739" s="1497"/>
      <c r="E739" s="1497"/>
      <c r="F739" s="1497"/>
      <c r="G739" s="1497"/>
      <c r="H739" s="1497"/>
      <c r="I739" s="1497"/>
      <c r="J739" s="1497"/>
      <c r="K739" s="1497"/>
      <c r="L739" s="1497"/>
      <c r="M739" s="1497"/>
      <c r="N739" s="1497"/>
      <c r="O739" s="1497"/>
      <c r="P739" s="1497"/>
      <c r="Q739" s="1497"/>
      <c r="R739" s="1497"/>
      <c r="S739" s="1497"/>
      <c r="T739" s="1497"/>
      <c r="U739" s="1497"/>
      <c r="V739" s="1497"/>
      <c r="W739" s="1497"/>
      <c r="X739" s="1497"/>
      <c r="Y739" s="1497"/>
      <c r="Z739" s="1497"/>
    </row>
    <row r="740" spans="1:26" ht="12.75" customHeight="1">
      <c r="A740" s="1497"/>
      <c r="B740" s="1497"/>
      <c r="C740" s="1497"/>
      <c r="D740" s="1497"/>
      <c r="E740" s="1497"/>
      <c r="F740" s="1497"/>
      <c r="G740" s="1497"/>
      <c r="H740" s="1497"/>
      <c r="I740" s="1497"/>
      <c r="J740" s="1497"/>
      <c r="K740" s="1497"/>
      <c r="L740" s="1497"/>
      <c r="M740" s="1497"/>
      <c r="N740" s="1497"/>
      <c r="O740" s="1497"/>
      <c r="P740" s="1497"/>
      <c r="Q740" s="1497"/>
      <c r="R740" s="1497"/>
      <c r="S740" s="1497"/>
      <c r="T740" s="1497"/>
      <c r="U740" s="1497"/>
      <c r="V740" s="1497"/>
      <c r="W740" s="1497"/>
      <c r="X740" s="1497"/>
      <c r="Y740" s="1497"/>
      <c r="Z740" s="1497"/>
    </row>
    <row r="741" spans="1:26" ht="12.75" customHeight="1">
      <c r="A741" s="1497"/>
      <c r="B741" s="1497"/>
      <c r="C741" s="1497"/>
      <c r="D741" s="1497"/>
      <c r="E741" s="1497"/>
      <c r="F741" s="1497"/>
      <c r="G741" s="1497"/>
      <c r="H741" s="1497"/>
      <c r="I741" s="1497"/>
      <c r="J741" s="1497"/>
      <c r="K741" s="1497"/>
      <c r="L741" s="1497"/>
      <c r="M741" s="1497"/>
      <c r="N741" s="1497"/>
      <c r="O741" s="1497"/>
      <c r="P741" s="1497"/>
      <c r="Q741" s="1497"/>
      <c r="R741" s="1497"/>
      <c r="S741" s="1497"/>
      <c r="T741" s="1497"/>
      <c r="U741" s="1497"/>
      <c r="V741" s="1497"/>
      <c r="W741" s="1497"/>
      <c r="X741" s="1497"/>
      <c r="Y741" s="1497"/>
      <c r="Z741" s="1497"/>
    </row>
    <row r="742" spans="1:26" ht="12.75" customHeight="1">
      <c r="A742" s="1497"/>
      <c r="B742" s="1497"/>
      <c r="C742" s="1497"/>
      <c r="D742" s="1497"/>
      <c r="E742" s="1497"/>
      <c r="F742" s="1497"/>
      <c r="G742" s="1497"/>
      <c r="H742" s="1497"/>
      <c r="I742" s="1497"/>
      <c r="J742" s="1497"/>
      <c r="K742" s="1497"/>
      <c r="L742" s="1497"/>
      <c r="M742" s="1497"/>
      <c r="N742" s="1497"/>
      <c r="O742" s="1497"/>
      <c r="P742" s="1497"/>
      <c r="Q742" s="1497"/>
      <c r="R742" s="1497"/>
      <c r="S742" s="1497"/>
      <c r="T742" s="1497"/>
      <c r="U742" s="1497"/>
      <c r="V742" s="1497"/>
      <c r="W742" s="1497"/>
      <c r="X742" s="1497"/>
      <c r="Y742" s="1497"/>
      <c r="Z742" s="1497"/>
    </row>
    <row r="743" spans="1:26" ht="12.75" customHeight="1">
      <c r="A743" s="1497"/>
      <c r="B743" s="1497"/>
      <c r="C743" s="1497"/>
      <c r="D743" s="1497"/>
      <c r="E743" s="1497"/>
      <c r="F743" s="1497"/>
      <c r="G743" s="1497"/>
      <c r="H743" s="1497"/>
      <c r="I743" s="1497"/>
      <c r="J743" s="1497"/>
      <c r="K743" s="1497"/>
      <c r="L743" s="1497"/>
      <c r="M743" s="1497"/>
      <c r="N743" s="1497"/>
      <c r="O743" s="1497"/>
      <c r="P743" s="1497"/>
      <c r="Q743" s="1497"/>
      <c r="R743" s="1497"/>
      <c r="S743" s="1497"/>
      <c r="T743" s="1497"/>
      <c r="U743" s="1497"/>
      <c r="V743" s="1497"/>
      <c r="W743" s="1497"/>
      <c r="X743" s="1497"/>
      <c r="Y743" s="1497"/>
      <c r="Z743" s="1497"/>
    </row>
    <row r="744" spans="1:26" ht="12.75" customHeight="1">
      <c r="A744" s="1497"/>
      <c r="B744" s="1497"/>
      <c r="C744" s="1497"/>
      <c r="D744" s="1497"/>
      <c r="E744" s="1497"/>
      <c r="F744" s="1497"/>
      <c r="G744" s="1497"/>
      <c r="H744" s="1497"/>
      <c r="I744" s="1497"/>
      <c r="J744" s="1497"/>
      <c r="K744" s="1497"/>
      <c r="L744" s="1497"/>
      <c r="M744" s="1497"/>
      <c r="N744" s="1497"/>
      <c r="O744" s="1497"/>
      <c r="P744" s="1497"/>
      <c r="Q744" s="1497"/>
      <c r="R744" s="1497"/>
      <c r="S744" s="1497"/>
      <c r="T744" s="1497"/>
      <c r="U744" s="1497"/>
      <c r="V744" s="1497"/>
      <c r="W744" s="1497"/>
      <c r="X744" s="1497"/>
      <c r="Y744" s="1497"/>
      <c r="Z744" s="1497"/>
    </row>
    <row r="745" spans="1:26" ht="12.75" customHeight="1">
      <c r="A745" s="1497"/>
      <c r="B745" s="1497"/>
      <c r="C745" s="1497"/>
      <c r="D745" s="1497"/>
      <c r="E745" s="1497"/>
      <c r="F745" s="1497"/>
      <c r="G745" s="1497"/>
      <c r="H745" s="1497"/>
      <c r="I745" s="1497"/>
      <c r="J745" s="1497"/>
      <c r="K745" s="1497"/>
      <c r="L745" s="1497"/>
      <c r="M745" s="1497"/>
      <c r="N745" s="1497"/>
      <c r="O745" s="1497"/>
      <c r="P745" s="1497"/>
      <c r="Q745" s="1497"/>
      <c r="R745" s="1497"/>
      <c r="S745" s="1497"/>
      <c r="T745" s="1497"/>
      <c r="U745" s="1497"/>
      <c r="V745" s="1497"/>
      <c r="W745" s="1497"/>
      <c r="X745" s="1497"/>
      <c r="Y745" s="1497"/>
      <c r="Z745" s="1497"/>
    </row>
    <row r="746" spans="1:26" ht="12.75" customHeight="1">
      <c r="A746" s="1497"/>
      <c r="B746" s="1497"/>
      <c r="C746" s="1497"/>
      <c r="D746" s="1497"/>
      <c r="E746" s="1497"/>
      <c r="F746" s="1497"/>
      <c r="G746" s="1497"/>
      <c r="H746" s="1497"/>
      <c r="I746" s="1497"/>
      <c r="J746" s="1497"/>
      <c r="K746" s="1497"/>
      <c r="L746" s="1497"/>
      <c r="M746" s="1497"/>
      <c r="N746" s="1497"/>
      <c r="O746" s="1497"/>
      <c r="P746" s="1497"/>
      <c r="Q746" s="1497"/>
      <c r="R746" s="1497"/>
      <c r="S746" s="1497"/>
      <c r="T746" s="1497"/>
      <c r="U746" s="1497"/>
      <c r="V746" s="1497"/>
      <c r="W746" s="1497"/>
      <c r="X746" s="1497"/>
      <c r="Y746" s="1497"/>
      <c r="Z746" s="1497"/>
    </row>
    <row r="747" spans="1:26" ht="12.75" customHeight="1">
      <c r="A747" s="1497"/>
      <c r="B747" s="1497"/>
      <c r="C747" s="1497"/>
      <c r="D747" s="1497"/>
      <c r="E747" s="1497"/>
      <c r="F747" s="1497"/>
      <c r="G747" s="1497"/>
      <c r="H747" s="1497"/>
      <c r="I747" s="1497"/>
      <c r="J747" s="1497"/>
      <c r="K747" s="1497"/>
      <c r="L747" s="1497"/>
      <c r="M747" s="1497"/>
      <c r="N747" s="1497"/>
      <c r="O747" s="1497"/>
      <c r="P747" s="1497"/>
      <c r="Q747" s="1497"/>
      <c r="R747" s="1497"/>
      <c r="S747" s="1497"/>
      <c r="T747" s="1497"/>
      <c r="U747" s="1497"/>
      <c r="V747" s="1497"/>
      <c r="W747" s="1497"/>
      <c r="X747" s="1497"/>
      <c r="Y747" s="1497"/>
      <c r="Z747" s="1497"/>
    </row>
    <row r="748" spans="1:26" ht="12.75" customHeight="1">
      <c r="A748" s="1497"/>
      <c r="B748" s="1497"/>
      <c r="C748" s="1497"/>
      <c r="D748" s="1497"/>
      <c r="E748" s="1497"/>
      <c r="F748" s="1497"/>
      <c r="G748" s="1497"/>
      <c r="H748" s="1497"/>
      <c r="I748" s="1497"/>
      <c r="J748" s="1497"/>
      <c r="K748" s="1497"/>
      <c r="L748" s="1497"/>
      <c r="M748" s="1497"/>
      <c r="N748" s="1497"/>
      <c r="O748" s="1497"/>
      <c r="P748" s="1497"/>
      <c r="Q748" s="1497"/>
      <c r="R748" s="1497"/>
      <c r="S748" s="1497"/>
      <c r="T748" s="1497"/>
      <c r="U748" s="1497"/>
      <c r="V748" s="1497"/>
      <c r="W748" s="1497"/>
      <c r="X748" s="1497"/>
      <c r="Y748" s="1497"/>
      <c r="Z748" s="1497"/>
    </row>
    <row r="749" spans="1:26" ht="12.75" customHeight="1">
      <c r="A749" s="1497"/>
      <c r="B749" s="1497"/>
      <c r="C749" s="1497"/>
      <c r="D749" s="1497"/>
      <c r="E749" s="1497"/>
      <c r="F749" s="1497"/>
      <c r="G749" s="1497"/>
      <c r="H749" s="1497"/>
      <c r="I749" s="1497"/>
      <c r="J749" s="1497"/>
      <c r="K749" s="1497"/>
      <c r="L749" s="1497"/>
      <c r="M749" s="1497"/>
      <c r="N749" s="1497"/>
      <c r="O749" s="1497"/>
      <c r="P749" s="1497"/>
      <c r="Q749" s="1497"/>
      <c r="R749" s="1497"/>
      <c r="S749" s="1497"/>
      <c r="T749" s="1497"/>
      <c r="U749" s="1497"/>
      <c r="V749" s="1497"/>
      <c r="W749" s="1497"/>
      <c r="X749" s="1497"/>
      <c r="Y749" s="1497"/>
      <c r="Z749" s="1497"/>
    </row>
    <row r="750" spans="1:26" ht="12.75" customHeight="1">
      <c r="A750" s="1497"/>
      <c r="B750" s="1497"/>
      <c r="C750" s="1497"/>
      <c r="D750" s="1497"/>
      <c r="E750" s="1497"/>
      <c r="F750" s="1497"/>
      <c r="G750" s="1497"/>
      <c r="H750" s="1497"/>
      <c r="I750" s="1497"/>
      <c r="J750" s="1497"/>
      <c r="K750" s="1497"/>
      <c r="L750" s="1497"/>
      <c r="M750" s="1497"/>
      <c r="N750" s="1497"/>
      <c r="O750" s="1497"/>
      <c r="P750" s="1497"/>
      <c r="Q750" s="1497"/>
      <c r="R750" s="1497"/>
      <c r="S750" s="1497"/>
      <c r="T750" s="1497"/>
      <c r="U750" s="1497"/>
      <c r="V750" s="1497"/>
      <c r="W750" s="1497"/>
      <c r="X750" s="1497"/>
      <c r="Y750" s="1497"/>
      <c r="Z750" s="1497"/>
    </row>
    <row r="751" spans="1:26" ht="12.75" customHeight="1">
      <c r="A751" s="1497"/>
      <c r="B751" s="1497"/>
      <c r="C751" s="1497"/>
      <c r="D751" s="1497"/>
      <c r="E751" s="1497"/>
      <c r="F751" s="1497"/>
      <c r="G751" s="1497"/>
      <c r="H751" s="1497"/>
      <c r="I751" s="1497"/>
      <c r="J751" s="1497"/>
      <c r="K751" s="1497"/>
      <c r="L751" s="1497"/>
      <c r="M751" s="1497"/>
      <c r="N751" s="1497"/>
      <c r="O751" s="1497"/>
      <c r="P751" s="1497"/>
      <c r="Q751" s="1497"/>
      <c r="R751" s="1497"/>
      <c r="S751" s="1497"/>
      <c r="T751" s="1497"/>
      <c r="U751" s="1497"/>
      <c r="V751" s="1497"/>
      <c r="W751" s="1497"/>
      <c r="X751" s="1497"/>
      <c r="Y751" s="1497"/>
      <c r="Z751" s="1497"/>
    </row>
    <row r="752" spans="1:26" ht="12.75" customHeight="1">
      <c r="A752" s="1497"/>
      <c r="B752" s="1497"/>
      <c r="C752" s="1497"/>
      <c r="D752" s="1497"/>
      <c r="E752" s="1497"/>
      <c r="F752" s="1497"/>
      <c r="G752" s="1497"/>
      <c r="H752" s="1497"/>
      <c r="I752" s="1497"/>
      <c r="J752" s="1497"/>
      <c r="K752" s="1497"/>
      <c r="L752" s="1497"/>
      <c r="M752" s="1497"/>
      <c r="N752" s="1497"/>
      <c r="O752" s="1497"/>
      <c r="P752" s="1497"/>
      <c r="Q752" s="1497"/>
      <c r="R752" s="1497"/>
      <c r="S752" s="1497"/>
      <c r="T752" s="1497"/>
      <c r="U752" s="1497"/>
      <c r="V752" s="1497"/>
      <c r="W752" s="1497"/>
      <c r="X752" s="1497"/>
      <c r="Y752" s="1497"/>
      <c r="Z752" s="1497"/>
    </row>
    <row r="753" spans="1:26" ht="12.75" customHeight="1">
      <c r="A753" s="1497"/>
      <c r="B753" s="1497"/>
      <c r="C753" s="1497"/>
      <c r="D753" s="1497"/>
      <c r="E753" s="1497"/>
      <c r="F753" s="1497"/>
      <c r="G753" s="1497"/>
      <c r="H753" s="1497"/>
      <c r="I753" s="1497"/>
      <c r="J753" s="1497"/>
      <c r="K753" s="1497"/>
      <c r="L753" s="1497"/>
      <c r="M753" s="1497"/>
      <c r="N753" s="1497"/>
      <c r="O753" s="1497"/>
      <c r="P753" s="1497"/>
      <c r="Q753" s="1497"/>
      <c r="R753" s="1497"/>
      <c r="S753" s="1497"/>
      <c r="T753" s="1497"/>
      <c r="U753" s="1497"/>
      <c r="V753" s="1497"/>
      <c r="W753" s="1497"/>
      <c r="X753" s="1497"/>
      <c r="Y753" s="1497"/>
      <c r="Z753" s="1497"/>
    </row>
    <row r="754" spans="1:26" ht="12.75" customHeight="1">
      <c r="A754" s="1497"/>
      <c r="B754" s="1497"/>
      <c r="C754" s="1497"/>
      <c r="D754" s="1497"/>
      <c r="E754" s="1497"/>
      <c r="F754" s="1497"/>
      <c r="G754" s="1497"/>
      <c r="H754" s="1497"/>
      <c r="I754" s="1497"/>
      <c r="J754" s="1497"/>
      <c r="K754" s="1497"/>
      <c r="L754" s="1497"/>
      <c r="M754" s="1497"/>
      <c r="N754" s="1497"/>
      <c r="O754" s="1497"/>
      <c r="P754" s="1497"/>
      <c r="Q754" s="1497"/>
      <c r="R754" s="1497"/>
      <c r="S754" s="1497"/>
      <c r="T754" s="1497"/>
      <c r="U754" s="1497"/>
      <c r="V754" s="1497"/>
      <c r="W754" s="1497"/>
      <c r="X754" s="1497"/>
      <c r="Y754" s="1497"/>
      <c r="Z754" s="1497"/>
    </row>
    <row r="755" spans="1:26" ht="12.75" customHeight="1">
      <c r="A755" s="1497"/>
      <c r="B755" s="1497"/>
      <c r="C755" s="1497"/>
      <c r="D755" s="1497"/>
      <c r="E755" s="1497"/>
      <c r="F755" s="1497"/>
      <c r="G755" s="1497"/>
      <c r="H755" s="1497"/>
      <c r="I755" s="1497"/>
      <c r="J755" s="1497"/>
      <c r="K755" s="1497"/>
      <c r="L755" s="1497"/>
      <c r="M755" s="1497"/>
      <c r="N755" s="1497"/>
      <c r="O755" s="1497"/>
      <c r="P755" s="1497"/>
      <c r="Q755" s="1497"/>
      <c r="R755" s="1497"/>
      <c r="S755" s="1497"/>
      <c r="T755" s="1497"/>
      <c r="U755" s="1497"/>
      <c r="V755" s="1497"/>
      <c r="W755" s="1497"/>
      <c r="X755" s="1497"/>
      <c r="Y755" s="1497"/>
      <c r="Z755" s="1497"/>
    </row>
    <row r="756" spans="1:26" ht="12.75" customHeight="1">
      <c r="A756" s="1497"/>
      <c r="B756" s="1497"/>
      <c r="C756" s="1497"/>
      <c r="D756" s="1497"/>
      <c r="E756" s="1497"/>
      <c r="F756" s="1497"/>
      <c r="G756" s="1497"/>
      <c r="H756" s="1497"/>
      <c r="I756" s="1497"/>
      <c r="J756" s="1497"/>
      <c r="K756" s="1497"/>
      <c r="L756" s="1497"/>
      <c r="M756" s="1497"/>
      <c r="N756" s="1497"/>
      <c r="O756" s="1497"/>
      <c r="P756" s="1497"/>
      <c r="Q756" s="1497"/>
      <c r="R756" s="1497"/>
      <c r="S756" s="1497"/>
      <c r="T756" s="1497"/>
      <c r="U756" s="1497"/>
      <c r="V756" s="1497"/>
      <c r="W756" s="1497"/>
      <c r="X756" s="1497"/>
      <c r="Y756" s="1497"/>
      <c r="Z756" s="1497"/>
    </row>
    <row r="757" spans="1:26" ht="12.75" customHeight="1">
      <c r="A757" s="1497"/>
      <c r="B757" s="1497"/>
      <c r="C757" s="1497"/>
      <c r="D757" s="1497"/>
      <c r="E757" s="1497"/>
      <c r="F757" s="1497"/>
      <c r="G757" s="1497"/>
      <c r="H757" s="1497"/>
      <c r="I757" s="1497"/>
      <c r="J757" s="1497"/>
      <c r="K757" s="1497"/>
      <c r="L757" s="1497"/>
      <c r="M757" s="1497"/>
      <c r="N757" s="1497"/>
      <c r="O757" s="1497"/>
      <c r="P757" s="1497"/>
      <c r="Q757" s="1497"/>
      <c r="R757" s="1497"/>
      <c r="S757" s="1497"/>
      <c r="T757" s="1497"/>
      <c r="U757" s="1497"/>
      <c r="V757" s="1497"/>
      <c r="W757" s="1497"/>
      <c r="X757" s="1497"/>
      <c r="Y757" s="1497"/>
      <c r="Z757" s="1497"/>
    </row>
    <row r="758" spans="1:26" ht="12.75" customHeight="1">
      <c r="A758" s="1497"/>
      <c r="B758" s="1497"/>
      <c r="C758" s="1497"/>
      <c r="D758" s="1497"/>
      <c r="E758" s="1497"/>
      <c r="F758" s="1497"/>
      <c r="G758" s="1497"/>
      <c r="H758" s="1497"/>
      <c r="I758" s="1497"/>
      <c r="J758" s="1497"/>
      <c r="K758" s="1497"/>
      <c r="L758" s="1497"/>
      <c r="M758" s="1497"/>
      <c r="N758" s="1497"/>
      <c r="O758" s="1497"/>
      <c r="P758" s="1497"/>
      <c r="Q758" s="1497"/>
      <c r="R758" s="1497"/>
      <c r="S758" s="1497"/>
      <c r="T758" s="1497"/>
      <c r="U758" s="1497"/>
      <c r="V758" s="1497"/>
      <c r="W758" s="1497"/>
      <c r="X758" s="1497"/>
      <c r="Y758" s="1497"/>
      <c r="Z758" s="1497"/>
    </row>
    <row r="759" spans="1:26" ht="12.75" customHeight="1">
      <c r="A759" s="1497"/>
      <c r="B759" s="1497"/>
      <c r="C759" s="1497"/>
      <c r="D759" s="1497"/>
      <c r="E759" s="1497"/>
      <c r="F759" s="1497"/>
      <c r="G759" s="1497"/>
      <c r="H759" s="1497"/>
      <c r="I759" s="1497"/>
      <c r="J759" s="1497"/>
      <c r="K759" s="1497"/>
      <c r="L759" s="1497"/>
      <c r="M759" s="1497"/>
      <c r="N759" s="1497"/>
      <c r="O759" s="1497"/>
      <c r="P759" s="1497"/>
      <c r="Q759" s="1497"/>
      <c r="R759" s="1497"/>
      <c r="S759" s="1497"/>
      <c r="T759" s="1497"/>
      <c r="U759" s="1497"/>
      <c r="V759" s="1497"/>
      <c r="W759" s="1497"/>
      <c r="X759" s="1497"/>
      <c r="Y759" s="1497"/>
      <c r="Z759" s="1497"/>
    </row>
    <row r="760" spans="1:26" ht="12.75" customHeight="1">
      <c r="A760" s="1497"/>
      <c r="B760" s="1497"/>
      <c r="C760" s="1497"/>
      <c r="D760" s="1497"/>
      <c r="E760" s="1497"/>
      <c r="F760" s="1497"/>
      <c r="G760" s="1497"/>
      <c r="H760" s="1497"/>
      <c r="I760" s="1497"/>
      <c r="J760" s="1497"/>
      <c r="K760" s="1497"/>
      <c r="L760" s="1497"/>
      <c r="M760" s="1497"/>
      <c r="N760" s="1497"/>
      <c r="O760" s="1497"/>
      <c r="P760" s="1497"/>
      <c r="Q760" s="1497"/>
      <c r="R760" s="1497"/>
      <c r="S760" s="1497"/>
      <c r="T760" s="1497"/>
      <c r="U760" s="1497"/>
      <c r="V760" s="1497"/>
      <c r="W760" s="1497"/>
      <c r="X760" s="1497"/>
      <c r="Y760" s="1497"/>
      <c r="Z760" s="1497"/>
    </row>
    <row r="761" spans="1:26" ht="12.75" customHeight="1">
      <c r="A761" s="1497"/>
      <c r="B761" s="1497"/>
      <c r="C761" s="1497"/>
      <c r="D761" s="1497"/>
      <c r="E761" s="1497"/>
      <c r="F761" s="1497"/>
      <c r="G761" s="1497"/>
      <c r="H761" s="1497"/>
      <c r="I761" s="1497"/>
      <c r="J761" s="1497"/>
      <c r="K761" s="1497"/>
      <c r="L761" s="1497"/>
      <c r="M761" s="1497"/>
      <c r="N761" s="1497"/>
      <c r="O761" s="1497"/>
      <c r="P761" s="1497"/>
      <c r="Q761" s="1497"/>
      <c r="R761" s="1497"/>
      <c r="S761" s="1497"/>
      <c r="T761" s="1497"/>
      <c r="U761" s="1497"/>
      <c r="V761" s="1497"/>
      <c r="W761" s="1497"/>
      <c r="X761" s="1497"/>
      <c r="Y761" s="1497"/>
      <c r="Z761" s="1497"/>
    </row>
    <row r="762" spans="1:26" ht="12.75" customHeight="1">
      <c r="A762" s="1497"/>
      <c r="B762" s="1497"/>
      <c r="C762" s="1497"/>
      <c r="D762" s="1497"/>
      <c r="E762" s="1497"/>
      <c r="F762" s="1497"/>
      <c r="G762" s="1497"/>
      <c r="H762" s="1497"/>
      <c r="I762" s="1497"/>
      <c r="J762" s="1497"/>
      <c r="K762" s="1497"/>
      <c r="L762" s="1497"/>
      <c r="M762" s="1497"/>
      <c r="N762" s="1497"/>
      <c r="O762" s="1497"/>
      <c r="P762" s="1497"/>
      <c r="Q762" s="1497"/>
      <c r="R762" s="1497"/>
      <c r="S762" s="1497"/>
      <c r="T762" s="1497"/>
      <c r="U762" s="1497"/>
      <c r="V762" s="1497"/>
      <c r="W762" s="1497"/>
      <c r="X762" s="1497"/>
      <c r="Y762" s="1497"/>
      <c r="Z762" s="1497"/>
    </row>
    <row r="763" spans="1:26" ht="12.75" customHeight="1">
      <c r="A763" s="1497"/>
      <c r="B763" s="1497"/>
      <c r="C763" s="1497"/>
      <c r="D763" s="1497"/>
      <c r="E763" s="1497"/>
      <c r="F763" s="1497"/>
      <c r="G763" s="1497"/>
      <c r="H763" s="1497"/>
      <c r="I763" s="1497"/>
      <c r="J763" s="1497"/>
      <c r="K763" s="1497"/>
      <c r="L763" s="1497"/>
      <c r="M763" s="1497"/>
      <c r="N763" s="1497"/>
      <c r="O763" s="1497"/>
      <c r="P763" s="1497"/>
      <c r="Q763" s="1497"/>
      <c r="R763" s="1497"/>
      <c r="S763" s="1497"/>
      <c r="T763" s="1497"/>
      <c r="U763" s="1497"/>
      <c r="V763" s="1497"/>
      <c r="W763" s="1497"/>
      <c r="X763" s="1497"/>
      <c r="Y763" s="1497"/>
      <c r="Z763" s="1497"/>
    </row>
    <row r="764" spans="1:26" ht="12.75" customHeight="1">
      <c r="A764" s="1497"/>
      <c r="B764" s="1497"/>
      <c r="C764" s="1497"/>
      <c r="D764" s="1497"/>
      <c r="E764" s="1497"/>
      <c r="F764" s="1497"/>
      <c r="G764" s="1497"/>
      <c r="H764" s="1497"/>
      <c r="I764" s="1497"/>
      <c r="J764" s="1497"/>
      <c r="K764" s="1497"/>
      <c r="L764" s="1497"/>
      <c r="M764" s="1497"/>
      <c r="N764" s="1497"/>
      <c r="O764" s="1497"/>
      <c r="P764" s="1497"/>
      <c r="Q764" s="1497"/>
      <c r="R764" s="1497"/>
      <c r="S764" s="1497"/>
      <c r="T764" s="1497"/>
      <c r="U764" s="1497"/>
      <c r="V764" s="1497"/>
      <c r="W764" s="1497"/>
      <c r="X764" s="1497"/>
      <c r="Y764" s="1497"/>
      <c r="Z764" s="1497"/>
    </row>
    <row r="765" spans="1:26" ht="12.75" customHeight="1">
      <c r="A765" s="1497"/>
      <c r="B765" s="1497"/>
      <c r="C765" s="1497"/>
      <c r="D765" s="1497"/>
      <c r="E765" s="1497"/>
      <c r="F765" s="1497"/>
      <c r="G765" s="1497"/>
      <c r="H765" s="1497"/>
      <c r="I765" s="1497"/>
      <c r="J765" s="1497"/>
      <c r="K765" s="1497"/>
      <c r="L765" s="1497"/>
      <c r="M765" s="1497"/>
      <c r="N765" s="1497"/>
      <c r="O765" s="1497"/>
      <c r="P765" s="1497"/>
      <c r="Q765" s="1497"/>
      <c r="R765" s="1497"/>
      <c r="S765" s="1497"/>
      <c r="T765" s="1497"/>
      <c r="U765" s="1497"/>
      <c r="V765" s="1497"/>
      <c r="W765" s="1497"/>
      <c r="X765" s="1497"/>
      <c r="Y765" s="1497"/>
      <c r="Z765" s="1497"/>
    </row>
    <row r="766" spans="1:26" ht="12.75" customHeight="1">
      <c r="A766" s="1497"/>
      <c r="B766" s="1497"/>
      <c r="C766" s="1497"/>
      <c r="D766" s="1497"/>
      <c r="E766" s="1497"/>
      <c r="F766" s="1497"/>
      <c r="G766" s="1497"/>
      <c r="H766" s="1497"/>
      <c r="I766" s="1497"/>
      <c r="J766" s="1497"/>
      <c r="K766" s="1497"/>
      <c r="L766" s="1497"/>
      <c r="M766" s="1497"/>
      <c r="N766" s="1497"/>
      <c r="O766" s="1497"/>
      <c r="P766" s="1497"/>
      <c r="Q766" s="1497"/>
      <c r="R766" s="1497"/>
      <c r="S766" s="1497"/>
      <c r="T766" s="1497"/>
      <c r="U766" s="1497"/>
      <c r="V766" s="1497"/>
      <c r="W766" s="1497"/>
      <c r="X766" s="1497"/>
      <c r="Y766" s="1497"/>
      <c r="Z766" s="1497"/>
    </row>
    <row r="767" spans="1:26" ht="12.75" customHeight="1">
      <c r="A767" s="1497"/>
      <c r="B767" s="1497"/>
      <c r="C767" s="1497"/>
      <c r="D767" s="1497"/>
      <c r="E767" s="1497"/>
      <c r="F767" s="1497"/>
      <c r="G767" s="1497"/>
      <c r="H767" s="1497"/>
      <c r="I767" s="1497"/>
      <c r="J767" s="1497"/>
      <c r="K767" s="1497"/>
      <c r="L767" s="1497"/>
      <c r="M767" s="1497"/>
      <c r="N767" s="1497"/>
      <c r="O767" s="1497"/>
      <c r="P767" s="1497"/>
      <c r="Q767" s="1497"/>
      <c r="R767" s="1497"/>
      <c r="S767" s="1497"/>
      <c r="T767" s="1497"/>
      <c r="U767" s="1497"/>
      <c r="V767" s="1497"/>
      <c r="W767" s="1497"/>
      <c r="X767" s="1497"/>
      <c r="Y767" s="1497"/>
      <c r="Z767" s="1497"/>
    </row>
    <row r="768" spans="1:26" ht="12.75" customHeight="1">
      <c r="A768" s="1497"/>
      <c r="B768" s="1497"/>
      <c r="C768" s="1497"/>
      <c r="D768" s="1497"/>
      <c r="E768" s="1497"/>
      <c r="F768" s="1497"/>
      <c r="G768" s="1497"/>
      <c r="H768" s="1497"/>
      <c r="I768" s="1497"/>
      <c r="J768" s="1497"/>
      <c r="K768" s="1497"/>
      <c r="L768" s="1497"/>
      <c r="M768" s="1497"/>
      <c r="N768" s="1497"/>
      <c r="O768" s="1497"/>
      <c r="P768" s="1497"/>
      <c r="Q768" s="1497"/>
      <c r="R768" s="1497"/>
      <c r="S768" s="1497"/>
      <c r="T768" s="1497"/>
      <c r="U768" s="1497"/>
      <c r="V768" s="1497"/>
      <c r="W768" s="1497"/>
      <c r="X768" s="1497"/>
      <c r="Y768" s="1497"/>
      <c r="Z768" s="1497"/>
    </row>
    <row r="769" spans="1:26" ht="12.75" customHeight="1">
      <c r="A769" s="1497"/>
      <c r="B769" s="1497"/>
      <c r="C769" s="1497"/>
      <c r="D769" s="1497"/>
      <c r="E769" s="1497"/>
      <c r="F769" s="1497"/>
      <c r="G769" s="1497"/>
      <c r="H769" s="1497"/>
      <c r="I769" s="1497"/>
      <c r="J769" s="1497"/>
      <c r="K769" s="1497"/>
      <c r="L769" s="1497"/>
      <c r="M769" s="1497"/>
      <c r="N769" s="1497"/>
      <c r="O769" s="1497"/>
      <c r="P769" s="1497"/>
      <c r="Q769" s="1497"/>
      <c r="R769" s="1497"/>
      <c r="S769" s="1497"/>
      <c r="T769" s="1497"/>
      <c r="U769" s="1497"/>
      <c r="V769" s="1497"/>
      <c r="W769" s="1497"/>
      <c r="X769" s="1497"/>
      <c r="Y769" s="1497"/>
      <c r="Z769" s="1497"/>
    </row>
    <row r="770" spans="1:26" ht="12.75" customHeight="1">
      <c r="A770" s="1497"/>
      <c r="B770" s="1497"/>
      <c r="C770" s="1497"/>
      <c r="D770" s="1497"/>
      <c r="E770" s="1497"/>
      <c r="F770" s="1497"/>
      <c r="G770" s="1497"/>
      <c r="H770" s="1497"/>
      <c r="I770" s="1497"/>
      <c r="J770" s="1497"/>
      <c r="K770" s="1497"/>
      <c r="L770" s="1497"/>
      <c r="M770" s="1497"/>
      <c r="N770" s="1497"/>
      <c r="O770" s="1497"/>
      <c r="P770" s="1497"/>
      <c r="Q770" s="1497"/>
      <c r="R770" s="1497"/>
      <c r="S770" s="1497"/>
      <c r="T770" s="1497"/>
      <c r="U770" s="1497"/>
      <c r="V770" s="1497"/>
      <c r="W770" s="1497"/>
      <c r="X770" s="1497"/>
      <c r="Y770" s="1497"/>
      <c r="Z770" s="1497"/>
    </row>
    <row r="771" spans="1:26" ht="12.75" customHeight="1">
      <c r="A771" s="1497"/>
      <c r="B771" s="1497"/>
      <c r="C771" s="1497"/>
      <c r="D771" s="1497"/>
      <c r="E771" s="1497"/>
      <c r="F771" s="1497"/>
      <c r="G771" s="1497"/>
      <c r="H771" s="1497"/>
      <c r="I771" s="1497"/>
      <c r="J771" s="1497"/>
      <c r="K771" s="1497"/>
      <c r="L771" s="1497"/>
      <c r="M771" s="1497"/>
      <c r="N771" s="1497"/>
      <c r="O771" s="1497"/>
      <c r="P771" s="1497"/>
      <c r="Q771" s="1497"/>
      <c r="R771" s="1497"/>
      <c r="S771" s="1497"/>
      <c r="T771" s="1497"/>
      <c r="U771" s="1497"/>
      <c r="V771" s="1497"/>
      <c r="W771" s="1497"/>
      <c r="X771" s="1497"/>
      <c r="Y771" s="1497"/>
      <c r="Z771" s="1497"/>
    </row>
    <row r="772" spans="1:26" ht="12.75" customHeight="1">
      <c r="A772" s="1497"/>
      <c r="B772" s="1497"/>
      <c r="C772" s="1497"/>
      <c r="D772" s="1497"/>
      <c r="E772" s="1497"/>
      <c r="F772" s="1497"/>
      <c r="G772" s="1497"/>
      <c r="H772" s="1497"/>
      <c r="I772" s="1497"/>
      <c r="J772" s="1497"/>
      <c r="K772" s="1497"/>
      <c r="L772" s="1497"/>
      <c r="M772" s="1497"/>
      <c r="N772" s="1497"/>
      <c r="O772" s="1497"/>
      <c r="P772" s="1497"/>
      <c r="Q772" s="1497"/>
      <c r="R772" s="1497"/>
      <c r="S772" s="1497"/>
      <c r="T772" s="1497"/>
      <c r="U772" s="1497"/>
      <c r="V772" s="1497"/>
      <c r="W772" s="1497"/>
      <c r="X772" s="1497"/>
      <c r="Y772" s="1497"/>
      <c r="Z772" s="1497"/>
    </row>
    <row r="773" spans="1:26" ht="12.75" customHeight="1">
      <c r="A773" s="1497"/>
      <c r="B773" s="1497"/>
      <c r="C773" s="1497"/>
      <c r="D773" s="1497"/>
      <c r="E773" s="1497"/>
      <c r="F773" s="1497"/>
      <c r="G773" s="1497"/>
      <c r="H773" s="1497"/>
      <c r="I773" s="1497"/>
      <c r="J773" s="1497"/>
      <c r="K773" s="1497"/>
      <c r="L773" s="1497"/>
      <c r="M773" s="1497"/>
      <c r="N773" s="1497"/>
      <c r="O773" s="1497"/>
      <c r="P773" s="1497"/>
      <c r="Q773" s="1497"/>
      <c r="R773" s="1497"/>
      <c r="S773" s="1497"/>
      <c r="T773" s="1497"/>
      <c r="U773" s="1497"/>
      <c r="V773" s="1497"/>
      <c r="W773" s="1497"/>
      <c r="X773" s="1497"/>
      <c r="Y773" s="1497"/>
      <c r="Z773" s="1497"/>
    </row>
    <row r="774" spans="1:26" ht="12.75" customHeight="1">
      <c r="A774" s="1497"/>
      <c r="B774" s="1497"/>
      <c r="C774" s="1497"/>
      <c r="D774" s="1497"/>
      <c r="E774" s="1497"/>
      <c r="F774" s="1497"/>
      <c r="G774" s="1497"/>
      <c r="H774" s="1497"/>
      <c r="I774" s="1497"/>
      <c r="J774" s="1497"/>
      <c r="K774" s="1497"/>
      <c r="L774" s="1497"/>
      <c r="M774" s="1497"/>
      <c r="N774" s="1497"/>
      <c r="O774" s="1497"/>
      <c r="P774" s="1497"/>
      <c r="Q774" s="1497"/>
      <c r="R774" s="1497"/>
      <c r="S774" s="1497"/>
      <c r="T774" s="1497"/>
      <c r="U774" s="1497"/>
      <c r="V774" s="1497"/>
      <c r="W774" s="1497"/>
      <c r="X774" s="1497"/>
      <c r="Y774" s="1497"/>
      <c r="Z774" s="1497"/>
    </row>
    <row r="775" spans="1:26" ht="12.75" customHeight="1">
      <c r="A775" s="1497"/>
      <c r="B775" s="1497"/>
      <c r="C775" s="1497"/>
      <c r="D775" s="1497"/>
      <c r="E775" s="1497"/>
      <c r="F775" s="1497"/>
      <c r="G775" s="1497"/>
      <c r="H775" s="1497"/>
      <c r="I775" s="1497"/>
      <c r="J775" s="1497"/>
      <c r="K775" s="1497"/>
      <c r="L775" s="1497"/>
      <c r="M775" s="1497"/>
      <c r="N775" s="1497"/>
      <c r="O775" s="1497"/>
      <c r="P775" s="1497"/>
      <c r="Q775" s="1497"/>
      <c r="R775" s="1497"/>
      <c r="S775" s="1497"/>
      <c r="T775" s="1497"/>
      <c r="U775" s="1497"/>
      <c r="V775" s="1497"/>
      <c r="W775" s="1497"/>
      <c r="X775" s="1497"/>
      <c r="Y775" s="1497"/>
      <c r="Z775" s="1497"/>
    </row>
    <row r="776" spans="1:26" ht="12.75" customHeight="1">
      <c r="A776" s="1497"/>
      <c r="B776" s="1497"/>
      <c r="C776" s="1497"/>
      <c r="D776" s="1497"/>
      <c r="E776" s="1497"/>
      <c r="F776" s="1497"/>
      <c r="G776" s="1497"/>
      <c r="H776" s="1497"/>
      <c r="I776" s="1497"/>
      <c r="J776" s="1497"/>
      <c r="K776" s="1497"/>
      <c r="L776" s="1497"/>
      <c r="M776" s="1497"/>
      <c r="N776" s="1497"/>
      <c r="O776" s="1497"/>
      <c r="P776" s="1497"/>
      <c r="Q776" s="1497"/>
      <c r="R776" s="1497"/>
      <c r="S776" s="1497"/>
      <c r="T776" s="1497"/>
      <c r="U776" s="1497"/>
      <c r="V776" s="1497"/>
      <c r="W776" s="1497"/>
      <c r="X776" s="1497"/>
      <c r="Y776" s="1497"/>
      <c r="Z776" s="1497"/>
    </row>
    <row r="777" spans="1:26" ht="12.75" customHeight="1">
      <c r="A777" s="1497"/>
      <c r="B777" s="1497"/>
      <c r="C777" s="1497"/>
      <c r="D777" s="1497"/>
      <c r="E777" s="1497"/>
      <c r="F777" s="1497"/>
      <c r="G777" s="1497"/>
      <c r="H777" s="1497"/>
      <c r="I777" s="1497"/>
      <c r="J777" s="1497"/>
      <c r="K777" s="1497"/>
      <c r="L777" s="1497"/>
      <c r="M777" s="1497"/>
      <c r="N777" s="1497"/>
      <c r="O777" s="1497"/>
      <c r="P777" s="1497"/>
      <c r="Q777" s="1497"/>
      <c r="R777" s="1497"/>
      <c r="S777" s="1497"/>
      <c r="T777" s="1497"/>
      <c r="U777" s="1497"/>
      <c r="V777" s="1497"/>
      <c r="W777" s="1497"/>
      <c r="X777" s="1497"/>
      <c r="Y777" s="1497"/>
      <c r="Z777" s="1497"/>
    </row>
    <row r="778" spans="1:26" ht="12.75" customHeight="1">
      <c r="A778" s="1497"/>
      <c r="B778" s="1497"/>
      <c r="C778" s="1497"/>
      <c r="D778" s="1497"/>
      <c r="E778" s="1497"/>
      <c r="F778" s="1497"/>
      <c r="G778" s="1497"/>
      <c r="H778" s="1497"/>
      <c r="I778" s="1497"/>
      <c r="J778" s="1497"/>
      <c r="K778" s="1497"/>
      <c r="L778" s="1497"/>
      <c r="M778" s="1497"/>
      <c r="N778" s="1497"/>
      <c r="O778" s="1497"/>
      <c r="P778" s="1497"/>
      <c r="Q778" s="1497"/>
      <c r="R778" s="1497"/>
      <c r="S778" s="1497"/>
      <c r="T778" s="1497"/>
      <c r="U778" s="1497"/>
      <c r="V778" s="1497"/>
      <c r="W778" s="1497"/>
      <c r="X778" s="1497"/>
      <c r="Y778" s="1497"/>
      <c r="Z778" s="1497"/>
    </row>
    <row r="779" spans="1:26" ht="12.75" customHeight="1">
      <c r="A779" s="1497"/>
      <c r="B779" s="1497"/>
      <c r="C779" s="1497"/>
      <c r="D779" s="1497"/>
      <c r="E779" s="1497"/>
      <c r="F779" s="1497"/>
      <c r="G779" s="1497"/>
      <c r="H779" s="1497"/>
      <c r="I779" s="1497"/>
      <c r="J779" s="1497"/>
      <c r="K779" s="1497"/>
      <c r="L779" s="1497"/>
      <c r="M779" s="1497"/>
      <c r="N779" s="1497"/>
      <c r="O779" s="1497"/>
      <c r="P779" s="1497"/>
      <c r="Q779" s="1497"/>
      <c r="R779" s="1497"/>
      <c r="S779" s="1497"/>
      <c r="T779" s="1497"/>
      <c r="U779" s="1497"/>
      <c r="V779" s="1497"/>
      <c r="W779" s="1497"/>
      <c r="X779" s="1497"/>
      <c r="Y779" s="1497"/>
      <c r="Z779" s="1497"/>
    </row>
    <row r="780" spans="1:26" ht="12.75" customHeight="1">
      <c r="A780" s="1497"/>
      <c r="B780" s="1497"/>
      <c r="C780" s="1497"/>
      <c r="D780" s="1497"/>
      <c r="E780" s="1497"/>
      <c r="F780" s="1497"/>
      <c r="G780" s="1497"/>
      <c r="H780" s="1497"/>
      <c r="I780" s="1497"/>
      <c r="J780" s="1497"/>
      <c r="K780" s="1497"/>
      <c r="L780" s="1497"/>
      <c r="M780" s="1497"/>
      <c r="N780" s="1497"/>
      <c r="O780" s="1497"/>
      <c r="P780" s="1497"/>
      <c r="Q780" s="1497"/>
      <c r="R780" s="1497"/>
      <c r="S780" s="1497"/>
      <c r="T780" s="1497"/>
      <c r="U780" s="1497"/>
      <c r="V780" s="1497"/>
      <c r="W780" s="1497"/>
      <c r="X780" s="1497"/>
      <c r="Y780" s="1497"/>
      <c r="Z780" s="1497"/>
    </row>
    <row r="781" spans="1:26" ht="12.75" customHeight="1">
      <c r="A781" s="1497"/>
      <c r="B781" s="1497"/>
      <c r="C781" s="1497"/>
      <c r="D781" s="1497"/>
      <c r="E781" s="1497"/>
      <c r="F781" s="1497"/>
      <c r="G781" s="1497"/>
      <c r="H781" s="1497"/>
      <c r="I781" s="1497"/>
      <c r="J781" s="1497"/>
      <c r="K781" s="1497"/>
      <c r="L781" s="1497"/>
      <c r="M781" s="1497"/>
      <c r="N781" s="1497"/>
      <c r="O781" s="1497"/>
      <c r="P781" s="1497"/>
      <c r="Q781" s="1497"/>
      <c r="R781" s="1497"/>
      <c r="S781" s="1497"/>
      <c r="T781" s="1497"/>
      <c r="U781" s="1497"/>
      <c r="V781" s="1497"/>
      <c r="W781" s="1497"/>
      <c r="X781" s="1497"/>
      <c r="Y781" s="1497"/>
      <c r="Z781" s="1497"/>
    </row>
    <row r="782" spans="1:26" ht="12.75" customHeight="1">
      <c r="A782" s="1497"/>
      <c r="B782" s="1497"/>
      <c r="C782" s="1497"/>
      <c r="D782" s="1497"/>
      <c r="E782" s="1497"/>
      <c r="F782" s="1497"/>
      <c r="G782" s="1497"/>
      <c r="H782" s="1497"/>
      <c r="I782" s="1497"/>
      <c r="J782" s="1497"/>
      <c r="K782" s="1497"/>
      <c r="L782" s="1497"/>
      <c r="M782" s="1497"/>
      <c r="N782" s="1497"/>
      <c r="O782" s="1497"/>
      <c r="P782" s="1497"/>
      <c r="Q782" s="1497"/>
      <c r="R782" s="1497"/>
      <c r="S782" s="1497"/>
      <c r="T782" s="1497"/>
      <c r="U782" s="1497"/>
      <c r="V782" s="1497"/>
      <c r="W782" s="1497"/>
      <c r="X782" s="1497"/>
      <c r="Y782" s="1497"/>
      <c r="Z782" s="1497"/>
    </row>
    <row r="783" spans="1:26" ht="12.75" customHeight="1">
      <c r="A783" s="1497"/>
      <c r="B783" s="1497"/>
      <c r="C783" s="1497"/>
      <c r="D783" s="1497"/>
      <c r="E783" s="1497"/>
      <c r="F783" s="1497"/>
      <c r="G783" s="1497"/>
      <c r="H783" s="1497"/>
      <c r="I783" s="1497"/>
      <c r="J783" s="1497"/>
      <c r="K783" s="1497"/>
      <c r="L783" s="1497"/>
      <c r="M783" s="1497"/>
      <c r="N783" s="1497"/>
      <c r="O783" s="1497"/>
      <c r="P783" s="1497"/>
      <c r="Q783" s="1497"/>
      <c r="R783" s="1497"/>
      <c r="S783" s="1497"/>
      <c r="T783" s="1497"/>
      <c r="U783" s="1497"/>
      <c r="V783" s="1497"/>
      <c r="W783" s="1497"/>
      <c r="X783" s="1497"/>
      <c r="Y783" s="1497"/>
      <c r="Z783" s="1497"/>
    </row>
    <row r="784" spans="1:26" ht="12.75" customHeight="1">
      <c r="A784" s="1497"/>
      <c r="B784" s="1497"/>
      <c r="C784" s="1497"/>
      <c r="D784" s="1497"/>
      <c r="E784" s="1497"/>
      <c r="F784" s="1497"/>
      <c r="G784" s="1497"/>
      <c r="H784" s="1497"/>
      <c r="I784" s="1497"/>
      <c r="J784" s="1497"/>
      <c r="K784" s="1497"/>
      <c r="L784" s="1497"/>
      <c r="M784" s="1497"/>
      <c r="N784" s="1497"/>
      <c r="O784" s="1497"/>
      <c r="P784" s="1497"/>
      <c r="Q784" s="1497"/>
      <c r="R784" s="1497"/>
      <c r="S784" s="1497"/>
      <c r="T784" s="1497"/>
      <c r="U784" s="1497"/>
      <c r="V784" s="1497"/>
      <c r="W784" s="1497"/>
      <c r="X784" s="1497"/>
      <c r="Y784" s="1497"/>
      <c r="Z784" s="1497"/>
    </row>
    <row r="785" spans="1:26" ht="12.75" customHeight="1">
      <c r="A785" s="1497"/>
      <c r="B785" s="1497"/>
      <c r="C785" s="1497"/>
      <c r="D785" s="1497"/>
      <c r="E785" s="1497"/>
      <c r="F785" s="1497"/>
      <c r="G785" s="1497"/>
      <c r="H785" s="1497"/>
      <c r="I785" s="1497"/>
      <c r="J785" s="1497"/>
      <c r="K785" s="1497"/>
      <c r="L785" s="1497"/>
      <c r="M785" s="1497"/>
      <c r="N785" s="1497"/>
      <c r="O785" s="1497"/>
      <c r="P785" s="1497"/>
      <c r="Q785" s="1497"/>
      <c r="R785" s="1497"/>
      <c r="S785" s="1497"/>
      <c r="T785" s="1497"/>
      <c r="U785" s="1497"/>
      <c r="V785" s="1497"/>
      <c r="W785" s="1497"/>
      <c r="X785" s="1497"/>
      <c r="Y785" s="1497"/>
      <c r="Z785" s="1497"/>
    </row>
    <row r="786" spans="1:26" ht="12.75" customHeight="1">
      <c r="A786" s="1497"/>
      <c r="B786" s="1497"/>
      <c r="C786" s="1497"/>
      <c r="D786" s="1497"/>
      <c r="E786" s="1497"/>
      <c r="F786" s="1497"/>
      <c r="G786" s="1497"/>
      <c r="H786" s="1497"/>
      <c r="I786" s="1497"/>
      <c r="J786" s="1497"/>
      <c r="K786" s="1497"/>
      <c r="L786" s="1497"/>
      <c r="M786" s="1497"/>
      <c r="N786" s="1497"/>
      <c r="O786" s="1497"/>
      <c r="P786" s="1497"/>
      <c r="Q786" s="1497"/>
      <c r="R786" s="1497"/>
      <c r="S786" s="1497"/>
      <c r="T786" s="1497"/>
      <c r="U786" s="1497"/>
      <c r="V786" s="1497"/>
      <c r="W786" s="1497"/>
      <c r="X786" s="1497"/>
      <c r="Y786" s="1497"/>
      <c r="Z786" s="1497"/>
    </row>
    <row r="787" spans="1:26" ht="12.75" customHeight="1">
      <c r="A787" s="1497"/>
      <c r="B787" s="1497"/>
      <c r="C787" s="1497"/>
      <c r="D787" s="1497"/>
      <c r="E787" s="1497"/>
      <c r="F787" s="1497"/>
      <c r="G787" s="1497"/>
      <c r="H787" s="1497"/>
      <c r="I787" s="1497"/>
      <c r="J787" s="1497"/>
      <c r="K787" s="1497"/>
      <c r="L787" s="1497"/>
      <c r="M787" s="1497"/>
      <c r="N787" s="1497"/>
      <c r="O787" s="1497"/>
      <c r="P787" s="1497"/>
      <c r="Q787" s="1497"/>
      <c r="R787" s="1497"/>
      <c r="S787" s="1497"/>
      <c r="T787" s="1497"/>
      <c r="U787" s="1497"/>
      <c r="V787" s="1497"/>
      <c r="W787" s="1497"/>
      <c r="X787" s="1497"/>
      <c r="Y787" s="1497"/>
      <c r="Z787" s="1497"/>
    </row>
    <row r="788" spans="1:26" ht="12.75" customHeight="1">
      <c r="A788" s="1497"/>
      <c r="B788" s="1497"/>
      <c r="C788" s="1497"/>
      <c r="D788" s="1497"/>
      <c r="E788" s="1497"/>
      <c r="F788" s="1497"/>
      <c r="G788" s="1497"/>
      <c r="H788" s="1497"/>
      <c r="I788" s="1497"/>
      <c r="J788" s="1497"/>
      <c r="K788" s="1497"/>
      <c r="L788" s="1497"/>
      <c r="M788" s="1497"/>
      <c r="N788" s="1497"/>
      <c r="O788" s="1497"/>
      <c r="P788" s="1497"/>
      <c r="Q788" s="1497"/>
      <c r="R788" s="1497"/>
      <c r="S788" s="1497"/>
      <c r="T788" s="1497"/>
      <c r="U788" s="1497"/>
      <c r="V788" s="1497"/>
      <c r="W788" s="1497"/>
      <c r="X788" s="1497"/>
      <c r="Y788" s="1497"/>
      <c r="Z788" s="1497"/>
    </row>
    <row r="789" spans="1:26" ht="12.75" customHeight="1">
      <c r="A789" s="1497"/>
      <c r="B789" s="1497"/>
      <c r="C789" s="1497"/>
      <c r="D789" s="1497"/>
      <c r="E789" s="1497"/>
      <c r="F789" s="1497"/>
      <c r="G789" s="1497"/>
      <c r="H789" s="1497"/>
      <c r="I789" s="1497"/>
      <c r="J789" s="1497"/>
      <c r="K789" s="1497"/>
      <c r="L789" s="1497"/>
      <c r="M789" s="1497"/>
      <c r="N789" s="1497"/>
      <c r="O789" s="1497"/>
      <c r="P789" s="1497"/>
      <c r="Q789" s="1497"/>
      <c r="R789" s="1497"/>
      <c r="S789" s="1497"/>
      <c r="T789" s="1497"/>
      <c r="U789" s="1497"/>
      <c r="V789" s="1497"/>
      <c r="W789" s="1497"/>
      <c r="X789" s="1497"/>
      <c r="Y789" s="1497"/>
      <c r="Z789" s="1497"/>
    </row>
    <row r="790" spans="1:26" ht="12.75" customHeight="1">
      <c r="A790" s="1497"/>
      <c r="B790" s="1497"/>
      <c r="C790" s="1497"/>
      <c r="D790" s="1497"/>
      <c r="E790" s="1497"/>
      <c r="F790" s="1497"/>
      <c r="G790" s="1497"/>
      <c r="H790" s="1497"/>
      <c r="I790" s="1497"/>
      <c r="J790" s="1497"/>
      <c r="K790" s="1497"/>
      <c r="L790" s="1497"/>
      <c r="M790" s="1497"/>
      <c r="N790" s="1497"/>
      <c r="O790" s="1497"/>
      <c r="P790" s="1497"/>
      <c r="Q790" s="1497"/>
      <c r="R790" s="1497"/>
      <c r="S790" s="1497"/>
      <c r="T790" s="1497"/>
      <c r="U790" s="1497"/>
      <c r="V790" s="1497"/>
      <c r="W790" s="1497"/>
      <c r="X790" s="1497"/>
      <c r="Y790" s="1497"/>
      <c r="Z790" s="1497"/>
    </row>
    <row r="791" spans="1:26" ht="12.75" customHeight="1">
      <c r="A791" s="1497"/>
      <c r="B791" s="1497"/>
      <c r="C791" s="1497"/>
      <c r="D791" s="1497"/>
      <c r="E791" s="1497"/>
      <c r="F791" s="1497"/>
      <c r="G791" s="1497"/>
      <c r="H791" s="1497"/>
      <c r="I791" s="1497"/>
      <c r="J791" s="1497"/>
      <c r="K791" s="1497"/>
      <c r="L791" s="1497"/>
      <c r="M791" s="1497"/>
      <c r="N791" s="1497"/>
      <c r="O791" s="1497"/>
      <c r="P791" s="1497"/>
      <c r="Q791" s="1497"/>
      <c r="R791" s="1497"/>
      <c r="S791" s="1497"/>
      <c r="T791" s="1497"/>
      <c r="U791" s="1497"/>
      <c r="V791" s="1497"/>
      <c r="W791" s="1497"/>
      <c r="X791" s="1497"/>
      <c r="Y791" s="1497"/>
      <c r="Z791" s="1497"/>
    </row>
    <row r="792" spans="1:26" ht="12.75" customHeight="1">
      <c r="A792" s="1497"/>
      <c r="B792" s="1497"/>
      <c r="C792" s="1497"/>
      <c r="D792" s="1497"/>
      <c r="E792" s="1497"/>
      <c r="F792" s="1497"/>
      <c r="G792" s="1497"/>
      <c r="H792" s="1497"/>
      <c r="I792" s="1497"/>
      <c r="J792" s="1497"/>
      <c r="K792" s="1497"/>
      <c r="L792" s="1497"/>
      <c r="M792" s="1497"/>
      <c r="N792" s="1497"/>
      <c r="O792" s="1497"/>
      <c r="P792" s="1497"/>
      <c r="Q792" s="1497"/>
      <c r="R792" s="1497"/>
      <c r="S792" s="1497"/>
      <c r="T792" s="1497"/>
      <c r="U792" s="1497"/>
      <c r="V792" s="1497"/>
      <c r="W792" s="1497"/>
      <c r="X792" s="1497"/>
      <c r="Y792" s="1497"/>
      <c r="Z792" s="1497"/>
    </row>
    <row r="793" spans="1:26" ht="12.75" customHeight="1">
      <c r="A793" s="1497"/>
      <c r="B793" s="1497"/>
      <c r="C793" s="1497"/>
      <c r="D793" s="1497"/>
      <c r="E793" s="1497"/>
      <c r="F793" s="1497"/>
      <c r="G793" s="1497"/>
      <c r="H793" s="1497"/>
      <c r="I793" s="1497"/>
      <c r="J793" s="1497"/>
      <c r="K793" s="1497"/>
      <c r="L793" s="1497"/>
      <c r="M793" s="1497"/>
      <c r="N793" s="1497"/>
      <c r="O793" s="1497"/>
      <c r="P793" s="1497"/>
      <c r="Q793" s="1497"/>
      <c r="R793" s="1497"/>
      <c r="S793" s="1497"/>
      <c r="T793" s="1497"/>
      <c r="U793" s="1497"/>
      <c r="V793" s="1497"/>
      <c r="W793" s="1497"/>
      <c r="X793" s="1497"/>
      <c r="Y793" s="1497"/>
      <c r="Z793" s="1497"/>
    </row>
    <row r="794" spans="1:26" ht="12.75" customHeight="1">
      <c r="A794" s="1497"/>
      <c r="B794" s="1497"/>
      <c r="C794" s="1497"/>
      <c r="D794" s="1497"/>
      <c r="E794" s="1497"/>
      <c r="F794" s="1497"/>
      <c r="G794" s="1497"/>
      <c r="H794" s="1497"/>
      <c r="I794" s="1497"/>
      <c r="J794" s="1497"/>
      <c r="K794" s="1497"/>
      <c r="L794" s="1497"/>
      <c r="M794" s="1497"/>
      <c r="N794" s="1497"/>
      <c r="O794" s="1497"/>
      <c r="P794" s="1497"/>
      <c r="Q794" s="1497"/>
      <c r="R794" s="1497"/>
      <c r="S794" s="1497"/>
      <c r="T794" s="1497"/>
      <c r="U794" s="1497"/>
      <c r="V794" s="1497"/>
      <c r="W794" s="1497"/>
      <c r="X794" s="1497"/>
      <c r="Y794" s="1497"/>
      <c r="Z794" s="1497"/>
    </row>
    <row r="795" spans="1:26" ht="12.75" customHeight="1">
      <c r="A795" s="1497"/>
      <c r="B795" s="1497"/>
      <c r="C795" s="1497"/>
      <c r="D795" s="1497"/>
      <c r="E795" s="1497"/>
      <c r="F795" s="1497"/>
      <c r="G795" s="1497"/>
      <c r="H795" s="1497"/>
      <c r="I795" s="1497"/>
      <c r="J795" s="1497"/>
      <c r="K795" s="1497"/>
      <c r="L795" s="1497"/>
      <c r="M795" s="1497"/>
      <c r="N795" s="1497"/>
      <c r="O795" s="1497"/>
      <c r="P795" s="1497"/>
      <c r="Q795" s="1497"/>
      <c r="R795" s="1497"/>
      <c r="S795" s="1497"/>
      <c r="T795" s="1497"/>
      <c r="U795" s="1497"/>
      <c r="V795" s="1497"/>
      <c r="W795" s="1497"/>
      <c r="X795" s="1497"/>
      <c r="Y795" s="1497"/>
      <c r="Z795" s="1497"/>
    </row>
    <row r="796" spans="1:26" ht="12.75" customHeight="1">
      <c r="A796" s="1497"/>
      <c r="B796" s="1497"/>
      <c r="C796" s="1497"/>
      <c r="D796" s="1497"/>
      <c r="E796" s="1497"/>
      <c r="F796" s="1497"/>
      <c r="G796" s="1497"/>
      <c r="H796" s="1497"/>
      <c r="I796" s="1497"/>
      <c r="J796" s="1497"/>
      <c r="K796" s="1497"/>
      <c r="L796" s="1497"/>
      <c r="M796" s="1497"/>
      <c r="N796" s="1497"/>
      <c r="O796" s="1497"/>
      <c r="P796" s="1497"/>
      <c r="Q796" s="1497"/>
      <c r="R796" s="1497"/>
      <c r="S796" s="1497"/>
      <c r="T796" s="1497"/>
      <c r="U796" s="1497"/>
      <c r="V796" s="1497"/>
      <c r="W796" s="1497"/>
      <c r="X796" s="1497"/>
      <c r="Y796" s="1497"/>
      <c r="Z796" s="1497"/>
    </row>
    <row r="797" spans="1:26" ht="12.75" customHeight="1">
      <c r="A797" s="1497"/>
      <c r="B797" s="1497"/>
      <c r="C797" s="1497"/>
      <c r="D797" s="1497"/>
      <c r="E797" s="1497"/>
      <c r="F797" s="1497"/>
      <c r="G797" s="1497"/>
      <c r="H797" s="1497"/>
      <c r="I797" s="1497"/>
      <c r="J797" s="1497"/>
      <c r="K797" s="1497"/>
      <c r="L797" s="1497"/>
      <c r="M797" s="1497"/>
      <c r="N797" s="1497"/>
      <c r="O797" s="1497"/>
      <c r="P797" s="1497"/>
      <c r="Q797" s="1497"/>
      <c r="R797" s="1497"/>
      <c r="S797" s="1497"/>
      <c r="T797" s="1497"/>
      <c r="U797" s="1497"/>
      <c r="V797" s="1497"/>
      <c r="W797" s="1497"/>
      <c r="X797" s="1497"/>
      <c r="Y797" s="1497"/>
      <c r="Z797" s="1497"/>
    </row>
    <row r="798" spans="1:26" ht="12.75" customHeight="1">
      <c r="A798" s="1497"/>
      <c r="B798" s="1497"/>
      <c r="C798" s="1497"/>
      <c r="D798" s="1497"/>
      <c r="E798" s="1497"/>
      <c r="F798" s="1497"/>
      <c r="G798" s="1497"/>
      <c r="H798" s="1497"/>
      <c r="I798" s="1497"/>
      <c r="J798" s="1497"/>
      <c r="K798" s="1497"/>
      <c r="L798" s="1497"/>
      <c r="M798" s="1497"/>
      <c r="N798" s="1497"/>
      <c r="O798" s="1497"/>
      <c r="P798" s="1497"/>
      <c r="Q798" s="1497"/>
      <c r="R798" s="1497"/>
      <c r="S798" s="1497"/>
      <c r="T798" s="1497"/>
      <c r="U798" s="1497"/>
      <c r="V798" s="1497"/>
      <c r="W798" s="1497"/>
      <c r="X798" s="1497"/>
      <c r="Y798" s="1497"/>
      <c r="Z798" s="1497"/>
    </row>
    <row r="799" spans="1:26" ht="12.75" customHeight="1">
      <c r="A799" s="1497"/>
      <c r="B799" s="1497"/>
      <c r="C799" s="1497"/>
      <c r="D799" s="1497"/>
      <c r="E799" s="1497"/>
      <c r="F799" s="1497"/>
      <c r="G799" s="1497"/>
      <c r="H799" s="1497"/>
      <c r="I799" s="1497"/>
      <c r="J799" s="1497"/>
      <c r="K799" s="1497"/>
      <c r="L799" s="1497"/>
      <c r="M799" s="1497"/>
      <c r="N799" s="1497"/>
      <c r="O799" s="1497"/>
      <c r="P799" s="1497"/>
      <c r="Q799" s="1497"/>
      <c r="R799" s="1497"/>
      <c r="S799" s="1497"/>
      <c r="T799" s="1497"/>
      <c r="U799" s="1497"/>
      <c r="V799" s="1497"/>
      <c r="W799" s="1497"/>
      <c r="X799" s="1497"/>
      <c r="Y799" s="1497"/>
      <c r="Z799" s="1497"/>
    </row>
    <row r="800" spans="1:26" ht="12.75" customHeight="1">
      <c r="A800" s="1497"/>
      <c r="B800" s="1497"/>
      <c r="C800" s="1497"/>
      <c r="D800" s="1497"/>
      <c r="E800" s="1497"/>
      <c r="F800" s="1497"/>
      <c r="G800" s="1497"/>
      <c r="H800" s="1497"/>
      <c r="I800" s="1497"/>
      <c r="J800" s="1497"/>
      <c r="K800" s="1497"/>
      <c r="L800" s="1497"/>
      <c r="M800" s="1497"/>
      <c r="N800" s="1497"/>
      <c r="O800" s="1497"/>
      <c r="P800" s="1497"/>
      <c r="Q800" s="1497"/>
      <c r="R800" s="1497"/>
      <c r="S800" s="1497"/>
      <c r="T800" s="1497"/>
      <c r="U800" s="1497"/>
      <c r="V800" s="1497"/>
      <c r="W800" s="1497"/>
      <c r="X800" s="1497"/>
      <c r="Y800" s="1497"/>
      <c r="Z800" s="1497"/>
    </row>
    <row r="801" spans="1:26" ht="12.75" customHeight="1">
      <c r="A801" s="1497"/>
      <c r="B801" s="1497"/>
      <c r="C801" s="1497"/>
      <c r="D801" s="1497"/>
      <c r="E801" s="1497"/>
      <c r="F801" s="1497"/>
      <c r="G801" s="1497"/>
      <c r="H801" s="1497"/>
      <c r="I801" s="1497"/>
      <c r="J801" s="1497"/>
      <c r="K801" s="1497"/>
      <c r="L801" s="1497"/>
      <c r="M801" s="1497"/>
      <c r="N801" s="1497"/>
      <c r="O801" s="1497"/>
      <c r="P801" s="1497"/>
      <c r="Q801" s="1497"/>
      <c r="R801" s="1497"/>
      <c r="S801" s="1497"/>
      <c r="T801" s="1497"/>
      <c r="U801" s="1497"/>
      <c r="V801" s="1497"/>
      <c r="W801" s="1497"/>
      <c r="X801" s="1497"/>
      <c r="Y801" s="1497"/>
      <c r="Z801" s="1497"/>
    </row>
    <row r="802" spans="1:26" ht="12.75" customHeight="1">
      <c r="A802" s="1497"/>
      <c r="B802" s="1497"/>
      <c r="C802" s="1497"/>
      <c r="D802" s="1497"/>
      <c r="E802" s="1497"/>
      <c r="F802" s="1497"/>
      <c r="G802" s="1497"/>
      <c r="H802" s="1497"/>
      <c r="I802" s="1497"/>
      <c r="J802" s="1497"/>
      <c r="K802" s="1497"/>
      <c r="L802" s="1497"/>
      <c r="M802" s="1497"/>
      <c r="N802" s="1497"/>
      <c r="O802" s="1497"/>
      <c r="P802" s="1497"/>
      <c r="Q802" s="1497"/>
      <c r="R802" s="1497"/>
      <c r="S802" s="1497"/>
      <c r="T802" s="1497"/>
      <c r="U802" s="1497"/>
      <c r="V802" s="1497"/>
      <c r="W802" s="1497"/>
      <c r="X802" s="1497"/>
      <c r="Y802" s="1497"/>
      <c r="Z802" s="1497"/>
    </row>
    <row r="803" spans="1:26" ht="12.75" customHeight="1">
      <c r="A803" s="1497"/>
      <c r="B803" s="1497"/>
      <c r="C803" s="1497"/>
      <c r="D803" s="1497"/>
      <c r="E803" s="1497"/>
      <c r="F803" s="1497"/>
      <c r="G803" s="1497"/>
      <c r="H803" s="1497"/>
      <c r="I803" s="1497"/>
      <c r="J803" s="1497"/>
      <c r="K803" s="1497"/>
      <c r="L803" s="1497"/>
      <c r="M803" s="1497"/>
      <c r="N803" s="1497"/>
      <c r="O803" s="1497"/>
      <c r="P803" s="1497"/>
      <c r="Q803" s="1497"/>
      <c r="R803" s="1497"/>
      <c r="S803" s="1497"/>
      <c r="T803" s="1497"/>
      <c r="U803" s="1497"/>
      <c r="V803" s="1497"/>
      <c r="W803" s="1497"/>
      <c r="X803" s="1497"/>
      <c r="Y803" s="1497"/>
      <c r="Z803" s="1497"/>
    </row>
    <row r="804" spans="1:26" ht="12.75" customHeight="1">
      <c r="A804" s="1497"/>
      <c r="B804" s="1497"/>
      <c r="C804" s="1497"/>
      <c r="D804" s="1497"/>
      <c r="E804" s="1497"/>
      <c r="F804" s="1497"/>
      <c r="G804" s="1497"/>
      <c r="H804" s="1497"/>
      <c r="I804" s="1497"/>
      <c r="J804" s="1497"/>
      <c r="K804" s="1497"/>
      <c r="L804" s="1497"/>
      <c r="M804" s="1497"/>
      <c r="N804" s="1497"/>
      <c r="O804" s="1497"/>
      <c r="P804" s="1497"/>
      <c r="Q804" s="1497"/>
      <c r="R804" s="1497"/>
      <c r="S804" s="1497"/>
      <c r="T804" s="1497"/>
      <c r="U804" s="1497"/>
      <c r="V804" s="1497"/>
      <c r="W804" s="1497"/>
      <c r="X804" s="1497"/>
      <c r="Y804" s="1497"/>
      <c r="Z804" s="1497"/>
    </row>
    <row r="805" spans="1:26" ht="12.75" customHeight="1">
      <c r="A805" s="1497"/>
      <c r="B805" s="1497"/>
      <c r="C805" s="1497"/>
      <c r="D805" s="1497"/>
      <c r="E805" s="1497"/>
      <c r="F805" s="1497"/>
      <c r="G805" s="1497"/>
      <c r="H805" s="1497"/>
      <c r="I805" s="1497"/>
      <c r="J805" s="1497"/>
      <c r="K805" s="1497"/>
      <c r="L805" s="1497"/>
      <c r="M805" s="1497"/>
      <c r="N805" s="1497"/>
      <c r="O805" s="1497"/>
      <c r="P805" s="1497"/>
      <c r="Q805" s="1497"/>
      <c r="R805" s="1497"/>
      <c r="S805" s="1497"/>
      <c r="T805" s="1497"/>
      <c r="U805" s="1497"/>
      <c r="V805" s="1497"/>
      <c r="W805" s="1497"/>
      <c r="X805" s="1497"/>
      <c r="Y805" s="1497"/>
      <c r="Z805" s="1497"/>
    </row>
    <row r="806" spans="1:26" ht="12.75" customHeight="1">
      <c r="A806" s="1497"/>
      <c r="B806" s="1497"/>
      <c r="C806" s="1497"/>
      <c r="D806" s="1497"/>
      <c r="E806" s="1497"/>
      <c r="F806" s="1497"/>
      <c r="G806" s="1497"/>
      <c r="H806" s="1497"/>
      <c r="I806" s="1497"/>
      <c r="J806" s="1497"/>
      <c r="K806" s="1497"/>
      <c r="L806" s="1497"/>
      <c r="M806" s="1497"/>
      <c r="N806" s="1497"/>
      <c r="O806" s="1497"/>
      <c r="P806" s="1497"/>
      <c r="Q806" s="1497"/>
      <c r="R806" s="1497"/>
      <c r="S806" s="1497"/>
      <c r="T806" s="1497"/>
      <c r="U806" s="1497"/>
      <c r="V806" s="1497"/>
      <c r="W806" s="1497"/>
      <c r="X806" s="1497"/>
      <c r="Y806" s="1497"/>
      <c r="Z806" s="1497"/>
    </row>
    <row r="807" spans="1:26" ht="12.75" customHeight="1">
      <c r="A807" s="1497"/>
      <c r="B807" s="1497"/>
      <c r="C807" s="1497"/>
      <c r="D807" s="1497"/>
      <c r="E807" s="1497"/>
      <c r="F807" s="1497"/>
      <c r="G807" s="1497"/>
      <c r="H807" s="1497"/>
      <c r="I807" s="1497"/>
      <c r="J807" s="1497"/>
      <c r="K807" s="1497"/>
      <c r="L807" s="1497"/>
      <c r="M807" s="1497"/>
      <c r="N807" s="1497"/>
      <c r="O807" s="1497"/>
      <c r="P807" s="1497"/>
      <c r="Q807" s="1497"/>
      <c r="R807" s="1497"/>
      <c r="S807" s="1497"/>
      <c r="T807" s="1497"/>
      <c r="U807" s="1497"/>
      <c r="V807" s="1497"/>
      <c r="W807" s="1497"/>
      <c r="X807" s="1497"/>
      <c r="Y807" s="1497"/>
      <c r="Z807" s="1497"/>
    </row>
    <row r="808" spans="1:26" ht="12.75" customHeight="1">
      <c r="A808" s="1497"/>
      <c r="B808" s="1497"/>
      <c r="C808" s="1497"/>
      <c r="D808" s="1497"/>
      <c r="E808" s="1497"/>
      <c r="F808" s="1497"/>
      <c r="G808" s="1497"/>
      <c r="H808" s="1497"/>
      <c r="I808" s="1497"/>
      <c r="J808" s="1497"/>
      <c r="K808" s="1497"/>
      <c r="L808" s="1497"/>
      <c r="M808" s="1497"/>
      <c r="N808" s="1497"/>
      <c r="O808" s="1497"/>
      <c r="P808" s="1497"/>
      <c r="Q808" s="1497"/>
      <c r="R808" s="1497"/>
      <c r="S808" s="1497"/>
      <c r="T808" s="1497"/>
      <c r="U808" s="1497"/>
      <c r="V808" s="1497"/>
      <c r="W808" s="1497"/>
      <c r="X808" s="1497"/>
      <c r="Y808" s="1497"/>
      <c r="Z808" s="1497"/>
    </row>
    <row r="809" spans="1:26" ht="12.75" customHeight="1">
      <c r="A809" s="1497"/>
      <c r="B809" s="1497"/>
      <c r="C809" s="1497"/>
      <c r="D809" s="1497"/>
      <c r="E809" s="1497"/>
      <c r="F809" s="1497"/>
      <c r="G809" s="1497"/>
      <c r="H809" s="1497"/>
      <c r="I809" s="1497"/>
      <c r="J809" s="1497"/>
      <c r="K809" s="1497"/>
      <c r="L809" s="1497"/>
      <c r="M809" s="1497"/>
      <c r="N809" s="1497"/>
      <c r="O809" s="1497"/>
      <c r="P809" s="1497"/>
      <c r="Q809" s="1497"/>
      <c r="R809" s="1497"/>
      <c r="S809" s="1497"/>
      <c r="T809" s="1497"/>
      <c r="U809" s="1497"/>
      <c r="V809" s="1497"/>
      <c r="W809" s="1497"/>
      <c r="X809" s="1497"/>
      <c r="Y809" s="1497"/>
      <c r="Z809" s="1497"/>
    </row>
    <row r="810" spans="1:26" ht="12.75" customHeight="1">
      <c r="A810" s="1497"/>
      <c r="B810" s="1497"/>
      <c r="C810" s="1497"/>
      <c r="D810" s="1497"/>
      <c r="E810" s="1497"/>
      <c r="F810" s="1497"/>
      <c r="G810" s="1497"/>
      <c r="H810" s="1497"/>
      <c r="I810" s="1497"/>
      <c r="J810" s="1497"/>
      <c r="K810" s="1497"/>
      <c r="L810" s="1497"/>
      <c r="M810" s="1497"/>
      <c r="N810" s="1497"/>
      <c r="O810" s="1497"/>
      <c r="P810" s="1497"/>
      <c r="Q810" s="1497"/>
      <c r="R810" s="1497"/>
      <c r="S810" s="1497"/>
      <c r="T810" s="1497"/>
      <c r="U810" s="1497"/>
      <c r="V810" s="1497"/>
      <c r="W810" s="1497"/>
      <c r="X810" s="1497"/>
      <c r="Y810" s="1497"/>
      <c r="Z810" s="1497"/>
    </row>
    <row r="811" spans="1:26" ht="12.75" customHeight="1">
      <c r="A811" s="1497"/>
      <c r="B811" s="1497"/>
      <c r="C811" s="1497"/>
      <c r="D811" s="1497"/>
      <c r="E811" s="1497"/>
      <c r="F811" s="1497"/>
      <c r="G811" s="1497"/>
      <c r="H811" s="1497"/>
      <c r="I811" s="1497"/>
      <c r="J811" s="1497"/>
      <c r="K811" s="1497"/>
      <c r="L811" s="1497"/>
      <c r="M811" s="1497"/>
      <c r="N811" s="1497"/>
      <c r="O811" s="1497"/>
      <c r="P811" s="1497"/>
      <c r="Q811" s="1497"/>
      <c r="R811" s="1497"/>
      <c r="S811" s="1497"/>
      <c r="T811" s="1497"/>
      <c r="U811" s="1497"/>
      <c r="V811" s="1497"/>
      <c r="W811" s="1497"/>
      <c r="X811" s="1497"/>
      <c r="Y811" s="1497"/>
      <c r="Z811" s="1497"/>
    </row>
    <row r="812" spans="1:26" ht="12.75" customHeight="1">
      <c r="A812" s="1497"/>
      <c r="B812" s="1497"/>
      <c r="C812" s="1497"/>
      <c r="D812" s="1497"/>
      <c r="E812" s="1497"/>
      <c r="F812" s="1497"/>
      <c r="G812" s="1497"/>
      <c r="H812" s="1497"/>
      <c r="I812" s="1497"/>
      <c r="J812" s="1497"/>
      <c r="K812" s="1497"/>
      <c r="L812" s="1497"/>
      <c r="M812" s="1497"/>
      <c r="N812" s="1497"/>
      <c r="O812" s="1497"/>
      <c r="P812" s="1497"/>
      <c r="Q812" s="1497"/>
      <c r="R812" s="1497"/>
      <c r="S812" s="1497"/>
      <c r="T812" s="1497"/>
      <c r="U812" s="1497"/>
      <c r="V812" s="1497"/>
      <c r="W812" s="1497"/>
      <c r="X812" s="1497"/>
      <c r="Y812" s="1497"/>
      <c r="Z812" s="1497"/>
    </row>
    <row r="813" spans="1:26" ht="12.75" customHeight="1">
      <c r="A813" s="1497"/>
      <c r="B813" s="1497"/>
      <c r="C813" s="1497"/>
      <c r="D813" s="1497"/>
      <c r="E813" s="1497"/>
      <c r="F813" s="1497"/>
      <c r="G813" s="1497"/>
      <c r="H813" s="1497"/>
      <c r="I813" s="1497"/>
      <c r="J813" s="1497"/>
      <c r="K813" s="1497"/>
      <c r="L813" s="1497"/>
      <c r="M813" s="1497"/>
      <c r="N813" s="1497"/>
      <c r="O813" s="1497"/>
      <c r="P813" s="1497"/>
      <c r="Q813" s="1497"/>
      <c r="R813" s="1497"/>
      <c r="S813" s="1497"/>
      <c r="T813" s="1497"/>
      <c r="U813" s="1497"/>
      <c r="V813" s="1497"/>
      <c r="W813" s="1497"/>
      <c r="X813" s="1497"/>
      <c r="Y813" s="1497"/>
      <c r="Z813" s="1497"/>
    </row>
    <row r="814" spans="1:26" ht="12.75" customHeight="1">
      <c r="A814" s="1497"/>
      <c r="B814" s="1497"/>
      <c r="C814" s="1497"/>
      <c r="D814" s="1497"/>
      <c r="E814" s="1497"/>
      <c r="F814" s="1497"/>
      <c r="G814" s="1497"/>
      <c r="H814" s="1497"/>
      <c r="I814" s="1497"/>
      <c r="J814" s="1497"/>
      <c r="K814" s="1497"/>
      <c r="L814" s="1497"/>
      <c r="M814" s="1497"/>
      <c r="N814" s="1497"/>
      <c r="O814" s="1497"/>
      <c r="P814" s="1497"/>
      <c r="Q814" s="1497"/>
      <c r="R814" s="1497"/>
      <c r="S814" s="1497"/>
      <c r="T814" s="1497"/>
      <c r="U814" s="1497"/>
      <c r="V814" s="1497"/>
      <c r="W814" s="1497"/>
      <c r="X814" s="1497"/>
      <c r="Y814" s="1497"/>
      <c r="Z814" s="1497"/>
    </row>
    <row r="815" spans="1:26" ht="12.75" customHeight="1">
      <c r="A815" s="1497"/>
      <c r="B815" s="1497"/>
      <c r="C815" s="1497"/>
      <c r="D815" s="1497"/>
      <c r="E815" s="1497"/>
      <c r="F815" s="1497"/>
      <c r="G815" s="1497"/>
      <c r="H815" s="1497"/>
      <c r="I815" s="1497"/>
      <c r="J815" s="1497"/>
      <c r="K815" s="1497"/>
      <c r="L815" s="1497"/>
      <c r="M815" s="1497"/>
      <c r="N815" s="1497"/>
      <c r="O815" s="1497"/>
      <c r="P815" s="1497"/>
      <c r="Q815" s="1497"/>
      <c r="R815" s="1497"/>
      <c r="S815" s="1497"/>
      <c r="T815" s="1497"/>
      <c r="U815" s="1497"/>
      <c r="V815" s="1497"/>
      <c r="W815" s="1497"/>
      <c r="X815" s="1497"/>
      <c r="Y815" s="1497"/>
      <c r="Z815" s="1497"/>
    </row>
    <row r="816" spans="1:26" ht="12.75" customHeight="1">
      <c r="A816" s="1497"/>
      <c r="B816" s="1497"/>
      <c r="C816" s="1497"/>
      <c r="D816" s="1497"/>
      <c r="E816" s="1497"/>
      <c r="F816" s="1497"/>
      <c r="G816" s="1497"/>
      <c r="H816" s="1497"/>
      <c r="I816" s="1497"/>
      <c r="J816" s="1497"/>
      <c r="K816" s="1497"/>
      <c r="L816" s="1497"/>
      <c r="M816" s="1497"/>
      <c r="N816" s="1497"/>
      <c r="O816" s="1497"/>
      <c r="P816" s="1497"/>
      <c r="Q816" s="1497"/>
      <c r="R816" s="1497"/>
      <c r="S816" s="1497"/>
      <c r="T816" s="1497"/>
      <c r="U816" s="1497"/>
      <c r="V816" s="1497"/>
      <c r="W816" s="1497"/>
      <c r="X816" s="1497"/>
      <c r="Y816" s="1497"/>
      <c r="Z816" s="1497"/>
    </row>
    <row r="817" spans="1:26" ht="12.75" customHeight="1">
      <c r="A817" s="1497"/>
      <c r="B817" s="1497"/>
      <c r="C817" s="1497"/>
      <c r="D817" s="1497"/>
      <c r="E817" s="1497"/>
      <c r="F817" s="1497"/>
      <c r="G817" s="1497"/>
      <c r="H817" s="1497"/>
      <c r="I817" s="1497"/>
      <c r="J817" s="1497"/>
      <c r="K817" s="1497"/>
      <c r="L817" s="1497"/>
      <c r="M817" s="1497"/>
      <c r="N817" s="1497"/>
      <c r="O817" s="1497"/>
      <c r="P817" s="1497"/>
      <c r="Q817" s="1497"/>
      <c r="R817" s="1497"/>
      <c r="S817" s="1497"/>
      <c r="T817" s="1497"/>
      <c r="U817" s="1497"/>
      <c r="V817" s="1497"/>
      <c r="W817" s="1497"/>
      <c r="X817" s="1497"/>
      <c r="Y817" s="1497"/>
      <c r="Z817" s="1497"/>
    </row>
    <row r="818" spans="1:26" ht="12.75" customHeight="1">
      <c r="A818" s="1497"/>
      <c r="B818" s="1497"/>
      <c r="C818" s="1497"/>
      <c r="D818" s="1497"/>
      <c r="E818" s="1497"/>
      <c r="F818" s="1497"/>
      <c r="G818" s="1497"/>
      <c r="H818" s="1497"/>
      <c r="I818" s="1497"/>
      <c r="J818" s="1497"/>
      <c r="K818" s="1497"/>
      <c r="L818" s="1497"/>
      <c r="M818" s="1497"/>
      <c r="N818" s="1497"/>
      <c r="O818" s="1497"/>
      <c r="P818" s="1497"/>
      <c r="Q818" s="1497"/>
      <c r="R818" s="1497"/>
      <c r="S818" s="1497"/>
      <c r="T818" s="1497"/>
      <c r="U818" s="1497"/>
      <c r="V818" s="1497"/>
      <c r="W818" s="1497"/>
      <c r="X818" s="1497"/>
      <c r="Y818" s="1497"/>
      <c r="Z818" s="1497"/>
    </row>
    <row r="819" spans="1:26" ht="12.75" customHeight="1">
      <c r="A819" s="1497"/>
      <c r="B819" s="1497"/>
      <c r="C819" s="1497"/>
      <c r="D819" s="1497"/>
      <c r="E819" s="1497"/>
      <c r="F819" s="1497"/>
      <c r="G819" s="1497"/>
      <c r="H819" s="1497"/>
      <c r="I819" s="1497"/>
      <c r="J819" s="1497"/>
      <c r="K819" s="1497"/>
      <c r="L819" s="1497"/>
      <c r="M819" s="1497"/>
      <c r="N819" s="1497"/>
      <c r="O819" s="1497"/>
      <c r="P819" s="1497"/>
      <c r="Q819" s="1497"/>
      <c r="R819" s="1497"/>
      <c r="S819" s="1497"/>
      <c r="T819" s="1497"/>
      <c r="U819" s="1497"/>
      <c r="V819" s="1497"/>
      <c r="W819" s="1497"/>
      <c r="X819" s="1497"/>
      <c r="Y819" s="1497"/>
      <c r="Z819" s="1497"/>
    </row>
    <row r="820" spans="1:26" ht="12.75" customHeight="1">
      <c r="A820" s="1497"/>
      <c r="B820" s="1497"/>
      <c r="C820" s="1497"/>
      <c r="D820" s="1497"/>
      <c r="E820" s="1497"/>
      <c r="F820" s="1497"/>
      <c r="G820" s="1497"/>
      <c r="H820" s="1497"/>
      <c r="I820" s="1497"/>
      <c r="J820" s="1497"/>
      <c r="K820" s="1497"/>
      <c r="L820" s="1497"/>
      <c r="M820" s="1497"/>
      <c r="N820" s="1497"/>
      <c r="O820" s="1497"/>
      <c r="P820" s="1497"/>
      <c r="Q820" s="1497"/>
      <c r="R820" s="1497"/>
      <c r="S820" s="1497"/>
      <c r="T820" s="1497"/>
      <c r="U820" s="1497"/>
      <c r="V820" s="1497"/>
      <c r="W820" s="1497"/>
      <c r="X820" s="1497"/>
      <c r="Y820" s="1497"/>
      <c r="Z820" s="1497"/>
    </row>
    <row r="821" spans="1:26" ht="12.75" customHeight="1">
      <c r="A821" s="1497"/>
      <c r="B821" s="1497"/>
      <c r="C821" s="1497"/>
      <c r="D821" s="1497"/>
      <c r="E821" s="1497"/>
      <c r="F821" s="1497"/>
      <c r="G821" s="1497"/>
      <c r="H821" s="1497"/>
      <c r="I821" s="1497"/>
      <c r="J821" s="1497"/>
      <c r="K821" s="1497"/>
      <c r="L821" s="1497"/>
      <c r="M821" s="1497"/>
      <c r="N821" s="1497"/>
      <c r="O821" s="1497"/>
      <c r="P821" s="1497"/>
      <c r="Q821" s="1497"/>
      <c r="R821" s="1497"/>
      <c r="S821" s="1497"/>
      <c r="T821" s="1497"/>
      <c r="U821" s="1497"/>
      <c r="V821" s="1497"/>
      <c r="W821" s="1497"/>
      <c r="X821" s="1497"/>
      <c r="Y821" s="1497"/>
      <c r="Z821" s="1497"/>
    </row>
    <row r="822" spans="1:26" ht="12.75" customHeight="1">
      <c r="A822" s="1497"/>
      <c r="B822" s="1497"/>
      <c r="C822" s="1497"/>
      <c r="D822" s="1497"/>
      <c r="E822" s="1497"/>
      <c r="F822" s="1497"/>
      <c r="G822" s="1497"/>
      <c r="H822" s="1497"/>
      <c r="I822" s="1497"/>
      <c r="J822" s="1497"/>
      <c r="K822" s="1497"/>
      <c r="L822" s="1497"/>
      <c r="M822" s="1497"/>
      <c r="N822" s="1497"/>
      <c r="O822" s="1497"/>
      <c r="P822" s="1497"/>
      <c r="Q822" s="1497"/>
      <c r="R822" s="1497"/>
      <c r="S822" s="1497"/>
      <c r="T822" s="1497"/>
      <c r="U822" s="1497"/>
      <c r="V822" s="1497"/>
      <c r="W822" s="1497"/>
      <c r="X822" s="1497"/>
      <c r="Y822" s="1497"/>
      <c r="Z822" s="1497"/>
    </row>
    <row r="823" spans="1:26" ht="12.75" customHeight="1">
      <c r="A823" s="1497"/>
      <c r="B823" s="1497"/>
      <c r="C823" s="1497"/>
      <c r="D823" s="1497"/>
      <c r="E823" s="1497"/>
      <c r="F823" s="1497"/>
      <c r="G823" s="1497"/>
      <c r="H823" s="1497"/>
      <c r="I823" s="1497"/>
      <c r="J823" s="1497"/>
      <c r="K823" s="1497"/>
      <c r="L823" s="1497"/>
      <c r="M823" s="1497"/>
      <c r="N823" s="1497"/>
      <c r="O823" s="1497"/>
      <c r="P823" s="1497"/>
      <c r="Q823" s="1497"/>
      <c r="R823" s="1497"/>
      <c r="S823" s="1497"/>
      <c r="T823" s="1497"/>
      <c r="U823" s="1497"/>
      <c r="V823" s="1497"/>
      <c r="W823" s="1497"/>
      <c r="X823" s="1497"/>
      <c r="Y823" s="1497"/>
      <c r="Z823" s="1497"/>
    </row>
    <row r="824" spans="1:26" ht="12.75" customHeight="1">
      <c r="A824" s="1497"/>
      <c r="B824" s="1497"/>
      <c r="C824" s="1497"/>
      <c r="D824" s="1497"/>
      <c r="E824" s="1497"/>
      <c r="F824" s="1497"/>
      <c r="G824" s="1497"/>
      <c r="H824" s="1497"/>
      <c r="I824" s="1497"/>
      <c r="J824" s="1497"/>
      <c r="K824" s="1497"/>
      <c r="L824" s="1497"/>
      <c r="M824" s="1497"/>
      <c r="N824" s="1497"/>
      <c r="O824" s="1497"/>
      <c r="P824" s="1497"/>
      <c r="Q824" s="1497"/>
      <c r="R824" s="1497"/>
      <c r="S824" s="1497"/>
      <c r="T824" s="1497"/>
      <c r="U824" s="1497"/>
      <c r="V824" s="1497"/>
      <c r="W824" s="1497"/>
      <c r="X824" s="1497"/>
      <c r="Y824" s="1497"/>
      <c r="Z824" s="1497"/>
    </row>
    <row r="825" spans="1:26" ht="12.75" customHeight="1">
      <c r="A825" s="1497"/>
      <c r="B825" s="1497"/>
      <c r="C825" s="1497"/>
      <c r="D825" s="1497"/>
      <c r="E825" s="1497"/>
      <c r="F825" s="1497"/>
      <c r="G825" s="1497"/>
      <c r="H825" s="1497"/>
      <c r="I825" s="1497"/>
      <c r="J825" s="1497"/>
      <c r="K825" s="1497"/>
      <c r="L825" s="1497"/>
      <c r="M825" s="1497"/>
      <c r="N825" s="1497"/>
      <c r="O825" s="1497"/>
      <c r="P825" s="1497"/>
      <c r="Q825" s="1497"/>
      <c r="R825" s="1497"/>
      <c r="S825" s="1497"/>
      <c r="T825" s="1497"/>
      <c r="U825" s="1497"/>
      <c r="V825" s="1497"/>
      <c r="W825" s="1497"/>
      <c r="X825" s="1497"/>
      <c r="Y825" s="1497"/>
      <c r="Z825" s="1497"/>
    </row>
    <row r="826" spans="1:26" ht="12.75" customHeight="1">
      <c r="A826" s="1497"/>
      <c r="B826" s="1497"/>
      <c r="C826" s="1497"/>
      <c r="D826" s="1497"/>
      <c r="E826" s="1497"/>
      <c r="F826" s="1497"/>
      <c r="G826" s="1497"/>
      <c r="H826" s="1497"/>
      <c r="I826" s="1497"/>
      <c r="J826" s="1497"/>
      <c r="K826" s="1497"/>
      <c r="L826" s="1497"/>
      <c r="M826" s="1497"/>
      <c r="N826" s="1497"/>
      <c r="O826" s="1497"/>
      <c r="P826" s="1497"/>
      <c r="Q826" s="1497"/>
      <c r="R826" s="1497"/>
      <c r="S826" s="1497"/>
      <c r="T826" s="1497"/>
      <c r="U826" s="1497"/>
      <c r="V826" s="1497"/>
      <c r="W826" s="1497"/>
      <c r="X826" s="1497"/>
      <c r="Y826" s="1497"/>
      <c r="Z826" s="1497"/>
    </row>
    <row r="827" spans="1:26" ht="12.75" customHeight="1">
      <c r="A827" s="1497"/>
      <c r="B827" s="1497"/>
      <c r="C827" s="1497"/>
      <c r="D827" s="1497"/>
      <c r="E827" s="1497"/>
      <c r="F827" s="1497"/>
      <c r="G827" s="1497"/>
      <c r="H827" s="1497"/>
      <c r="I827" s="1497"/>
      <c r="J827" s="1497"/>
      <c r="K827" s="1497"/>
      <c r="L827" s="1497"/>
      <c r="M827" s="1497"/>
      <c r="N827" s="1497"/>
      <c r="O827" s="1497"/>
      <c r="P827" s="1497"/>
      <c r="Q827" s="1497"/>
      <c r="R827" s="1497"/>
      <c r="S827" s="1497"/>
      <c r="T827" s="1497"/>
      <c r="U827" s="1497"/>
      <c r="V827" s="1497"/>
      <c r="W827" s="1497"/>
      <c r="X827" s="1497"/>
      <c r="Y827" s="1497"/>
      <c r="Z827" s="1497"/>
    </row>
    <row r="828" spans="1:26" ht="12.75" customHeight="1">
      <c r="A828" s="1497"/>
      <c r="B828" s="1497"/>
      <c r="C828" s="1497"/>
      <c r="D828" s="1497"/>
      <c r="E828" s="1497"/>
      <c r="F828" s="1497"/>
      <c r="G828" s="1497"/>
      <c r="H828" s="1497"/>
      <c r="I828" s="1497"/>
      <c r="J828" s="1497"/>
      <c r="K828" s="1497"/>
      <c r="L828" s="1497"/>
      <c r="M828" s="1497"/>
      <c r="N828" s="1497"/>
      <c r="O828" s="1497"/>
      <c r="P828" s="1497"/>
      <c r="Q828" s="1497"/>
      <c r="R828" s="1497"/>
      <c r="S828" s="1497"/>
      <c r="T828" s="1497"/>
      <c r="U828" s="1497"/>
      <c r="V828" s="1497"/>
      <c r="W828" s="1497"/>
      <c r="X828" s="1497"/>
      <c r="Y828" s="1497"/>
      <c r="Z828" s="1497"/>
    </row>
    <row r="829" spans="1:26" ht="12.75" customHeight="1">
      <c r="A829" s="1497"/>
      <c r="B829" s="1497"/>
      <c r="C829" s="1497"/>
      <c r="D829" s="1497"/>
      <c r="E829" s="1497"/>
      <c r="F829" s="1497"/>
      <c r="G829" s="1497"/>
      <c r="H829" s="1497"/>
      <c r="I829" s="1497"/>
      <c r="J829" s="1497"/>
      <c r="K829" s="1497"/>
      <c r="L829" s="1497"/>
      <c r="M829" s="1497"/>
      <c r="N829" s="1497"/>
      <c r="O829" s="1497"/>
      <c r="P829" s="1497"/>
      <c r="Q829" s="1497"/>
      <c r="R829" s="1497"/>
      <c r="S829" s="1497"/>
      <c r="T829" s="1497"/>
      <c r="U829" s="1497"/>
      <c r="V829" s="1497"/>
      <c r="W829" s="1497"/>
      <c r="X829" s="1497"/>
      <c r="Y829" s="1497"/>
      <c r="Z829" s="1497"/>
    </row>
    <row r="830" spans="1:26" ht="12.75" customHeight="1">
      <c r="A830" s="1497"/>
      <c r="B830" s="1497"/>
      <c r="C830" s="1497"/>
      <c r="D830" s="1497"/>
      <c r="E830" s="1497"/>
      <c r="F830" s="1497"/>
      <c r="G830" s="1497"/>
      <c r="H830" s="1497"/>
      <c r="I830" s="1497"/>
      <c r="J830" s="1497"/>
      <c r="K830" s="1497"/>
      <c r="L830" s="1497"/>
      <c r="M830" s="1497"/>
      <c r="N830" s="1497"/>
      <c r="O830" s="1497"/>
      <c r="P830" s="1497"/>
      <c r="Q830" s="1497"/>
      <c r="R830" s="1497"/>
      <c r="S830" s="1497"/>
      <c r="T830" s="1497"/>
      <c r="U830" s="1497"/>
      <c r="V830" s="1497"/>
      <c r="W830" s="1497"/>
      <c r="X830" s="1497"/>
      <c r="Y830" s="1497"/>
      <c r="Z830" s="1497"/>
    </row>
    <row r="831" spans="1:26" ht="12.75" customHeight="1">
      <c r="A831" s="1497"/>
      <c r="B831" s="1497"/>
      <c r="C831" s="1497"/>
      <c r="D831" s="1497"/>
      <c r="E831" s="1497"/>
      <c r="F831" s="1497"/>
      <c r="G831" s="1497"/>
      <c r="H831" s="1497"/>
      <c r="I831" s="1497"/>
      <c r="J831" s="1497"/>
      <c r="K831" s="1497"/>
      <c r="L831" s="1497"/>
      <c r="M831" s="1497"/>
      <c r="N831" s="1497"/>
      <c r="O831" s="1497"/>
      <c r="P831" s="1497"/>
      <c r="Q831" s="1497"/>
      <c r="R831" s="1497"/>
      <c r="S831" s="1497"/>
      <c r="T831" s="1497"/>
      <c r="U831" s="1497"/>
      <c r="V831" s="1497"/>
      <c r="W831" s="1497"/>
      <c r="X831" s="1497"/>
      <c r="Y831" s="1497"/>
      <c r="Z831" s="1497"/>
    </row>
    <row r="832" spans="1:26" ht="12.75" customHeight="1">
      <c r="A832" s="1497"/>
      <c r="B832" s="1497"/>
      <c r="C832" s="1497"/>
      <c r="D832" s="1497"/>
      <c r="E832" s="1497"/>
      <c r="F832" s="1497"/>
      <c r="G832" s="1497"/>
      <c r="H832" s="1497"/>
      <c r="I832" s="1497"/>
      <c r="J832" s="1497"/>
      <c r="K832" s="1497"/>
      <c r="L832" s="1497"/>
      <c r="M832" s="1497"/>
      <c r="N832" s="1497"/>
      <c r="O832" s="1497"/>
      <c r="P832" s="1497"/>
      <c r="Q832" s="1497"/>
      <c r="R832" s="1497"/>
      <c r="S832" s="1497"/>
      <c r="T832" s="1497"/>
      <c r="U832" s="1497"/>
      <c r="V832" s="1497"/>
      <c r="W832" s="1497"/>
      <c r="X832" s="1497"/>
      <c r="Y832" s="1497"/>
      <c r="Z832" s="1497"/>
    </row>
    <row r="833" spans="1:26" ht="12.75" customHeight="1">
      <c r="A833" s="1497"/>
      <c r="B833" s="1497"/>
      <c r="C833" s="1497"/>
      <c r="D833" s="1497"/>
      <c r="E833" s="1497"/>
      <c r="F833" s="1497"/>
      <c r="G833" s="1497"/>
      <c r="H833" s="1497"/>
      <c r="I833" s="1497"/>
      <c r="J833" s="1497"/>
      <c r="K833" s="1497"/>
      <c r="L833" s="1497"/>
      <c r="M833" s="1497"/>
      <c r="N833" s="1497"/>
      <c r="O833" s="1497"/>
      <c r="P833" s="1497"/>
      <c r="Q833" s="1497"/>
      <c r="R833" s="1497"/>
      <c r="S833" s="1497"/>
      <c r="T833" s="1497"/>
      <c r="U833" s="1497"/>
      <c r="V833" s="1497"/>
      <c r="W833" s="1497"/>
      <c r="X833" s="1497"/>
      <c r="Y833" s="1497"/>
      <c r="Z833" s="1497"/>
    </row>
    <row r="834" spans="1:26" ht="12.75" customHeight="1">
      <c r="A834" s="1497"/>
      <c r="B834" s="1497"/>
      <c r="C834" s="1497"/>
      <c r="D834" s="1497"/>
      <c r="E834" s="1497"/>
      <c r="F834" s="1497"/>
      <c r="G834" s="1497"/>
      <c r="H834" s="1497"/>
      <c r="I834" s="1497"/>
      <c r="J834" s="1497"/>
      <c r="K834" s="1497"/>
      <c r="L834" s="1497"/>
      <c r="M834" s="1497"/>
      <c r="N834" s="1497"/>
      <c r="O834" s="1497"/>
      <c r="P834" s="1497"/>
      <c r="Q834" s="1497"/>
      <c r="R834" s="1497"/>
      <c r="S834" s="1497"/>
      <c r="T834" s="1497"/>
      <c r="U834" s="1497"/>
      <c r="V834" s="1497"/>
      <c r="W834" s="1497"/>
      <c r="X834" s="1497"/>
      <c r="Y834" s="1497"/>
      <c r="Z834" s="1497"/>
    </row>
    <row r="835" spans="1:26" ht="12.75" customHeight="1">
      <c r="A835" s="1497"/>
      <c r="B835" s="1497"/>
      <c r="C835" s="1497"/>
      <c r="D835" s="1497"/>
      <c r="E835" s="1497"/>
      <c r="F835" s="1497"/>
      <c r="G835" s="1497"/>
      <c r="H835" s="1497"/>
      <c r="I835" s="1497"/>
      <c r="J835" s="1497"/>
      <c r="K835" s="1497"/>
      <c r="L835" s="1497"/>
      <c r="M835" s="1497"/>
      <c r="N835" s="1497"/>
      <c r="O835" s="1497"/>
      <c r="P835" s="1497"/>
      <c r="Q835" s="1497"/>
      <c r="R835" s="1497"/>
      <c r="S835" s="1497"/>
      <c r="T835" s="1497"/>
      <c r="U835" s="1497"/>
      <c r="V835" s="1497"/>
      <c r="W835" s="1497"/>
      <c r="X835" s="1497"/>
      <c r="Y835" s="1497"/>
      <c r="Z835" s="1497"/>
    </row>
    <row r="836" spans="1:26" ht="12.75" customHeight="1">
      <c r="A836" s="1497"/>
      <c r="B836" s="1497"/>
      <c r="C836" s="1497"/>
      <c r="D836" s="1497"/>
      <c r="E836" s="1497"/>
      <c r="F836" s="1497"/>
      <c r="G836" s="1497"/>
      <c r="H836" s="1497"/>
      <c r="I836" s="1497"/>
      <c r="J836" s="1497"/>
      <c r="K836" s="1497"/>
      <c r="L836" s="1497"/>
      <c r="M836" s="1497"/>
      <c r="N836" s="1497"/>
      <c r="O836" s="1497"/>
      <c r="P836" s="1497"/>
      <c r="Q836" s="1497"/>
      <c r="R836" s="1497"/>
      <c r="S836" s="1497"/>
      <c r="T836" s="1497"/>
      <c r="U836" s="1497"/>
      <c r="V836" s="1497"/>
      <c r="W836" s="1497"/>
      <c r="X836" s="1497"/>
      <c r="Y836" s="1497"/>
      <c r="Z836" s="1497"/>
    </row>
    <row r="837" spans="1:26" ht="12.75" customHeight="1">
      <c r="A837" s="1497"/>
      <c r="B837" s="1497"/>
      <c r="C837" s="1497"/>
      <c r="D837" s="1497"/>
      <c r="E837" s="1497"/>
      <c r="F837" s="1497"/>
      <c r="G837" s="1497"/>
      <c r="H837" s="1497"/>
      <c r="I837" s="1497"/>
      <c r="J837" s="1497"/>
      <c r="K837" s="1497"/>
      <c r="L837" s="1497"/>
      <c r="M837" s="1497"/>
      <c r="N837" s="1497"/>
      <c r="O837" s="1497"/>
      <c r="P837" s="1497"/>
      <c r="Q837" s="1497"/>
      <c r="R837" s="1497"/>
      <c r="S837" s="1497"/>
      <c r="T837" s="1497"/>
      <c r="U837" s="1497"/>
      <c r="V837" s="1497"/>
      <c r="W837" s="1497"/>
      <c r="X837" s="1497"/>
      <c r="Y837" s="1497"/>
      <c r="Z837" s="1497"/>
    </row>
    <row r="838" spans="1:26" ht="12.75" customHeight="1">
      <c r="A838" s="1497"/>
      <c r="B838" s="1497"/>
      <c r="C838" s="1497"/>
      <c r="D838" s="1497"/>
      <c r="E838" s="1497"/>
      <c r="F838" s="1497"/>
      <c r="G838" s="1497"/>
      <c r="H838" s="1497"/>
      <c r="I838" s="1497"/>
      <c r="J838" s="1497"/>
      <c r="K838" s="1497"/>
      <c r="L838" s="1497"/>
      <c r="M838" s="1497"/>
      <c r="N838" s="1497"/>
      <c r="O838" s="1497"/>
      <c r="P838" s="1497"/>
      <c r="Q838" s="1497"/>
      <c r="R838" s="1497"/>
      <c r="S838" s="1497"/>
      <c r="T838" s="1497"/>
      <c r="U838" s="1497"/>
      <c r="V838" s="1497"/>
      <c r="W838" s="1497"/>
      <c r="X838" s="1497"/>
      <c r="Y838" s="1497"/>
      <c r="Z838" s="1497"/>
    </row>
    <row r="839" spans="1:26" ht="12.75" customHeight="1">
      <c r="A839" s="1497"/>
      <c r="B839" s="1497"/>
      <c r="C839" s="1497"/>
      <c r="D839" s="1497"/>
      <c r="E839" s="1497"/>
      <c r="F839" s="1497"/>
      <c r="G839" s="1497"/>
      <c r="H839" s="1497"/>
      <c r="I839" s="1497"/>
      <c r="J839" s="1497"/>
      <c r="K839" s="1497"/>
      <c r="L839" s="1497"/>
      <c r="M839" s="1497"/>
      <c r="N839" s="1497"/>
      <c r="O839" s="1497"/>
      <c r="P839" s="1497"/>
      <c r="Q839" s="1497"/>
      <c r="R839" s="1497"/>
      <c r="S839" s="1497"/>
      <c r="T839" s="1497"/>
      <c r="U839" s="1497"/>
      <c r="V839" s="1497"/>
      <c r="W839" s="1497"/>
      <c r="X839" s="1497"/>
      <c r="Y839" s="1497"/>
      <c r="Z839" s="1497"/>
    </row>
    <row r="840" spans="1:26" ht="12.75" customHeight="1">
      <c r="A840" s="1497"/>
      <c r="B840" s="1497"/>
      <c r="C840" s="1497"/>
      <c r="D840" s="1497"/>
      <c r="E840" s="1497"/>
      <c r="F840" s="1497"/>
      <c r="G840" s="1497"/>
      <c r="H840" s="1497"/>
      <c r="I840" s="1497"/>
      <c r="J840" s="1497"/>
      <c r="K840" s="1497"/>
      <c r="L840" s="1497"/>
      <c r="M840" s="1497"/>
      <c r="N840" s="1497"/>
      <c r="O840" s="1497"/>
      <c r="P840" s="1497"/>
      <c r="Q840" s="1497"/>
      <c r="R840" s="1497"/>
      <c r="S840" s="1497"/>
      <c r="T840" s="1497"/>
      <c r="U840" s="1497"/>
      <c r="V840" s="1497"/>
      <c r="W840" s="1497"/>
      <c r="X840" s="1497"/>
      <c r="Y840" s="1497"/>
      <c r="Z840" s="1497"/>
    </row>
    <row r="841" spans="1:26" ht="12.75" customHeight="1">
      <c r="A841" s="1497"/>
      <c r="B841" s="1497"/>
      <c r="C841" s="1497"/>
      <c r="D841" s="1497"/>
      <c r="E841" s="1497"/>
      <c r="F841" s="1497"/>
      <c r="G841" s="1497"/>
      <c r="H841" s="1497"/>
      <c r="I841" s="1497"/>
      <c r="J841" s="1497"/>
      <c r="K841" s="1497"/>
      <c r="L841" s="1497"/>
      <c r="M841" s="1497"/>
      <c r="N841" s="1497"/>
      <c r="O841" s="1497"/>
      <c r="P841" s="1497"/>
      <c r="Q841" s="1497"/>
      <c r="R841" s="1497"/>
      <c r="S841" s="1497"/>
      <c r="T841" s="1497"/>
      <c r="U841" s="1497"/>
      <c r="V841" s="1497"/>
      <c r="W841" s="1497"/>
      <c r="X841" s="1497"/>
      <c r="Y841" s="1497"/>
      <c r="Z841" s="1497"/>
    </row>
    <row r="842" spans="1:26" ht="12.75" customHeight="1">
      <c r="A842" s="1497"/>
      <c r="B842" s="1497"/>
      <c r="C842" s="1497"/>
      <c r="D842" s="1497"/>
      <c r="E842" s="1497"/>
      <c r="F842" s="1497"/>
      <c r="G842" s="1497"/>
      <c r="H842" s="1497"/>
      <c r="I842" s="1497"/>
      <c r="J842" s="1497"/>
      <c r="K842" s="1497"/>
      <c r="L842" s="1497"/>
      <c r="M842" s="1497"/>
      <c r="N842" s="1497"/>
      <c r="O842" s="1497"/>
      <c r="P842" s="1497"/>
      <c r="Q842" s="1497"/>
      <c r="R842" s="1497"/>
      <c r="S842" s="1497"/>
      <c r="T842" s="1497"/>
      <c r="U842" s="1497"/>
      <c r="V842" s="1497"/>
      <c r="W842" s="1497"/>
      <c r="X842" s="1497"/>
      <c r="Y842" s="1497"/>
      <c r="Z842" s="1497"/>
    </row>
    <row r="843" spans="1:26" ht="12.75" customHeight="1">
      <c r="A843" s="1497"/>
      <c r="B843" s="1497"/>
      <c r="C843" s="1497"/>
      <c r="D843" s="1497"/>
      <c r="E843" s="1497"/>
      <c r="F843" s="1497"/>
      <c r="G843" s="1497"/>
      <c r="H843" s="1497"/>
      <c r="I843" s="1497"/>
      <c r="J843" s="1497"/>
      <c r="K843" s="1497"/>
      <c r="L843" s="1497"/>
      <c r="M843" s="1497"/>
      <c r="N843" s="1497"/>
      <c r="O843" s="1497"/>
      <c r="P843" s="1497"/>
      <c r="Q843" s="1497"/>
      <c r="R843" s="1497"/>
      <c r="S843" s="1497"/>
      <c r="T843" s="1497"/>
      <c r="U843" s="1497"/>
      <c r="V843" s="1497"/>
      <c r="W843" s="1497"/>
      <c r="X843" s="1497"/>
      <c r="Y843" s="1497"/>
      <c r="Z843" s="1497"/>
    </row>
    <row r="844" spans="1:26" ht="12.75" customHeight="1">
      <c r="A844" s="1497"/>
      <c r="B844" s="1497"/>
      <c r="C844" s="1497"/>
      <c r="D844" s="1497"/>
      <c r="E844" s="1497"/>
      <c r="F844" s="1497"/>
      <c r="G844" s="1497"/>
      <c r="H844" s="1497"/>
      <c r="I844" s="1497"/>
      <c r="J844" s="1497"/>
      <c r="K844" s="1497"/>
      <c r="L844" s="1497"/>
      <c r="M844" s="1497"/>
      <c r="N844" s="1497"/>
      <c r="O844" s="1497"/>
      <c r="P844" s="1497"/>
      <c r="Q844" s="1497"/>
      <c r="R844" s="1497"/>
      <c r="S844" s="1497"/>
      <c r="T844" s="1497"/>
      <c r="U844" s="1497"/>
      <c r="V844" s="1497"/>
      <c r="W844" s="1497"/>
      <c r="X844" s="1497"/>
      <c r="Y844" s="1497"/>
      <c r="Z844" s="1497"/>
    </row>
    <row r="845" spans="1:26" ht="12.75" customHeight="1">
      <c r="A845" s="1497"/>
      <c r="B845" s="1497"/>
      <c r="C845" s="1497"/>
      <c r="D845" s="1497"/>
      <c r="E845" s="1497"/>
      <c r="F845" s="1497"/>
      <c r="G845" s="1497"/>
      <c r="H845" s="1497"/>
      <c r="I845" s="1497"/>
      <c r="J845" s="1497"/>
      <c r="K845" s="1497"/>
      <c r="L845" s="1497"/>
      <c r="M845" s="1497"/>
      <c r="N845" s="1497"/>
      <c r="O845" s="1497"/>
      <c r="P845" s="1497"/>
      <c r="Q845" s="1497"/>
      <c r="R845" s="1497"/>
      <c r="S845" s="1497"/>
      <c r="T845" s="1497"/>
      <c r="U845" s="1497"/>
      <c r="V845" s="1497"/>
      <c r="W845" s="1497"/>
      <c r="X845" s="1497"/>
      <c r="Y845" s="1497"/>
      <c r="Z845" s="1497"/>
    </row>
    <row r="846" spans="1:26" ht="12.75" customHeight="1">
      <c r="A846" s="1497"/>
      <c r="B846" s="1497"/>
      <c r="C846" s="1497"/>
      <c r="D846" s="1497"/>
      <c r="E846" s="1497"/>
      <c r="F846" s="1497"/>
      <c r="G846" s="1497"/>
      <c r="H846" s="1497"/>
      <c r="I846" s="1497"/>
      <c r="J846" s="1497"/>
      <c r="K846" s="1497"/>
      <c r="L846" s="1497"/>
      <c r="M846" s="1497"/>
      <c r="N846" s="1497"/>
      <c r="O846" s="1497"/>
      <c r="P846" s="1497"/>
      <c r="Q846" s="1497"/>
      <c r="R846" s="1497"/>
      <c r="S846" s="1497"/>
      <c r="T846" s="1497"/>
      <c r="U846" s="1497"/>
      <c r="V846" s="1497"/>
      <c r="W846" s="1497"/>
      <c r="X846" s="1497"/>
      <c r="Y846" s="1497"/>
      <c r="Z846" s="1497"/>
    </row>
    <row r="847" spans="1:26" ht="12.75" customHeight="1">
      <c r="A847" s="1497"/>
      <c r="B847" s="1497"/>
      <c r="C847" s="1497"/>
      <c r="D847" s="1497"/>
      <c r="E847" s="1497"/>
      <c r="F847" s="1497"/>
      <c r="G847" s="1497"/>
      <c r="H847" s="1497"/>
      <c r="I847" s="1497"/>
      <c r="J847" s="1497"/>
      <c r="K847" s="1497"/>
      <c r="L847" s="1497"/>
      <c r="M847" s="1497"/>
      <c r="N847" s="1497"/>
      <c r="O847" s="1497"/>
      <c r="P847" s="1497"/>
      <c r="Q847" s="1497"/>
      <c r="R847" s="1497"/>
      <c r="S847" s="1497"/>
      <c r="T847" s="1497"/>
      <c r="U847" s="1497"/>
      <c r="V847" s="1497"/>
      <c r="W847" s="1497"/>
      <c r="X847" s="1497"/>
      <c r="Y847" s="1497"/>
      <c r="Z847" s="1497"/>
    </row>
    <row r="848" spans="1:26" ht="12.75" customHeight="1">
      <c r="A848" s="1497"/>
      <c r="B848" s="1497"/>
      <c r="C848" s="1497"/>
      <c r="D848" s="1497"/>
      <c r="E848" s="1497"/>
      <c r="F848" s="1497"/>
      <c r="G848" s="1497"/>
      <c r="H848" s="1497"/>
      <c r="I848" s="1497"/>
      <c r="J848" s="1497"/>
      <c r="K848" s="1497"/>
      <c r="L848" s="1497"/>
      <c r="M848" s="1497"/>
      <c r="N848" s="1497"/>
      <c r="O848" s="1497"/>
      <c r="P848" s="1497"/>
      <c r="Q848" s="1497"/>
      <c r="R848" s="1497"/>
      <c r="S848" s="1497"/>
      <c r="T848" s="1497"/>
      <c r="U848" s="1497"/>
      <c r="V848" s="1497"/>
      <c r="W848" s="1497"/>
      <c r="X848" s="1497"/>
      <c r="Y848" s="1497"/>
      <c r="Z848" s="1497"/>
    </row>
    <row r="849" spans="1:26" ht="12.75" customHeight="1">
      <c r="A849" s="1497"/>
      <c r="B849" s="1497"/>
      <c r="C849" s="1497"/>
      <c r="D849" s="1497"/>
      <c r="E849" s="1497"/>
      <c r="F849" s="1497"/>
      <c r="G849" s="1497"/>
      <c r="H849" s="1497"/>
      <c r="I849" s="1497"/>
      <c r="J849" s="1497"/>
      <c r="K849" s="1497"/>
      <c r="L849" s="1497"/>
      <c r="M849" s="1497"/>
      <c r="N849" s="1497"/>
      <c r="O849" s="1497"/>
      <c r="P849" s="1497"/>
      <c r="Q849" s="1497"/>
      <c r="R849" s="1497"/>
      <c r="S849" s="1497"/>
      <c r="T849" s="1497"/>
      <c r="U849" s="1497"/>
      <c r="V849" s="1497"/>
      <c r="W849" s="1497"/>
      <c r="X849" s="1497"/>
      <c r="Y849" s="1497"/>
      <c r="Z849" s="1497"/>
    </row>
    <row r="850" spans="1:26" ht="12.75" customHeight="1">
      <c r="A850" s="1497"/>
      <c r="B850" s="1497"/>
      <c r="C850" s="1497"/>
      <c r="D850" s="1497"/>
      <c r="E850" s="1497"/>
      <c r="F850" s="1497"/>
      <c r="G850" s="1497"/>
      <c r="H850" s="1497"/>
      <c r="I850" s="1497"/>
      <c r="J850" s="1497"/>
      <c r="K850" s="1497"/>
      <c r="L850" s="1497"/>
      <c r="M850" s="1497"/>
      <c r="N850" s="1497"/>
      <c r="O850" s="1497"/>
      <c r="P850" s="1497"/>
      <c r="Q850" s="1497"/>
      <c r="R850" s="1497"/>
      <c r="S850" s="1497"/>
      <c r="T850" s="1497"/>
      <c r="U850" s="1497"/>
      <c r="V850" s="1497"/>
      <c r="W850" s="1497"/>
      <c r="X850" s="1497"/>
      <c r="Y850" s="1497"/>
      <c r="Z850" s="1497"/>
    </row>
    <row r="851" spans="1:26" ht="12.75" customHeight="1">
      <c r="A851" s="1497"/>
      <c r="B851" s="1497"/>
      <c r="C851" s="1497"/>
      <c r="D851" s="1497"/>
      <c r="E851" s="1497"/>
      <c r="F851" s="1497"/>
      <c r="G851" s="1497"/>
      <c r="H851" s="1497"/>
      <c r="I851" s="1497"/>
      <c r="J851" s="1497"/>
      <c r="K851" s="1497"/>
      <c r="L851" s="1497"/>
      <c r="M851" s="1497"/>
      <c r="N851" s="1497"/>
      <c r="O851" s="1497"/>
      <c r="P851" s="1497"/>
      <c r="Q851" s="1497"/>
      <c r="R851" s="1497"/>
      <c r="S851" s="1497"/>
      <c r="T851" s="1497"/>
      <c r="U851" s="1497"/>
      <c r="V851" s="1497"/>
      <c r="W851" s="1497"/>
      <c r="X851" s="1497"/>
      <c r="Y851" s="1497"/>
      <c r="Z851" s="1497"/>
    </row>
    <row r="852" spans="1:26" ht="12.75" customHeight="1">
      <c r="A852" s="1497"/>
      <c r="B852" s="1497"/>
      <c r="C852" s="1497"/>
      <c r="D852" s="1497"/>
      <c r="E852" s="1497"/>
      <c r="F852" s="1497"/>
      <c r="G852" s="1497"/>
      <c r="H852" s="1497"/>
      <c r="I852" s="1497"/>
      <c r="J852" s="1497"/>
      <c r="K852" s="1497"/>
      <c r="L852" s="1497"/>
      <c r="M852" s="1497"/>
      <c r="N852" s="1497"/>
      <c r="O852" s="1497"/>
      <c r="P852" s="1497"/>
      <c r="Q852" s="1497"/>
      <c r="R852" s="1497"/>
      <c r="S852" s="1497"/>
      <c r="T852" s="1497"/>
      <c r="U852" s="1497"/>
      <c r="V852" s="1497"/>
      <c r="W852" s="1497"/>
      <c r="X852" s="1497"/>
      <c r="Y852" s="1497"/>
      <c r="Z852" s="1497"/>
    </row>
    <row r="853" spans="1:26" ht="12.75" customHeight="1">
      <c r="A853" s="1497"/>
      <c r="B853" s="1497"/>
      <c r="C853" s="1497"/>
      <c r="D853" s="1497"/>
      <c r="E853" s="1497"/>
      <c r="F853" s="1497"/>
      <c r="G853" s="1497"/>
      <c r="H853" s="1497"/>
      <c r="I853" s="1497"/>
      <c r="J853" s="1497"/>
      <c r="K853" s="1497"/>
      <c r="L853" s="1497"/>
      <c r="M853" s="1497"/>
      <c r="N853" s="1497"/>
      <c r="O853" s="1497"/>
      <c r="P853" s="1497"/>
      <c r="Q853" s="1497"/>
      <c r="R853" s="1497"/>
      <c r="S853" s="1497"/>
      <c r="T853" s="1497"/>
      <c r="U853" s="1497"/>
      <c r="V853" s="1497"/>
      <c r="W853" s="1497"/>
      <c r="X853" s="1497"/>
      <c r="Y853" s="1497"/>
      <c r="Z853" s="1497"/>
    </row>
    <row r="854" spans="1:26" ht="12.75" customHeight="1">
      <c r="A854" s="1497"/>
      <c r="B854" s="1497"/>
      <c r="C854" s="1497"/>
      <c r="D854" s="1497"/>
      <c r="E854" s="1497"/>
      <c r="F854" s="1497"/>
      <c r="G854" s="1497"/>
      <c r="H854" s="1497"/>
      <c r="I854" s="1497"/>
      <c r="J854" s="1497"/>
      <c r="K854" s="1497"/>
      <c r="L854" s="1497"/>
      <c r="M854" s="1497"/>
      <c r="N854" s="1497"/>
      <c r="O854" s="1497"/>
      <c r="P854" s="1497"/>
      <c r="Q854" s="1497"/>
      <c r="R854" s="1497"/>
      <c r="S854" s="1497"/>
      <c r="T854" s="1497"/>
      <c r="U854" s="1497"/>
      <c r="V854" s="1497"/>
      <c r="W854" s="1497"/>
      <c r="X854" s="1497"/>
      <c r="Y854" s="1497"/>
      <c r="Z854" s="1497"/>
    </row>
    <row r="855" spans="1:26" ht="12.75" customHeight="1">
      <c r="A855" s="1497"/>
      <c r="B855" s="1497"/>
      <c r="C855" s="1497"/>
      <c r="D855" s="1497"/>
      <c r="E855" s="1497"/>
      <c r="F855" s="1497"/>
      <c r="G855" s="1497"/>
      <c r="H855" s="1497"/>
      <c r="I855" s="1497"/>
      <c r="J855" s="1497"/>
      <c r="K855" s="1497"/>
      <c r="L855" s="1497"/>
      <c r="M855" s="1497"/>
      <c r="N855" s="1497"/>
      <c r="O855" s="1497"/>
      <c r="P855" s="1497"/>
      <c r="Q855" s="1497"/>
      <c r="R855" s="1497"/>
      <c r="S855" s="1497"/>
      <c r="T855" s="1497"/>
      <c r="U855" s="1497"/>
      <c r="V855" s="1497"/>
      <c r="W855" s="1497"/>
      <c r="X855" s="1497"/>
      <c r="Y855" s="1497"/>
      <c r="Z855" s="1497"/>
    </row>
    <row r="856" spans="1:26" ht="12.75" customHeight="1">
      <c r="A856" s="1497"/>
      <c r="B856" s="1497"/>
      <c r="C856" s="1497"/>
      <c r="D856" s="1497"/>
      <c r="E856" s="1497"/>
      <c r="F856" s="1497"/>
      <c r="G856" s="1497"/>
      <c r="H856" s="1497"/>
      <c r="I856" s="1497"/>
      <c r="J856" s="1497"/>
      <c r="K856" s="1497"/>
      <c r="L856" s="1497"/>
      <c r="M856" s="1497"/>
      <c r="N856" s="1497"/>
      <c r="O856" s="1497"/>
      <c r="P856" s="1497"/>
      <c r="Q856" s="1497"/>
      <c r="R856" s="1497"/>
      <c r="S856" s="1497"/>
      <c r="T856" s="1497"/>
      <c r="U856" s="1497"/>
      <c r="V856" s="1497"/>
      <c r="W856" s="1497"/>
      <c r="X856" s="1497"/>
      <c r="Y856" s="1497"/>
      <c r="Z856" s="1497"/>
    </row>
    <row r="857" spans="1:26" ht="12.75" customHeight="1">
      <c r="A857" s="1497"/>
      <c r="B857" s="1497"/>
      <c r="C857" s="1497"/>
      <c r="D857" s="1497"/>
      <c r="E857" s="1497"/>
      <c r="F857" s="1497"/>
      <c r="G857" s="1497"/>
      <c r="H857" s="1497"/>
      <c r="I857" s="1497"/>
      <c r="J857" s="1497"/>
      <c r="K857" s="1497"/>
      <c r="L857" s="1497"/>
      <c r="M857" s="1497"/>
      <c r="N857" s="1497"/>
      <c r="O857" s="1497"/>
      <c r="P857" s="1497"/>
      <c r="Q857" s="1497"/>
      <c r="R857" s="1497"/>
      <c r="S857" s="1497"/>
      <c r="T857" s="1497"/>
      <c r="U857" s="1497"/>
      <c r="V857" s="1497"/>
      <c r="W857" s="1497"/>
      <c r="X857" s="1497"/>
      <c r="Y857" s="1497"/>
      <c r="Z857" s="1497"/>
    </row>
    <row r="858" spans="1:26" ht="12.75" customHeight="1">
      <c r="A858" s="1497"/>
      <c r="B858" s="1497"/>
      <c r="C858" s="1497"/>
      <c r="D858" s="1497"/>
      <c r="E858" s="1497"/>
      <c r="F858" s="1497"/>
      <c r="G858" s="1497"/>
      <c r="H858" s="1497"/>
      <c r="I858" s="1497"/>
      <c r="J858" s="1497"/>
      <c r="K858" s="1497"/>
      <c r="L858" s="1497"/>
      <c r="M858" s="1497"/>
      <c r="N858" s="1497"/>
      <c r="O858" s="1497"/>
      <c r="P858" s="1497"/>
      <c r="Q858" s="1497"/>
      <c r="R858" s="1497"/>
      <c r="S858" s="1497"/>
      <c r="T858" s="1497"/>
      <c r="U858" s="1497"/>
      <c r="V858" s="1497"/>
      <c r="W858" s="1497"/>
      <c r="X858" s="1497"/>
      <c r="Y858" s="1497"/>
      <c r="Z858" s="1497"/>
    </row>
    <row r="859" spans="1:26" ht="12.75" customHeight="1">
      <c r="A859" s="1497"/>
      <c r="B859" s="1497"/>
      <c r="C859" s="1497"/>
      <c r="D859" s="1497"/>
      <c r="E859" s="1497"/>
      <c r="F859" s="1497"/>
      <c r="G859" s="1497"/>
      <c r="H859" s="1497"/>
      <c r="I859" s="1497"/>
      <c r="J859" s="1497"/>
      <c r="K859" s="1497"/>
      <c r="L859" s="1497"/>
      <c r="M859" s="1497"/>
      <c r="N859" s="1497"/>
      <c r="O859" s="1497"/>
      <c r="P859" s="1497"/>
      <c r="Q859" s="1497"/>
      <c r="R859" s="1497"/>
      <c r="S859" s="1497"/>
      <c r="T859" s="1497"/>
      <c r="U859" s="1497"/>
      <c r="V859" s="1497"/>
      <c r="W859" s="1497"/>
      <c r="X859" s="1497"/>
      <c r="Y859" s="1497"/>
      <c r="Z859" s="1497"/>
    </row>
    <row r="860" spans="1:26" ht="12.75" customHeight="1">
      <c r="A860" s="1497"/>
      <c r="B860" s="1497"/>
      <c r="C860" s="1497"/>
      <c r="D860" s="1497"/>
      <c r="E860" s="1497"/>
      <c r="F860" s="1497"/>
      <c r="G860" s="1497"/>
      <c r="H860" s="1497"/>
      <c r="I860" s="1497"/>
      <c r="J860" s="1497"/>
      <c r="K860" s="1497"/>
      <c r="L860" s="1497"/>
      <c r="M860" s="1497"/>
      <c r="N860" s="1497"/>
      <c r="O860" s="1497"/>
      <c r="P860" s="1497"/>
      <c r="Q860" s="1497"/>
      <c r="R860" s="1497"/>
      <c r="S860" s="1497"/>
      <c r="T860" s="1497"/>
      <c r="U860" s="1497"/>
      <c r="V860" s="1497"/>
      <c r="W860" s="1497"/>
      <c r="X860" s="1497"/>
      <c r="Y860" s="1497"/>
      <c r="Z860" s="1497"/>
    </row>
    <row r="861" spans="1:26" ht="12.75" customHeight="1">
      <c r="A861" s="1497"/>
      <c r="B861" s="1497"/>
      <c r="C861" s="1497"/>
      <c r="D861" s="1497"/>
      <c r="E861" s="1497"/>
      <c r="F861" s="1497"/>
      <c r="G861" s="1497"/>
      <c r="H861" s="1497"/>
      <c r="I861" s="1497"/>
      <c r="J861" s="1497"/>
      <c r="K861" s="1497"/>
      <c r="L861" s="1497"/>
      <c r="M861" s="1497"/>
      <c r="N861" s="1497"/>
      <c r="O861" s="1497"/>
      <c r="P861" s="1497"/>
      <c r="Q861" s="1497"/>
      <c r="R861" s="1497"/>
      <c r="S861" s="1497"/>
      <c r="T861" s="1497"/>
      <c r="U861" s="1497"/>
      <c r="V861" s="1497"/>
      <c r="W861" s="1497"/>
      <c r="X861" s="1497"/>
      <c r="Y861" s="1497"/>
      <c r="Z861" s="1497"/>
    </row>
    <row r="862" spans="1:26" ht="12.75" customHeight="1">
      <c r="A862" s="1497"/>
      <c r="B862" s="1497"/>
      <c r="C862" s="1497"/>
      <c r="D862" s="1497"/>
      <c r="E862" s="1497"/>
      <c r="F862" s="1497"/>
      <c r="G862" s="1497"/>
      <c r="H862" s="1497"/>
      <c r="I862" s="1497"/>
      <c r="J862" s="1497"/>
      <c r="K862" s="1497"/>
      <c r="L862" s="1497"/>
      <c r="M862" s="1497"/>
      <c r="N862" s="1497"/>
      <c r="O862" s="1497"/>
      <c r="P862" s="1497"/>
      <c r="Q862" s="1497"/>
      <c r="R862" s="1497"/>
      <c r="S862" s="1497"/>
      <c r="T862" s="1497"/>
      <c r="U862" s="1497"/>
      <c r="V862" s="1497"/>
      <c r="W862" s="1497"/>
      <c r="X862" s="1497"/>
      <c r="Y862" s="1497"/>
      <c r="Z862" s="1497"/>
    </row>
    <row r="863" spans="1:26" ht="12.75" customHeight="1">
      <c r="A863" s="1497"/>
      <c r="B863" s="1497"/>
      <c r="C863" s="1497"/>
      <c r="D863" s="1497"/>
      <c r="E863" s="1497"/>
      <c r="F863" s="1497"/>
      <c r="G863" s="1497"/>
      <c r="H863" s="1497"/>
      <c r="I863" s="1497"/>
      <c r="J863" s="1497"/>
      <c r="K863" s="1497"/>
      <c r="L863" s="1497"/>
      <c r="M863" s="1497"/>
      <c r="N863" s="1497"/>
      <c r="O863" s="1497"/>
      <c r="P863" s="1497"/>
      <c r="Q863" s="1497"/>
      <c r="R863" s="1497"/>
      <c r="S863" s="1497"/>
      <c r="T863" s="1497"/>
      <c r="U863" s="1497"/>
      <c r="V863" s="1497"/>
      <c r="W863" s="1497"/>
      <c r="X863" s="1497"/>
      <c r="Y863" s="1497"/>
      <c r="Z863" s="1497"/>
    </row>
    <row r="864" spans="1:26" ht="12.75" customHeight="1">
      <c r="A864" s="1497"/>
      <c r="B864" s="1497"/>
      <c r="C864" s="1497"/>
      <c r="D864" s="1497"/>
      <c r="E864" s="1497"/>
      <c r="F864" s="1497"/>
      <c r="G864" s="1497"/>
      <c r="H864" s="1497"/>
      <c r="I864" s="1497"/>
      <c r="J864" s="1497"/>
      <c r="K864" s="1497"/>
      <c r="L864" s="1497"/>
      <c r="M864" s="1497"/>
      <c r="N864" s="1497"/>
      <c r="O864" s="1497"/>
      <c r="P864" s="1497"/>
      <c r="Q864" s="1497"/>
      <c r="R864" s="1497"/>
      <c r="S864" s="1497"/>
      <c r="T864" s="1497"/>
      <c r="U864" s="1497"/>
      <c r="V864" s="1497"/>
      <c r="W864" s="1497"/>
      <c r="X864" s="1497"/>
      <c r="Y864" s="1497"/>
      <c r="Z864" s="1497"/>
    </row>
    <row r="865" spans="1:26" ht="12.75" customHeight="1">
      <c r="A865" s="1497"/>
      <c r="B865" s="1497"/>
      <c r="C865" s="1497"/>
      <c r="D865" s="1497"/>
      <c r="E865" s="1497"/>
      <c r="F865" s="1497"/>
      <c r="G865" s="1497"/>
      <c r="H865" s="1497"/>
      <c r="I865" s="1497"/>
      <c r="J865" s="1497"/>
      <c r="K865" s="1497"/>
      <c r="L865" s="1497"/>
      <c r="M865" s="1497"/>
      <c r="N865" s="1497"/>
      <c r="O865" s="1497"/>
      <c r="P865" s="1497"/>
      <c r="Q865" s="1497"/>
      <c r="R865" s="1497"/>
      <c r="S865" s="1497"/>
      <c r="T865" s="1497"/>
      <c r="U865" s="1497"/>
      <c r="V865" s="1497"/>
      <c r="W865" s="1497"/>
      <c r="X865" s="1497"/>
      <c r="Y865" s="1497"/>
      <c r="Z865" s="1497"/>
    </row>
    <row r="866" spans="1:26" ht="12.75" customHeight="1">
      <c r="A866" s="1497"/>
      <c r="B866" s="1497"/>
      <c r="C866" s="1497"/>
      <c r="D866" s="1497"/>
      <c r="E866" s="1497"/>
      <c r="F866" s="1497"/>
      <c r="G866" s="1497"/>
      <c r="H866" s="1497"/>
      <c r="I866" s="1497"/>
      <c r="J866" s="1497"/>
      <c r="K866" s="1497"/>
      <c r="L866" s="1497"/>
      <c r="M866" s="1497"/>
      <c r="N866" s="1497"/>
      <c r="O866" s="1497"/>
      <c r="P866" s="1497"/>
      <c r="Q866" s="1497"/>
      <c r="R866" s="1497"/>
      <c r="S866" s="1497"/>
      <c r="T866" s="1497"/>
      <c r="U866" s="1497"/>
      <c r="V866" s="1497"/>
      <c r="W866" s="1497"/>
      <c r="X866" s="1497"/>
      <c r="Y866" s="1497"/>
      <c r="Z866" s="1497"/>
    </row>
    <row r="867" spans="1:26" ht="12.75" customHeight="1">
      <c r="A867" s="1497"/>
      <c r="B867" s="1497"/>
      <c r="C867" s="1497"/>
      <c r="D867" s="1497"/>
      <c r="E867" s="1497"/>
      <c r="F867" s="1497"/>
      <c r="G867" s="1497"/>
      <c r="H867" s="1497"/>
      <c r="I867" s="1497"/>
      <c r="J867" s="1497"/>
      <c r="K867" s="1497"/>
      <c r="L867" s="1497"/>
      <c r="M867" s="1497"/>
      <c r="N867" s="1497"/>
      <c r="O867" s="1497"/>
      <c r="P867" s="1497"/>
      <c r="Q867" s="1497"/>
      <c r="R867" s="1497"/>
      <c r="S867" s="1497"/>
      <c r="T867" s="1497"/>
      <c r="U867" s="1497"/>
      <c r="V867" s="1497"/>
      <c r="W867" s="1497"/>
      <c r="X867" s="1497"/>
      <c r="Y867" s="1497"/>
      <c r="Z867" s="1497"/>
    </row>
    <row r="868" spans="1:26" ht="12.75" customHeight="1">
      <c r="A868" s="1497"/>
      <c r="B868" s="1497"/>
      <c r="C868" s="1497"/>
      <c r="D868" s="1497"/>
      <c r="E868" s="1497"/>
      <c r="F868" s="1497"/>
      <c r="G868" s="1497"/>
      <c r="H868" s="1497"/>
      <c r="I868" s="1497"/>
      <c r="J868" s="1497"/>
      <c r="K868" s="1497"/>
      <c r="L868" s="1497"/>
      <c r="M868" s="1497"/>
      <c r="N868" s="1497"/>
      <c r="O868" s="1497"/>
      <c r="P868" s="1497"/>
      <c r="Q868" s="1497"/>
      <c r="R868" s="1497"/>
      <c r="S868" s="1497"/>
      <c r="T868" s="1497"/>
      <c r="U868" s="1497"/>
      <c r="V868" s="1497"/>
      <c r="W868" s="1497"/>
      <c r="X868" s="1497"/>
      <c r="Y868" s="1497"/>
      <c r="Z868" s="1497"/>
    </row>
    <row r="869" spans="1:26" ht="12.75" customHeight="1">
      <c r="A869" s="1497"/>
      <c r="B869" s="1497"/>
      <c r="C869" s="1497"/>
      <c r="D869" s="1497"/>
      <c r="E869" s="1497"/>
      <c r="F869" s="1497"/>
      <c r="G869" s="1497"/>
      <c r="H869" s="1497"/>
      <c r="I869" s="1497"/>
      <c r="J869" s="1497"/>
      <c r="K869" s="1497"/>
      <c r="L869" s="1497"/>
      <c r="M869" s="1497"/>
      <c r="N869" s="1497"/>
      <c r="O869" s="1497"/>
      <c r="P869" s="1497"/>
      <c r="Q869" s="1497"/>
      <c r="R869" s="1497"/>
      <c r="S869" s="1497"/>
      <c r="T869" s="1497"/>
      <c r="U869" s="1497"/>
      <c r="V869" s="1497"/>
      <c r="W869" s="1497"/>
      <c r="X869" s="1497"/>
      <c r="Y869" s="1497"/>
      <c r="Z869" s="1497"/>
    </row>
    <row r="870" spans="1:26" ht="12.75" customHeight="1">
      <c r="A870" s="1497"/>
      <c r="B870" s="1497"/>
      <c r="C870" s="1497"/>
      <c r="D870" s="1497"/>
      <c r="E870" s="1497"/>
      <c r="F870" s="1497"/>
      <c r="G870" s="1497"/>
      <c r="H870" s="1497"/>
      <c r="I870" s="1497"/>
      <c r="J870" s="1497"/>
      <c r="K870" s="1497"/>
      <c r="L870" s="1497"/>
      <c r="M870" s="1497"/>
      <c r="N870" s="1497"/>
      <c r="O870" s="1497"/>
      <c r="P870" s="1497"/>
      <c r="Q870" s="1497"/>
      <c r="R870" s="1497"/>
      <c r="S870" s="1497"/>
      <c r="T870" s="1497"/>
      <c r="U870" s="1497"/>
      <c r="V870" s="1497"/>
      <c r="W870" s="1497"/>
      <c r="X870" s="1497"/>
      <c r="Y870" s="1497"/>
      <c r="Z870" s="1497"/>
    </row>
    <row r="871" spans="1:26" ht="12.75" customHeight="1">
      <c r="A871" s="1497"/>
      <c r="B871" s="1497"/>
      <c r="C871" s="1497"/>
      <c r="D871" s="1497"/>
      <c r="E871" s="1497"/>
      <c r="F871" s="1497"/>
      <c r="G871" s="1497"/>
      <c r="H871" s="1497"/>
      <c r="I871" s="1497"/>
      <c r="J871" s="1497"/>
      <c r="K871" s="1497"/>
      <c r="L871" s="1497"/>
      <c r="M871" s="1497"/>
      <c r="N871" s="1497"/>
      <c r="O871" s="1497"/>
      <c r="P871" s="1497"/>
      <c r="Q871" s="1497"/>
      <c r="R871" s="1497"/>
      <c r="S871" s="1497"/>
      <c r="T871" s="1497"/>
      <c r="U871" s="1497"/>
      <c r="V871" s="1497"/>
      <c r="W871" s="1497"/>
      <c r="X871" s="1497"/>
      <c r="Y871" s="1497"/>
      <c r="Z871" s="1497"/>
    </row>
    <row r="872" spans="1:26" ht="12.75" customHeight="1">
      <c r="A872" s="1497"/>
      <c r="B872" s="1497"/>
      <c r="C872" s="1497"/>
      <c r="D872" s="1497"/>
      <c r="E872" s="1497"/>
      <c r="F872" s="1497"/>
      <c r="G872" s="1497"/>
      <c r="H872" s="1497"/>
      <c r="I872" s="1497"/>
      <c r="J872" s="1497"/>
      <c r="K872" s="1497"/>
      <c r="L872" s="1497"/>
      <c r="M872" s="1497"/>
      <c r="N872" s="1497"/>
      <c r="O872" s="1497"/>
      <c r="P872" s="1497"/>
      <c r="Q872" s="1497"/>
      <c r="R872" s="1497"/>
      <c r="S872" s="1497"/>
      <c r="T872" s="1497"/>
      <c r="U872" s="1497"/>
      <c r="V872" s="1497"/>
      <c r="W872" s="1497"/>
      <c r="X872" s="1497"/>
      <c r="Y872" s="1497"/>
      <c r="Z872" s="1497"/>
    </row>
    <row r="873" spans="1:26" ht="12.75" customHeight="1">
      <c r="A873" s="1497"/>
      <c r="B873" s="1497"/>
      <c r="C873" s="1497"/>
      <c r="D873" s="1497"/>
      <c r="E873" s="1497"/>
      <c r="F873" s="1497"/>
      <c r="G873" s="1497"/>
      <c r="H873" s="1497"/>
      <c r="I873" s="1497"/>
      <c r="J873" s="1497"/>
      <c r="K873" s="1497"/>
      <c r="L873" s="1497"/>
      <c r="M873" s="1497"/>
      <c r="N873" s="1497"/>
      <c r="O873" s="1497"/>
      <c r="P873" s="1497"/>
      <c r="Q873" s="1497"/>
      <c r="R873" s="1497"/>
      <c r="S873" s="1497"/>
      <c r="T873" s="1497"/>
      <c r="U873" s="1497"/>
      <c r="V873" s="1497"/>
      <c r="W873" s="1497"/>
      <c r="X873" s="1497"/>
      <c r="Y873" s="1497"/>
      <c r="Z873" s="1497"/>
    </row>
    <row r="874" spans="1:26" ht="12.75" customHeight="1">
      <c r="A874" s="1497"/>
      <c r="B874" s="1497"/>
      <c r="C874" s="1497"/>
      <c r="D874" s="1497"/>
      <c r="E874" s="1497"/>
      <c r="F874" s="1497"/>
      <c r="G874" s="1497"/>
      <c r="H874" s="1497"/>
      <c r="I874" s="1497"/>
      <c r="J874" s="1497"/>
      <c r="K874" s="1497"/>
      <c r="L874" s="1497"/>
      <c r="M874" s="1497"/>
      <c r="N874" s="1497"/>
      <c r="O874" s="1497"/>
      <c r="P874" s="1497"/>
      <c r="Q874" s="1497"/>
      <c r="R874" s="1497"/>
      <c r="S874" s="1497"/>
      <c r="T874" s="1497"/>
      <c r="U874" s="1497"/>
      <c r="V874" s="1497"/>
      <c r="W874" s="1497"/>
      <c r="X874" s="1497"/>
      <c r="Y874" s="1497"/>
      <c r="Z874" s="1497"/>
    </row>
    <row r="875" spans="1:26" ht="12.75" customHeight="1">
      <c r="A875" s="1497"/>
      <c r="B875" s="1497"/>
      <c r="C875" s="1497"/>
      <c r="D875" s="1497"/>
      <c r="E875" s="1497"/>
      <c r="F875" s="1497"/>
      <c r="G875" s="1497"/>
      <c r="H875" s="1497"/>
      <c r="I875" s="1497"/>
      <c r="J875" s="1497"/>
      <c r="K875" s="1497"/>
      <c r="L875" s="1497"/>
      <c r="M875" s="1497"/>
      <c r="N875" s="1497"/>
      <c r="O875" s="1497"/>
      <c r="P875" s="1497"/>
      <c r="Q875" s="1497"/>
      <c r="R875" s="1497"/>
      <c r="S875" s="1497"/>
      <c r="T875" s="1497"/>
      <c r="U875" s="1497"/>
      <c r="V875" s="1497"/>
      <c r="W875" s="1497"/>
      <c r="X875" s="1497"/>
      <c r="Y875" s="1497"/>
      <c r="Z875" s="1497"/>
    </row>
    <row r="876" spans="1:26" ht="12.75" customHeight="1">
      <c r="A876" s="1497"/>
      <c r="B876" s="1497"/>
      <c r="C876" s="1497"/>
      <c r="D876" s="1497"/>
      <c r="E876" s="1497"/>
      <c r="F876" s="1497"/>
      <c r="G876" s="1497"/>
      <c r="H876" s="1497"/>
      <c r="I876" s="1497"/>
      <c r="J876" s="1497"/>
      <c r="K876" s="1497"/>
      <c r="L876" s="1497"/>
      <c r="M876" s="1497"/>
      <c r="N876" s="1497"/>
      <c r="O876" s="1497"/>
      <c r="P876" s="1497"/>
      <c r="Q876" s="1497"/>
      <c r="R876" s="1497"/>
      <c r="S876" s="1497"/>
      <c r="T876" s="1497"/>
      <c r="U876" s="1497"/>
      <c r="V876" s="1497"/>
      <c r="W876" s="1497"/>
      <c r="X876" s="1497"/>
      <c r="Y876" s="1497"/>
      <c r="Z876" s="1497"/>
    </row>
    <row r="877" spans="1:26" ht="12.75" customHeight="1">
      <c r="A877" s="1497"/>
      <c r="B877" s="1497"/>
      <c r="C877" s="1497"/>
      <c r="D877" s="1497"/>
      <c r="E877" s="1497"/>
      <c r="F877" s="1497"/>
      <c r="G877" s="1497"/>
      <c r="H877" s="1497"/>
      <c r="I877" s="1497"/>
      <c r="J877" s="1497"/>
      <c r="K877" s="1497"/>
      <c r="L877" s="1497"/>
      <c r="M877" s="1497"/>
      <c r="N877" s="1497"/>
      <c r="O877" s="1497"/>
      <c r="P877" s="1497"/>
      <c r="Q877" s="1497"/>
      <c r="R877" s="1497"/>
      <c r="S877" s="1497"/>
      <c r="T877" s="1497"/>
      <c r="U877" s="1497"/>
      <c r="V877" s="1497"/>
      <c r="W877" s="1497"/>
      <c r="X877" s="1497"/>
      <c r="Y877" s="1497"/>
      <c r="Z877" s="1497"/>
    </row>
    <row r="878" spans="1:26" ht="12.75" customHeight="1">
      <c r="A878" s="1497"/>
      <c r="B878" s="1497"/>
      <c r="C878" s="1497"/>
      <c r="D878" s="1497"/>
      <c r="E878" s="1497"/>
      <c r="F878" s="1497"/>
      <c r="G878" s="1497"/>
      <c r="H878" s="1497"/>
      <c r="I878" s="1497"/>
      <c r="J878" s="1497"/>
      <c r="K878" s="1497"/>
      <c r="L878" s="1497"/>
      <c r="M878" s="1497"/>
      <c r="N878" s="1497"/>
      <c r="O878" s="1497"/>
      <c r="P878" s="1497"/>
      <c r="Q878" s="1497"/>
      <c r="R878" s="1497"/>
      <c r="S878" s="1497"/>
      <c r="T878" s="1497"/>
      <c r="U878" s="1497"/>
      <c r="V878" s="1497"/>
      <c r="W878" s="1497"/>
      <c r="X878" s="1497"/>
      <c r="Y878" s="1497"/>
      <c r="Z878" s="1497"/>
    </row>
    <row r="879" spans="1:26" ht="12.75" customHeight="1">
      <c r="A879" s="1497"/>
      <c r="B879" s="1497"/>
      <c r="C879" s="1497"/>
      <c r="D879" s="1497"/>
      <c r="E879" s="1497"/>
      <c r="F879" s="1497"/>
      <c r="G879" s="1497"/>
      <c r="H879" s="1497"/>
      <c r="I879" s="1497"/>
      <c r="J879" s="1497"/>
      <c r="K879" s="1497"/>
      <c r="L879" s="1497"/>
      <c r="M879" s="1497"/>
      <c r="N879" s="1497"/>
      <c r="O879" s="1497"/>
      <c r="P879" s="1497"/>
      <c r="Q879" s="1497"/>
      <c r="R879" s="1497"/>
      <c r="S879" s="1497"/>
      <c r="T879" s="1497"/>
      <c r="U879" s="1497"/>
      <c r="V879" s="1497"/>
      <c r="W879" s="1497"/>
      <c r="X879" s="1497"/>
      <c r="Y879" s="1497"/>
      <c r="Z879" s="1497"/>
    </row>
    <row r="880" spans="1:26" ht="12.75" customHeight="1">
      <c r="A880" s="1497"/>
      <c r="B880" s="1497"/>
      <c r="C880" s="1497"/>
      <c r="D880" s="1497"/>
      <c r="E880" s="1497"/>
      <c r="F880" s="1497"/>
      <c r="G880" s="1497"/>
      <c r="H880" s="1497"/>
      <c r="I880" s="1497"/>
      <c r="J880" s="1497"/>
      <c r="K880" s="1497"/>
      <c r="L880" s="1497"/>
      <c r="M880" s="1497"/>
      <c r="N880" s="1497"/>
      <c r="O880" s="1497"/>
      <c r="P880" s="1497"/>
      <c r="Q880" s="1497"/>
      <c r="R880" s="1497"/>
      <c r="S880" s="1497"/>
      <c r="T880" s="1497"/>
      <c r="U880" s="1497"/>
      <c r="V880" s="1497"/>
      <c r="W880" s="1497"/>
      <c r="X880" s="1497"/>
      <c r="Y880" s="1497"/>
      <c r="Z880" s="1497"/>
    </row>
    <row r="881" spans="1:26" ht="12.75" customHeight="1">
      <c r="A881" s="1497"/>
      <c r="B881" s="1497"/>
      <c r="C881" s="1497"/>
      <c r="D881" s="1497"/>
      <c r="E881" s="1497"/>
      <c r="F881" s="1497"/>
      <c r="G881" s="1497"/>
      <c r="H881" s="1497"/>
      <c r="I881" s="1497"/>
      <c r="J881" s="1497"/>
      <c r="K881" s="1497"/>
      <c r="L881" s="1497"/>
      <c r="M881" s="1497"/>
      <c r="N881" s="1497"/>
      <c r="O881" s="1497"/>
      <c r="P881" s="1497"/>
      <c r="Q881" s="1497"/>
      <c r="R881" s="1497"/>
      <c r="S881" s="1497"/>
      <c r="T881" s="1497"/>
      <c r="U881" s="1497"/>
      <c r="V881" s="1497"/>
      <c r="W881" s="1497"/>
      <c r="X881" s="1497"/>
      <c r="Y881" s="1497"/>
      <c r="Z881" s="1497"/>
    </row>
    <row r="882" spans="1:26" ht="12.75" customHeight="1">
      <c r="A882" s="1497"/>
      <c r="B882" s="1497"/>
      <c r="C882" s="1497"/>
      <c r="D882" s="1497"/>
      <c r="E882" s="1497"/>
      <c r="F882" s="1497"/>
      <c r="G882" s="1497"/>
      <c r="H882" s="1497"/>
      <c r="I882" s="1497"/>
      <c r="J882" s="1497"/>
      <c r="K882" s="1497"/>
      <c r="L882" s="1497"/>
      <c r="M882" s="1497"/>
      <c r="N882" s="1497"/>
      <c r="O882" s="1497"/>
      <c r="P882" s="1497"/>
      <c r="Q882" s="1497"/>
      <c r="R882" s="1497"/>
      <c r="S882" s="1497"/>
      <c r="T882" s="1497"/>
      <c r="U882" s="1497"/>
      <c r="V882" s="1497"/>
      <c r="W882" s="1497"/>
      <c r="X882" s="1497"/>
      <c r="Y882" s="1497"/>
      <c r="Z882" s="1497"/>
    </row>
    <row r="883" spans="1:26" ht="12.75" customHeight="1">
      <c r="A883" s="1497"/>
      <c r="B883" s="1497"/>
      <c r="C883" s="1497"/>
      <c r="D883" s="1497"/>
      <c r="E883" s="1497"/>
      <c r="F883" s="1497"/>
      <c r="G883" s="1497"/>
      <c r="H883" s="1497"/>
      <c r="I883" s="1497"/>
      <c r="J883" s="1497"/>
      <c r="K883" s="1497"/>
      <c r="L883" s="1497"/>
      <c r="M883" s="1497"/>
      <c r="N883" s="1497"/>
      <c r="O883" s="1497"/>
      <c r="P883" s="1497"/>
      <c r="Q883" s="1497"/>
      <c r="R883" s="1497"/>
      <c r="S883" s="1497"/>
      <c r="T883" s="1497"/>
      <c r="U883" s="1497"/>
      <c r="V883" s="1497"/>
      <c r="W883" s="1497"/>
      <c r="X883" s="1497"/>
      <c r="Y883" s="1497"/>
      <c r="Z883" s="1497"/>
    </row>
    <row r="884" spans="1:26" ht="12.75" customHeight="1">
      <c r="A884" s="1497"/>
      <c r="B884" s="1497"/>
      <c r="C884" s="1497"/>
      <c r="D884" s="1497"/>
      <c r="E884" s="1497"/>
      <c r="F884" s="1497"/>
      <c r="G884" s="1497"/>
      <c r="H884" s="1497"/>
      <c r="I884" s="1497"/>
      <c r="J884" s="1497"/>
      <c r="K884" s="1497"/>
      <c r="L884" s="1497"/>
      <c r="M884" s="1497"/>
      <c r="N884" s="1497"/>
      <c r="O884" s="1497"/>
      <c r="P884" s="1497"/>
      <c r="Q884" s="1497"/>
      <c r="R884" s="1497"/>
      <c r="S884" s="1497"/>
      <c r="T884" s="1497"/>
      <c r="U884" s="1497"/>
      <c r="V884" s="1497"/>
      <c r="W884" s="1497"/>
      <c r="X884" s="1497"/>
      <c r="Y884" s="1497"/>
      <c r="Z884" s="1497"/>
    </row>
    <row r="885" spans="1:26" ht="12.75" customHeight="1">
      <c r="A885" s="1497"/>
      <c r="B885" s="1497"/>
      <c r="C885" s="1497"/>
      <c r="D885" s="1497"/>
      <c r="E885" s="1497"/>
      <c r="F885" s="1497"/>
      <c r="G885" s="1497"/>
      <c r="H885" s="1497"/>
      <c r="I885" s="1497"/>
      <c r="J885" s="1497"/>
      <c r="K885" s="1497"/>
      <c r="L885" s="1497"/>
      <c r="M885" s="1497"/>
      <c r="N885" s="1497"/>
      <c r="O885" s="1497"/>
      <c r="P885" s="1497"/>
      <c r="Q885" s="1497"/>
      <c r="R885" s="1497"/>
      <c r="S885" s="1497"/>
      <c r="T885" s="1497"/>
      <c r="U885" s="1497"/>
      <c r="V885" s="1497"/>
      <c r="W885" s="1497"/>
      <c r="X885" s="1497"/>
      <c r="Y885" s="1497"/>
      <c r="Z885" s="1497"/>
    </row>
    <row r="886" spans="1:26" ht="12.75" customHeight="1">
      <c r="A886" s="1497"/>
      <c r="B886" s="1497"/>
      <c r="C886" s="1497"/>
      <c r="D886" s="1497"/>
      <c r="E886" s="1497"/>
      <c r="F886" s="1497"/>
      <c r="G886" s="1497"/>
      <c r="H886" s="1497"/>
      <c r="I886" s="1497"/>
      <c r="J886" s="1497"/>
      <c r="K886" s="1497"/>
      <c r="L886" s="1497"/>
      <c r="M886" s="1497"/>
      <c r="N886" s="1497"/>
      <c r="O886" s="1497"/>
      <c r="P886" s="1497"/>
      <c r="Q886" s="1497"/>
      <c r="R886" s="1497"/>
      <c r="S886" s="1497"/>
      <c r="T886" s="1497"/>
      <c r="U886" s="1497"/>
      <c r="V886" s="1497"/>
      <c r="W886" s="1497"/>
      <c r="X886" s="1497"/>
      <c r="Y886" s="1497"/>
      <c r="Z886" s="1497"/>
    </row>
    <row r="887" spans="1:26" ht="12.75" customHeight="1">
      <c r="A887" s="1497"/>
      <c r="B887" s="1497"/>
      <c r="C887" s="1497"/>
      <c r="D887" s="1497"/>
      <c r="E887" s="1497"/>
      <c r="F887" s="1497"/>
      <c r="G887" s="1497"/>
      <c r="H887" s="1497"/>
      <c r="I887" s="1497"/>
      <c r="J887" s="1497"/>
      <c r="K887" s="1497"/>
      <c r="L887" s="1497"/>
      <c r="M887" s="1497"/>
      <c r="N887" s="1497"/>
      <c r="O887" s="1497"/>
      <c r="P887" s="1497"/>
      <c r="Q887" s="1497"/>
      <c r="R887" s="1497"/>
      <c r="S887" s="1497"/>
      <c r="T887" s="1497"/>
      <c r="U887" s="1497"/>
      <c r="V887" s="1497"/>
      <c r="W887" s="1497"/>
      <c r="X887" s="1497"/>
      <c r="Y887" s="1497"/>
      <c r="Z887" s="1497"/>
    </row>
    <row r="888" spans="1:26" ht="12.75" customHeight="1">
      <c r="A888" s="1497"/>
      <c r="B888" s="1497"/>
      <c r="C888" s="1497"/>
      <c r="D888" s="1497"/>
      <c r="E888" s="1497"/>
      <c r="F888" s="1497"/>
      <c r="G888" s="1497"/>
      <c r="H888" s="1497"/>
      <c r="I888" s="1497"/>
      <c r="J888" s="1497"/>
      <c r="K888" s="1497"/>
      <c r="L888" s="1497"/>
      <c r="M888" s="1497"/>
      <c r="N888" s="1497"/>
      <c r="O888" s="1497"/>
      <c r="P888" s="1497"/>
      <c r="Q888" s="1497"/>
      <c r="R888" s="1497"/>
      <c r="S888" s="1497"/>
      <c r="T888" s="1497"/>
      <c r="U888" s="1497"/>
      <c r="V888" s="1497"/>
      <c r="W888" s="1497"/>
      <c r="X888" s="1497"/>
      <c r="Y888" s="1497"/>
      <c r="Z888" s="1497"/>
    </row>
    <row r="889" spans="1:26" ht="12.75" customHeight="1">
      <c r="A889" s="1497"/>
      <c r="B889" s="1497"/>
      <c r="C889" s="1497"/>
      <c r="D889" s="1497"/>
      <c r="E889" s="1497"/>
      <c r="F889" s="1497"/>
      <c r="G889" s="1497"/>
      <c r="H889" s="1497"/>
      <c r="I889" s="1497"/>
      <c r="J889" s="1497"/>
      <c r="K889" s="1497"/>
      <c r="L889" s="1497"/>
      <c r="M889" s="1497"/>
      <c r="N889" s="1497"/>
      <c r="O889" s="1497"/>
      <c r="P889" s="1497"/>
      <c r="Q889" s="1497"/>
      <c r="R889" s="1497"/>
      <c r="S889" s="1497"/>
      <c r="T889" s="1497"/>
      <c r="U889" s="1497"/>
      <c r="V889" s="1497"/>
      <c r="W889" s="1497"/>
      <c r="X889" s="1497"/>
      <c r="Y889" s="1497"/>
      <c r="Z889" s="1497"/>
    </row>
    <row r="890" spans="1:26" ht="12.75" customHeight="1">
      <c r="A890" s="1497"/>
      <c r="B890" s="1497"/>
      <c r="C890" s="1497"/>
      <c r="D890" s="1497"/>
      <c r="E890" s="1497"/>
      <c r="F890" s="1497"/>
      <c r="G890" s="1497"/>
      <c r="H890" s="1497"/>
      <c r="I890" s="1497"/>
      <c r="J890" s="1497"/>
      <c r="K890" s="1497"/>
      <c r="L890" s="1497"/>
      <c r="M890" s="1497"/>
      <c r="N890" s="1497"/>
      <c r="O890" s="1497"/>
      <c r="P890" s="1497"/>
      <c r="Q890" s="1497"/>
      <c r="R890" s="1497"/>
      <c r="S890" s="1497"/>
      <c r="T890" s="1497"/>
      <c r="U890" s="1497"/>
      <c r="V890" s="1497"/>
      <c r="W890" s="1497"/>
      <c r="X890" s="1497"/>
      <c r="Y890" s="1497"/>
      <c r="Z890" s="1497"/>
    </row>
    <row r="891" spans="1:26" ht="12.75" customHeight="1">
      <c r="A891" s="1497"/>
      <c r="B891" s="1497"/>
      <c r="C891" s="1497"/>
      <c r="D891" s="1497"/>
      <c r="E891" s="1497"/>
      <c r="F891" s="1497"/>
      <c r="G891" s="1497"/>
      <c r="H891" s="1497"/>
      <c r="I891" s="1497"/>
      <c r="J891" s="1497"/>
      <c r="K891" s="1497"/>
      <c r="L891" s="1497"/>
      <c r="M891" s="1497"/>
      <c r="N891" s="1497"/>
      <c r="O891" s="1497"/>
      <c r="P891" s="1497"/>
      <c r="Q891" s="1497"/>
      <c r="R891" s="1497"/>
      <c r="S891" s="1497"/>
      <c r="T891" s="1497"/>
      <c r="U891" s="1497"/>
      <c r="V891" s="1497"/>
      <c r="W891" s="1497"/>
      <c r="X891" s="1497"/>
      <c r="Y891" s="1497"/>
      <c r="Z891" s="1497"/>
    </row>
    <row r="892" spans="1:26" ht="12.75" customHeight="1">
      <c r="A892" s="1497"/>
      <c r="B892" s="1497"/>
      <c r="C892" s="1497"/>
      <c r="D892" s="1497"/>
      <c r="E892" s="1497"/>
      <c r="F892" s="1497"/>
      <c r="G892" s="1497"/>
      <c r="H892" s="1497"/>
      <c r="I892" s="1497"/>
      <c r="J892" s="1497"/>
      <c r="K892" s="1497"/>
      <c r="L892" s="1497"/>
      <c r="M892" s="1497"/>
      <c r="N892" s="1497"/>
      <c r="O892" s="1497"/>
      <c r="P892" s="1497"/>
      <c r="Q892" s="1497"/>
      <c r="R892" s="1497"/>
      <c r="S892" s="1497"/>
      <c r="T892" s="1497"/>
      <c r="U892" s="1497"/>
      <c r="V892" s="1497"/>
      <c r="W892" s="1497"/>
      <c r="X892" s="1497"/>
      <c r="Y892" s="1497"/>
      <c r="Z892" s="1497"/>
    </row>
    <row r="893" spans="1:26" ht="12.75" customHeight="1">
      <c r="A893" s="1497"/>
      <c r="B893" s="1497"/>
      <c r="C893" s="1497"/>
      <c r="D893" s="1497"/>
      <c r="E893" s="1497"/>
      <c r="F893" s="1497"/>
      <c r="G893" s="1497"/>
      <c r="H893" s="1497"/>
      <c r="I893" s="1497"/>
      <c r="J893" s="1497"/>
      <c r="K893" s="1497"/>
      <c r="L893" s="1497"/>
      <c r="M893" s="1497"/>
      <c r="N893" s="1497"/>
      <c r="O893" s="1497"/>
      <c r="P893" s="1497"/>
      <c r="Q893" s="1497"/>
      <c r="R893" s="1497"/>
      <c r="S893" s="1497"/>
      <c r="T893" s="1497"/>
      <c r="U893" s="1497"/>
      <c r="V893" s="1497"/>
      <c r="W893" s="1497"/>
      <c r="X893" s="1497"/>
      <c r="Y893" s="1497"/>
      <c r="Z893" s="1497"/>
    </row>
    <row r="894" spans="1:26" ht="12.75" customHeight="1">
      <c r="A894" s="1497"/>
      <c r="B894" s="1497"/>
      <c r="C894" s="1497"/>
      <c r="D894" s="1497"/>
      <c r="E894" s="1497"/>
      <c r="F894" s="1497"/>
      <c r="G894" s="1497"/>
      <c r="H894" s="1497"/>
      <c r="I894" s="1497"/>
      <c r="J894" s="1497"/>
      <c r="K894" s="1497"/>
      <c r="L894" s="1497"/>
      <c r="M894" s="1497"/>
      <c r="N894" s="1497"/>
      <c r="O894" s="1497"/>
      <c r="P894" s="1497"/>
      <c r="Q894" s="1497"/>
      <c r="R894" s="1497"/>
      <c r="S894" s="1497"/>
      <c r="T894" s="1497"/>
      <c r="U894" s="1497"/>
      <c r="V894" s="1497"/>
      <c r="W894" s="1497"/>
      <c r="X894" s="1497"/>
      <c r="Y894" s="1497"/>
      <c r="Z894" s="1497"/>
    </row>
    <row r="895" spans="1:26" ht="12.75" customHeight="1">
      <c r="A895" s="1497"/>
      <c r="B895" s="1497"/>
      <c r="C895" s="1497"/>
      <c r="D895" s="1497"/>
      <c r="E895" s="1497"/>
      <c r="F895" s="1497"/>
      <c r="G895" s="1497"/>
      <c r="H895" s="1497"/>
      <c r="I895" s="1497"/>
      <c r="J895" s="1497"/>
      <c r="K895" s="1497"/>
      <c r="L895" s="1497"/>
      <c r="M895" s="1497"/>
      <c r="N895" s="1497"/>
      <c r="O895" s="1497"/>
      <c r="P895" s="1497"/>
      <c r="Q895" s="1497"/>
      <c r="R895" s="1497"/>
      <c r="S895" s="1497"/>
      <c r="T895" s="1497"/>
      <c r="U895" s="1497"/>
      <c r="V895" s="1497"/>
      <c r="W895" s="1497"/>
      <c r="X895" s="1497"/>
      <c r="Y895" s="1497"/>
      <c r="Z895" s="1497"/>
    </row>
    <row r="896" spans="1:26" ht="12.75" customHeight="1">
      <c r="A896" s="1497"/>
      <c r="B896" s="1497"/>
      <c r="C896" s="1497"/>
      <c r="D896" s="1497"/>
      <c r="E896" s="1497"/>
      <c r="F896" s="1497"/>
      <c r="G896" s="1497"/>
      <c r="H896" s="1497"/>
      <c r="I896" s="1497"/>
      <c r="J896" s="1497"/>
      <c r="K896" s="1497"/>
      <c r="L896" s="1497"/>
      <c r="M896" s="1497"/>
      <c r="N896" s="1497"/>
      <c r="O896" s="1497"/>
      <c r="P896" s="1497"/>
      <c r="Q896" s="1497"/>
      <c r="R896" s="1497"/>
      <c r="S896" s="1497"/>
      <c r="T896" s="1497"/>
      <c r="U896" s="1497"/>
      <c r="V896" s="1497"/>
      <c r="W896" s="1497"/>
      <c r="X896" s="1497"/>
      <c r="Y896" s="1497"/>
      <c r="Z896" s="1497"/>
    </row>
    <row r="897" spans="1:26" ht="12.75" customHeight="1">
      <c r="A897" s="1497"/>
      <c r="B897" s="1497"/>
      <c r="C897" s="1497"/>
      <c r="D897" s="1497"/>
      <c r="E897" s="1497"/>
      <c r="F897" s="1497"/>
      <c r="G897" s="1497"/>
      <c r="H897" s="1497"/>
      <c r="I897" s="1497"/>
      <c r="J897" s="1497"/>
      <c r="K897" s="1497"/>
      <c r="L897" s="1497"/>
      <c r="M897" s="1497"/>
      <c r="N897" s="1497"/>
      <c r="O897" s="1497"/>
      <c r="P897" s="1497"/>
      <c r="Q897" s="1497"/>
      <c r="R897" s="1497"/>
      <c r="S897" s="1497"/>
      <c r="T897" s="1497"/>
      <c r="U897" s="1497"/>
      <c r="V897" s="1497"/>
      <c r="W897" s="1497"/>
      <c r="X897" s="1497"/>
      <c r="Y897" s="1497"/>
      <c r="Z897" s="1497"/>
    </row>
    <row r="898" spans="1:26" ht="12.75" customHeight="1">
      <c r="A898" s="1497"/>
      <c r="B898" s="1497"/>
      <c r="C898" s="1497"/>
      <c r="D898" s="1497"/>
      <c r="E898" s="1497"/>
      <c r="F898" s="1497"/>
      <c r="G898" s="1497"/>
      <c r="H898" s="1497"/>
      <c r="I898" s="1497"/>
      <c r="J898" s="1497"/>
      <c r="K898" s="1497"/>
      <c r="L898" s="1497"/>
      <c r="M898" s="1497"/>
      <c r="N898" s="1497"/>
      <c r="O898" s="1497"/>
      <c r="P898" s="1497"/>
      <c r="Q898" s="1497"/>
      <c r="R898" s="1497"/>
      <c r="S898" s="1497"/>
      <c r="T898" s="1497"/>
      <c r="U898" s="1497"/>
      <c r="V898" s="1497"/>
      <c r="W898" s="1497"/>
      <c r="X898" s="1497"/>
      <c r="Y898" s="1497"/>
      <c r="Z898" s="1497"/>
    </row>
    <row r="899" spans="1:26" ht="12.75" customHeight="1">
      <c r="A899" s="1497"/>
      <c r="B899" s="1497"/>
      <c r="C899" s="1497"/>
      <c r="D899" s="1497"/>
      <c r="E899" s="1497"/>
      <c r="F899" s="1497"/>
      <c r="G899" s="1497"/>
      <c r="H899" s="1497"/>
      <c r="I899" s="1497"/>
      <c r="J899" s="1497"/>
      <c r="K899" s="1497"/>
      <c r="L899" s="1497"/>
      <c r="M899" s="1497"/>
      <c r="N899" s="1497"/>
      <c r="O899" s="1497"/>
      <c r="P899" s="1497"/>
      <c r="Q899" s="1497"/>
      <c r="R899" s="1497"/>
      <c r="S899" s="1497"/>
      <c r="T899" s="1497"/>
      <c r="U899" s="1497"/>
      <c r="V899" s="1497"/>
      <c r="W899" s="1497"/>
      <c r="X899" s="1497"/>
      <c r="Y899" s="1497"/>
      <c r="Z899" s="1497"/>
    </row>
    <row r="900" spans="1:26" ht="12.75" customHeight="1">
      <c r="A900" s="1497"/>
      <c r="B900" s="1497"/>
      <c r="C900" s="1497"/>
      <c r="D900" s="1497"/>
      <c r="E900" s="1497"/>
      <c r="F900" s="1497"/>
      <c r="G900" s="1497"/>
      <c r="H900" s="1497"/>
      <c r="I900" s="1497"/>
      <c r="J900" s="1497"/>
      <c r="K900" s="1497"/>
      <c r="L900" s="1497"/>
      <c r="M900" s="1497"/>
      <c r="N900" s="1497"/>
      <c r="O900" s="1497"/>
      <c r="P900" s="1497"/>
      <c r="Q900" s="1497"/>
      <c r="R900" s="1497"/>
      <c r="S900" s="1497"/>
      <c r="T900" s="1497"/>
      <c r="U900" s="1497"/>
      <c r="V900" s="1497"/>
      <c r="W900" s="1497"/>
      <c r="X900" s="1497"/>
      <c r="Y900" s="1497"/>
      <c r="Z900" s="1497"/>
    </row>
    <row r="901" spans="1:26" ht="12.75" customHeight="1">
      <c r="A901" s="1497"/>
      <c r="B901" s="1497"/>
      <c r="C901" s="1497"/>
      <c r="D901" s="1497"/>
      <c r="E901" s="1497"/>
      <c r="F901" s="1497"/>
      <c r="G901" s="1497"/>
      <c r="H901" s="1497"/>
      <c r="I901" s="1497"/>
      <c r="J901" s="1497"/>
      <c r="K901" s="1497"/>
      <c r="L901" s="1497"/>
      <c r="M901" s="1497"/>
      <c r="N901" s="1497"/>
      <c r="O901" s="1497"/>
      <c r="P901" s="1497"/>
      <c r="Q901" s="1497"/>
      <c r="R901" s="1497"/>
      <c r="S901" s="1497"/>
      <c r="T901" s="1497"/>
      <c r="U901" s="1497"/>
      <c r="V901" s="1497"/>
      <c r="W901" s="1497"/>
      <c r="X901" s="1497"/>
      <c r="Y901" s="1497"/>
      <c r="Z901" s="1497"/>
    </row>
    <row r="902" spans="1:26" ht="12.75" customHeight="1">
      <c r="A902" s="1497"/>
      <c r="B902" s="1497"/>
      <c r="C902" s="1497"/>
      <c r="D902" s="1497"/>
      <c r="E902" s="1497"/>
      <c r="F902" s="1497"/>
      <c r="G902" s="1497"/>
      <c r="H902" s="1497"/>
      <c r="I902" s="1497"/>
      <c r="J902" s="1497"/>
      <c r="K902" s="1497"/>
      <c r="L902" s="1497"/>
      <c r="M902" s="1497"/>
      <c r="N902" s="1497"/>
      <c r="O902" s="1497"/>
      <c r="P902" s="1497"/>
      <c r="Q902" s="1497"/>
      <c r="R902" s="1497"/>
      <c r="S902" s="1497"/>
      <c r="T902" s="1497"/>
      <c r="U902" s="1497"/>
      <c r="V902" s="1497"/>
      <c r="W902" s="1497"/>
      <c r="X902" s="1497"/>
      <c r="Y902" s="1497"/>
      <c r="Z902" s="1497"/>
    </row>
    <row r="903" spans="1:26" ht="12.75" customHeight="1">
      <c r="A903" s="1497"/>
      <c r="B903" s="1497"/>
      <c r="C903" s="1497"/>
      <c r="D903" s="1497"/>
      <c r="E903" s="1497"/>
      <c r="F903" s="1497"/>
      <c r="G903" s="1497"/>
      <c r="H903" s="1497"/>
      <c r="I903" s="1497"/>
      <c r="J903" s="1497"/>
      <c r="K903" s="1497"/>
      <c r="L903" s="1497"/>
      <c r="M903" s="1497"/>
      <c r="N903" s="1497"/>
      <c r="O903" s="1497"/>
      <c r="P903" s="1497"/>
      <c r="Q903" s="1497"/>
      <c r="R903" s="1497"/>
      <c r="S903" s="1497"/>
      <c r="T903" s="1497"/>
      <c r="U903" s="1497"/>
      <c r="V903" s="1497"/>
      <c r="W903" s="1497"/>
      <c r="X903" s="1497"/>
      <c r="Y903" s="1497"/>
      <c r="Z903" s="1497"/>
    </row>
    <row r="904" spans="1:26" ht="12.75" customHeight="1">
      <c r="A904" s="1497"/>
      <c r="B904" s="1497"/>
      <c r="C904" s="1497"/>
      <c r="D904" s="1497"/>
      <c r="E904" s="1497"/>
      <c r="F904" s="1497"/>
      <c r="G904" s="1497"/>
      <c r="H904" s="1497"/>
      <c r="I904" s="1497"/>
      <c r="J904" s="1497"/>
      <c r="K904" s="1497"/>
      <c r="L904" s="1497"/>
      <c r="M904" s="1497"/>
      <c r="N904" s="1497"/>
      <c r="O904" s="1497"/>
      <c r="P904" s="1497"/>
      <c r="Q904" s="1497"/>
      <c r="R904" s="1497"/>
      <c r="S904" s="1497"/>
      <c r="T904" s="1497"/>
      <c r="U904" s="1497"/>
      <c r="V904" s="1497"/>
      <c r="W904" s="1497"/>
      <c r="X904" s="1497"/>
      <c r="Y904" s="1497"/>
      <c r="Z904" s="1497"/>
    </row>
    <row r="905" spans="1:26" ht="12.75" customHeight="1">
      <c r="A905" s="1497"/>
      <c r="B905" s="1497"/>
      <c r="C905" s="1497"/>
      <c r="D905" s="1497"/>
      <c r="E905" s="1497"/>
      <c r="F905" s="1497"/>
      <c r="G905" s="1497"/>
      <c r="H905" s="1497"/>
      <c r="I905" s="1497"/>
      <c r="J905" s="1497"/>
      <c r="K905" s="1497"/>
      <c r="L905" s="1497"/>
      <c r="M905" s="1497"/>
      <c r="N905" s="1497"/>
      <c r="O905" s="1497"/>
      <c r="P905" s="1497"/>
      <c r="Q905" s="1497"/>
      <c r="R905" s="1497"/>
      <c r="S905" s="1497"/>
      <c r="T905" s="1497"/>
      <c r="U905" s="1497"/>
      <c r="V905" s="1497"/>
      <c r="W905" s="1497"/>
      <c r="X905" s="1497"/>
      <c r="Y905" s="1497"/>
      <c r="Z905" s="1497"/>
    </row>
    <row r="906" spans="1:26" ht="12.75" customHeight="1">
      <c r="A906" s="1497"/>
      <c r="B906" s="1497"/>
      <c r="C906" s="1497"/>
      <c r="D906" s="1497"/>
      <c r="E906" s="1497"/>
      <c r="F906" s="1497"/>
      <c r="G906" s="1497"/>
      <c r="H906" s="1497"/>
      <c r="I906" s="1497"/>
      <c r="J906" s="1497"/>
      <c r="K906" s="1497"/>
      <c r="L906" s="1497"/>
      <c r="M906" s="1497"/>
      <c r="N906" s="1497"/>
      <c r="O906" s="1497"/>
      <c r="P906" s="1497"/>
      <c r="Q906" s="1497"/>
      <c r="R906" s="1497"/>
      <c r="S906" s="1497"/>
      <c r="T906" s="1497"/>
      <c r="U906" s="1497"/>
      <c r="V906" s="1497"/>
      <c r="W906" s="1497"/>
      <c r="X906" s="1497"/>
      <c r="Y906" s="1497"/>
      <c r="Z906" s="1497"/>
    </row>
    <row r="907" spans="1:26" ht="12.75" customHeight="1">
      <c r="A907" s="1497"/>
      <c r="B907" s="1497"/>
      <c r="C907" s="1497"/>
      <c r="D907" s="1497"/>
      <c r="E907" s="1497"/>
      <c r="F907" s="1497"/>
      <c r="G907" s="1497"/>
      <c r="H907" s="1497"/>
      <c r="I907" s="1497"/>
      <c r="J907" s="1497"/>
      <c r="K907" s="1497"/>
      <c r="L907" s="1497"/>
      <c r="M907" s="1497"/>
      <c r="N907" s="1497"/>
      <c r="O907" s="1497"/>
      <c r="P907" s="1497"/>
      <c r="Q907" s="1497"/>
      <c r="R907" s="1497"/>
      <c r="S907" s="1497"/>
      <c r="T907" s="1497"/>
      <c r="U907" s="1497"/>
      <c r="V907" s="1497"/>
      <c r="W907" s="1497"/>
      <c r="X907" s="1497"/>
      <c r="Y907" s="1497"/>
      <c r="Z907" s="1497"/>
    </row>
    <row r="908" spans="1:26" ht="12.75" customHeight="1">
      <c r="A908" s="1497"/>
      <c r="B908" s="1497"/>
      <c r="C908" s="1497"/>
      <c r="D908" s="1497"/>
      <c r="E908" s="1497"/>
      <c r="F908" s="1497"/>
      <c r="G908" s="1497"/>
      <c r="H908" s="1497"/>
      <c r="I908" s="1497"/>
      <c r="J908" s="1497"/>
      <c r="K908" s="1497"/>
      <c r="L908" s="1497"/>
      <c r="M908" s="1497"/>
      <c r="N908" s="1497"/>
      <c r="O908" s="1497"/>
      <c r="P908" s="1497"/>
      <c r="Q908" s="1497"/>
      <c r="R908" s="1497"/>
      <c r="S908" s="1497"/>
      <c r="T908" s="1497"/>
      <c r="U908" s="1497"/>
      <c r="V908" s="1497"/>
      <c r="W908" s="1497"/>
      <c r="X908" s="1497"/>
      <c r="Y908" s="1497"/>
      <c r="Z908" s="1497"/>
    </row>
    <row r="909" spans="1:26" ht="12.75" customHeight="1">
      <c r="A909" s="1497"/>
      <c r="B909" s="1497"/>
      <c r="C909" s="1497"/>
      <c r="D909" s="1497"/>
      <c r="E909" s="1497"/>
      <c r="F909" s="1497"/>
      <c r="G909" s="1497"/>
      <c r="H909" s="1497"/>
      <c r="I909" s="1497"/>
      <c r="J909" s="1497"/>
      <c r="K909" s="1497"/>
      <c r="L909" s="1497"/>
      <c r="M909" s="1497"/>
      <c r="N909" s="1497"/>
      <c r="O909" s="1497"/>
      <c r="P909" s="1497"/>
      <c r="Q909" s="1497"/>
      <c r="R909" s="1497"/>
      <c r="S909" s="1497"/>
      <c r="T909" s="1497"/>
      <c r="U909" s="1497"/>
      <c r="V909" s="1497"/>
      <c r="W909" s="1497"/>
      <c r="X909" s="1497"/>
      <c r="Y909" s="1497"/>
      <c r="Z909" s="1497"/>
    </row>
    <row r="910" spans="1:26" ht="12.75" customHeight="1">
      <c r="A910" s="1497"/>
      <c r="B910" s="1497"/>
      <c r="C910" s="1497"/>
      <c r="D910" s="1497"/>
      <c r="E910" s="1497"/>
      <c r="F910" s="1497"/>
      <c r="G910" s="1497"/>
      <c r="H910" s="1497"/>
      <c r="I910" s="1497"/>
      <c r="J910" s="1497"/>
      <c r="K910" s="1497"/>
      <c r="L910" s="1497"/>
      <c r="M910" s="1497"/>
      <c r="N910" s="1497"/>
      <c r="O910" s="1497"/>
      <c r="P910" s="1497"/>
      <c r="Q910" s="1497"/>
      <c r="R910" s="1497"/>
      <c r="S910" s="1497"/>
      <c r="T910" s="1497"/>
      <c r="U910" s="1497"/>
      <c r="V910" s="1497"/>
      <c r="W910" s="1497"/>
      <c r="X910" s="1497"/>
      <c r="Y910" s="1497"/>
      <c r="Z910" s="1497"/>
    </row>
    <row r="911" spans="1:26" ht="12.75" customHeight="1">
      <c r="A911" s="1497"/>
      <c r="B911" s="1497"/>
      <c r="C911" s="1497"/>
      <c r="D911" s="1497"/>
      <c r="E911" s="1497"/>
      <c r="F911" s="1497"/>
      <c r="G911" s="1497"/>
      <c r="H911" s="1497"/>
      <c r="I911" s="1497"/>
      <c r="J911" s="1497"/>
      <c r="K911" s="1497"/>
      <c r="L911" s="1497"/>
      <c r="M911" s="1497"/>
      <c r="N911" s="1497"/>
      <c r="O911" s="1497"/>
      <c r="P911" s="1497"/>
      <c r="Q911" s="1497"/>
      <c r="R911" s="1497"/>
      <c r="S911" s="1497"/>
      <c r="T911" s="1497"/>
      <c r="U911" s="1497"/>
      <c r="V911" s="1497"/>
      <c r="W911" s="1497"/>
      <c r="X911" s="1497"/>
      <c r="Y911" s="1497"/>
      <c r="Z911" s="1497"/>
    </row>
    <row r="912" spans="1:26" ht="12.75" customHeight="1">
      <c r="A912" s="1497"/>
      <c r="B912" s="1497"/>
      <c r="C912" s="1497"/>
      <c r="D912" s="1497"/>
      <c r="E912" s="1497"/>
      <c r="F912" s="1497"/>
      <c r="G912" s="1497"/>
      <c r="H912" s="1497"/>
      <c r="I912" s="1497"/>
      <c r="J912" s="1497"/>
      <c r="K912" s="1497"/>
      <c r="L912" s="1497"/>
      <c r="M912" s="1497"/>
      <c r="N912" s="1497"/>
      <c r="O912" s="1497"/>
      <c r="P912" s="1497"/>
      <c r="Q912" s="1497"/>
      <c r="R912" s="1497"/>
      <c r="S912" s="1497"/>
      <c r="T912" s="1497"/>
      <c r="U912" s="1497"/>
      <c r="V912" s="1497"/>
      <c r="W912" s="1497"/>
      <c r="X912" s="1497"/>
      <c r="Y912" s="1497"/>
      <c r="Z912" s="1497"/>
    </row>
    <row r="913" spans="1:26" ht="12.75" customHeight="1">
      <c r="A913" s="1497"/>
      <c r="B913" s="1497"/>
      <c r="C913" s="1497"/>
      <c r="D913" s="1497"/>
      <c r="E913" s="1497"/>
      <c r="F913" s="1497"/>
      <c r="G913" s="1497"/>
      <c r="H913" s="1497"/>
      <c r="I913" s="1497"/>
      <c r="J913" s="1497"/>
      <c r="K913" s="1497"/>
      <c r="L913" s="1497"/>
      <c r="M913" s="1497"/>
      <c r="N913" s="1497"/>
      <c r="O913" s="1497"/>
      <c r="P913" s="1497"/>
      <c r="Q913" s="1497"/>
      <c r="R913" s="1497"/>
      <c r="S913" s="1497"/>
      <c r="T913" s="1497"/>
      <c r="U913" s="1497"/>
      <c r="V913" s="1497"/>
      <c r="W913" s="1497"/>
      <c r="X913" s="1497"/>
      <c r="Y913" s="1497"/>
      <c r="Z913" s="1497"/>
    </row>
    <row r="914" spans="1:26" ht="12.75" customHeight="1">
      <c r="A914" s="1497"/>
      <c r="B914" s="1497"/>
      <c r="C914" s="1497"/>
      <c r="D914" s="1497"/>
      <c r="E914" s="1497"/>
      <c r="F914" s="1497"/>
      <c r="G914" s="1497"/>
      <c r="H914" s="1497"/>
      <c r="I914" s="1497"/>
      <c r="J914" s="1497"/>
      <c r="K914" s="1497"/>
      <c r="L914" s="1497"/>
      <c r="M914" s="1497"/>
      <c r="N914" s="1497"/>
      <c r="O914" s="1497"/>
      <c r="P914" s="1497"/>
      <c r="Q914" s="1497"/>
      <c r="R914" s="1497"/>
      <c r="S914" s="1497"/>
      <c r="T914" s="1497"/>
      <c r="U914" s="1497"/>
      <c r="V914" s="1497"/>
      <c r="W914" s="1497"/>
      <c r="X914" s="1497"/>
      <c r="Y914" s="1497"/>
      <c r="Z914" s="1497"/>
    </row>
    <row r="915" spans="1:26" ht="12.75" customHeight="1">
      <c r="A915" s="1497"/>
      <c r="B915" s="1497"/>
      <c r="C915" s="1497"/>
      <c r="D915" s="1497"/>
      <c r="E915" s="1497"/>
      <c r="F915" s="1497"/>
      <c r="G915" s="1497"/>
      <c r="H915" s="1497"/>
      <c r="I915" s="1497"/>
      <c r="J915" s="1497"/>
      <c r="K915" s="1497"/>
      <c r="L915" s="1497"/>
      <c r="M915" s="1497"/>
      <c r="N915" s="1497"/>
      <c r="O915" s="1497"/>
      <c r="P915" s="1497"/>
      <c r="Q915" s="1497"/>
      <c r="R915" s="1497"/>
      <c r="S915" s="1497"/>
      <c r="T915" s="1497"/>
      <c r="U915" s="1497"/>
      <c r="V915" s="1497"/>
      <c r="W915" s="1497"/>
      <c r="X915" s="1497"/>
      <c r="Y915" s="1497"/>
      <c r="Z915" s="1497"/>
    </row>
    <row r="916" spans="1:26" ht="12.75" customHeight="1">
      <c r="A916" s="1497"/>
      <c r="B916" s="1497"/>
      <c r="C916" s="1497"/>
      <c r="D916" s="1497"/>
      <c r="E916" s="1497"/>
      <c r="F916" s="1497"/>
      <c r="G916" s="1497"/>
      <c r="H916" s="1497"/>
      <c r="I916" s="1497"/>
      <c r="J916" s="1497"/>
      <c r="K916" s="1497"/>
      <c r="L916" s="1497"/>
      <c r="M916" s="1497"/>
      <c r="N916" s="1497"/>
      <c r="O916" s="1497"/>
      <c r="P916" s="1497"/>
      <c r="Q916" s="1497"/>
      <c r="R916" s="1497"/>
      <c r="S916" s="1497"/>
      <c r="T916" s="1497"/>
      <c r="U916" s="1497"/>
      <c r="V916" s="1497"/>
      <c r="W916" s="1497"/>
      <c r="X916" s="1497"/>
      <c r="Y916" s="1497"/>
      <c r="Z916" s="1497"/>
    </row>
    <row r="917" spans="1:26" ht="12.75" customHeight="1">
      <c r="A917" s="1497"/>
      <c r="B917" s="1497"/>
      <c r="C917" s="1497"/>
      <c r="D917" s="1497"/>
      <c r="E917" s="1497"/>
      <c r="F917" s="1497"/>
      <c r="G917" s="1497"/>
      <c r="H917" s="1497"/>
      <c r="I917" s="1497"/>
      <c r="J917" s="1497"/>
      <c r="K917" s="1497"/>
      <c r="L917" s="1497"/>
      <c r="M917" s="1497"/>
      <c r="N917" s="1497"/>
      <c r="O917" s="1497"/>
      <c r="P917" s="1497"/>
      <c r="Q917" s="1497"/>
      <c r="R917" s="1497"/>
      <c r="S917" s="1497"/>
      <c r="T917" s="1497"/>
      <c r="U917" s="1497"/>
      <c r="V917" s="1497"/>
      <c r="W917" s="1497"/>
      <c r="X917" s="1497"/>
      <c r="Y917" s="1497"/>
      <c r="Z917" s="1497"/>
    </row>
    <row r="918" spans="1:26" ht="12.75" customHeight="1">
      <c r="A918" s="1497"/>
      <c r="B918" s="1497"/>
      <c r="C918" s="1497"/>
      <c r="D918" s="1497"/>
      <c r="E918" s="1497"/>
      <c r="F918" s="1497"/>
      <c r="G918" s="1497"/>
      <c r="H918" s="1497"/>
      <c r="I918" s="1497"/>
      <c r="J918" s="1497"/>
      <c r="K918" s="1497"/>
      <c r="L918" s="1497"/>
      <c r="M918" s="1497"/>
      <c r="N918" s="1497"/>
      <c r="O918" s="1497"/>
      <c r="P918" s="1497"/>
      <c r="Q918" s="1497"/>
      <c r="R918" s="1497"/>
      <c r="S918" s="1497"/>
      <c r="T918" s="1497"/>
      <c r="U918" s="1497"/>
      <c r="V918" s="1497"/>
      <c r="W918" s="1497"/>
      <c r="X918" s="1497"/>
      <c r="Y918" s="1497"/>
      <c r="Z918" s="1497"/>
    </row>
    <row r="919" spans="1:26" ht="12.75" customHeight="1">
      <c r="A919" s="1497"/>
      <c r="B919" s="1497"/>
      <c r="C919" s="1497"/>
      <c r="D919" s="1497"/>
      <c r="E919" s="1497"/>
      <c r="F919" s="1497"/>
      <c r="G919" s="1497"/>
      <c r="H919" s="1497"/>
      <c r="I919" s="1497"/>
      <c r="J919" s="1497"/>
      <c r="K919" s="1497"/>
      <c r="L919" s="1497"/>
      <c r="M919" s="1497"/>
      <c r="N919" s="1497"/>
      <c r="O919" s="1497"/>
      <c r="P919" s="1497"/>
      <c r="Q919" s="1497"/>
      <c r="R919" s="1497"/>
      <c r="S919" s="1497"/>
      <c r="T919" s="1497"/>
      <c r="U919" s="1497"/>
      <c r="V919" s="1497"/>
      <c r="W919" s="1497"/>
      <c r="X919" s="1497"/>
      <c r="Y919" s="1497"/>
      <c r="Z919" s="1497"/>
    </row>
    <row r="920" spans="1:26" ht="12.75" customHeight="1">
      <c r="A920" s="1497"/>
      <c r="B920" s="1497"/>
      <c r="C920" s="1497"/>
      <c r="D920" s="1497"/>
      <c r="E920" s="1497"/>
      <c r="F920" s="1497"/>
      <c r="G920" s="1497"/>
      <c r="H920" s="1497"/>
      <c r="I920" s="1497"/>
      <c r="J920" s="1497"/>
      <c r="K920" s="1497"/>
      <c r="L920" s="1497"/>
      <c r="M920" s="1497"/>
      <c r="N920" s="1497"/>
      <c r="O920" s="1497"/>
      <c r="P920" s="1497"/>
      <c r="Q920" s="1497"/>
      <c r="R920" s="1497"/>
      <c r="S920" s="1497"/>
      <c r="T920" s="1497"/>
      <c r="U920" s="1497"/>
      <c r="V920" s="1497"/>
      <c r="W920" s="1497"/>
      <c r="X920" s="1497"/>
      <c r="Y920" s="1497"/>
      <c r="Z920" s="1497"/>
    </row>
    <row r="921" spans="1:26" ht="12.75" customHeight="1">
      <c r="A921" s="1497"/>
      <c r="B921" s="1497"/>
      <c r="C921" s="1497"/>
      <c r="D921" s="1497"/>
      <c r="E921" s="1497"/>
      <c r="F921" s="1497"/>
      <c r="G921" s="1497"/>
      <c r="H921" s="1497"/>
      <c r="I921" s="1497"/>
      <c r="J921" s="1497"/>
      <c r="K921" s="1497"/>
      <c r="L921" s="1497"/>
      <c r="M921" s="1497"/>
      <c r="N921" s="1497"/>
      <c r="O921" s="1497"/>
      <c r="P921" s="1497"/>
      <c r="Q921" s="1497"/>
      <c r="R921" s="1497"/>
      <c r="S921" s="1497"/>
      <c r="T921" s="1497"/>
      <c r="U921" s="1497"/>
      <c r="V921" s="1497"/>
      <c r="W921" s="1497"/>
      <c r="X921" s="1497"/>
      <c r="Y921" s="1497"/>
      <c r="Z921" s="1497"/>
    </row>
    <row r="922" spans="1:26" ht="12.75" customHeight="1">
      <c r="A922" s="1497"/>
      <c r="B922" s="1497"/>
      <c r="C922" s="1497"/>
      <c r="D922" s="1497"/>
      <c r="E922" s="1497"/>
      <c r="F922" s="1497"/>
      <c r="G922" s="1497"/>
      <c r="H922" s="1497"/>
      <c r="I922" s="1497"/>
      <c r="J922" s="1497"/>
      <c r="K922" s="1497"/>
      <c r="L922" s="1497"/>
      <c r="M922" s="1497"/>
      <c r="N922" s="1497"/>
      <c r="O922" s="1497"/>
      <c r="P922" s="1497"/>
      <c r="Q922" s="1497"/>
      <c r="R922" s="1497"/>
      <c r="S922" s="1497"/>
      <c r="T922" s="1497"/>
      <c r="U922" s="1497"/>
      <c r="V922" s="1497"/>
      <c r="W922" s="1497"/>
      <c r="X922" s="1497"/>
      <c r="Y922" s="1497"/>
      <c r="Z922" s="1497"/>
    </row>
    <row r="923" spans="1:26" ht="12.75" customHeight="1">
      <c r="A923" s="1497"/>
      <c r="B923" s="1497"/>
      <c r="C923" s="1497"/>
      <c r="D923" s="1497"/>
      <c r="E923" s="1497"/>
      <c r="F923" s="1497"/>
      <c r="G923" s="1497"/>
      <c r="H923" s="1497"/>
      <c r="I923" s="1497"/>
      <c r="J923" s="1497"/>
      <c r="K923" s="1497"/>
      <c r="L923" s="1497"/>
      <c r="M923" s="1497"/>
      <c r="N923" s="1497"/>
      <c r="O923" s="1497"/>
      <c r="P923" s="1497"/>
      <c r="Q923" s="1497"/>
      <c r="R923" s="1497"/>
      <c r="S923" s="1497"/>
      <c r="T923" s="1497"/>
      <c r="U923" s="1497"/>
      <c r="V923" s="1497"/>
      <c r="W923" s="1497"/>
      <c r="X923" s="1497"/>
      <c r="Y923" s="1497"/>
      <c r="Z923" s="1497"/>
    </row>
    <row r="924" spans="1:26" ht="12.75" customHeight="1">
      <c r="A924" s="1497"/>
      <c r="B924" s="1497"/>
      <c r="C924" s="1497"/>
      <c r="D924" s="1497"/>
      <c r="E924" s="1497"/>
      <c r="F924" s="1497"/>
      <c r="G924" s="1497"/>
      <c r="H924" s="1497"/>
      <c r="I924" s="1497"/>
      <c r="J924" s="1497"/>
      <c r="K924" s="1497"/>
      <c r="L924" s="1497"/>
      <c r="M924" s="1497"/>
      <c r="N924" s="1497"/>
      <c r="O924" s="1497"/>
      <c r="P924" s="1497"/>
      <c r="Q924" s="1497"/>
      <c r="R924" s="1497"/>
      <c r="S924" s="1497"/>
      <c r="T924" s="1497"/>
      <c r="U924" s="1497"/>
      <c r="V924" s="1497"/>
      <c r="W924" s="1497"/>
      <c r="X924" s="1497"/>
      <c r="Y924" s="1497"/>
      <c r="Z924" s="1497"/>
    </row>
    <row r="925" spans="1:26" ht="12.75" customHeight="1">
      <c r="A925" s="1497"/>
      <c r="B925" s="1497"/>
      <c r="C925" s="1497"/>
      <c r="D925" s="1497"/>
      <c r="E925" s="1497"/>
      <c r="F925" s="1497"/>
      <c r="G925" s="1497"/>
      <c r="H925" s="1497"/>
      <c r="I925" s="1497"/>
      <c r="J925" s="1497"/>
      <c r="K925" s="1497"/>
      <c r="L925" s="1497"/>
      <c r="M925" s="1497"/>
      <c r="N925" s="1497"/>
      <c r="O925" s="1497"/>
      <c r="P925" s="1497"/>
      <c r="Q925" s="1497"/>
      <c r="R925" s="1497"/>
      <c r="S925" s="1497"/>
      <c r="T925" s="1497"/>
      <c r="U925" s="1497"/>
      <c r="V925" s="1497"/>
      <c r="W925" s="1497"/>
      <c r="X925" s="1497"/>
      <c r="Y925" s="1497"/>
      <c r="Z925" s="1497"/>
    </row>
    <row r="926" spans="1:26" ht="12.75" customHeight="1">
      <c r="A926" s="1497"/>
      <c r="B926" s="1497"/>
      <c r="C926" s="1497"/>
      <c r="D926" s="1497"/>
      <c r="E926" s="1497"/>
      <c r="F926" s="1497"/>
      <c r="G926" s="1497"/>
      <c r="H926" s="1497"/>
      <c r="I926" s="1497"/>
      <c r="J926" s="1497"/>
      <c r="K926" s="1497"/>
      <c r="L926" s="1497"/>
      <c r="M926" s="1497"/>
      <c r="N926" s="1497"/>
      <c r="O926" s="1497"/>
      <c r="P926" s="1497"/>
      <c r="Q926" s="1497"/>
      <c r="R926" s="1497"/>
      <c r="S926" s="1497"/>
      <c r="T926" s="1497"/>
      <c r="U926" s="1497"/>
      <c r="V926" s="1497"/>
      <c r="W926" s="1497"/>
      <c r="X926" s="1497"/>
      <c r="Y926" s="1497"/>
      <c r="Z926" s="1497"/>
    </row>
    <row r="927" spans="1:26" ht="12.75" customHeight="1">
      <c r="A927" s="1497"/>
      <c r="B927" s="1497"/>
      <c r="C927" s="1497"/>
      <c r="D927" s="1497"/>
      <c r="E927" s="1497"/>
      <c r="F927" s="1497"/>
      <c r="G927" s="1497"/>
      <c r="H927" s="1497"/>
      <c r="I927" s="1497"/>
      <c r="J927" s="1497"/>
      <c r="K927" s="1497"/>
      <c r="L927" s="1497"/>
      <c r="M927" s="1497"/>
      <c r="N927" s="1497"/>
      <c r="O927" s="1497"/>
      <c r="P927" s="1497"/>
      <c r="Q927" s="1497"/>
      <c r="R927" s="1497"/>
      <c r="S927" s="1497"/>
      <c r="T927" s="1497"/>
      <c r="U927" s="1497"/>
      <c r="V927" s="1497"/>
      <c r="W927" s="1497"/>
      <c r="X927" s="1497"/>
      <c r="Y927" s="1497"/>
      <c r="Z927" s="1497"/>
    </row>
    <row r="928" spans="1:26" ht="12.75" customHeight="1">
      <c r="A928" s="1497"/>
      <c r="B928" s="1497"/>
      <c r="C928" s="1497"/>
      <c r="D928" s="1497"/>
      <c r="E928" s="1497"/>
      <c r="F928" s="1497"/>
      <c r="G928" s="1497"/>
      <c r="H928" s="1497"/>
      <c r="I928" s="1497"/>
      <c r="J928" s="1497"/>
      <c r="K928" s="1497"/>
      <c r="L928" s="1497"/>
      <c r="M928" s="1497"/>
      <c r="N928" s="1497"/>
      <c r="O928" s="1497"/>
      <c r="P928" s="1497"/>
      <c r="Q928" s="1497"/>
      <c r="R928" s="1497"/>
      <c r="S928" s="1497"/>
      <c r="T928" s="1497"/>
      <c r="U928" s="1497"/>
      <c r="V928" s="1497"/>
      <c r="W928" s="1497"/>
      <c r="X928" s="1497"/>
      <c r="Y928" s="1497"/>
      <c r="Z928" s="1497"/>
    </row>
    <row r="929" spans="1:26" ht="12.75" customHeight="1">
      <c r="A929" s="1497"/>
      <c r="B929" s="1497"/>
      <c r="C929" s="1497"/>
      <c r="D929" s="1497"/>
      <c r="E929" s="1497"/>
      <c r="F929" s="1497"/>
      <c r="G929" s="1497"/>
      <c r="H929" s="1497"/>
      <c r="I929" s="1497"/>
      <c r="J929" s="1497"/>
      <c r="K929" s="1497"/>
      <c r="L929" s="1497"/>
      <c r="M929" s="1497"/>
      <c r="N929" s="1497"/>
      <c r="O929" s="1497"/>
      <c r="P929" s="1497"/>
      <c r="Q929" s="1497"/>
      <c r="R929" s="1497"/>
      <c r="S929" s="1497"/>
      <c r="T929" s="1497"/>
      <c r="U929" s="1497"/>
      <c r="V929" s="1497"/>
      <c r="W929" s="1497"/>
      <c r="X929" s="1497"/>
      <c r="Y929" s="1497"/>
      <c r="Z929" s="1497"/>
    </row>
    <row r="930" spans="1:26" ht="12.75" customHeight="1">
      <c r="A930" s="1497"/>
      <c r="B930" s="1497"/>
      <c r="C930" s="1497"/>
      <c r="D930" s="1497"/>
      <c r="E930" s="1497"/>
      <c r="F930" s="1497"/>
      <c r="G930" s="1497"/>
      <c r="H930" s="1497"/>
      <c r="I930" s="1497"/>
      <c r="J930" s="1497"/>
      <c r="K930" s="1497"/>
      <c r="L930" s="1497"/>
      <c r="M930" s="1497"/>
      <c r="N930" s="1497"/>
      <c r="O930" s="1497"/>
      <c r="P930" s="1497"/>
      <c r="Q930" s="1497"/>
      <c r="R930" s="1497"/>
      <c r="S930" s="1497"/>
      <c r="T930" s="1497"/>
      <c r="U930" s="1497"/>
      <c r="V930" s="1497"/>
      <c r="W930" s="1497"/>
      <c r="X930" s="1497"/>
      <c r="Y930" s="1497"/>
      <c r="Z930" s="1497"/>
    </row>
    <row r="931" spans="1:26" ht="12.75" customHeight="1">
      <c r="A931" s="1497"/>
      <c r="B931" s="1497"/>
      <c r="C931" s="1497"/>
      <c r="D931" s="1497"/>
      <c r="E931" s="1497"/>
      <c r="F931" s="1497"/>
      <c r="G931" s="1497"/>
      <c r="H931" s="1497"/>
      <c r="I931" s="1497"/>
      <c r="J931" s="1497"/>
      <c r="K931" s="1497"/>
      <c r="L931" s="1497"/>
      <c r="M931" s="1497"/>
      <c r="N931" s="1497"/>
      <c r="O931" s="1497"/>
      <c r="P931" s="1497"/>
      <c r="Q931" s="1497"/>
      <c r="R931" s="1497"/>
      <c r="S931" s="1497"/>
      <c r="T931" s="1497"/>
      <c r="U931" s="1497"/>
      <c r="V931" s="1497"/>
      <c r="W931" s="1497"/>
      <c r="X931" s="1497"/>
      <c r="Y931" s="1497"/>
      <c r="Z931" s="1497"/>
    </row>
    <row r="932" spans="1:26" ht="12.75" customHeight="1">
      <c r="A932" s="1497"/>
      <c r="B932" s="1497"/>
      <c r="C932" s="1497"/>
      <c r="D932" s="1497"/>
      <c r="E932" s="1497"/>
      <c r="F932" s="1497"/>
      <c r="G932" s="1497"/>
      <c r="H932" s="1497"/>
      <c r="I932" s="1497"/>
      <c r="J932" s="1497"/>
      <c r="K932" s="1497"/>
      <c r="L932" s="1497"/>
      <c r="M932" s="1497"/>
      <c r="N932" s="1497"/>
      <c r="O932" s="1497"/>
      <c r="P932" s="1497"/>
      <c r="Q932" s="1497"/>
      <c r="R932" s="1497"/>
      <c r="S932" s="1497"/>
      <c r="T932" s="1497"/>
      <c r="U932" s="1497"/>
      <c r="V932" s="1497"/>
      <c r="W932" s="1497"/>
      <c r="X932" s="1497"/>
      <c r="Y932" s="1497"/>
      <c r="Z932" s="1497"/>
    </row>
    <row r="933" spans="1:26" ht="12.75" customHeight="1">
      <c r="A933" s="1497"/>
      <c r="B933" s="1497"/>
      <c r="C933" s="1497"/>
      <c r="D933" s="1497"/>
      <c r="E933" s="1497"/>
      <c r="F933" s="1497"/>
      <c r="G933" s="1497"/>
      <c r="H933" s="1497"/>
      <c r="I933" s="1497"/>
      <c r="J933" s="1497"/>
      <c r="K933" s="1497"/>
      <c r="L933" s="1497"/>
      <c r="M933" s="1497"/>
      <c r="N933" s="1497"/>
      <c r="O933" s="1497"/>
      <c r="P933" s="1497"/>
      <c r="Q933" s="1497"/>
      <c r="R933" s="1497"/>
      <c r="S933" s="1497"/>
      <c r="T933" s="1497"/>
      <c r="U933" s="1497"/>
      <c r="V933" s="1497"/>
      <c r="W933" s="1497"/>
      <c r="X933" s="1497"/>
      <c r="Y933" s="1497"/>
      <c r="Z933" s="1497"/>
    </row>
    <row r="934" spans="1:26" ht="12.75" customHeight="1">
      <c r="A934" s="1497"/>
      <c r="B934" s="1497"/>
      <c r="C934" s="1497"/>
      <c r="D934" s="1497"/>
      <c r="E934" s="1497"/>
      <c r="F934" s="1497"/>
      <c r="G934" s="1497"/>
      <c r="H934" s="1497"/>
      <c r="I934" s="1497"/>
      <c r="J934" s="1497"/>
      <c r="K934" s="1497"/>
      <c r="L934" s="1497"/>
      <c r="M934" s="1497"/>
      <c r="N934" s="1497"/>
      <c r="O934" s="1497"/>
      <c r="P934" s="1497"/>
      <c r="Q934" s="1497"/>
      <c r="R934" s="1497"/>
      <c r="S934" s="1497"/>
      <c r="T934" s="1497"/>
      <c r="U934" s="1497"/>
      <c r="V934" s="1497"/>
      <c r="W934" s="1497"/>
      <c r="X934" s="1497"/>
      <c r="Y934" s="1497"/>
      <c r="Z934" s="1497"/>
    </row>
    <row r="935" spans="1:26" ht="12.75" customHeight="1">
      <c r="A935" s="1497"/>
      <c r="B935" s="1497"/>
      <c r="C935" s="1497"/>
      <c r="D935" s="1497"/>
      <c r="E935" s="1497"/>
      <c r="F935" s="1497"/>
      <c r="G935" s="1497"/>
      <c r="H935" s="1497"/>
      <c r="I935" s="1497"/>
      <c r="J935" s="1497"/>
      <c r="K935" s="1497"/>
      <c r="L935" s="1497"/>
      <c r="M935" s="1497"/>
      <c r="N935" s="1497"/>
      <c r="O935" s="1497"/>
      <c r="P935" s="1497"/>
      <c r="Q935" s="1497"/>
      <c r="R935" s="1497"/>
      <c r="S935" s="1497"/>
      <c r="T935" s="1497"/>
      <c r="U935" s="1497"/>
      <c r="V935" s="1497"/>
      <c r="W935" s="1497"/>
      <c r="X935" s="1497"/>
      <c r="Y935" s="1497"/>
      <c r="Z935" s="1497"/>
    </row>
    <row r="936" spans="1:26" ht="12.75" customHeight="1">
      <c r="A936" s="1497"/>
      <c r="B936" s="1497"/>
      <c r="C936" s="1497"/>
      <c r="D936" s="1497"/>
      <c r="E936" s="1497"/>
      <c r="F936" s="1497"/>
      <c r="G936" s="1497"/>
      <c r="H936" s="1497"/>
      <c r="I936" s="1497"/>
      <c r="J936" s="1497"/>
      <c r="K936" s="1497"/>
      <c r="L936" s="1497"/>
      <c r="M936" s="1497"/>
      <c r="N936" s="1497"/>
      <c r="O936" s="1497"/>
      <c r="P936" s="1497"/>
      <c r="Q936" s="1497"/>
      <c r="R936" s="1497"/>
      <c r="S936" s="1497"/>
      <c r="T936" s="1497"/>
      <c r="U936" s="1497"/>
      <c r="V936" s="1497"/>
      <c r="W936" s="1497"/>
      <c r="X936" s="1497"/>
      <c r="Y936" s="1497"/>
      <c r="Z936" s="1497"/>
    </row>
    <row r="937" spans="1:26" ht="12.75" customHeight="1">
      <c r="A937" s="1497"/>
      <c r="B937" s="1497"/>
      <c r="C937" s="1497"/>
      <c r="D937" s="1497"/>
      <c r="E937" s="1497"/>
      <c r="F937" s="1497"/>
      <c r="G937" s="1497"/>
      <c r="H937" s="1497"/>
      <c r="I937" s="1497"/>
      <c r="J937" s="1497"/>
      <c r="K937" s="1497"/>
      <c r="L937" s="1497"/>
      <c r="M937" s="1497"/>
      <c r="N937" s="1497"/>
      <c r="O937" s="1497"/>
      <c r="P937" s="1497"/>
      <c r="Q937" s="1497"/>
      <c r="R937" s="1497"/>
      <c r="S937" s="1497"/>
      <c r="T937" s="1497"/>
      <c r="U937" s="1497"/>
      <c r="V937" s="1497"/>
      <c r="W937" s="1497"/>
      <c r="X937" s="1497"/>
      <c r="Y937" s="1497"/>
      <c r="Z937" s="1497"/>
    </row>
    <row r="938" spans="1:26" ht="12.75" customHeight="1">
      <c r="A938" s="1497"/>
      <c r="B938" s="1497"/>
      <c r="C938" s="1497"/>
      <c r="D938" s="1497"/>
      <c r="E938" s="1497"/>
      <c r="F938" s="1497"/>
      <c r="G938" s="1497"/>
      <c r="H938" s="1497"/>
      <c r="I938" s="1497"/>
      <c r="J938" s="1497"/>
      <c r="K938" s="1497"/>
      <c r="L938" s="1497"/>
      <c r="M938" s="1497"/>
      <c r="N938" s="1497"/>
      <c r="O938" s="1497"/>
      <c r="P938" s="1497"/>
      <c r="Q938" s="1497"/>
      <c r="R938" s="1497"/>
      <c r="S938" s="1497"/>
      <c r="T938" s="1497"/>
      <c r="U938" s="1497"/>
      <c r="V938" s="1497"/>
      <c r="W938" s="1497"/>
      <c r="X938" s="1497"/>
      <c r="Y938" s="1497"/>
      <c r="Z938" s="1497"/>
    </row>
    <row r="939" spans="1:26" ht="12.75" customHeight="1">
      <c r="A939" s="1497"/>
      <c r="B939" s="1497"/>
      <c r="C939" s="1497"/>
      <c r="D939" s="1497"/>
      <c r="E939" s="1497"/>
      <c r="F939" s="1497"/>
      <c r="G939" s="1497"/>
      <c r="H939" s="1497"/>
      <c r="I939" s="1497"/>
      <c r="J939" s="1497"/>
      <c r="K939" s="1497"/>
      <c r="L939" s="1497"/>
      <c r="M939" s="1497"/>
      <c r="N939" s="1497"/>
      <c r="O939" s="1497"/>
      <c r="P939" s="1497"/>
      <c r="Q939" s="1497"/>
      <c r="R939" s="1497"/>
      <c r="S939" s="1497"/>
      <c r="T939" s="1497"/>
      <c r="U939" s="1497"/>
      <c r="V939" s="1497"/>
      <c r="W939" s="1497"/>
      <c r="X939" s="1497"/>
      <c r="Y939" s="1497"/>
      <c r="Z939" s="1497"/>
    </row>
    <row r="940" spans="1:26" ht="12.75" customHeight="1">
      <c r="A940" s="1497"/>
      <c r="B940" s="1497"/>
      <c r="C940" s="1497"/>
      <c r="D940" s="1497"/>
      <c r="E940" s="1497"/>
      <c r="F940" s="1497"/>
      <c r="G940" s="1497"/>
      <c r="H940" s="1497"/>
      <c r="I940" s="1497"/>
      <c r="J940" s="1497"/>
      <c r="K940" s="1497"/>
      <c r="L940" s="1497"/>
      <c r="M940" s="1497"/>
      <c r="N940" s="1497"/>
      <c r="O940" s="1497"/>
      <c r="P940" s="1497"/>
      <c r="Q940" s="1497"/>
      <c r="R940" s="1497"/>
      <c r="S940" s="1497"/>
      <c r="T940" s="1497"/>
      <c r="U940" s="1497"/>
      <c r="V940" s="1497"/>
      <c r="W940" s="1497"/>
      <c r="X940" s="1497"/>
      <c r="Y940" s="1497"/>
      <c r="Z940" s="1497"/>
    </row>
    <row r="941" spans="1:26" ht="12.75" customHeight="1">
      <c r="A941" s="1497"/>
      <c r="B941" s="1497"/>
      <c r="C941" s="1497"/>
      <c r="D941" s="1497"/>
      <c r="E941" s="1497"/>
      <c r="F941" s="1497"/>
      <c r="G941" s="1497"/>
      <c r="H941" s="1497"/>
      <c r="I941" s="1497"/>
      <c r="J941" s="1497"/>
      <c r="K941" s="1497"/>
      <c r="L941" s="1497"/>
      <c r="M941" s="1497"/>
      <c r="N941" s="1497"/>
      <c r="O941" s="1497"/>
      <c r="P941" s="1497"/>
      <c r="Q941" s="1497"/>
      <c r="R941" s="1497"/>
      <c r="S941" s="1497"/>
      <c r="T941" s="1497"/>
      <c r="U941" s="1497"/>
      <c r="V941" s="1497"/>
      <c r="W941" s="1497"/>
      <c r="X941" s="1497"/>
      <c r="Y941" s="1497"/>
      <c r="Z941" s="1497"/>
    </row>
    <row r="942" spans="1:26" ht="12.75" customHeight="1">
      <c r="A942" s="1497"/>
      <c r="B942" s="1497"/>
      <c r="C942" s="1497"/>
      <c r="D942" s="1497"/>
      <c r="E942" s="1497"/>
      <c r="F942" s="1497"/>
      <c r="G942" s="1497"/>
      <c r="H942" s="1497"/>
      <c r="I942" s="1497"/>
      <c r="J942" s="1497"/>
      <c r="K942" s="1497"/>
      <c r="L942" s="1497"/>
      <c r="M942" s="1497"/>
      <c r="N942" s="1497"/>
      <c r="O942" s="1497"/>
      <c r="P942" s="1497"/>
      <c r="Q942" s="1497"/>
      <c r="R942" s="1497"/>
      <c r="S942" s="1497"/>
      <c r="T942" s="1497"/>
      <c r="U942" s="1497"/>
      <c r="V942" s="1497"/>
      <c r="W942" s="1497"/>
      <c r="X942" s="1497"/>
      <c r="Y942" s="1497"/>
      <c r="Z942" s="1497"/>
    </row>
    <row r="943" spans="1:26" ht="12.75" customHeight="1">
      <c r="A943" s="1497"/>
      <c r="B943" s="1497"/>
      <c r="C943" s="1497"/>
      <c r="D943" s="1497"/>
      <c r="E943" s="1497"/>
      <c r="F943" s="1497"/>
      <c r="G943" s="1497"/>
      <c r="H943" s="1497"/>
      <c r="I943" s="1497"/>
      <c r="J943" s="1497"/>
      <c r="K943" s="1497"/>
      <c r="L943" s="1497"/>
      <c r="M943" s="1497"/>
      <c r="N943" s="1497"/>
      <c r="O943" s="1497"/>
      <c r="P943" s="1497"/>
      <c r="Q943" s="1497"/>
      <c r="R943" s="1497"/>
      <c r="S943" s="1497"/>
      <c r="T943" s="1497"/>
      <c r="U943" s="1497"/>
      <c r="V943" s="1497"/>
      <c r="W943" s="1497"/>
      <c r="X943" s="1497"/>
      <c r="Y943" s="1497"/>
      <c r="Z943" s="1497"/>
    </row>
    <row r="944" spans="1:26" ht="12.75" customHeight="1">
      <c r="A944" s="1497"/>
      <c r="B944" s="1497"/>
      <c r="C944" s="1497"/>
      <c r="D944" s="1497"/>
      <c r="E944" s="1497"/>
      <c r="F944" s="1497"/>
      <c r="G944" s="1497"/>
      <c r="H944" s="1497"/>
      <c r="I944" s="1497"/>
      <c r="J944" s="1497"/>
      <c r="K944" s="1497"/>
      <c r="L944" s="1497"/>
      <c r="M944" s="1497"/>
      <c r="N944" s="1497"/>
      <c r="O944" s="1497"/>
      <c r="P944" s="1497"/>
      <c r="Q944" s="1497"/>
      <c r="R944" s="1497"/>
      <c r="S944" s="1497"/>
      <c r="T944" s="1497"/>
      <c r="U944" s="1497"/>
      <c r="V944" s="1497"/>
      <c r="W944" s="1497"/>
      <c r="X944" s="1497"/>
      <c r="Y944" s="1497"/>
      <c r="Z944" s="1497"/>
    </row>
    <row r="945" spans="1:26" ht="12.75" customHeight="1">
      <c r="A945" s="1497"/>
      <c r="B945" s="1497"/>
      <c r="C945" s="1497"/>
      <c r="D945" s="1497"/>
      <c r="E945" s="1497"/>
      <c r="F945" s="1497"/>
      <c r="G945" s="1497"/>
      <c r="H945" s="1497"/>
      <c r="I945" s="1497"/>
      <c r="J945" s="1497"/>
      <c r="K945" s="1497"/>
      <c r="L945" s="1497"/>
      <c r="M945" s="1497"/>
      <c r="N945" s="1497"/>
      <c r="O945" s="1497"/>
      <c r="P945" s="1497"/>
      <c r="Q945" s="1497"/>
      <c r="R945" s="1497"/>
      <c r="S945" s="1497"/>
      <c r="T945" s="1497"/>
      <c r="U945" s="1497"/>
      <c r="V945" s="1497"/>
      <c r="W945" s="1497"/>
      <c r="X945" s="1497"/>
      <c r="Y945" s="1497"/>
      <c r="Z945" s="1497"/>
    </row>
    <row r="946" spans="1:26" ht="12.75" customHeight="1">
      <c r="A946" s="1497"/>
      <c r="B946" s="1497"/>
      <c r="C946" s="1497"/>
      <c r="D946" s="1497"/>
      <c r="E946" s="1497"/>
      <c r="F946" s="1497"/>
      <c r="G946" s="1497"/>
      <c r="H946" s="1497"/>
      <c r="I946" s="1497"/>
      <c r="J946" s="1497"/>
      <c r="K946" s="1497"/>
      <c r="L946" s="1497"/>
      <c r="M946" s="1497"/>
      <c r="N946" s="1497"/>
      <c r="O946" s="1497"/>
      <c r="P946" s="1497"/>
      <c r="Q946" s="1497"/>
      <c r="R946" s="1497"/>
      <c r="S946" s="1497"/>
      <c r="T946" s="1497"/>
      <c r="U946" s="1497"/>
      <c r="V946" s="1497"/>
      <c r="W946" s="1497"/>
      <c r="X946" s="1497"/>
      <c r="Y946" s="1497"/>
      <c r="Z946" s="1497"/>
    </row>
    <row r="947" spans="1:26" ht="12.75" customHeight="1">
      <c r="A947" s="1497"/>
      <c r="B947" s="1497"/>
      <c r="C947" s="1497"/>
      <c r="D947" s="1497"/>
      <c r="E947" s="1497"/>
      <c r="F947" s="1497"/>
      <c r="G947" s="1497"/>
      <c r="H947" s="1497"/>
      <c r="I947" s="1497"/>
      <c r="J947" s="1497"/>
      <c r="K947" s="1497"/>
      <c r="L947" s="1497"/>
      <c r="M947" s="1497"/>
      <c r="N947" s="1497"/>
      <c r="O947" s="1497"/>
      <c r="P947" s="1497"/>
      <c r="Q947" s="1497"/>
      <c r="R947" s="1497"/>
      <c r="S947" s="1497"/>
      <c r="T947" s="1497"/>
      <c r="U947" s="1497"/>
      <c r="V947" s="1497"/>
      <c r="W947" s="1497"/>
      <c r="X947" s="1497"/>
      <c r="Y947" s="1497"/>
      <c r="Z947" s="1497"/>
    </row>
    <row r="948" spans="1:26" ht="12.75" customHeight="1">
      <c r="A948" s="1497"/>
      <c r="B948" s="1497"/>
      <c r="C948" s="1497"/>
      <c r="D948" s="1497"/>
      <c r="E948" s="1497"/>
      <c r="F948" s="1497"/>
      <c r="G948" s="1497"/>
      <c r="H948" s="1497"/>
      <c r="I948" s="1497"/>
      <c r="J948" s="1497"/>
      <c r="K948" s="1497"/>
      <c r="L948" s="1497"/>
      <c r="M948" s="1497"/>
      <c r="N948" s="1497"/>
      <c r="O948" s="1497"/>
      <c r="P948" s="1497"/>
      <c r="Q948" s="1497"/>
      <c r="R948" s="1497"/>
      <c r="S948" s="1497"/>
      <c r="T948" s="1497"/>
      <c r="U948" s="1497"/>
      <c r="V948" s="1497"/>
      <c r="W948" s="1497"/>
      <c r="X948" s="1497"/>
      <c r="Y948" s="1497"/>
      <c r="Z948" s="1497"/>
    </row>
    <row r="949" spans="1:26" ht="12.75" customHeight="1">
      <c r="A949" s="1497"/>
      <c r="B949" s="1497"/>
      <c r="C949" s="1497"/>
      <c r="D949" s="1497"/>
      <c r="E949" s="1497"/>
      <c r="F949" s="1497"/>
      <c r="G949" s="1497"/>
      <c r="H949" s="1497"/>
      <c r="I949" s="1497"/>
      <c r="J949" s="1497"/>
      <c r="K949" s="1497"/>
      <c r="L949" s="1497"/>
      <c r="M949" s="1497"/>
      <c r="N949" s="1497"/>
      <c r="O949" s="1497"/>
      <c r="P949" s="1497"/>
      <c r="Q949" s="1497"/>
      <c r="R949" s="1497"/>
      <c r="S949" s="1497"/>
      <c r="T949" s="1497"/>
      <c r="U949" s="1497"/>
      <c r="V949" s="1497"/>
      <c r="W949" s="1497"/>
      <c r="X949" s="1497"/>
      <c r="Y949" s="1497"/>
      <c r="Z949" s="1497"/>
    </row>
    <row r="950" spans="1:26" ht="12.75" customHeight="1">
      <c r="A950" s="1497"/>
      <c r="B950" s="1497"/>
      <c r="C950" s="1497"/>
      <c r="D950" s="1497"/>
      <c r="E950" s="1497"/>
      <c r="F950" s="1497"/>
      <c r="G950" s="1497"/>
      <c r="H950" s="1497"/>
      <c r="I950" s="1497"/>
      <c r="J950" s="1497"/>
      <c r="K950" s="1497"/>
      <c r="L950" s="1497"/>
      <c r="M950" s="1497"/>
      <c r="N950" s="1497"/>
      <c r="O950" s="1497"/>
      <c r="P950" s="1497"/>
      <c r="Q950" s="1497"/>
      <c r="R950" s="1497"/>
      <c r="S950" s="1497"/>
      <c r="T950" s="1497"/>
      <c r="U950" s="1497"/>
      <c r="V950" s="1497"/>
      <c r="W950" s="1497"/>
      <c r="X950" s="1497"/>
      <c r="Y950" s="1497"/>
      <c r="Z950" s="1497"/>
    </row>
    <row r="951" spans="1:26" ht="12.75" customHeight="1">
      <c r="A951" s="1497"/>
      <c r="B951" s="1497"/>
      <c r="C951" s="1497"/>
      <c r="D951" s="1497"/>
      <c r="E951" s="1497"/>
      <c r="F951" s="1497"/>
      <c r="G951" s="1497"/>
      <c r="H951" s="1497"/>
      <c r="I951" s="1497"/>
      <c r="J951" s="1497"/>
      <c r="K951" s="1497"/>
      <c r="L951" s="1497"/>
      <c r="M951" s="1497"/>
      <c r="N951" s="1497"/>
      <c r="O951" s="1497"/>
      <c r="P951" s="1497"/>
      <c r="Q951" s="1497"/>
      <c r="R951" s="1497"/>
      <c r="S951" s="1497"/>
      <c r="T951" s="1497"/>
      <c r="U951" s="1497"/>
      <c r="V951" s="1497"/>
      <c r="W951" s="1497"/>
      <c r="X951" s="1497"/>
      <c r="Y951" s="1497"/>
      <c r="Z951" s="1497"/>
    </row>
    <row r="952" spans="1:26" ht="12.75" customHeight="1">
      <c r="A952" s="1497"/>
      <c r="B952" s="1497"/>
      <c r="C952" s="1497"/>
      <c r="D952" s="1497"/>
      <c r="E952" s="1497"/>
      <c r="F952" s="1497"/>
      <c r="G952" s="1497"/>
      <c r="H952" s="1497"/>
      <c r="I952" s="1497"/>
      <c r="J952" s="1497"/>
      <c r="K952" s="1497"/>
      <c r="L952" s="1497"/>
      <c r="M952" s="1497"/>
      <c r="N952" s="1497"/>
      <c r="O952" s="1497"/>
      <c r="P952" s="1497"/>
      <c r="Q952" s="1497"/>
      <c r="R952" s="1497"/>
      <c r="S952" s="1497"/>
      <c r="T952" s="1497"/>
      <c r="U952" s="1497"/>
      <c r="V952" s="1497"/>
      <c r="W952" s="1497"/>
      <c r="X952" s="1497"/>
      <c r="Y952" s="1497"/>
      <c r="Z952" s="1497"/>
    </row>
    <row r="953" spans="1:26" ht="12.75" customHeight="1">
      <c r="A953" s="1497"/>
      <c r="B953" s="1497"/>
      <c r="C953" s="1497"/>
      <c r="D953" s="1497"/>
      <c r="E953" s="1497"/>
      <c r="F953" s="1497"/>
      <c r="G953" s="1497"/>
      <c r="H953" s="1497"/>
      <c r="I953" s="1497"/>
      <c r="J953" s="1497"/>
      <c r="K953" s="1497"/>
      <c r="L953" s="1497"/>
      <c r="M953" s="1497"/>
      <c r="N953" s="1497"/>
      <c r="O953" s="1497"/>
      <c r="P953" s="1497"/>
      <c r="Q953" s="1497"/>
      <c r="R953" s="1497"/>
      <c r="S953" s="1497"/>
      <c r="T953" s="1497"/>
      <c r="U953" s="1497"/>
      <c r="V953" s="1497"/>
      <c r="W953" s="1497"/>
      <c r="X953" s="1497"/>
      <c r="Y953" s="1497"/>
      <c r="Z953" s="1497"/>
    </row>
    <row r="954" spans="1:26" ht="12.75" customHeight="1">
      <c r="A954" s="1497"/>
      <c r="B954" s="1497"/>
      <c r="C954" s="1497"/>
      <c r="D954" s="1497"/>
      <c r="E954" s="1497"/>
      <c r="F954" s="1497"/>
      <c r="G954" s="1497"/>
      <c r="H954" s="1497"/>
      <c r="I954" s="1497"/>
      <c r="J954" s="1497"/>
      <c r="K954" s="1497"/>
      <c r="L954" s="1497"/>
      <c r="M954" s="1497"/>
      <c r="N954" s="1497"/>
      <c r="O954" s="1497"/>
      <c r="P954" s="1497"/>
      <c r="Q954" s="1497"/>
      <c r="R954" s="1497"/>
      <c r="S954" s="1497"/>
      <c r="T954" s="1497"/>
      <c r="U954" s="1497"/>
      <c r="V954" s="1497"/>
      <c r="W954" s="1497"/>
      <c r="X954" s="1497"/>
      <c r="Y954" s="1497"/>
      <c r="Z954" s="1497"/>
    </row>
    <row r="955" spans="1:26" ht="12.75" customHeight="1">
      <c r="A955" s="1497"/>
      <c r="B955" s="1497"/>
      <c r="C955" s="1497"/>
      <c r="D955" s="1497"/>
      <c r="E955" s="1497"/>
      <c r="F955" s="1497"/>
      <c r="G955" s="1497"/>
      <c r="H955" s="1497"/>
      <c r="I955" s="1497"/>
      <c r="J955" s="1497"/>
      <c r="K955" s="1497"/>
      <c r="L955" s="1497"/>
      <c r="M955" s="1497"/>
      <c r="N955" s="1497"/>
      <c r="O955" s="1497"/>
      <c r="P955" s="1497"/>
      <c r="Q955" s="1497"/>
      <c r="R955" s="1497"/>
      <c r="S955" s="1497"/>
      <c r="T955" s="1497"/>
      <c r="U955" s="1497"/>
      <c r="V955" s="1497"/>
      <c r="W955" s="1497"/>
      <c r="X955" s="1497"/>
      <c r="Y955" s="1497"/>
      <c r="Z955" s="1497"/>
    </row>
    <row r="956" spans="1:26" ht="12.75" customHeight="1">
      <c r="A956" s="1497"/>
      <c r="B956" s="1497"/>
      <c r="C956" s="1497"/>
      <c r="D956" s="1497"/>
      <c r="E956" s="1497"/>
      <c r="F956" s="1497"/>
      <c r="G956" s="1497"/>
      <c r="H956" s="1497"/>
      <c r="I956" s="1497"/>
      <c r="J956" s="1497"/>
      <c r="K956" s="1497"/>
      <c r="L956" s="1497"/>
      <c r="M956" s="1497"/>
      <c r="N956" s="1497"/>
      <c r="O956" s="1497"/>
      <c r="P956" s="1497"/>
      <c r="Q956" s="1497"/>
      <c r="R956" s="1497"/>
      <c r="S956" s="1497"/>
      <c r="T956" s="1497"/>
      <c r="U956" s="1497"/>
      <c r="V956" s="1497"/>
      <c r="W956" s="1497"/>
      <c r="X956" s="1497"/>
      <c r="Y956" s="1497"/>
      <c r="Z956" s="1497"/>
    </row>
    <row r="957" spans="1:26" ht="12.75" customHeight="1">
      <c r="A957" s="1497"/>
      <c r="B957" s="1497"/>
      <c r="C957" s="1497"/>
      <c r="D957" s="1497"/>
      <c r="E957" s="1497"/>
      <c r="F957" s="1497"/>
      <c r="G957" s="1497"/>
      <c r="H957" s="1497"/>
      <c r="I957" s="1497"/>
      <c r="J957" s="1497"/>
      <c r="K957" s="1497"/>
      <c r="L957" s="1497"/>
      <c r="M957" s="1497"/>
      <c r="N957" s="1497"/>
      <c r="O957" s="1497"/>
      <c r="P957" s="1497"/>
      <c r="Q957" s="1497"/>
      <c r="R957" s="1497"/>
      <c r="S957" s="1497"/>
      <c r="T957" s="1497"/>
      <c r="U957" s="1497"/>
      <c r="V957" s="1497"/>
      <c r="W957" s="1497"/>
      <c r="X957" s="1497"/>
      <c r="Y957" s="1497"/>
      <c r="Z957" s="1497"/>
    </row>
    <row r="958" spans="1:26" ht="12.75" customHeight="1">
      <c r="A958" s="1497"/>
      <c r="B958" s="1497"/>
      <c r="C958" s="1497"/>
      <c r="D958" s="1497"/>
      <c r="E958" s="1497"/>
      <c r="F958" s="1497"/>
      <c r="G958" s="1497"/>
      <c r="H958" s="1497"/>
      <c r="I958" s="1497"/>
      <c r="J958" s="1497"/>
      <c r="K958" s="1497"/>
      <c r="L958" s="1497"/>
      <c r="M958" s="1497"/>
      <c r="N958" s="1497"/>
      <c r="O958" s="1497"/>
      <c r="P958" s="1497"/>
      <c r="Q958" s="1497"/>
      <c r="R958" s="1497"/>
      <c r="S958" s="1497"/>
      <c r="T958" s="1497"/>
      <c r="U958" s="1497"/>
      <c r="V958" s="1497"/>
      <c r="W958" s="1497"/>
      <c r="X958" s="1497"/>
      <c r="Y958" s="1497"/>
      <c r="Z958" s="1497"/>
    </row>
    <row r="959" spans="1:26" ht="12.75" customHeight="1">
      <c r="A959" s="1497"/>
      <c r="B959" s="1497"/>
      <c r="C959" s="1497"/>
      <c r="D959" s="1497"/>
      <c r="E959" s="1497"/>
      <c r="F959" s="1497"/>
      <c r="G959" s="1497"/>
      <c r="H959" s="1497"/>
      <c r="I959" s="1497"/>
      <c r="J959" s="1497"/>
      <c r="K959" s="1497"/>
      <c r="L959" s="1497"/>
      <c r="M959" s="1497"/>
      <c r="N959" s="1497"/>
      <c r="O959" s="1497"/>
      <c r="P959" s="1497"/>
      <c r="Q959" s="1497"/>
      <c r="R959" s="1497"/>
      <c r="S959" s="1497"/>
      <c r="T959" s="1497"/>
      <c r="U959" s="1497"/>
      <c r="V959" s="1497"/>
      <c r="W959" s="1497"/>
      <c r="X959" s="1497"/>
      <c r="Y959" s="1497"/>
      <c r="Z959" s="1497"/>
    </row>
    <row r="960" spans="1:26" ht="12.75" customHeight="1">
      <c r="A960" s="1497"/>
      <c r="B960" s="1497"/>
      <c r="C960" s="1497"/>
      <c r="D960" s="1497"/>
      <c r="E960" s="1497"/>
      <c r="F960" s="1497"/>
      <c r="G960" s="1497"/>
      <c r="H960" s="1497"/>
      <c r="I960" s="1497"/>
      <c r="J960" s="1497"/>
      <c r="K960" s="1497"/>
      <c r="L960" s="1497"/>
      <c r="M960" s="1497"/>
      <c r="N960" s="1497"/>
      <c r="O960" s="1497"/>
      <c r="P960" s="1497"/>
      <c r="Q960" s="1497"/>
      <c r="R960" s="1497"/>
      <c r="S960" s="1497"/>
      <c r="T960" s="1497"/>
      <c r="U960" s="1497"/>
      <c r="V960" s="1497"/>
      <c r="W960" s="1497"/>
      <c r="X960" s="1497"/>
      <c r="Y960" s="1497"/>
      <c r="Z960" s="1497"/>
    </row>
    <row r="961" spans="1:26" ht="12.75" customHeight="1">
      <c r="A961" s="1497"/>
      <c r="B961" s="1497"/>
      <c r="C961" s="1497"/>
      <c r="D961" s="1497"/>
      <c r="E961" s="1497"/>
      <c r="F961" s="1497"/>
      <c r="G961" s="1497"/>
      <c r="H961" s="1497"/>
      <c r="I961" s="1497"/>
      <c r="J961" s="1497"/>
      <c r="K961" s="1497"/>
      <c r="L961" s="1497"/>
      <c r="M961" s="1497"/>
      <c r="N961" s="1497"/>
      <c r="O961" s="1497"/>
      <c r="P961" s="1497"/>
      <c r="Q961" s="1497"/>
      <c r="R961" s="1497"/>
      <c r="S961" s="1497"/>
      <c r="T961" s="1497"/>
      <c r="U961" s="1497"/>
      <c r="V961" s="1497"/>
      <c r="W961" s="1497"/>
      <c r="X961" s="1497"/>
      <c r="Y961" s="1497"/>
      <c r="Z961" s="1497"/>
    </row>
    <row r="962" spans="1:26" ht="12.75" customHeight="1">
      <c r="A962" s="1497"/>
      <c r="B962" s="1497"/>
      <c r="C962" s="1497"/>
      <c r="D962" s="1497"/>
      <c r="E962" s="1497"/>
      <c r="F962" s="1497"/>
      <c r="G962" s="1497"/>
      <c r="H962" s="1497"/>
      <c r="I962" s="1497"/>
      <c r="J962" s="1497"/>
      <c r="K962" s="1497"/>
      <c r="L962" s="1497"/>
      <c r="M962" s="1497"/>
      <c r="N962" s="1497"/>
      <c r="O962" s="1497"/>
      <c r="P962" s="1497"/>
      <c r="Q962" s="1497"/>
      <c r="R962" s="1497"/>
      <c r="S962" s="1497"/>
      <c r="T962" s="1497"/>
      <c r="U962" s="1497"/>
      <c r="V962" s="1497"/>
      <c r="W962" s="1497"/>
      <c r="X962" s="1497"/>
      <c r="Y962" s="1497"/>
      <c r="Z962" s="1497"/>
    </row>
    <row r="963" spans="1:26" ht="12.75" customHeight="1">
      <c r="A963" s="1497"/>
      <c r="B963" s="1497"/>
      <c r="C963" s="1497"/>
      <c r="D963" s="1497"/>
      <c r="E963" s="1497"/>
      <c r="F963" s="1497"/>
      <c r="G963" s="1497"/>
      <c r="H963" s="1497"/>
      <c r="I963" s="1497"/>
      <c r="J963" s="1497"/>
      <c r="K963" s="1497"/>
      <c r="L963" s="1497"/>
      <c r="M963" s="1497"/>
      <c r="N963" s="1497"/>
      <c r="O963" s="1497"/>
      <c r="P963" s="1497"/>
      <c r="Q963" s="1497"/>
      <c r="R963" s="1497"/>
      <c r="S963" s="1497"/>
      <c r="T963" s="1497"/>
      <c r="U963" s="1497"/>
      <c r="V963" s="1497"/>
      <c r="W963" s="1497"/>
      <c r="X963" s="1497"/>
      <c r="Y963" s="1497"/>
      <c r="Z963" s="1497"/>
    </row>
    <row r="964" spans="1:26" ht="12.75" customHeight="1">
      <c r="A964" s="1497"/>
      <c r="B964" s="1497"/>
      <c r="C964" s="1497"/>
      <c r="D964" s="1497"/>
      <c r="E964" s="1497"/>
      <c r="F964" s="1497"/>
      <c r="G964" s="1497"/>
      <c r="H964" s="1497"/>
      <c r="I964" s="1497"/>
      <c r="J964" s="1497"/>
      <c r="K964" s="1497"/>
      <c r="L964" s="1497"/>
      <c r="M964" s="1497"/>
      <c r="N964" s="1497"/>
      <c r="O964" s="1497"/>
      <c r="P964" s="1497"/>
      <c r="Q964" s="1497"/>
      <c r="R964" s="1497"/>
      <c r="S964" s="1497"/>
      <c r="T964" s="1497"/>
      <c r="U964" s="1497"/>
      <c r="V964" s="1497"/>
      <c r="W964" s="1497"/>
      <c r="X964" s="1497"/>
      <c r="Y964" s="1497"/>
      <c r="Z964" s="1497"/>
    </row>
    <row r="965" spans="1:26" ht="12.75" customHeight="1">
      <c r="A965" s="1497"/>
      <c r="B965" s="1497"/>
      <c r="C965" s="1497"/>
      <c r="D965" s="1497"/>
      <c r="E965" s="1497"/>
      <c r="F965" s="1497"/>
      <c r="G965" s="1497"/>
      <c r="H965" s="1497"/>
      <c r="I965" s="1497"/>
      <c r="J965" s="1497"/>
      <c r="K965" s="1497"/>
      <c r="L965" s="1497"/>
      <c r="M965" s="1497"/>
      <c r="N965" s="1497"/>
      <c r="O965" s="1497"/>
      <c r="P965" s="1497"/>
      <c r="Q965" s="1497"/>
      <c r="R965" s="1497"/>
      <c r="S965" s="1497"/>
      <c r="T965" s="1497"/>
      <c r="U965" s="1497"/>
      <c r="V965" s="1497"/>
      <c r="W965" s="1497"/>
      <c r="X965" s="1497"/>
      <c r="Y965" s="1497"/>
      <c r="Z965" s="1497"/>
    </row>
    <row r="966" spans="1:26" ht="12.75" customHeight="1">
      <c r="A966" s="1497"/>
      <c r="B966" s="1497"/>
      <c r="C966" s="1497"/>
      <c r="D966" s="1497"/>
      <c r="E966" s="1497"/>
      <c r="F966" s="1497"/>
      <c r="G966" s="1497"/>
      <c r="H966" s="1497"/>
      <c r="I966" s="1497"/>
      <c r="J966" s="1497"/>
      <c r="K966" s="1497"/>
      <c r="L966" s="1497"/>
      <c r="M966" s="1497"/>
      <c r="N966" s="1497"/>
      <c r="O966" s="1497"/>
      <c r="P966" s="1497"/>
      <c r="Q966" s="1497"/>
      <c r="R966" s="1497"/>
      <c r="S966" s="1497"/>
      <c r="T966" s="1497"/>
      <c r="U966" s="1497"/>
      <c r="V966" s="1497"/>
      <c r="W966" s="1497"/>
      <c r="X966" s="1497"/>
      <c r="Y966" s="1497"/>
      <c r="Z966" s="1497"/>
    </row>
    <row r="967" spans="1:26" ht="12.75" customHeight="1">
      <c r="A967" s="1497"/>
      <c r="B967" s="1497"/>
      <c r="C967" s="1497"/>
      <c r="D967" s="1497"/>
      <c r="E967" s="1497"/>
      <c r="F967" s="1497"/>
      <c r="G967" s="1497"/>
      <c r="H967" s="1497"/>
      <c r="I967" s="1497"/>
      <c r="J967" s="1497"/>
      <c r="K967" s="1497"/>
      <c r="L967" s="1497"/>
      <c r="M967" s="1497"/>
      <c r="N967" s="1497"/>
      <c r="O967" s="1497"/>
      <c r="P967" s="1497"/>
      <c r="Q967" s="1497"/>
      <c r="R967" s="1497"/>
      <c r="S967" s="1497"/>
      <c r="T967" s="1497"/>
      <c r="U967" s="1497"/>
      <c r="V967" s="1497"/>
      <c r="W967" s="1497"/>
      <c r="X967" s="1497"/>
      <c r="Y967" s="1497"/>
      <c r="Z967" s="1497"/>
    </row>
    <row r="968" spans="1:26" ht="12.75" customHeight="1">
      <c r="A968" s="1497"/>
      <c r="B968" s="1497"/>
      <c r="C968" s="1497"/>
      <c r="D968" s="1497"/>
      <c r="E968" s="1497"/>
      <c r="F968" s="1497"/>
      <c r="G968" s="1497"/>
      <c r="H968" s="1497"/>
      <c r="I968" s="1497"/>
      <c r="J968" s="1497"/>
      <c r="K968" s="1497"/>
      <c r="L968" s="1497"/>
      <c r="M968" s="1497"/>
      <c r="N968" s="1497"/>
      <c r="O968" s="1497"/>
      <c r="P968" s="1497"/>
      <c r="Q968" s="1497"/>
      <c r="R968" s="1497"/>
      <c r="S968" s="1497"/>
      <c r="T968" s="1497"/>
      <c r="U968" s="1497"/>
      <c r="V968" s="1497"/>
      <c r="W968" s="1497"/>
      <c r="X968" s="1497"/>
      <c r="Y968" s="1497"/>
      <c r="Z968" s="1497"/>
    </row>
    <row r="969" spans="1:26" ht="12.75" customHeight="1">
      <c r="A969" s="1497"/>
      <c r="B969" s="1497"/>
      <c r="C969" s="1497"/>
      <c r="D969" s="1497"/>
      <c r="E969" s="1497"/>
      <c r="F969" s="1497"/>
      <c r="G969" s="1497"/>
      <c r="H969" s="1497"/>
      <c r="I969" s="1497"/>
      <c r="J969" s="1497"/>
      <c r="K969" s="1497"/>
      <c r="L969" s="1497"/>
      <c r="M969" s="1497"/>
      <c r="N969" s="1497"/>
      <c r="O969" s="1497"/>
      <c r="P969" s="1497"/>
      <c r="Q969" s="1497"/>
      <c r="R969" s="1497"/>
      <c r="S969" s="1497"/>
      <c r="T969" s="1497"/>
      <c r="U969" s="1497"/>
      <c r="V969" s="1497"/>
      <c r="W969" s="1497"/>
      <c r="X969" s="1497"/>
      <c r="Y969" s="1497"/>
      <c r="Z969" s="1497"/>
    </row>
    <row r="970" spans="1:26" ht="12.75" customHeight="1">
      <c r="A970" s="1497"/>
      <c r="B970" s="1497"/>
      <c r="C970" s="1497"/>
      <c r="D970" s="1497"/>
      <c r="E970" s="1497"/>
      <c r="F970" s="1497"/>
      <c r="G970" s="1497"/>
      <c r="H970" s="1497"/>
      <c r="I970" s="1497"/>
      <c r="J970" s="1497"/>
      <c r="K970" s="1497"/>
      <c r="L970" s="1497"/>
      <c r="M970" s="1497"/>
      <c r="N970" s="1497"/>
      <c r="O970" s="1497"/>
      <c r="P970" s="1497"/>
      <c r="Q970" s="1497"/>
      <c r="R970" s="1497"/>
      <c r="S970" s="1497"/>
      <c r="T970" s="1497"/>
      <c r="U970" s="1497"/>
      <c r="V970" s="1497"/>
      <c r="W970" s="1497"/>
      <c r="X970" s="1497"/>
      <c r="Y970" s="1497"/>
      <c r="Z970" s="1497"/>
    </row>
    <row r="971" spans="1:26" ht="12.75" customHeight="1">
      <c r="A971" s="1497"/>
      <c r="B971" s="1497"/>
      <c r="C971" s="1497"/>
      <c r="D971" s="1497"/>
      <c r="E971" s="1497"/>
      <c r="F971" s="1497"/>
      <c r="G971" s="1497"/>
      <c r="H971" s="1497"/>
      <c r="I971" s="1497"/>
      <c r="J971" s="1497"/>
      <c r="K971" s="1497"/>
      <c r="L971" s="1497"/>
      <c r="M971" s="1497"/>
      <c r="N971" s="1497"/>
      <c r="O971" s="1497"/>
      <c r="P971" s="1497"/>
      <c r="Q971" s="1497"/>
      <c r="R971" s="1497"/>
      <c r="S971" s="1497"/>
      <c r="T971" s="1497"/>
      <c r="U971" s="1497"/>
      <c r="V971" s="1497"/>
      <c r="W971" s="1497"/>
      <c r="X971" s="1497"/>
      <c r="Y971" s="1497"/>
      <c r="Z971" s="1497"/>
    </row>
    <row r="972" spans="1:26" ht="12.75" customHeight="1">
      <c r="A972" s="1497"/>
      <c r="B972" s="1497"/>
      <c r="C972" s="1497"/>
      <c r="D972" s="1497"/>
      <c r="E972" s="1497"/>
      <c r="F972" s="1497"/>
      <c r="G972" s="1497"/>
      <c r="H972" s="1497"/>
      <c r="I972" s="1497"/>
      <c r="J972" s="1497"/>
      <c r="K972" s="1497"/>
      <c r="L972" s="1497"/>
      <c r="M972" s="1497"/>
      <c r="N972" s="1497"/>
      <c r="O972" s="1497"/>
      <c r="P972" s="1497"/>
      <c r="Q972" s="1497"/>
      <c r="R972" s="1497"/>
      <c r="S972" s="1497"/>
      <c r="T972" s="1497"/>
      <c r="U972" s="1497"/>
      <c r="V972" s="1497"/>
      <c r="W972" s="1497"/>
      <c r="X972" s="1497"/>
      <c r="Y972" s="1497"/>
      <c r="Z972" s="1497"/>
    </row>
    <row r="973" spans="1:26" ht="12.75" customHeight="1">
      <c r="A973" s="1497"/>
      <c r="B973" s="1497"/>
      <c r="C973" s="1497"/>
      <c r="D973" s="1497"/>
      <c r="E973" s="1497"/>
      <c r="F973" s="1497"/>
      <c r="G973" s="1497"/>
      <c r="H973" s="1497"/>
      <c r="I973" s="1497"/>
      <c r="J973" s="1497"/>
      <c r="K973" s="1497"/>
      <c r="L973" s="1497"/>
      <c r="M973" s="1497"/>
      <c r="N973" s="1497"/>
      <c r="O973" s="1497"/>
      <c r="P973" s="1497"/>
      <c r="Q973" s="1497"/>
      <c r="R973" s="1497"/>
      <c r="S973" s="1497"/>
      <c r="T973" s="1497"/>
      <c r="U973" s="1497"/>
      <c r="V973" s="1497"/>
      <c r="W973" s="1497"/>
      <c r="X973" s="1497"/>
      <c r="Y973" s="1497"/>
      <c r="Z973" s="1497"/>
    </row>
    <row r="974" spans="1:26" ht="12.75" customHeight="1">
      <c r="A974" s="1497"/>
      <c r="B974" s="1497"/>
      <c r="C974" s="1497"/>
      <c r="D974" s="1497"/>
      <c r="E974" s="1497"/>
      <c r="F974" s="1497"/>
      <c r="G974" s="1497"/>
      <c r="H974" s="1497"/>
      <c r="I974" s="1497"/>
      <c r="J974" s="1497"/>
      <c r="K974" s="1497"/>
      <c r="L974" s="1497"/>
      <c r="M974" s="1497"/>
      <c r="N974" s="1497"/>
      <c r="O974" s="1497"/>
      <c r="P974" s="1497"/>
      <c r="Q974" s="1497"/>
      <c r="R974" s="1497"/>
      <c r="S974" s="1497"/>
      <c r="T974" s="1497"/>
      <c r="U974" s="1497"/>
      <c r="V974" s="1497"/>
      <c r="W974" s="1497"/>
      <c r="X974" s="1497"/>
      <c r="Y974" s="1497"/>
      <c r="Z974" s="1497"/>
    </row>
    <row r="975" spans="1:26" ht="12.75" customHeight="1">
      <c r="A975" s="1497"/>
      <c r="B975" s="1497"/>
      <c r="C975" s="1497"/>
      <c r="D975" s="1497"/>
      <c r="E975" s="1497"/>
      <c r="F975" s="1497"/>
      <c r="G975" s="1497"/>
      <c r="H975" s="1497"/>
      <c r="I975" s="1497"/>
      <c r="J975" s="1497"/>
      <c r="K975" s="1497"/>
      <c r="L975" s="1497"/>
      <c r="M975" s="1497"/>
      <c r="N975" s="1497"/>
      <c r="O975" s="1497"/>
      <c r="P975" s="1497"/>
      <c r="Q975" s="1497"/>
      <c r="R975" s="1497"/>
      <c r="S975" s="1497"/>
      <c r="T975" s="1497"/>
      <c r="U975" s="1497"/>
      <c r="V975" s="1497"/>
      <c r="W975" s="1497"/>
      <c r="X975" s="1497"/>
      <c r="Y975" s="1497"/>
      <c r="Z975" s="1497"/>
    </row>
    <row r="976" spans="1:26" ht="12.75" customHeight="1">
      <c r="A976" s="1497"/>
      <c r="B976" s="1497"/>
      <c r="C976" s="1497"/>
      <c r="D976" s="1497"/>
      <c r="E976" s="1497"/>
      <c r="F976" s="1497"/>
      <c r="G976" s="1497"/>
      <c r="H976" s="1497"/>
      <c r="I976" s="1497"/>
      <c r="J976" s="1497"/>
      <c r="K976" s="1497"/>
      <c r="L976" s="1497"/>
      <c r="M976" s="1497"/>
      <c r="N976" s="1497"/>
      <c r="O976" s="1497"/>
      <c r="P976" s="1497"/>
      <c r="Q976" s="1497"/>
      <c r="R976" s="1497"/>
      <c r="S976" s="1497"/>
      <c r="T976" s="1497"/>
      <c r="U976" s="1497"/>
      <c r="V976" s="1497"/>
      <c r="W976" s="1497"/>
      <c r="X976" s="1497"/>
      <c r="Y976" s="1497"/>
      <c r="Z976" s="1497"/>
    </row>
    <row r="977" spans="1:26" ht="12.75" customHeight="1">
      <c r="A977" s="1497"/>
      <c r="B977" s="1497"/>
      <c r="C977" s="1497"/>
      <c r="D977" s="1497"/>
      <c r="E977" s="1497"/>
      <c r="F977" s="1497"/>
      <c r="G977" s="1497"/>
      <c r="H977" s="1497"/>
      <c r="I977" s="1497"/>
      <c r="J977" s="1497"/>
      <c r="K977" s="1497"/>
      <c r="L977" s="1497"/>
      <c r="M977" s="1497"/>
      <c r="N977" s="1497"/>
      <c r="O977" s="1497"/>
      <c r="P977" s="1497"/>
      <c r="Q977" s="1497"/>
      <c r="R977" s="1497"/>
      <c r="S977" s="1497"/>
      <c r="T977" s="1497"/>
      <c r="U977" s="1497"/>
      <c r="V977" s="1497"/>
      <c r="W977" s="1497"/>
      <c r="X977" s="1497"/>
      <c r="Y977" s="1497"/>
      <c r="Z977" s="1497"/>
    </row>
    <row r="978" spans="1:26" ht="12.75" customHeight="1">
      <c r="A978" s="1497"/>
      <c r="B978" s="1497"/>
      <c r="C978" s="1497"/>
      <c r="D978" s="1497"/>
      <c r="E978" s="1497"/>
      <c r="F978" s="1497"/>
      <c r="G978" s="1497"/>
      <c r="H978" s="1497"/>
      <c r="I978" s="1497"/>
      <c r="J978" s="1497"/>
      <c r="K978" s="1497"/>
      <c r="L978" s="1497"/>
      <c r="M978" s="1497"/>
      <c r="N978" s="1497"/>
      <c r="O978" s="1497"/>
      <c r="P978" s="1497"/>
      <c r="Q978" s="1497"/>
      <c r="R978" s="1497"/>
      <c r="S978" s="1497"/>
      <c r="T978" s="1497"/>
      <c r="U978" s="1497"/>
      <c r="V978" s="1497"/>
      <c r="W978" s="1497"/>
      <c r="X978" s="1497"/>
      <c r="Y978" s="1497"/>
      <c r="Z978" s="1497"/>
    </row>
    <row r="979" spans="1:26" ht="12.75" customHeight="1">
      <c r="A979" s="1497"/>
      <c r="B979" s="1497"/>
      <c r="C979" s="1497"/>
      <c r="D979" s="1497"/>
      <c r="E979" s="1497"/>
      <c r="F979" s="1497"/>
      <c r="G979" s="1497"/>
      <c r="H979" s="1497"/>
      <c r="I979" s="1497"/>
      <c r="J979" s="1497"/>
      <c r="K979" s="1497"/>
      <c r="L979" s="1497"/>
      <c r="M979" s="1497"/>
      <c r="N979" s="1497"/>
      <c r="O979" s="1497"/>
      <c r="P979" s="1497"/>
      <c r="Q979" s="1497"/>
      <c r="R979" s="1497"/>
      <c r="S979" s="1497"/>
      <c r="T979" s="1497"/>
      <c r="U979" s="1497"/>
      <c r="V979" s="1497"/>
      <c r="W979" s="1497"/>
      <c r="X979" s="1497"/>
      <c r="Y979" s="1497"/>
      <c r="Z979" s="1497"/>
    </row>
    <row r="980" spans="1:26" ht="12.75" customHeight="1">
      <c r="A980" s="1497"/>
      <c r="B980" s="1497"/>
      <c r="C980" s="1497"/>
      <c r="D980" s="1497"/>
      <c r="E980" s="1497"/>
      <c r="F980" s="1497"/>
      <c r="G980" s="1497"/>
      <c r="H980" s="1497"/>
      <c r="I980" s="1497"/>
      <c r="J980" s="1497"/>
      <c r="K980" s="1497"/>
      <c r="L980" s="1497"/>
      <c r="M980" s="1497"/>
      <c r="N980" s="1497"/>
      <c r="O980" s="1497"/>
      <c r="P980" s="1497"/>
      <c r="Q980" s="1497"/>
      <c r="R980" s="1497"/>
      <c r="S980" s="1497"/>
      <c r="T980" s="1497"/>
      <c r="U980" s="1497"/>
      <c r="V980" s="1497"/>
      <c r="W980" s="1497"/>
      <c r="X980" s="1497"/>
      <c r="Y980" s="1497"/>
      <c r="Z980" s="1497"/>
    </row>
    <row r="981" spans="1:26" ht="12.75" customHeight="1">
      <c r="A981" s="1497"/>
      <c r="B981" s="1497"/>
      <c r="C981" s="1497"/>
      <c r="D981" s="1497"/>
      <c r="E981" s="1497"/>
      <c r="F981" s="1497"/>
      <c r="G981" s="1497"/>
      <c r="H981" s="1497"/>
      <c r="I981" s="1497"/>
      <c r="J981" s="1497"/>
      <c r="K981" s="1497"/>
      <c r="L981" s="1497"/>
      <c r="M981" s="1497"/>
      <c r="N981" s="1497"/>
      <c r="O981" s="1497"/>
      <c r="P981" s="1497"/>
      <c r="Q981" s="1497"/>
      <c r="R981" s="1497"/>
      <c r="S981" s="1497"/>
      <c r="T981" s="1497"/>
      <c r="U981" s="1497"/>
      <c r="V981" s="1497"/>
      <c r="W981" s="1497"/>
      <c r="X981" s="1497"/>
      <c r="Y981" s="1497"/>
      <c r="Z981" s="1497"/>
    </row>
    <row r="982" spans="1:26" ht="12.75" customHeight="1">
      <c r="A982" s="1497"/>
      <c r="B982" s="1497"/>
      <c r="C982" s="1497"/>
      <c r="D982" s="1497"/>
      <c r="E982" s="1497"/>
      <c r="F982" s="1497"/>
      <c r="G982" s="1497"/>
      <c r="H982" s="1497"/>
      <c r="I982" s="1497"/>
      <c r="J982" s="1497"/>
      <c r="K982" s="1497"/>
      <c r="L982" s="1497"/>
      <c r="M982" s="1497"/>
      <c r="N982" s="1497"/>
      <c r="O982" s="1497"/>
      <c r="P982" s="1497"/>
      <c r="Q982" s="1497"/>
      <c r="R982" s="1497"/>
      <c r="S982" s="1497"/>
      <c r="T982" s="1497"/>
      <c r="U982" s="1497"/>
      <c r="V982" s="1497"/>
      <c r="W982" s="1497"/>
      <c r="X982" s="1497"/>
      <c r="Y982" s="1497"/>
      <c r="Z982" s="1497"/>
    </row>
    <row r="983" spans="1:26" ht="12.75" customHeight="1">
      <c r="A983" s="1497"/>
      <c r="B983" s="1497"/>
      <c r="C983" s="1497"/>
      <c r="D983" s="1497"/>
      <c r="E983" s="1497"/>
      <c r="F983" s="1497"/>
      <c r="G983" s="1497"/>
      <c r="H983" s="1497"/>
      <c r="I983" s="1497"/>
      <c r="J983" s="1497"/>
      <c r="K983" s="1497"/>
      <c r="L983" s="1497"/>
      <c r="M983" s="1497"/>
      <c r="N983" s="1497"/>
      <c r="O983" s="1497"/>
      <c r="P983" s="1497"/>
      <c r="Q983" s="1497"/>
      <c r="R983" s="1497"/>
      <c r="S983" s="1497"/>
      <c r="T983" s="1497"/>
      <c r="U983" s="1497"/>
      <c r="V983" s="1497"/>
      <c r="W983" s="1497"/>
      <c r="X983" s="1497"/>
      <c r="Y983" s="1497"/>
      <c r="Z983" s="1497"/>
    </row>
    <row r="984" spans="1:26" ht="12.75" customHeight="1">
      <c r="A984" s="1497"/>
      <c r="B984" s="1497"/>
      <c r="C984" s="1497"/>
      <c r="D984" s="1497"/>
      <c r="E984" s="1497"/>
      <c r="F984" s="1497"/>
      <c r="G984" s="1497"/>
      <c r="H984" s="1497"/>
      <c r="I984" s="1497"/>
      <c r="J984" s="1497"/>
      <c r="K984" s="1497"/>
      <c r="L984" s="1497"/>
      <c r="M984" s="1497"/>
      <c r="N984" s="1497"/>
      <c r="O984" s="1497"/>
      <c r="P984" s="1497"/>
      <c r="Q984" s="1497"/>
      <c r="R984" s="1497"/>
      <c r="S984" s="1497"/>
      <c r="T984" s="1497"/>
      <c r="U984" s="1497"/>
      <c r="V984" s="1497"/>
      <c r="W984" s="1497"/>
      <c r="X984" s="1497"/>
      <c r="Y984" s="1497"/>
      <c r="Z984" s="1497"/>
    </row>
    <row r="985" spans="1:26" ht="12.75" customHeight="1">
      <c r="A985" s="1497"/>
      <c r="B985" s="1497"/>
      <c r="C985" s="1497"/>
      <c r="D985" s="1497"/>
      <c r="E985" s="1497"/>
      <c r="F985" s="1497"/>
      <c r="G985" s="1497"/>
      <c r="H985" s="1497"/>
      <c r="I985" s="1497"/>
      <c r="J985" s="1497"/>
      <c r="K985" s="1497"/>
      <c r="L985" s="1497"/>
      <c r="M985" s="1497"/>
      <c r="N985" s="1497"/>
      <c r="O985" s="1497"/>
      <c r="P985" s="1497"/>
      <c r="Q985" s="1497"/>
      <c r="R985" s="1497"/>
      <c r="S985" s="1497"/>
      <c r="T985" s="1497"/>
      <c r="U985" s="1497"/>
      <c r="V985" s="1497"/>
      <c r="W985" s="1497"/>
      <c r="X985" s="1497"/>
      <c r="Y985" s="1497"/>
      <c r="Z985" s="1497"/>
    </row>
    <row r="986" spans="1:26" ht="12.75" customHeight="1">
      <c r="A986" s="1497"/>
      <c r="B986" s="1497"/>
      <c r="C986" s="1497"/>
      <c r="D986" s="1497"/>
      <c r="E986" s="1497"/>
      <c r="F986" s="1497"/>
      <c r="G986" s="1497"/>
      <c r="H986" s="1497"/>
      <c r="I986" s="1497"/>
      <c r="J986" s="1497"/>
      <c r="K986" s="1497"/>
      <c r="L986" s="1497"/>
      <c r="M986" s="1497"/>
      <c r="N986" s="1497"/>
      <c r="O986" s="1497"/>
      <c r="P986" s="1497"/>
      <c r="Q986" s="1497"/>
      <c r="R986" s="1497"/>
      <c r="S986" s="1497"/>
      <c r="T986" s="1497"/>
      <c r="U986" s="1497"/>
      <c r="V986" s="1497"/>
      <c r="W986" s="1497"/>
      <c r="X986" s="1497"/>
      <c r="Y986" s="1497"/>
      <c r="Z986" s="1497"/>
    </row>
    <row r="987" spans="1:26" ht="12.75" customHeight="1">
      <c r="A987" s="1497"/>
      <c r="B987" s="1497"/>
      <c r="C987" s="1497"/>
      <c r="D987" s="1497"/>
      <c r="E987" s="1497"/>
      <c r="F987" s="1497"/>
      <c r="G987" s="1497"/>
      <c r="H987" s="1497"/>
      <c r="I987" s="1497"/>
      <c r="J987" s="1497"/>
      <c r="K987" s="1497"/>
      <c r="L987" s="1497"/>
      <c r="M987" s="1497"/>
      <c r="N987" s="1497"/>
      <c r="O987" s="1497"/>
      <c r="P987" s="1497"/>
      <c r="Q987" s="1497"/>
      <c r="R987" s="1497"/>
      <c r="S987" s="1497"/>
      <c r="T987" s="1497"/>
      <c r="U987" s="1497"/>
      <c r="V987" s="1497"/>
      <c r="W987" s="1497"/>
      <c r="X987" s="1497"/>
      <c r="Y987" s="1497"/>
      <c r="Z987" s="1497"/>
    </row>
    <row r="988" spans="1:26" ht="12.75" customHeight="1">
      <c r="A988" s="1497"/>
      <c r="B988" s="1497"/>
      <c r="C988" s="1497"/>
      <c r="D988" s="1497"/>
      <c r="E988" s="1497"/>
      <c r="F988" s="1497"/>
      <c r="G988" s="1497"/>
      <c r="H988" s="1497"/>
      <c r="I988" s="1497"/>
      <c r="J988" s="1497"/>
      <c r="K988" s="1497"/>
      <c r="L988" s="1497"/>
      <c r="M988" s="1497"/>
      <c r="N988" s="1497"/>
      <c r="O988" s="1497"/>
      <c r="P988" s="1497"/>
      <c r="Q988" s="1497"/>
      <c r="R988" s="1497"/>
      <c r="S988" s="1497"/>
      <c r="T988" s="1497"/>
      <c r="U988" s="1497"/>
      <c r="V988" s="1497"/>
      <c r="W988" s="1497"/>
      <c r="X988" s="1497"/>
      <c r="Y988" s="1497"/>
      <c r="Z988" s="1497"/>
    </row>
    <row r="989" spans="1:26" ht="12.75" customHeight="1">
      <c r="A989" s="1497"/>
      <c r="B989" s="1497"/>
      <c r="C989" s="1497"/>
      <c r="D989" s="1497"/>
      <c r="E989" s="1497"/>
      <c r="F989" s="1497"/>
      <c r="G989" s="1497"/>
      <c r="H989" s="1497"/>
      <c r="I989" s="1497"/>
      <c r="J989" s="1497"/>
      <c r="K989" s="1497"/>
      <c r="L989" s="1497"/>
      <c r="M989" s="1497"/>
      <c r="N989" s="1497"/>
      <c r="O989" s="1497"/>
      <c r="P989" s="1497"/>
      <c r="Q989" s="1497"/>
      <c r="R989" s="1497"/>
      <c r="S989" s="1497"/>
      <c r="T989" s="1497"/>
      <c r="U989" s="1497"/>
      <c r="V989" s="1497"/>
      <c r="W989" s="1497"/>
      <c r="X989" s="1497"/>
      <c r="Y989" s="1497"/>
      <c r="Z989" s="1497"/>
    </row>
    <row r="990" spans="1:26" ht="12.75" customHeight="1">
      <c r="A990" s="1497"/>
      <c r="B990" s="1497"/>
      <c r="C990" s="1497"/>
      <c r="D990" s="1497"/>
      <c r="E990" s="1497"/>
      <c r="F990" s="1497"/>
      <c r="G990" s="1497"/>
      <c r="H990" s="1497"/>
      <c r="I990" s="1497"/>
      <c r="J990" s="1497"/>
      <c r="K990" s="1497"/>
      <c r="L990" s="1497"/>
      <c r="M990" s="1497"/>
      <c r="N990" s="1497"/>
      <c r="O990" s="1497"/>
      <c r="P990" s="1497"/>
      <c r="Q990" s="1497"/>
      <c r="R990" s="1497"/>
      <c r="S990" s="1497"/>
      <c r="T990" s="1497"/>
      <c r="U990" s="1497"/>
      <c r="V990" s="1497"/>
      <c r="W990" s="1497"/>
      <c r="X990" s="1497"/>
      <c r="Y990" s="1497"/>
      <c r="Z990" s="1497"/>
    </row>
    <row r="991" spans="1:26" ht="12.75" customHeight="1">
      <c r="A991" s="1497"/>
      <c r="B991" s="1497"/>
      <c r="C991" s="1497"/>
      <c r="D991" s="1497"/>
      <c r="E991" s="1497"/>
      <c r="F991" s="1497"/>
      <c r="G991" s="1497"/>
      <c r="H991" s="1497"/>
      <c r="I991" s="1497"/>
      <c r="J991" s="1497"/>
      <c r="K991" s="1497"/>
      <c r="L991" s="1497"/>
      <c r="M991" s="1497"/>
      <c r="N991" s="1497"/>
      <c r="O991" s="1497"/>
      <c r="P991" s="1497"/>
      <c r="Q991" s="1497"/>
      <c r="R991" s="1497"/>
      <c r="S991" s="1497"/>
      <c r="T991" s="1497"/>
      <c r="U991" s="1497"/>
      <c r="V991" s="1497"/>
      <c r="W991" s="1497"/>
      <c r="X991" s="1497"/>
      <c r="Y991" s="1497"/>
      <c r="Z991" s="1497"/>
    </row>
    <row r="992" spans="1:26" ht="12.75" customHeight="1">
      <c r="A992" s="1497"/>
      <c r="B992" s="1497"/>
      <c r="C992" s="1497"/>
      <c r="D992" s="1497"/>
      <c r="E992" s="1497"/>
      <c r="F992" s="1497"/>
      <c r="G992" s="1497"/>
      <c r="H992" s="1497"/>
      <c r="I992" s="1497"/>
      <c r="J992" s="1497"/>
      <c r="K992" s="1497"/>
      <c r="L992" s="1497"/>
      <c r="M992" s="1497"/>
      <c r="N992" s="1497"/>
      <c r="O992" s="1497"/>
      <c r="P992" s="1497"/>
      <c r="Q992" s="1497"/>
      <c r="R992" s="1497"/>
      <c r="S992" s="1497"/>
      <c r="T992" s="1497"/>
      <c r="U992" s="1497"/>
      <c r="V992" s="1497"/>
      <c r="W992" s="1497"/>
      <c r="X992" s="1497"/>
      <c r="Y992" s="1497"/>
      <c r="Z992" s="1497"/>
    </row>
    <row r="993" spans="1:26" ht="12.75" customHeight="1">
      <c r="A993" s="1497"/>
      <c r="B993" s="1497"/>
      <c r="C993" s="1497"/>
      <c r="D993" s="1497"/>
      <c r="E993" s="1497"/>
      <c r="F993" s="1497"/>
      <c r="G993" s="1497"/>
      <c r="H993" s="1497"/>
      <c r="I993" s="1497"/>
      <c r="J993" s="1497"/>
      <c r="K993" s="1497"/>
      <c r="L993" s="1497"/>
      <c r="M993" s="1497"/>
      <c r="N993" s="1497"/>
      <c r="O993" s="1497"/>
      <c r="P993" s="1497"/>
      <c r="Q993" s="1497"/>
      <c r="R993" s="1497"/>
      <c r="S993" s="1497"/>
      <c r="T993" s="1497"/>
      <c r="U993" s="1497"/>
      <c r="V993" s="1497"/>
      <c r="W993" s="1497"/>
      <c r="X993" s="1497"/>
      <c r="Y993" s="1497"/>
      <c r="Z993" s="1497"/>
    </row>
    <row r="994" spans="1:26" ht="12.75" customHeight="1">
      <c r="A994" s="1497"/>
      <c r="B994" s="1497"/>
      <c r="C994" s="1497"/>
      <c r="D994" s="1497"/>
      <c r="E994" s="1497"/>
      <c r="F994" s="1497"/>
      <c r="G994" s="1497"/>
      <c r="H994" s="1497"/>
      <c r="I994" s="1497"/>
      <c r="J994" s="1497"/>
      <c r="K994" s="1497"/>
      <c r="L994" s="1497"/>
      <c r="M994" s="1497"/>
      <c r="N994" s="1497"/>
      <c r="O994" s="1497"/>
      <c r="P994" s="1497"/>
      <c r="Q994" s="1497"/>
      <c r="R994" s="1497"/>
      <c r="S994" s="1497"/>
      <c r="T994" s="1497"/>
      <c r="U994" s="1497"/>
      <c r="V994" s="1497"/>
      <c r="W994" s="1497"/>
      <c r="X994" s="1497"/>
      <c r="Y994" s="1497"/>
      <c r="Z994" s="1497"/>
    </row>
    <row r="995" spans="1:26" ht="12.75" customHeight="1">
      <c r="A995" s="1497"/>
      <c r="B995" s="1497"/>
      <c r="C995" s="1497"/>
      <c r="D995" s="1497"/>
      <c r="E995" s="1497"/>
      <c r="F995" s="1497"/>
      <c r="G995" s="1497"/>
      <c r="H995" s="1497"/>
      <c r="I995" s="1497"/>
      <c r="J995" s="1497"/>
      <c r="K995" s="1497"/>
      <c r="L995" s="1497"/>
      <c r="M995" s="1497"/>
      <c r="N995" s="1497"/>
      <c r="O995" s="1497"/>
      <c r="P995" s="1497"/>
      <c r="Q995" s="1497"/>
      <c r="R995" s="1497"/>
      <c r="S995" s="1497"/>
      <c r="T995" s="1497"/>
      <c r="U995" s="1497"/>
      <c r="V995" s="1497"/>
      <c r="W995" s="1497"/>
      <c r="X995" s="1497"/>
      <c r="Y995" s="1497"/>
      <c r="Z995" s="1497"/>
    </row>
    <row r="996" spans="1:26" ht="12.75" customHeight="1">
      <c r="A996" s="1497"/>
      <c r="B996" s="1497"/>
      <c r="C996" s="1497"/>
      <c r="D996" s="1497"/>
      <c r="E996" s="1497"/>
      <c r="F996" s="1497"/>
      <c r="G996" s="1497"/>
      <c r="H996" s="1497"/>
      <c r="I996" s="1497"/>
      <c r="J996" s="1497"/>
      <c r="K996" s="1497"/>
      <c r="L996" s="1497"/>
      <c r="M996" s="1497"/>
      <c r="N996" s="1497"/>
      <c r="O996" s="1497"/>
      <c r="P996" s="1497"/>
      <c r="Q996" s="1497"/>
      <c r="R996" s="1497"/>
      <c r="S996" s="1497"/>
      <c r="T996" s="1497"/>
      <c r="U996" s="1497"/>
      <c r="V996" s="1497"/>
      <c r="W996" s="1497"/>
      <c r="X996" s="1497"/>
      <c r="Y996" s="1497"/>
      <c r="Z996" s="1497"/>
    </row>
    <row r="997" spans="1:26" ht="12.75" customHeight="1">
      <c r="A997" s="1497"/>
      <c r="B997" s="1497"/>
      <c r="C997" s="1497"/>
      <c r="D997" s="1497"/>
      <c r="E997" s="1497"/>
      <c r="F997" s="1497"/>
      <c r="G997" s="1497"/>
      <c r="H997" s="1497"/>
      <c r="I997" s="1497"/>
      <c r="J997" s="1497"/>
      <c r="K997" s="1497"/>
      <c r="L997" s="1497"/>
      <c r="M997" s="1497"/>
      <c r="N997" s="1497"/>
      <c r="O997" s="1497"/>
      <c r="P997" s="1497"/>
      <c r="Q997" s="1497"/>
      <c r="R997" s="1497"/>
      <c r="S997" s="1497"/>
      <c r="T997" s="1497"/>
      <c r="U997" s="1497"/>
      <c r="V997" s="1497"/>
      <c r="W997" s="1497"/>
      <c r="X997" s="1497"/>
      <c r="Y997" s="1497"/>
      <c r="Z997" s="1497"/>
    </row>
    <row r="998" spans="1:26" ht="12.75" customHeight="1">
      <c r="A998" s="1497"/>
      <c r="B998" s="1497"/>
      <c r="C998" s="1497"/>
      <c r="D998" s="1497"/>
      <c r="E998" s="1497"/>
      <c r="F998" s="1497"/>
      <c r="G998" s="1497"/>
      <c r="H998" s="1497"/>
      <c r="I998" s="1497"/>
      <c r="J998" s="1497"/>
      <c r="K998" s="1497"/>
      <c r="L998" s="1497"/>
      <c r="M998" s="1497"/>
      <c r="N998" s="1497"/>
      <c r="O998" s="1497"/>
      <c r="P998" s="1497"/>
      <c r="Q998" s="1497"/>
      <c r="R998" s="1497"/>
      <c r="S998" s="1497"/>
      <c r="T998" s="1497"/>
      <c r="U998" s="1497"/>
      <c r="V998" s="1497"/>
      <c r="W998" s="1497"/>
      <c r="X998" s="1497"/>
      <c r="Y998" s="1497"/>
      <c r="Z998" s="1497"/>
    </row>
    <row r="999" spans="1:26" ht="12.75" customHeight="1">
      <c r="A999" s="1497"/>
      <c r="B999" s="1497"/>
      <c r="C999" s="1497"/>
      <c r="D999" s="1497"/>
      <c r="E999" s="1497"/>
      <c r="F999" s="1497"/>
      <c r="G999" s="1497"/>
      <c r="H999" s="1497"/>
      <c r="I999" s="1497"/>
      <c r="J999" s="1497"/>
      <c r="K999" s="1497"/>
      <c r="L999" s="1497"/>
      <c r="M999" s="1497"/>
      <c r="N999" s="1497"/>
      <c r="O999" s="1497"/>
      <c r="P999" s="1497"/>
      <c r="Q999" s="1497"/>
      <c r="R999" s="1497"/>
      <c r="S999" s="1497"/>
      <c r="T999" s="1497"/>
      <c r="U999" s="1497"/>
      <c r="V999" s="1497"/>
      <c r="W999" s="1497"/>
      <c r="X999" s="1497"/>
      <c r="Y999" s="1497"/>
      <c r="Z999" s="1497"/>
    </row>
    <row r="1000" spans="1:26" ht="12.75" customHeight="1">
      <c r="A1000" s="1497"/>
      <c r="B1000" s="1497"/>
      <c r="C1000" s="1497"/>
      <c r="D1000" s="1497"/>
      <c r="E1000" s="1497"/>
      <c r="F1000" s="1497"/>
      <c r="G1000" s="1497"/>
      <c r="H1000" s="1497"/>
      <c r="I1000" s="1497"/>
      <c r="J1000" s="1497"/>
      <c r="K1000" s="1497"/>
      <c r="L1000" s="1497"/>
      <c r="M1000" s="1497"/>
      <c r="N1000" s="1497"/>
      <c r="O1000" s="1497"/>
      <c r="P1000" s="1497"/>
      <c r="Q1000" s="1497"/>
      <c r="R1000" s="1497"/>
      <c r="S1000" s="1497"/>
      <c r="T1000" s="1497"/>
      <c r="U1000" s="1497"/>
      <c r="V1000" s="1497"/>
      <c r="W1000" s="1497"/>
      <c r="X1000" s="1497"/>
      <c r="Y1000" s="1497"/>
      <c r="Z1000" s="1497"/>
    </row>
  </sheetData>
  <pageMargins left="0.7" right="0.7" top="0.75" bottom="0.75" header="0" footer="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7" tint="0.39997558519241921"/>
  </sheetPr>
  <dimension ref="A1:XEV521"/>
  <sheetViews>
    <sheetView zoomScale="95" zoomScaleNormal="95" workbookViewId="0">
      <pane xSplit="4" ySplit="9" topLeftCell="BX173" activePane="bottomRight" state="frozen"/>
      <selection activeCell="J518" sqref="J518"/>
      <selection pane="bottomLeft" activeCell="J518" sqref="J518"/>
      <selection pane="topRight" activeCell="J518" sqref="J518"/>
      <selection pane="bottomRight" activeCell="BZ193" sqref="BZ193"/>
    </sheetView>
  </sheetViews>
  <sheetFormatPr defaultColWidth="9.14453125" defaultRowHeight="10.5"/>
  <cols>
    <col min="1" max="1" width="3.49609375" style="2" customWidth="1"/>
    <col min="2" max="2" width="35.78125" style="2" customWidth="1"/>
    <col min="3" max="3" width="14.66015625" style="2" customWidth="1"/>
    <col min="4" max="4" width="20.58203125" style="2" customWidth="1"/>
    <col min="5" max="5" width="13.71875" style="2" customWidth="1"/>
    <col min="6" max="6" width="12.64453125" style="2" customWidth="1"/>
    <col min="7" max="7" width="7.93359375" style="2" customWidth="1"/>
    <col min="8" max="8" width="18.6953125" style="2" customWidth="1"/>
    <col min="9" max="9" width="14.2578125" style="2" customWidth="1"/>
    <col min="10" max="10" width="19.50390625" style="2" customWidth="1"/>
    <col min="11" max="11" width="17.890625" style="2" customWidth="1"/>
    <col min="12" max="12" width="16.41015625" style="2" customWidth="1"/>
    <col min="13" max="13" width="13.1796875" style="2" bestFit="1" customWidth="1"/>
    <col min="14" max="17" width="14.66015625" style="2" bestFit="1" customWidth="1"/>
    <col min="18" max="19" width="13.5859375" style="2" bestFit="1" customWidth="1"/>
    <col min="20" max="21" width="12.9140625" style="2" customWidth="1"/>
    <col min="22" max="22" width="13.046875" style="2" customWidth="1"/>
    <col min="23" max="23" width="13.71875" style="2" bestFit="1" customWidth="1"/>
    <col min="24" max="24" width="13.5859375" style="2" customWidth="1"/>
    <col min="25" max="26" width="13.71875" style="2" bestFit="1" customWidth="1"/>
    <col min="27" max="32" width="13.1796875" style="2" bestFit="1" customWidth="1"/>
    <col min="33" max="33" width="13.1796875" style="2" customWidth="1"/>
    <col min="34" max="34" width="13.1796875" style="2" bestFit="1" customWidth="1"/>
    <col min="35" max="35" width="15.19921875" style="2" customWidth="1"/>
    <col min="36" max="36" width="12.10546875" style="2" bestFit="1" customWidth="1"/>
    <col min="37" max="38" width="11.8359375" style="2" customWidth="1"/>
    <col min="39" max="44" width="12.375" style="2" customWidth="1"/>
    <col min="45" max="51" width="13.046875" style="2" customWidth="1"/>
    <col min="52" max="52" width="11.56640625" style="151" customWidth="1"/>
    <col min="53" max="68" width="11.56640625" style="2" customWidth="1"/>
    <col min="69" max="69" width="12.77734375" style="2" customWidth="1"/>
    <col min="70" max="71" width="11.43359375" style="2" customWidth="1"/>
    <col min="72" max="80" width="11.1640625" style="2" customWidth="1"/>
    <col min="81" max="81" width="9.953125" style="2" bestFit="1" customWidth="1"/>
    <col min="82" max="16384" width="9.14453125" style="2"/>
  </cols>
  <sheetData>
    <row r="1" spans="1:81" s="3192" customFormat="1" ht="14.25">
      <c r="A1" s="3190" t="s">
        <v>672</v>
      </c>
      <c r="B1" s="3191"/>
      <c r="C1" s="3191"/>
      <c r="D1" s="3191"/>
      <c r="E1" s="3191"/>
      <c r="F1" s="3191"/>
      <c r="G1" s="3191"/>
      <c r="H1" s="3191"/>
      <c r="I1" s="3191"/>
      <c r="J1" s="3191"/>
      <c r="K1" s="3191"/>
      <c r="L1" s="3191"/>
      <c r="M1" s="3191"/>
      <c r="N1" s="3191"/>
      <c r="O1" s="3191"/>
      <c r="P1" s="3191"/>
      <c r="Q1" s="3191"/>
      <c r="R1" s="3191"/>
      <c r="S1" s="3191"/>
      <c r="T1" s="3191"/>
      <c r="U1" s="3191"/>
      <c r="V1" s="3191"/>
      <c r="W1" s="3191"/>
      <c r="X1" s="3191"/>
      <c r="Y1" s="3191"/>
      <c r="Z1" s="3191"/>
      <c r="AA1" s="3191"/>
      <c r="AB1" s="3191"/>
      <c r="AC1" s="3191"/>
      <c r="AD1" s="3191"/>
      <c r="AE1" s="3191"/>
      <c r="AF1" s="3191"/>
      <c r="AG1" s="3191"/>
      <c r="AH1" s="3191"/>
      <c r="AI1" s="3191"/>
      <c r="AJ1" s="3191"/>
      <c r="AK1" s="3191"/>
      <c r="AL1" s="3191"/>
      <c r="AM1" s="3191"/>
      <c r="AN1" s="3191"/>
      <c r="AO1" s="3191"/>
      <c r="AP1" s="3191"/>
      <c r="AQ1" s="3191"/>
      <c r="AR1" s="3191"/>
      <c r="AS1" s="3191"/>
      <c r="AT1" s="3191"/>
      <c r="AU1" s="3191"/>
      <c r="AV1" s="3191"/>
      <c r="AW1" s="3191"/>
      <c r="AX1" s="3191"/>
      <c r="AY1" s="3191"/>
    </row>
    <row r="2" spans="1:81" s="3196" customFormat="1" ht="13.9" customHeight="1">
      <c r="A2" s="3193" t="s">
        <v>2397</v>
      </c>
      <c r="B2" s="3193"/>
      <c r="C2" s="3194"/>
      <c r="D2" s="3195"/>
      <c r="E2" s="3195"/>
      <c r="F2" s="3195"/>
      <c r="G2" s="3195"/>
      <c r="H2" s="3195" t="s">
        <v>0</v>
      </c>
      <c r="I2" s="3194">
        <f>'Timing &amp; Flags'!I22</f>
        <v>1</v>
      </c>
      <c r="J2" s="3194">
        <f>'Timing &amp; Flags'!J22</f>
        <v>2</v>
      </c>
      <c r="K2" s="3194">
        <f>'Timing &amp; Flags'!K22</f>
        <v>3</v>
      </c>
      <c r="L2" s="3194">
        <f>'Timing &amp; Flags'!L22</f>
        <v>4</v>
      </c>
      <c r="M2" s="3194">
        <f>'Timing &amp; Flags'!M22</f>
        <v>5</v>
      </c>
      <c r="N2" s="3194">
        <f>'Timing &amp; Flags'!N22</f>
        <v>6</v>
      </c>
      <c r="O2" s="3194">
        <f>'Timing &amp; Flags'!O22</f>
        <v>7</v>
      </c>
      <c r="P2" s="3194">
        <f>'Timing &amp; Flags'!P22</f>
        <v>8</v>
      </c>
      <c r="Q2" s="3194">
        <f>'Timing &amp; Flags'!Q22</f>
        <v>9</v>
      </c>
      <c r="R2" s="3194">
        <f>'Timing &amp; Flags'!R22</f>
        <v>10</v>
      </c>
      <c r="S2" s="3194">
        <f>'Timing &amp; Flags'!S22</f>
        <v>11</v>
      </c>
      <c r="T2" s="3194">
        <f>'Timing &amp; Flags'!T22</f>
        <v>12</v>
      </c>
      <c r="U2" s="3194">
        <f>'Timing &amp; Flags'!U22</f>
        <v>13</v>
      </c>
      <c r="V2" s="3194">
        <f>'Timing &amp; Flags'!V22</f>
        <v>14</v>
      </c>
      <c r="W2" s="3194">
        <f>'Timing &amp; Flags'!W22</f>
        <v>15</v>
      </c>
      <c r="X2" s="3194">
        <f>'Timing &amp; Flags'!X22</f>
        <v>16</v>
      </c>
      <c r="Y2" s="3194">
        <f>'Timing &amp; Flags'!Y22</f>
        <v>17</v>
      </c>
      <c r="Z2" s="3194">
        <f>'Timing &amp; Flags'!Z22</f>
        <v>18</v>
      </c>
      <c r="AA2" s="3194">
        <f>'Timing &amp; Flags'!AA22</f>
        <v>19</v>
      </c>
      <c r="AB2" s="3194">
        <f>'Timing &amp; Flags'!AB22</f>
        <v>20</v>
      </c>
      <c r="AC2" s="3194">
        <f>'Timing &amp; Flags'!AC22</f>
        <v>21</v>
      </c>
      <c r="AD2" s="3194">
        <f>'Timing &amp; Flags'!AD22</f>
        <v>22</v>
      </c>
      <c r="AE2" s="3194">
        <f>'Timing &amp; Flags'!AE22</f>
        <v>23</v>
      </c>
      <c r="AF2" s="3194">
        <f>'Timing &amp; Flags'!AF22</f>
        <v>24</v>
      </c>
      <c r="AG2" s="3194">
        <f>'Timing &amp; Flags'!AG22</f>
        <v>25</v>
      </c>
      <c r="AH2" s="3194">
        <f>'Timing &amp; Flags'!AH22</f>
        <v>26</v>
      </c>
      <c r="AI2" s="3194">
        <f>'Timing &amp; Flags'!AI22</f>
        <v>27</v>
      </c>
      <c r="AJ2" s="3194">
        <f>'Timing &amp; Flags'!AJ22</f>
        <v>28</v>
      </c>
      <c r="AK2" s="3194">
        <f>'Timing &amp; Flags'!AK22</f>
        <v>29</v>
      </c>
      <c r="AL2" s="3194">
        <f>'Timing &amp; Flags'!AL22</f>
        <v>30</v>
      </c>
      <c r="AM2" s="3194">
        <f>'Timing &amp; Flags'!AM22</f>
        <v>31</v>
      </c>
      <c r="AN2" s="3194">
        <f>'Timing &amp; Flags'!AN22</f>
        <v>32</v>
      </c>
      <c r="AO2" s="3194">
        <f>'Timing &amp; Flags'!AO22</f>
        <v>33</v>
      </c>
      <c r="AP2" s="3194">
        <f>'Timing &amp; Flags'!AP22</f>
        <v>34</v>
      </c>
      <c r="AQ2" s="3194">
        <f>'Timing &amp; Flags'!AQ22</f>
        <v>35</v>
      </c>
      <c r="AR2" s="3194">
        <f>'Timing &amp; Flags'!AR22</f>
        <v>36</v>
      </c>
      <c r="AS2" s="3194">
        <f>'Timing &amp; Flags'!AS22</f>
        <v>37</v>
      </c>
      <c r="AT2" s="3194">
        <f>'Timing &amp; Flags'!AT22</f>
        <v>38</v>
      </c>
      <c r="AU2" s="3194">
        <f>'Timing &amp; Flags'!AU22</f>
        <v>39</v>
      </c>
      <c r="AV2" s="3194">
        <f>'Timing &amp; Flags'!AV22</f>
        <v>40</v>
      </c>
      <c r="AW2" s="3194">
        <f>'Timing &amp; Flags'!AW22</f>
        <v>41</v>
      </c>
      <c r="AX2" s="3194">
        <f>'Timing &amp; Flags'!AX22</f>
        <v>42</v>
      </c>
      <c r="AY2" s="3194">
        <f>'Timing &amp; Flags'!AY22</f>
        <v>43</v>
      </c>
      <c r="AZ2" s="3194">
        <f>'Timing &amp; Flags'!AZ22</f>
        <v>44</v>
      </c>
      <c r="BA2" s="3194">
        <f>'Timing &amp; Flags'!BA22</f>
        <v>45</v>
      </c>
      <c r="BB2" s="3194">
        <f>'Timing &amp; Flags'!BB22</f>
        <v>46</v>
      </c>
      <c r="BC2" s="3194">
        <f>'Timing &amp; Flags'!BC22</f>
        <v>47</v>
      </c>
      <c r="BD2" s="3194">
        <f>'Timing &amp; Flags'!BD22</f>
        <v>48</v>
      </c>
      <c r="BE2" s="3194">
        <f>'Timing &amp; Flags'!BE22</f>
        <v>49</v>
      </c>
      <c r="BF2" s="3194">
        <f>'Timing &amp; Flags'!BF22</f>
        <v>50</v>
      </c>
      <c r="BG2" s="3194">
        <f>'Timing &amp; Flags'!BG22</f>
        <v>51</v>
      </c>
      <c r="BH2" s="3194">
        <f>'Timing &amp; Flags'!BH22</f>
        <v>52</v>
      </c>
      <c r="BI2" s="3194">
        <f>'Timing &amp; Flags'!BI22</f>
        <v>53</v>
      </c>
      <c r="BJ2" s="3194">
        <f>'Timing &amp; Flags'!BJ22</f>
        <v>54</v>
      </c>
      <c r="BK2" s="3194">
        <f>'Timing &amp; Flags'!BK22</f>
        <v>55</v>
      </c>
      <c r="BL2" s="3194">
        <f>'Timing &amp; Flags'!BL22</f>
        <v>56</v>
      </c>
      <c r="BM2" s="3194">
        <f>'Timing &amp; Flags'!BM22</f>
        <v>57</v>
      </c>
      <c r="BN2" s="3194">
        <f>'Timing &amp; Flags'!BN22</f>
        <v>58</v>
      </c>
      <c r="BO2" s="3194">
        <f>'Timing &amp; Flags'!BO22</f>
        <v>59</v>
      </c>
      <c r="BP2" s="3194">
        <f>'Timing &amp; Flags'!BP22</f>
        <v>60</v>
      </c>
      <c r="BQ2" s="3194">
        <f>'Timing &amp; Flags'!BQ22</f>
        <v>61</v>
      </c>
      <c r="BR2" s="3194">
        <f>'Timing &amp; Flags'!BR22</f>
        <v>62</v>
      </c>
      <c r="BS2" s="3194">
        <f>'Timing &amp; Flags'!BS22</f>
        <v>63</v>
      </c>
      <c r="BT2" s="3194">
        <f>'Timing &amp; Flags'!BT22</f>
        <v>64</v>
      </c>
      <c r="BU2" s="3194">
        <f>'Timing &amp; Flags'!BU22</f>
        <v>65</v>
      </c>
      <c r="BV2" s="3194">
        <f>'Timing &amp; Flags'!BV22</f>
        <v>66</v>
      </c>
      <c r="BW2" s="3194">
        <f>'Timing &amp; Flags'!BW22</f>
        <v>67</v>
      </c>
      <c r="BX2" s="3194">
        <f>'Timing &amp; Flags'!BX22</f>
        <v>68</v>
      </c>
      <c r="BY2" s="3194">
        <f>'Timing &amp; Flags'!BY22</f>
        <v>69</v>
      </c>
      <c r="BZ2" s="3194">
        <f>'Timing &amp; Flags'!BZ22</f>
        <v>70</v>
      </c>
      <c r="CA2" s="3194">
        <f>'Timing &amp; Flags'!CA22</f>
        <v>71</v>
      </c>
      <c r="CB2" s="3194">
        <f>'Timing &amp; Flags'!CB22</f>
        <v>72</v>
      </c>
      <c r="CC2" s="3194">
        <f>'Timing &amp; Flags'!CC22</f>
        <v>73</v>
      </c>
    </row>
    <row r="3" spans="1:81" s="3196" customFormat="1" ht="14.25">
      <c r="A3" s="3193" t="s">
        <v>673</v>
      </c>
      <c r="B3" s="3195"/>
      <c r="C3" s="3194"/>
      <c r="D3" s="3195"/>
      <c r="E3" s="3195"/>
      <c r="F3" s="3195"/>
      <c r="G3" s="3195"/>
      <c r="H3" s="3195" t="s">
        <v>1</v>
      </c>
      <c r="I3" s="3197">
        <f>'Timing &amp; Flags'!I23</f>
        <v>46023</v>
      </c>
      <c r="J3" s="3197">
        <f>'Timing &amp; Flags'!J23</f>
        <v>46054</v>
      </c>
      <c r="K3" s="3197">
        <f>'Timing &amp; Flags'!K23</f>
        <v>46082</v>
      </c>
      <c r="L3" s="3197">
        <f>'Timing &amp; Flags'!L23</f>
        <v>46113</v>
      </c>
      <c r="M3" s="3197">
        <f>'Timing &amp; Flags'!M23</f>
        <v>46143</v>
      </c>
      <c r="N3" s="3197">
        <f>'Timing &amp; Flags'!N23</f>
        <v>46174</v>
      </c>
      <c r="O3" s="3197">
        <f>'Timing &amp; Flags'!O23</f>
        <v>46204</v>
      </c>
      <c r="P3" s="3197">
        <f>'Timing &amp; Flags'!P23</f>
        <v>46235</v>
      </c>
      <c r="Q3" s="3197">
        <f>'Timing &amp; Flags'!Q23</f>
        <v>46266</v>
      </c>
      <c r="R3" s="3197">
        <f>'Timing &amp; Flags'!R23</f>
        <v>46296</v>
      </c>
      <c r="S3" s="3197">
        <f>'Timing &amp; Flags'!S23</f>
        <v>46327</v>
      </c>
      <c r="T3" s="3197">
        <f>'Timing &amp; Flags'!T23</f>
        <v>46357</v>
      </c>
      <c r="U3" s="3197">
        <f>'Timing &amp; Flags'!U23</f>
        <v>46388</v>
      </c>
      <c r="V3" s="3197">
        <f>'Timing &amp; Flags'!V23</f>
        <v>46419</v>
      </c>
      <c r="W3" s="3197">
        <f>'Timing &amp; Flags'!W23</f>
        <v>46447</v>
      </c>
      <c r="X3" s="3197">
        <f>'Timing &amp; Flags'!X23</f>
        <v>46478</v>
      </c>
      <c r="Y3" s="3197">
        <f>'Timing &amp; Flags'!Y23</f>
        <v>46508</v>
      </c>
      <c r="Z3" s="3197">
        <f>'Timing &amp; Flags'!Z23</f>
        <v>46539</v>
      </c>
      <c r="AA3" s="3197">
        <f>'Timing &amp; Flags'!AA23</f>
        <v>46569</v>
      </c>
      <c r="AB3" s="3197">
        <f>'Timing &amp; Flags'!AB23</f>
        <v>46600</v>
      </c>
      <c r="AC3" s="3197">
        <f>'Timing &amp; Flags'!AC23</f>
        <v>46631</v>
      </c>
      <c r="AD3" s="3197">
        <f>'Timing &amp; Flags'!AD23</f>
        <v>46661</v>
      </c>
      <c r="AE3" s="3197">
        <f>'Timing &amp; Flags'!AE23</f>
        <v>46692</v>
      </c>
      <c r="AF3" s="3197">
        <f>'Timing &amp; Flags'!AF23</f>
        <v>46722</v>
      </c>
      <c r="AG3" s="3197">
        <f>'Timing &amp; Flags'!AG23</f>
        <v>46753</v>
      </c>
      <c r="AH3" s="3197">
        <f>'Timing &amp; Flags'!AH23</f>
        <v>46784</v>
      </c>
      <c r="AI3" s="3197">
        <f>'Timing &amp; Flags'!AI23</f>
        <v>46813</v>
      </c>
      <c r="AJ3" s="3197">
        <f>'Timing &amp; Flags'!AJ23</f>
        <v>46844</v>
      </c>
      <c r="AK3" s="3197">
        <f>'Timing &amp; Flags'!AK23</f>
        <v>46874</v>
      </c>
      <c r="AL3" s="3197">
        <f>'Timing &amp; Flags'!AL23</f>
        <v>46905</v>
      </c>
      <c r="AM3" s="3197">
        <f>'Timing &amp; Flags'!AM23</f>
        <v>46935</v>
      </c>
      <c r="AN3" s="3197">
        <f>'Timing &amp; Flags'!AN23</f>
        <v>46966</v>
      </c>
      <c r="AO3" s="3197">
        <f>'Timing &amp; Flags'!AO23</f>
        <v>46997</v>
      </c>
      <c r="AP3" s="3197">
        <f>'Timing &amp; Flags'!AP23</f>
        <v>47027</v>
      </c>
      <c r="AQ3" s="3197">
        <f>'Timing &amp; Flags'!AQ23</f>
        <v>47058</v>
      </c>
      <c r="AR3" s="3197">
        <f>'Timing &amp; Flags'!AR23</f>
        <v>47088</v>
      </c>
      <c r="AS3" s="3197">
        <f>'Timing &amp; Flags'!AS23</f>
        <v>47119</v>
      </c>
      <c r="AT3" s="3197">
        <f>'Timing &amp; Flags'!AT23</f>
        <v>47150</v>
      </c>
      <c r="AU3" s="3197">
        <f>'Timing &amp; Flags'!AU23</f>
        <v>47178</v>
      </c>
      <c r="AV3" s="3197">
        <f>'Timing &amp; Flags'!AV23</f>
        <v>47209</v>
      </c>
      <c r="AW3" s="3197">
        <f>'Timing &amp; Flags'!AW23</f>
        <v>47239</v>
      </c>
      <c r="AX3" s="3197">
        <f>'Timing &amp; Flags'!AX23</f>
        <v>47270</v>
      </c>
      <c r="AY3" s="3197">
        <f>'Timing &amp; Flags'!AY23</f>
        <v>47300</v>
      </c>
      <c r="AZ3" s="3197">
        <f>'Timing &amp; Flags'!AZ23</f>
        <v>47331</v>
      </c>
      <c r="BA3" s="3197">
        <f>'Timing &amp; Flags'!BA23</f>
        <v>47362</v>
      </c>
      <c r="BB3" s="3197">
        <f>'Timing &amp; Flags'!BB23</f>
        <v>47392</v>
      </c>
      <c r="BC3" s="3197">
        <f>'Timing &amp; Flags'!BC23</f>
        <v>47423</v>
      </c>
      <c r="BD3" s="3197">
        <f>'Timing &amp; Flags'!BD23</f>
        <v>47453</v>
      </c>
      <c r="BE3" s="3197">
        <f>'Timing &amp; Flags'!BE23</f>
        <v>47484</v>
      </c>
      <c r="BF3" s="3197">
        <f>'Timing &amp; Flags'!BF23</f>
        <v>47515</v>
      </c>
      <c r="BG3" s="3197">
        <f>'Timing &amp; Flags'!BG23</f>
        <v>47543</v>
      </c>
      <c r="BH3" s="3197">
        <f>'Timing &amp; Flags'!BH23</f>
        <v>47574</v>
      </c>
      <c r="BI3" s="3197">
        <f>'Timing &amp; Flags'!BI23</f>
        <v>47604</v>
      </c>
      <c r="BJ3" s="3197">
        <f>'Timing &amp; Flags'!BJ23</f>
        <v>47635</v>
      </c>
      <c r="BK3" s="3197">
        <f>'Timing &amp; Flags'!BK23</f>
        <v>47665</v>
      </c>
      <c r="BL3" s="3197">
        <f>'Timing &amp; Flags'!BL23</f>
        <v>47696</v>
      </c>
      <c r="BM3" s="3197">
        <f>'Timing &amp; Flags'!BM23</f>
        <v>47727</v>
      </c>
      <c r="BN3" s="3197">
        <f>'Timing &amp; Flags'!BN23</f>
        <v>47757</v>
      </c>
      <c r="BO3" s="3197">
        <f>'Timing &amp; Flags'!BO23</f>
        <v>47788</v>
      </c>
      <c r="BP3" s="3197">
        <f>'Timing &amp; Flags'!BP23</f>
        <v>47818</v>
      </c>
      <c r="BQ3" s="3197">
        <f>'Timing &amp; Flags'!BQ23</f>
        <v>47849</v>
      </c>
      <c r="BR3" s="3197">
        <f>'Timing &amp; Flags'!BR23</f>
        <v>47880</v>
      </c>
      <c r="BS3" s="3197">
        <f>'Timing &amp; Flags'!BS23</f>
        <v>47908</v>
      </c>
      <c r="BT3" s="3197">
        <f>'Timing &amp; Flags'!BT23</f>
        <v>47939</v>
      </c>
      <c r="BU3" s="3197">
        <f>'Timing &amp; Flags'!BU23</f>
        <v>47969</v>
      </c>
      <c r="BV3" s="3197">
        <f>'Timing &amp; Flags'!BV23</f>
        <v>48000</v>
      </c>
      <c r="BW3" s="3197">
        <f>'Timing &amp; Flags'!BW23</f>
        <v>48030</v>
      </c>
      <c r="BX3" s="3197">
        <f>'Timing &amp; Flags'!BX23</f>
        <v>48061</v>
      </c>
      <c r="BY3" s="3197">
        <f>'Timing &amp; Flags'!BY23</f>
        <v>48092</v>
      </c>
      <c r="BZ3" s="3197">
        <f>'Timing &amp; Flags'!BZ23</f>
        <v>48122</v>
      </c>
      <c r="CA3" s="3197">
        <f>'Timing &amp; Flags'!CA23</f>
        <v>48153</v>
      </c>
      <c r="CB3" s="3197">
        <f>'Timing &amp; Flags'!CB23</f>
        <v>48183</v>
      </c>
      <c r="CC3" s="3197">
        <f>'Timing &amp; Flags'!CC23</f>
        <v>48214</v>
      </c>
    </row>
    <row r="4" spans="1:81" s="3196" customFormat="1" ht="14.25">
      <c r="A4" s="3195" t="s">
        <v>849</v>
      </c>
      <c r="B4" s="3195"/>
      <c r="C4" s="3198"/>
      <c r="D4" s="3195"/>
      <c r="E4" s="3195"/>
      <c r="F4" s="3195"/>
      <c r="G4" s="3195"/>
      <c r="H4" s="3195" t="s">
        <v>2</v>
      </c>
      <c r="I4" s="3199">
        <f>'Timing &amp; Flags'!I24</f>
        <v>46053</v>
      </c>
      <c r="J4" s="3199">
        <f>'Timing &amp; Flags'!J24</f>
        <v>46081</v>
      </c>
      <c r="K4" s="3199">
        <f>'Timing &amp; Flags'!K24</f>
        <v>46112</v>
      </c>
      <c r="L4" s="3199">
        <f>'Timing &amp; Flags'!L24</f>
        <v>46142</v>
      </c>
      <c r="M4" s="3199">
        <f>'Timing &amp; Flags'!M24</f>
        <v>46173</v>
      </c>
      <c r="N4" s="3199">
        <f>'Timing &amp; Flags'!N24</f>
        <v>46203</v>
      </c>
      <c r="O4" s="3199">
        <f>'Timing &amp; Flags'!O24</f>
        <v>46234</v>
      </c>
      <c r="P4" s="3199">
        <f>'Timing &amp; Flags'!P24</f>
        <v>46265</v>
      </c>
      <c r="Q4" s="3199">
        <f>'Timing &amp; Flags'!Q24</f>
        <v>46295</v>
      </c>
      <c r="R4" s="3199">
        <f>'Timing &amp; Flags'!R24</f>
        <v>46326</v>
      </c>
      <c r="S4" s="3199">
        <f>'Timing &amp; Flags'!S24</f>
        <v>46356</v>
      </c>
      <c r="T4" s="3199">
        <f>'Timing &amp; Flags'!T24</f>
        <v>46387</v>
      </c>
      <c r="U4" s="3199">
        <f>'Timing &amp; Flags'!U24</f>
        <v>46418</v>
      </c>
      <c r="V4" s="3199">
        <f>'Timing &amp; Flags'!V24</f>
        <v>46446</v>
      </c>
      <c r="W4" s="3199">
        <f>'Timing &amp; Flags'!W24</f>
        <v>46477</v>
      </c>
      <c r="X4" s="3199">
        <f>'Timing &amp; Flags'!X24</f>
        <v>46507</v>
      </c>
      <c r="Y4" s="3199">
        <f>'Timing &amp; Flags'!Y24</f>
        <v>46538</v>
      </c>
      <c r="Z4" s="3199">
        <f>'Timing &amp; Flags'!Z24</f>
        <v>46568</v>
      </c>
      <c r="AA4" s="3199">
        <f>'Timing &amp; Flags'!AA24</f>
        <v>46599</v>
      </c>
      <c r="AB4" s="3199">
        <f>'Timing &amp; Flags'!AB24</f>
        <v>46630</v>
      </c>
      <c r="AC4" s="3199">
        <f>'Timing &amp; Flags'!AC24</f>
        <v>46660</v>
      </c>
      <c r="AD4" s="3199">
        <f>'Timing &amp; Flags'!AD24</f>
        <v>46691</v>
      </c>
      <c r="AE4" s="3199">
        <f>'Timing &amp; Flags'!AE24</f>
        <v>46721</v>
      </c>
      <c r="AF4" s="3199">
        <f>'Timing &amp; Flags'!AF24</f>
        <v>46752</v>
      </c>
      <c r="AG4" s="3199">
        <f>'Timing &amp; Flags'!AG24</f>
        <v>46783</v>
      </c>
      <c r="AH4" s="3199">
        <f>'Timing &amp; Flags'!AH24</f>
        <v>46812</v>
      </c>
      <c r="AI4" s="3199">
        <f>'Timing &amp; Flags'!AI24</f>
        <v>46843</v>
      </c>
      <c r="AJ4" s="3199">
        <f>'Timing &amp; Flags'!AJ24</f>
        <v>46873</v>
      </c>
      <c r="AK4" s="3199">
        <f>'Timing &amp; Flags'!AK24</f>
        <v>46904</v>
      </c>
      <c r="AL4" s="3199">
        <f>'Timing &amp; Flags'!AL24</f>
        <v>46934</v>
      </c>
      <c r="AM4" s="3199">
        <f>'Timing &amp; Flags'!AM24</f>
        <v>46965</v>
      </c>
      <c r="AN4" s="3199">
        <f>'Timing &amp; Flags'!AN24</f>
        <v>46996</v>
      </c>
      <c r="AO4" s="3199">
        <f>'Timing &amp; Flags'!AO24</f>
        <v>47026</v>
      </c>
      <c r="AP4" s="3199">
        <f>'Timing &amp; Flags'!AP24</f>
        <v>47057</v>
      </c>
      <c r="AQ4" s="3199">
        <f>'Timing &amp; Flags'!AQ24</f>
        <v>47087</v>
      </c>
      <c r="AR4" s="3199">
        <f>'Timing &amp; Flags'!AR24</f>
        <v>47118</v>
      </c>
      <c r="AS4" s="3199">
        <f>'Timing &amp; Flags'!AS24</f>
        <v>47149</v>
      </c>
      <c r="AT4" s="3199">
        <f>'Timing &amp; Flags'!AT24</f>
        <v>47177</v>
      </c>
      <c r="AU4" s="3199">
        <f>'Timing &amp; Flags'!AU24</f>
        <v>47208</v>
      </c>
      <c r="AV4" s="3199">
        <f>'Timing &amp; Flags'!AV24</f>
        <v>47238</v>
      </c>
      <c r="AW4" s="3199">
        <f>'Timing &amp; Flags'!AW24</f>
        <v>47269</v>
      </c>
      <c r="AX4" s="3199">
        <f>'Timing &amp; Flags'!AX24</f>
        <v>47299</v>
      </c>
      <c r="AY4" s="3199">
        <f>'Timing &amp; Flags'!AY24</f>
        <v>47330</v>
      </c>
      <c r="AZ4" s="3199">
        <f>'Timing &amp; Flags'!AZ24</f>
        <v>47361</v>
      </c>
      <c r="BA4" s="3199">
        <f>'Timing &amp; Flags'!BA24</f>
        <v>47391</v>
      </c>
      <c r="BB4" s="3199">
        <f>'Timing &amp; Flags'!BB24</f>
        <v>47422</v>
      </c>
      <c r="BC4" s="3199">
        <f>'Timing &amp; Flags'!BC24</f>
        <v>47452</v>
      </c>
      <c r="BD4" s="3199">
        <f>'Timing &amp; Flags'!BD24</f>
        <v>47483</v>
      </c>
      <c r="BE4" s="3199">
        <f>'Timing &amp; Flags'!BE24</f>
        <v>47514</v>
      </c>
      <c r="BF4" s="3199">
        <f>'Timing &amp; Flags'!BF24</f>
        <v>47542</v>
      </c>
      <c r="BG4" s="3199">
        <f>'Timing &amp; Flags'!BG24</f>
        <v>47573</v>
      </c>
      <c r="BH4" s="3199">
        <f>'Timing &amp; Flags'!BH24</f>
        <v>47603</v>
      </c>
      <c r="BI4" s="3199">
        <f>'Timing &amp; Flags'!BI24</f>
        <v>47634</v>
      </c>
      <c r="BJ4" s="3199">
        <f>'Timing &amp; Flags'!BJ24</f>
        <v>47664</v>
      </c>
      <c r="BK4" s="3199">
        <f>'Timing &amp; Flags'!BK24</f>
        <v>47695</v>
      </c>
      <c r="BL4" s="3199">
        <f>'Timing &amp; Flags'!BL24</f>
        <v>47726</v>
      </c>
      <c r="BM4" s="3199">
        <f>'Timing &amp; Flags'!BM24</f>
        <v>47756</v>
      </c>
      <c r="BN4" s="3199">
        <f>'Timing &amp; Flags'!BN24</f>
        <v>47787</v>
      </c>
      <c r="BO4" s="3199">
        <f>'Timing &amp; Flags'!BO24</f>
        <v>47817</v>
      </c>
      <c r="BP4" s="3199">
        <f>'Timing &amp; Flags'!BP24</f>
        <v>47848</v>
      </c>
      <c r="BQ4" s="3199">
        <f>'Timing &amp; Flags'!BQ24</f>
        <v>47879</v>
      </c>
      <c r="BR4" s="3199">
        <f>'Timing &amp; Flags'!BR24</f>
        <v>47907</v>
      </c>
      <c r="BS4" s="3199">
        <f>'Timing &amp; Flags'!BS24</f>
        <v>47938</v>
      </c>
      <c r="BT4" s="3199">
        <f>'Timing &amp; Flags'!BT24</f>
        <v>47968</v>
      </c>
      <c r="BU4" s="3199">
        <f>'Timing &amp; Flags'!BU24</f>
        <v>47999</v>
      </c>
      <c r="BV4" s="3199">
        <f>'Timing &amp; Flags'!BV24</f>
        <v>48029</v>
      </c>
      <c r="BW4" s="3199">
        <f>'Timing &amp; Flags'!BW24</f>
        <v>48060</v>
      </c>
      <c r="BX4" s="3199">
        <f>'Timing &amp; Flags'!BX24</f>
        <v>48091</v>
      </c>
      <c r="BY4" s="3199">
        <f>'Timing &amp; Flags'!BY24</f>
        <v>48121</v>
      </c>
      <c r="BZ4" s="3199">
        <f>'Timing &amp; Flags'!BZ24</f>
        <v>48152</v>
      </c>
      <c r="CA4" s="3199">
        <f>'Timing &amp; Flags'!CA24</f>
        <v>48182</v>
      </c>
      <c r="CB4" s="3199">
        <f>'Timing &amp; Flags'!CB24</f>
        <v>48213</v>
      </c>
      <c r="CC4" s="3199">
        <f>'Timing &amp; Flags'!CC24</f>
        <v>48244</v>
      </c>
    </row>
    <row r="5" spans="1:81" s="3196" customFormat="1" ht="14.25">
      <c r="A5" s="3195" t="s">
        <v>640</v>
      </c>
      <c r="B5" s="3195"/>
      <c r="C5" s="3200"/>
      <c r="D5" s="3195"/>
      <c r="E5" s="3195"/>
      <c r="F5" s="3195"/>
      <c r="G5" s="3195"/>
      <c r="H5" s="3195" t="s">
        <v>3</v>
      </c>
      <c r="I5" s="3200">
        <f>'Timing &amp; Flags'!I25</f>
        <v>31</v>
      </c>
      <c r="J5" s="3200">
        <f>'Timing &amp; Flags'!J25</f>
        <v>28</v>
      </c>
      <c r="K5" s="3200">
        <f>'Timing &amp; Flags'!K25</f>
        <v>31</v>
      </c>
      <c r="L5" s="3200">
        <f>'Timing &amp; Flags'!L25</f>
        <v>30</v>
      </c>
      <c r="M5" s="3200">
        <f>'Timing &amp; Flags'!M25</f>
        <v>31</v>
      </c>
      <c r="N5" s="3200">
        <f>'Timing &amp; Flags'!N25</f>
        <v>30</v>
      </c>
      <c r="O5" s="3200">
        <f>'Timing &amp; Flags'!O25</f>
        <v>31</v>
      </c>
      <c r="P5" s="3200">
        <f>'Timing &amp; Flags'!P25</f>
        <v>31</v>
      </c>
      <c r="Q5" s="3200">
        <f>'Timing &amp; Flags'!Q25</f>
        <v>30</v>
      </c>
      <c r="R5" s="3200">
        <f>'Timing &amp; Flags'!R25</f>
        <v>31</v>
      </c>
      <c r="S5" s="3200">
        <f>'Timing &amp; Flags'!S25</f>
        <v>30</v>
      </c>
      <c r="T5" s="3200">
        <f>'Timing &amp; Flags'!T25</f>
        <v>31</v>
      </c>
      <c r="U5" s="3200">
        <f>'Timing &amp; Flags'!U25</f>
        <v>31</v>
      </c>
      <c r="V5" s="3200">
        <f>'Timing &amp; Flags'!V25</f>
        <v>28</v>
      </c>
      <c r="W5" s="3200">
        <f>'Timing &amp; Flags'!W25</f>
        <v>31</v>
      </c>
      <c r="X5" s="3200">
        <f>'Timing &amp; Flags'!X25</f>
        <v>30</v>
      </c>
      <c r="Y5" s="3200">
        <f>'Timing &amp; Flags'!Y25</f>
        <v>31</v>
      </c>
      <c r="Z5" s="3200">
        <f>'Timing &amp; Flags'!Z25</f>
        <v>30</v>
      </c>
      <c r="AA5" s="3200">
        <f>'Timing &amp; Flags'!AA25</f>
        <v>31</v>
      </c>
      <c r="AB5" s="3200">
        <f>'Timing &amp; Flags'!AB25</f>
        <v>31</v>
      </c>
      <c r="AC5" s="3200">
        <f>'Timing &amp; Flags'!AC25</f>
        <v>30</v>
      </c>
      <c r="AD5" s="3200">
        <f>'Timing &amp; Flags'!AD25</f>
        <v>31</v>
      </c>
      <c r="AE5" s="3200">
        <f>'Timing &amp; Flags'!AE25</f>
        <v>30</v>
      </c>
      <c r="AF5" s="3200">
        <f>'Timing &amp; Flags'!AF25</f>
        <v>31</v>
      </c>
      <c r="AG5" s="3200">
        <f>'Timing &amp; Flags'!AG25</f>
        <v>31</v>
      </c>
      <c r="AH5" s="3200">
        <f>'Timing &amp; Flags'!AH25</f>
        <v>29</v>
      </c>
      <c r="AI5" s="3200">
        <f>'Timing &amp; Flags'!AI25</f>
        <v>31</v>
      </c>
      <c r="AJ5" s="3200">
        <f>'Timing &amp; Flags'!AJ25</f>
        <v>30</v>
      </c>
      <c r="AK5" s="3200">
        <f>'Timing &amp; Flags'!AK25</f>
        <v>31</v>
      </c>
      <c r="AL5" s="3200">
        <f>'Timing &amp; Flags'!AL25</f>
        <v>30</v>
      </c>
      <c r="AM5" s="3200">
        <f>'Timing &amp; Flags'!AM25</f>
        <v>31</v>
      </c>
      <c r="AN5" s="3200">
        <f>'Timing &amp; Flags'!AN25</f>
        <v>31</v>
      </c>
      <c r="AO5" s="3200">
        <f>'Timing &amp; Flags'!AO25</f>
        <v>30</v>
      </c>
      <c r="AP5" s="3200">
        <f>'Timing &amp; Flags'!AP25</f>
        <v>31</v>
      </c>
      <c r="AQ5" s="3200">
        <f>'Timing &amp; Flags'!AQ25</f>
        <v>30</v>
      </c>
      <c r="AR5" s="3200">
        <f>'Timing &amp; Flags'!AR25</f>
        <v>31</v>
      </c>
      <c r="AS5" s="3200">
        <f>'Timing &amp; Flags'!AS25</f>
        <v>31</v>
      </c>
      <c r="AT5" s="3200">
        <f>'Timing &amp; Flags'!AT25</f>
        <v>28</v>
      </c>
      <c r="AU5" s="3200">
        <f>'Timing &amp; Flags'!AU25</f>
        <v>31</v>
      </c>
      <c r="AV5" s="3200">
        <f>'Timing &amp; Flags'!AV25</f>
        <v>30</v>
      </c>
      <c r="AW5" s="3200">
        <f>'Timing &amp; Flags'!AW25</f>
        <v>31</v>
      </c>
      <c r="AX5" s="3200">
        <f>'Timing &amp; Flags'!AX25</f>
        <v>30</v>
      </c>
      <c r="AY5" s="3200">
        <f>'Timing &amp; Flags'!AY25</f>
        <v>31</v>
      </c>
      <c r="AZ5" s="3200">
        <f>'Timing &amp; Flags'!AZ25</f>
        <v>31</v>
      </c>
      <c r="BA5" s="3200">
        <f>'Timing &amp; Flags'!BA25</f>
        <v>30</v>
      </c>
      <c r="BB5" s="3200">
        <f>'Timing &amp; Flags'!BB25</f>
        <v>31</v>
      </c>
      <c r="BC5" s="3200">
        <f>'Timing &amp; Flags'!BC25</f>
        <v>30</v>
      </c>
      <c r="BD5" s="3200">
        <f>'Timing &amp; Flags'!BD25</f>
        <v>31</v>
      </c>
      <c r="BE5" s="3200">
        <f>'Timing &amp; Flags'!BE25</f>
        <v>31</v>
      </c>
      <c r="BF5" s="3200">
        <f>'Timing &amp; Flags'!BF25</f>
        <v>28</v>
      </c>
      <c r="BG5" s="3200">
        <f>'Timing &amp; Flags'!BG25</f>
        <v>31</v>
      </c>
      <c r="BH5" s="3200">
        <f>'Timing &amp; Flags'!BH25</f>
        <v>30</v>
      </c>
      <c r="BI5" s="3200">
        <f>'Timing &amp; Flags'!BI25</f>
        <v>31</v>
      </c>
      <c r="BJ5" s="3200">
        <f>'Timing &amp; Flags'!BJ25</f>
        <v>30</v>
      </c>
      <c r="BK5" s="3200">
        <f>'Timing &amp; Flags'!BK25</f>
        <v>31</v>
      </c>
      <c r="BL5" s="3200">
        <f>'Timing &amp; Flags'!BL25</f>
        <v>31</v>
      </c>
      <c r="BM5" s="3200">
        <f>'Timing &amp; Flags'!BM25</f>
        <v>30</v>
      </c>
      <c r="BN5" s="3200">
        <f>'Timing &amp; Flags'!BN25</f>
        <v>31</v>
      </c>
      <c r="BO5" s="3200">
        <f>'Timing &amp; Flags'!BO25</f>
        <v>30</v>
      </c>
      <c r="BP5" s="3200">
        <f>'Timing &amp; Flags'!BP25</f>
        <v>31</v>
      </c>
      <c r="BQ5" s="3200">
        <f>'Timing &amp; Flags'!BQ25</f>
        <v>31</v>
      </c>
      <c r="BR5" s="3200">
        <f>'Timing &amp; Flags'!BR25</f>
        <v>28</v>
      </c>
      <c r="BS5" s="3200">
        <f>'Timing &amp; Flags'!BS25</f>
        <v>31</v>
      </c>
      <c r="BT5" s="3200">
        <f>'Timing &amp; Flags'!BT25</f>
        <v>30</v>
      </c>
      <c r="BU5" s="3200">
        <f>'Timing &amp; Flags'!BU25</f>
        <v>31</v>
      </c>
      <c r="BV5" s="3200">
        <f>'Timing &amp; Flags'!BV25</f>
        <v>30</v>
      </c>
      <c r="BW5" s="3200">
        <f>'Timing &amp; Flags'!BW25</f>
        <v>31</v>
      </c>
      <c r="BX5" s="3200">
        <f>'Timing &amp; Flags'!BX25</f>
        <v>31</v>
      </c>
      <c r="BY5" s="3200">
        <f>'Timing &amp; Flags'!BY25</f>
        <v>30</v>
      </c>
      <c r="BZ5" s="3200">
        <f>'Timing &amp; Flags'!BZ25</f>
        <v>31</v>
      </c>
      <c r="CA5" s="3200">
        <f>'Timing &amp; Flags'!CA25</f>
        <v>30</v>
      </c>
      <c r="CB5" s="3200">
        <f>'Timing &amp; Flags'!CB25</f>
        <v>31</v>
      </c>
      <c r="CC5" s="3200">
        <f>'Timing &amp; Flags'!CC25</f>
        <v>31</v>
      </c>
    </row>
    <row r="6" spans="1:81" s="3196" customFormat="1" ht="14.25">
      <c r="A6" s="3195"/>
      <c r="B6" s="3195"/>
      <c r="C6" s="3195"/>
      <c r="D6" s="3195"/>
      <c r="E6" s="3195"/>
      <c r="F6" s="3195"/>
      <c r="G6" s="3195"/>
      <c r="H6" s="3195" t="s">
        <v>3</v>
      </c>
      <c r="I6" s="3194">
        <f>'Timing &amp; Flags'!I26</f>
        <v>1</v>
      </c>
      <c r="J6" s="3194">
        <f>'Timing &amp; Flags'!J26</f>
        <v>1</v>
      </c>
      <c r="K6" s="3194">
        <f>'Timing &amp; Flags'!K26</f>
        <v>1</v>
      </c>
      <c r="L6" s="3194">
        <f>'Timing &amp; Flags'!L26</f>
        <v>1</v>
      </c>
      <c r="M6" s="3194">
        <f>'Timing &amp; Flags'!M26</f>
        <v>1</v>
      </c>
      <c r="N6" s="3194">
        <f>'Timing &amp; Flags'!N26</f>
        <v>1</v>
      </c>
      <c r="O6" s="3194">
        <f>'Timing &amp; Flags'!O26</f>
        <v>1</v>
      </c>
      <c r="P6" s="3194">
        <f>'Timing &amp; Flags'!P26</f>
        <v>1</v>
      </c>
      <c r="Q6" s="3194">
        <f>'Timing &amp; Flags'!Q26</f>
        <v>1</v>
      </c>
      <c r="R6" s="3194">
        <f>'Timing &amp; Flags'!R26</f>
        <v>1</v>
      </c>
      <c r="S6" s="3194">
        <f>'Timing &amp; Flags'!S26</f>
        <v>1</v>
      </c>
      <c r="T6" s="3194">
        <f>'Timing &amp; Flags'!T26</f>
        <v>1</v>
      </c>
      <c r="U6" s="3194">
        <f>'Timing &amp; Flags'!U26</f>
        <v>2</v>
      </c>
      <c r="V6" s="3194">
        <f>'Timing &amp; Flags'!V26</f>
        <v>2</v>
      </c>
      <c r="W6" s="3194">
        <f>'Timing &amp; Flags'!W26</f>
        <v>2</v>
      </c>
      <c r="X6" s="3194">
        <f>'Timing &amp; Flags'!X26</f>
        <v>2</v>
      </c>
      <c r="Y6" s="3194">
        <f>'Timing &amp; Flags'!Y26</f>
        <v>2</v>
      </c>
      <c r="Z6" s="3194">
        <f>'Timing &amp; Flags'!Z26</f>
        <v>2</v>
      </c>
      <c r="AA6" s="3194">
        <f>'Timing &amp; Flags'!AA26</f>
        <v>2</v>
      </c>
      <c r="AB6" s="3194">
        <f>'Timing &amp; Flags'!AB26</f>
        <v>2</v>
      </c>
      <c r="AC6" s="3194">
        <f>'Timing &amp; Flags'!AC26</f>
        <v>2</v>
      </c>
      <c r="AD6" s="3194">
        <f>'Timing &amp; Flags'!AD26</f>
        <v>2</v>
      </c>
      <c r="AE6" s="3194">
        <f>'Timing &amp; Flags'!AE26</f>
        <v>2</v>
      </c>
      <c r="AF6" s="3194">
        <f>'Timing &amp; Flags'!AF26</f>
        <v>2</v>
      </c>
      <c r="AG6" s="3194">
        <f>'Timing &amp; Flags'!AG26</f>
        <v>3</v>
      </c>
      <c r="AH6" s="3194">
        <f>'Timing &amp; Flags'!AH26</f>
        <v>3</v>
      </c>
      <c r="AI6" s="3194">
        <f>'Timing &amp; Flags'!AI26</f>
        <v>3</v>
      </c>
      <c r="AJ6" s="3194">
        <f>'Timing &amp; Flags'!AJ26</f>
        <v>3</v>
      </c>
      <c r="AK6" s="3194">
        <f>'Timing &amp; Flags'!AK26</f>
        <v>3</v>
      </c>
      <c r="AL6" s="3194">
        <f>'Timing &amp; Flags'!AL26</f>
        <v>3</v>
      </c>
      <c r="AM6" s="3194">
        <f>'Timing &amp; Flags'!AM26</f>
        <v>3</v>
      </c>
      <c r="AN6" s="3194">
        <f>'Timing &amp; Flags'!AN26</f>
        <v>3</v>
      </c>
      <c r="AO6" s="3194">
        <f>'Timing &amp; Flags'!AO26</f>
        <v>3</v>
      </c>
      <c r="AP6" s="3194">
        <f>'Timing &amp; Flags'!AP26</f>
        <v>3</v>
      </c>
      <c r="AQ6" s="3194">
        <f>'Timing &amp; Flags'!AQ26</f>
        <v>3</v>
      </c>
      <c r="AR6" s="3194">
        <f>'Timing &amp; Flags'!AR26</f>
        <v>3</v>
      </c>
      <c r="AS6" s="3194">
        <f>'Timing &amp; Flags'!AS26</f>
        <v>4</v>
      </c>
      <c r="AT6" s="3194">
        <f>'Timing &amp; Flags'!AT26</f>
        <v>4</v>
      </c>
      <c r="AU6" s="3194">
        <f>'Timing &amp; Flags'!AU26</f>
        <v>4</v>
      </c>
      <c r="AV6" s="3194">
        <f>'Timing &amp; Flags'!AV26</f>
        <v>4</v>
      </c>
      <c r="AW6" s="3194">
        <f>'Timing &amp; Flags'!AW26</f>
        <v>4</v>
      </c>
      <c r="AX6" s="3194">
        <f>'Timing &amp; Flags'!AX26</f>
        <v>4</v>
      </c>
      <c r="AY6" s="3194">
        <f>'Timing &amp; Flags'!AY26</f>
        <v>4</v>
      </c>
      <c r="AZ6" s="3194">
        <f>'Timing &amp; Flags'!AZ26</f>
        <v>4</v>
      </c>
      <c r="BA6" s="3194">
        <f>'Timing &amp; Flags'!BA26</f>
        <v>4</v>
      </c>
      <c r="BB6" s="3194">
        <f>'Timing &amp; Flags'!BB26</f>
        <v>4</v>
      </c>
      <c r="BC6" s="3194">
        <f>'Timing &amp; Flags'!BC26</f>
        <v>4</v>
      </c>
      <c r="BD6" s="3194">
        <f>'Timing &amp; Flags'!BD26</f>
        <v>4</v>
      </c>
      <c r="BE6" s="3194">
        <f>'Timing &amp; Flags'!BE26</f>
        <v>5</v>
      </c>
      <c r="BF6" s="3194">
        <f>'Timing &amp; Flags'!BF26</f>
        <v>5</v>
      </c>
      <c r="BG6" s="3194">
        <f>'Timing &amp; Flags'!BG26</f>
        <v>5</v>
      </c>
      <c r="BH6" s="3194">
        <f>'Timing &amp; Flags'!BH26</f>
        <v>5</v>
      </c>
      <c r="BI6" s="3194">
        <f>'Timing &amp; Flags'!BI26</f>
        <v>5</v>
      </c>
      <c r="BJ6" s="3194">
        <f>'Timing &amp; Flags'!BJ26</f>
        <v>5</v>
      </c>
      <c r="BK6" s="3194">
        <f>'Timing &amp; Flags'!BK26</f>
        <v>5</v>
      </c>
      <c r="BL6" s="3194">
        <f>'Timing &amp; Flags'!BL26</f>
        <v>5</v>
      </c>
      <c r="BM6" s="3194">
        <f>'Timing &amp; Flags'!BM26</f>
        <v>5</v>
      </c>
      <c r="BN6" s="3194">
        <f>'Timing &amp; Flags'!BN26</f>
        <v>5</v>
      </c>
      <c r="BO6" s="3194">
        <f>'Timing &amp; Flags'!BO26</f>
        <v>5</v>
      </c>
      <c r="BP6" s="3194">
        <f>'Timing &amp; Flags'!BP26</f>
        <v>5</v>
      </c>
      <c r="BQ6" s="3194">
        <f>'Timing &amp; Flags'!BQ26</f>
        <v>6</v>
      </c>
      <c r="BR6" s="3194">
        <f>'Timing &amp; Flags'!BR26</f>
        <v>6</v>
      </c>
      <c r="BS6" s="3194">
        <f>'Timing &amp; Flags'!BS26</f>
        <v>6</v>
      </c>
      <c r="BT6" s="3194">
        <f>'Timing &amp; Flags'!BT26</f>
        <v>6</v>
      </c>
      <c r="BU6" s="3194">
        <f>'Timing &amp; Flags'!BU26</f>
        <v>6</v>
      </c>
      <c r="BV6" s="3194">
        <f>'Timing &amp; Flags'!BV26</f>
        <v>6</v>
      </c>
      <c r="BW6" s="3194">
        <f>'Timing &amp; Flags'!BW26</f>
        <v>6</v>
      </c>
      <c r="BX6" s="3194">
        <f>'Timing &amp; Flags'!BX26</f>
        <v>6</v>
      </c>
      <c r="BY6" s="3194">
        <f>'Timing &amp; Flags'!BY26</f>
        <v>6</v>
      </c>
      <c r="BZ6" s="3194">
        <f>'Timing &amp; Flags'!BZ26</f>
        <v>6</v>
      </c>
      <c r="CA6" s="3194">
        <f>'Timing &amp; Flags'!CA26</f>
        <v>6</v>
      </c>
      <c r="CB6" s="3194">
        <f>'Timing &amp; Flags'!CB26</f>
        <v>6</v>
      </c>
      <c r="CC6" s="3194">
        <f>'Timing &amp; Flags'!CC26</f>
        <v>7</v>
      </c>
    </row>
    <row r="7" spans="1:81" s="2503" customFormat="1" ht="12.75">
      <c r="A7" s="3201" t="s">
        <v>210</v>
      </c>
      <c r="B7" s="3196"/>
      <c r="C7" s="3196"/>
      <c r="D7" s="3196"/>
      <c r="E7" s="3196"/>
      <c r="F7" s="3196"/>
      <c r="G7" s="3196"/>
      <c r="H7" s="3196"/>
      <c r="I7" s="3196"/>
      <c r="J7" s="3196"/>
      <c r="K7" s="3196"/>
      <c r="L7" s="3196"/>
      <c r="M7" s="3196"/>
      <c r="N7" s="3196"/>
      <c r="O7" s="3196"/>
      <c r="P7" s="3196"/>
      <c r="Q7" s="3196"/>
      <c r="R7" s="3196"/>
      <c r="S7" s="3196"/>
      <c r="T7" s="3196"/>
      <c r="U7" s="3196"/>
      <c r="V7" s="3196"/>
      <c r="W7" s="3196"/>
      <c r="X7" s="3196"/>
      <c r="Y7" s="3196"/>
      <c r="Z7" s="3196"/>
      <c r="AA7" s="3196"/>
      <c r="AB7" s="3196"/>
      <c r="AC7" s="3196"/>
      <c r="AD7" s="3196"/>
      <c r="AE7" s="3202"/>
      <c r="AF7" s="3202"/>
      <c r="AG7" s="3202"/>
      <c r="AH7" s="3202"/>
      <c r="AI7" s="3202"/>
      <c r="AJ7" s="3202"/>
      <c r="AK7" s="3202"/>
      <c r="AL7" s="3202"/>
      <c r="AM7" s="3202"/>
      <c r="AN7" s="3202"/>
      <c r="AO7" s="3202"/>
      <c r="AP7" s="3202"/>
      <c r="AQ7" s="3202"/>
      <c r="AR7" s="3202"/>
      <c r="AS7" s="3202"/>
      <c r="AT7" s="3202"/>
      <c r="AU7" s="3202"/>
      <c r="AV7" s="3202"/>
      <c r="AW7" s="3202"/>
      <c r="AX7" s="3202"/>
      <c r="AY7" s="3202"/>
      <c r="AZ7" s="3203"/>
    </row>
    <row r="9" spans="1:81" ht="11.45" customHeight="1">
      <c r="B9" s="10" t="s">
        <v>211</v>
      </c>
      <c r="F9" s="13"/>
    </row>
    <row r="10" spans="1:81">
      <c r="B10" s="2" t="s">
        <v>59</v>
      </c>
      <c r="C10" s="15" t="s">
        <v>60</v>
      </c>
      <c r="D10" s="2">
        <f>SUM(I10:AI10)</f>
        <v>1</v>
      </c>
      <c r="I10" s="2">
        <f>'Timing &amp; Flags'!I63</f>
        <v>1</v>
      </c>
      <c r="J10" s="2">
        <f>'Timing &amp; Flags'!J63</f>
        <v>0</v>
      </c>
      <c r="K10" s="2">
        <f>'Timing &amp; Flags'!K63</f>
        <v>0</v>
      </c>
      <c r="L10" s="2">
        <f>'Timing &amp; Flags'!L63</f>
        <v>0</v>
      </c>
      <c r="M10" s="2">
        <f>'Timing &amp; Flags'!M63</f>
        <v>0</v>
      </c>
      <c r="N10" s="2">
        <f>'Timing &amp; Flags'!N63</f>
        <v>0</v>
      </c>
      <c r="O10" s="2">
        <f>'Timing &amp; Flags'!O63</f>
        <v>0</v>
      </c>
      <c r="P10" s="2">
        <f>'Timing &amp; Flags'!P63</f>
        <v>0</v>
      </c>
      <c r="Q10" s="2">
        <f>'Timing &amp; Flags'!Q63</f>
        <v>0</v>
      </c>
      <c r="R10" s="2">
        <f>'Timing &amp; Flags'!R63</f>
        <v>0</v>
      </c>
      <c r="S10" s="2">
        <f>'Timing &amp; Flags'!S63</f>
        <v>0</v>
      </c>
      <c r="T10" s="2">
        <f>'Timing &amp; Flags'!T63</f>
        <v>0</v>
      </c>
      <c r="U10" s="2">
        <f>'Timing &amp; Flags'!U63</f>
        <v>0</v>
      </c>
      <c r="V10" s="2">
        <f>'Timing &amp; Flags'!V63</f>
        <v>0</v>
      </c>
      <c r="W10" s="2">
        <f>'Timing &amp; Flags'!W63</f>
        <v>0</v>
      </c>
      <c r="X10" s="2">
        <f>'Timing &amp; Flags'!X63</f>
        <v>0</v>
      </c>
      <c r="Y10" s="2">
        <f>'Timing &amp; Flags'!Y63</f>
        <v>0</v>
      </c>
      <c r="Z10" s="2">
        <f>'Timing &amp; Flags'!Z63</f>
        <v>0</v>
      </c>
      <c r="AA10" s="2">
        <f>'Timing &amp; Flags'!AA63</f>
        <v>0</v>
      </c>
      <c r="AB10" s="2">
        <f>'Timing &amp; Flags'!AB63</f>
        <v>0</v>
      </c>
      <c r="AC10" s="2">
        <f>'Timing &amp; Flags'!AC63</f>
        <v>0</v>
      </c>
      <c r="AD10" s="2">
        <f>'Timing &amp; Flags'!AD63</f>
        <v>0</v>
      </c>
      <c r="AE10" s="2">
        <f>'Timing &amp; Flags'!AE63</f>
        <v>0</v>
      </c>
      <c r="AF10" s="2">
        <f>'Timing &amp; Flags'!AF63</f>
        <v>0</v>
      </c>
      <c r="AG10" s="2">
        <f>'Timing &amp; Flags'!AG63</f>
        <v>0</v>
      </c>
      <c r="AH10" s="2">
        <f>'Timing &amp; Flags'!AH63</f>
        <v>0</v>
      </c>
      <c r="AI10" s="2">
        <f>'Timing &amp; Flags'!AI63</f>
        <v>0</v>
      </c>
      <c r="AJ10" s="2">
        <f>'Timing &amp; Flags'!AJ63</f>
        <v>0</v>
      </c>
      <c r="AK10" s="2">
        <f>'Timing &amp; Flags'!AK63</f>
        <v>0</v>
      </c>
      <c r="AL10" s="2">
        <f>'Timing &amp; Flags'!AL63</f>
        <v>0</v>
      </c>
      <c r="AM10" s="2">
        <f>'Timing &amp; Flags'!AM63</f>
        <v>0</v>
      </c>
      <c r="AN10" s="2">
        <f>'Timing &amp; Flags'!AN63</f>
        <v>0</v>
      </c>
      <c r="AO10" s="2">
        <f>'Timing &amp; Flags'!AO63</f>
        <v>0</v>
      </c>
      <c r="AP10" s="2">
        <f>'Timing &amp; Flags'!AP63</f>
        <v>0</v>
      </c>
      <c r="AQ10" s="2">
        <f>'Timing &amp; Flags'!AQ63</f>
        <v>0</v>
      </c>
      <c r="AR10" s="2">
        <f>'Timing &amp; Flags'!AR63</f>
        <v>0</v>
      </c>
      <c r="AS10" s="2">
        <f>'Timing &amp; Flags'!AS63</f>
        <v>0</v>
      </c>
      <c r="AT10" s="2">
        <f>'Timing &amp; Flags'!AT63</f>
        <v>0</v>
      </c>
      <c r="AU10" s="2">
        <f>'Timing &amp; Flags'!AU63</f>
        <v>0</v>
      </c>
      <c r="AV10" s="2">
        <f>'Timing &amp; Flags'!AV63</f>
        <v>0</v>
      </c>
      <c r="AW10" s="2">
        <f>'Timing &amp; Flags'!AW63</f>
        <v>0</v>
      </c>
    </row>
    <row r="11" spans="1:81">
      <c r="B11" s="2" t="s">
        <v>61</v>
      </c>
      <c r="C11" s="15" t="s">
        <v>60</v>
      </c>
      <c r="D11" s="2">
        <f>SUM(I11:AI11)</f>
        <v>27</v>
      </c>
      <c r="I11" s="2">
        <f>'Timing &amp; Flags'!I64</f>
        <v>1</v>
      </c>
      <c r="J11" s="2">
        <f>'Timing &amp; Flags'!J64</f>
        <v>1</v>
      </c>
      <c r="K11" s="2">
        <f>'Timing &amp; Flags'!K64</f>
        <v>1</v>
      </c>
      <c r="L11" s="2">
        <f>'Timing &amp; Flags'!L64</f>
        <v>1</v>
      </c>
      <c r="M11" s="2">
        <f>'Timing &amp; Flags'!M64</f>
        <v>1</v>
      </c>
      <c r="N11" s="2">
        <f>'Timing &amp; Flags'!N64</f>
        <v>1</v>
      </c>
      <c r="O11" s="2">
        <f>'Timing &amp; Flags'!O64</f>
        <v>1</v>
      </c>
      <c r="P11" s="2">
        <f>'Timing &amp; Flags'!P64</f>
        <v>1</v>
      </c>
      <c r="Q11" s="2">
        <f>'Timing &amp; Flags'!Q64</f>
        <v>1</v>
      </c>
      <c r="R11" s="2">
        <f>'Timing &amp; Flags'!R64</f>
        <v>1</v>
      </c>
      <c r="S11" s="2">
        <f>'Timing &amp; Flags'!S64</f>
        <v>1</v>
      </c>
      <c r="T11" s="2">
        <f>'Timing &amp; Flags'!T64</f>
        <v>1</v>
      </c>
      <c r="U11" s="2">
        <f>'Timing &amp; Flags'!U64</f>
        <v>1</v>
      </c>
      <c r="V11" s="2">
        <f>'Timing &amp; Flags'!V64</f>
        <v>1</v>
      </c>
      <c r="W11" s="2">
        <f>'Timing &amp; Flags'!W64</f>
        <v>1</v>
      </c>
      <c r="X11" s="2">
        <f>'Timing &amp; Flags'!X64</f>
        <v>1</v>
      </c>
      <c r="Y11" s="2">
        <f>'Timing &amp; Flags'!Y64</f>
        <v>1</v>
      </c>
      <c r="Z11" s="2">
        <f>'Timing &amp; Flags'!Z64</f>
        <v>1</v>
      </c>
      <c r="AA11" s="2">
        <f>'Timing &amp; Flags'!AA64</f>
        <v>1</v>
      </c>
      <c r="AB11" s="2">
        <f>'Timing &amp; Flags'!AB64</f>
        <v>1</v>
      </c>
      <c r="AC11" s="2">
        <f>'Timing &amp; Flags'!AC64</f>
        <v>1</v>
      </c>
      <c r="AD11" s="2">
        <f>'Timing &amp; Flags'!AD64</f>
        <v>1</v>
      </c>
      <c r="AE11" s="2">
        <f>'Timing &amp; Flags'!AE64</f>
        <v>1</v>
      </c>
      <c r="AF11" s="2">
        <f>'Timing &amp; Flags'!AF64</f>
        <v>1</v>
      </c>
      <c r="AG11" s="2">
        <f>'Timing &amp; Flags'!AG64</f>
        <v>1</v>
      </c>
      <c r="AH11" s="2">
        <f>'Timing &amp; Flags'!AH64</f>
        <v>1</v>
      </c>
      <c r="AI11" s="2">
        <f>'Timing &amp; Flags'!AI64</f>
        <v>1</v>
      </c>
      <c r="AJ11" s="2">
        <f>'Timing &amp; Flags'!AJ64</f>
        <v>1</v>
      </c>
      <c r="AK11" s="2">
        <f>'Timing &amp; Flags'!AK64</f>
        <v>1</v>
      </c>
      <c r="AL11" s="2">
        <f>'Timing &amp; Flags'!AL64</f>
        <v>1</v>
      </c>
      <c r="AM11" s="2">
        <f>'Timing &amp; Flags'!AM64</f>
        <v>1</v>
      </c>
      <c r="AN11" s="2">
        <f>'Timing &amp; Flags'!AN64</f>
        <v>1</v>
      </c>
      <c r="AO11" s="2">
        <f>'Timing &amp; Flags'!AO64</f>
        <v>1</v>
      </c>
      <c r="AP11" s="2">
        <f>'Timing &amp; Flags'!AP64</f>
        <v>1</v>
      </c>
      <c r="AQ11" s="2">
        <f>'Timing &amp; Flags'!AQ64</f>
        <v>1</v>
      </c>
      <c r="AR11" s="2">
        <f>'Timing &amp; Flags'!AR64</f>
        <v>1</v>
      </c>
      <c r="AS11" s="2">
        <f>'Timing &amp; Flags'!AS64</f>
        <v>0</v>
      </c>
      <c r="AT11" s="2">
        <f>'Timing &amp; Flags'!AT64</f>
        <v>0</v>
      </c>
      <c r="AU11" s="2">
        <f>'Timing &amp; Flags'!AU64</f>
        <v>0</v>
      </c>
      <c r="AV11" s="2">
        <f>'Timing &amp; Flags'!AV64</f>
        <v>0</v>
      </c>
      <c r="AW11" s="2">
        <f>'Timing &amp; Flags'!AW64</f>
        <v>0</v>
      </c>
      <c r="AX11" s="2">
        <f>'Timing &amp; Flags'!AX64</f>
        <v>0</v>
      </c>
      <c r="AY11" s="2">
        <f>'Timing &amp; Flags'!AY64</f>
        <v>0</v>
      </c>
      <c r="AZ11" s="2">
        <f>'Timing &amp; Flags'!AZ64</f>
        <v>0</v>
      </c>
      <c r="BA11" s="2">
        <f>'Timing &amp; Flags'!BA64</f>
        <v>0</v>
      </c>
      <c r="BB11" s="2">
        <f>'Timing &amp; Flags'!BB64</f>
        <v>0</v>
      </c>
      <c r="BC11" s="2">
        <f>'Timing &amp; Flags'!BC64</f>
        <v>0</v>
      </c>
      <c r="BD11" s="2">
        <f>'Timing &amp; Flags'!BD64</f>
        <v>0</v>
      </c>
      <c r="BE11" s="2">
        <f>'Timing &amp; Flags'!BE64</f>
        <v>0</v>
      </c>
      <c r="BF11" s="2">
        <f>'Timing &amp; Flags'!BF64</f>
        <v>0</v>
      </c>
      <c r="BG11" s="2">
        <f>'Timing &amp; Flags'!BG64</f>
        <v>0</v>
      </c>
      <c r="BH11" s="2">
        <f>'Timing &amp; Flags'!BH64</f>
        <v>0</v>
      </c>
      <c r="BI11" s="2">
        <f>'Timing &amp; Flags'!BI64</f>
        <v>0</v>
      </c>
      <c r="BJ11" s="2">
        <f>'Timing &amp; Flags'!BJ64</f>
        <v>0</v>
      </c>
      <c r="BK11" s="2">
        <f>'Timing &amp; Flags'!BK64</f>
        <v>0</v>
      </c>
      <c r="BL11" s="2">
        <f>'Timing &amp; Flags'!BL64</f>
        <v>0</v>
      </c>
      <c r="BM11" s="2">
        <f>'Timing &amp; Flags'!BM64</f>
        <v>0</v>
      </c>
      <c r="BN11" s="2">
        <f>'Timing &amp; Flags'!BN64</f>
        <v>0</v>
      </c>
      <c r="BO11" s="2">
        <f>'Timing &amp; Flags'!BO64</f>
        <v>0</v>
      </c>
      <c r="BP11" s="2">
        <f>'Timing &amp; Flags'!BP64</f>
        <v>0</v>
      </c>
      <c r="BQ11" s="2">
        <f>'Timing &amp; Flags'!BQ64</f>
        <v>0</v>
      </c>
      <c r="BR11" s="2">
        <f>'Timing &amp; Flags'!BR64</f>
        <v>0</v>
      </c>
      <c r="BS11" s="2">
        <f>'Timing &amp; Flags'!BS64</f>
        <v>0</v>
      </c>
      <c r="BT11" s="2">
        <f>'Timing &amp; Flags'!BT64</f>
        <v>0</v>
      </c>
      <c r="BU11" s="2">
        <f>'Timing &amp; Flags'!BU64</f>
        <v>0</v>
      </c>
      <c r="BV11" s="2">
        <f>'Timing &amp; Flags'!BV64</f>
        <v>0</v>
      </c>
      <c r="BW11" s="2">
        <f>'Timing &amp; Flags'!BW64</f>
        <v>0</v>
      </c>
      <c r="BX11" s="2">
        <f>'Timing &amp; Flags'!BX64</f>
        <v>0</v>
      </c>
      <c r="BY11" s="2">
        <f>'Timing &amp; Flags'!BY64</f>
        <v>0</v>
      </c>
      <c r="BZ11" s="2">
        <f>'Timing &amp; Flags'!BZ64</f>
        <v>0</v>
      </c>
      <c r="CA11" s="2">
        <f>'Timing &amp; Flags'!CA64</f>
        <v>0</v>
      </c>
      <c r="CB11" s="2">
        <f>'Timing &amp; Flags'!CB64</f>
        <v>0</v>
      </c>
    </row>
    <row r="12" spans="1:81">
      <c r="B12" s="2" t="s">
        <v>62</v>
      </c>
      <c r="C12" s="15" t="s">
        <v>60</v>
      </c>
      <c r="D12" s="2">
        <f>SUM(I12:AI12)</f>
        <v>0</v>
      </c>
      <c r="I12" s="2">
        <f>'Timing &amp; Flags'!I65</f>
        <v>0</v>
      </c>
      <c r="J12" s="2">
        <f>'Timing &amp; Flags'!J65</f>
        <v>0</v>
      </c>
      <c r="K12" s="2">
        <f>'Timing &amp; Flags'!K65</f>
        <v>0</v>
      </c>
      <c r="L12" s="2">
        <f>'Timing &amp; Flags'!L65</f>
        <v>0</v>
      </c>
      <c r="M12" s="2">
        <f>'Timing &amp; Flags'!M65</f>
        <v>0</v>
      </c>
      <c r="N12" s="2">
        <f>'Timing &amp; Flags'!N65</f>
        <v>0</v>
      </c>
      <c r="O12" s="2">
        <f>'Timing &amp; Flags'!O65</f>
        <v>0</v>
      </c>
      <c r="P12" s="2">
        <f>'Timing &amp; Flags'!P65</f>
        <v>0</v>
      </c>
      <c r="Q12" s="2">
        <f>'Timing &amp; Flags'!Q65</f>
        <v>0</v>
      </c>
      <c r="R12" s="2">
        <f>'Timing &amp; Flags'!R65</f>
        <v>0</v>
      </c>
      <c r="S12" s="2">
        <f>'Timing &amp; Flags'!S65</f>
        <v>0</v>
      </c>
      <c r="T12" s="2">
        <f>'Timing &amp; Flags'!T65</f>
        <v>0</v>
      </c>
      <c r="U12" s="2">
        <f>'Timing &amp; Flags'!U65</f>
        <v>0</v>
      </c>
      <c r="V12" s="2">
        <f>'Timing &amp; Flags'!V65</f>
        <v>0</v>
      </c>
      <c r="W12" s="2">
        <f>'Timing &amp; Flags'!W65</f>
        <v>0</v>
      </c>
      <c r="X12" s="2">
        <f>'Timing &amp; Flags'!X65</f>
        <v>0</v>
      </c>
      <c r="Y12" s="2">
        <f>'Timing &amp; Flags'!Y65</f>
        <v>0</v>
      </c>
      <c r="Z12" s="2">
        <f>'Timing &amp; Flags'!Z65</f>
        <v>0</v>
      </c>
      <c r="AA12" s="2">
        <f>'Timing &amp; Flags'!AA65</f>
        <v>0</v>
      </c>
      <c r="AB12" s="2">
        <f>'Timing &amp; Flags'!AB65</f>
        <v>0</v>
      </c>
      <c r="AC12" s="2">
        <f>'Timing &amp; Flags'!AC65</f>
        <v>0</v>
      </c>
      <c r="AD12" s="2">
        <f>'Timing &amp; Flags'!AD65</f>
        <v>0</v>
      </c>
      <c r="AE12" s="2">
        <f>'Timing &amp; Flags'!AE65</f>
        <v>0</v>
      </c>
      <c r="AF12" s="2">
        <f>'Timing &amp; Flags'!AF65</f>
        <v>0</v>
      </c>
      <c r="AG12" s="2">
        <f>'Timing &amp; Flags'!AG65</f>
        <v>0</v>
      </c>
      <c r="AH12" s="2">
        <f>'Timing &amp; Flags'!AH65</f>
        <v>0</v>
      </c>
      <c r="AI12" s="2">
        <f>'Timing &amp; Flags'!AI65</f>
        <v>0</v>
      </c>
      <c r="AJ12" s="2">
        <f>'Timing &amp; Flags'!AJ65</f>
        <v>0</v>
      </c>
      <c r="AK12" s="2">
        <f>'Timing &amp; Flags'!AK65</f>
        <v>0</v>
      </c>
      <c r="AL12" s="2">
        <f>'Timing &amp; Flags'!AL65</f>
        <v>0</v>
      </c>
      <c r="AM12" s="2">
        <f>'Timing &amp; Flags'!AM65</f>
        <v>0</v>
      </c>
      <c r="AN12" s="2">
        <f>'Timing &amp; Flags'!AN65</f>
        <v>0</v>
      </c>
      <c r="AO12" s="2">
        <f>'Timing &amp; Flags'!AO65</f>
        <v>0</v>
      </c>
      <c r="AP12" s="2">
        <f>'Timing &amp; Flags'!AP65</f>
        <v>0</v>
      </c>
      <c r="AQ12" s="2">
        <f>'Timing &amp; Flags'!AQ65</f>
        <v>0</v>
      </c>
      <c r="AR12" s="2">
        <f>'Timing &amp; Flags'!AR65</f>
        <v>1</v>
      </c>
      <c r="AS12" s="2">
        <f>'Timing &amp; Flags'!AS65</f>
        <v>0</v>
      </c>
      <c r="AT12" s="2">
        <f>'Timing &amp; Flags'!AT65</f>
        <v>0</v>
      </c>
      <c r="AU12" s="2">
        <f>'Timing &amp; Flags'!AU65</f>
        <v>0</v>
      </c>
      <c r="AV12" s="2">
        <f>'Timing &amp; Flags'!AV65</f>
        <v>0</v>
      </c>
      <c r="AW12" s="2">
        <f>'Timing &amp; Flags'!AW65</f>
        <v>0</v>
      </c>
    </row>
    <row r="13" spans="1:81">
      <c r="B13" s="2" t="s">
        <v>63</v>
      </c>
      <c r="C13" s="15" t="s">
        <v>60</v>
      </c>
      <c r="D13" s="2">
        <f>MAX(I13:AI13)</f>
        <v>27</v>
      </c>
      <c r="F13" s="14"/>
      <c r="I13" s="2">
        <f>'Timing &amp; Flags'!I66</f>
        <v>1</v>
      </c>
      <c r="J13" s="2">
        <f>'Timing &amp; Flags'!J66</f>
        <v>2</v>
      </c>
      <c r="K13" s="2">
        <f>'Timing &amp; Flags'!K66</f>
        <v>3</v>
      </c>
      <c r="L13" s="2">
        <f>'Timing &amp; Flags'!L66</f>
        <v>4</v>
      </c>
      <c r="M13" s="2">
        <f>'Timing &amp; Flags'!M66</f>
        <v>5</v>
      </c>
      <c r="N13" s="2">
        <f>'Timing &amp; Flags'!N66</f>
        <v>6</v>
      </c>
      <c r="O13" s="2">
        <f>'Timing &amp; Flags'!O66</f>
        <v>7</v>
      </c>
      <c r="P13" s="2">
        <f>'Timing &amp; Flags'!P66</f>
        <v>8</v>
      </c>
      <c r="Q13" s="2">
        <f>'Timing &amp; Flags'!Q66</f>
        <v>9</v>
      </c>
      <c r="R13" s="2">
        <f>'Timing &amp; Flags'!R66</f>
        <v>10</v>
      </c>
      <c r="S13" s="2">
        <f>'Timing &amp; Flags'!S66</f>
        <v>11</v>
      </c>
      <c r="T13" s="2">
        <f>'Timing &amp; Flags'!T66</f>
        <v>12</v>
      </c>
      <c r="U13" s="2">
        <f>'Timing &amp; Flags'!U66</f>
        <v>13</v>
      </c>
      <c r="V13" s="2">
        <f>'Timing &amp; Flags'!V66</f>
        <v>14</v>
      </c>
      <c r="W13" s="2">
        <f>'Timing &amp; Flags'!W66</f>
        <v>15</v>
      </c>
      <c r="X13" s="2">
        <f>'Timing &amp; Flags'!X66</f>
        <v>16</v>
      </c>
      <c r="Y13" s="2">
        <f>'Timing &amp; Flags'!Y66</f>
        <v>17</v>
      </c>
      <c r="Z13" s="2">
        <f>'Timing &amp; Flags'!Z66</f>
        <v>18</v>
      </c>
      <c r="AA13" s="2">
        <f>'Timing &amp; Flags'!AA66</f>
        <v>19</v>
      </c>
      <c r="AB13" s="2">
        <f>'Timing &amp; Flags'!AB66</f>
        <v>20</v>
      </c>
      <c r="AC13" s="2">
        <f>'Timing &amp; Flags'!AC66</f>
        <v>21</v>
      </c>
      <c r="AD13" s="2">
        <f>'Timing &amp; Flags'!AD66</f>
        <v>22</v>
      </c>
      <c r="AE13" s="2">
        <f>'Timing &amp; Flags'!AE66</f>
        <v>23</v>
      </c>
      <c r="AF13" s="2">
        <f>'Timing &amp; Flags'!AF66</f>
        <v>24</v>
      </c>
      <c r="AG13" s="2">
        <f>'Timing &amp; Flags'!AG66</f>
        <v>25</v>
      </c>
      <c r="AH13" s="2">
        <f>'Timing &amp; Flags'!AH66</f>
        <v>26</v>
      </c>
      <c r="AI13" s="2">
        <f>'Timing &amp; Flags'!AI66</f>
        <v>27</v>
      </c>
      <c r="AJ13" s="2">
        <f>'Timing &amp; Flags'!AJ66</f>
        <v>28</v>
      </c>
      <c r="AK13" s="2">
        <f>'Timing &amp; Flags'!AK66</f>
        <v>29</v>
      </c>
      <c r="AL13" s="2">
        <f>'Timing &amp; Flags'!AL66</f>
        <v>30</v>
      </c>
      <c r="AM13" s="2">
        <f>'Timing &amp; Flags'!AM66</f>
        <v>31</v>
      </c>
      <c r="AN13" s="2">
        <f>'Timing &amp; Flags'!AN66</f>
        <v>32</v>
      </c>
      <c r="AO13" s="2">
        <f>'Timing &amp; Flags'!AO66</f>
        <v>33</v>
      </c>
      <c r="AP13" s="2">
        <f>'Timing &amp; Flags'!AP66</f>
        <v>34</v>
      </c>
      <c r="AQ13" s="2">
        <f>'Timing &amp; Flags'!AQ66</f>
        <v>35</v>
      </c>
      <c r="AR13" s="2">
        <f>'Timing &amp; Flags'!AR66</f>
        <v>36</v>
      </c>
      <c r="AS13" s="2">
        <f>'Timing &amp; Flags'!AS66</f>
        <v>0</v>
      </c>
      <c r="AT13" s="2">
        <f>'Timing &amp; Flags'!AT66</f>
        <v>0</v>
      </c>
      <c r="AU13" s="2">
        <f>'Timing &amp; Flags'!AU66</f>
        <v>0</v>
      </c>
      <c r="AV13" s="2">
        <f>'Timing &amp; Flags'!AV66</f>
        <v>0</v>
      </c>
      <c r="AW13" s="2">
        <f>'Timing &amp; Flags'!AW66</f>
        <v>0</v>
      </c>
    </row>
    <row r="14" spans="1:81">
      <c r="B14" s="2" t="s">
        <v>69</v>
      </c>
      <c r="C14" s="15" t="s">
        <v>60</v>
      </c>
      <c r="D14" s="2">
        <f>SUM(I14:AI14)</f>
        <v>27</v>
      </c>
      <c r="I14" s="104">
        <f>'Timing &amp; Flags'!I67</f>
        <v>1</v>
      </c>
      <c r="J14" s="104">
        <f>'Timing &amp; Flags'!J67</f>
        <v>1</v>
      </c>
      <c r="K14" s="104">
        <f>'Timing &amp; Flags'!K67</f>
        <v>1</v>
      </c>
      <c r="L14" s="104">
        <f>'Timing &amp; Flags'!L67</f>
        <v>1</v>
      </c>
      <c r="M14" s="104">
        <f>'Timing &amp; Flags'!M67</f>
        <v>1</v>
      </c>
      <c r="N14" s="104">
        <f>'Timing &amp; Flags'!N67</f>
        <v>1</v>
      </c>
      <c r="O14" s="104">
        <f>'Timing &amp; Flags'!O67</f>
        <v>1</v>
      </c>
      <c r="P14" s="104">
        <f>'Timing &amp; Flags'!P67</f>
        <v>1</v>
      </c>
      <c r="Q14" s="104">
        <f>'Timing &amp; Flags'!Q67</f>
        <v>1</v>
      </c>
      <c r="R14" s="104">
        <f>'Timing &amp; Flags'!R67</f>
        <v>1</v>
      </c>
      <c r="S14" s="104">
        <f>'Timing &amp; Flags'!S67</f>
        <v>1</v>
      </c>
      <c r="T14" s="104">
        <f>'Timing &amp; Flags'!T67</f>
        <v>1</v>
      </c>
      <c r="U14" s="104">
        <f>'Timing &amp; Flags'!U67</f>
        <v>1</v>
      </c>
      <c r="V14" s="104">
        <f>'Timing &amp; Flags'!V67</f>
        <v>1</v>
      </c>
      <c r="W14" s="104">
        <f>'Timing &amp; Flags'!W67</f>
        <v>1</v>
      </c>
      <c r="X14" s="104">
        <f>'Timing &amp; Flags'!X67</f>
        <v>1</v>
      </c>
      <c r="Y14" s="104">
        <f>'Timing &amp; Flags'!Y67</f>
        <v>1</v>
      </c>
      <c r="Z14" s="104">
        <f>'Timing &amp; Flags'!Z67</f>
        <v>1</v>
      </c>
      <c r="AA14" s="104">
        <f>'Timing &amp; Flags'!AA67</f>
        <v>1</v>
      </c>
      <c r="AB14" s="104">
        <f>'Timing &amp; Flags'!AB67</f>
        <v>1</v>
      </c>
      <c r="AC14" s="104">
        <f>'Timing &amp; Flags'!AC67</f>
        <v>1</v>
      </c>
      <c r="AD14" s="104">
        <f>'Timing &amp; Flags'!AD67</f>
        <v>1</v>
      </c>
      <c r="AE14" s="104">
        <f>'Timing &amp; Flags'!AE67</f>
        <v>1</v>
      </c>
      <c r="AF14" s="104">
        <f>'Timing &amp; Flags'!AF67</f>
        <v>1</v>
      </c>
      <c r="AG14" s="104">
        <f>'Timing &amp; Flags'!AG67</f>
        <v>1</v>
      </c>
      <c r="AH14" s="104">
        <f>'Timing &amp; Flags'!AH67</f>
        <v>1</v>
      </c>
      <c r="AI14" s="104">
        <f>'Timing &amp; Flags'!AI67</f>
        <v>1</v>
      </c>
      <c r="AJ14" s="104">
        <f>'Timing &amp; Flags'!AJ67</f>
        <v>1</v>
      </c>
      <c r="AK14" s="104">
        <f>'Timing &amp; Flags'!AK67</f>
        <v>1</v>
      </c>
      <c r="AL14" s="104">
        <f>'Timing &amp; Flags'!AL67</f>
        <v>1</v>
      </c>
      <c r="AM14" s="104">
        <f>'Timing &amp; Flags'!AM67</f>
        <v>1</v>
      </c>
      <c r="AN14" s="104">
        <f>'Timing &amp; Flags'!AN67</f>
        <v>1</v>
      </c>
      <c r="AO14" s="104">
        <f>'Timing &amp; Flags'!AO67</f>
        <v>1</v>
      </c>
      <c r="AP14" s="104">
        <f>'Timing &amp; Flags'!AP67</f>
        <v>1</v>
      </c>
      <c r="AQ14" s="104">
        <f>'Timing &amp; Flags'!AQ67</f>
        <v>1</v>
      </c>
      <c r="AR14" s="104">
        <f>'Timing &amp; Flags'!AR67</f>
        <v>1</v>
      </c>
      <c r="AS14" s="104">
        <f>'Timing &amp; Flags'!AS67</f>
        <v>0</v>
      </c>
      <c r="AT14" s="104">
        <f>'Timing &amp; Flags'!AT67</f>
        <v>0</v>
      </c>
      <c r="AU14" s="104">
        <f>'Timing &amp; Flags'!AU67</f>
        <v>0</v>
      </c>
      <c r="AV14" s="104">
        <f>'Timing &amp; Flags'!AV67</f>
        <v>0</v>
      </c>
      <c r="AW14" s="104">
        <f>'Timing &amp; Flags'!AW67</f>
        <v>0</v>
      </c>
      <c r="AX14" s="104">
        <f>'Timing &amp; Flags'!AX67</f>
        <v>0</v>
      </c>
    </row>
    <row r="16" spans="1:81">
      <c r="A16" s="103" t="s">
        <v>40</v>
      </c>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row>
    <row r="18" spans="2:51">
      <c r="I18" s="1066"/>
    </row>
    <row r="19" spans="2:51">
      <c r="B19" s="576" t="s">
        <v>962</v>
      </c>
      <c r="C19" s="173" t="s">
        <v>217</v>
      </c>
      <c r="D19" s="174" t="s">
        <v>71</v>
      </c>
      <c r="AF19" s="507"/>
    </row>
    <row r="20" spans="2:51">
      <c r="B20" s="175"/>
      <c r="C20" s="58" t="str">
        <f>IF('Input '!$F$9=1,"US$","=N=")</f>
        <v>US$</v>
      </c>
      <c r="D20" s="176"/>
      <c r="AK20" s="501" t="s">
        <v>939</v>
      </c>
    </row>
    <row r="21" spans="2:51">
      <c r="B21" s="177" t="s">
        <v>2035</v>
      </c>
      <c r="C21" s="118">
        <f>IF('Input '!$F$9=1,('Input '!E72+'Input '!E71)/Exchange_Rate,('Input '!E72+'Input '!E71)*Sens_projectcost)</f>
        <v>15955000</v>
      </c>
      <c r="D21" s="178">
        <f>SUM(I21:AI21)</f>
        <v>1</v>
      </c>
      <c r="I21" s="106">
        <v>0.02</v>
      </c>
      <c r="J21" s="106">
        <v>0.02</v>
      </c>
      <c r="K21" s="106">
        <v>0.02</v>
      </c>
      <c r="L21" s="106">
        <v>0.02</v>
      </c>
      <c r="M21" s="106">
        <v>0.02</v>
      </c>
      <c r="N21" s="106">
        <v>0.02</v>
      </c>
      <c r="O21" s="106">
        <v>0.02</v>
      </c>
      <c r="P21" s="106">
        <v>0.02</v>
      </c>
      <c r="Q21" s="106">
        <v>0.02</v>
      </c>
      <c r="R21" s="106">
        <v>0.02</v>
      </c>
      <c r="S21" s="106">
        <v>0.02</v>
      </c>
      <c r="T21" s="106">
        <v>0.02</v>
      </c>
      <c r="U21" s="106">
        <v>0.05</v>
      </c>
      <c r="V21" s="106">
        <v>0.05</v>
      </c>
      <c r="W21" s="106">
        <v>0.05</v>
      </c>
      <c r="X21" s="106">
        <v>0.05</v>
      </c>
      <c r="Y21" s="106">
        <v>0.05</v>
      </c>
      <c r="Z21" s="106">
        <v>0.05</v>
      </c>
      <c r="AA21" s="106">
        <v>0.05</v>
      </c>
      <c r="AB21" s="106">
        <v>0.05</v>
      </c>
      <c r="AC21" s="106">
        <v>0.05</v>
      </c>
      <c r="AD21" s="106">
        <v>0.1</v>
      </c>
      <c r="AE21" s="106">
        <v>0.1</v>
      </c>
      <c r="AF21" s="106">
        <v>0.11</v>
      </c>
      <c r="AG21" s="106">
        <v>0</v>
      </c>
      <c r="AH21" s="106">
        <v>0</v>
      </c>
      <c r="AI21" s="106">
        <v>0</v>
      </c>
      <c r="AJ21" s="106">
        <v>0</v>
      </c>
      <c r="AK21" s="106">
        <v>0</v>
      </c>
      <c r="AL21" s="106">
        <v>0</v>
      </c>
      <c r="AM21" s="106">
        <v>0</v>
      </c>
      <c r="AN21" s="106">
        <v>0</v>
      </c>
      <c r="AO21" s="106">
        <v>0</v>
      </c>
      <c r="AP21" s="106">
        <v>0</v>
      </c>
      <c r="AQ21" s="106">
        <v>0</v>
      </c>
      <c r="AR21" s="106">
        <v>0</v>
      </c>
      <c r="AS21" s="106">
        <v>0</v>
      </c>
      <c r="AT21" s="106">
        <v>0</v>
      </c>
      <c r="AU21" s="106">
        <v>0</v>
      </c>
      <c r="AV21" s="106">
        <v>0</v>
      </c>
      <c r="AW21" s="106">
        <v>0</v>
      </c>
      <c r="AX21" s="106">
        <v>0</v>
      </c>
      <c r="AY21" s="106">
        <v>0</v>
      </c>
    </row>
    <row r="22" spans="2:51">
      <c r="B22" s="177" t="s">
        <v>2036</v>
      </c>
      <c r="C22" s="118">
        <f>IF('Input '!$F$9=1,'Input '!E73/Exchange_Rate,'Input '!E73)*Sens_projectcost</f>
        <v>869147000</v>
      </c>
      <c r="D22" s="178">
        <f t="shared" ref="D22:D29" si="0">SUM(I22:AI22)</f>
        <v>1</v>
      </c>
      <c r="I22" s="106">
        <v>0.02</v>
      </c>
      <c r="J22" s="106">
        <v>0.02</v>
      </c>
      <c r="K22" s="106">
        <v>0.02</v>
      </c>
      <c r="L22" s="106">
        <v>0.02</v>
      </c>
      <c r="M22" s="106">
        <v>0.02</v>
      </c>
      <c r="N22" s="106">
        <v>0.02</v>
      </c>
      <c r="O22" s="106">
        <v>0.02</v>
      </c>
      <c r="P22" s="106">
        <v>0.02</v>
      </c>
      <c r="Q22" s="106">
        <v>0.02</v>
      </c>
      <c r="R22" s="106">
        <v>0.02</v>
      </c>
      <c r="S22" s="106">
        <v>0.02</v>
      </c>
      <c r="T22" s="106">
        <v>0.02</v>
      </c>
      <c r="U22" s="106">
        <v>0.05</v>
      </c>
      <c r="V22" s="106">
        <v>0.05</v>
      </c>
      <c r="W22" s="106">
        <v>0.05</v>
      </c>
      <c r="X22" s="106">
        <v>0.05</v>
      </c>
      <c r="Y22" s="106">
        <v>0.05</v>
      </c>
      <c r="Z22" s="106">
        <v>0.05</v>
      </c>
      <c r="AA22" s="106">
        <v>0.05</v>
      </c>
      <c r="AB22" s="106">
        <v>0.05</v>
      </c>
      <c r="AC22" s="106">
        <v>0.05</v>
      </c>
      <c r="AD22" s="106">
        <v>0.1</v>
      </c>
      <c r="AE22" s="106">
        <v>0.1</v>
      </c>
      <c r="AF22" s="106">
        <v>0.11</v>
      </c>
      <c r="AG22" s="106">
        <v>0</v>
      </c>
      <c r="AH22" s="106">
        <v>0</v>
      </c>
      <c r="AI22" s="106">
        <v>0</v>
      </c>
      <c r="AJ22" s="106">
        <v>0</v>
      </c>
      <c r="AK22" s="106">
        <v>0</v>
      </c>
      <c r="AL22" s="106">
        <v>0</v>
      </c>
      <c r="AM22" s="106">
        <v>0</v>
      </c>
      <c r="AN22" s="106">
        <v>0</v>
      </c>
      <c r="AO22" s="106">
        <v>0</v>
      </c>
      <c r="AP22" s="106">
        <v>0</v>
      </c>
      <c r="AQ22" s="106">
        <v>0</v>
      </c>
      <c r="AR22" s="106">
        <v>0</v>
      </c>
      <c r="AS22" s="106">
        <v>0</v>
      </c>
      <c r="AT22" s="106">
        <v>0</v>
      </c>
      <c r="AU22" s="106">
        <v>0</v>
      </c>
      <c r="AV22" s="106">
        <v>0</v>
      </c>
      <c r="AW22" s="106">
        <v>0</v>
      </c>
      <c r="AX22" s="106">
        <v>0</v>
      </c>
      <c r="AY22" s="106">
        <v>0</v>
      </c>
    </row>
    <row r="23" spans="2:51">
      <c r="B23" s="177" t="s">
        <v>657</v>
      </c>
      <c r="C23" s="118">
        <f>'Input '!C74</f>
        <v>64578918.367346942</v>
      </c>
      <c r="D23" s="178">
        <f t="shared" si="0"/>
        <v>1</v>
      </c>
      <c r="I23" s="106">
        <v>0.02</v>
      </c>
      <c r="J23" s="106">
        <v>0.02</v>
      </c>
      <c r="K23" s="106">
        <v>0.02</v>
      </c>
      <c r="L23" s="106">
        <v>0.02</v>
      </c>
      <c r="M23" s="106">
        <v>0.02</v>
      </c>
      <c r="N23" s="106">
        <v>0.02</v>
      </c>
      <c r="O23" s="106">
        <v>0.02</v>
      </c>
      <c r="P23" s="106">
        <v>0.02</v>
      </c>
      <c r="Q23" s="106">
        <v>0.02</v>
      </c>
      <c r="R23" s="106">
        <v>0.02</v>
      </c>
      <c r="S23" s="106">
        <v>0.02</v>
      </c>
      <c r="T23" s="106">
        <v>0.02</v>
      </c>
      <c r="U23" s="106">
        <v>0.05</v>
      </c>
      <c r="V23" s="106">
        <v>0.05</v>
      </c>
      <c r="W23" s="106">
        <v>0.05</v>
      </c>
      <c r="X23" s="106">
        <v>0.05</v>
      </c>
      <c r="Y23" s="106">
        <v>0.05</v>
      </c>
      <c r="Z23" s="106">
        <v>0.05</v>
      </c>
      <c r="AA23" s="106">
        <v>0.05</v>
      </c>
      <c r="AB23" s="106">
        <v>0.05</v>
      </c>
      <c r="AC23" s="106">
        <v>0.05</v>
      </c>
      <c r="AD23" s="106">
        <v>0.1</v>
      </c>
      <c r="AE23" s="106">
        <v>0.1</v>
      </c>
      <c r="AF23" s="106">
        <v>0.11</v>
      </c>
      <c r="AG23" s="106">
        <v>0</v>
      </c>
      <c r="AH23" s="106">
        <v>0</v>
      </c>
      <c r="AI23" s="106">
        <v>0</v>
      </c>
      <c r="AJ23" s="106">
        <v>0</v>
      </c>
      <c r="AK23" s="106">
        <v>0</v>
      </c>
      <c r="AL23" s="106">
        <v>0</v>
      </c>
      <c r="AM23" s="106">
        <v>0</v>
      </c>
      <c r="AN23" s="106">
        <v>0</v>
      </c>
      <c r="AO23" s="106">
        <v>0</v>
      </c>
      <c r="AP23" s="106">
        <v>0</v>
      </c>
      <c r="AQ23" s="106">
        <v>0</v>
      </c>
      <c r="AR23" s="106">
        <v>0</v>
      </c>
      <c r="AS23" s="106">
        <v>0</v>
      </c>
      <c r="AT23" s="106">
        <v>0</v>
      </c>
      <c r="AU23" s="106">
        <v>0</v>
      </c>
      <c r="AV23" s="106">
        <v>0</v>
      </c>
      <c r="AW23" s="106">
        <v>0</v>
      </c>
      <c r="AX23" s="106">
        <v>0</v>
      </c>
      <c r="AY23" s="106">
        <v>0</v>
      </c>
    </row>
    <row r="24" spans="2:51">
      <c r="B24" s="177" t="s">
        <v>119</v>
      </c>
      <c r="C24" s="118">
        <f>IF('Input '!$F$9=1,'Input '!E75/Exchange_Rate,'Input '!E75)*Sens_projectcost</f>
        <v>72867200</v>
      </c>
      <c r="D24" s="178">
        <f t="shared" si="0"/>
        <v>1</v>
      </c>
      <c r="I24" s="106">
        <v>0.02</v>
      </c>
      <c r="J24" s="106">
        <v>0.02</v>
      </c>
      <c r="K24" s="106">
        <v>0.02</v>
      </c>
      <c r="L24" s="106">
        <v>0.02</v>
      </c>
      <c r="M24" s="106">
        <v>0.02</v>
      </c>
      <c r="N24" s="106">
        <v>0.02</v>
      </c>
      <c r="O24" s="106">
        <v>0.02</v>
      </c>
      <c r="P24" s="106">
        <v>0.02</v>
      </c>
      <c r="Q24" s="106">
        <v>0.02</v>
      </c>
      <c r="R24" s="106">
        <v>0.02</v>
      </c>
      <c r="S24" s="106">
        <v>0.02</v>
      </c>
      <c r="T24" s="106">
        <v>0.02</v>
      </c>
      <c r="U24" s="106">
        <v>0.05</v>
      </c>
      <c r="V24" s="106">
        <v>0.05</v>
      </c>
      <c r="W24" s="106">
        <v>0.05</v>
      </c>
      <c r="X24" s="106">
        <v>0.05</v>
      </c>
      <c r="Y24" s="106">
        <v>0.05</v>
      </c>
      <c r="Z24" s="106">
        <v>0.05</v>
      </c>
      <c r="AA24" s="106">
        <v>0.05</v>
      </c>
      <c r="AB24" s="106">
        <v>0.05</v>
      </c>
      <c r="AC24" s="106">
        <v>0.05</v>
      </c>
      <c r="AD24" s="106">
        <v>0.1</v>
      </c>
      <c r="AE24" s="106">
        <v>0.1</v>
      </c>
      <c r="AF24" s="106">
        <v>0.11</v>
      </c>
      <c r="AG24" s="106">
        <v>0</v>
      </c>
      <c r="AH24" s="106">
        <v>0</v>
      </c>
      <c r="AI24" s="106">
        <v>0</v>
      </c>
      <c r="AJ24" s="106">
        <v>0</v>
      </c>
      <c r="AK24" s="106">
        <v>0</v>
      </c>
      <c r="AL24" s="106">
        <v>0</v>
      </c>
      <c r="AM24" s="106">
        <v>0</v>
      </c>
      <c r="AN24" s="106">
        <v>0</v>
      </c>
      <c r="AO24" s="106">
        <v>0</v>
      </c>
      <c r="AP24" s="106">
        <v>0</v>
      </c>
      <c r="AQ24" s="106">
        <v>0</v>
      </c>
      <c r="AR24" s="106">
        <v>0</v>
      </c>
      <c r="AS24" s="106">
        <v>0</v>
      </c>
      <c r="AT24" s="106">
        <v>0</v>
      </c>
      <c r="AU24" s="106">
        <v>0</v>
      </c>
      <c r="AV24" s="106">
        <v>0</v>
      </c>
      <c r="AW24" s="106">
        <v>0</v>
      </c>
      <c r="AX24" s="106">
        <v>0</v>
      </c>
      <c r="AY24" s="106">
        <v>0</v>
      </c>
    </row>
    <row r="25" spans="2:51">
      <c r="B25" s="177" t="s">
        <v>122</v>
      </c>
      <c r="C25" s="118">
        <f>IF('Input '!$F$9=1,'Input '!E76/Exchange_Rate,'Input '!E76)*Sens_projectcost</f>
        <v>155271400</v>
      </c>
      <c r="D25" s="178">
        <f t="shared" si="0"/>
        <v>1</v>
      </c>
      <c r="I25" s="106">
        <v>0.02</v>
      </c>
      <c r="J25" s="106">
        <v>0.02</v>
      </c>
      <c r="K25" s="106">
        <v>0.02</v>
      </c>
      <c r="L25" s="106">
        <v>0.02</v>
      </c>
      <c r="M25" s="106">
        <v>0.02</v>
      </c>
      <c r="N25" s="106">
        <v>0.02</v>
      </c>
      <c r="O25" s="106">
        <v>0.02</v>
      </c>
      <c r="P25" s="106">
        <v>0.02</v>
      </c>
      <c r="Q25" s="106">
        <v>0.02</v>
      </c>
      <c r="R25" s="106">
        <v>0.02</v>
      </c>
      <c r="S25" s="106">
        <v>0.02</v>
      </c>
      <c r="T25" s="106">
        <v>0.02</v>
      </c>
      <c r="U25" s="106">
        <v>0.05</v>
      </c>
      <c r="V25" s="106">
        <v>0.05</v>
      </c>
      <c r="W25" s="106">
        <v>0.05</v>
      </c>
      <c r="X25" s="106">
        <v>0.05</v>
      </c>
      <c r="Y25" s="106">
        <v>0.05</v>
      </c>
      <c r="Z25" s="106">
        <v>0.05</v>
      </c>
      <c r="AA25" s="106">
        <v>0.05</v>
      </c>
      <c r="AB25" s="106">
        <v>0.05</v>
      </c>
      <c r="AC25" s="106">
        <v>0.05</v>
      </c>
      <c r="AD25" s="106">
        <v>0.1</v>
      </c>
      <c r="AE25" s="106">
        <v>0.1</v>
      </c>
      <c r="AF25" s="106">
        <v>0.11</v>
      </c>
      <c r="AG25" s="106">
        <v>0</v>
      </c>
      <c r="AH25" s="106">
        <v>0</v>
      </c>
      <c r="AI25" s="106">
        <v>0</v>
      </c>
      <c r="AJ25" s="106">
        <v>0</v>
      </c>
      <c r="AK25" s="106">
        <v>0</v>
      </c>
      <c r="AL25" s="106">
        <v>0</v>
      </c>
      <c r="AM25" s="106">
        <v>0</v>
      </c>
      <c r="AN25" s="106">
        <v>0</v>
      </c>
      <c r="AO25" s="106">
        <v>0</v>
      </c>
      <c r="AP25" s="106">
        <v>0</v>
      </c>
      <c r="AQ25" s="106">
        <v>0</v>
      </c>
      <c r="AR25" s="106">
        <v>0</v>
      </c>
      <c r="AS25" s="106">
        <v>0</v>
      </c>
      <c r="AT25" s="106">
        <v>0</v>
      </c>
      <c r="AU25" s="106">
        <v>0</v>
      </c>
      <c r="AV25" s="106">
        <v>0</v>
      </c>
      <c r="AW25" s="106">
        <v>0</v>
      </c>
      <c r="AX25" s="106">
        <v>0</v>
      </c>
      <c r="AY25" s="106">
        <v>0</v>
      </c>
    </row>
    <row r="26" spans="2:51">
      <c r="B26" s="177" t="s">
        <v>120</v>
      </c>
      <c r="C26" s="118">
        <f>IF('Input '!$F$9=1,'Input '!E77/Exchange_Rate,'Input '!E77)*Sens_projectcost</f>
        <v>90552000</v>
      </c>
      <c r="D26" s="178">
        <f>SUM(I26:AI26)</f>
        <v>1</v>
      </c>
      <c r="I26" s="106">
        <v>0.02</v>
      </c>
      <c r="J26" s="106">
        <v>0.02</v>
      </c>
      <c r="K26" s="106">
        <v>0.02</v>
      </c>
      <c r="L26" s="106">
        <v>0.02</v>
      </c>
      <c r="M26" s="106">
        <v>0.02</v>
      </c>
      <c r="N26" s="106">
        <v>0.02</v>
      </c>
      <c r="O26" s="106">
        <v>0.02</v>
      </c>
      <c r="P26" s="106">
        <v>0.02</v>
      </c>
      <c r="Q26" s="106">
        <v>0.02</v>
      </c>
      <c r="R26" s="106">
        <v>0.02</v>
      </c>
      <c r="S26" s="106">
        <v>0.02</v>
      </c>
      <c r="T26" s="106">
        <v>0.02</v>
      </c>
      <c r="U26" s="106">
        <v>0.05</v>
      </c>
      <c r="V26" s="106">
        <v>0.05</v>
      </c>
      <c r="W26" s="106">
        <v>0.05</v>
      </c>
      <c r="X26" s="106">
        <v>0.05</v>
      </c>
      <c r="Y26" s="106">
        <v>0.05</v>
      </c>
      <c r="Z26" s="106">
        <v>0.05</v>
      </c>
      <c r="AA26" s="106">
        <v>0.05</v>
      </c>
      <c r="AB26" s="106">
        <v>0.05</v>
      </c>
      <c r="AC26" s="106">
        <v>0.05</v>
      </c>
      <c r="AD26" s="106">
        <v>0.1</v>
      </c>
      <c r="AE26" s="106">
        <v>0.1</v>
      </c>
      <c r="AF26" s="106">
        <v>0.11</v>
      </c>
      <c r="AG26" s="106">
        <v>0</v>
      </c>
      <c r="AH26" s="106">
        <v>0</v>
      </c>
      <c r="AI26" s="106">
        <v>0</v>
      </c>
      <c r="AJ26" s="106">
        <v>0</v>
      </c>
      <c r="AK26" s="106">
        <v>0</v>
      </c>
      <c r="AL26" s="106">
        <v>0</v>
      </c>
      <c r="AM26" s="106">
        <v>0</v>
      </c>
      <c r="AN26" s="106">
        <v>0</v>
      </c>
      <c r="AO26" s="106">
        <v>0</v>
      </c>
      <c r="AP26" s="106">
        <v>0</v>
      </c>
      <c r="AQ26" s="106">
        <v>0</v>
      </c>
      <c r="AR26" s="106">
        <v>0</v>
      </c>
      <c r="AS26" s="106">
        <v>0</v>
      </c>
      <c r="AT26" s="106">
        <v>0</v>
      </c>
      <c r="AU26" s="106">
        <v>0</v>
      </c>
      <c r="AV26" s="106">
        <v>0</v>
      </c>
      <c r="AW26" s="106">
        <v>0</v>
      </c>
      <c r="AX26" s="106">
        <v>0</v>
      </c>
      <c r="AY26" s="106">
        <v>0</v>
      </c>
    </row>
    <row r="27" spans="2:51">
      <c r="B27" s="179" t="s">
        <v>121</v>
      </c>
      <c r="C27" s="171">
        <f>SUM(C21:C26)</f>
        <v>1268371518.367347</v>
      </c>
      <c r="D27" s="178">
        <f t="shared" si="0"/>
        <v>0</v>
      </c>
      <c r="I27" s="106"/>
      <c r="J27" s="106"/>
      <c r="K27" s="106"/>
      <c r="L27" s="106"/>
      <c r="M27" s="106"/>
      <c r="N27" s="106"/>
      <c r="O27" s="106"/>
      <c r="P27" s="106"/>
      <c r="Q27" s="106"/>
      <c r="R27" s="106"/>
      <c r="S27" s="106"/>
      <c r="T27" s="106"/>
      <c r="U27" s="106"/>
      <c r="V27" s="106"/>
      <c r="W27" s="106"/>
      <c r="X27" s="106"/>
      <c r="Y27" s="106"/>
      <c r="Z27" s="106"/>
      <c r="AA27" s="106"/>
      <c r="AB27" s="106"/>
      <c r="AC27" s="106"/>
      <c r="AD27" s="106"/>
      <c r="AE27" s="106"/>
      <c r="AF27" s="106"/>
      <c r="AG27" s="181"/>
      <c r="AH27" s="181"/>
      <c r="AI27" s="181"/>
      <c r="AJ27" s="181"/>
      <c r="AK27" s="181"/>
      <c r="AL27" s="181"/>
      <c r="AM27" s="181"/>
      <c r="AN27" s="181"/>
      <c r="AO27" s="181"/>
      <c r="AP27" s="181"/>
      <c r="AQ27" s="181"/>
      <c r="AR27" s="181"/>
      <c r="AS27" s="181"/>
      <c r="AT27" s="181"/>
      <c r="AU27" s="181"/>
      <c r="AV27" s="181"/>
      <c r="AW27" s="181"/>
      <c r="AX27" s="181"/>
      <c r="AY27" s="181"/>
    </row>
    <row r="28" spans="2:51">
      <c r="B28" s="177" t="s">
        <v>123</v>
      </c>
      <c r="C28" s="118">
        <f>'Input '!C80</f>
        <v>99000601.377551019</v>
      </c>
      <c r="D28" s="178">
        <f t="shared" si="0"/>
        <v>1</v>
      </c>
      <c r="I28" s="106">
        <v>0.02</v>
      </c>
      <c r="J28" s="106">
        <v>0.02</v>
      </c>
      <c r="K28" s="106">
        <v>0.02</v>
      </c>
      <c r="L28" s="106">
        <v>0.02</v>
      </c>
      <c r="M28" s="106">
        <v>0.02</v>
      </c>
      <c r="N28" s="106">
        <v>0.02</v>
      </c>
      <c r="O28" s="106">
        <v>0.02</v>
      </c>
      <c r="P28" s="106">
        <v>0.02</v>
      </c>
      <c r="Q28" s="106">
        <v>0.02</v>
      </c>
      <c r="R28" s="106">
        <v>0.02</v>
      </c>
      <c r="S28" s="106">
        <v>0.02</v>
      </c>
      <c r="T28" s="106">
        <v>0.02</v>
      </c>
      <c r="U28" s="106">
        <v>0.05</v>
      </c>
      <c r="V28" s="106">
        <v>0.05</v>
      </c>
      <c r="W28" s="106">
        <v>0.05</v>
      </c>
      <c r="X28" s="106">
        <v>0.05</v>
      </c>
      <c r="Y28" s="106">
        <v>0.05</v>
      </c>
      <c r="Z28" s="106">
        <v>0.05</v>
      </c>
      <c r="AA28" s="106">
        <v>0.05</v>
      </c>
      <c r="AB28" s="106">
        <v>0.05</v>
      </c>
      <c r="AC28" s="106">
        <v>0.05</v>
      </c>
      <c r="AD28" s="106">
        <v>0.1</v>
      </c>
      <c r="AE28" s="106">
        <v>0.1</v>
      </c>
      <c r="AF28" s="106">
        <v>0.11</v>
      </c>
      <c r="AG28" s="106">
        <v>0</v>
      </c>
      <c r="AH28" s="106">
        <v>0</v>
      </c>
      <c r="AI28" s="106">
        <v>0</v>
      </c>
      <c r="AJ28" s="106">
        <v>0</v>
      </c>
      <c r="AK28" s="106">
        <v>0</v>
      </c>
      <c r="AL28" s="106">
        <v>0</v>
      </c>
      <c r="AM28" s="106">
        <v>0</v>
      </c>
      <c r="AN28" s="106">
        <v>0</v>
      </c>
      <c r="AO28" s="106">
        <v>0</v>
      </c>
      <c r="AP28" s="106">
        <v>0</v>
      </c>
      <c r="AQ28" s="106">
        <v>0</v>
      </c>
      <c r="AR28" s="106">
        <v>0</v>
      </c>
      <c r="AS28" s="106">
        <v>0</v>
      </c>
      <c r="AT28" s="106">
        <v>0</v>
      </c>
      <c r="AU28" s="106">
        <v>0</v>
      </c>
      <c r="AV28" s="106">
        <v>0</v>
      </c>
      <c r="AW28" s="106">
        <v>0</v>
      </c>
      <c r="AX28" s="106">
        <v>0</v>
      </c>
      <c r="AY28" s="106">
        <v>0</v>
      </c>
    </row>
    <row r="29" spans="2:51">
      <c r="B29" s="915" t="s">
        <v>9</v>
      </c>
      <c r="C29" s="916">
        <f>'Input '!C79</f>
        <v>51636500</v>
      </c>
      <c r="D29" s="917">
        <f t="shared" si="0"/>
        <v>1</v>
      </c>
      <c r="I29" s="106">
        <v>0.02</v>
      </c>
      <c r="J29" s="106">
        <v>0.02</v>
      </c>
      <c r="K29" s="106">
        <v>0.02</v>
      </c>
      <c r="L29" s="106">
        <v>0.02</v>
      </c>
      <c r="M29" s="106">
        <v>0.02</v>
      </c>
      <c r="N29" s="106">
        <v>0.02</v>
      </c>
      <c r="O29" s="106">
        <v>0.02</v>
      </c>
      <c r="P29" s="106">
        <v>0.02</v>
      </c>
      <c r="Q29" s="106">
        <v>0.02</v>
      </c>
      <c r="R29" s="106">
        <v>0.02</v>
      </c>
      <c r="S29" s="106">
        <v>0.02</v>
      </c>
      <c r="T29" s="106">
        <v>0.02</v>
      </c>
      <c r="U29" s="106">
        <v>0.05</v>
      </c>
      <c r="V29" s="106">
        <v>0.05</v>
      </c>
      <c r="W29" s="106">
        <v>0.05</v>
      </c>
      <c r="X29" s="106">
        <v>0.05</v>
      </c>
      <c r="Y29" s="106">
        <v>0.05</v>
      </c>
      <c r="Z29" s="106">
        <v>0.05</v>
      </c>
      <c r="AA29" s="106">
        <v>0.05</v>
      </c>
      <c r="AB29" s="106">
        <v>0.05</v>
      </c>
      <c r="AC29" s="106">
        <v>0.05</v>
      </c>
      <c r="AD29" s="106">
        <v>0.1</v>
      </c>
      <c r="AE29" s="106">
        <v>0.1</v>
      </c>
      <c r="AF29" s="106">
        <v>0.11</v>
      </c>
      <c r="AG29" s="106">
        <v>0</v>
      </c>
      <c r="AH29" s="106">
        <v>0</v>
      </c>
      <c r="AI29" s="106">
        <v>0</v>
      </c>
      <c r="AJ29" s="106">
        <v>0</v>
      </c>
      <c r="AK29" s="106">
        <v>0</v>
      </c>
      <c r="AL29" s="106">
        <v>0</v>
      </c>
      <c r="AM29" s="106">
        <v>0</v>
      </c>
      <c r="AN29" s="106">
        <v>0</v>
      </c>
      <c r="AO29" s="106">
        <v>0</v>
      </c>
      <c r="AP29" s="106">
        <v>0</v>
      </c>
      <c r="AQ29" s="106">
        <v>0</v>
      </c>
      <c r="AR29" s="106">
        <v>0</v>
      </c>
      <c r="AS29" s="106">
        <v>0</v>
      </c>
      <c r="AT29" s="106">
        <v>0</v>
      </c>
      <c r="AU29" s="106">
        <v>0</v>
      </c>
      <c r="AV29" s="106">
        <v>0</v>
      </c>
      <c r="AW29" s="106">
        <v>0</v>
      </c>
      <c r="AX29" s="106">
        <v>0</v>
      </c>
      <c r="AY29" s="106">
        <v>0</v>
      </c>
    </row>
    <row r="30" spans="2:51">
      <c r="B30" s="918" t="s">
        <v>893</v>
      </c>
      <c r="C30" s="919">
        <f>'Input '!C81</f>
        <v>216000000</v>
      </c>
      <c r="D30" s="920">
        <f>SUM(I30:AI30)</f>
        <v>1</v>
      </c>
      <c r="I30" s="106">
        <v>0.02</v>
      </c>
      <c r="J30" s="106">
        <v>0.02</v>
      </c>
      <c r="K30" s="106">
        <v>0.02</v>
      </c>
      <c r="L30" s="106">
        <v>0.02</v>
      </c>
      <c r="M30" s="106">
        <v>0.02</v>
      </c>
      <c r="N30" s="106">
        <v>0.02</v>
      </c>
      <c r="O30" s="106">
        <v>0.02</v>
      </c>
      <c r="P30" s="106">
        <v>0.02</v>
      </c>
      <c r="Q30" s="106">
        <v>0.02</v>
      </c>
      <c r="R30" s="106">
        <v>0.02</v>
      </c>
      <c r="S30" s="106">
        <v>0.02</v>
      </c>
      <c r="T30" s="106">
        <v>0.02</v>
      </c>
      <c r="U30" s="106">
        <v>0.05</v>
      </c>
      <c r="V30" s="106">
        <v>0.05</v>
      </c>
      <c r="W30" s="106">
        <v>0.05</v>
      </c>
      <c r="X30" s="106">
        <v>0.05</v>
      </c>
      <c r="Y30" s="106">
        <v>0.05</v>
      </c>
      <c r="Z30" s="106">
        <v>0.05</v>
      </c>
      <c r="AA30" s="106">
        <v>0.05</v>
      </c>
      <c r="AB30" s="106">
        <v>0.05</v>
      </c>
      <c r="AC30" s="106">
        <v>0.05</v>
      </c>
      <c r="AD30" s="106">
        <v>0.1</v>
      </c>
      <c r="AE30" s="106">
        <v>0.1</v>
      </c>
      <c r="AF30" s="106">
        <v>0.11</v>
      </c>
      <c r="AG30" s="106">
        <v>0</v>
      </c>
      <c r="AH30" s="106">
        <v>0</v>
      </c>
      <c r="AI30" s="106">
        <v>0</v>
      </c>
      <c r="AJ30" s="106">
        <v>0</v>
      </c>
      <c r="AK30" s="106">
        <v>0</v>
      </c>
      <c r="AL30" s="106">
        <v>0</v>
      </c>
      <c r="AM30" s="106">
        <v>0</v>
      </c>
      <c r="AN30" s="106">
        <v>0</v>
      </c>
      <c r="AO30" s="106">
        <v>0</v>
      </c>
      <c r="AP30" s="106">
        <v>0</v>
      </c>
      <c r="AQ30" s="106">
        <v>0</v>
      </c>
      <c r="AR30" s="106">
        <v>0</v>
      </c>
      <c r="AS30" s="106">
        <v>0</v>
      </c>
      <c r="AT30" s="106">
        <v>0</v>
      </c>
      <c r="AU30" s="106">
        <v>0</v>
      </c>
      <c r="AV30" s="106">
        <v>0</v>
      </c>
      <c r="AW30" s="106">
        <v>0</v>
      </c>
      <c r="AX30" s="106">
        <v>0</v>
      </c>
      <c r="AY30" s="106">
        <v>0</v>
      </c>
    </row>
    <row r="31" spans="2:51">
      <c r="B31" s="10" t="s">
        <v>71</v>
      </c>
      <c r="C31" s="45">
        <f>SUM(C27:C30)</f>
        <v>1635008619.7448981</v>
      </c>
      <c r="U31" s="106"/>
      <c r="V31" s="106"/>
      <c r="AK31" s="14"/>
    </row>
    <row r="32" spans="2:51">
      <c r="B32" s="5"/>
    </row>
    <row r="33" spans="1:51">
      <c r="B33" s="5"/>
    </row>
    <row r="34" spans="1:51">
      <c r="B34" s="26" t="s">
        <v>218</v>
      </c>
    </row>
    <row r="35" spans="1:51">
      <c r="B35" s="2" t="s">
        <v>118</v>
      </c>
      <c r="C35" s="15" t="str">
        <f>$C$20</f>
        <v>US$</v>
      </c>
      <c r="D35" s="42">
        <f>SUM(I35:AX35)</f>
        <v>15955000</v>
      </c>
      <c r="I35" s="42">
        <f>I21*$C$21</f>
        <v>319100</v>
      </c>
      <c r="J35" s="107">
        <f t="shared" ref="J35:AB35" si="1">J21*$C$21</f>
        <v>319100</v>
      </c>
      <c r="K35" s="107">
        <f>K21*$C$21</f>
        <v>319100</v>
      </c>
      <c r="L35" s="107">
        <f t="shared" si="1"/>
        <v>319100</v>
      </c>
      <c r="M35" s="107">
        <f t="shared" si="1"/>
        <v>319100</v>
      </c>
      <c r="N35" s="107">
        <f t="shared" si="1"/>
        <v>319100</v>
      </c>
      <c r="O35" s="107">
        <f t="shared" si="1"/>
        <v>319100</v>
      </c>
      <c r="P35" s="107">
        <f t="shared" si="1"/>
        <v>319100</v>
      </c>
      <c r="Q35" s="107">
        <f t="shared" si="1"/>
        <v>319100</v>
      </c>
      <c r="R35" s="107">
        <f t="shared" si="1"/>
        <v>319100</v>
      </c>
      <c r="S35" s="107">
        <f t="shared" si="1"/>
        <v>319100</v>
      </c>
      <c r="T35" s="107">
        <f t="shared" si="1"/>
        <v>319100</v>
      </c>
      <c r="U35" s="107">
        <f t="shared" si="1"/>
        <v>797750</v>
      </c>
      <c r="V35" s="107">
        <f t="shared" si="1"/>
        <v>797750</v>
      </c>
      <c r="W35" s="107">
        <f t="shared" si="1"/>
        <v>797750</v>
      </c>
      <c r="X35" s="107">
        <f t="shared" si="1"/>
        <v>797750</v>
      </c>
      <c r="Y35" s="107">
        <f t="shared" si="1"/>
        <v>797750</v>
      </c>
      <c r="Z35" s="107">
        <f t="shared" si="1"/>
        <v>797750</v>
      </c>
      <c r="AA35" s="107">
        <f t="shared" si="1"/>
        <v>797750</v>
      </c>
      <c r="AB35" s="107">
        <f t="shared" si="1"/>
        <v>797750</v>
      </c>
      <c r="AC35" s="107">
        <f t="shared" ref="AC35:AX35" si="2">AC21*$C$21</f>
        <v>797750</v>
      </c>
      <c r="AD35" s="107">
        <f t="shared" si="2"/>
        <v>1595500</v>
      </c>
      <c r="AE35" s="107">
        <f t="shared" si="2"/>
        <v>1595500</v>
      </c>
      <c r="AF35" s="107">
        <f t="shared" si="2"/>
        <v>1755050</v>
      </c>
      <c r="AG35" s="107">
        <f t="shared" si="2"/>
        <v>0</v>
      </c>
      <c r="AH35" s="107">
        <f t="shared" si="2"/>
        <v>0</v>
      </c>
      <c r="AI35" s="107">
        <f t="shared" si="2"/>
        <v>0</v>
      </c>
      <c r="AJ35" s="107">
        <f t="shared" si="2"/>
        <v>0</v>
      </c>
      <c r="AK35" s="107">
        <f t="shared" si="2"/>
        <v>0</v>
      </c>
      <c r="AL35" s="107">
        <f t="shared" si="2"/>
        <v>0</v>
      </c>
      <c r="AM35" s="107">
        <f t="shared" si="2"/>
        <v>0</v>
      </c>
      <c r="AN35" s="107">
        <f t="shared" si="2"/>
        <v>0</v>
      </c>
      <c r="AO35" s="107">
        <f t="shared" si="2"/>
        <v>0</v>
      </c>
      <c r="AP35" s="107">
        <f t="shared" si="2"/>
        <v>0</v>
      </c>
      <c r="AQ35" s="107">
        <f t="shared" si="2"/>
        <v>0</v>
      </c>
      <c r="AR35" s="107">
        <f t="shared" si="2"/>
        <v>0</v>
      </c>
      <c r="AS35" s="107">
        <f t="shared" si="2"/>
        <v>0</v>
      </c>
      <c r="AT35" s="107">
        <f t="shared" si="2"/>
        <v>0</v>
      </c>
      <c r="AU35" s="107">
        <f t="shared" si="2"/>
        <v>0</v>
      </c>
      <c r="AV35" s="107">
        <f t="shared" si="2"/>
        <v>0</v>
      </c>
      <c r="AW35" s="107">
        <f t="shared" si="2"/>
        <v>0</v>
      </c>
      <c r="AX35" s="107">
        <f t="shared" si="2"/>
        <v>0</v>
      </c>
      <c r="AY35" s="107">
        <f>AY21*$C$21</f>
        <v>0</v>
      </c>
    </row>
    <row r="36" spans="1:51">
      <c r="B36" s="177" t="s">
        <v>2036</v>
      </c>
      <c r="C36" s="15" t="str">
        <f t="shared" ref="C36:C51" si="3">$C$20</f>
        <v>US$</v>
      </c>
      <c r="D36" s="42">
        <f t="shared" ref="D36:D44" si="4">SUM(I36:AX36)</f>
        <v>869147000</v>
      </c>
      <c r="I36" s="42">
        <f>I22*$C$22</f>
        <v>17382940</v>
      </c>
      <c r="J36" s="42">
        <f t="shared" ref="J36:AB36" si="5">J22*$C$22</f>
        <v>17382940</v>
      </c>
      <c r="K36" s="42">
        <f t="shared" si="5"/>
        <v>17382940</v>
      </c>
      <c r="L36" s="42">
        <f t="shared" si="5"/>
        <v>17382940</v>
      </c>
      <c r="M36" s="42">
        <f t="shared" si="5"/>
        <v>17382940</v>
      </c>
      <c r="N36" s="42">
        <f t="shared" si="5"/>
        <v>17382940</v>
      </c>
      <c r="O36" s="42">
        <f t="shared" si="5"/>
        <v>17382940</v>
      </c>
      <c r="P36" s="42">
        <f t="shared" si="5"/>
        <v>17382940</v>
      </c>
      <c r="Q36" s="42">
        <f t="shared" si="5"/>
        <v>17382940</v>
      </c>
      <c r="R36" s="42">
        <f t="shared" si="5"/>
        <v>17382940</v>
      </c>
      <c r="S36" s="42">
        <f t="shared" si="5"/>
        <v>17382940</v>
      </c>
      <c r="T36" s="42">
        <f t="shared" si="5"/>
        <v>17382940</v>
      </c>
      <c r="U36" s="42">
        <f t="shared" si="5"/>
        <v>43457350</v>
      </c>
      <c r="V36" s="42">
        <f t="shared" si="5"/>
        <v>43457350</v>
      </c>
      <c r="W36" s="42">
        <f t="shared" si="5"/>
        <v>43457350</v>
      </c>
      <c r="X36" s="42">
        <f t="shared" si="5"/>
        <v>43457350</v>
      </c>
      <c r="Y36" s="42">
        <f t="shared" si="5"/>
        <v>43457350</v>
      </c>
      <c r="Z36" s="42">
        <f t="shared" si="5"/>
        <v>43457350</v>
      </c>
      <c r="AA36" s="42">
        <f t="shared" si="5"/>
        <v>43457350</v>
      </c>
      <c r="AB36" s="42">
        <f t="shared" si="5"/>
        <v>43457350</v>
      </c>
      <c r="AC36" s="42">
        <f t="shared" ref="AC36:AX36" si="6">AC22*$C$22</f>
        <v>43457350</v>
      </c>
      <c r="AD36" s="42">
        <f t="shared" si="6"/>
        <v>86914700</v>
      </c>
      <c r="AE36" s="42">
        <f t="shared" si="6"/>
        <v>86914700</v>
      </c>
      <c r="AF36" s="42">
        <f t="shared" si="6"/>
        <v>95606170</v>
      </c>
      <c r="AG36" s="42">
        <f t="shared" si="6"/>
        <v>0</v>
      </c>
      <c r="AH36" s="42">
        <f t="shared" si="6"/>
        <v>0</v>
      </c>
      <c r="AI36" s="42">
        <f t="shared" si="6"/>
        <v>0</v>
      </c>
      <c r="AJ36" s="42">
        <f t="shared" si="6"/>
        <v>0</v>
      </c>
      <c r="AK36" s="42">
        <f t="shared" si="6"/>
        <v>0</v>
      </c>
      <c r="AL36" s="42">
        <f t="shared" si="6"/>
        <v>0</v>
      </c>
      <c r="AM36" s="42">
        <f t="shared" si="6"/>
        <v>0</v>
      </c>
      <c r="AN36" s="42">
        <f t="shared" si="6"/>
        <v>0</v>
      </c>
      <c r="AO36" s="42">
        <f t="shared" si="6"/>
        <v>0</v>
      </c>
      <c r="AP36" s="42">
        <f t="shared" si="6"/>
        <v>0</v>
      </c>
      <c r="AQ36" s="42">
        <f t="shared" si="6"/>
        <v>0</v>
      </c>
      <c r="AR36" s="42">
        <f t="shared" si="6"/>
        <v>0</v>
      </c>
      <c r="AS36" s="42">
        <f t="shared" si="6"/>
        <v>0</v>
      </c>
      <c r="AT36" s="42">
        <f t="shared" si="6"/>
        <v>0</v>
      </c>
      <c r="AU36" s="42">
        <f t="shared" si="6"/>
        <v>0</v>
      </c>
      <c r="AV36" s="42">
        <f t="shared" si="6"/>
        <v>0</v>
      </c>
      <c r="AW36" s="42">
        <f t="shared" si="6"/>
        <v>0</v>
      </c>
      <c r="AX36" s="42">
        <f t="shared" si="6"/>
        <v>0</v>
      </c>
      <c r="AY36" s="42">
        <f>AY22*$C$22</f>
        <v>0</v>
      </c>
    </row>
    <row r="37" spans="1:51">
      <c r="B37" s="2" t="s">
        <v>657</v>
      </c>
      <c r="C37" s="15" t="str">
        <f t="shared" si="3"/>
        <v>US$</v>
      </c>
      <c r="D37" s="42">
        <f t="shared" si="4"/>
        <v>64578918.367346957</v>
      </c>
      <c r="I37" s="42">
        <f>I23*$C$23</f>
        <v>1291578.3673469389</v>
      </c>
      <c r="J37" s="42">
        <f t="shared" ref="J37:AB37" si="7">J23*$C$23</f>
        <v>1291578.3673469389</v>
      </c>
      <c r="K37" s="42">
        <f t="shared" si="7"/>
        <v>1291578.3673469389</v>
      </c>
      <c r="L37" s="42">
        <f t="shared" si="7"/>
        <v>1291578.3673469389</v>
      </c>
      <c r="M37" s="42">
        <f t="shared" si="7"/>
        <v>1291578.3673469389</v>
      </c>
      <c r="N37" s="42">
        <f t="shared" si="7"/>
        <v>1291578.3673469389</v>
      </c>
      <c r="O37" s="42">
        <f t="shared" si="7"/>
        <v>1291578.3673469389</v>
      </c>
      <c r="P37" s="42">
        <f t="shared" si="7"/>
        <v>1291578.3673469389</v>
      </c>
      <c r="Q37" s="42">
        <f t="shared" si="7"/>
        <v>1291578.3673469389</v>
      </c>
      <c r="R37" s="42">
        <f t="shared" si="7"/>
        <v>1291578.3673469389</v>
      </c>
      <c r="S37" s="42">
        <f t="shared" si="7"/>
        <v>1291578.3673469389</v>
      </c>
      <c r="T37" s="42">
        <f t="shared" si="7"/>
        <v>1291578.3673469389</v>
      </c>
      <c r="U37" s="42">
        <f t="shared" si="7"/>
        <v>3228945.9183673472</v>
      </c>
      <c r="V37" s="42">
        <f t="shared" si="7"/>
        <v>3228945.9183673472</v>
      </c>
      <c r="W37" s="42">
        <f t="shared" si="7"/>
        <v>3228945.9183673472</v>
      </c>
      <c r="X37" s="42">
        <f t="shared" si="7"/>
        <v>3228945.9183673472</v>
      </c>
      <c r="Y37" s="42">
        <f t="shared" si="7"/>
        <v>3228945.9183673472</v>
      </c>
      <c r="Z37" s="42">
        <f t="shared" si="7"/>
        <v>3228945.9183673472</v>
      </c>
      <c r="AA37" s="42">
        <f t="shared" si="7"/>
        <v>3228945.9183673472</v>
      </c>
      <c r="AB37" s="42">
        <f t="shared" si="7"/>
        <v>3228945.9183673472</v>
      </c>
      <c r="AC37" s="42">
        <f t="shared" ref="AC37:AX37" si="8">AC23*$C$23</f>
        <v>3228945.9183673472</v>
      </c>
      <c r="AD37" s="42">
        <f t="shared" si="8"/>
        <v>6457891.8367346944</v>
      </c>
      <c r="AE37" s="42">
        <f t="shared" si="8"/>
        <v>6457891.8367346944</v>
      </c>
      <c r="AF37" s="42">
        <f t="shared" si="8"/>
        <v>7103681.0204081638</v>
      </c>
      <c r="AG37" s="42">
        <f t="shared" si="8"/>
        <v>0</v>
      </c>
      <c r="AH37" s="42">
        <f t="shared" si="8"/>
        <v>0</v>
      </c>
      <c r="AI37" s="42">
        <f t="shared" si="8"/>
        <v>0</v>
      </c>
      <c r="AJ37" s="42">
        <f t="shared" si="8"/>
        <v>0</v>
      </c>
      <c r="AK37" s="42">
        <f t="shared" si="8"/>
        <v>0</v>
      </c>
      <c r="AL37" s="42">
        <f t="shared" si="8"/>
        <v>0</v>
      </c>
      <c r="AM37" s="42">
        <f t="shared" si="8"/>
        <v>0</v>
      </c>
      <c r="AN37" s="42">
        <f t="shared" si="8"/>
        <v>0</v>
      </c>
      <c r="AO37" s="42">
        <f t="shared" si="8"/>
        <v>0</v>
      </c>
      <c r="AP37" s="42">
        <f t="shared" si="8"/>
        <v>0</v>
      </c>
      <c r="AQ37" s="42">
        <f t="shared" si="8"/>
        <v>0</v>
      </c>
      <c r="AR37" s="42">
        <f t="shared" si="8"/>
        <v>0</v>
      </c>
      <c r="AS37" s="42">
        <f t="shared" si="8"/>
        <v>0</v>
      </c>
      <c r="AT37" s="42">
        <f t="shared" si="8"/>
        <v>0</v>
      </c>
      <c r="AU37" s="42">
        <f t="shared" si="8"/>
        <v>0</v>
      </c>
      <c r="AV37" s="42">
        <f t="shared" si="8"/>
        <v>0</v>
      </c>
      <c r="AW37" s="42">
        <f t="shared" si="8"/>
        <v>0</v>
      </c>
      <c r="AX37" s="42">
        <f t="shared" si="8"/>
        <v>0</v>
      </c>
      <c r="AY37" s="42">
        <f>AY23*$C$23</f>
        <v>0</v>
      </c>
    </row>
    <row r="38" spans="1:51">
      <c r="B38" s="2" t="s">
        <v>119</v>
      </c>
      <c r="C38" s="15" t="str">
        <f t="shared" si="3"/>
        <v>US$</v>
      </c>
      <c r="D38" s="42">
        <f t="shared" si="4"/>
        <v>72867200</v>
      </c>
      <c r="I38" s="42">
        <f>I24*$C$24</f>
        <v>1457344</v>
      </c>
      <c r="J38" s="42">
        <f t="shared" ref="J38:AB38" si="9">J24*$C$24</f>
        <v>1457344</v>
      </c>
      <c r="K38" s="42">
        <f t="shared" si="9"/>
        <v>1457344</v>
      </c>
      <c r="L38" s="42">
        <f t="shared" si="9"/>
        <v>1457344</v>
      </c>
      <c r="M38" s="42">
        <f t="shared" si="9"/>
        <v>1457344</v>
      </c>
      <c r="N38" s="42">
        <f t="shared" si="9"/>
        <v>1457344</v>
      </c>
      <c r="O38" s="42">
        <f t="shared" si="9"/>
        <v>1457344</v>
      </c>
      <c r="P38" s="42">
        <f t="shared" si="9"/>
        <v>1457344</v>
      </c>
      <c r="Q38" s="42">
        <f t="shared" si="9"/>
        <v>1457344</v>
      </c>
      <c r="R38" s="42">
        <f t="shared" si="9"/>
        <v>1457344</v>
      </c>
      <c r="S38" s="42">
        <f t="shared" si="9"/>
        <v>1457344</v>
      </c>
      <c r="T38" s="42">
        <f t="shared" si="9"/>
        <v>1457344</v>
      </c>
      <c r="U38" s="42">
        <f t="shared" si="9"/>
        <v>3643360</v>
      </c>
      <c r="V38" s="42">
        <f t="shared" si="9"/>
        <v>3643360</v>
      </c>
      <c r="W38" s="42">
        <f t="shared" si="9"/>
        <v>3643360</v>
      </c>
      <c r="X38" s="42">
        <f t="shared" si="9"/>
        <v>3643360</v>
      </c>
      <c r="Y38" s="42">
        <f t="shared" si="9"/>
        <v>3643360</v>
      </c>
      <c r="Z38" s="42">
        <f t="shared" si="9"/>
        <v>3643360</v>
      </c>
      <c r="AA38" s="42">
        <f t="shared" si="9"/>
        <v>3643360</v>
      </c>
      <c r="AB38" s="42">
        <f t="shared" si="9"/>
        <v>3643360</v>
      </c>
      <c r="AC38" s="42">
        <f t="shared" ref="AC38:AX38" si="10">AC24*$C$24</f>
        <v>3643360</v>
      </c>
      <c r="AD38" s="42">
        <f t="shared" si="10"/>
        <v>7286720</v>
      </c>
      <c r="AE38" s="42">
        <f t="shared" si="10"/>
        <v>7286720</v>
      </c>
      <c r="AF38" s="42">
        <f t="shared" si="10"/>
        <v>8015392</v>
      </c>
      <c r="AG38" s="42">
        <f t="shared" si="10"/>
        <v>0</v>
      </c>
      <c r="AH38" s="42">
        <f t="shared" si="10"/>
        <v>0</v>
      </c>
      <c r="AI38" s="42">
        <f t="shared" si="10"/>
        <v>0</v>
      </c>
      <c r="AJ38" s="42">
        <f t="shared" si="10"/>
        <v>0</v>
      </c>
      <c r="AK38" s="42">
        <f t="shared" si="10"/>
        <v>0</v>
      </c>
      <c r="AL38" s="42">
        <f t="shared" si="10"/>
        <v>0</v>
      </c>
      <c r="AM38" s="42">
        <f t="shared" si="10"/>
        <v>0</v>
      </c>
      <c r="AN38" s="42">
        <f t="shared" si="10"/>
        <v>0</v>
      </c>
      <c r="AO38" s="42">
        <f t="shared" si="10"/>
        <v>0</v>
      </c>
      <c r="AP38" s="42">
        <f t="shared" si="10"/>
        <v>0</v>
      </c>
      <c r="AQ38" s="42">
        <f t="shared" si="10"/>
        <v>0</v>
      </c>
      <c r="AR38" s="42">
        <f t="shared" si="10"/>
        <v>0</v>
      </c>
      <c r="AS38" s="42">
        <f t="shared" si="10"/>
        <v>0</v>
      </c>
      <c r="AT38" s="42">
        <f t="shared" si="10"/>
        <v>0</v>
      </c>
      <c r="AU38" s="42">
        <f t="shared" si="10"/>
        <v>0</v>
      </c>
      <c r="AV38" s="42">
        <f t="shared" si="10"/>
        <v>0</v>
      </c>
      <c r="AW38" s="42">
        <f t="shared" si="10"/>
        <v>0</v>
      </c>
      <c r="AX38" s="42">
        <f t="shared" si="10"/>
        <v>0</v>
      </c>
      <c r="AY38" s="42">
        <f>AY24*$C$24</f>
        <v>0</v>
      </c>
    </row>
    <row r="39" spans="1:51">
      <c r="B39" s="2" t="s">
        <v>122</v>
      </c>
      <c r="C39" s="15" t="str">
        <f t="shared" si="3"/>
        <v>US$</v>
      </c>
      <c r="D39" s="42">
        <f t="shared" si="4"/>
        <v>155271400</v>
      </c>
      <c r="I39" s="42">
        <f>I25*$C$25</f>
        <v>3105428</v>
      </c>
      <c r="J39" s="42">
        <f t="shared" ref="J39:AB39" si="11">J25*$C$25</f>
        <v>3105428</v>
      </c>
      <c r="K39" s="42">
        <f t="shared" si="11"/>
        <v>3105428</v>
      </c>
      <c r="L39" s="42">
        <f t="shared" si="11"/>
        <v>3105428</v>
      </c>
      <c r="M39" s="42">
        <f t="shared" si="11"/>
        <v>3105428</v>
      </c>
      <c r="N39" s="42">
        <f t="shared" si="11"/>
        <v>3105428</v>
      </c>
      <c r="O39" s="42">
        <f t="shared" si="11"/>
        <v>3105428</v>
      </c>
      <c r="P39" s="42">
        <f t="shared" si="11"/>
        <v>3105428</v>
      </c>
      <c r="Q39" s="42">
        <f t="shared" si="11"/>
        <v>3105428</v>
      </c>
      <c r="R39" s="42">
        <f t="shared" si="11"/>
        <v>3105428</v>
      </c>
      <c r="S39" s="42">
        <f t="shared" si="11"/>
        <v>3105428</v>
      </c>
      <c r="T39" s="42">
        <f t="shared" si="11"/>
        <v>3105428</v>
      </c>
      <c r="U39" s="42">
        <f t="shared" si="11"/>
        <v>7763570</v>
      </c>
      <c r="V39" s="42">
        <f t="shared" si="11"/>
        <v>7763570</v>
      </c>
      <c r="W39" s="42">
        <f t="shared" si="11"/>
        <v>7763570</v>
      </c>
      <c r="X39" s="42">
        <f t="shared" si="11"/>
        <v>7763570</v>
      </c>
      <c r="Y39" s="42">
        <f t="shared" si="11"/>
        <v>7763570</v>
      </c>
      <c r="Z39" s="42">
        <f t="shared" si="11"/>
        <v>7763570</v>
      </c>
      <c r="AA39" s="42">
        <f t="shared" si="11"/>
        <v>7763570</v>
      </c>
      <c r="AB39" s="42">
        <f t="shared" si="11"/>
        <v>7763570</v>
      </c>
      <c r="AC39" s="42">
        <f t="shared" ref="AC39:AX39" si="12">AC25*$C$25</f>
        <v>7763570</v>
      </c>
      <c r="AD39" s="42">
        <f t="shared" si="12"/>
        <v>15527140</v>
      </c>
      <c r="AE39" s="42">
        <f t="shared" si="12"/>
        <v>15527140</v>
      </c>
      <c r="AF39" s="42">
        <f t="shared" si="12"/>
        <v>17079854</v>
      </c>
      <c r="AG39" s="42">
        <f t="shared" si="12"/>
        <v>0</v>
      </c>
      <c r="AH39" s="42">
        <f t="shared" si="12"/>
        <v>0</v>
      </c>
      <c r="AI39" s="42">
        <f t="shared" si="12"/>
        <v>0</v>
      </c>
      <c r="AJ39" s="42">
        <f t="shared" si="12"/>
        <v>0</v>
      </c>
      <c r="AK39" s="42">
        <f t="shared" si="12"/>
        <v>0</v>
      </c>
      <c r="AL39" s="42">
        <f t="shared" si="12"/>
        <v>0</v>
      </c>
      <c r="AM39" s="42">
        <f t="shared" si="12"/>
        <v>0</v>
      </c>
      <c r="AN39" s="42">
        <f t="shared" si="12"/>
        <v>0</v>
      </c>
      <c r="AO39" s="42">
        <f t="shared" si="12"/>
        <v>0</v>
      </c>
      <c r="AP39" s="42">
        <f t="shared" si="12"/>
        <v>0</v>
      </c>
      <c r="AQ39" s="42">
        <f t="shared" si="12"/>
        <v>0</v>
      </c>
      <c r="AR39" s="42">
        <f t="shared" si="12"/>
        <v>0</v>
      </c>
      <c r="AS39" s="42">
        <f t="shared" si="12"/>
        <v>0</v>
      </c>
      <c r="AT39" s="42">
        <f t="shared" si="12"/>
        <v>0</v>
      </c>
      <c r="AU39" s="42">
        <f t="shared" si="12"/>
        <v>0</v>
      </c>
      <c r="AV39" s="42">
        <f t="shared" si="12"/>
        <v>0</v>
      </c>
      <c r="AW39" s="42">
        <f t="shared" si="12"/>
        <v>0</v>
      </c>
      <c r="AX39" s="42">
        <f t="shared" si="12"/>
        <v>0</v>
      </c>
      <c r="AY39" s="42">
        <f>AY25*$C$25</f>
        <v>0</v>
      </c>
    </row>
    <row r="40" spans="1:51">
      <c r="B40" s="2" t="s">
        <v>120</v>
      </c>
      <c r="C40" s="15" t="str">
        <f t="shared" si="3"/>
        <v>US$</v>
      </c>
      <c r="D40" s="42">
        <f t="shared" si="4"/>
        <v>90552000</v>
      </c>
      <c r="I40" s="42">
        <f>I26*$C$26</f>
        <v>1811040</v>
      </c>
      <c r="J40" s="42">
        <f t="shared" ref="J40:AQ40" si="13">J26*$C$26</f>
        <v>1811040</v>
      </c>
      <c r="K40" s="42">
        <f t="shared" si="13"/>
        <v>1811040</v>
      </c>
      <c r="L40" s="42">
        <f t="shared" si="13"/>
        <v>1811040</v>
      </c>
      <c r="M40" s="42">
        <f t="shared" si="13"/>
        <v>1811040</v>
      </c>
      <c r="N40" s="42">
        <f t="shared" si="13"/>
        <v>1811040</v>
      </c>
      <c r="O40" s="42">
        <f t="shared" si="13"/>
        <v>1811040</v>
      </c>
      <c r="P40" s="42">
        <f t="shared" si="13"/>
        <v>1811040</v>
      </c>
      <c r="Q40" s="42">
        <f t="shared" si="13"/>
        <v>1811040</v>
      </c>
      <c r="R40" s="42">
        <f t="shared" si="13"/>
        <v>1811040</v>
      </c>
      <c r="S40" s="42">
        <f t="shared" si="13"/>
        <v>1811040</v>
      </c>
      <c r="T40" s="42">
        <f t="shared" si="13"/>
        <v>1811040</v>
      </c>
      <c r="U40" s="42">
        <f t="shared" si="13"/>
        <v>4527600</v>
      </c>
      <c r="V40" s="42">
        <f t="shared" si="13"/>
        <v>4527600</v>
      </c>
      <c r="W40" s="42">
        <f t="shared" si="13"/>
        <v>4527600</v>
      </c>
      <c r="X40" s="42">
        <f t="shared" si="13"/>
        <v>4527600</v>
      </c>
      <c r="Y40" s="42">
        <f t="shared" si="13"/>
        <v>4527600</v>
      </c>
      <c r="Z40" s="42">
        <f t="shared" si="13"/>
        <v>4527600</v>
      </c>
      <c r="AA40" s="42">
        <f t="shared" si="13"/>
        <v>4527600</v>
      </c>
      <c r="AB40" s="42">
        <f t="shared" si="13"/>
        <v>4527600</v>
      </c>
      <c r="AC40" s="42">
        <f t="shared" si="13"/>
        <v>4527600</v>
      </c>
      <c r="AD40" s="42">
        <f t="shared" si="13"/>
        <v>9055200</v>
      </c>
      <c r="AE40" s="42">
        <f t="shared" si="13"/>
        <v>9055200</v>
      </c>
      <c r="AF40" s="42">
        <f t="shared" si="13"/>
        <v>9960720</v>
      </c>
      <c r="AG40" s="42">
        <f t="shared" si="13"/>
        <v>0</v>
      </c>
      <c r="AH40" s="42">
        <f t="shared" si="13"/>
        <v>0</v>
      </c>
      <c r="AI40" s="42">
        <f t="shared" si="13"/>
        <v>0</v>
      </c>
      <c r="AJ40" s="42">
        <f t="shared" si="13"/>
        <v>0</v>
      </c>
      <c r="AK40" s="42">
        <f t="shared" si="13"/>
        <v>0</v>
      </c>
      <c r="AL40" s="42">
        <f t="shared" si="13"/>
        <v>0</v>
      </c>
      <c r="AM40" s="42">
        <f t="shared" si="13"/>
        <v>0</v>
      </c>
      <c r="AN40" s="42">
        <f t="shared" si="13"/>
        <v>0</v>
      </c>
      <c r="AO40" s="42">
        <f t="shared" si="13"/>
        <v>0</v>
      </c>
      <c r="AP40" s="42">
        <f t="shared" si="13"/>
        <v>0</v>
      </c>
      <c r="AQ40" s="42">
        <f t="shared" si="13"/>
        <v>0</v>
      </c>
      <c r="AR40" s="42">
        <f t="shared" ref="AR40:AX40" si="14">AR26*$C$25</f>
        <v>0</v>
      </c>
      <c r="AS40" s="42">
        <f t="shared" si="14"/>
        <v>0</v>
      </c>
      <c r="AT40" s="42">
        <f t="shared" si="14"/>
        <v>0</v>
      </c>
      <c r="AU40" s="42">
        <f t="shared" si="14"/>
        <v>0</v>
      </c>
      <c r="AV40" s="42">
        <f t="shared" si="14"/>
        <v>0</v>
      </c>
      <c r="AW40" s="42">
        <f t="shared" si="14"/>
        <v>0</v>
      </c>
      <c r="AX40" s="42">
        <f t="shared" si="14"/>
        <v>0</v>
      </c>
      <c r="AY40" s="42">
        <f>AY26*$C$25</f>
        <v>0</v>
      </c>
    </row>
    <row r="41" spans="1:51">
      <c r="B41" s="2" t="s">
        <v>121</v>
      </c>
      <c r="C41" s="15" t="str">
        <f t="shared" si="3"/>
        <v>US$</v>
      </c>
      <c r="D41" s="42">
        <f t="shared" si="4"/>
        <v>0</v>
      </c>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row>
    <row r="42" spans="1:51">
      <c r="B42" s="2" t="s">
        <v>123</v>
      </c>
      <c r="C42" s="15" t="str">
        <f t="shared" si="3"/>
        <v>US$</v>
      </c>
      <c r="D42" s="42">
        <f t="shared" si="4"/>
        <v>99000601.377550989</v>
      </c>
      <c r="I42" s="42">
        <f>I28*$C$28</f>
        <v>1980012.0275510205</v>
      </c>
      <c r="J42" s="42">
        <f t="shared" ref="J42:AB42" si="15">J28*$C$28</f>
        <v>1980012.0275510205</v>
      </c>
      <c r="K42" s="42">
        <f t="shared" si="15"/>
        <v>1980012.0275510205</v>
      </c>
      <c r="L42" s="42">
        <f t="shared" si="15"/>
        <v>1980012.0275510205</v>
      </c>
      <c r="M42" s="42">
        <f t="shared" si="15"/>
        <v>1980012.0275510205</v>
      </c>
      <c r="N42" s="42">
        <f t="shared" si="15"/>
        <v>1980012.0275510205</v>
      </c>
      <c r="O42" s="42">
        <f t="shared" si="15"/>
        <v>1980012.0275510205</v>
      </c>
      <c r="P42" s="42">
        <f t="shared" si="15"/>
        <v>1980012.0275510205</v>
      </c>
      <c r="Q42" s="42">
        <f t="shared" si="15"/>
        <v>1980012.0275510205</v>
      </c>
      <c r="R42" s="42">
        <f t="shared" si="15"/>
        <v>1980012.0275510205</v>
      </c>
      <c r="S42" s="42">
        <f t="shared" si="15"/>
        <v>1980012.0275510205</v>
      </c>
      <c r="T42" s="42">
        <f t="shared" si="15"/>
        <v>1980012.0275510205</v>
      </c>
      <c r="U42" s="42">
        <f t="shared" si="15"/>
        <v>4950030.0688775508</v>
      </c>
      <c r="V42" s="42">
        <f t="shared" si="15"/>
        <v>4950030.0688775508</v>
      </c>
      <c r="W42" s="42">
        <f t="shared" si="15"/>
        <v>4950030.0688775508</v>
      </c>
      <c r="X42" s="42">
        <f t="shared" si="15"/>
        <v>4950030.0688775508</v>
      </c>
      <c r="Y42" s="42">
        <f t="shared" si="15"/>
        <v>4950030.0688775508</v>
      </c>
      <c r="Z42" s="42">
        <f t="shared" si="15"/>
        <v>4950030.0688775508</v>
      </c>
      <c r="AA42" s="42">
        <f t="shared" si="15"/>
        <v>4950030.0688775508</v>
      </c>
      <c r="AB42" s="42">
        <f t="shared" si="15"/>
        <v>4950030.0688775508</v>
      </c>
      <c r="AC42" s="42">
        <f t="shared" ref="AC42:AX42" si="16">AC28*$C$28</f>
        <v>4950030.0688775508</v>
      </c>
      <c r="AD42" s="42">
        <f t="shared" si="16"/>
        <v>9900060.1377551015</v>
      </c>
      <c r="AE42" s="42">
        <f t="shared" si="16"/>
        <v>9900060.1377551015</v>
      </c>
      <c r="AF42" s="42">
        <f t="shared" si="16"/>
        <v>10890066.151530612</v>
      </c>
      <c r="AG42" s="42">
        <f t="shared" si="16"/>
        <v>0</v>
      </c>
      <c r="AH42" s="42">
        <f t="shared" si="16"/>
        <v>0</v>
      </c>
      <c r="AI42" s="42">
        <f t="shared" si="16"/>
        <v>0</v>
      </c>
      <c r="AJ42" s="42">
        <f t="shared" si="16"/>
        <v>0</v>
      </c>
      <c r="AK42" s="42">
        <f t="shared" si="16"/>
        <v>0</v>
      </c>
      <c r="AL42" s="42">
        <f t="shared" si="16"/>
        <v>0</v>
      </c>
      <c r="AM42" s="42">
        <f t="shared" si="16"/>
        <v>0</v>
      </c>
      <c r="AN42" s="42">
        <f t="shared" si="16"/>
        <v>0</v>
      </c>
      <c r="AO42" s="42">
        <f t="shared" si="16"/>
        <v>0</v>
      </c>
      <c r="AP42" s="42">
        <f t="shared" si="16"/>
        <v>0</v>
      </c>
      <c r="AQ42" s="42">
        <f t="shared" si="16"/>
        <v>0</v>
      </c>
      <c r="AR42" s="42">
        <f t="shared" si="16"/>
        <v>0</v>
      </c>
      <c r="AS42" s="42">
        <f t="shared" si="16"/>
        <v>0</v>
      </c>
      <c r="AT42" s="42">
        <f t="shared" si="16"/>
        <v>0</v>
      </c>
      <c r="AU42" s="42">
        <f t="shared" si="16"/>
        <v>0</v>
      </c>
      <c r="AV42" s="42">
        <f t="shared" si="16"/>
        <v>0</v>
      </c>
      <c r="AW42" s="42">
        <f t="shared" si="16"/>
        <v>0</v>
      </c>
      <c r="AX42" s="42">
        <f t="shared" si="16"/>
        <v>0</v>
      </c>
      <c r="AY42" s="42">
        <f>AY28*$C$28</f>
        <v>0</v>
      </c>
    </row>
    <row r="43" spans="1:51">
      <c r="B43" s="489" t="s">
        <v>9</v>
      </c>
      <c r="C43" s="577" t="str">
        <f t="shared" si="3"/>
        <v>US$</v>
      </c>
      <c r="D43" s="42">
        <f t="shared" si="4"/>
        <v>51636500</v>
      </c>
      <c r="E43" s="489"/>
      <c r="F43" s="489"/>
      <c r="G43" s="489"/>
      <c r="H43" s="489"/>
      <c r="I43" s="578">
        <f>I29*$C$29</f>
        <v>1032730</v>
      </c>
      <c r="J43" s="578">
        <f t="shared" ref="J43:AB43" si="17">J29*$C$29</f>
        <v>1032730</v>
      </c>
      <c r="K43" s="578">
        <f t="shared" si="17"/>
        <v>1032730</v>
      </c>
      <c r="L43" s="578">
        <f t="shared" si="17"/>
        <v>1032730</v>
      </c>
      <c r="M43" s="578">
        <f t="shared" si="17"/>
        <v>1032730</v>
      </c>
      <c r="N43" s="578">
        <f t="shared" si="17"/>
        <v>1032730</v>
      </c>
      <c r="O43" s="578">
        <f t="shared" si="17"/>
        <v>1032730</v>
      </c>
      <c r="P43" s="578">
        <f t="shared" si="17"/>
        <v>1032730</v>
      </c>
      <c r="Q43" s="578">
        <f t="shared" si="17"/>
        <v>1032730</v>
      </c>
      <c r="R43" s="578">
        <f t="shared" si="17"/>
        <v>1032730</v>
      </c>
      <c r="S43" s="578">
        <f t="shared" si="17"/>
        <v>1032730</v>
      </c>
      <c r="T43" s="578">
        <f t="shared" si="17"/>
        <v>1032730</v>
      </c>
      <c r="U43" s="578">
        <f t="shared" si="17"/>
        <v>2581825</v>
      </c>
      <c r="V43" s="578">
        <f t="shared" si="17"/>
        <v>2581825</v>
      </c>
      <c r="W43" s="578">
        <f t="shared" si="17"/>
        <v>2581825</v>
      </c>
      <c r="X43" s="578">
        <f t="shared" si="17"/>
        <v>2581825</v>
      </c>
      <c r="Y43" s="578">
        <f t="shared" si="17"/>
        <v>2581825</v>
      </c>
      <c r="Z43" s="578">
        <f t="shared" si="17"/>
        <v>2581825</v>
      </c>
      <c r="AA43" s="578">
        <f t="shared" si="17"/>
        <v>2581825</v>
      </c>
      <c r="AB43" s="578">
        <f t="shared" si="17"/>
        <v>2581825</v>
      </c>
      <c r="AC43" s="578">
        <f t="shared" ref="AC43:AX43" si="18">AC29*$C$29</f>
        <v>2581825</v>
      </c>
      <c r="AD43" s="578">
        <f t="shared" si="18"/>
        <v>5163650</v>
      </c>
      <c r="AE43" s="578">
        <f t="shared" si="18"/>
        <v>5163650</v>
      </c>
      <c r="AF43" s="578">
        <f t="shared" si="18"/>
        <v>5680015</v>
      </c>
      <c r="AG43" s="578">
        <f t="shared" si="18"/>
        <v>0</v>
      </c>
      <c r="AH43" s="578">
        <f t="shared" si="18"/>
        <v>0</v>
      </c>
      <c r="AI43" s="578">
        <f t="shared" si="18"/>
        <v>0</v>
      </c>
      <c r="AJ43" s="578">
        <f t="shared" si="18"/>
        <v>0</v>
      </c>
      <c r="AK43" s="578">
        <f t="shared" si="18"/>
        <v>0</v>
      </c>
      <c r="AL43" s="578">
        <f t="shared" si="18"/>
        <v>0</v>
      </c>
      <c r="AM43" s="578">
        <f t="shared" si="18"/>
        <v>0</v>
      </c>
      <c r="AN43" s="578">
        <f t="shared" si="18"/>
        <v>0</v>
      </c>
      <c r="AO43" s="578">
        <f t="shared" si="18"/>
        <v>0</v>
      </c>
      <c r="AP43" s="578">
        <f t="shared" si="18"/>
        <v>0</v>
      </c>
      <c r="AQ43" s="578">
        <f t="shared" si="18"/>
        <v>0</v>
      </c>
      <c r="AR43" s="578">
        <f t="shared" si="18"/>
        <v>0</v>
      </c>
      <c r="AS43" s="578">
        <f t="shared" si="18"/>
        <v>0</v>
      </c>
      <c r="AT43" s="578">
        <f t="shared" si="18"/>
        <v>0</v>
      </c>
      <c r="AU43" s="578">
        <f t="shared" si="18"/>
        <v>0</v>
      </c>
      <c r="AV43" s="578">
        <f t="shared" si="18"/>
        <v>0</v>
      </c>
      <c r="AW43" s="578">
        <f t="shared" si="18"/>
        <v>0</v>
      </c>
      <c r="AX43" s="578">
        <f t="shared" si="18"/>
        <v>0</v>
      </c>
      <c r="AY43" s="578">
        <f>AY29*$C$29</f>
        <v>0</v>
      </c>
    </row>
    <row r="44" spans="1:51">
      <c r="B44" s="921" t="s">
        <v>893</v>
      </c>
      <c r="C44" s="577" t="str">
        <f t="shared" si="3"/>
        <v>US$</v>
      </c>
      <c r="D44" s="42">
        <f t="shared" si="4"/>
        <v>216000000</v>
      </c>
      <c r="E44" s="489"/>
      <c r="F44" s="489"/>
      <c r="G44" s="489"/>
      <c r="H44" s="489"/>
      <c r="I44" s="578">
        <f>I30*$C$30</f>
        <v>4320000</v>
      </c>
      <c r="J44" s="578">
        <f t="shared" ref="J44:AB44" si="19">J30*$C$30</f>
        <v>4320000</v>
      </c>
      <c r="K44" s="578">
        <f t="shared" si="19"/>
        <v>4320000</v>
      </c>
      <c r="L44" s="578">
        <f t="shared" si="19"/>
        <v>4320000</v>
      </c>
      <c r="M44" s="578">
        <f t="shared" si="19"/>
        <v>4320000</v>
      </c>
      <c r="N44" s="578">
        <f t="shared" si="19"/>
        <v>4320000</v>
      </c>
      <c r="O44" s="578">
        <f t="shared" si="19"/>
        <v>4320000</v>
      </c>
      <c r="P44" s="578">
        <f t="shared" si="19"/>
        <v>4320000</v>
      </c>
      <c r="Q44" s="578">
        <f t="shared" si="19"/>
        <v>4320000</v>
      </c>
      <c r="R44" s="578">
        <f t="shared" si="19"/>
        <v>4320000</v>
      </c>
      <c r="S44" s="578">
        <f t="shared" si="19"/>
        <v>4320000</v>
      </c>
      <c r="T44" s="578">
        <f t="shared" si="19"/>
        <v>4320000</v>
      </c>
      <c r="U44" s="578">
        <f t="shared" si="19"/>
        <v>10800000</v>
      </c>
      <c r="V44" s="578">
        <f t="shared" si="19"/>
        <v>10800000</v>
      </c>
      <c r="W44" s="578">
        <f t="shared" si="19"/>
        <v>10800000</v>
      </c>
      <c r="X44" s="578">
        <f t="shared" si="19"/>
        <v>10800000</v>
      </c>
      <c r="Y44" s="578">
        <f t="shared" si="19"/>
        <v>10800000</v>
      </c>
      <c r="Z44" s="578">
        <f t="shared" si="19"/>
        <v>10800000</v>
      </c>
      <c r="AA44" s="578">
        <f t="shared" si="19"/>
        <v>10800000</v>
      </c>
      <c r="AB44" s="578">
        <f t="shared" si="19"/>
        <v>10800000</v>
      </c>
      <c r="AC44" s="578">
        <f t="shared" ref="AC44:AX44" si="20">AC30*$C$30</f>
        <v>10800000</v>
      </c>
      <c r="AD44" s="578">
        <f t="shared" si="20"/>
        <v>21600000</v>
      </c>
      <c r="AE44" s="578">
        <f t="shared" si="20"/>
        <v>21600000</v>
      </c>
      <c r="AF44" s="578">
        <f t="shared" si="20"/>
        <v>23760000</v>
      </c>
      <c r="AG44" s="578">
        <f t="shared" si="20"/>
        <v>0</v>
      </c>
      <c r="AH44" s="578">
        <f t="shared" si="20"/>
        <v>0</v>
      </c>
      <c r="AI44" s="578">
        <f t="shared" si="20"/>
        <v>0</v>
      </c>
      <c r="AJ44" s="578">
        <f t="shared" si="20"/>
        <v>0</v>
      </c>
      <c r="AK44" s="578">
        <f t="shared" si="20"/>
        <v>0</v>
      </c>
      <c r="AL44" s="578">
        <f t="shared" si="20"/>
        <v>0</v>
      </c>
      <c r="AM44" s="578">
        <f t="shared" si="20"/>
        <v>0</v>
      </c>
      <c r="AN44" s="578">
        <f t="shared" si="20"/>
        <v>0</v>
      </c>
      <c r="AO44" s="578">
        <f t="shared" si="20"/>
        <v>0</v>
      </c>
      <c r="AP44" s="578">
        <f t="shared" si="20"/>
        <v>0</v>
      </c>
      <c r="AQ44" s="578">
        <f t="shared" si="20"/>
        <v>0</v>
      </c>
      <c r="AR44" s="578">
        <f t="shared" si="20"/>
        <v>0</v>
      </c>
      <c r="AS44" s="578">
        <f t="shared" si="20"/>
        <v>0</v>
      </c>
      <c r="AT44" s="578">
        <f t="shared" si="20"/>
        <v>0</v>
      </c>
      <c r="AU44" s="578">
        <f t="shared" si="20"/>
        <v>0</v>
      </c>
      <c r="AV44" s="578">
        <f t="shared" si="20"/>
        <v>0</v>
      </c>
      <c r="AW44" s="578">
        <f t="shared" si="20"/>
        <v>0</v>
      </c>
      <c r="AX44" s="578">
        <f t="shared" si="20"/>
        <v>0</v>
      </c>
      <c r="AY44" s="578">
        <f>AY30*$C$30</f>
        <v>0</v>
      </c>
    </row>
    <row r="45" spans="1:51">
      <c r="B45" s="124" t="s">
        <v>71</v>
      </c>
      <c r="C45" s="132" t="str">
        <f t="shared" si="3"/>
        <v>US$</v>
      </c>
      <c r="D45" s="471">
        <f>SUM(I45:AI45)</f>
        <v>1635008619.7448978</v>
      </c>
      <c r="E45" s="124"/>
      <c r="F45" s="124"/>
      <c r="G45" s="124"/>
      <c r="H45" s="124"/>
      <c r="I45" s="471">
        <f>SUM(I35:I44)</f>
        <v>32700172.39489796</v>
      </c>
      <c r="J45" s="471">
        <f t="shared" ref="J45:AI45" si="21">SUM(J35:J44)</f>
        <v>32700172.39489796</v>
      </c>
      <c r="K45" s="471">
        <f t="shared" si="21"/>
        <v>32700172.39489796</v>
      </c>
      <c r="L45" s="471">
        <f t="shared" si="21"/>
        <v>32700172.39489796</v>
      </c>
      <c r="M45" s="471">
        <f t="shared" si="21"/>
        <v>32700172.39489796</v>
      </c>
      <c r="N45" s="471">
        <f t="shared" si="21"/>
        <v>32700172.39489796</v>
      </c>
      <c r="O45" s="471">
        <f t="shared" si="21"/>
        <v>32700172.39489796</v>
      </c>
      <c r="P45" s="471">
        <f t="shared" si="21"/>
        <v>32700172.39489796</v>
      </c>
      <c r="Q45" s="471">
        <f t="shared" si="21"/>
        <v>32700172.39489796</v>
      </c>
      <c r="R45" s="471">
        <f t="shared" si="21"/>
        <v>32700172.39489796</v>
      </c>
      <c r="S45" s="471">
        <f t="shared" si="21"/>
        <v>32700172.39489796</v>
      </c>
      <c r="T45" s="471">
        <f t="shared" si="21"/>
        <v>32700172.39489796</v>
      </c>
      <c r="U45" s="471">
        <f t="shared" si="21"/>
        <v>81750430.987244904</v>
      </c>
      <c r="V45" s="471">
        <f t="shared" si="21"/>
        <v>81750430.987244904</v>
      </c>
      <c r="W45" s="471">
        <f t="shared" si="21"/>
        <v>81750430.987244904</v>
      </c>
      <c r="X45" s="471">
        <f t="shared" si="21"/>
        <v>81750430.987244904</v>
      </c>
      <c r="Y45" s="471">
        <f t="shared" si="21"/>
        <v>81750430.987244904</v>
      </c>
      <c r="Z45" s="471">
        <f t="shared" si="21"/>
        <v>81750430.987244904</v>
      </c>
      <c r="AA45" s="471">
        <f t="shared" si="21"/>
        <v>81750430.987244904</v>
      </c>
      <c r="AB45" s="471">
        <f t="shared" si="21"/>
        <v>81750430.987244904</v>
      </c>
      <c r="AC45" s="471">
        <f t="shared" si="21"/>
        <v>81750430.987244904</v>
      </c>
      <c r="AD45" s="471">
        <f t="shared" si="21"/>
        <v>163500861.97448981</v>
      </c>
      <c r="AE45" s="471">
        <f t="shared" si="21"/>
        <v>163500861.97448981</v>
      </c>
      <c r="AF45" s="471">
        <f t="shared" si="21"/>
        <v>179850948.17193878</v>
      </c>
      <c r="AG45" s="471">
        <f t="shared" si="21"/>
        <v>0</v>
      </c>
      <c r="AH45" s="471">
        <f t="shared" si="21"/>
        <v>0</v>
      </c>
      <c r="AI45" s="471">
        <f t="shared" si="21"/>
        <v>0</v>
      </c>
      <c r="AJ45" s="124"/>
      <c r="AK45" s="124"/>
      <c r="AL45" s="124"/>
      <c r="AM45" s="124"/>
      <c r="AN45" s="124"/>
      <c r="AO45" s="124"/>
      <c r="AP45" s="124"/>
      <c r="AQ45" s="124"/>
      <c r="AR45" s="124"/>
      <c r="AS45" s="124"/>
      <c r="AT45" s="124"/>
      <c r="AU45" s="124"/>
      <c r="AV45" s="124"/>
      <c r="AW45" s="124"/>
      <c r="AX45" s="124"/>
      <c r="AY45" s="124"/>
    </row>
    <row r="46" spans="1:51">
      <c r="B46" s="3"/>
    </row>
    <row r="47" spans="1:51">
      <c r="B47" s="26" t="s">
        <v>219</v>
      </c>
    </row>
    <row r="48" spans="1:51">
      <c r="A48" s="12"/>
      <c r="B48" s="2" t="s">
        <v>220</v>
      </c>
      <c r="C48" s="15" t="str">
        <f t="shared" si="3"/>
        <v>US$</v>
      </c>
      <c r="D48" s="42">
        <f>SUM(I48:AY48)</f>
        <v>1635008619.7448978</v>
      </c>
      <c r="I48" s="42">
        <f>I45</f>
        <v>32700172.39489796</v>
      </c>
      <c r="J48" s="42">
        <f t="shared" ref="J48:AL48" si="22">J45</f>
        <v>32700172.39489796</v>
      </c>
      <c r="K48" s="42">
        <f t="shared" si="22"/>
        <v>32700172.39489796</v>
      </c>
      <c r="L48" s="42">
        <f t="shared" si="22"/>
        <v>32700172.39489796</v>
      </c>
      <c r="M48" s="42">
        <f t="shared" si="22"/>
        <v>32700172.39489796</v>
      </c>
      <c r="N48" s="42">
        <f t="shared" si="22"/>
        <v>32700172.39489796</v>
      </c>
      <c r="O48" s="42">
        <f t="shared" si="22"/>
        <v>32700172.39489796</v>
      </c>
      <c r="P48" s="42">
        <f t="shared" si="22"/>
        <v>32700172.39489796</v>
      </c>
      <c r="Q48" s="42">
        <f t="shared" si="22"/>
        <v>32700172.39489796</v>
      </c>
      <c r="R48" s="42">
        <f t="shared" si="22"/>
        <v>32700172.39489796</v>
      </c>
      <c r="S48" s="42">
        <f t="shared" si="22"/>
        <v>32700172.39489796</v>
      </c>
      <c r="T48" s="42">
        <f t="shared" si="22"/>
        <v>32700172.39489796</v>
      </c>
      <c r="U48" s="42">
        <f t="shared" si="22"/>
        <v>81750430.987244904</v>
      </c>
      <c r="V48" s="42">
        <f t="shared" si="22"/>
        <v>81750430.987244904</v>
      </c>
      <c r="W48" s="42">
        <f t="shared" si="22"/>
        <v>81750430.987244904</v>
      </c>
      <c r="X48" s="42">
        <f t="shared" si="22"/>
        <v>81750430.987244904</v>
      </c>
      <c r="Y48" s="42">
        <f t="shared" si="22"/>
        <v>81750430.987244904</v>
      </c>
      <c r="Z48" s="42">
        <f t="shared" si="22"/>
        <v>81750430.987244904</v>
      </c>
      <c r="AA48" s="42">
        <f t="shared" si="22"/>
        <v>81750430.987244904</v>
      </c>
      <c r="AB48" s="42">
        <f t="shared" si="22"/>
        <v>81750430.987244904</v>
      </c>
      <c r="AC48" s="42">
        <f t="shared" si="22"/>
        <v>81750430.987244904</v>
      </c>
      <c r="AD48" s="42">
        <f t="shared" si="22"/>
        <v>163500861.97448981</v>
      </c>
      <c r="AE48" s="42">
        <f t="shared" si="22"/>
        <v>163500861.97448981</v>
      </c>
      <c r="AF48" s="42">
        <f t="shared" si="22"/>
        <v>179850948.17193878</v>
      </c>
      <c r="AG48" s="42">
        <f t="shared" si="22"/>
        <v>0</v>
      </c>
      <c r="AH48" s="42">
        <f t="shared" si="22"/>
        <v>0</v>
      </c>
      <c r="AI48" s="42">
        <f t="shared" si="22"/>
        <v>0</v>
      </c>
      <c r="AJ48" s="42">
        <f t="shared" si="22"/>
        <v>0</v>
      </c>
      <c r="AK48" s="42">
        <f t="shared" si="22"/>
        <v>0</v>
      </c>
      <c r="AL48" s="42">
        <f t="shared" si="22"/>
        <v>0</v>
      </c>
      <c r="AM48" s="42">
        <f t="shared" ref="AM48:AY48" si="23">AM45</f>
        <v>0</v>
      </c>
      <c r="AN48" s="42">
        <f t="shared" si="23"/>
        <v>0</v>
      </c>
      <c r="AO48" s="42">
        <f t="shared" si="23"/>
        <v>0</v>
      </c>
      <c r="AP48" s="42">
        <f t="shared" si="23"/>
        <v>0</v>
      </c>
      <c r="AQ48" s="42">
        <f t="shared" si="23"/>
        <v>0</v>
      </c>
      <c r="AR48" s="42">
        <f t="shared" si="23"/>
        <v>0</v>
      </c>
      <c r="AS48" s="42">
        <f t="shared" si="23"/>
        <v>0</v>
      </c>
      <c r="AT48" s="42">
        <f t="shared" si="23"/>
        <v>0</v>
      </c>
      <c r="AU48" s="42">
        <f t="shared" si="23"/>
        <v>0</v>
      </c>
      <c r="AV48" s="42">
        <f t="shared" si="23"/>
        <v>0</v>
      </c>
      <c r="AW48" s="42">
        <f t="shared" si="23"/>
        <v>0</v>
      </c>
      <c r="AX48" s="42">
        <f t="shared" si="23"/>
        <v>0</v>
      </c>
      <c r="AY48" s="42">
        <f t="shared" si="23"/>
        <v>0</v>
      </c>
    </row>
    <row r="49" spans="1:16376">
      <c r="B49" s="2" t="s">
        <v>221</v>
      </c>
      <c r="C49" s="15" t="str">
        <f t="shared" si="3"/>
        <v>US$</v>
      </c>
      <c r="D49" s="41">
        <f>SUM(I49:AY49)</f>
        <v>300206062.49756461</v>
      </c>
      <c r="I49" s="42">
        <f>I281</f>
        <v>0</v>
      </c>
      <c r="J49" s="42">
        <f t="shared" ref="J49:AH49" si="24">J281</f>
        <v>0</v>
      </c>
      <c r="K49" s="42">
        <f t="shared" si="24"/>
        <v>0</v>
      </c>
      <c r="L49" s="42">
        <f>L281</f>
        <v>0</v>
      </c>
      <c r="M49" s="42">
        <f t="shared" si="24"/>
        <v>0</v>
      </c>
      <c r="N49" s="42">
        <f t="shared" si="24"/>
        <v>0</v>
      </c>
      <c r="O49" s="42">
        <f t="shared" si="24"/>
        <v>0</v>
      </c>
      <c r="P49" s="42">
        <f t="shared" si="24"/>
        <v>0</v>
      </c>
      <c r="Q49" s="42">
        <f t="shared" si="24"/>
        <v>0</v>
      </c>
      <c r="R49" s="42">
        <f t="shared" si="24"/>
        <v>0</v>
      </c>
      <c r="S49" s="42">
        <f t="shared" si="24"/>
        <v>0</v>
      </c>
      <c r="T49" s="42">
        <f t="shared" si="24"/>
        <v>0</v>
      </c>
      <c r="U49" s="42">
        <f t="shared" si="24"/>
        <v>0</v>
      </c>
      <c r="V49" s="42">
        <f>V281</f>
        <v>0</v>
      </c>
      <c r="W49" s="42">
        <f t="shared" si="24"/>
        <v>0</v>
      </c>
      <c r="X49" s="42">
        <f>X281</f>
        <v>503587.96815046604</v>
      </c>
      <c r="Y49" s="42">
        <f t="shared" si="24"/>
        <v>1747259.7531826443</v>
      </c>
      <c r="Z49" s="42">
        <f t="shared" si="24"/>
        <v>3152145.967583423</v>
      </c>
      <c r="AA49" s="42">
        <f t="shared" si="24"/>
        <v>4568909.3819412347</v>
      </c>
      <c r="AB49" s="42">
        <f t="shared" si="24"/>
        <v>5997650.4085723041</v>
      </c>
      <c r="AC49" s="42">
        <f t="shared" si="24"/>
        <v>7438470.3086994383</v>
      </c>
      <c r="AD49" s="42">
        <f t="shared" si="24"/>
        <v>10125780.763246248</v>
      </c>
      <c r="AE49" s="42">
        <f t="shared" si="24"/>
        <v>12835810.298732214</v>
      </c>
      <c r="AF49" s="42">
        <f t="shared" si="24"/>
        <v>15890962.984558437</v>
      </c>
      <c r="AG49" s="42">
        <f t="shared" si="24"/>
        <v>16407163.695711108</v>
      </c>
      <c r="AH49" s="42">
        <f t="shared" si="24"/>
        <v>16927728.47492956</v>
      </c>
      <c r="AI49" s="42">
        <f>AI281</f>
        <v>17452694.216951966</v>
      </c>
      <c r="AJ49" s="42">
        <f>AJ281</f>
        <v>17982098.128432281</v>
      </c>
      <c r="AK49" s="42">
        <f>AK281</f>
        <v>18515977.730577249</v>
      </c>
      <c r="AL49" s="42">
        <f>AL281</f>
        <v>19054370.861805677</v>
      </c>
      <c r="AM49" s="42">
        <f t="shared" ref="AM49:AY49" si="25">AM281</f>
        <v>19597315.680430245</v>
      </c>
      <c r="AN49" s="42">
        <f t="shared" si="25"/>
        <v>20521601.091596439</v>
      </c>
      <c r="AO49" s="42">
        <f t="shared" si="25"/>
        <v>21453700.603672203</v>
      </c>
      <c r="AP49" s="42">
        <f t="shared" si="25"/>
        <v>22393680.2786902</v>
      </c>
      <c r="AQ49" s="42">
        <f t="shared" si="25"/>
        <v>23341606.737185251</v>
      </c>
      <c r="AR49" s="42">
        <f t="shared" si="25"/>
        <v>24297547.162915993</v>
      </c>
      <c r="AS49" s="42">
        <f t="shared" si="25"/>
        <v>0</v>
      </c>
      <c r="AT49" s="42">
        <f t="shared" si="25"/>
        <v>0</v>
      </c>
      <c r="AU49" s="42">
        <f t="shared" si="25"/>
        <v>0</v>
      </c>
      <c r="AV49" s="42">
        <f t="shared" si="25"/>
        <v>0</v>
      </c>
      <c r="AW49" s="42">
        <f t="shared" si="25"/>
        <v>0</v>
      </c>
      <c r="AX49" s="42">
        <f t="shared" si="25"/>
        <v>0</v>
      </c>
      <c r="AY49" s="42">
        <f t="shared" si="25"/>
        <v>0</v>
      </c>
    </row>
    <row r="50" spans="1:16376">
      <c r="B50" s="27" t="s">
        <v>222</v>
      </c>
      <c r="C50" s="28" t="str">
        <f t="shared" si="3"/>
        <v>US$</v>
      </c>
      <c r="D50" s="43">
        <f>SUM(I50:AY50)</f>
        <v>28983157.649601597</v>
      </c>
      <c r="E50" s="27"/>
      <c r="F50" s="27"/>
      <c r="G50" s="27"/>
      <c r="H50" s="27"/>
      <c r="I50" s="108">
        <f>I310</f>
        <v>7849605.1967670955</v>
      </c>
      <c r="J50" s="108">
        <f t="shared" ref="J50:AI50" si="26">J310</f>
        <v>603815.78436669963</v>
      </c>
      <c r="K50" s="108">
        <f t="shared" si="26"/>
        <v>603815.78436669963</v>
      </c>
      <c r="L50" s="108">
        <f t="shared" si="26"/>
        <v>603815.78436669963</v>
      </c>
      <c r="M50" s="108">
        <f t="shared" si="26"/>
        <v>603815.78436669963</v>
      </c>
      <c r="N50" s="108">
        <f t="shared" si="26"/>
        <v>603815.78436669963</v>
      </c>
      <c r="O50" s="108">
        <f t="shared" si="26"/>
        <v>603815.78436669963</v>
      </c>
      <c r="P50" s="108">
        <f t="shared" si="26"/>
        <v>603815.78436669963</v>
      </c>
      <c r="Q50" s="108">
        <f t="shared" si="26"/>
        <v>603815.78436669963</v>
      </c>
      <c r="R50" s="108">
        <f t="shared" si="26"/>
        <v>603815.78436669963</v>
      </c>
      <c r="S50" s="108">
        <f t="shared" si="26"/>
        <v>603815.78436669963</v>
      </c>
      <c r="T50" s="108">
        <f t="shared" si="26"/>
        <v>603815.78436669963</v>
      </c>
      <c r="U50" s="108">
        <f t="shared" si="26"/>
        <v>603815.78436669963</v>
      </c>
      <c r="V50" s="108">
        <f t="shared" si="26"/>
        <v>603815.78436669963</v>
      </c>
      <c r="W50" s="108">
        <f t="shared" si="26"/>
        <v>603815.78436669963</v>
      </c>
      <c r="X50" s="108">
        <f t="shared" si="26"/>
        <v>603815.78436669952</v>
      </c>
      <c r="Y50" s="108">
        <f t="shared" si="26"/>
        <v>603815.78436669963</v>
      </c>
      <c r="Z50" s="108">
        <f t="shared" si="26"/>
        <v>603815.78436669963</v>
      </c>
      <c r="AA50" s="108">
        <f t="shared" si="26"/>
        <v>603815.78436669963</v>
      </c>
      <c r="AB50" s="108">
        <f t="shared" si="26"/>
        <v>603815.78436669975</v>
      </c>
      <c r="AC50" s="108">
        <f t="shared" si="26"/>
        <v>603815.78436669963</v>
      </c>
      <c r="AD50" s="108">
        <f t="shared" si="26"/>
        <v>603815.78436669963</v>
      </c>
      <c r="AE50" s="108">
        <f t="shared" si="26"/>
        <v>603815.78436669963</v>
      </c>
      <c r="AF50" s="108">
        <f t="shared" si="26"/>
        <v>603815.78436669963</v>
      </c>
      <c r="AG50" s="108">
        <f t="shared" si="26"/>
        <v>603815.78436669963</v>
      </c>
      <c r="AH50" s="108">
        <f t="shared" si="26"/>
        <v>603815.78436669963</v>
      </c>
      <c r="AI50" s="108">
        <f t="shared" si="26"/>
        <v>603815.78436669975</v>
      </c>
      <c r="AJ50" s="108">
        <f>AJ310</f>
        <v>603815.78436669963</v>
      </c>
      <c r="AK50" s="108">
        <f>AK310</f>
        <v>603815.78436669963</v>
      </c>
      <c r="AL50" s="108">
        <f>AL310</f>
        <v>603815.78436669963</v>
      </c>
      <c r="AM50" s="108">
        <f t="shared" ref="AM50:AY50" si="27">AM310</f>
        <v>603815.78436669963</v>
      </c>
      <c r="AN50" s="108">
        <f t="shared" si="27"/>
        <v>603815.78436669975</v>
      </c>
      <c r="AO50" s="108">
        <f t="shared" si="27"/>
        <v>603815.78436669975</v>
      </c>
      <c r="AP50" s="108">
        <f t="shared" si="27"/>
        <v>603815.78436669975</v>
      </c>
      <c r="AQ50" s="108">
        <f t="shared" si="27"/>
        <v>603815.78436669963</v>
      </c>
      <c r="AR50" s="108">
        <f t="shared" si="27"/>
        <v>603815.78436669963</v>
      </c>
      <c r="AS50" s="108">
        <f t="shared" si="27"/>
        <v>0</v>
      </c>
      <c r="AT50" s="108">
        <f t="shared" si="27"/>
        <v>0</v>
      </c>
      <c r="AU50" s="108">
        <f t="shared" si="27"/>
        <v>0</v>
      </c>
      <c r="AV50" s="108">
        <f t="shared" si="27"/>
        <v>0</v>
      </c>
      <c r="AW50" s="108">
        <f t="shared" si="27"/>
        <v>0</v>
      </c>
      <c r="AX50" s="108">
        <f t="shared" si="27"/>
        <v>0</v>
      </c>
      <c r="AY50" s="108">
        <f t="shared" si="27"/>
        <v>0</v>
      </c>
    </row>
    <row r="51" spans="1:16376" s="135" customFormat="1" ht="9.6" customHeight="1">
      <c r="B51" s="135" t="s">
        <v>71</v>
      </c>
      <c r="C51" s="1062" t="str">
        <f t="shared" si="3"/>
        <v>US$</v>
      </c>
      <c r="D51" s="1063">
        <f>SUM(D48:D50)</f>
        <v>1964197839.8920641</v>
      </c>
      <c r="I51" s="1063">
        <f>SUM(I48:I50)</f>
        <v>40549777.591665059</v>
      </c>
      <c r="J51" s="1063">
        <f t="shared" ref="J51:AO51" si="28">SUM(J48:J50)</f>
        <v>33303988.179264661</v>
      </c>
      <c r="K51" s="1063">
        <f t="shared" si="28"/>
        <v>33303988.179264661</v>
      </c>
      <c r="L51" s="1063">
        <f t="shared" si="28"/>
        <v>33303988.179264661</v>
      </c>
      <c r="M51" s="1063">
        <f t="shared" si="28"/>
        <v>33303988.179264661</v>
      </c>
      <c r="N51" s="1063">
        <f t="shared" si="28"/>
        <v>33303988.179264661</v>
      </c>
      <c r="O51" s="1063">
        <f t="shared" si="28"/>
        <v>33303988.179264661</v>
      </c>
      <c r="P51" s="1063">
        <f t="shared" si="28"/>
        <v>33303988.179264661</v>
      </c>
      <c r="Q51" s="1063">
        <f t="shared" si="28"/>
        <v>33303988.179264661</v>
      </c>
      <c r="R51" s="1063">
        <f t="shared" si="28"/>
        <v>33303988.179264661</v>
      </c>
      <c r="S51" s="1063">
        <f t="shared" si="28"/>
        <v>33303988.179264661</v>
      </c>
      <c r="T51" s="1063">
        <f t="shared" si="28"/>
        <v>33303988.179264661</v>
      </c>
      <c r="U51" s="1063">
        <f t="shared" si="28"/>
        <v>82354246.771611601</v>
      </c>
      <c r="V51" s="1063">
        <f t="shared" si="28"/>
        <v>82354246.771611601</v>
      </c>
      <c r="W51" s="1063">
        <f t="shared" si="28"/>
        <v>82354246.771611601</v>
      </c>
      <c r="X51" s="1063">
        <f t="shared" si="28"/>
        <v>82857834.739762068</v>
      </c>
      <c r="Y51" s="1063">
        <f t="shared" si="28"/>
        <v>84101506.524794251</v>
      </c>
      <c r="Z51" s="1063">
        <f t="shared" si="28"/>
        <v>85506392.739195019</v>
      </c>
      <c r="AA51" s="1063">
        <f t="shared" si="28"/>
        <v>86923156.15355283</v>
      </c>
      <c r="AB51" s="1063">
        <f t="shared" si="28"/>
        <v>88351897.180183902</v>
      </c>
      <c r="AC51" s="1063">
        <f t="shared" si="28"/>
        <v>89792717.080311045</v>
      </c>
      <c r="AD51" s="1063">
        <f t="shared" si="28"/>
        <v>174230458.52210274</v>
      </c>
      <c r="AE51" s="1063">
        <f t="shared" si="28"/>
        <v>176940488.05758873</v>
      </c>
      <c r="AF51" s="1063">
        <f t="shared" si="28"/>
        <v>196345726.94086391</v>
      </c>
      <c r="AG51" s="1063">
        <f t="shared" si="28"/>
        <v>17010979.480077807</v>
      </c>
      <c r="AH51" s="1063">
        <f t="shared" si="28"/>
        <v>17531544.259296261</v>
      </c>
      <c r="AI51" s="1063">
        <f t="shared" si="28"/>
        <v>18056510.001318667</v>
      </c>
      <c r="AJ51" s="1063">
        <f t="shared" si="28"/>
        <v>18585913.912798982</v>
      </c>
      <c r="AK51" s="1063">
        <f t="shared" si="28"/>
        <v>19119793.51494395</v>
      </c>
      <c r="AL51" s="1063">
        <f t="shared" si="28"/>
        <v>19658186.646172378</v>
      </c>
      <c r="AM51" s="1063">
        <f t="shared" si="28"/>
        <v>20201131.464796945</v>
      </c>
      <c r="AN51" s="1063">
        <f t="shared" si="28"/>
        <v>21125416.87596314</v>
      </c>
      <c r="AO51" s="1063">
        <f t="shared" si="28"/>
        <v>22057516.388038903</v>
      </c>
      <c r="AP51" s="1063">
        <f t="shared" ref="AP51:AY51" si="29">SUM(AP48:AP50)</f>
        <v>22997496.063056901</v>
      </c>
      <c r="AQ51" s="1063">
        <f t="shared" si="29"/>
        <v>23945422.521551952</v>
      </c>
      <c r="AR51" s="1063">
        <f t="shared" si="29"/>
        <v>24901362.947282694</v>
      </c>
      <c r="AS51" s="1063">
        <f t="shared" si="29"/>
        <v>0</v>
      </c>
      <c r="AT51" s="1063">
        <f t="shared" si="29"/>
        <v>0</v>
      </c>
      <c r="AU51" s="1063">
        <f t="shared" si="29"/>
        <v>0</v>
      </c>
      <c r="AV51" s="1063">
        <f t="shared" si="29"/>
        <v>0</v>
      </c>
      <c r="AW51" s="1063">
        <f t="shared" si="29"/>
        <v>0</v>
      </c>
      <c r="AX51" s="1063">
        <f t="shared" si="29"/>
        <v>0</v>
      </c>
      <c r="AY51" s="1063">
        <f t="shared" si="29"/>
        <v>0</v>
      </c>
      <c r="AZ51" s="151"/>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row>
    <row r="52" spans="1:16376" s="590" customFormat="1" ht="13.15" customHeight="1" thickBot="1">
      <c r="A52" s="2"/>
      <c r="B52" s="15"/>
      <c r="C52" s="42"/>
      <c r="D52" s="2"/>
      <c r="E52" s="2"/>
      <c r="F52" s="2"/>
      <c r="G52" s="2"/>
      <c r="H52" s="42"/>
      <c r="I52" s="42"/>
      <c r="J52" s="42"/>
      <c r="K52" s="42"/>
      <c r="L52" s="42"/>
      <c r="M52" s="42"/>
      <c r="N52" s="42"/>
      <c r="O52" s="42"/>
      <c r="P52" s="42"/>
      <c r="Q52" s="42"/>
      <c r="R52" s="42"/>
      <c r="S52" s="42"/>
      <c r="T52" s="42"/>
      <c r="U52" s="42"/>
      <c r="V52" s="42"/>
      <c r="W52" s="42"/>
      <c r="X52" s="42"/>
      <c r="Y52" s="42"/>
      <c r="Z52" s="42"/>
      <c r="AA52" s="42"/>
      <c r="AB52" s="42"/>
      <c r="AC52" s="42"/>
      <c r="AD52" s="42"/>
      <c r="AE52" s="2"/>
      <c r="AF52" s="15"/>
      <c r="AG52" s="42"/>
      <c r="AH52" s="2"/>
      <c r="AI52" s="2"/>
      <c r="AJ52" s="2"/>
      <c r="AK52" s="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2"/>
      <c r="BJ52" s="15"/>
      <c r="BK52" s="42"/>
      <c r="BL52" s="2"/>
      <c r="BM52" s="2"/>
      <c r="BN52" s="2"/>
      <c r="BO52" s="2"/>
      <c r="BP52" s="42"/>
      <c r="BQ52" s="42"/>
      <c r="BR52" s="42"/>
      <c r="BS52" s="42"/>
      <c r="BT52" s="42"/>
      <c r="BU52" s="42"/>
      <c r="BV52" s="42"/>
      <c r="BW52" s="42"/>
      <c r="BX52" s="42"/>
      <c r="BY52" s="42"/>
      <c r="BZ52" s="42"/>
      <c r="CA52" s="42"/>
      <c r="CB52" s="42"/>
      <c r="CC52" s="42"/>
      <c r="CD52" s="42"/>
      <c r="CE52" s="2"/>
      <c r="CF52" s="15"/>
      <c r="CG52" s="42"/>
      <c r="CH52" s="2"/>
      <c r="CI52" s="2"/>
      <c r="CJ52" s="2"/>
      <c r="CK52" s="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2"/>
      <c r="DJ52" s="15"/>
      <c r="DK52" s="42"/>
      <c r="DL52" s="2"/>
      <c r="DM52" s="2"/>
      <c r="DN52" s="2"/>
      <c r="DO52" s="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2"/>
      <c r="EN52" s="15"/>
      <c r="EO52" s="42"/>
      <c r="EP52" s="2"/>
      <c r="EQ52" s="2"/>
      <c r="ER52" s="2"/>
      <c r="ES52" s="2"/>
      <c r="ET52" s="42"/>
      <c r="EU52" s="42"/>
      <c r="EV52" s="42"/>
      <c r="EW52" s="42"/>
      <c r="EX52" s="42"/>
      <c r="EY52" s="42"/>
      <c r="EZ52" s="42"/>
      <c r="FA52" s="42"/>
      <c r="FB52" s="42"/>
      <c r="FC52" s="42"/>
      <c r="FD52" s="42"/>
      <c r="FE52" s="42"/>
      <c r="FF52" s="42"/>
      <c r="FG52" s="42"/>
      <c r="FH52" s="42"/>
      <c r="FI52" s="42"/>
      <c r="FJ52" s="42"/>
      <c r="FK52" s="42"/>
      <c r="FL52" s="42"/>
      <c r="FM52" s="42"/>
      <c r="FN52" s="42"/>
      <c r="FO52" s="42"/>
      <c r="FP52" s="42"/>
      <c r="FQ52" s="2"/>
      <c r="FR52" s="15"/>
      <c r="FS52" s="42"/>
      <c r="FT52" s="2"/>
      <c r="FU52" s="2"/>
      <c r="FV52" s="2"/>
      <c r="FW52" s="2"/>
      <c r="FX52" s="42"/>
      <c r="FY52" s="42"/>
      <c r="FZ52" s="42"/>
      <c r="GA52" s="42"/>
      <c r="GB52" s="42"/>
      <c r="GC52" s="42"/>
      <c r="GD52" s="42"/>
      <c r="GE52" s="42"/>
      <c r="GF52" s="42"/>
      <c r="GG52" s="42"/>
      <c r="GH52" s="42"/>
      <c r="GI52" s="42"/>
      <c r="GJ52" s="42"/>
      <c r="GK52" s="42"/>
      <c r="GL52" s="42"/>
      <c r="GM52" s="42"/>
      <c r="GN52" s="42"/>
      <c r="GO52" s="42"/>
      <c r="GP52" s="42"/>
      <c r="GQ52" s="42"/>
      <c r="GR52" s="42"/>
      <c r="GS52" s="42"/>
      <c r="GT52" s="42"/>
      <c r="GU52" s="2"/>
      <c r="GV52" s="15"/>
      <c r="GW52" s="42"/>
      <c r="GX52" s="2"/>
      <c r="GY52" s="2"/>
      <c r="GZ52" s="2"/>
      <c r="HA52" s="2"/>
      <c r="HB52" s="42"/>
      <c r="HC52" s="42"/>
      <c r="HD52" s="42"/>
      <c r="HE52" s="42"/>
      <c r="HF52" s="42"/>
      <c r="HG52" s="42"/>
      <c r="HH52" s="42"/>
      <c r="HI52" s="42"/>
      <c r="HJ52" s="42"/>
      <c r="HK52" s="42"/>
      <c r="HL52" s="42"/>
      <c r="HM52" s="42"/>
      <c r="HN52" s="42"/>
      <c r="HO52" s="42"/>
      <c r="HP52" s="42"/>
      <c r="HQ52" s="42"/>
      <c r="HR52" s="42"/>
      <c r="HS52" s="42"/>
      <c r="HT52" s="42"/>
      <c r="HU52" s="42"/>
      <c r="HV52" s="42"/>
      <c r="HW52" s="42"/>
      <c r="HX52" s="42"/>
      <c r="HY52" s="2"/>
      <c r="HZ52" s="15"/>
      <c r="IA52" s="42"/>
      <c r="IB52" s="2"/>
      <c r="IC52" s="2"/>
      <c r="ID52" s="2"/>
      <c r="IE52" s="2"/>
      <c r="IF52" s="42"/>
      <c r="IG52" s="42"/>
      <c r="IH52" s="42"/>
      <c r="II52" s="42"/>
      <c r="IJ52" s="42"/>
      <c r="IK52" s="42"/>
      <c r="IL52" s="42"/>
      <c r="IM52" s="42"/>
      <c r="IN52" s="42"/>
      <c r="IO52" s="42"/>
      <c r="IP52" s="42"/>
      <c r="IQ52" s="42"/>
      <c r="IR52" s="42"/>
      <c r="IS52" s="42"/>
      <c r="IT52" s="42"/>
      <c r="IU52" s="42"/>
      <c r="IV52" s="42"/>
      <c r="IW52" s="42"/>
      <c r="IX52" s="42"/>
      <c r="IY52" s="42"/>
      <c r="IZ52" s="42"/>
      <c r="JA52" s="42"/>
      <c r="JB52" s="42"/>
      <c r="JC52" s="2"/>
      <c r="JD52" s="15"/>
      <c r="JE52" s="42"/>
      <c r="JF52" s="2"/>
      <c r="JG52" s="2"/>
      <c r="JH52" s="2"/>
      <c r="JI52" s="2"/>
      <c r="JJ52" s="42"/>
      <c r="JK52" s="42"/>
      <c r="JL52" s="42"/>
      <c r="JM52" s="42"/>
      <c r="JN52" s="42"/>
      <c r="JO52" s="42"/>
      <c r="JP52" s="42"/>
      <c r="JQ52" s="42"/>
      <c r="JR52" s="42"/>
      <c r="JS52" s="42"/>
      <c r="JT52" s="42"/>
      <c r="JU52" s="42"/>
      <c r="JV52" s="42"/>
      <c r="JW52" s="42"/>
      <c r="JX52" s="42"/>
      <c r="JY52" s="42"/>
      <c r="JZ52" s="42"/>
      <c r="KA52" s="42"/>
      <c r="KB52" s="42"/>
      <c r="KC52" s="42"/>
      <c r="KD52" s="42"/>
      <c r="KE52" s="42"/>
      <c r="KF52" s="42"/>
      <c r="KG52" s="2"/>
      <c r="KH52" s="15"/>
      <c r="KI52" s="42"/>
      <c r="KJ52" s="2"/>
      <c r="KK52" s="2"/>
      <c r="KL52" s="2"/>
      <c r="KM52" s="2"/>
      <c r="KN52" s="42"/>
      <c r="KO52" s="42"/>
      <c r="KP52" s="42"/>
      <c r="KQ52" s="42"/>
      <c r="KR52" s="42"/>
      <c r="KS52" s="42"/>
      <c r="KT52" s="42"/>
      <c r="KU52" s="42"/>
      <c r="KV52" s="42"/>
      <c r="KW52" s="42"/>
      <c r="KX52" s="42"/>
      <c r="KY52" s="42"/>
      <c r="KZ52" s="42"/>
      <c r="LA52" s="42"/>
      <c r="LB52" s="42"/>
      <c r="LC52" s="42"/>
      <c r="LD52" s="42"/>
      <c r="LE52" s="42"/>
      <c r="LF52" s="42"/>
      <c r="LG52" s="42"/>
      <c r="LH52" s="42"/>
      <c r="LI52" s="42"/>
      <c r="LJ52" s="42"/>
      <c r="LK52" s="2"/>
      <c r="LL52" s="15"/>
      <c r="LM52" s="42"/>
      <c r="LN52" s="2"/>
      <c r="LO52" s="2"/>
      <c r="LP52" s="2"/>
      <c r="LQ52" s="2"/>
      <c r="LR52" s="42"/>
      <c r="LS52" s="42"/>
      <c r="LT52" s="42"/>
      <c r="LU52" s="42"/>
      <c r="LV52" s="42"/>
      <c r="LW52" s="42"/>
      <c r="LX52" s="42"/>
      <c r="LY52" s="42"/>
      <c r="LZ52" s="42"/>
      <c r="MA52" s="42"/>
      <c r="MB52" s="42"/>
      <c r="MC52" s="42"/>
      <c r="MD52" s="42"/>
      <c r="ME52" s="42"/>
      <c r="MF52" s="42"/>
      <c r="MG52" s="42"/>
      <c r="MH52" s="42"/>
      <c r="MI52" s="42"/>
      <c r="MJ52" s="42"/>
      <c r="MK52" s="42"/>
      <c r="ML52" s="42"/>
      <c r="MM52" s="42"/>
      <c r="MN52" s="42"/>
      <c r="MO52" s="2"/>
      <c r="MP52" s="15"/>
      <c r="MQ52" s="42"/>
      <c r="MR52" s="2"/>
      <c r="MS52" s="2"/>
      <c r="MT52" s="2"/>
      <c r="MU52" s="2"/>
      <c r="MV52" s="42"/>
      <c r="MW52" s="42"/>
      <c r="MX52" s="42"/>
      <c r="MY52" s="42"/>
      <c r="MZ52" s="42"/>
      <c r="NA52" s="42"/>
      <c r="NB52" s="42"/>
      <c r="NC52" s="42"/>
      <c r="ND52" s="42"/>
      <c r="NE52" s="42"/>
      <c r="NF52" s="42"/>
      <c r="NG52" s="42"/>
      <c r="NH52" s="42"/>
      <c r="NI52" s="42"/>
      <c r="NJ52" s="42"/>
      <c r="NK52" s="42"/>
      <c r="NL52" s="42"/>
      <c r="NM52" s="42"/>
      <c r="NN52" s="42"/>
      <c r="NO52" s="42"/>
      <c r="NP52" s="42"/>
      <c r="NQ52" s="42"/>
      <c r="NR52" s="42"/>
      <c r="NS52" s="2"/>
      <c r="NT52" s="15"/>
      <c r="NU52" s="42"/>
      <c r="NV52" s="2"/>
      <c r="NW52" s="2"/>
      <c r="NX52" s="2"/>
      <c r="NY52" s="2"/>
      <c r="NZ52" s="42"/>
      <c r="OA52" s="42"/>
      <c r="OB52" s="42"/>
      <c r="OC52" s="42"/>
      <c r="OD52" s="42"/>
      <c r="OE52" s="42"/>
      <c r="OF52" s="42"/>
      <c r="OG52" s="42"/>
      <c r="OH52" s="42"/>
      <c r="OI52" s="42"/>
      <c r="OJ52" s="42"/>
      <c r="OK52" s="42"/>
      <c r="OL52" s="42"/>
      <c r="OM52" s="42"/>
      <c r="ON52" s="42"/>
      <c r="OO52" s="42"/>
      <c r="OP52" s="42"/>
      <c r="OQ52" s="42"/>
      <c r="OR52" s="42"/>
      <c r="OS52" s="42"/>
      <c r="OT52" s="42"/>
      <c r="OU52" s="42"/>
      <c r="OV52" s="42"/>
      <c r="OW52" s="2"/>
      <c r="OX52" s="15"/>
      <c r="OY52" s="42"/>
      <c r="OZ52" s="2"/>
      <c r="PA52" s="2"/>
      <c r="PB52" s="2"/>
      <c r="PC52" s="2"/>
      <c r="PD52" s="42"/>
      <c r="PE52" s="42"/>
      <c r="PF52" s="42"/>
      <c r="PG52" s="42"/>
      <c r="PH52" s="42"/>
      <c r="PI52" s="42"/>
      <c r="PJ52" s="42"/>
      <c r="PK52" s="42"/>
      <c r="PL52" s="42"/>
      <c r="PM52" s="42"/>
      <c r="PN52" s="42"/>
      <c r="PO52" s="42"/>
      <c r="PP52" s="42"/>
      <c r="PQ52" s="42"/>
      <c r="PR52" s="42"/>
      <c r="PS52" s="42"/>
      <c r="PT52" s="42"/>
      <c r="PU52" s="42"/>
      <c r="PV52" s="42"/>
      <c r="PW52" s="42"/>
      <c r="PX52" s="42"/>
      <c r="PY52" s="42"/>
      <c r="PZ52" s="42"/>
      <c r="QA52" s="2"/>
      <c r="QB52" s="15"/>
      <c r="QC52" s="42"/>
      <c r="QD52" s="2"/>
      <c r="QE52" s="2"/>
      <c r="QF52" s="2"/>
      <c r="QG52" s="2"/>
      <c r="QH52" s="42"/>
      <c r="QI52" s="42"/>
      <c r="QJ52" s="42"/>
      <c r="QK52" s="42"/>
      <c r="QL52" s="42"/>
      <c r="QM52" s="42"/>
      <c r="QN52" s="42"/>
      <c r="QO52" s="42"/>
      <c r="QP52" s="42"/>
      <c r="QQ52" s="42"/>
      <c r="QR52" s="42"/>
      <c r="QS52" s="42"/>
      <c r="QT52" s="42"/>
      <c r="QU52" s="42"/>
      <c r="QV52" s="42"/>
      <c r="QW52" s="42"/>
      <c r="QX52" s="42"/>
      <c r="QY52" s="42"/>
      <c r="QZ52" s="42"/>
      <c r="RA52" s="42"/>
      <c r="RB52" s="42"/>
      <c r="RC52" s="42"/>
      <c r="RD52" s="42"/>
      <c r="RE52" s="2"/>
      <c r="RF52" s="15"/>
      <c r="RG52" s="42"/>
      <c r="RH52" s="2"/>
      <c r="RI52" s="2"/>
      <c r="RJ52" s="2"/>
      <c r="RK52" s="2"/>
      <c r="RL52" s="42"/>
      <c r="RM52" s="42"/>
      <c r="RN52" s="42"/>
      <c r="RO52" s="42"/>
      <c r="RP52" s="42"/>
      <c r="RQ52" s="42"/>
      <c r="RR52" s="42"/>
      <c r="RS52" s="42"/>
      <c r="RT52" s="42"/>
      <c r="RU52" s="42"/>
      <c r="RV52" s="42"/>
      <c r="RW52" s="42"/>
      <c r="RX52" s="42"/>
      <c r="RY52" s="42"/>
      <c r="RZ52" s="42"/>
      <c r="SA52" s="42"/>
      <c r="SB52" s="42"/>
      <c r="SC52" s="42"/>
      <c r="SD52" s="42"/>
      <c r="SE52" s="42"/>
      <c r="SF52" s="42"/>
      <c r="SG52" s="42"/>
      <c r="SH52" s="42"/>
      <c r="SI52" s="2"/>
      <c r="SJ52" s="15"/>
      <c r="SK52" s="42"/>
      <c r="SL52" s="2"/>
      <c r="SM52" s="2"/>
      <c r="SN52" s="2"/>
      <c r="SO52" s="2"/>
      <c r="SP52" s="42"/>
      <c r="SQ52" s="42"/>
      <c r="SR52" s="42"/>
      <c r="SS52" s="42"/>
      <c r="ST52" s="42"/>
      <c r="SU52" s="42"/>
      <c r="SV52" s="42"/>
      <c r="SW52" s="42"/>
      <c r="SX52" s="42"/>
      <c r="SY52" s="42"/>
      <c r="SZ52" s="42"/>
      <c r="TA52" s="42"/>
      <c r="TB52" s="42"/>
      <c r="TC52" s="42"/>
      <c r="TD52" s="42"/>
      <c r="TE52" s="42"/>
      <c r="TF52" s="42"/>
      <c r="TG52" s="42"/>
      <c r="TH52" s="42"/>
      <c r="TI52" s="42"/>
      <c r="TJ52" s="42"/>
      <c r="TK52" s="42"/>
      <c r="TL52" s="42"/>
      <c r="TM52" s="2"/>
      <c r="TN52" s="15"/>
      <c r="TO52" s="42"/>
      <c r="TP52" s="2"/>
      <c r="TQ52" s="2"/>
      <c r="TR52" s="2"/>
      <c r="TS52" s="2"/>
      <c r="TT52" s="42"/>
      <c r="TU52" s="42"/>
      <c r="TV52" s="42"/>
      <c r="TW52" s="42"/>
      <c r="TX52" s="42"/>
      <c r="TY52" s="42"/>
      <c r="TZ52" s="42"/>
      <c r="UA52" s="42"/>
      <c r="UB52" s="42"/>
      <c r="UC52" s="42"/>
      <c r="UD52" s="42"/>
      <c r="UE52" s="42"/>
      <c r="UF52" s="42"/>
      <c r="UG52" s="42"/>
      <c r="UH52" s="42"/>
      <c r="UI52" s="42"/>
      <c r="UJ52" s="42"/>
      <c r="UK52" s="42"/>
      <c r="UL52" s="42"/>
      <c r="UM52" s="42"/>
      <c r="UN52" s="42"/>
      <c r="UO52" s="42"/>
      <c r="UP52" s="42"/>
      <c r="UQ52" s="2"/>
      <c r="UR52" s="15"/>
      <c r="US52" s="42"/>
      <c r="UT52" s="2"/>
      <c r="UU52" s="2"/>
      <c r="UV52" s="2"/>
      <c r="UW52" s="2"/>
      <c r="UX52" s="42"/>
      <c r="UY52" s="42"/>
      <c r="UZ52" s="42"/>
      <c r="VA52" s="42"/>
      <c r="VB52" s="42"/>
      <c r="VC52" s="42"/>
      <c r="VD52" s="42"/>
      <c r="VE52" s="42"/>
      <c r="VF52" s="42"/>
      <c r="VG52" s="42"/>
      <c r="VH52" s="42"/>
      <c r="VI52" s="42"/>
      <c r="VJ52" s="42"/>
      <c r="VK52" s="42"/>
      <c r="VL52" s="42"/>
      <c r="VM52" s="42"/>
      <c r="VN52" s="42"/>
      <c r="VO52" s="42"/>
      <c r="VP52" s="42"/>
      <c r="VQ52" s="42"/>
      <c r="VR52" s="42"/>
      <c r="VS52" s="42"/>
      <c r="VT52" s="42"/>
      <c r="VU52" s="2"/>
      <c r="VV52" s="15"/>
      <c r="VW52" s="42"/>
      <c r="VX52" s="2"/>
      <c r="VY52" s="2"/>
      <c r="VZ52" s="2"/>
      <c r="WA52" s="2"/>
      <c r="WB52" s="42"/>
      <c r="WC52" s="42"/>
      <c r="WD52" s="42"/>
      <c r="WE52" s="42"/>
      <c r="WF52" s="42"/>
      <c r="WG52" s="42"/>
      <c r="WH52" s="42"/>
      <c r="WI52" s="42"/>
      <c r="WJ52" s="42"/>
      <c r="WK52" s="42"/>
      <c r="WL52" s="42"/>
      <c r="WM52" s="42"/>
      <c r="WN52" s="42"/>
      <c r="WO52" s="42"/>
      <c r="WP52" s="42"/>
      <c r="WQ52" s="42"/>
      <c r="WR52" s="42"/>
      <c r="WS52" s="42"/>
      <c r="WT52" s="42"/>
      <c r="WU52" s="42"/>
      <c r="WV52" s="42"/>
      <c r="WW52" s="42"/>
      <c r="WX52" s="42"/>
      <c r="WY52" s="2"/>
      <c r="WZ52" s="15"/>
      <c r="XA52" s="42"/>
      <c r="XB52" s="2"/>
      <c r="XC52" s="2"/>
      <c r="XD52" s="2"/>
      <c r="XE52" s="2"/>
      <c r="XF52" s="42"/>
      <c r="XG52" s="42"/>
      <c r="XH52" s="42"/>
      <c r="XI52" s="42"/>
      <c r="XJ52" s="42"/>
      <c r="XK52" s="42"/>
      <c r="XL52" s="42"/>
      <c r="XM52" s="42"/>
      <c r="XN52" s="42"/>
      <c r="XO52" s="42"/>
      <c r="XP52" s="42"/>
      <c r="XQ52" s="42"/>
      <c r="XR52" s="42"/>
      <c r="XS52" s="42"/>
      <c r="XT52" s="42"/>
      <c r="XU52" s="42"/>
      <c r="XV52" s="42"/>
      <c r="XW52" s="42"/>
      <c r="XX52" s="42"/>
      <c r="XY52" s="42"/>
      <c r="XZ52" s="42"/>
      <c r="YA52" s="42"/>
      <c r="YB52" s="42"/>
      <c r="YC52" s="2"/>
      <c r="YD52" s="15"/>
      <c r="YE52" s="42"/>
      <c r="YF52" s="2"/>
      <c r="YG52" s="2"/>
      <c r="YH52" s="2"/>
      <c r="YI52" s="2"/>
      <c r="YJ52" s="42"/>
      <c r="YK52" s="42"/>
      <c r="YL52" s="42"/>
      <c r="YM52" s="42"/>
      <c r="YN52" s="42"/>
      <c r="YO52" s="42"/>
      <c r="YP52" s="42"/>
      <c r="YQ52" s="42"/>
      <c r="YR52" s="42"/>
      <c r="YS52" s="42"/>
      <c r="YT52" s="42"/>
      <c r="YU52" s="42"/>
      <c r="YV52" s="42"/>
      <c r="YW52" s="42"/>
      <c r="YX52" s="42"/>
      <c r="YY52" s="42"/>
      <c r="YZ52" s="42"/>
      <c r="ZA52" s="42"/>
      <c r="ZB52" s="42"/>
      <c r="ZC52" s="42"/>
      <c r="ZD52" s="42"/>
      <c r="ZE52" s="42"/>
      <c r="ZF52" s="42"/>
      <c r="ZG52" s="2"/>
      <c r="ZH52" s="15"/>
      <c r="ZI52" s="42"/>
      <c r="ZJ52" s="2"/>
      <c r="ZK52" s="2"/>
      <c r="ZL52" s="2"/>
      <c r="ZM52" s="2"/>
      <c r="ZN52" s="42"/>
      <c r="ZO52" s="42"/>
      <c r="ZP52" s="42"/>
      <c r="ZQ52" s="42"/>
      <c r="ZR52" s="42"/>
      <c r="ZS52" s="42"/>
      <c r="ZT52" s="42"/>
      <c r="ZU52" s="42"/>
      <c r="ZV52" s="42"/>
      <c r="ZW52" s="42"/>
      <c r="ZX52" s="42"/>
      <c r="ZY52" s="42"/>
      <c r="ZZ52" s="42"/>
      <c r="AAA52" s="42"/>
      <c r="AAB52" s="42"/>
      <c r="AAC52" s="42"/>
      <c r="AAD52" s="42"/>
      <c r="AAE52" s="42"/>
      <c r="AAF52" s="42"/>
      <c r="AAG52" s="42"/>
      <c r="AAH52" s="42"/>
      <c r="AAI52" s="42"/>
      <c r="AAJ52" s="42"/>
      <c r="AAK52" s="2"/>
      <c r="AAL52" s="15"/>
      <c r="AAM52" s="42"/>
      <c r="AAN52" s="2"/>
      <c r="AAO52" s="2"/>
      <c r="AAP52" s="2"/>
      <c r="AAQ52" s="2"/>
      <c r="AAR52" s="42"/>
      <c r="AAS52" s="42"/>
      <c r="AAT52" s="42"/>
      <c r="AAU52" s="42"/>
      <c r="AAV52" s="42"/>
      <c r="AAW52" s="42"/>
      <c r="AAX52" s="42"/>
      <c r="AAY52" s="42"/>
      <c r="AAZ52" s="42"/>
      <c r="ABA52" s="42"/>
      <c r="ABB52" s="42"/>
      <c r="ABC52" s="42"/>
      <c r="ABD52" s="42"/>
      <c r="ABE52" s="42"/>
      <c r="ABF52" s="42"/>
      <c r="ABG52" s="42"/>
      <c r="ABH52" s="42"/>
      <c r="ABI52" s="42"/>
      <c r="ABJ52" s="42"/>
      <c r="ABK52" s="42"/>
      <c r="ABL52" s="42"/>
      <c r="ABM52" s="42"/>
      <c r="ABN52" s="42"/>
      <c r="ABO52" s="2"/>
      <c r="ABP52" s="15"/>
      <c r="ABQ52" s="42"/>
      <c r="ABR52" s="2"/>
      <c r="ABS52" s="2"/>
      <c r="ABT52" s="2"/>
      <c r="ABU52" s="2"/>
      <c r="ABV52" s="42"/>
      <c r="ABW52" s="42"/>
      <c r="ABX52" s="42"/>
      <c r="ABY52" s="42"/>
      <c r="ABZ52" s="42"/>
      <c r="ACA52" s="42"/>
      <c r="ACB52" s="42"/>
      <c r="ACC52" s="42"/>
      <c r="ACD52" s="42"/>
      <c r="ACE52" s="42"/>
      <c r="ACF52" s="42"/>
      <c r="ACG52" s="42"/>
      <c r="ACH52" s="42"/>
      <c r="ACI52" s="42"/>
      <c r="ACJ52" s="42"/>
      <c r="ACK52" s="42"/>
      <c r="ACL52" s="42"/>
      <c r="ACM52" s="42"/>
      <c r="ACN52" s="42"/>
      <c r="ACO52" s="42"/>
      <c r="ACP52" s="42"/>
      <c r="ACQ52" s="42"/>
      <c r="ACR52" s="42"/>
      <c r="ACS52" s="2"/>
      <c r="ACT52" s="15"/>
      <c r="ACU52" s="42"/>
      <c r="ACV52" s="2"/>
      <c r="ACW52" s="2"/>
      <c r="ACX52" s="2"/>
      <c r="ACY52" s="2"/>
      <c r="ACZ52" s="42"/>
      <c r="ADA52" s="42"/>
      <c r="ADB52" s="42"/>
      <c r="ADC52" s="42"/>
      <c r="ADD52" s="42"/>
      <c r="ADE52" s="42"/>
      <c r="ADF52" s="42"/>
      <c r="ADG52" s="42"/>
      <c r="ADH52" s="42"/>
      <c r="ADI52" s="42"/>
      <c r="ADJ52" s="42"/>
      <c r="ADK52" s="42"/>
      <c r="ADL52" s="42"/>
      <c r="ADM52" s="42"/>
      <c r="ADN52" s="42"/>
      <c r="ADO52" s="42"/>
      <c r="ADP52" s="42"/>
      <c r="ADQ52" s="42"/>
      <c r="ADR52" s="42"/>
      <c r="ADS52" s="42"/>
      <c r="ADT52" s="42"/>
      <c r="ADU52" s="42"/>
      <c r="ADV52" s="42"/>
      <c r="ADW52" s="2"/>
      <c r="ADX52" s="15"/>
      <c r="ADY52" s="42"/>
      <c r="ADZ52" s="2"/>
      <c r="AEA52" s="2"/>
      <c r="AEB52" s="2"/>
      <c r="AEC52" s="2"/>
      <c r="AED52" s="42"/>
      <c r="AEE52" s="42"/>
      <c r="AEF52" s="42"/>
      <c r="AEG52" s="42"/>
      <c r="AEH52" s="42"/>
      <c r="AEI52" s="42"/>
      <c r="AEJ52" s="42"/>
      <c r="AEK52" s="42"/>
      <c r="AEL52" s="42"/>
      <c r="AEM52" s="42"/>
      <c r="AEN52" s="42"/>
      <c r="AEO52" s="42"/>
      <c r="AEP52" s="42"/>
      <c r="AEQ52" s="42"/>
      <c r="AER52" s="42"/>
      <c r="AES52" s="42"/>
      <c r="AET52" s="42"/>
      <c r="AEU52" s="42"/>
      <c r="AEV52" s="42"/>
      <c r="AEW52" s="42"/>
      <c r="AEX52" s="42"/>
      <c r="AEY52" s="42"/>
      <c r="AEZ52" s="42"/>
      <c r="AFA52" s="2"/>
      <c r="AFB52" s="15"/>
      <c r="AFC52" s="42"/>
      <c r="AFD52" s="2"/>
      <c r="AFE52" s="2"/>
      <c r="AFF52" s="2"/>
      <c r="AFG52" s="2"/>
      <c r="AFH52" s="42"/>
      <c r="AFI52" s="42"/>
      <c r="AFJ52" s="42"/>
      <c r="AFK52" s="42"/>
      <c r="AFL52" s="42"/>
      <c r="AFM52" s="42"/>
      <c r="AFN52" s="42"/>
      <c r="AFO52" s="42"/>
      <c r="AFP52" s="42"/>
      <c r="AFQ52" s="42"/>
      <c r="AFR52" s="42"/>
      <c r="AFS52" s="42"/>
      <c r="AFT52" s="42"/>
      <c r="AFU52" s="42"/>
      <c r="AFV52" s="42"/>
      <c r="AFW52" s="42"/>
      <c r="AFX52" s="42"/>
      <c r="AFY52" s="42"/>
      <c r="AFZ52" s="42"/>
      <c r="AGA52" s="42"/>
      <c r="AGB52" s="42"/>
      <c r="AGC52" s="42"/>
      <c r="AGD52" s="42"/>
      <c r="AGE52" s="2"/>
      <c r="AGF52" s="15"/>
      <c r="AGG52" s="42"/>
      <c r="AGH52" s="2"/>
      <c r="AGI52" s="2"/>
      <c r="AGJ52" s="2"/>
      <c r="AGK52" s="2"/>
      <c r="AGL52" s="42"/>
      <c r="AGM52" s="42"/>
      <c r="AGN52" s="42"/>
      <c r="AGO52" s="42"/>
      <c r="AGP52" s="42"/>
      <c r="AGQ52" s="42"/>
      <c r="AGR52" s="42"/>
      <c r="AGS52" s="42"/>
      <c r="AGT52" s="42"/>
      <c r="AGU52" s="42"/>
      <c r="AGV52" s="42"/>
      <c r="AGW52" s="42"/>
      <c r="AGX52" s="42"/>
      <c r="AGY52" s="42"/>
      <c r="AGZ52" s="42"/>
      <c r="AHA52" s="42"/>
      <c r="AHB52" s="42"/>
      <c r="AHC52" s="42"/>
      <c r="AHD52" s="42"/>
      <c r="AHE52" s="42"/>
      <c r="AHF52" s="42"/>
      <c r="AHG52" s="42"/>
      <c r="AHH52" s="42"/>
      <c r="AHI52" s="2"/>
      <c r="AHJ52" s="15"/>
      <c r="AHK52" s="42"/>
      <c r="AHL52" s="2"/>
      <c r="AHM52" s="2"/>
      <c r="AHN52" s="2"/>
      <c r="AHO52" s="2"/>
      <c r="AHP52" s="42"/>
      <c r="AHQ52" s="42"/>
      <c r="AHR52" s="42"/>
      <c r="AHS52" s="42"/>
      <c r="AHT52" s="42"/>
      <c r="AHU52" s="42"/>
      <c r="AHV52" s="42"/>
      <c r="AHW52" s="42"/>
      <c r="AHX52" s="42"/>
      <c r="AHY52" s="42"/>
      <c r="AHZ52" s="42"/>
      <c r="AIA52" s="42"/>
      <c r="AIB52" s="42"/>
      <c r="AIC52" s="42"/>
      <c r="AID52" s="42"/>
      <c r="AIE52" s="42"/>
      <c r="AIF52" s="42"/>
      <c r="AIG52" s="42"/>
      <c r="AIH52" s="42"/>
      <c r="AII52" s="42"/>
      <c r="AIJ52" s="42"/>
      <c r="AIK52" s="42"/>
      <c r="AIL52" s="42"/>
      <c r="AIM52" s="2"/>
      <c r="AIN52" s="15"/>
      <c r="AIO52" s="42"/>
      <c r="AIP52" s="2"/>
      <c r="AIQ52" s="2"/>
      <c r="AIR52" s="2"/>
      <c r="AIS52" s="2"/>
      <c r="AIT52" s="42"/>
      <c r="AIU52" s="42"/>
      <c r="AIV52" s="42"/>
      <c r="AIW52" s="42"/>
      <c r="AIX52" s="42"/>
      <c r="AIY52" s="42"/>
      <c r="AIZ52" s="42"/>
      <c r="AJA52" s="42"/>
      <c r="AJB52" s="42"/>
      <c r="AJC52" s="42"/>
      <c r="AJD52" s="42"/>
      <c r="AJE52" s="42"/>
      <c r="AJF52" s="42"/>
      <c r="AJG52" s="42"/>
      <c r="AJH52" s="42"/>
      <c r="AJI52" s="42"/>
      <c r="AJJ52" s="42"/>
      <c r="AJK52" s="42"/>
      <c r="AJL52" s="42"/>
      <c r="AJM52" s="42"/>
      <c r="AJN52" s="42"/>
      <c r="AJO52" s="42"/>
      <c r="AJP52" s="42"/>
      <c r="AJQ52" s="2"/>
      <c r="AJR52" s="15"/>
      <c r="AJS52" s="42"/>
      <c r="AJT52" s="2"/>
      <c r="AJU52" s="2"/>
      <c r="AJV52" s="2"/>
      <c r="AJW52" s="2"/>
      <c r="AJX52" s="42"/>
      <c r="AJY52" s="42"/>
      <c r="AJZ52" s="42"/>
      <c r="AKA52" s="42"/>
      <c r="AKB52" s="42"/>
      <c r="AKC52" s="42"/>
      <c r="AKD52" s="42"/>
      <c r="AKE52" s="42"/>
      <c r="AKF52" s="42"/>
      <c r="AKG52" s="42"/>
      <c r="AKH52" s="42"/>
      <c r="AKI52" s="42"/>
      <c r="AKJ52" s="42"/>
      <c r="AKK52" s="42"/>
      <c r="AKL52" s="42"/>
      <c r="AKM52" s="42"/>
      <c r="AKN52" s="42"/>
      <c r="AKO52" s="42"/>
      <c r="AKP52" s="42"/>
      <c r="AKQ52" s="42"/>
      <c r="AKR52" s="42"/>
      <c r="AKS52" s="42"/>
      <c r="AKT52" s="42"/>
      <c r="AKU52" s="2"/>
      <c r="AKV52" s="15"/>
      <c r="AKW52" s="42"/>
      <c r="AKX52" s="2"/>
      <c r="AKY52" s="2"/>
      <c r="AKZ52" s="2"/>
      <c r="ALA52" s="2"/>
      <c r="ALB52" s="42"/>
      <c r="ALC52" s="42"/>
      <c r="ALD52" s="42"/>
      <c r="ALE52" s="42"/>
      <c r="ALF52" s="42"/>
      <c r="ALG52" s="42"/>
      <c r="ALH52" s="42"/>
      <c r="ALI52" s="42"/>
      <c r="ALJ52" s="42"/>
      <c r="ALK52" s="42"/>
      <c r="ALL52" s="42"/>
      <c r="ALM52" s="42"/>
      <c r="ALN52" s="42"/>
      <c r="ALO52" s="42"/>
      <c r="ALP52" s="42"/>
      <c r="ALQ52" s="42"/>
      <c r="ALR52" s="42"/>
      <c r="ALS52" s="42"/>
      <c r="ALT52" s="42"/>
      <c r="ALU52" s="42"/>
      <c r="ALV52" s="42"/>
      <c r="ALW52" s="42"/>
      <c r="ALX52" s="42"/>
      <c r="ALY52" s="2"/>
      <c r="ALZ52" s="15"/>
      <c r="AMA52" s="42"/>
      <c r="AMB52" s="2"/>
      <c r="AMC52" s="2"/>
      <c r="AMD52" s="2"/>
      <c r="AME52" s="2"/>
      <c r="AMF52" s="42"/>
      <c r="AMG52" s="42"/>
      <c r="AMH52" s="42"/>
      <c r="AMI52" s="42"/>
      <c r="AMJ52" s="42"/>
      <c r="AMK52" s="42"/>
      <c r="AML52" s="42"/>
      <c r="AMM52" s="42"/>
      <c r="AMN52" s="42"/>
      <c r="AMO52" s="42"/>
      <c r="AMP52" s="42"/>
      <c r="AMQ52" s="42"/>
      <c r="AMR52" s="42"/>
      <c r="AMS52" s="42"/>
      <c r="AMT52" s="42"/>
      <c r="AMU52" s="42"/>
      <c r="AMV52" s="42"/>
      <c r="AMW52" s="42"/>
      <c r="AMX52" s="42"/>
      <c r="AMY52" s="42"/>
      <c r="AMZ52" s="42"/>
      <c r="ANA52" s="42"/>
      <c r="ANB52" s="42"/>
      <c r="ANC52" s="2"/>
      <c r="AND52" s="15"/>
      <c r="ANE52" s="42"/>
      <c r="ANF52" s="2"/>
      <c r="ANG52" s="2"/>
      <c r="ANH52" s="2"/>
      <c r="ANI52" s="2"/>
      <c r="ANJ52" s="42"/>
      <c r="ANK52" s="42"/>
      <c r="ANL52" s="42"/>
      <c r="ANM52" s="42"/>
      <c r="ANN52" s="42"/>
      <c r="ANO52" s="42"/>
      <c r="ANP52" s="42"/>
      <c r="ANQ52" s="42"/>
      <c r="ANR52" s="42"/>
      <c r="ANS52" s="42"/>
      <c r="ANT52" s="42"/>
      <c r="ANU52" s="42"/>
      <c r="ANV52" s="42"/>
      <c r="ANW52" s="42"/>
      <c r="ANX52" s="42"/>
      <c r="ANY52" s="42"/>
      <c r="ANZ52" s="42"/>
      <c r="AOA52" s="42"/>
      <c r="AOB52" s="42"/>
      <c r="AOC52" s="42"/>
      <c r="AOD52" s="42"/>
      <c r="AOE52" s="42"/>
      <c r="AOF52" s="42"/>
      <c r="AOG52" s="2"/>
      <c r="AOH52" s="15"/>
      <c r="AOI52" s="42"/>
      <c r="AOJ52" s="2"/>
      <c r="AOK52" s="2"/>
      <c r="AOL52" s="2"/>
      <c r="AOM52" s="2"/>
      <c r="AON52" s="42"/>
      <c r="AOO52" s="42"/>
      <c r="AOP52" s="42"/>
      <c r="AOQ52" s="42"/>
      <c r="AOR52" s="42"/>
      <c r="AOS52" s="42"/>
      <c r="AOT52" s="42"/>
      <c r="AOU52" s="42"/>
      <c r="AOV52" s="42"/>
      <c r="AOW52" s="42"/>
      <c r="AOX52" s="42"/>
      <c r="AOY52" s="42"/>
      <c r="AOZ52" s="42"/>
      <c r="APA52" s="42"/>
      <c r="APB52" s="42"/>
      <c r="APC52" s="42"/>
      <c r="APD52" s="42"/>
      <c r="APE52" s="42"/>
      <c r="APF52" s="42"/>
      <c r="APG52" s="42"/>
      <c r="APH52" s="42"/>
      <c r="API52" s="42"/>
      <c r="APJ52" s="42"/>
      <c r="APK52" s="2"/>
      <c r="APL52" s="15"/>
      <c r="APM52" s="42"/>
      <c r="APN52" s="2"/>
      <c r="APO52" s="2"/>
      <c r="APP52" s="2"/>
      <c r="APQ52" s="2"/>
      <c r="APR52" s="42"/>
      <c r="APS52" s="42"/>
      <c r="APT52" s="42"/>
      <c r="APU52" s="42"/>
      <c r="APV52" s="42"/>
      <c r="APW52" s="42"/>
      <c r="APX52" s="42"/>
      <c r="APY52" s="42"/>
      <c r="APZ52" s="42"/>
      <c r="AQA52" s="42"/>
      <c r="AQB52" s="42"/>
      <c r="AQC52" s="42"/>
      <c r="AQD52" s="42"/>
      <c r="AQE52" s="42"/>
      <c r="AQF52" s="42"/>
      <c r="AQG52" s="42"/>
      <c r="AQH52" s="42"/>
      <c r="AQI52" s="42"/>
      <c r="AQJ52" s="42"/>
      <c r="AQK52" s="42"/>
      <c r="AQL52" s="42"/>
      <c r="AQM52" s="42"/>
      <c r="AQN52" s="42"/>
      <c r="AQO52" s="2"/>
      <c r="AQP52" s="15"/>
      <c r="AQQ52" s="42"/>
      <c r="AQR52" s="2"/>
      <c r="AQS52" s="2"/>
      <c r="AQT52" s="2"/>
      <c r="AQU52" s="2"/>
      <c r="AQV52" s="42"/>
      <c r="AQW52" s="42"/>
      <c r="AQX52" s="42"/>
      <c r="AQY52" s="42"/>
      <c r="AQZ52" s="42"/>
      <c r="ARA52" s="42"/>
      <c r="ARB52" s="42"/>
      <c r="ARC52" s="42"/>
      <c r="ARD52" s="42"/>
      <c r="ARE52" s="42"/>
      <c r="ARF52" s="42"/>
      <c r="ARG52" s="42"/>
      <c r="ARH52" s="42"/>
      <c r="ARI52" s="42"/>
      <c r="ARJ52" s="42"/>
      <c r="ARK52" s="42"/>
      <c r="ARL52" s="42"/>
      <c r="ARM52" s="42"/>
      <c r="ARN52" s="42"/>
      <c r="ARO52" s="42"/>
      <c r="ARP52" s="42"/>
      <c r="ARQ52" s="42"/>
      <c r="ARR52" s="42"/>
      <c r="ARS52" s="2"/>
      <c r="ART52" s="15"/>
      <c r="ARU52" s="42"/>
      <c r="ARV52" s="2"/>
      <c r="ARW52" s="2"/>
      <c r="ARX52" s="2"/>
      <c r="ARY52" s="2"/>
      <c r="ARZ52" s="42"/>
      <c r="ASA52" s="42"/>
      <c r="ASB52" s="42"/>
      <c r="ASC52" s="42"/>
      <c r="ASD52" s="42"/>
      <c r="ASE52" s="42"/>
      <c r="ASF52" s="42"/>
      <c r="ASG52" s="42"/>
      <c r="ASH52" s="42"/>
      <c r="ASI52" s="42"/>
      <c r="ASJ52" s="42"/>
      <c r="ASK52" s="42"/>
      <c r="ASL52" s="42"/>
      <c r="ASM52" s="42"/>
      <c r="ASN52" s="42"/>
      <c r="ASO52" s="42"/>
      <c r="ASP52" s="42"/>
      <c r="ASQ52" s="42"/>
      <c r="ASR52" s="42"/>
      <c r="ASS52" s="42"/>
      <c r="AST52" s="42"/>
      <c r="ASU52" s="42"/>
      <c r="ASV52" s="42"/>
      <c r="ASW52" s="2"/>
      <c r="ASX52" s="15"/>
      <c r="ASY52" s="42"/>
      <c r="ASZ52" s="2"/>
      <c r="ATA52" s="2"/>
      <c r="ATB52" s="2"/>
      <c r="ATC52" s="2"/>
      <c r="ATD52" s="42"/>
      <c r="ATE52" s="42"/>
      <c r="ATF52" s="42"/>
      <c r="ATG52" s="42"/>
      <c r="ATH52" s="42"/>
      <c r="ATI52" s="42"/>
      <c r="ATJ52" s="42"/>
      <c r="ATK52" s="42"/>
      <c r="ATL52" s="42"/>
      <c r="ATM52" s="42"/>
      <c r="ATN52" s="42"/>
      <c r="ATO52" s="42"/>
      <c r="ATP52" s="42"/>
      <c r="ATQ52" s="42"/>
      <c r="ATR52" s="42"/>
      <c r="ATS52" s="42"/>
      <c r="ATT52" s="42"/>
      <c r="ATU52" s="42"/>
      <c r="ATV52" s="42"/>
      <c r="ATW52" s="42"/>
      <c r="ATX52" s="42"/>
      <c r="ATY52" s="42"/>
      <c r="ATZ52" s="42"/>
      <c r="AUA52" s="2"/>
      <c r="AUB52" s="15"/>
      <c r="AUC52" s="42"/>
      <c r="AUD52" s="2"/>
      <c r="AUE52" s="2"/>
      <c r="AUF52" s="2"/>
      <c r="AUG52" s="2"/>
      <c r="AUH52" s="42"/>
      <c r="AUI52" s="42"/>
      <c r="AUJ52" s="42"/>
      <c r="AUK52" s="42"/>
      <c r="AUL52" s="42"/>
      <c r="AUM52" s="42"/>
      <c r="AUN52" s="42"/>
      <c r="AUO52" s="42"/>
      <c r="AUP52" s="42"/>
      <c r="AUQ52" s="42"/>
      <c r="AUR52" s="42"/>
      <c r="AUS52" s="42"/>
      <c r="AUT52" s="42"/>
      <c r="AUU52" s="42"/>
      <c r="AUV52" s="42"/>
      <c r="AUW52" s="42"/>
      <c r="AUX52" s="42"/>
      <c r="AUY52" s="42"/>
      <c r="AUZ52" s="42"/>
      <c r="AVA52" s="42"/>
      <c r="AVB52" s="42"/>
      <c r="AVC52" s="42"/>
      <c r="AVD52" s="42"/>
      <c r="AVE52" s="2"/>
      <c r="AVF52" s="15"/>
      <c r="AVG52" s="42"/>
      <c r="AVH52" s="2"/>
      <c r="AVI52" s="2"/>
      <c r="AVJ52" s="2"/>
      <c r="AVK52" s="2"/>
      <c r="AVL52" s="42"/>
      <c r="AVM52" s="42"/>
      <c r="AVN52" s="42"/>
      <c r="AVO52" s="42"/>
      <c r="AVP52" s="42"/>
      <c r="AVQ52" s="42"/>
      <c r="AVR52" s="42"/>
      <c r="AVS52" s="42"/>
      <c r="AVT52" s="42"/>
      <c r="AVU52" s="42"/>
      <c r="AVV52" s="42"/>
      <c r="AVW52" s="42"/>
      <c r="AVX52" s="42"/>
      <c r="AVY52" s="42"/>
      <c r="AVZ52" s="42"/>
      <c r="AWA52" s="42"/>
      <c r="AWB52" s="42"/>
      <c r="AWC52" s="42"/>
      <c r="AWD52" s="42"/>
      <c r="AWE52" s="42"/>
      <c r="AWF52" s="42"/>
      <c r="AWG52" s="42"/>
      <c r="AWH52" s="42"/>
      <c r="AWI52" s="2"/>
      <c r="AWJ52" s="15"/>
      <c r="AWK52" s="42"/>
      <c r="AWL52" s="2"/>
      <c r="AWM52" s="2"/>
      <c r="AWN52" s="2"/>
      <c r="AWO52" s="2"/>
      <c r="AWP52" s="42"/>
      <c r="AWQ52" s="42"/>
      <c r="AWR52" s="42"/>
      <c r="AWS52" s="42"/>
      <c r="AWT52" s="42"/>
      <c r="AWU52" s="42"/>
      <c r="AWV52" s="42"/>
      <c r="AWW52" s="42"/>
      <c r="AWX52" s="42"/>
      <c r="AWY52" s="42"/>
      <c r="AWZ52" s="42"/>
      <c r="AXA52" s="42"/>
      <c r="AXB52" s="42"/>
      <c r="AXC52" s="42"/>
      <c r="AXD52" s="42"/>
      <c r="AXE52" s="42"/>
      <c r="AXF52" s="42"/>
      <c r="AXG52" s="42"/>
      <c r="AXH52" s="42"/>
      <c r="AXI52" s="42"/>
      <c r="AXJ52" s="42"/>
      <c r="AXK52" s="42"/>
      <c r="AXL52" s="42"/>
      <c r="AXM52" s="2"/>
      <c r="AXN52" s="15"/>
      <c r="AXO52" s="42"/>
      <c r="AXP52" s="2"/>
      <c r="AXQ52" s="2"/>
      <c r="AXR52" s="2"/>
      <c r="AXS52" s="2"/>
      <c r="AXT52" s="42"/>
      <c r="AXU52" s="42"/>
      <c r="AXV52" s="42"/>
      <c r="AXW52" s="42"/>
      <c r="AXX52" s="42"/>
      <c r="AXY52" s="42"/>
      <c r="AXZ52" s="42"/>
      <c r="AYA52" s="42"/>
      <c r="AYB52" s="42"/>
      <c r="AYC52" s="42"/>
      <c r="AYD52" s="42"/>
      <c r="AYE52" s="42"/>
      <c r="AYF52" s="42"/>
      <c r="AYG52" s="42"/>
      <c r="AYH52" s="42"/>
      <c r="AYI52" s="42"/>
      <c r="AYJ52" s="42"/>
      <c r="AYK52" s="42"/>
      <c r="AYL52" s="42"/>
      <c r="AYM52" s="42"/>
      <c r="AYN52" s="42"/>
      <c r="AYO52" s="42"/>
      <c r="AYP52" s="42"/>
      <c r="AYQ52" s="2"/>
      <c r="AYR52" s="15"/>
      <c r="AYS52" s="42"/>
      <c r="AYT52" s="2"/>
      <c r="AYU52" s="2"/>
      <c r="AYV52" s="2"/>
      <c r="AYW52" s="2"/>
      <c r="AYX52" s="42"/>
      <c r="AYY52" s="42"/>
      <c r="AYZ52" s="42"/>
      <c r="AZA52" s="42"/>
      <c r="AZB52" s="42"/>
      <c r="AZC52" s="42"/>
      <c r="AZD52" s="42"/>
      <c r="AZE52" s="42"/>
      <c r="AZF52" s="42"/>
      <c r="AZG52" s="42"/>
      <c r="AZH52" s="42"/>
      <c r="AZI52" s="42"/>
      <c r="AZJ52" s="42"/>
      <c r="AZK52" s="42"/>
      <c r="AZL52" s="42"/>
      <c r="AZM52" s="42"/>
      <c r="AZN52" s="42"/>
      <c r="AZO52" s="42"/>
      <c r="AZP52" s="42"/>
      <c r="AZQ52" s="42"/>
      <c r="AZR52" s="42"/>
      <c r="AZS52" s="42"/>
      <c r="AZT52" s="42"/>
      <c r="AZU52" s="2"/>
      <c r="AZV52" s="15"/>
      <c r="AZW52" s="42"/>
      <c r="AZX52" s="2"/>
      <c r="AZY52" s="2"/>
      <c r="AZZ52" s="2"/>
      <c r="BAA52" s="2"/>
      <c r="BAB52" s="42"/>
      <c r="BAC52" s="42"/>
      <c r="BAD52" s="42"/>
      <c r="BAE52" s="42"/>
      <c r="BAF52" s="42"/>
      <c r="BAG52" s="42"/>
      <c r="BAH52" s="42"/>
      <c r="BAI52" s="42"/>
      <c r="BAJ52" s="42"/>
      <c r="BAK52" s="42"/>
      <c r="BAL52" s="42"/>
      <c r="BAM52" s="42"/>
      <c r="BAN52" s="42"/>
      <c r="BAO52" s="42"/>
      <c r="BAP52" s="42"/>
      <c r="BAQ52" s="42"/>
      <c r="BAR52" s="42"/>
      <c r="BAS52" s="42"/>
      <c r="BAT52" s="42"/>
      <c r="BAU52" s="42"/>
      <c r="BAV52" s="42"/>
      <c r="BAW52" s="42"/>
      <c r="BAX52" s="42"/>
      <c r="BAY52" s="2"/>
      <c r="BAZ52" s="15"/>
      <c r="BBA52" s="42"/>
      <c r="BBB52" s="2"/>
      <c r="BBC52" s="2"/>
      <c r="BBD52" s="2"/>
      <c r="BBE52" s="2"/>
      <c r="BBF52" s="42"/>
      <c r="BBG52" s="42"/>
      <c r="BBH52" s="42"/>
      <c r="BBI52" s="42"/>
      <c r="BBJ52" s="42"/>
      <c r="BBK52" s="42"/>
      <c r="BBL52" s="42"/>
      <c r="BBM52" s="42"/>
      <c r="BBN52" s="42"/>
      <c r="BBO52" s="42"/>
      <c r="BBP52" s="42"/>
      <c r="BBQ52" s="42"/>
      <c r="BBR52" s="42"/>
      <c r="BBS52" s="42"/>
      <c r="BBT52" s="42"/>
      <c r="BBU52" s="42"/>
      <c r="BBV52" s="42"/>
      <c r="BBW52" s="42"/>
      <c r="BBX52" s="42"/>
      <c r="BBY52" s="42"/>
      <c r="BBZ52" s="42"/>
      <c r="BCA52" s="42"/>
      <c r="BCB52" s="42"/>
      <c r="BCC52" s="2"/>
      <c r="BCD52" s="15"/>
      <c r="BCE52" s="42"/>
      <c r="BCF52" s="2"/>
      <c r="BCG52" s="2"/>
      <c r="BCH52" s="2"/>
      <c r="BCI52" s="2"/>
      <c r="BCJ52" s="42"/>
      <c r="BCK52" s="42"/>
      <c r="BCL52" s="42"/>
      <c r="BCM52" s="42"/>
      <c r="BCN52" s="42"/>
      <c r="BCO52" s="42"/>
      <c r="BCP52" s="42"/>
      <c r="BCQ52" s="42"/>
      <c r="BCR52" s="42"/>
      <c r="BCS52" s="42"/>
      <c r="BCT52" s="42"/>
      <c r="BCU52" s="42"/>
      <c r="BCV52" s="42"/>
      <c r="BCW52" s="42"/>
      <c r="BCX52" s="42"/>
      <c r="BCY52" s="42"/>
      <c r="BCZ52" s="42"/>
      <c r="BDA52" s="42"/>
      <c r="BDB52" s="42"/>
      <c r="BDC52" s="42"/>
      <c r="BDD52" s="42"/>
      <c r="BDE52" s="42"/>
      <c r="BDF52" s="42"/>
      <c r="BDG52" s="2"/>
      <c r="BDH52" s="15"/>
      <c r="BDI52" s="42"/>
      <c r="BDJ52" s="2"/>
      <c r="BDK52" s="2"/>
      <c r="BDL52" s="2"/>
      <c r="BDM52" s="2"/>
      <c r="BDN52" s="42"/>
      <c r="BDO52" s="42"/>
      <c r="BDP52" s="42"/>
      <c r="BDQ52" s="42"/>
      <c r="BDR52" s="42"/>
      <c r="BDS52" s="42"/>
      <c r="BDT52" s="42"/>
      <c r="BDU52" s="42"/>
      <c r="BDV52" s="42"/>
      <c r="BDW52" s="42"/>
      <c r="BDX52" s="42"/>
      <c r="BDY52" s="42"/>
      <c r="BDZ52" s="42"/>
      <c r="BEA52" s="42"/>
      <c r="BEB52" s="42"/>
      <c r="BEC52" s="42"/>
      <c r="BED52" s="42"/>
      <c r="BEE52" s="42"/>
      <c r="BEF52" s="42"/>
      <c r="BEG52" s="42"/>
      <c r="BEH52" s="42"/>
      <c r="BEI52" s="42"/>
      <c r="BEJ52" s="42"/>
      <c r="BEK52" s="2"/>
      <c r="BEL52" s="15"/>
      <c r="BEM52" s="42"/>
      <c r="BEN52" s="2"/>
      <c r="BEO52" s="2"/>
      <c r="BEP52" s="2"/>
      <c r="BEQ52" s="2"/>
      <c r="BER52" s="42"/>
      <c r="BES52" s="42"/>
      <c r="BET52" s="42"/>
      <c r="BEU52" s="42"/>
      <c r="BEV52" s="42"/>
      <c r="BEW52" s="42"/>
      <c r="BEX52" s="42"/>
      <c r="BEY52" s="42"/>
      <c r="BEZ52" s="42"/>
      <c r="BFA52" s="42"/>
      <c r="BFB52" s="42"/>
      <c r="BFC52" s="42"/>
      <c r="BFD52" s="42"/>
      <c r="BFE52" s="42"/>
      <c r="BFF52" s="42"/>
      <c r="BFG52" s="42"/>
      <c r="BFH52" s="42"/>
      <c r="BFI52" s="42"/>
      <c r="BFJ52" s="42"/>
      <c r="BFK52" s="42"/>
      <c r="BFL52" s="42"/>
      <c r="BFM52" s="42"/>
      <c r="BFN52" s="42"/>
      <c r="BFO52" s="2"/>
      <c r="BFP52" s="15"/>
      <c r="BFQ52" s="42"/>
      <c r="BFR52" s="2"/>
      <c r="BFS52" s="2"/>
      <c r="BFT52" s="2"/>
      <c r="BFU52" s="2"/>
      <c r="BFV52" s="42"/>
      <c r="BFW52" s="42"/>
      <c r="BFX52" s="42"/>
      <c r="BFY52" s="42"/>
      <c r="BFZ52" s="42"/>
      <c r="BGA52" s="42"/>
      <c r="BGB52" s="42"/>
      <c r="BGC52" s="42"/>
      <c r="BGD52" s="42"/>
      <c r="BGE52" s="42"/>
      <c r="BGF52" s="42"/>
      <c r="BGG52" s="42"/>
      <c r="BGH52" s="42"/>
      <c r="BGI52" s="42"/>
      <c r="BGJ52" s="42"/>
      <c r="BGK52" s="42"/>
      <c r="BGL52" s="42"/>
      <c r="BGM52" s="42"/>
      <c r="BGN52" s="42"/>
      <c r="BGO52" s="42"/>
      <c r="BGP52" s="42"/>
      <c r="BGQ52" s="42"/>
      <c r="BGR52" s="42"/>
      <c r="BGS52" s="2"/>
      <c r="BGT52" s="15"/>
      <c r="BGU52" s="42"/>
      <c r="BGV52" s="2"/>
      <c r="BGW52" s="2"/>
      <c r="BGX52" s="2"/>
      <c r="BGY52" s="2"/>
      <c r="BGZ52" s="42"/>
      <c r="BHA52" s="42"/>
      <c r="BHB52" s="42"/>
      <c r="BHC52" s="42"/>
      <c r="BHD52" s="42"/>
      <c r="BHE52" s="42"/>
      <c r="BHF52" s="42"/>
      <c r="BHG52" s="42"/>
      <c r="BHH52" s="42"/>
      <c r="BHI52" s="42"/>
      <c r="BHJ52" s="42"/>
      <c r="BHK52" s="42"/>
      <c r="BHL52" s="42"/>
      <c r="BHM52" s="42"/>
      <c r="BHN52" s="42"/>
      <c r="BHO52" s="42"/>
      <c r="BHP52" s="42"/>
      <c r="BHQ52" s="42"/>
      <c r="BHR52" s="42"/>
      <c r="BHS52" s="42"/>
      <c r="BHT52" s="42"/>
      <c r="BHU52" s="42"/>
      <c r="BHV52" s="42"/>
      <c r="BHW52" s="2"/>
      <c r="BHX52" s="15"/>
      <c r="BHY52" s="42"/>
      <c r="BHZ52" s="2"/>
      <c r="BIA52" s="2"/>
      <c r="BIB52" s="2"/>
      <c r="BIC52" s="2"/>
      <c r="BID52" s="42"/>
      <c r="BIE52" s="42"/>
      <c r="BIF52" s="42"/>
      <c r="BIG52" s="42"/>
      <c r="BIH52" s="42"/>
      <c r="BII52" s="42"/>
      <c r="BIJ52" s="42"/>
      <c r="BIK52" s="42"/>
      <c r="BIL52" s="42"/>
      <c r="BIM52" s="42"/>
      <c r="BIN52" s="42"/>
      <c r="BIO52" s="42"/>
      <c r="BIP52" s="42"/>
      <c r="BIQ52" s="42"/>
      <c r="BIR52" s="42"/>
      <c r="BIS52" s="42"/>
      <c r="BIT52" s="42"/>
      <c r="BIU52" s="42"/>
      <c r="BIV52" s="42"/>
      <c r="BIW52" s="42"/>
      <c r="BIX52" s="42"/>
      <c r="BIY52" s="42"/>
      <c r="BIZ52" s="42"/>
      <c r="BJA52" s="2"/>
      <c r="BJB52" s="15"/>
      <c r="BJC52" s="42"/>
      <c r="BJD52" s="2"/>
      <c r="BJE52" s="2"/>
      <c r="BJF52" s="2"/>
      <c r="BJG52" s="2"/>
      <c r="BJH52" s="42"/>
      <c r="BJI52" s="42"/>
      <c r="BJJ52" s="42"/>
      <c r="BJK52" s="42"/>
      <c r="BJL52" s="42"/>
      <c r="BJM52" s="42"/>
      <c r="BJN52" s="42"/>
      <c r="BJO52" s="42"/>
      <c r="BJP52" s="42"/>
      <c r="BJQ52" s="42"/>
      <c r="BJR52" s="42"/>
      <c r="BJS52" s="42"/>
      <c r="BJT52" s="42"/>
      <c r="BJU52" s="42"/>
      <c r="BJV52" s="42"/>
      <c r="BJW52" s="42"/>
      <c r="BJX52" s="42"/>
      <c r="BJY52" s="42"/>
      <c r="BJZ52" s="42"/>
      <c r="BKA52" s="42"/>
      <c r="BKB52" s="42"/>
      <c r="BKC52" s="42"/>
      <c r="BKD52" s="42"/>
      <c r="BKE52" s="2"/>
      <c r="BKF52" s="15"/>
      <c r="BKG52" s="42"/>
      <c r="BKH52" s="2"/>
      <c r="BKI52" s="2"/>
      <c r="BKJ52" s="2"/>
      <c r="BKK52" s="2"/>
      <c r="BKL52" s="42"/>
      <c r="BKM52" s="42"/>
      <c r="BKN52" s="42"/>
      <c r="BKO52" s="42"/>
      <c r="BKP52" s="42"/>
      <c r="BKQ52" s="42"/>
      <c r="BKR52" s="42"/>
      <c r="BKS52" s="42"/>
      <c r="BKT52" s="42"/>
      <c r="BKU52" s="42"/>
      <c r="BKV52" s="42"/>
      <c r="BKW52" s="42"/>
      <c r="BKX52" s="42"/>
      <c r="BKY52" s="42"/>
      <c r="BKZ52" s="42"/>
      <c r="BLA52" s="42"/>
      <c r="BLB52" s="42"/>
      <c r="BLC52" s="42"/>
      <c r="BLD52" s="42"/>
      <c r="BLE52" s="42"/>
      <c r="BLF52" s="42"/>
      <c r="BLG52" s="42"/>
      <c r="BLH52" s="42"/>
      <c r="BLI52" s="2"/>
      <c r="BLJ52" s="15"/>
      <c r="BLK52" s="42"/>
      <c r="BLL52" s="2"/>
      <c r="BLM52" s="2"/>
      <c r="BLN52" s="2"/>
      <c r="BLO52" s="2"/>
      <c r="BLP52" s="42"/>
      <c r="BLQ52" s="42"/>
      <c r="BLR52" s="42"/>
      <c r="BLS52" s="42"/>
      <c r="BLT52" s="42"/>
      <c r="BLU52" s="42"/>
      <c r="BLV52" s="42"/>
      <c r="BLW52" s="42"/>
      <c r="BLX52" s="42"/>
      <c r="BLY52" s="42"/>
      <c r="BLZ52" s="42"/>
      <c r="BMA52" s="42"/>
      <c r="BMB52" s="42"/>
      <c r="BMC52" s="42"/>
      <c r="BMD52" s="42"/>
      <c r="BME52" s="42"/>
      <c r="BMF52" s="42"/>
      <c r="BMG52" s="42"/>
      <c r="BMH52" s="42"/>
      <c r="BMI52" s="42"/>
      <c r="BMJ52" s="42"/>
      <c r="BMK52" s="42"/>
      <c r="BML52" s="42"/>
      <c r="BMM52" s="2"/>
      <c r="BMN52" s="15"/>
      <c r="BMO52" s="42"/>
      <c r="BMP52" s="2"/>
      <c r="BMQ52" s="2"/>
      <c r="BMR52" s="2"/>
      <c r="BMS52" s="2"/>
      <c r="BMT52" s="42"/>
      <c r="BMU52" s="42"/>
      <c r="BMV52" s="42"/>
      <c r="BMW52" s="42"/>
      <c r="BMX52" s="42"/>
      <c r="BMY52" s="42"/>
      <c r="BMZ52" s="42"/>
      <c r="BNA52" s="42"/>
      <c r="BNB52" s="42"/>
      <c r="BNC52" s="42"/>
      <c r="BND52" s="42"/>
      <c r="BNE52" s="42"/>
      <c r="BNF52" s="42"/>
      <c r="BNG52" s="42"/>
      <c r="BNH52" s="42"/>
      <c r="BNI52" s="42"/>
      <c r="BNJ52" s="42"/>
      <c r="BNK52" s="42"/>
      <c r="BNL52" s="42"/>
      <c r="BNM52" s="42"/>
      <c r="BNN52" s="42"/>
      <c r="BNO52" s="42"/>
      <c r="BNP52" s="42"/>
      <c r="BNQ52" s="2"/>
      <c r="BNR52" s="15"/>
      <c r="BNS52" s="42"/>
      <c r="BNT52" s="2"/>
      <c r="BNU52" s="2"/>
      <c r="BNV52" s="2"/>
      <c r="BNW52" s="2"/>
      <c r="BNX52" s="42"/>
      <c r="BNY52" s="42"/>
      <c r="BNZ52" s="42"/>
      <c r="BOA52" s="42"/>
      <c r="BOB52" s="42"/>
      <c r="BOC52" s="42"/>
      <c r="BOD52" s="42"/>
      <c r="BOE52" s="42"/>
      <c r="BOF52" s="42"/>
      <c r="BOG52" s="42"/>
      <c r="BOH52" s="42"/>
      <c r="BOI52" s="42"/>
      <c r="BOJ52" s="42"/>
      <c r="BOK52" s="42"/>
      <c r="BOL52" s="42"/>
      <c r="BOM52" s="42"/>
      <c r="BON52" s="42"/>
      <c r="BOO52" s="42"/>
      <c r="BOP52" s="42"/>
      <c r="BOQ52" s="42"/>
      <c r="BOR52" s="42"/>
      <c r="BOS52" s="42"/>
      <c r="BOT52" s="42"/>
      <c r="BOU52" s="2"/>
      <c r="BOV52" s="15"/>
      <c r="BOW52" s="42"/>
      <c r="BOX52" s="2"/>
      <c r="BOY52" s="2"/>
      <c r="BOZ52" s="2"/>
      <c r="BPA52" s="2"/>
      <c r="BPB52" s="42"/>
      <c r="BPC52" s="42"/>
      <c r="BPD52" s="42"/>
      <c r="BPE52" s="42"/>
      <c r="BPF52" s="42"/>
      <c r="BPG52" s="42"/>
      <c r="BPH52" s="42"/>
      <c r="BPI52" s="42"/>
      <c r="BPJ52" s="42"/>
      <c r="BPK52" s="42"/>
      <c r="BPL52" s="42"/>
      <c r="BPM52" s="42"/>
      <c r="BPN52" s="42"/>
      <c r="BPO52" s="42"/>
      <c r="BPP52" s="42"/>
      <c r="BPQ52" s="42"/>
      <c r="BPR52" s="42"/>
      <c r="BPS52" s="42"/>
      <c r="BPT52" s="42"/>
      <c r="BPU52" s="42"/>
      <c r="BPV52" s="42"/>
      <c r="BPW52" s="42"/>
      <c r="BPX52" s="42"/>
      <c r="BPY52" s="2"/>
      <c r="BPZ52" s="15"/>
      <c r="BQA52" s="42"/>
      <c r="BQB52" s="2"/>
      <c r="BQC52" s="2"/>
      <c r="BQD52" s="2"/>
      <c r="BQE52" s="2"/>
      <c r="BQF52" s="42"/>
      <c r="BQG52" s="42"/>
      <c r="BQH52" s="42"/>
      <c r="BQI52" s="42"/>
      <c r="BQJ52" s="42"/>
      <c r="BQK52" s="42"/>
      <c r="BQL52" s="42"/>
      <c r="BQM52" s="42"/>
      <c r="BQN52" s="42"/>
      <c r="BQO52" s="42"/>
      <c r="BQP52" s="42"/>
      <c r="BQQ52" s="42"/>
      <c r="BQR52" s="42"/>
      <c r="BQS52" s="42"/>
      <c r="BQT52" s="42"/>
      <c r="BQU52" s="42"/>
      <c r="BQV52" s="42"/>
      <c r="BQW52" s="42"/>
      <c r="BQX52" s="42"/>
      <c r="BQY52" s="42"/>
      <c r="BQZ52" s="42"/>
      <c r="BRA52" s="42"/>
      <c r="BRB52" s="42"/>
      <c r="BRC52" s="2"/>
      <c r="BRD52" s="15"/>
      <c r="BRE52" s="42"/>
      <c r="BRF52" s="2"/>
      <c r="BRG52" s="2"/>
      <c r="BRH52" s="2"/>
      <c r="BRI52" s="2"/>
      <c r="BRJ52" s="42"/>
      <c r="BRK52" s="42"/>
      <c r="BRL52" s="42"/>
      <c r="BRM52" s="42"/>
      <c r="BRN52" s="42"/>
      <c r="BRO52" s="42"/>
      <c r="BRP52" s="42"/>
      <c r="BRQ52" s="42"/>
      <c r="BRR52" s="42"/>
      <c r="BRS52" s="42"/>
      <c r="BRT52" s="42"/>
      <c r="BRU52" s="42"/>
      <c r="BRV52" s="42"/>
      <c r="BRW52" s="42"/>
      <c r="BRX52" s="42"/>
      <c r="BRY52" s="42"/>
      <c r="BRZ52" s="42"/>
      <c r="BSA52" s="42"/>
      <c r="BSB52" s="42"/>
      <c r="BSC52" s="42"/>
      <c r="BSD52" s="42"/>
      <c r="BSE52" s="42"/>
      <c r="BSF52" s="42"/>
      <c r="BSG52" s="2"/>
      <c r="BSH52" s="15"/>
      <c r="BSI52" s="42"/>
      <c r="BSJ52" s="2"/>
      <c r="BSK52" s="2"/>
      <c r="BSL52" s="2"/>
      <c r="BSM52" s="2"/>
      <c r="BSN52" s="42"/>
      <c r="BSO52" s="42"/>
      <c r="BSP52" s="42"/>
      <c r="BSQ52" s="42"/>
      <c r="BSR52" s="42"/>
      <c r="BSS52" s="42"/>
      <c r="BST52" s="42"/>
      <c r="BSU52" s="42"/>
      <c r="BSV52" s="42"/>
      <c r="BSW52" s="42"/>
      <c r="BSX52" s="42"/>
      <c r="BSY52" s="42"/>
      <c r="BSZ52" s="42"/>
      <c r="BTA52" s="42"/>
      <c r="BTB52" s="42"/>
      <c r="BTC52" s="42"/>
      <c r="BTD52" s="42"/>
      <c r="BTE52" s="42"/>
      <c r="BTF52" s="42"/>
      <c r="BTG52" s="42"/>
      <c r="BTH52" s="42"/>
      <c r="BTI52" s="42"/>
      <c r="BTJ52" s="42"/>
      <c r="BTK52" s="2"/>
      <c r="BTL52" s="15"/>
      <c r="BTM52" s="42"/>
      <c r="BTN52" s="2"/>
      <c r="BTO52" s="2"/>
      <c r="BTP52" s="2"/>
      <c r="BTQ52" s="2"/>
      <c r="BTR52" s="42"/>
      <c r="BTS52" s="42"/>
      <c r="BTT52" s="42"/>
      <c r="BTU52" s="42"/>
      <c r="BTV52" s="42"/>
      <c r="BTW52" s="42"/>
      <c r="BTX52" s="42"/>
      <c r="BTY52" s="42"/>
      <c r="BTZ52" s="42"/>
      <c r="BUA52" s="42"/>
      <c r="BUB52" s="42"/>
      <c r="BUC52" s="42"/>
      <c r="BUD52" s="42"/>
      <c r="BUE52" s="42"/>
      <c r="BUF52" s="42"/>
      <c r="BUG52" s="42"/>
      <c r="BUH52" s="42"/>
      <c r="BUI52" s="42"/>
      <c r="BUJ52" s="42"/>
      <c r="BUK52" s="42"/>
      <c r="BUL52" s="42"/>
      <c r="BUM52" s="42"/>
      <c r="BUN52" s="42"/>
      <c r="BUO52" s="2"/>
      <c r="BUP52" s="15"/>
      <c r="BUQ52" s="42"/>
      <c r="BUR52" s="2"/>
      <c r="BUS52" s="2"/>
      <c r="BUT52" s="2"/>
      <c r="BUU52" s="2"/>
      <c r="BUV52" s="42"/>
      <c r="BUW52" s="42"/>
      <c r="BUX52" s="42"/>
      <c r="BUY52" s="42"/>
      <c r="BUZ52" s="42"/>
      <c r="BVA52" s="42"/>
      <c r="BVB52" s="42"/>
      <c r="BVC52" s="42"/>
      <c r="BVD52" s="42"/>
      <c r="BVE52" s="42"/>
      <c r="BVF52" s="42"/>
      <c r="BVG52" s="42"/>
      <c r="BVH52" s="42"/>
      <c r="BVI52" s="42"/>
      <c r="BVJ52" s="42"/>
      <c r="BVK52" s="42"/>
      <c r="BVL52" s="42"/>
      <c r="BVM52" s="42"/>
      <c r="BVN52" s="42"/>
      <c r="BVO52" s="42"/>
      <c r="BVP52" s="42"/>
      <c r="BVQ52" s="42"/>
      <c r="BVR52" s="42"/>
      <c r="BVS52" s="2"/>
      <c r="BVT52" s="15"/>
      <c r="BVU52" s="42"/>
      <c r="BVV52" s="2"/>
      <c r="BVW52" s="2"/>
      <c r="BVX52" s="2"/>
      <c r="BVY52" s="2"/>
      <c r="BVZ52" s="42"/>
      <c r="BWA52" s="42"/>
      <c r="BWB52" s="42"/>
      <c r="BWC52" s="42"/>
      <c r="BWD52" s="42"/>
      <c r="BWE52" s="42"/>
      <c r="BWF52" s="42"/>
      <c r="BWG52" s="42"/>
      <c r="BWH52" s="42"/>
      <c r="BWI52" s="42"/>
      <c r="BWJ52" s="42"/>
      <c r="BWK52" s="42"/>
      <c r="BWL52" s="42"/>
      <c r="BWM52" s="42"/>
      <c r="BWN52" s="42"/>
      <c r="BWO52" s="42"/>
      <c r="BWP52" s="42"/>
      <c r="BWQ52" s="42"/>
      <c r="BWR52" s="42"/>
      <c r="BWS52" s="42"/>
      <c r="BWT52" s="42"/>
      <c r="BWU52" s="42"/>
      <c r="BWV52" s="42"/>
      <c r="BWW52" s="2"/>
      <c r="BWX52" s="15"/>
      <c r="BWY52" s="42"/>
      <c r="BWZ52" s="2"/>
      <c r="BXA52" s="2"/>
      <c r="BXB52" s="2"/>
      <c r="BXC52" s="2"/>
      <c r="BXD52" s="42"/>
      <c r="BXE52" s="42"/>
      <c r="BXF52" s="42"/>
      <c r="BXG52" s="42"/>
      <c r="BXH52" s="42"/>
      <c r="BXI52" s="42"/>
      <c r="BXJ52" s="42"/>
      <c r="BXK52" s="42"/>
      <c r="BXL52" s="42"/>
      <c r="BXM52" s="42"/>
      <c r="BXN52" s="42"/>
      <c r="BXO52" s="42"/>
      <c r="BXP52" s="42"/>
      <c r="BXQ52" s="42"/>
      <c r="BXR52" s="42"/>
      <c r="BXS52" s="42"/>
      <c r="BXT52" s="42"/>
      <c r="BXU52" s="42"/>
      <c r="BXV52" s="42"/>
      <c r="BXW52" s="42"/>
      <c r="BXX52" s="42"/>
      <c r="BXY52" s="42"/>
      <c r="BXZ52" s="42"/>
      <c r="BYA52" s="2"/>
      <c r="BYB52" s="15"/>
      <c r="BYC52" s="42"/>
      <c r="BYD52" s="2"/>
      <c r="BYE52" s="2"/>
      <c r="BYF52" s="2"/>
      <c r="BYG52" s="2"/>
      <c r="BYH52" s="42"/>
      <c r="BYI52" s="42"/>
      <c r="BYJ52" s="42"/>
      <c r="BYK52" s="42"/>
      <c r="BYL52" s="42"/>
      <c r="BYM52" s="42"/>
      <c r="BYN52" s="42"/>
      <c r="BYO52" s="42"/>
      <c r="BYP52" s="42"/>
      <c r="BYQ52" s="42"/>
      <c r="BYR52" s="42"/>
      <c r="BYS52" s="42"/>
      <c r="BYT52" s="42"/>
      <c r="BYU52" s="42"/>
      <c r="BYV52" s="42"/>
      <c r="BYW52" s="42"/>
      <c r="BYX52" s="42"/>
      <c r="BYY52" s="42"/>
      <c r="BYZ52" s="42"/>
      <c r="BZA52" s="42"/>
      <c r="BZB52" s="42"/>
      <c r="BZC52" s="42"/>
      <c r="BZD52" s="42"/>
      <c r="BZE52" s="2"/>
      <c r="BZF52" s="15"/>
      <c r="BZG52" s="42"/>
      <c r="BZH52" s="2"/>
      <c r="BZI52" s="2"/>
      <c r="BZJ52" s="2"/>
      <c r="BZK52" s="2"/>
      <c r="BZL52" s="42"/>
      <c r="BZM52" s="42"/>
      <c r="BZN52" s="42"/>
      <c r="BZO52" s="42"/>
      <c r="BZP52" s="42"/>
      <c r="BZQ52" s="42"/>
      <c r="BZR52" s="42"/>
      <c r="BZS52" s="42"/>
      <c r="BZT52" s="42"/>
      <c r="BZU52" s="42"/>
      <c r="BZV52" s="42"/>
      <c r="BZW52" s="42"/>
      <c r="BZX52" s="42"/>
      <c r="BZY52" s="42"/>
      <c r="BZZ52" s="42"/>
      <c r="CAA52" s="42"/>
      <c r="CAB52" s="42"/>
      <c r="CAC52" s="42"/>
      <c r="CAD52" s="42"/>
      <c r="CAE52" s="42"/>
      <c r="CAF52" s="42"/>
      <c r="CAG52" s="42"/>
      <c r="CAH52" s="42"/>
      <c r="CAI52" s="2"/>
      <c r="CAJ52" s="15"/>
      <c r="CAK52" s="42"/>
      <c r="CAL52" s="2"/>
      <c r="CAM52" s="2"/>
      <c r="CAN52" s="2"/>
      <c r="CAO52" s="2"/>
      <c r="CAP52" s="42"/>
      <c r="CAQ52" s="42"/>
      <c r="CAR52" s="42"/>
      <c r="CAS52" s="42"/>
      <c r="CAT52" s="42"/>
      <c r="CAU52" s="42"/>
      <c r="CAV52" s="42"/>
      <c r="CAW52" s="42"/>
      <c r="CAX52" s="42"/>
      <c r="CAY52" s="42"/>
      <c r="CAZ52" s="42"/>
      <c r="CBA52" s="42"/>
      <c r="CBB52" s="42"/>
      <c r="CBC52" s="42"/>
      <c r="CBD52" s="42"/>
      <c r="CBE52" s="42"/>
      <c r="CBF52" s="42"/>
      <c r="CBG52" s="42"/>
      <c r="CBH52" s="42"/>
      <c r="CBI52" s="42"/>
      <c r="CBJ52" s="42"/>
      <c r="CBK52" s="42"/>
      <c r="CBL52" s="42"/>
      <c r="CBM52" s="2"/>
      <c r="CBN52" s="15"/>
      <c r="CBO52" s="42"/>
      <c r="CBP52" s="2"/>
      <c r="CBQ52" s="2"/>
      <c r="CBR52" s="2"/>
      <c r="CBS52" s="2"/>
      <c r="CBT52" s="42"/>
      <c r="CBU52" s="42"/>
      <c r="CBV52" s="42"/>
      <c r="CBW52" s="42"/>
      <c r="CBX52" s="42"/>
      <c r="CBY52" s="42"/>
      <c r="CBZ52" s="42"/>
      <c r="CCA52" s="42"/>
      <c r="CCB52" s="42"/>
      <c r="CCC52" s="42"/>
      <c r="CCD52" s="42"/>
      <c r="CCE52" s="42"/>
      <c r="CCF52" s="42"/>
      <c r="CCG52" s="42"/>
      <c r="CCH52" s="42"/>
      <c r="CCI52" s="42"/>
      <c r="CCJ52" s="42"/>
      <c r="CCK52" s="42"/>
      <c r="CCL52" s="42"/>
      <c r="CCM52" s="42"/>
      <c r="CCN52" s="42"/>
      <c r="CCO52" s="42"/>
      <c r="CCP52" s="42"/>
      <c r="CCQ52" s="2"/>
      <c r="CCR52" s="15"/>
      <c r="CCS52" s="42"/>
      <c r="CCT52" s="2"/>
      <c r="CCU52" s="2"/>
      <c r="CCV52" s="2"/>
      <c r="CCW52" s="2"/>
      <c r="CCX52" s="42"/>
      <c r="CCY52" s="42"/>
      <c r="CCZ52" s="42"/>
      <c r="CDA52" s="42"/>
      <c r="CDB52" s="42"/>
      <c r="CDC52" s="42"/>
      <c r="CDD52" s="42"/>
      <c r="CDE52" s="42"/>
      <c r="CDF52" s="42"/>
      <c r="CDG52" s="42"/>
      <c r="CDH52" s="42"/>
      <c r="CDI52" s="42"/>
      <c r="CDJ52" s="42"/>
      <c r="CDK52" s="42"/>
      <c r="CDL52" s="42"/>
      <c r="CDM52" s="42"/>
      <c r="CDN52" s="42"/>
      <c r="CDO52" s="42"/>
      <c r="CDP52" s="42"/>
      <c r="CDQ52" s="42"/>
      <c r="CDR52" s="42"/>
      <c r="CDS52" s="42"/>
      <c r="CDT52" s="42"/>
      <c r="CDU52" s="2"/>
      <c r="CDV52" s="15"/>
      <c r="CDW52" s="42"/>
      <c r="CDX52" s="2"/>
      <c r="CDY52" s="2"/>
      <c r="CDZ52" s="2"/>
      <c r="CEA52" s="2"/>
      <c r="CEB52" s="42"/>
      <c r="CEC52" s="42"/>
      <c r="CED52" s="42"/>
      <c r="CEE52" s="42"/>
      <c r="CEF52" s="42"/>
      <c r="CEG52" s="42"/>
      <c r="CEH52" s="42"/>
      <c r="CEI52" s="42"/>
      <c r="CEJ52" s="42"/>
      <c r="CEK52" s="42"/>
      <c r="CEL52" s="42"/>
      <c r="CEM52" s="42"/>
      <c r="CEN52" s="42"/>
      <c r="CEO52" s="42"/>
      <c r="CEP52" s="42"/>
      <c r="CEQ52" s="42"/>
      <c r="CER52" s="42"/>
      <c r="CES52" s="42"/>
      <c r="CET52" s="42"/>
      <c r="CEU52" s="42"/>
      <c r="CEV52" s="42"/>
      <c r="CEW52" s="42"/>
      <c r="CEX52" s="42"/>
      <c r="CEY52" s="2"/>
      <c r="CEZ52" s="15"/>
      <c r="CFA52" s="42"/>
      <c r="CFB52" s="2"/>
      <c r="CFC52" s="2"/>
      <c r="CFD52" s="2"/>
      <c r="CFE52" s="2"/>
      <c r="CFF52" s="42"/>
      <c r="CFG52" s="42"/>
      <c r="CFH52" s="42"/>
      <c r="CFI52" s="42"/>
      <c r="CFJ52" s="42"/>
      <c r="CFK52" s="42"/>
      <c r="CFL52" s="42"/>
      <c r="CFM52" s="42"/>
      <c r="CFN52" s="42"/>
      <c r="CFO52" s="42"/>
      <c r="CFP52" s="42"/>
      <c r="CFQ52" s="42"/>
      <c r="CFR52" s="42"/>
      <c r="CFS52" s="42"/>
      <c r="CFT52" s="42"/>
      <c r="CFU52" s="42"/>
      <c r="CFV52" s="42"/>
      <c r="CFW52" s="42"/>
      <c r="CFX52" s="42"/>
      <c r="CFY52" s="42"/>
      <c r="CFZ52" s="42"/>
      <c r="CGA52" s="42"/>
      <c r="CGB52" s="42"/>
      <c r="CGC52" s="2"/>
      <c r="CGD52" s="15"/>
      <c r="CGE52" s="42"/>
      <c r="CGF52" s="2"/>
      <c r="CGG52" s="2"/>
      <c r="CGH52" s="2"/>
      <c r="CGI52" s="2"/>
      <c r="CGJ52" s="42"/>
      <c r="CGK52" s="42"/>
      <c r="CGL52" s="42"/>
      <c r="CGM52" s="42"/>
      <c r="CGN52" s="42"/>
      <c r="CGO52" s="42"/>
      <c r="CGP52" s="42"/>
      <c r="CGQ52" s="42"/>
      <c r="CGR52" s="42"/>
      <c r="CGS52" s="42"/>
      <c r="CGT52" s="42"/>
      <c r="CGU52" s="42"/>
      <c r="CGV52" s="42"/>
      <c r="CGW52" s="42"/>
      <c r="CGX52" s="42"/>
      <c r="CGY52" s="42"/>
      <c r="CGZ52" s="42"/>
      <c r="CHA52" s="42"/>
      <c r="CHB52" s="42"/>
      <c r="CHC52" s="42"/>
      <c r="CHD52" s="42"/>
      <c r="CHE52" s="42"/>
      <c r="CHF52" s="42"/>
      <c r="CHG52" s="2"/>
      <c r="CHH52" s="15"/>
      <c r="CHI52" s="42"/>
      <c r="CHJ52" s="2"/>
      <c r="CHK52" s="2"/>
      <c r="CHL52" s="2"/>
      <c r="CHM52" s="2"/>
      <c r="CHN52" s="42"/>
      <c r="CHO52" s="42"/>
      <c r="CHP52" s="42"/>
      <c r="CHQ52" s="42"/>
      <c r="CHR52" s="42"/>
      <c r="CHS52" s="42"/>
      <c r="CHT52" s="42"/>
      <c r="CHU52" s="42"/>
      <c r="CHV52" s="42"/>
      <c r="CHW52" s="42"/>
      <c r="CHX52" s="42"/>
      <c r="CHY52" s="42"/>
      <c r="CHZ52" s="42"/>
      <c r="CIA52" s="42"/>
      <c r="CIB52" s="42"/>
      <c r="CIC52" s="42"/>
      <c r="CID52" s="42"/>
      <c r="CIE52" s="42"/>
      <c r="CIF52" s="42"/>
      <c r="CIG52" s="42"/>
      <c r="CIH52" s="42"/>
      <c r="CII52" s="42"/>
      <c r="CIJ52" s="42"/>
      <c r="CIK52" s="2"/>
      <c r="CIL52" s="15"/>
      <c r="CIM52" s="42"/>
      <c r="CIN52" s="2"/>
      <c r="CIO52" s="2"/>
      <c r="CIP52" s="2"/>
      <c r="CIQ52" s="2"/>
      <c r="CIR52" s="42"/>
      <c r="CIS52" s="42"/>
      <c r="CIT52" s="42"/>
      <c r="CIU52" s="42"/>
      <c r="CIV52" s="42"/>
      <c r="CIW52" s="42"/>
      <c r="CIX52" s="42"/>
      <c r="CIY52" s="42"/>
      <c r="CIZ52" s="42"/>
      <c r="CJA52" s="42"/>
      <c r="CJB52" s="42"/>
      <c r="CJC52" s="42"/>
      <c r="CJD52" s="42"/>
      <c r="CJE52" s="42"/>
      <c r="CJF52" s="42"/>
      <c r="CJG52" s="42"/>
      <c r="CJH52" s="42"/>
      <c r="CJI52" s="42"/>
      <c r="CJJ52" s="42"/>
      <c r="CJK52" s="42"/>
      <c r="CJL52" s="42"/>
      <c r="CJM52" s="42"/>
      <c r="CJN52" s="42"/>
      <c r="CJO52" s="2"/>
      <c r="CJP52" s="15"/>
      <c r="CJQ52" s="42"/>
      <c r="CJR52" s="2"/>
      <c r="CJS52" s="2"/>
      <c r="CJT52" s="2"/>
      <c r="CJU52" s="2"/>
      <c r="CJV52" s="42"/>
      <c r="CJW52" s="42"/>
      <c r="CJX52" s="42"/>
      <c r="CJY52" s="42"/>
      <c r="CJZ52" s="42"/>
      <c r="CKA52" s="42"/>
      <c r="CKB52" s="42"/>
      <c r="CKC52" s="42"/>
      <c r="CKD52" s="42"/>
      <c r="CKE52" s="42"/>
      <c r="CKF52" s="42"/>
      <c r="CKG52" s="42"/>
      <c r="CKH52" s="42"/>
      <c r="CKI52" s="42"/>
      <c r="CKJ52" s="42"/>
      <c r="CKK52" s="42"/>
      <c r="CKL52" s="42"/>
      <c r="CKM52" s="42"/>
      <c r="CKN52" s="42"/>
      <c r="CKO52" s="42"/>
      <c r="CKP52" s="42"/>
      <c r="CKQ52" s="42"/>
      <c r="CKR52" s="42"/>
      <c r="CKS52" s="2"/>
      <c r="CKT52" s="15"/>
      <c r="CKU52" s="42"/>
      <c r="CKV52" s="2"/>
      <c r="CKW52" s="2"/>
      <c r="CKX52" s="2"/>
      <c r="CKY52" s="2"/>
      <c r="CKZ52" s="42"/>
      <c r="CLA52" s="42"/>
      <c r="CLB52" s="42"/>
      <c r="CLC52" s="42"/>
      <c r="CLD52" s="42"/>
      <c r="CLE52" s="42"/>
      <c r="CLF52" s="42"/>
      <c r="CLG52" s="42"/>
      <c r="CLH52" s="42"/>
      <c r="CLI52" s="42"/>
      <c r="CLJ52" s="42"/>
      <c r="CLK52" s="42"/>
      <c r="CLL52" s="42"/>
      <c r="CLM52" s="42"/>
      <c r="CLN52" s="42"/>
      <c r="CLO52" s="42"/>
      <c r="CLP52" s="42"/>
      <c r="CLQ52" s="42"/>
      <c r="CLR52" s="42"/>
      <c r="CLS52" s="42"/>
      <c r="CLT52" s="42"/>
      <c r="CLU52" s="42"/>
      <c r="CLV52" s="42"/>
      <c r="CLW52" s="2"/>
      <c r="CLX52" s="15"/>
      <c r="CLY52" s="42"/>
      <c r="CLZ52" s="2"/>
      <c r="CMA52" s="2"/>
      <c r="CMB52" s="2"/>
      <c r="CMC52" s="2"/>
      <c r="CMD52" s="42"/>
      <c r="CME52" s="42"/>
      <c r="CMF52" s="42"/>
      <c r="CMG52" s="42"/>
      <c r="CMH52" s="42"/>
      <c r="CMI52" s="42"/>
      <c r="CMJ52" s="42"/>
      <c r="CMK52" s="42"/>
      <c r="CML52" s="42"/>
      <c r="CMM52" s="42"/>
      <c r="CMN52" s="42"/>
      <c r="CMO52" s="42"/>
      <c r="CMP52" s="42"/>
      <c r="CMQ52" s="42"/>
      <c r="CMR52" s="42"/>
      <c r="CMS52" s="42"/>
      <c r="CMT52" s="42"/>
      <c r="CMU52" s="42"/>
      <c r="CMV52" s="42"/>
      <c r="CMW52" s="42"/>
      <c r="CMX52" s="42"/>
      <c r="CMY52" s="42"/>
      <c r="CMZ52" s="42"/>
      <c r="CNA52" s="2"/>
      <c r="CNB52" s="15"/>
      <c r="CNC52" s="42"/>
      <c r="CND52" s="2"/>
      <c r="CNE52" s="2"/>
      <c r="CNF52" s="2"/>
      <c r="CNG52" s="2"/>
      <c r="CNH52" s="42"/>
      <c r="CNI52" s="42"/>
      <c r="CNJ52" s="42"/>
      <c r="CNK52" s="42"/>
      <c r="CNL52" s="42"/>
      <c r="CNM52" s="42"/>
      <c r="CNN52" s="42"/>
      <c r="CNO52" s="42"/>
      <c r="CNP52" s="42"/>
      <c r="CNQ52" s="42"/>
      <c r="CNR52" s="42"/>
      <c r="CNS52" s="42"/>
      <c r="CNT52" s="42"/>
      <c r="CNU52" s="42"/>
      <c r="CNV52" s="42"/>
      <c r="CNW52" s="42"/>
      <c r="CNX52" s="42"/>
      <c r="CNY52" s="42"/>
      <c r="CNZ52" s="42"/>
      <c r="COA52" s="42"/>
      <c r="COB52" s="42"/>
      <c r="COC52" s="42"/>
      <c r="COD52" s="42"/>
      <c r="COE52" s="2"/>
      <c r="COF52" s="15"/>
      <c r="COG52" s="42"/>
      <c r="COH52" s="2"/>
      <c r="COI52" s="2"/>
      <c r="COJ52" s="2"/>
      <c r="COK52" s="2"/>
      <c r="COL52" s="42"/>
      <c r="COM52" s="42"/>
      <c r="CON52" s="42"/>
      <c r="COO52" s="42"/>
      <c r="COP52" s="42"/>
      <c r="COQ52" s="42"/>
      <c r="COR52" s="42"/>
      <c r="COS52" s="42"/>
      <c r="COT52" s="42"/>
      <c r="COU52" s="42"/>
      <c r="COV52" s="42"/>
      <c r="COW52" s="42"/>
      <c r="COX52" s="42"/>
      <c r="COY52" s="42"/>
      <c r="COZ52" s="42"/>
      <c r="CPA52" s="42"/>
      <c r="CPB52" s="42"/>
      <c r="CPC52" s="42"/>
      <c r="CPD52" s="42"/>
      <c r="CPE52" s="42"/>
      <c r="CPF52" s="42"/>
      <c r="CPG52" s="42"/>
      <c r="CPH52" s="42"/>
      <c r="CPI52" s="2"/>
      <c r="CPJ52" s="15"/>
      <c r="CPK52" s="42"/>
      <c r="CPL52" s="2"/>
      <c r="CPM52" s="2"/>
      <c r="CPN52" s="2"/>
      <c r="CPO52" s="2"/>
      <c r="CPP52" s="42"/>
      <c r="CPQ52" s="42"/>
      <c r="CPR52" s="42"/>
      <c r="CPS52" s="42"/>
      <c r="CPT52" s="42"/>
      <c r="CPU52" s="42"/>
      <c r="CPV52" s="42"/>
      <c r="CPW52" s="42"/>
      <c r="CPX52" s="42"/>
      <c r="CPY52" s="42"/>
      <c r="CPZ52" s="42"/>
      <c r="CQA52" s="42"/>
      <c r="CQB52" s="42"/>
      <c r="CQC52" s="42"/>
      <c r="CQD52" s="42"/>
      <c r="CQE52" s="42"/>
      <c r="CQF52" s="42"/>
      <c r="CQG52" s="42"/>
      <c r="CQH52" s="42"/>
      <c r="CQI52" s="42"/>
      <c r="CQJ52" s="42"/>
      <c r="CQK52" s="42"/>
      <c r="CQL52" s="42"/>
      <c r="CQM52" s="2"/>
      <c r="CQN52" s="15"/>
      <c r="CQO52" s="42"/>
      <c r="CQP52" s="2"/>
      <c r="CQQ52" s="2"/>
      <c r="CQR52" s="2"/>
      <c r="CQS52" s="2"/>
      <c r="CQT52" s="42"/>
      <c r="CQU52" s="42"/>
      <c r="CQV52" s="42"/>
      <c r="CQW52" s="42"/>
      <c r="CQX52" s="42"/>
      <c r="CQY52" s="42"/>
      <c r="CQZ52" s="42"/>
      <c r="CRA52" s="42"/>
      <c r="CRB52" s="42"/>
      <c r="CRC52" s="42"/>
      <c r="CRD52" s="42"/>
      <c r="CRE52" s="42"/>
      <c r="CRF52" s="42"/>
      <c r="CRG52" s="42"/>
      <c r="CRH52" s="42"/>
      <c r="CRI52" s="42"/>
      <c r="CRJ52" s="42"/>
      <c r="CRK52" s="42"/>
      <c r="CRL52" s="42"/>
      <c r="CRM52" s="42"/>
      <c r="CRN52" s="42"/>
      <c r="CRO52" s="42"/>
      <c r="CRP52" s="42"/>
      <c r="CRQ52" s="2"/>
      <c r="CRR52" s="15"/>
      <c r="CRS52" s="42"/>
      <c r="CRT52" s="2"/>
      <c r="CRU52" s="2"/>
      <c r="CRV52" s="2"/>
      <c r="CRW52" s="2"/>
      <c r="CRX52" s="42"/>
      <c r="CRY52" s="42"/>
      <c r="CRZ52" s="42"/>
      <c r="CSA52" s="42"/>
      <c r="CSB52" s="42"/>
      <c r="CSC52" s="42"/>
      <c r="CSD52" s="42"/>
      <c r="CSE52" s="42"/>
      <c r="CSF52" s="42"/>
      <c r="CSG52" s="42"/>
      <c r="CSH52" s="42"/>
      <c r="CSI52" s="42"/>
      <c r="CSJ52" s="42"/>
      <c r="CSK52" s="42"/>
      <c r="CSL52" s="42"/>
      <c r="CSM52" s="42"/>
      <c r="CSN52" s="42"/>
      <c r="CSO52" s="42"/>
      <c r="CSP52" s="42"/>
      <c r="CSQ52" s="42"/>
      <c r="CSR52" s="42"/>
      <c r="CSS52" s="42"/>
      <c r="CST52" s="42"/>
      <c r="CSU52" s="2"/>
      <c r="CSV52" s="15"/>
      <c r="CSW52" s="42"/>
      <c r="CSX52" s="2"/>
      <c r="CSY52" s="2"/>
      <c r="CSZ52" s="2"/>
      <c r="CTA52" s="2"/>
      <c r="CTB52" s="42"/>
      <c r="CTC52" s="42"/>
      <c r="CTD52" s="42"/>
      <c r="CTE52" s="42"/>
      <c r="CTF52" s="42"/>
      <c r="CTG52" s="42"/>
      <c r="CTH52" s="42"/>
      <c r="CTI52" s="42"/>
      <c r="CTJ52" s="42"/>
      <c r="CTK52" s="42"/>
      <c r="CTL52" s="42"/>
      <c r="CTM52" s="42"/>
      <c r="CTN52" s="42"/>
      <c r="CTO52" s="42"/>
      <c r="CTP52" s="42"/>
      <c r="CTQ52" s="42"/>
      <c r="CTR52" s="42"/>
      <c r="CTS52" s="42"/>
      <c r="CTT52" s="42"/>
      <c r="CTU52" s="42"/>
      <c r="CTV52" s="42"/>
      <c r="CTW52" s="42"/>
      <c r="CTX52" s="42"/>
      <c r="CTY52" s="2"/>
      <c r="CTZ52" s="15"/>
      <c r="CUA52" s="42"/>
      <c r="CUB52" s="2"/>
      <c r="CUC52" s="2"/>
      <c r="CUD52" s="2"/>
      <c r="CUE52" s="2"/>
      <c r="CUF52" s="42"/>
      <c r="CUG52" s="42"/>
      <c r="CUH52" s="42"/>
      <c r="CUI52" s="42"/>
      <c r="CUJ52" s="42"/>
      <c r="CUK52" s="42"/>
      <c r="CUL52" s="42"/>
      <c r="CUM52" s="42"/>
      <c r="CUN52" s="42"/>
      <c r="CUO52" s="42"/>
      <c r="CUP52" s="42"/>
      <c r="CUQ52" s="42"/>
      <c r="CUR52" s="42"/>
      <c r="CUS52" s="42"/>
      <c r="CUT52" s="42"/>
      <c r="CUU52" s="42"/>
      <c r="CUV52" s="42"/>
      <c r="CUW52" s="42"/>
      <c r="CUX52" s="42"/>
      <c r="CUY52" s="42"/>
      <c r="CUZ52" s="42"/>
      <c r="CVA52" s="42"/>
      <c r="CVB52" s="42"/>
      <c r="CVC52" s="2"/>
      <c r="CVD52" s="15"/>
      <c r="CVE52" s="42"/>
      <c r="CVF52" s="2"/>
      <c r="CVG52" s="2"/>
      <c r="CVH52" s="2"/>
      <c r="CVI52" s="2"/>
      <c r="CVJ52" s="42"/>
      <c r="CVK52" s="42"/>
      <c r="CVL52" s="42"/>
      <c r="CVM52" s="42"/>
      <c r="CVN52" s="42"/>
      <c r="CVO52" s="42"/>
      <c r="CVP52" s="42"/>
      <c r="CVQ52" s="42"/>
      <c r="CVR52" s="42"/>
      <c r="CVS52" s="42"/>
      <c r="CVT52" s="42"/>
      <c r="CVU52" s="42"/>
      <c r="CVV52" s="42"/>
      <c r="CVW52" s="42"/>
      <c r="CVX52" s="42"/>
      <c r="CVY52" s="42"/>
      <c r="CVZ52" s="42"/>
      <c r="CWA52" s="42"/>
      <c r="CWB52" s="42"/>
      <c r="CWC52" s="42"/>
      <c r="CWD52" s="42"/>
      <c r="CWE52" s="42"/>
      <c r="CWF52" s="42"/>
      <c r="CWG52" s="2"/>
      <c r="CWH52" s="15"/>
      <c r="CWI52" s="42"/>
      <c r="CWJ52" s="2"/>
      <c r="CWK52" s="2"/>
      <c r="CWL52" s="2"/>
      <c r="CWM52" s="2"/>
      <c r="CWN52" s="42"/>
      <c r="CWO52" s="42"/>
      <c r="CWP52" s="42"/>
      <c r="CWQ52" s="42"/>
      <c r="CWR52" s="42"/>
      <c r="CWS52" s="42"/>
      <c r="CWT52" s="42"/>
      <c r="CWU52" s="42"/>
      <c r="CWV52" s="42"/>
      <c r="CWW52" s="42"/>
      <c r="CWX52" s="42"/>
      <c r="CWY52" s="42"/>
      <c r="CWZ52" s="42"/>
      <c r="CXA52" s="42"/>
      <c r="CXB52" s="42"/>
      <c r="CXC52" s="42"/>
      <c r="CXD52" s="42"/>
      <c r="CXE52" s="42"/>
      <c r="CXF52" s="42"/>
      <c r="CXG52" s="42"/>
      <c r="CXH52" s="42"/>
      <c r="CXI52" s="42"/>
      <c r="CXJ52" s="42"/>
      <c r="CXK52" s="2"/>
      <c r="CXL52" s="15"/>
      <c r="CXM52" s="42"/>
      <c r="CXN52" s="2"/>
      <c r="CXO52" s="2"/>
      <c r="CXP52" s="2"/>
      <c r="CXQ52" s="2"/>
      <c r="CXR52" s="42"/>
      <c r="CXS52" s="42"/>
      <c r="CXT52" s="42"/>
      <c r="CXU52" s="42"/>
      <c r="CXV52" s="42"/>
      <c r="CXW52" s="42"/>
      <c r="CXX52" s="42"/>
      <c r="CXY52" s="42"/>
      <c r="CXZ52" s="42"/>
      <c r="CYA52" s="42"/>
      <c r="CYB52" s="42"/>
      <c r="CYC52" s="42"/>
      <c r="CYD52" s="42"/>
      <c r="CYE52" s="42"/>
      <c r="CYF52" s="42"/>
      <c r="CYG52" s="42"/>
      <c r="CYH52" s="42"/>
      <c r="CYI52" s="42"/>
      <c r="CYJ52" s="42"/>
      <c r="CYK52" s="42"/>
      <c r="CYL52" s="42"/>
      <c r="CYM52" s="42"/>
      <c r="CYN52" s="42"/>
      <c r="CYO52" s="2"/>
      <c r="CYP52" s="15"/>
      <c r="CYQ52" s="42"/>
      <c r="CYR52" s="2"/>
      <c r="CYS52" s="2"/>
      <c r="CYT52" s="2"/>
      <c r="CYU52" s="2"/>
      <c r="CYV52" s="42"/>
      <c r="CYW52" s="42"/>
      <c r="CYX52" s="42"/>
      <c r="CYY52" s="42"/>
      <c r="CYZ52" s="42"/>
      <c r="CZA52" s="42"/>
      <c r="CZB52" s="42"/>
      <c r="CZC52" s="42"/>
      <c r="CZD52" s="42"/>
      <c r="CZE52" s="42"/>
      <c r="CZF52" s="42"/>
      <c r="CZG52" s="42"/>
      <c r="CZH52" s="42"/>
      <c r="CZI52" s="42"/>
      <c r="CZJ52" s="42"/>
      <c r="CZK52" s="42"/>
      <c r="CZL52" s="42"/>
      <c r="CZM52" s="42"/>
      <c r="CZN52" s="42"/>
      <c r="CZO52" s="42"/>
      <c r="CZP52" s="42"/>
      <c r="CZQ52" s="42"/>
      <c r="CZR52" s="42"/>
      <c r="CZS52" s="2"/>
      <c r="CZT52" s="15"/>
      <c r="CZU52" s="42"/>
      <c r="CZV52" s="2"/>
      <c r="CZW52" s="2"/>
      <c r="CZX52" s="2"/>
      <c r="CZY52" s="2"/>
      <c r="CZZ52" s="42"/>
      <c r="DAA52" s="42"/>
      <c r="DAB52" s="42"/>
      <c r="DAC52" s="42"/>
      <c r="DAD52" s="42"/>
      <c r="DAE52" s="42"/>
      <c r="DAF52" s="42"/>
      <c r="DAG52" s="42"/>
      <c r="DAH52" s="42"/>
      <c r="DAI52" s="42"/>
      <c r="DAJ52" s="42"/>
      <c r="DAK52" s="42"/>
      <c r="DAL52" s="42"/>
      <c r="DAM52" s="42"/>
      <c r="DAN52" s="42"/>
      <c r="DAO52" s="42"/>
      <c r="DAP52" s="42"/>
      <c r="DAQ52" s="42"/>
      <c r="DAR52" s="42"/>
      <c r="DAS52" s="42"/>
      <c r="DAT52" s="42"/>
      <c r="DAU52" s="42"/>
      <c r="DAV52" s="42"/>
      <c r="DAW52" s="2"/>
      <c r="DAX52" s="15"/>
      <c r="DAY52" s="42"/>
      <c r="DAZ52" s="2"/>
      <c r="DBA52" s="2"/>
      <c r="DBB52" s="2"/>
      <c r="DBC52" s="2"/>
      <c r="DBD52" s="42"/>
      <c r="DBE52" s="42"/>
      <c r="DBF52" s="42"/>
      <c r="DBG52" s="42"/>
      <c r="DBH52" s="42"/>
      <c r="DBI52" s="42"/>
      <c r="DBJ52" s="42"/>
      <c r="DBK52" s="42"/>
      <c r="DBL52" s="42"/>
      <c r="DBM52" s="42"/>
      <c r="DBN52" s="42"/>
      <c r="DBO52" s="42"/>
      <c r="DBP52" s="42"/>
      <c r="DBQ52" s="42"/>
      <c r="DBR52" s="42"/>
      <c r="DBS52" s="42"/>
      <c r="DBT52" s="42"/>
      <c r="DBU52" s="42"/>
      <c r="DBV52" s="42"/>
      <c r="DBW52" s="42"/>
      <c r="DBX52" s="42"/>
      <c r="DBY52" s="42"/>
      <c r="DBZ52" s="42"/>
      <c r="DCA52" s="2"/>
      <c r="DCB52" s="15"/>
      <c r="DCC52" s="42"/>
      <c r="DCD52" s="2"/>
      <c r="DCE52" s="2"/>
      <c r="DCF52" s="2"/>
      <c r="DCG52" s="2"/>
      <c r="DCH52" s="42"/>
      <c r="DCI52" s="42"/>
      <c r="DCJ52" s="42"/>
      <c r="DCK52" s="42"/>
      <c r="DCL52" s="42"/>
      <c r="DCM52" s="42"/>
      <c r="DCN52" s="42"/>
      <c r="DCO52" s="42"/>
      <c r="DCP52" s="42"/>
      <c r="DCQ52" s="42"/>
      <c r="DCR52" s="42"/>
      <c r="DCS52" s="42"/>
      <c r="DCT52" s="42"/>
      <c r="DCU52" s="42"/>
      <c r="DCV52" s="42"/>
      <c r="DCW52" s="42"/>
      <c r="DCX52" s="42"/>
      <c r="DCY52" s="42"/>
      <c r="DCZ52" s="42"/>
      <c r="DDA52" s="42"/>
      <c r="DDB52" s="42"/>
      <c r="DDC52" s="42"/>
      <c r="DDD52" s="42"/>
      <c r="DDE52" s="2"/>
      <c r="DDF52" s="15"/>
      <c r="DDG52" s="42"/>
      <c r="DDH52" s="2"/>
      <c r="DDI52" s="2"/>
      <c r="DDJ52" s="2"/>
      <c r="DDK52" s="2"/>
      <c r="DDL52" s="42"/>
      <c r="DDM52" s="42"/>
      <c r="DDN52" s="42"/>
      <c r="DDO52" s="42"/>
      <c r="DDP52" s="42"/>
      <c r="DDQ52" s="42"/>
      <c r="DDR52" s="42"/>
      <c r="DDS52" s="42"/>
      <c r="DDT52" s="42"/>
      <c r="DDU52" s="42"/>
      <c r="DDV52" s="42"/>
      <c r="DDW52" s="42"/>
      <c r="DDX52" s="42"/>
      <c r="DDY52" s="42"/>
      <c r="DDZ52" s="42"/>
      <c r="DEA52" s="42"/>
      <c r="DEB52" s="42"/>
      <c r="DEC52" s="42"/>
      <c r="DED52" s="42"/>
      <c r="DEE52" s="42"/>
      <c r="DEF52" s="42"/>
      <c r="DEG52" s="42"/>
      <c r="DEH52" s="42"/>
      <c r="DEI52" s="2"/>
      <c r="DEJ52" s="15"/>
      <c r="DEK52" s="42"/>
      <c r="DEL52" s="2"/>
      <c r="DEM52" s="2"/>
      <c r="DEN52" s="2"/>
      <c r="DEO52" s="2"/>
      <c r="DEP52" s="42"/>
      <c r="DEQ52" s="42"/>
      <c r="DER52" s="42"/>
      <c r="DES52" s="42"/>
      <c r="DET52" s="42"/>
      <c r="DEU52" s="42"/>
      <c r="DEV52" s="42"/>
      <c r="DEW52" s="42"/>
      <c r="DEX52" s="42"/>
      <c r="DEY52" s="42"/>
      <c r="DEZ52" s="42"/>
      <c r="DFA52" s="42"/>
      <c r="DFB52" s="42"/>
      <c r="DFC52" s="42"/>
      <c r="DFD52" s="42"/>
      <c r="DFE52" s="42"/>
      <c r="DFF52" s="42"/>
      <c r="DFG52" s="42"/>
      <c r="DFH52" s="42"/>
      <c r="DFI52" s="42"/>
      <c r="DFJ52" s="42"/>
      <c r="DFK52" s="42"/>
      <c r="DFL52" s="42"/>
      <c r="DFM52" s="2"/>
      <c r="DFN52" s="15"/>
      <c r="DFO52" s="42"/>
      <c r="DFP52" s="2"/>
      <c r="DFQ52" s="2"/>
      <c r="DFR52" s="2"/>
      <c r="DFS52" s="2"/>
      <c r="DFT52" s="42"/>
      <c r="DFU52" s="42"/>
      <c r="DFV52" s="42"/>
      <c r="DFW52" s="42"/>
      <c r="DFX52" s="42"/>
      <c r="DFY52" s="42"/>
      <c r="DFZ52" s="42"/>
      <c r="DGA52" s="42"/>
      <c r="DGB52" s="42"/>
      <c r="DGC52" s="42"/>
      <c r="DGD52" s="42"/>
      <c r="DGE52" s="42"/>
      <c r="DGF52" s="42"/>
      <c r="DGG52" s="42"/>
      <c r="DGH52" s="42"/>
      <c r="DGI52" s="42"/>
      <c r="DGJ52" s="42"/>
      <c r="DGK52" s="42"/>
      <c r="DGL52" s="42"/>
      <c r="DGM52" s="42"/>
      <c r="DGN52" s="42"/>
      <c r="DGO52" s="42"/>
      <c r="DGP52" s="42"/>
      <c r="DGQ52" s="2"/>
      <c r="DGR52" s="15"/>
      <c r="DGS52" s="42"/>
      <c r="DGT52" s="2"/>
      <c r="DGU52" s="2"/>
      <c r="DGV52" s="2"/>
      <c r="DGW52" s="2"/>
      <c r="DGX52" s="42"/>
      <c r="DGY52" s="42"/>
      <c r="DGZ52" s="42"/>
      <c r="DHA52" s="42"/>
      <c r="DHB52" s="42"/>
      <c r="DHC52" s="42"/>
      <c r="DHD52" s="42"/>
      <c r="DHE52" s="42"/>
      <c r="DHF52" s="42"/>
      <c r="DHG52" s="42"/>
      <c r="DHH52" s="42"/>
      <c r="DHI52" s="42"/>
      <c r="DHJ52" s="42"/>
      <c r="DHK52" s="42"/>
      <c r="DHL52" s="42"/>
      <c r="DHM52" s="42"/>
      <c r="DHN52" s="42"/>
      <c r="DHO52" s="42"/>
      <c r="DHP52" s="42"/>
      <c r="DHQ52" s="42"/>
      <c r="DHR52" s="42"/>
      <c r="DHS52" s="42"/>
      <c r="DHT52" s="42"/>
      <c r="DHU52" s="2"/>
      <c r="DHV52" s="15"/>
      <c r="DHW52" s="42"/>
      <c r="DHX52" s="2"/>
      <c r="DHY52" s="2"/>
      <c r="DHZ52" s="2"/>
      <c r="DIA52" s="2"/>
      <c r="DIB52" s="42"/>
      <c r="DIC52" s="42"/>
      <c r="DID52" s="42"/>
      <c r="DIE52" s="42"/>
      <c r="DIF52" s="42"/>
      <c r="DIG52" s="42"/>
      <c r="DIH52" s="42"/>
      <c r="DII52" s="42"/>
      <c r="DIJ52" s="42"/>
      <c r="DIK52" s="42"/>
      <c r="DIL52" s="42"/>
      <c r="DIM52" s="42"/>
      <c r="DIN52" s="42"/>
      <c r="DIO52" s="42"/>
      <c r="DIP52" s="42"/>
      <c r="DIQ52" s="42"/>
      <c r="DIR52" s="42"/>
      <c r="DIS52" s="42"/>
      <c r="DIT52" s="42"/>
      <c r="DIU52" s="42"/>
      <c r="DIV52" s="42"/>
      <c r="DIW52" s="42"/>
      <c r="DIX52" s="42"/>
      <c r="DIY52" s="2"/>
      <c r="DIZ52" s="15"/>
      <c r="DJA52" s="42"/>
      <c r="DJB52" s="2"/>
      <c r="DJC52" s="2"/>
      <c r="DJD52" s="2"/>
      <c r="DJE52" s="2"/>
      <c r="DJF52" s="42"/>
      <c r="DJG52" s="42"/>
      <c r="DJH52" s="42"/>
      <c r="DJI52" s="42"/>
      <c r="DJJ52" s="42"/>
      <c r="DJK52" s="42"/>
      <c r="DJL52" s="42"/>
      <c r="DJM52" s="42"/>
      <c r="DJN52" s="42"/>
      <c r="DJO52" s="42"/>
      <c r="DJP52" s="42"/>
      <c r="DJQ52" s="42"/>
      <c r="DJR52" s="42"/>
      <c r="DJS52" s="42"/>
      <c r="DJT52" s="42"/>
      <c r="DJU52" s="42"/>
      <c r="DJV52" s="42"/>
      <c r="DJW52" s="42"/>
      <c r="DJX52" s="42"/>
      <c r="DJY52" s="42"/>
      <c r="DJZ52" s="42"/>
      <c r="DKA52" s="42"/>
      <c r="DKB52" s="42"/>
      <c r="DKC52" s="2"/>
      <c r="DKD52" s="15"/>
      <c r="DKE52" s="42"/>
      <c r="DKF52" s="2"/>
      <c r="DKG52" s="2"/>
      <c r="DKH52" s="2"/>
      <c r="DKI52" s="2"/>
      <c r="DKJ52" s="42"/>
      <c r="DKK52" s="42"/>
      <c r="DKL52" s="42"/>
      <c r="DKM52" s="42"/>
      <c r="DKN52" s="42"/>
      <c r="DKO52" s="42"/>
      <c r="DKP52" s="42"/>
      <c r="DKQ52" s="42"/>
      <c r="DKR52" s="42"/>
      <c r="DKS52" s="42"/>
      <c r="DKT52" s="42"/>
      <c r="DKU52" s="42"/>
      <c r="DKV52" s="42"/>
      <c r="DKW52" s="42"/>
      <c r="DKX52" s="42"/>
      <c r="DKY52" s="42"/>
      <c r="DKZ52" s="42"/>
      <c r="DLA52" s="42"/>
      <c r="DLB52" s="42"/>
      <c r="DLC52" s="42"/>
      <c r="DLD52" s="42"/>
      <c r="DLE52" s="42"/>
      <c r="DLF52" s="42"/>
      <c r="DLG52" s="2"/>
      <c r="DLH52" s="15"/>
      <c r="DLI52" s="42"/>
      <c r="DLJ52" s="2"/>
      <c r="DLK52" s="2"/>
      <c r="DLL52" s="2"/>
      <c r="DLM52" s="2"/>
      <c r="DLN52" s="42"/>
      <c r="DLO52" s="42"/>
      <c r="DLP52" s="42"/>
      <c r="DLQ52" s="42"/>
      <c r="DLR52" s="42"/>
      <c r="DLS52" s="42"/>
      <c r="DLT52" s="42"/>
      <c r="DLU52" s="42"/>
      <c r="DLV52" s="42"/>
      <c r="DLW52" s="42"/>
      <c r="DLX52" s="42"/>
      <c r="DLY52" s="42"/>
      <c r="DLZ52" s="42"/>
      <c r="DMA52" s="42"/>
      <c r="DMB52" s="42"/>
      <c r="DMC52" s="42"/>
      <c r="DMD52" s="42"/>
      <c r="DME52" s="42"/>
      <c r="DMF52" s="42"/>
      <c r="DMG52" s="42"/>
      <c r="DMH52" s="42"/>
      <c r="DMI52" s="42"/>
      <c r="DMJ52" s="42"/>
      <c r="DMK52" s="2"/>
      <c r="DML52" s="15"/>
      <c r="DMM52" s="42"/>
      <c r="DMN52" s="2"/>
      <c r="DMO52" s="2"/>
      <c r="DMP52" s="2"/>
      <c r="DMQ52" s="2"/>
      <c r="DMR52" s="42"/>
      <c r="DMS52" s="42"/>
      <c r="DMT52" s="42"/>
      <c r="DMU52" s="42"/>
      <c r="DMV52" s="42"/>
      <c r="DMW52" s="42"/>
      <c r="DMX52" s="42"/>
      <c r="DMY52" s="42"/>
      <c r="DMZ52" s="42"/>
      <c r="DNA52" s="42"/>
      <c r="DNB52" s="42"/>
      <c r="DNC52" s="42"/>
      <c r="DND52" s="42"/>
      <c r="DNE52" s="42"/>
      <c r="DNF52" s="42"/>
      <c r="DNG52" s="42"/>
      <c r="DNH52" s="42"/>
      <c r="DNI52" s="42"/>
      <c r="DNJ52" s="42"/>
      <c r="DNK52" s="42"/>
      <c r="DNL52" s="42"/>
      <c r="DNM52" s="42"/>
      <c r="DNN52" s="42"/>
      <c r="DNO52" s="2"/>
      <c r="DNP52" s="15"/>
      <c r="DNQ52" s="42"/>
      <c r="DNR52" s="2"/>
      <c r="DNS52" s="2"/>
      <c r="DNT52" s="2"/>
      <c r="DNU52" s="2"/>
      <c r="DNV52" s="42"/>
      <c r="DNW52" s="42"/>
      <c r="DNX52" s="42"/>
      <c r="DNY52" s="42"/>
      <c r="DNZ52" s="42"/>
      <c r="DOA52" s="42"/>
      <c r="DOB52" s="42"/>
      <c r="DOC52" s="42"/>
      <c r="DOD52" s="42"/>
      <c r="DOE52" s="42"/>
      <c r="DOF52" s="42"/>
      <c r="DOG52" s="42"/>
      <c r="DOH52" s="42"/>
      <c r="DOI52" s="42"/>
      <c r="DOJ52" s="42"/>
      <c r="DOK52" s="42"/>
      <c r="DOL52" s="42"/>
      <c r="DOM52" s="42"/>
      <c r="DON52" s="42"/>
      <c r="DOO52" s="42"/>
      <c r="DOP52" s="42"/>
      <c r="DOQ52" s="42"/>
      <c r="DOR52" s="42"/>
      <c r="DOS52" s="2"/>
      <c r="DOT52" s="15"/>
      <c r="DOU52" s="42"/>
      <c r="DOV52" s="2"/>
      <c r="DOW52" s="2"/>
      <c r="DOX52" s="2"/>
      <c r="DOY52" s="2"/>
      <c r="DOZ52" s="42"/>
      <c r="DPA52" s="42"/>
      <c r="DPB52" s="42"/>
      <c r="DPC52" s="42"/>
      <c r="DPD52" s="42"/>
      <c r="DPE52" s="42"/>
      <c r="DPF52" s="42"/>
      <c r="DPG52" s="42"/>
      <c r="DPH52" s="42"/>
      <c r="DPI52" s="42"/>
      <c r="DPJ52" s="42"/>
      <c r="DPK52" s="42"/>
      <c r="DPL52" s="42"/>
      <c r="DPM52" s="42"/>
      <c r="DPN52" s="42"/>
      <c r="DPO52" s="42"/>
      <c r="DPP52" s="42"/>
      <c r="DPQ52" s="42"/>
      <c r="DPR52" s="42"/>
      <c r="DPS52" s="42"/>
      <c r="DPT52" s="42"/>
      <c r="DPU52" s="42"/>
      <c r="DPV52" s="42"/>
      <c r="DPW52" s="2"/>
      <c r="DPX52" s="15"/>
      <c r="DPY52" s="42"/>
      <c r="DPZ52" s="2"/>
      <c r="DQA52" s="2"/>
      <c r="DQB52" s="2"/>
      <c r="DQC52" s="2"/>
      <c r="DQD52" s="42"/>
      <c r="DQE52" s="42"/>
      <c r="DQF52" s="42"/>
      <c r="DQG52" s="42"/>
      <c r="DQH52" s="42"/>
      <c r="DQI52" s="42"/>
      <c r="DQJ52" s="42"/>
      <c r="DQK52" s="42"/>
      <c r="DQL52" s="42"/>
      <c r="DQM52" s="42"/>
      <c r="DQN52" s="42"/>
      <c r="DQO52" s="42"/>
      <c r="DQP52" s="42"/>
      <c r="DQQ52" s="42"/>
      <c r="DQR52" s="42"/>
      <c r="DQS52" s="42"/>
      <c r="DQT52" s="42"/>
      <c r="DQU52" s="42"/>
      <c r="DQV52" s="42"/>
      <c r="DQW52" s="42"/>
      <c r="DQX52" s="42"/>
      <c r="DQY52" s="42"/>
      <c r="DQZ52" s="42"/>
      <c r="DRA52" s="2"/>
      <c r="DRB52" s="15"/>
      <c r="DRC52" s="42"/>
      <c r="DRD52" s="2"/>
      <c r="DRE52" s="2"/>
      <c r="DRF52" s="2"/>
      <c r="DRG52" s="2"/>
      <c r="DRH52" s="42"/>
      <c r="DRI52" s="42"/>
      <c r="DRJ52" s="42"/>
      <c r="DRK52" s="42"/>
      <c r="DRL52" s="42"/>
      <c r="DRM52" s="42"/>
      <c r="DRN52" s="42"/>
      <c r="DRO52" s="42"/>
      <c r="DRP52" s="42"/>
      <c r="DRQ52" s="42"/>
      <c r="DRR52" s="42"/>
      <c r="DRS52" s="42"/>
      <c r="DRT52" s="42"/>
      <c r="DRU52" s="42"/>
      <c r="DRV52" s="42"/>
      <c r="DRW52" s="42"/>
      <c r="DRX52" s="42"/>
      <c r="DRY52" s="42"/>
      <c r="DRZ52" s="42"/>
      <c r="DSA52" s="42"/>
      <c r="DSB52" s="42"/>
      <c r="DSC52" s="42"/>
      <c r="DSD52" s="42"/>
      <c r="DSE52" s="2"/>
      <c r="DSF52" s="15"/>
      <c r="DSG52" s="42"/>
      <c r="DSH52" s="2"/>
      <c r="DSI52" s="2"/>
      <c r="DSJ52" s="2"/>
      <c r="DSK52" s="2"/>
      <c r="DSL52" s="42"/>
      <c r="DSM52" s="42"/>
      <c r="DSN52" s="42"/>
      <c r="DSO52" s="42"/>
      <c r="DSP52" s="42"/>
      <c r="DSQ52" s="42"/>
      <c r="DSR52" s="42"/>
      <c r="DSS52" s="42"/>
      <c r="DST52" s="42"/>
      <c r="DSU52" s="42"/>
      <c r="DSV52" s="42"/>
      <c r="DSW52" s="42"/>
      <c r="DSX52" s="42"/>
      <c r="DSY52" s="42"/>
      <c r="DSZ52" s="42"/>
      <c r="DTA52" s="42"/>
      <c r="DTB52" s="42"/>
      <c r="DTC52" s="42"/>
      <c r="DTD52" s="42"/>
      <c r="DTE52" s="42"/>
      <c r="DTF52" s="42"/>
      <c r="DTG52" s="42"/>
      <c r="DTH52" s="42"/>
      <c r="DTI52" s="2"/>
      <c r="DTJ52" s="15"/>
      <c r="DTK52" s="42"/>
      <c r="DTL52" s="2"/>
      <c r="DTM52" s="2"/>
      <c r="DTN52" s="2"/>
      <c r="DTO52" s="2"/>
      <c r="DTP52" s="42"/>
      <c r="DTQ52" s="42"/>
      <c r="DTR52" s="42"/>
      <c r="DTS52" s="42"/>
      <c r="DTT52" s="42"/>
      <c r="DTU52" s="42"/>
      <c r="DTV52" s="42"/>
      <c r="DTW52" s="42"/>
      <c r="DTX52" s="42"/>
      <c r="DTY52" s="42"/>
      <c r="DTZ52" s="42"/>
      <c r="DUA52" s="42"/>
      <c r="DUB52" s="42"/>
      <c r="DUC52" s="42"/>
      <c r="DUD52" s="42"/>
      <c r="DUE52" s="42"/>
      <c r="DUF52" s="42"/>
      <c r="DUG52" s="42"/>
      <c r="DUH52" s="42"/>
      <c r="DUI52" s="42"/>
      <c r="DUJ52" s="42"/>
      <c r="DUK52" s="42"/>
      <c r="DUL52" s="42"/>
      <c r="DUM52" s="2"/>
      <c r="DUN52" s="15"/>
      <c r="DUO52" s="42"/>
      <c r="DUP52" s="2"/>
      <c r="DUQ52" s="2"/>
      <c r="DUR52" s="2"/>
      <c r="DUS52" s="2"/>
      <c r="DUT52" s="42"/>
      <c r="DUU52" s="42"/>
      <c r="DUV52" s="42"/>
      <c r="DUW52" s="42"/>
      <c r="DUX52" s="42"/>
      <c r="DUY52" s="42"/>
      <c r="DUZ52" s="42"/>
      <c r="DVA52" s="42"/>
      <c r="DVB52" s="42"/>
      <c r="DVC52" s="42"/>
      <c r="DVD52" s="42"/>
      <c r="DVE52" s="42"/>
      <c r="DVF52" s="42"/>
      <c r="DVG52" s="42"/>
      <c r="DVH52" s="42"/>
      <c r="DVI52" s="42"/>
      <c r="DVJ52" s="42"/>
      <c r="DVK52" s="42"/>
      <c r="DVL52" s="42"/>
      <c r="DVM52" s="42"/>
      <c r="DVN52" s="42"/>
      <c r="DVO52" s="42"/>
      <c r="DVP52" s="42"/>
      <c r="DVQ52" s="2"/>
      <c r="DVR52" s="15"/>
      <c r="DVS52" s="42"/>
      <c r="DVT52" s="2"/>
      <c r="DVU52" s="2"/>
      <c r="DVV52" s="2"/>
      <c r="DVW52" s="2"/>
      <c r="DVX52" s="42"/>
      <c r="DVY52" s="42"/>
      <c r="DVZ52" s="42"/>
      <c r="DWA52" s="42"/>
      <c r="DWB52" s="42"/>
      <c r="DWC52" s="42"/>
      <c r="DWD52" s="42"/>
      <c r="DWE52" s="42"/>
      <c r="DWF52" s="42"/>
      <c r="DWG52" s="42"/>
      <c r="DWH52" s="42"/>
      <c r="DWI52" s="42"/>
      <c r="DWJ52" s="42"/>
      <c r="DWK52" s="42"/>
      <c r="DWL52" s="42"/>
      <c r="DWM52" s="42"/>
      <c r="DWN52" s="42"/>
      <c r="DWO52" s="42"/>
      <c r="DWP52" s="42"/>
      <c r="DWQ52" s="42"/>
      <c r="DWR52" s="42"/>
      <c r="DWS52" s="42"/>
      <c r="DWT52" s="42"/>
      <c r="DWU52" s="2"/>
      <c r="DWV52" s="15"/>
      <c r="DWW52" s="42"/>
      <c r="DWX52" s="2"/>
      <c r="DWY52" s="2"/>
      <c r="DWZ52" s="2"/>
      <c r="DXA52" s="2"/>
      <c r="DXB52" s="42"/>
      <c r="DXC52" s="42"/>
      <c r="DXD52" s="42"/>
      <c r="DXE52" s="42"/>
      <c r="DXF52" s="42"/>
      <c r="DXG52" s="42"/>
      <c r="DXH52" s="42"/>
      <c r="DXI52" s="42"/>
      <c r="DXJ52" s="42"/>
      <c r="DXK52" s="42"/>
      <c r="DXL52" s="42"/>
      <c r="DXM52" s="42"/>
      <c r="DXN52" s="42"/>
      <c r="DXO52" s="42"/>
      <c r="DXP52" s="42"/>
      <c r="DXQ52" s="42"/>
      <c r="DXR52" s="42"/>
      <c r="DXS52" s="42"/>
      <c r="DXT52" s="42"/>
      <c r="DXU52" s="42"/>
      <c r="DXV52" s="42"/>
      <c r="DXW52" s="42"/>
      <c r="DXX52" s="42"/>
      <c r="DXY52" s="2"/>
      <c r="DXZ52" s="15"/>
      <c r="DYA52" s="42"/>
      <c r="DYB52" s="2"/>
      <c r="DYC52" s="2"/>
      <c r="DYD52" s="2"/>
      <c r="DYE52" s="2"/>
      <c r="DYF52" s="42"/>
      <c r="DYG52" s="42"/>
      <c r="DYH52" s="42"/>
      <c r="DYI52" s="42"/>
      <c r="DYJ52" s="42"/>
      <c r="DYK52" s="42"/>
      <c r="DYL52" s="42"/>
      <c r="DYM52" s="42"/>
      <c r="DYN52" s="42"/>
      <c r="DYO52" s="42"/>
      <c r="DYP52" s="42"/>
      <c r="DYQ52" s="42"/>
      <c r="DYR52" s="42"/>
      <c r="DYS52" s="42"/>
      <c r="DYT52" s="42"/>
      <c r="DYU52" s="42"/>
      <c r="DYV52" s="42"/>
      <c r="DYW52" s="42"/>
      <c r="DYX52" s="42"/>
      <c r="DYY52" s="42"/>
      <c r="DYZ52" s="42"/>
      <c r="DZA52" s="42"/>
      <c r="DZB52" s="42"/>
      <c r="DZC52" s="2"/>
      <c r="DZD52" s="15"/>
      <c r="DZE52" s="42"/>
      <c r="DZF52" s="2"/>
      <c r="DZG52" s="2"/>
      <c r="DZH52" s="2"/>
      <c r="DZI52" s="2"/>
      <c r="DZJ52" s="42"/>
      <c r="DZK52" s="42"/>
      <c r="DZL52" s="42"/>
      <c r="DZM52" s="42"/>
      <c r="DZN52" s="42"/>
      <c r="DZO52" s="42"/>
      <c r="DZP52" s="42"/>
      <c r="DZQ52" s="42"/>
      <c r="DZR52" s="42"/>
      <c r="DZS52" s="42"/>
      <c r="DZT52" s="42"/>
      <c r="DZU52" s="42"/>
      <c r="DZV52" s="42"/>
      <c r="DZW52" s="42"/>
      <c r="DZX52" s="42"/>
      <c r="DZY52" s="42"/>
      <c r="DZZ52" s="42"/>
      <c r="EAA52" s="42"/>
      <c r="EAB52" s="42"/>
      <c r="EAC52" s="42"/>
      <c r="EAD52" s="42"/>
      <c r="EAE52" s="42"/>
      <c r="EAF52" s="42"/>
      <c r="EAG52" s="2"/>
      <c r="EAH52" s="15"/>
      <c r="EAI52" s="42"/>
      <c r="EAJ52" s="2"/>
      <c r="EAK52" s="2"/>
      <c r="EAL52" s="2"/>
      <c r="EAM52" s="2"/>
      <c r="EAN52" s="42"/>
      <c r="EAO52" s="42"/>
      <c r="EAP52" s="42"/>
      <c r="EAQ52" s="42"/>
      <c r="EAR52" s="42"/>
      <c r="EAS52" s="42"/>
      <c r="EAT52" s="42"/>
      <c r="EAU52" s="42"/>
      <c r="EAV52" s="42"/>
      <c r="EAW52" s="42"/>
      <c r="EAX52" s="42"/>
      <c r="EAY52" s="42"/>
      <c r="EAZ52" s="42"/>
      <c r="EBA52" s="42"/>
      <c r="EBB52" s="42"/>
      <c r="EBC52" s="42"/>
      <c r="EBD52" s="42"/>
      <c r="EBE52" s="42"/>
      <c r="EBF52" s="42"/>
      <c r="EBG52" s="42"/>
      <c r="EBH52" s="42"/>
      <c r="EBI52" s="42"/>
      <c r="EBJ52" s="42"/>
      <c r="EBK52" s="2"/>
      <c r="EBL52" s="15"/>
      <c r="EBM52" s="42"/>
      <c r="EBN52" s="2"/>
      <c r="EBO52" s="2"/>
      <c r="EBP52" s="2"/>
      <c r="EBQ52" s="2"/>
      <c r="EBR52" s="42"/>
      <c r="EBS52" s="42"/>
      <c r="EBT52" s="42"/>
      <c r="EBU52" s="42"/>
      <c r="EBV52" s="42"/>
      <c r="EBW52" s="42"/>
      <c r="EBX52" s="42"/>
      <c r="EBY52" s="42"/>
      <c r="EBZ52" s="42"/>
      <c r="ECA52" s="42"/>
      <c r="ECB52" s="42"/>
      <c r="ECC52" s="42"/>
      <c r="ECD52" s="42"/>
      <c r="ECE52" s="42"/>
      <c r="ECF52" s="42"/>
      <c r="ECG52" s="42"/>
      <c r="ECH52" s="42"/>
      <c r="ECI52" s="42"/>
      <c r="ECJ52" s="42"/>
      <c r="ECK52" s="42"/>
      <c r="ECL52" s="42"/>
      <c r="ECM52" s="42"/>
      <c r="ECN52" s="42"/>
      <c r="ECO52" s="2"/>
      <c r="ECP52" s="15"/>
      <c r="ECQ52" s="42"/>
      <c r="ECR52" s="2"/>
      <c r="ECS52" s="2"/>
      <c r="ECT52" s="2"/>
      <c r="ECU52" s="2"/>
      <c r="ECV52" s="42"/>
      <c r="ECW52" s="42"/>
      <c r="ECX52" s="42"/>
      <c r="ECY52" s="42"/>
      <c r="ECZ52" s="42"/>
      <c r="EDA52" s="42"/>
      <c r="EDB52" s="42"/>
      <c r="EDC52" s="42"/>
      <c r="EDD52" s="42"/>
      <c r="EDE52" s="42"/>
      <c r="EDF52" s="42"/>
      <c r="EDG52" s="42"/>
      <c r="EDH52" s="42"/>
      <c r="EDI52" s="42"/>
      <c r="EDJ52" s="42"/>
      <c r="EDK52" s="42"/>
      <c r="EDL52" s="42"/>
      <c r="EDM52" s="42"/>
      <c r="EDN52" s="42"/>
      <c r="EDO52" s="42"/>
      <c r="EDP52" s="42"/>
      <c r="EDQ52" s="42"/>
      <c r="EDR52" s="42"/>
      <c r="EDS52" s="2"/>
      <c r="EDT52" s="15"/>
      <c r="EDU52" s="42"/>
      <c r="EDV52" s="2"/>
      <c r="EDW52" s="2"/>
      <c r="EDX52" s="2"/>
      <c r="EDY52" s="2"/>
      <c r="EDZ52" s="42"/>
      <c r="EEA52" s="42"/>
      <c r="EEB52" s="42"/>
      <c r="EEC52" s="42"/>
      <c r="EED52" s="42"/>
      <c r="EEE52" s="42"/>
      <c r="EEF52" s="42"/>
      <c r="EEG52" s="42"/>
      <c r="EEH52" s="42"/>
      <c r="EEI52" s="42"/>
      <c r="EEJ52" s="42"/>
      <c r="EEK52" s="42"/>
      <c r="EEL52" s="42"/>
      <c r="EEM52" s="42"/>
      <c r="EEN52" s="42"/>
      <c r="EEO52" s="42"/>
      <c r="EEP52" s="42"/>
      <c r="EEQ52" s="42"/>
      <c r="EER52" s="42"/>
      <c r="EES52" s="42"/>
      <c r="EET52" s="42"/>
      <c r="EEU52" s="42"/>
      <c r="EEV52" s="42"/>
      <c r="EEW52" s="2"/>
      <c r="EEX52" s="15"/>
      <c r="EEY52" s="42"/>
      <c r="EEZ52" s="2"/>
      <c r="EFA52" s="2"/>
      <c r="EFB52" s="2"/>
      <c r="EFC52" s="2"/>
      <c r="EFD52" s="42"/>
      <c r="EFE52" s="42"/>
      <c r="EFF52" s="42"/>
      <c r="EFG52" s="42"/>
      <c r="EFH52" s="42"/>
      <c r="EFI52" s="42"/>
      <c r="EFJ52" s="42"/>
      <c r="EFK52" s="42"/>
      <c r="EFL52" s="42"/>
      <c r="EFM52" s="42"/>
      <c r="EFN52" s="42"/>
      <c r="EFO52" s="42"/>
      <c r="EFP52" s="42"/>
      <c r="EFQ52" s="42"/>
      <c r="EFR52" s="42"/>
      <c r="EFS52" s="42"/>
      <c r="EFT52" s="42"/>
      <c r="EFU52" s="42"/>
      <c r="EFV52" s="42"/>
      <c r="EFW52" s="42"/>
      <c r="EFX52" s="42"/>
      <c r="EFY52" s="42"/>
      <c r="EFZ52" s="42"/>
      <c r="EGA52" s="2"/>
      <c r="EGB52" s="15"/>
      <c r="EGC52" s="42"/>
      <c r="EGD52" s="2"/>
      <c r="EGE52" s="2"/>
      <c r="EGF52" s="2"/>
      <c r="EGG52" s="2"/>
      <c r="EGH52" s="42"/>
      <c r="EGI52" s="42"/>
      <c r="EGJ52" s="42"/>
      <c r="EGK52" s="42"/>
      <c r="EGL52" s="42"/>
      <c r="EGM52" s="42"/>
      <c r="EGN52" s="42"/>
      <c r="EGO52" s="42"/>
      <c r="EGP52" s="42"/>
      <c r="EGQ52" s="42"/>
      <c r="EGR52" s="42"/>
      <c r="EGS52" s="42"/>
      <c r="EGT52" s="42"/>
      <c r="EGU52" s="42"/>
      <c r="EGV52" s="42"/>
      <c r="EGW52" s="42"/>
      <c r="EGX52" s="42"/>
      <c r="EGY52" s="42"/>
      <c r="EGZ52" s="42"/>
      <c r="EHA52" s="42"/>
      <c r="EHB52" s="42"/>
      <c r="EHC52" s="42"/>
      <c r="EHD52" s="42"/>
      <c r="EHE52" s="2"/>
      <c r="EHF52" s="15"/>
      <c r="EHG52" s="42"/>
      <c r="EHH52" s="2"/>
      <c r="EHI52" s="2"/>
      <c r="EHJ52" s="2"/>
      <c r="EHK52" s="2"/>
      <c r="EHL52" s="42"/>
      <c r="EHM52" s="42"/>
      <c r="EHN52" s="42"/>
      <c r="EHO52" s="42"/>
      <c r="EHP52" s="42"/>
      <c r="EHQ52" s="42"/>
      <c r="EHR52" s="42"/>
      <c r="EHS52" s="42"/>
      <c r="EHT52" s="42"/>
      <c r="EHU52" s="42"/>
      <c r="EHV52" s="42"/>
      <c r="EHW52" s="42"/>
      <c r="EHX52" s="42"/>
      <c r="EHY52" s="42"/>
      <c r="EHZ52" s="42"/>
      <c r="EIA52" s="42"/>
      <c r="EIB52" s="42"/>
      <c r="EIC52" s="42"/>
      <c r="EID52" s="42"/>
      <c r="EIE52" s="42"/>
      <c r="EIF52" s="42"/>
      <c r="EIG52" s="42"/>
      <c r="EIH52" s="42"/>
      <c r="EII52" s="2"/>
      <c r="EIJ52" s="15"/>
      <c r="EIK52" s="42"/>
      <c r="EIL52" s="2"/>
      <c r="EIM52" s="2"/>
      <c r="EIN52" s="2"/>
      <c r="EIO52" s="2"/>
      <c r="EIP52" s="42"/>
      <c r="EIQ52" s="42"/>
      <c r="EIR52" s="42"/>
      <c r="EIS52" s="42"/>
      <c r="EIT52" s="42"/>
      <c r="EIU52" s="42"/>
      <c r="EIV52" s="42"/>
      <c r="EIW52" s="42"/>
      <c r="EIX52" s="42"/>
      <c r="EIY52" s="42"/>
      <c r="EIZ52" s="42"/>
      <c r="EJA52" s="42"/>
      <c r="EJB52" s="42"/>
      <c r="EJC52" s="42"/>
      <c r="EJD52" s="42"/>
      <c r="EJE52" s="42"/>
      <c r="EJF52" s="42"/>
      <c r="EJG52" s="42"/>
      <c r="EJH52" s="42"/>
      <c r="EJI52" s="42"/>
      <c r="EJJ52" s="42"/>
      <c r="EJK52" s="42"/>
      <c r="EJL52" s="42"/>
      <c r="EJM52" s="2"/>
      <c r="EJN52" s="15"/>
      <c r="EJO52" s="42"/>
      <c r="EJP52" s="2"/>
      <c r="EJQ52" s="2"/>
      <c r="EJR52" s="2"/>
      <c r="EJS52" s="2"/>
      <c r="EJT52" s="42"/>
      <c r="EJU52" s="42"/>
      <c r="EJV52" s="42"/>
      <c r="EJW52" s="42"/>
      <c r="EJX52" s="42"/>
      <c r="EJY52" s="42"/>
      <c r="EJZ52" s="42"/>
      <c r="EKA52" s="42"/>
      <c r="EKB52" s="42"/>
      <c r="EKC52" s="42"/>
      <c r="EKD52" s="42"/>
      <c r="EKE52" s="42"/>
      <c r="EKF52" s="42"/>
      <c r="EKG52" s="42"/>
      <c r="EKH52" s="42"/>
      <c r="EKI52" s="42"/>
      <c r="EKJ52" s="42"/>
      <c r="EKK52" s="42"/>
      <c r="EKL52" s="42"/>
      <c r="EKM52" s="42"/>
      <c r="EKN52" s="42"/>
      <c r="EKO52" s="42"/>
      <c r="EKP52" s="42"/>
      <c r="EKQ52" s="2"/>
      <c r="EKR52" s="15"/>
      <c r="EKS52" s="42"/>
      <c r="EKT52" s="2"/>
      <c r="EKU52" s="2"/>
      <c r="EKV52" s="2"/>
      <c r="EKW52" s="2"/>
      <c r="EKX52" s="42"/>
      <c r="EKY52" s="42"/>
      <c r="EKZ52" s="42"/>
      <c r="ELA52" s="42"/>
      <c r="ELB52" s="42"/>
      <c r="ELC52" s="42"/>
      <c r="ELD52" s="42"/>
      <c r="ELE52" s="42"/>
      <c r="ELF52" s="42"/>
      <c r="ELG52" s="42"/>
      <c r="ELH52" s="42"/>
      <c r="ELI52" s="42"/>
      <c r="ELJ52" s="42"/>
      <c r="ELK52" s="42"/>
      <c r="ELL52" s="42"/>
      <c r="ELM52" s="42"/>
      <c r="ELN52" s="42"/>
      <c r="ELO52" s="42"/>
      <c r="ELP52" s="42"/>
      <c r="ELQ52" s="42"/>
      <c r="ELR52" s="42"/>
      <c r="ELS52" s="42"/>
      <c r="ELT52" s="42"/>
      <c r="ELU52" s="2"/>
      <c r="ELV52" s="15"/>
      <c r="ELW52" s="42"/>
      <c r="ELX52" s="2"/>
      <c r="ELY52" s="2"/>
      <c r="ELZ52" s="2"/>
      <c r="EMA52" s="2"/>
      <c r="EMB52" s="42"/>
      <c r="EMC52" s="42"/>
      <c r="EMD52" s="42"/>
      <c r="EME52" s="42"/>
      <c r="EMF52" s="42"/>
      <c r="EMG52" s="42"/>
      <c r="EMH52" s="42"/>
      <c r="EMI52" s="42"/>
      <c r="EMJ52" s="42"/>
      <c r="EMK52" s="42"/>
      <c r="EML52" s="42"/>
      <c r="EMM52" s="42"/>
      <c r="EMN52" s="42"/>
      <c r="EMO52" s="42"/>
      <c r="EMP52" s="42"/>
      <c r="EMQ52" s="42"/>
      <c r="EMR52" s="42"/>
      <c r="EMS52" s="42"/>
      <c r="EMT52" s="42"/>
      <c r="EMU52" s="42"/>
      <c r="EMV52" s="42"/>
      <c r="EMW52" s="42"/>
      <c r="EMX52" s="42"/>
      <c r="EMY52" s="2"/>
      <c r="EMZ52" s="15"/>
      <c r="ENA52" s="42"/>
      <c r="ENB52" s="2"/>
      <c r="ENC52" s="2"/>
      <c r="END52" s="2"/>
      <c r="ENE52" s="2"/>
      <c r="ENF52" s="42"/>
      <c r="ENG52" s="42"/>
      <c r="ENH52" s="42"/>
      <c r="ENI52" s="42"/>
      <c r="ENJ52" s="42"/>
      <c r="ENK52" s="42"/>
      <c r="ENL52" s="42"/>
      <c r="ENM52" s="42"/>
      <c r="ENN52" s="42"/>
      <c r="ENO52" s="42"/>
      <c r="ENP52" s="42"/>
      <c r="ENQ52" s="42"/>
      <c r="ENR52" s="42"/>
      <c r="ENS52" s="42"/>
      <c r="ENT52" s="42"/>
      <c r="ENU52" s="42"/>
      <c r="ENV52" s="42"/>
      <c r="ENW52" s="42"/>
      <c r="ENX52" s="42"/>
      <c r="ENY52" s="42"/>
      <c r="ENZ52" s="42"/>
      <c r="EOA52" s="42"/>
      <c r="EOB52" s="42"/>
      <c r="EOC52" s="2"/>
      <c r="EOD52" s="15"/>
      <c r="EOE52" s="42"/>
      <c r="EOF52" s="2"/>
      <c r="EOG52" s="2"/>
      <c r="EOH52" s="2"/>
      <c r="EOI52" s="2"/>
      <c r="EOJ52" s="42"/>
      <c r="EOK52" s="42"/>
      <c r="EOL52" s="42"/>
      <c r="EOM52" s="42"/>
      <c r="EON52" s="42"/>
      <c r="EOO52" s="42"/>
      <c r="EOP52" s="42"/>
      <c r="EOQ52" s="42"/>
      <c r="EOR52" s="42"/>
      <c r="EOS52" s="42"/>
      <c r="EOT52" s="42"/>
      <c r="EOU52" s="42"/>
      <c r="EOV52" s="42"/>
      <c r="EOW52" s="42"/>
      <c r="EOX52" s="42"/>
      <c r="EOY52" s="42"/>
      <c r="EOZ52" s="42"/>
      <c r="EPA52" s="42"/>
      <c r="EPB52" s="42"/>
      <c r="EPC52" s="42"/>
      <c r="EPD52" s="42"/>
      <c r="EPE52" s="42"/>
      <c r="EPF52" s="42"/>
      <c r="EPG52" s="2"/>
      <c r="EPH52" s="15"/>
      <c r="EPI52" s="42"/>
      <c r="EPJ52" s="2"/>
      <c r="EPK52" s="2"/>
      <c r="EPL52" s="2"/>
      <c r="EPM52" s="2"/>
      <c r="EPN52" s="42"/>
      <c r="EPO52" s="42"/>
      <c r="EPP52" s="42"/>
      <c r="EPQ52" s="42"/>
      <c r="EPR52" s="42"/>
      <c r="EPS52" s="42"/>
      <c r="EPT52" s="42"/>
      <c r="EPU52" s="42"/>
      <c r="EPV52" s="42"/>
      <c r="EPW52" s="42"/>
      <c r="EPX52" s="42"/>
      <c r="EPY52" s="42"/>
      <c r="EPZ52" s="42"/>
      <c r="EQA52" s="42"/>
      <c r="EQB52" s="42"/>
      <c r="EQC52" s="42"/>
      <c r="EQD52" s="42"/>
      <c r="EQE52" s="42"/>
      <c r="EQF52" s="42"/>
      <c r="EQG52" s="42"/>
      <c r="EQH52" s="42"/>
      <c r="EQI52" s="42"/>
      <c r="EQJ52" s="42"/>
      <c r="EQK52" s="2"/>
      <c r="EQL52" s="15"/>
      <c r="EQM52" s="42"/>
      <c r="EQN52" s="2"/>
      <c r="EQO52" s="2"/>
      <c r="EQP52" s="2"/>
      <c r="EQQ52" s="2"/>
      <c r="EQR52" s="42"/>
      <c r="EQS52" s="42"/>
      <c r="EQT52" s="42"/>
      <c r="EQU52" s="42"/>
      <c r="EQV52" s="42"/>
      <c r="EQW52" s="42"/>
      <c r="EQX52" s="42"/>
      <c r="EQY52" s="42"/>
      <c r="EQZ52" s="42"/>
      <c r="ERA52" s="42"/>
      <c r="ERB52" s="42"/>
      <c r="ERC52" s="42"/>
      <c r="ERD52" s="42"/>
      <c r="ERE52" s="42"/>
      <c r="ERF52" s="42"/>
      <c r="ERG52" s="42"/>
      <c r="ERH52" s="42"/>
      <c r="ERI52" s="42"/>
      <c r="ERJ52" s="42"/>
      <c r="ERK52" s="42"/>
      <c r="ERL52" s="42"/>
      <c r="ERM52" s="42"/>
      <c r="ERN52" s="42"/>
      <c r="ERO52" s="2"/>
      <c r="ERP52" s="15"/>
      <c r="ERQ52" s="42"/>
      <c r="ERR52" s="2"/>
      <c r="ERS52" s="2"/>
      <c r="ERT52" s="2"/>
      <c r="ERU52" s="2"/>
      <c r="ERV52" s="42"/>
      <c r="ERW52" s="42"/>
      <c r="ERX52" s="42"/>
      <c r="ERY52" s="42"/>
      <c r="ERZ52" s="42"/>
      <c r="ESA52" s="42"/>
      <c r="ESB52" s="42"/>
      <c r="ESC52" s="42"/>
      <c r="ESD52" s="42"/>
      <c r="ESE52" s="42"/>
      <c r="ESF52" s="42"/>
      <c r="ESG52" s="42"/>
      <c r="ESH52" s="42"/>
      <c r="ESI52" s="42"/>
      <c r="ESJ52" s="42"/>
      <c r="ESK52" s="42"/>
      <c r="ESL52" s="42"/>
      <c r="ESM52" s="42"/>
      <c r="ESN52" s="42"/>
      <c r="ESO52" s="42"/>
      <c r="ESP52" s="42"/>
      <c r="ESQ52" s="42"/>
      <c r="ESR52" s="42"/>
      <c r="ESS52" s="2"/>
      <c r="EST52" s="15"/>
      <c r="ESU52" s="42"/>
      <c r="ESV52" s="2"/>
      <c r="ESW52" s="2"/>
      <c r="ESX52" s="2"/>
      <c r="ESY52" s="2"/>
      <c r="ESZ52" s="42"/>
      <c r="ETA52" s="42"/>
      <c r="ETB52" s="42"/>
      <c r="ETC52" s="42"/>
      <c r="ETD52" s="42"/>
      <c r="ETE52" s="42"/>
      <c r="ETF52" s="42"/>
      <c r="ETG52" s="42"/>
      <c r="ETH52" s="42"/>
      <c r="ETI52" s="42"/>
      <c r="ETJ52" s="42"/>
      <c r="ETK52" s="42"/>
      <c r="ETL52" s="42"/>
      <c r="ETM52" s="42"/>
      <c r="ETN52" s="42"/>
      <c r="ETO52" s="42"/>
      <c r="ETP52" s="42"/>
      <c r="ETQ52" s="42"/>
      <c r="ETR52" s="42"/>
      <c r="ETS52" s="42"/>
      <c r="ETT52" s="42"/>
      <c r="ETU52" s="42"/>
      <c r="ETV52" s="42"/>
      <c r="ETW52" s="2"/>
      <c r="ETX52" s="15"/>
      <c r="ETY52" s="42"/>
      <c r="ETZ52" s="2"/>
      <c r="EUA52" s="2"/>
      <c r="EUB52" s="2"/>
      <c r="EUC52" s="2"/>
      <c r="EUD52" s="42"/>
      <c r="EUE52" s="42"/>
      <c r="EUF52" s="42"/>
      <c r="EUG52" s="42"/>
      <c r="EUH52" s="42"/>
      <c r="EUI52" s="42"/>
      <c r="EUJ52" s="42"/>
      <c r="EUK52" s="42"/>
      <c r="EUL52" s="42"/>
      <c r="EUM52" s="42"/>
      <c r="EUN52" s="42"/>
      <c r="EUO52" s="42"/>
      <c r="EUP52" s="42"/>
      <c r="EUQ52" s="42"/>
      <c r="EUR52" s="42"/>
      <c r="EUS52" s="42"/>
      <c r="EUT52" s="42"/>
      <c r="EUU52" s="42"/>
      <c r="EUV52" s="42"/>
      <c r="EUW52" s="42"/>
      <c r="EUX52" s="42"/>
      <c r="EUY52" s="42"/>
      <c r="EUZ52" s="42"/>
      <c r="EVA52" s="2"/>
      <c r="EVB52" s="15"/>
      <c r="EVC52" s="42"/>
      <c r="EVD52" s="2"/>
      <c r="EVE52" s="2"/>
      <c r="EVF52" s="2"/>
      <c r="EVG52" s="2"/>
      <c r="EVH52" s="42"/>
      <c r="EVI52" s="42"/>
      <c r="EVJ52" s="42"/>
      <c r="EVK52" s="42"/>
      <c r="EVL52" s="42"/>
      <c r="EVM52" s="42"/>
      <c r="EVN52" s="42"/>
      <c r="EVO52" s="42"/>
      <c r="EVP52" s="42"/>
      <c r="EVQ52" s="42"/>
      <c r="EVR52" s="42"/>
      <c r="EVS52" s="42"/>
      <c r="EVT52" s="42"/>
      <c r="EVU52" s="42"/>
      <c r="EVV52" s="42"/>
      <c r="EVW52" s="42"/>
      <c r="EVX52" s="42"/>
      <c r="EVY52" s="42"/>
      <c r="EVZ52" s="42"/>
      <c r="EWA52" s="42"/>
      <c r="EWB52" s="42"/>
      <c r="EWC52" s="42"/>
      <c r="EWD52" s="42"/>
      <c r="EWE52" s="2"/>
      <c r="EWF52" s="15"/>
      <c r="EWG52" s="42"/>
      <c r="EWH52" s="2"/>
      <c r="EWI52" s="2"/>
      <c r="EWJ52" s="2"/>
      <c r="EWK52" s="2"/>
      <c r="EWL52" s="42"/>
      <c r="EWM52" s="42"/>
      <c r="EWN52" s="42"/>
      <c r="EWO52" s="42"/>
      <c r="EWP52" s="42"/>
      <c r="EWQ52" s="42"/>
      <c r="EWR52" s="42"/>
      <c r="EWS52" s="42"/>
      <c r="EWT52" s="42"/>
      <c r="EWU52" s="42"/>
      <c r="EWV52" s="42"/>
      <c r="EWW52" s="42"/>
      <c r="EWX52" s="42"/>
      <c r="EWY52" s="42"/>
      <c r="EWZ52" s="42"/>
      <c r="EXA52" s="42"/>
      <c r="EXB52" s="42"/>
      <c r="EXC52" s="42"/>
      <c r="EXD52" s="42"/>
      <c r="EXE52" s="42"/>
      <c r="EXF52" s="42"/>
      <c r="EXG52" s="42"/>
      <c r="EXH52" s="42"/>
      <c r="EXI52" s="2"/>
      <c r="EXJ52" s="15"/>
      <c r="EXK52" s="42"/>
      <c r="EXL52" s="2"/>
      <c r="EXM52" s="2"/>
      <c r="EXN52" s="2"/>
      <c r="EXO52" s="2"/>
      <c r="EXP52" s="42"/>
      <c r="EXQ52" s="42"/>
      <c r="EXR52" s="42"/>
      <c r="EXS52" s="42"/>
      <c r="EXT52" s="42"/>
      <c r="EXU52" s="42"/>
      <c r="EXV52" s="42"/>
      <c r="EXW52" s="42"/>
      <c r="EXX52" s="42"/>
      <c r="EXY52" s="42"/>
      <c r="EXZ52" s="42"/>
      <c r="EYA52" s="42"/>
      <c r="EYB52" s="42"/>
      <c r="EYC52" s="42"/>
      <c r="EYD52" s="42"/>
      <c r="EYE52" s="42"/>
      <c r="EYF52" s="42"/>
      <c r="EYG52" s="42"/>
      <c r="EYH52" s="42"/>
      <c r="EYI52" s="42"/>
      <c r="EYJ52" s="42"/>
      <c r="EYK52" s="42"/>
      <c r="EYL52" s="42"/>
      <c r="EYM52" s="2"/>
      <c r="EYN52" s="15"/>
      <c r="EYO52" s="42"/>
      <c r="EYP52" s="2"/>
      <c r="EYQ52" s="2"/>
      <c r="EYR52" s="2"/>
      <c r="EYS52" s="2"/>
      <c r="EYT52" s="42"/>
      <c r="EYU52" s="42"/>
      <c r="EYV52" s="42"/>
      <c r="EYW52" s="42"/>
      <c r="EYX52" s="42"/>
      <c r="EYY52" s="42"/>
      <c r="EYZ52" s="42"/>
      <c r="EZA52" s="42"/>
      <c r="EZB52" s="42"/>
      <c r="EZC52" s="42"/>
      <c r="EZD52" s="42"/>
      <c r="EZE52" s="42"/>
      <c r="EZF52" s="42"/>
      <c r="EZG52" s="42"/>
      <c r="EZH52" s="42"/>
      <c r="EZI52" s="42"/>
      <c r="EZJ52" s="42"/>
      <c r="EZK52" s="42"/>
      <c r="EZL52" s="42"/>
      <c r="EZM52" s="42"/>
      <c r="EZN52" s="42"/>
      <c r="EZO52" s="42"/>
      <c r="EZP52" s="42"/>
      <c r="EZQ52" s="2"/>
      <c r="EZR52" s="15"/>
      <c r="EZS52" s="42"/>
      <c r="EZT52" s="2"/>
      <c r="EZU52" s="2"/>
      <c r="EZV52" s="2"/>
      <c r="EZW52" s="2"/>
      <c r="EZX52" s="42"/>
      <c r="EZY52" s="42"/>
      <c r="EZZ52" s="42"/>
      <c r="FAA52" s="42"/>
      <c r="FAB52" s="42"/>
      <c r="FAC52" s="42"/>
      <c r="FAD52" s="42"/>
      <c r="FAE52" s="42"/>
      <c r="FAF52" s="42"/>
      <c r="FAG52" s="42"/>
      <c r="FAH52" s="42"/>
      <c r="FAI52" s="42"/>
      <c r="FAJ52" s="42"/>
      <c r="FAK52" s="42"/>
      <c r="FAL52" s="42"/>
      <c r="FAM52" s="42"/>
      <c r="FAN52" s="42"/>
      <c r="FAO52" s="42"/>
      <c r="FAP52" s="42"/>
      <c r="FAQ52" s="42"/>
      <c r="FAR52" s="42"/>
      <c r="FAS52" s="42"/>
      <c r="FAT52" s="42"/>
      <c r="FAU52" s="2"/>
      <c r="FAV52" s="15"/>
      <c r="FAW52" s="42"/>
      <c r="FAX52" s="2"/>
      <c r="FAY52" s="2"/>
      <c r="FAZ52" s="2"/>
      <c r="FBA52" s="2"/>
      <c r="FBB52" s="42"/>
      <c r="FBC52" s="42"/>
      <c r="FBD52" s="42"/>
      <c r="FBE52" s="42"/>
      <c r="FBF52" s="42"/>
      <c r="FBG52" s="42"/>
      <c r="FBH52" s="42"/>
      <c r="FBI52" s="42"/>
      <c r="FBJ52" s="42"/>
      <c r="FBK52" s="42"/>
      <c r="FBL52" s="42"/>
      <c r="FBM52" s="42"/>
      <c r="FBN52" s="42"/>
      <c r="FBO52" s="42"/>
      <c r="FBP52" s="42"/>
      <c r="FBQ52" s="42"/>
      <c r="FBR52" s="42"/>
      <c r="FBS52" s="42"/>
      <c r="FBT52" s="42"/>
      <c r="FBU52" s="42"/>
      <c r="FBV52" s="42"/>
      <c r="FBW52" s="42"/>
      <c r="FBX52" s="42"/>
      <c r="FBY52" s="2"/>
      <c r="FBZ52" s="15"/>
      <c r="FCA52" s="42"/>
      <c r="FCB52" s="2"/>
      <c r="FCC52" s="2"/>
      <c r="FCD52" s="2"/>
      <c r="FCE52" s="2"/>
      <c r="FCF52" s="42"/>
      <c r="FCG52" s="42"/>
      <c r="FCH52" s="42"/>
      <c r="FCI52" s="42"/>
      <c r="FCJ52" s="42"/>
      <c r="FCK52" s="42"/>
      <c r="FCL52" s="42"/>
      <c r="FCM52" s="42"/>
      <c r="FCN52" s="42"/>
      <c r="FCO52" s="42"/>
      <c r="FCP52" s="42"/>
      <c r="FCQ52" s="42"/>
      <c r="FCR52" s="42"/>
      <c r="FCS52" s="42"/>
      <c r="FCT52" s="42"/>
      <c r="FCU52" s="42"/>
      <c r="FCV52" s="42"/>
      <c r="FCW52" s="42"/>
      <c r="FCX52" s="42"/>
      <c r="FCY52" s="42"/>
      <c r="FCZ52" s="42"/>
      <c r="FDA52" s="42"/>
      <c r="FDB52" s="42"/>
      <c r="FDC52" s="2"/>
      <c r="FDD52" s="15"/>
      <c r="FDE52" s="42"/>
      <c r="FDF52" s="2"/>
      <c r="FDG52" s="2"/>
      <c r="FDH52" s="2"/>
      <c r="FDI52" s="2"/>
      <c r="FDJ52" s="42"/>
      <c r="FDK52" s="42"/>
      <c r="FDL52" s="42"/>
      <c r="FDM52" s="42"/>
      <c r="FDN52" s="42"/>
      <c r="FDO52" s="42"/>
      <c r="FDP52" s="42"/>
      <c r="FDQ52" s="42"/>
      <c r="FDR52" s="42"/>
      <c r="FDS52" s="42"/>
      <c r="FDT52" s="42"/>
      <c r="FDU52" s="42"/>
      <c r="FDV52" s="42"/>
      <c r="FDW52" s="42"/>
      <c r="FDX52" s="42"/>
      <c r="FDY52" s="42"/>
      <c r="FDZ52" s="42"/>
      <c r="FEA52" s="42"/>
      <c r="FEB52" s="42"/>
      <c r="FEC52" s="42"/>
      <c r="FED52" s="42"/>
      <c r="FEE52" s="42"/>
      <c r="FEF52" s="42"/>
      <c r="FEG52" s="2"/>
      <c r="FEH52" s="15"/>
      <c r="FEI52" s="42"/>
      <c r="FEJ52" s="2"/>
      <c r="FEK52" s="2"/>
      <c r="FEL52" s="2"/>
      <c r="FEM52" s="2"/>
      <c r="FEN52" s="42"/>
      <c r="FEO52" s="42"/>
      <c r="FEP52" s="42"/>
      <c r="FEQ52" s="42"/>
      <c r="FER52" s="42"/>
      <c r="FES52" s="42"/>
      <c r="FET52" s="42"/>
      <c r="FEU52" s="42"/>
      <c r="FEV52" s="42"/>
      <c r="FEW52" s="42"/>
      <c r="FEX52" s="42"/>
      <c r="FEY52" s="42"/>
      <c r="FEZ52" s="42"/>
      <c r="FFA52" s="42"/>
      <c r="FFB52" s="42"/>
      <c r="FFC52" s="42"/>
      <c r="FFD52" s="42"/>
      <c r="FFE52" s="42"/>
      <c r="FFF52" s="42"/>
      <c r="FFG52" s="42"/>
      <c r="FFH52" s="42"/>
      <c r="FFI52" s="42"/>
      <c r="FFJ52" s="42"/>
      <c r="FFK52" s="2"/>
      <c r="FFL52" s="15"/>
      <c r="FFM52" s="42"/>
      <c r="FFN52" s="2"/>
      <c r="FFO52" s="2"/>
      <c r="FFP52" s="2"/>
      <c r="FFQ52" s="2"/>
      <c r="FFR52" s="42"/>
      <c r="FFS52" s="42"/>
      <c r="FFT52" s="42"/>
      <c r="FFU52" s="42"/>
      <c r="FFV52" s="42"/>
      <c r="FFW52" s="42"/>
      <c r="FFX52" s="42"/>
      <c r="FFY52" s="42"/>
      <c r="FFZ52" s="42"/>
      <c r="FGA52" s="42"/>
      <c r="FGB52" s="42"/>
      <c r="FGC52" s="42"/>
      <c r="FGD52" s="42"/>
      <c r="FGE52" s="42"/>
      <c r="FGF52" s="42"/>
      <c r="FGG52" s="42"/>
      <c r="FGH52" s="42"/>
      <c r="FGI52" s="42"/>
      <c r="FGJ52" s="42"/>
      <c r="FGK52" s="42"/>
      <c r="FGL52" s="42"/>
      <c r="FGM52" s="42"/>
      <c r="FGN52" s="42"/>
      <c r="FGO52" s="2"/>
      <c r="FGP52" s="15"/>
      <c r="FGQ52" s="42"/>
      <c r="FGR52" s="2"/>
      <c r="FGS52" s="2"/>
      <c r="FGT52" s="2"/>
      <c r="FGU52" s="2"/>
      <c r="FGV52" s="42"/>
      <c r="FGW52" s="42"/>
      <c r="FGX52" s="42"/>
      <c r="FGY52" s="42"/>
      <c r="FGZ52" s="42"/>
      <c r="FHA52" s="42"/>
      <c r="FHB52" s="42"/>
      <c r="FHC52" s="42"/>
      <c r="FHD52" s="42"/>
      <c r="FHE52" s="42"/>
      <c r="FHF52" s="42"/>
      <c r="FHG52" s="42"/>
      <c r="FHH52" s="42"/>
      <c r="FHI52" s="42"/>
      <c r="FHJ52" s="42"/>
      <c r="FHK52" s="42"/>
      <c r="FHL52" s="42"/>
      <c r="FHM52" s="42"/>
      <c r="FHN52" s="42"/>
      <c r="FHO52" s="42"/>
      <c r="FHP52" s="42"/>
      <c r="FHQ52" s="42"/>
      <c r="FHR52" s="42"/>
      <c r="FHS52" s="2"/>
      <c r="FHT52" s="15"/>
      <c r="FHU52" s="42"/>
      <c r="FHV52" s="2"/>
      <c r="FHW52" s="2"/>
      <c r="FHX52" s="2"/>
      <c r="FHY52" s="2"/>
      <c r="FHZ52" s="42"/>
      <c r="FIA52" s="42"/>
      <c r="FIB52" s="42"/>
      <c r="FIC52" s="42"/>
      <c r="FID52" s="42"/>
      <c r="FIE52" s="42"/>
      <c r="FIF52" s="42"/>
      <c r="FIG52" s="42"/>
      <c r="FIH52" s="42"/>
      <c r="FII52" s="42"/>
      <c r="FIJ52" s="42"/>
      <c r="FIK52" s="42"/>
      <c r="FIL52" s="42"/>
      <c r="FIM52" s="42"/>
      <c r="FIN52" s="42"/>
      <c r="FIO52" s="42"/>
      <c r="FIP52" s="42"/>
      <c r="FIQ52" s="42"/>
      <c r="FIR52" s="42"/>
      <c r="FIS52" s="42"/>
      <c r="FIT52" s="42"/>
      <c r="FIU52" s="42"/>
      <c r="FIV52" s="42"/>
      <c r="FIW52" s="2"/>
      <c r="FIX52" s="15"/>
      <c r="FIY52" s="42"/>
      <c r="FIZ52" s="2"/>
      <c r="FJA52" s="2"/>
      <c r="FJB52" s="2"/>
      <c r="FJC52" s="2"/>
      <c r="FJD52" s="42"/>
      <c r="FJE52" s="42"/>
      <c r="FJF52" s="42"/>
      <c r="FJG52" s="42"/>
      <c r="FJH52" s="42"/>
      <c r="FJI52" s="42"/>
      <c r="FJJ52" s="42"/>
      <c r="FJK52" s="42"/>
      <c r="FJL52" s="42"/>
      <c r="FJM52" s="42"/>
      <c r="FJN52" s="42"/>
      <c r="FJO52" s="42"/>
      <c r="FJP52" s="42"/>
      <c r="FJQ52" s="42"/>
      <c r="FJR52" s="42"/>
      <c r="FJS52" s="42"/>
      <c r="FJT52" s="42"/>
      <c r="FJU52" s="42"/>
      <c r="FJV52" s="42"/>
      <c r="FJW52" s="42"/>
      <c r="FJX52" s="42"/>
      <c r="FJY52" s="42"/>
      <c r="FJZ52" s="42"/>
      <c r="FKA52" s="2"/>
      <c r="FKB52" s="15"/>
      <c r="FKC52" s="42"/>
      <c r="FKD52" s="2"/>
      <c r="FKE52" s="2"/>
      <c r="FKF52" s="2"/>
      <c r="FKG52" s="2"/>
      <c r="FKH52" s="42"/>
      <c r="FKI52" s="42"/>
      <c r="FKJ52" s="42"/>
      <c r="FKK52" s="42"/>
      <c r="FKL52" s="42"/>
      <c r="FKM52" s="42"/>
      <c r="FKN52" s="42"/>
      <c r="FKO52" s="42"/>
      <c r="FKP52" s="42"/>
      <c r="FKQ52" s="42"/>
      <c r="FKR52" s="42"/>
      <c r="FKS52" s="42"/>
      <c r="FKT52" s="42"/>
      <c r="FKU52" s="42"/>
      <c r="FKV52" s="42"/>
      <c r="FKW52" s="42"/>
      <c r="FKX52" s="42"/>
      <c r="FKY52" s="42"/>
      <c r="FKZ52" s="42"/>
      <c r="FLA52" s="42"/>
      <c r="FLB52" s="42"/>
      <c r="FLC52" s="42"/>
      <c r="FLD52" s="42"/>
      <c r="FLE52" s="2"/>
      <c r="FLF52" s="15"/>
      <c r="FLG52" s="42"/>
      <c r="FLH52" s="2"/>
      <c r="FLI52" s="2"/>
      <c r="FLJ52" s="2"/>
      <c r="FLK52" s="2"/>
      <c r="FLL52" s="42"/>
      <c r="FLM52" s="42"/>
      <c r="FLN52" s="42"/>
      <c r="FLO52" s="42"/>
      <c r="FLP52" s="42"/>
      <c r="FLQ52" s="42"/>
      <c r="FLR52" s="42"/>
      <c r="FLS52" s="42"/>
      <c r="FLT52" s="42"/>
      <c r="FLU52" s="42"/>
      <c r="FLV52" s="42"/>
      <c r="FLW52" s="42"/>
      <c r="FLX52" s="42"/>
      <c r="FLY52" s="42"/>
      <c r="FLZ52" s="42"/>
      <c r="FMA52" s="42"/>
      <c r="FMB52" s="42"/>
      <c r="FMC52" s="42"/>
      <c r="FMD52" s="42"/>
      <c r="FME52" s="42"/>
      <c r="FMF52" s="42"/>
      <c r="FMG52" s="42"/>
      <c r="FMH52" s="42"/>
      <c r="FMI52" s="2"/>
      <c r="FMJ52" s="15"/>
      <c r="FMK52" s="42"/>
      <c r="FML52" s="2"/>
      <c r="FMM52" s="2"/>
      <c r="FMN52" s="2"/>
      <c r="FMO52" s="2"/>
      <c r="FMP52" s="42"/>
      <c r="FMQ52" s="42"/>
      <c r="FMR52" s="42"/>
      <c r="FMS52" s="42"/>
      <c r="FMT52" s="42"/>
      <c r="FMU52" s="42"/>
      <c r="FMV52" s="42"/>
      <c r="FMW52" s="42"/>
      <c r="FMX52" s="42"/>
      <c r="FMY52" s="42"/>
      <c r="FMZ52" s="42"/>
      <c r="FNA52" s="42"/>
      <c r="FNB52" s="42"/>
      <c r="FNC52" s="42"/>
      <c r="FND52" s="42"/>
      <c r="FNE52" s="42"/>
      <c r="FNF52" s="42"/>
      <c r="FNG52" s="42"/>
      <c r="FNH52" s="42"/>
      <c r="FNI52" s="42"/>
      <c r="FNJ52" s="42"/>
      <c r="FNK52" s="42"/>
      <c r="FNL52" s="42"/>
      <c r="FNM52" s="2"/>
      <c r="FNN52" s="15"/>
      <c r="FNO52" s="42"/>
      <c r="FNP52" s="2"/>
      <c r="FNQ52" s="2"/>
      <c r="FNR52" s="2"/>
      <c r="FNS52" s="2"/>
      <c r="FNT52" s="42"/>
      <c r="FNU52" s="42"/>
      <c r="FNV52" s="42"/>
      <c r="FNW52" s="42"/>
      <c r="FNX52" s="42"/>
      <c r="FNY52" s="42"/>
      <c r="FNZ52" s="42"/>
      <c r="FOA52" s="42"/>
      <c r="FOB52" s="42"/>
      <c r="FOC52" s="42"/>
      <c r="FOD52" s="42"/>
      <c r="FOE52" s="42"/>
      <c r="FOF52" s="42"/>
      <c r="FOG52" s="42"/>
      <c r="FOH52" s="42"/>
      <c r="FOI52" s="42"/>
      <c r="FOJ52" s="42"/>
      <c r="FOK52" s="42"/>
      <c r="FOL52" s="42"/>
      <c r="FOM52" s="42"/>
      <c r="FON52" s="42"/>
      <c r="FOO52" s="42"/>
      <c r="FOP52" s="42"/>
      <c r="FOQ52" s="2"/>
      <c r="FOR52" s="15"/>
      <c r="FOS52" s="42"/>
      <c r="FOT52" s="2"/>
      <c r="FOU52" s="2"/>
      <c r="FOV52" s="2"/>
      <c r="FOW52" s="2"/>
      <c r="FOX52" s="42"/>
      <c r="FOY52" s="42"/>
      <c r="FOZ52" s="42"/>
      <c r="FPA52" s="42"/>
      <c r="FPB52" s="42"/>
      <c r="FPC52" s="42"/>
      <c r="FPD52" s="42"/>
      <c r="FPE52" s="42"/>
      <c r="FPF52" s="42"/>
      <c r="FPG52" s="42"/>
      <c r="FPH52" s="42"/>
      <c r="FPI52" s="42"/>
      <c r="FPJ52" s="42"/>
      <c r="FPK52" s="42"/>
      <c r="FPL52" s="42"/>
      <c r="FPM52" s="42"/>
      <c r="FPN52" s="42"/>
      <c r="FPO52" s="42"/>
      <c r="FPP52" s="42"/>
      <c r="FPQ52" s="42"/>
      <c r="FPR52" s="42"/>
      <c r="FPS52" s="42"/>
      <c r="FPT52" s="42"/>
      <c r="FPU52" s="2"/>
      <c r="FPV52" s="15"/>
      <c r="FPW52" s="42"/>
      <c r="FPX52" s="2"/>
      <c r="FPY52" s="2"/>
      <c r="FPZ52" s="2"/>
      <c r="FQA52" s="2"/>
      <c r="FQB52" s="42"/>
      <c r="FQC52" s="42"/>
      <c r="FQD52" s="42"/>
      <c r="FQE52" s="42"/>
      <c r="FQF52" s="42"/>
      <c r="FQG52" s="42"/>
      <c r="FQH52" s="42"/>
      <c r="FQI52" s="42"/>
      <c r="FQJ52" s="42"/>
      <c r="FQK52" s="42"/>
      <c r="FQL52" s="42"/>
      <c r="FQM52" s="42"/>
      <c r="FQN52" s="42"/>
      <c r="FQO52" s="42"/>
      <c r="FQP52" s="42"/>
      <c r="FQQ52" s="42"/>
      <c r="FQR52" s="42"/>
      <c r="FQS52" s="42"/>
      <c r="FQT52" s="42"/>
      <c r="FQU52" s="42"/>
      <c r="FQV52" s="42"/>
      <c r="FQW52" s="42"/>
      <c r="FQX52" s="42"/>
      <c r="FQY52" s="2"/>
      <c r="FQZ52" s="15"/>
      <c r="FRA52" s="42"/>
      <c r="FRB52" s="2"/>
      <c r="FRC52" s="2"/>
      <c r="FRD52" s="2"/>
      <c r="FRE52" s="2"/>
      <c r="FRF52" s="42"/>
      <c r="FRG52" s="42"/>
      <c r="FRH52" s="42"/>
      <c r="FRI52" s="42"/>
      <c r="FRJ52" s="42"/>
      <c r="FRK52" s="42"/>
      <c r="FRL52" s="42"/>
      <c r="FRM52" s="42"/>
      <c r="FRN52" s="42"/>
      <c r="FRO52" s="42"/>
      <c r="FRP52" s="42"/>
      <c r="FRQ52" s="42"/>
      <c r="FRR52" s="42"/>
      <c r="FRS52" s="42"/>
      <c r="FRT52" s="42"/>
      <c r="FRU52" s="42"/>
      <c r="FRV52" s="42"/>
      <c r="FRW52" s="42"/>
      <c r="FRX52" s="42"/>
      <c r="FRY52" s="42"/>
      <c r="FRZ52" s="42"/>
      <c r="FSA52" s="42"/>
      <c r="FSB52" s="42"/>
      <c r="FSC52" s="2"/>
      <c r="FSD52" s="15"/>
      <c r="FSE52" s="42"/>
      <c r="FSF52" s="2"/>
      <c r="FSG52" s="2"/>
      <c r="FSH52" s="2"/>
      <c r="FSI52" s="2"/>
      <c r="FSJ52" s="42"/>
      <c r="FSK52" s="42"/>
      <c r="FSL52" s="42"/>
      <c r="FSM52" s="42"/>
      <c r="FSN52" s="42"/>
      <c r="FSO52" s="42"/>
      <c r="FSP52" s="42"/>
      <c r="FSQ52" s="42"/>
      <c r="FSR52" s="42"/>
      <c r="FSS52" s="42"/>
      <c r="FST52" s="42"/>
      <c r="FSU52" s="42"/>
      <c r="FSV52" s="42"/>
      <c r="FSW52" s="42"/>
      <c r="FSX52" s="42"/>
      <c r="FSY52" s="42"/>
      <c r="FSZ52" s="42"/>
      <c r="FTA52" s="42"/>
      <c r="FTB52" s="42"/>
      <c r="FTC52" s="42"/>
      <c r="FTD52" s="42"/>
      <c r="FTE52" s="42"/>
      <c r="FTF52" s="42"/>
      <c r="FTG52" s="2"/>
      <c r="FTH52" s="15"/>
      <c r="FTI52" s="42"/>
      <c r="FTJ52" s="2"/>
      <c r="FTK52" s="2"/>
      <c r="FTL52" s="2"/>
      <c r="FTM52" s="2"/>
      <c r="FTN52" s="42"/>
      <c r="FTO52" s="42"/>
      <c r="FTP52" s="42"/>
      <c r="FTQ52" s="42"/>
      <c r="FTR52" s="42"/>
      <c r="FTS52" s="42"/>
      <c r="FTT52" s="42"/>
      <c r="FTU52" s="42"/>
      <c r="FTV52" s="42"/>
      <c r="FTW52" s="42"/>
      <c r="FTX52" s="42"/>
      <c r="FTY52" s="42"/>
      <c r="FTZ52" s="42"/>
      <c r="FUA52" s="42"/>
      <c r="FUB52" s="42"/>
      <c r="FUC52" s="42"/>
      <c r="FUD52" s="42"/>
      <c r="FUE52" s="42"/>
      <c r="FUF52" s="42"/>
      <c r="FUG52" s="42"/>
      <c r="FUH52" s="42"/>
      <c r="FUI52" s="42"/>
      <c r="FUJ52" s="42"/>
      <c r="FUK52" s="2"/>
      <c r="FUL52" s="15"/>
      <c r="FUM52" s="42"/>
      <c r="FUN52" s="2"/>
      <c r="FUO52" s="2"/>
      <c r="FUP52" s="2"/>
      <c r="FUQ52" s="2"/>
      <c r="FUR52" s="42"/>
      <c r="FUS52" s="42"/>
      <c r="FUT52" s="42"/>
      <c r="FUU52" s="42"/>
      <c r="FUV52" s="42"/>
      <c r="FUW52" s="42"/>
      <c r="FUX52" s="42"/>
      <c r="FUY52" s="42"/>
      <c r="FUZ52" s="42"/>
      <c r="FVA52" s="42"/>
      <c r="FVB52" s="42"/>
      <c r="FVC52" s="42"/>
      <c r="FVD52" s="42"/>
      <c r="FVE52" s="42"/>
      <c r="FVF52" s="42"/>
      <c r="FVG52" s="42"/>
      <c r="FVH52" s="42"/>
      <c r="FVI52" s="42"/>
      <c r="FVJ52" s="42"/>
      <c r="FVK52" s="42"/>
      <c r="FVL52" s="42"/>
      <c r="FVM52" s="42"/>
      <c r="FVN52" s="42"/>
      <c r="FVO52" s="2"/>
      <c r="FVP52" s="15"/>
      <c r="FVQ52" s="42"/>
      <c r="FVR52" s="2"/>
      <c r="FVS52" s="2"/>
      <c r="FVT52" s="2"/>
      <c r="FVU52" s="2"/>
      <c r="FVV52" s="42"/>
      <c r="FVW52" s="42"/>
      <c r="FVX52" s="42"/>
      <c r="FVY52" s="42"/>
      <c r="FVZ52" s="42"/>
      <c r="FWA52" s="42"/>
      <c r="FWB52" s="42"/>
      <c r="FWC52" s="42"/>
      <c r="FWD52" s="42"/>
      <c r="FWE52" s="42"/>
      <c r="FWF52" s="42"/>
      <c r="FWG52" s="42"/>
      <c r="FWH52" s="42"/>
      <c r="FWI52" s="42"/>
      <c r="FWJ52" s="42"/>
      <c r="FWK52" s="42"/>
      <c r="FWL52" s="42"/>
      <c r="FWM52" s="42"/>
      <c r="FWN52" s="42"/>
      <c r="FWO52" s="42"/>
      <c r="FWP52" s="42"/>
      <c r="FWQ52" s="42"/>
      <c r="FWR52" s="42"/>
      <c r="FWS52" s="2"/>
      <c r="FWT52" s="15"/>
      <c r="FWU52" s="42"/>
      <c r="FWV52" s="2"/>
      <c r="FWW52" s="2"/>
      <c r="FWX52" s="2"/>
      <c r="FWY52" s="2"/>
      <c r="FWZ52" s="42"/>
      <c r="FXA52" s="42"/>
      <c r="FXB52" s="42"/>
      <c r="FXC52" s="42"/>
      <c r="FXD52" s="42"/>
      <c r="FXE52" s="42"/>
      <c r="FXF52" s="42"/>
      <c r="FXG52" s="42"/>
      <c r="FXH52" s="42"/>
      <c r="FXI52" s="42"/>
      <c r="FXJ52" s="42"/>
      <c r="FXK52" s="42"/>
      <c r="FXL52" s="42"/>
      <c r="FXM52" s="42"/>
      <c r="FXN52" s="42"/>
      <c r="FXO52" s="42"/>
      <c r="FXP52" s="42"/>
      <c r="FXQ52" s="42"/>
      <c r="FXR52" s="42"/>
      <c r="FXS52" s="42"/>
      <c r="FXT52" s="42"/>
      <c r="FXU52" s="42"/>
      <c r="FXV52" s="42"/>
      <c r="FXW52" s="2"/>
      <c r="FXX52" s="15"/>
      <c r="FXY52" s="42"/>
      <c r="FXZ52" s="2"/>
      <c r="FYA52" s="2"/>
      <c r="FYB52" s="2"/>
      <c r="FYC52" s="2"/>
      <c r="FYD52" s="42"/>
      <c r="FYE52" s="42"/>
      <c r="FYF52" s="42"/>
      <c r="FYG52" s="42"/>
      <c r="FYH52" s="42"/>
      <c r="FYI52" s="42"/>
      <c r="FYJ52" s="42"/>
      <c r="FYK52" s="42"/>
      <c r="FYL52" s="42"/>
      <c r="FYM52" s="42"/>
      <c r="FYN52" s="42"/>
      <c r="FYO52" s="42"/>
      <c r="FYP52" s="42"/>
      <c r="FYQ52" s="42"/>
      <c r="FYR52" s="42"/>
      <c r="FYS52" s="42"/>
      <c r="FYT52" s="42"/>
      <c r="FYU52" s="42"/>
      <c r="FYV52" s="42"/>
      <c r="FYW52" s="42"/>
      <c r="FYX52" s="42"/>
      <c r="FYY52" s="42"/>
      <c r="FYZ52" s="42"/>
      <c r="FZA52" s="2"/>
      <c r="FZB52" s="15"/>
      <c r="FZC52" s="42"/>
      <c r="FZD52" s="2"/>
      <c r="FZE52" s="2"/>
      <c r="FZF52" s="2"/>
      <c r="FZG52" s="2"/>
      <c r="FZH52" s="42"/>
      <c r="FZI52" s="42"/>
      <c r="FZJ52" s="42"/>
      <c r="FZK52" s="42"/>
      <c r="FZL52" s="42"/>
      <c r="FZM52" s="42"/>
      <c r="FZN52" s="42"/>
      <c r="FZO52" s="42"/>
      <c r="FZP52" s="42"/>
      <c r="FZQ52" s="42"/>
      <c r="FZR52" s="42"/>
      <c r="FZS52" s="42"/>
      <c r="FZT52" s="42"/>
      <c r="FZU52" s="42"/>
      <c r="FZV52" s="42"/>
      <c r="FZW52" s="42"/>
      <c r="FZX52" s="42"/>
      <c r="FZY52" s="42"/>
      <c r="FZZ52" s="42"/>
      <c r="GAA52" s="42"/>
      <c r="GAB52" s="42"/>
      <c r="GAC52" s="42"/>
      <c r="GAD52" s="42"/>
      <c r="GAE52" s="2"/>
      <c r="GAF52" s="15"/>
      <c r="GAG52" s="42"/>
      <c r="GAH52" s="2"/>
      <c r="GAI52" s="2"/>
      <c r="GAJ52" s="2"/>
      <c r="GAK52" s="2"/>
      <c r="GAL52" s="42"/>
      <c r="GAM52" s="42"/>
      <c r="GAN52" s="42"/>
      <c r="GAO52" s="42"/>
      <c r="GAP52" s="42"/>
      <c r="GAQ52" s="42"/>
      <c r="GAR52" s="42"/>
      <c r="GAS52" s="42"/>
      <c r="GAT52" s="42"/>
      <c r="GAU52" s="42"/>
      <c r="GAV52" s="42"/>
      <c r="GAW52" s="42"/>
      <c r="GAX52" s="42"/>
      <c r="GAY52" s="42"/>
      <c r="GAZ52" s="42"/>
      <c r="GBA52" s="42"/>
      <c r="GBB52" s="42"/>
      <c r="GBC52" s="42"/>
      <c r="GBD52" s="42"/>
      <c r="GBE52" s="42"/>
      <c r="GBF52" s="42"/>
      <c r="GBG52" s="42"/>
      <c r="GBH52" s="42"/>
      <c r="GBI52" s="2"/>
      <c r="GBJ52" s="15"/>
      <c r="GBK52" s="42"/>
      <c r="GBL52" s="2"/>
      <c r="GBM52" s="2"/>
      <c r="GBN52" s="2"/>
      <c r="GBO52" s="2"/>
      <c r="GBP52" s="42"/>
      <c r="GBQ52" s="42"/>
      <c r="GBR52" s="42"/>
      <c r="GBS52" s="42"/>
      <c r="GBT52" s="42"/>
      <c r="GBU52" s="42"/>
      <c r="GBV52" s="42"/>
      <c r="GBW52" s="42"/>
      <c r="GBX52" s="42"/>
      <c r="GBY52" s="42"/>
      <c r="GBZ52" s="42"/>
      <c r="GCA52" s="42"/>
      <c r="GCB52" s="42"/>
      <c r="GCC52" s="42"/>
      <c r="GCD52" s="42"/>
      <c r="GCE52" s="42"/>
      <c r="GCF52" s="42"/>
      <c r="GCG52" s="42"/>
      <c r="GCH52" s="42"/>
      <c r="GCI52" s="42"/>
      <c r="GCJ52" s="42"/>
      <c r="GCK52" s="42"/>
      <c r="GCL52" s="42"/>
      <c r="GCM52" s="2"/>
      <c r="GCN52" s="15"/>
      <c r="GCO52" s="42"/>
      <c r="GCP52" s="2"/>
      <c r="GCQ52" s="2"/>
      <c r="GCR52" s="2"/>
      <c r="GCS52" s="2"/>
      <c r="GCT52" s="42"/>
      <c r="GCU52" s="42"/>
      <c r="GCV52" s="42"/>
      <c r="GCW52" s="42"/>
      <c r="GCX52" s="42"/>
      <c r="GCY52" s="42"/>
      <c r="GCZ52" s="42"/>
      <c r="GDA52" s="42"/>
      <c r="GDB52" s="42"/>
      <c r="GDC52" s="42"/>
      <c r="GDD52" s="42"/>
      <c r="GDE52" s="42"/>
      <c r="GDF52" s="42"/>
      <c r="GDG52" s="42"/>
      <c r="GDH52" s="42"/>
      <c r="GDI52" s="42"/>
      <c r="GDJ52" s="42"/>
      <c r="GDK52" s="42"/>
      <c r="GDL52" s="42"/>
      <c r="GDM52" s="42"/>
      <c r="GDN52" s="42"/>
      <c r="GDO52" s="42"/>
      <c r="GDP52" s="42"/>
      <c r="GDQ52" s="2"/>
      <c r="GDR52" s="15"/>
      <c r="GDS52" s="42"/>
      <c r="GDT52" s="2"/>
      <c r="GDU52" s="2"/>
      <c r="GDV52" s="2"/>
      <c r="GDW52" s="2"/>
      <c r="GDX52" s="42"/>
      <c r="GDY52" s="42"/>
      <c r="GDZ52" s="42"/>
      <c r="GEA52" s="42"/>
      <c r="GEB52" s="42"/>
      <c r="GEC52" s="42"/>
      <c r="GED52" s="42"/>
      <c r="GEE52" s="42"/>
      <c r="GEF52" s="42"/>
      <c r="GEG52" s="42"/>
      <c r="GEH52" s="42"/>
      <c r="GEI52" s="42"/>
      <c r="GEJ52" s="42"/>
      <c r="GEK52" s="42"/>
      <c r="GEL52" s="42"/>
      <c r="GEM52" s="42"/>
      <c r="GEN52" s="42"/>
      <c r="GEO52" s="42"/>
      <c r="GEP52" s="42"/>
      <c r="GEQ52" s="42"/>
      <c r="GER52" s="42"/>
      <c r="GES52" s="42"/>
      <c r="GET52" s="42"/>
      <c r="GEU52" s="2"/>
      <c r="GEV52" s="15"/>
      <c r="GEW52" s="42"/>
      <c r="GEX52" s="2"/>
      <c r="GEY52" s="2"/>
      <c r="GEZ52" s="2"/>
      <c r="GFA52" s="2"/>
      <c r="GFB52" s="42"/>
      <c r="GFC52" s="42"/>
      <c r="GFD52" s="42"/>
      <c r="GFE52" s="42"/>
      <c r="GFF52" s="42"/>
      <c r="GFG52" s="42"/>
      <c r="GFH52" s="42"/>
      <c r="GFI52" s="42"/>
      <c r="GFJ52" s="42"/>
      <c r="GFK52" s="42"/>
      <c r="GFL52" s="42"/>
      <c r="GFM52" s="42"/>
      <c r="GFN52" s="42"/>
      <c r="GFO52" s="42"/>
      <c r="GFP52" s="42"/>
      <c r="GFQ52" s="42"/>
      <c r="GFR52" s="42"/>
      <c r="GFS52" s="42"/>
      <c r="GFT52" s="42"/>
      <c r="GFU52" s="42"/>
      <c r="GFV52" s="42"/>
      <c r="GFW52" s="42"/>
      <c r="GFX52" s="42"/>
      <c r="GFY52" s="2"/>
      <c r="GFZ52" s="15"/>
      <c r="GGA52" s="42"/>
      <c r="GGB52" s="2"/>
      <c r="GGC52" s="2"/>
      <c r="GGD52" s="2"/>
      <c r="GGE52" s="2"/>
      <c r="GGF52" s="42"/>
      <c r="GGG52" s="42"/>
      <c r="GGH52" s="42"/>
      <c r="GGI52" s="42"/>
      <c r="GGJ52" s="42"/>
      <c r="GGK52" s="42"/>
      <c r="GGL52" s="42"/>
      <c r="GGM52" s="42"/>
      <c r="GGN52" s="42"/>
      <c r="GGO52" s="42"/>
      <c r="GGP52" s="42"/>
      <c r="GGQ52" s="42"/>
      <c r="GGR52" s="42"/>
      <c r="GGS52" s="42"/>
      <c r="GGT52" s="42"/>
      <c r="GGU52" s="42"/>
      <c r="GGV52" s="42"/>
      <c r="GGW52" s="42"/>
      <c r="GGX52" s="42"/>
      <c r="GGY52" s="42"/>
      <c r="GGZ52" s="42"/>
      <c r="GHA52" s="42"/>
      <c r="GHB52" s="42"/>
      <c r="GHC52" s="2"/>
      <c r="GHD52" s="15"/>
      <c r="GHE52" s="42"/>
      <c r="GHF52" s="2"/>
      <c r="GHG52" s="2"/>
      <c r="GHH52" s="2"/>
      <c r="GHI52" s="2"/>
      <c r="GHJ52" s="42"/>
      <c r="GHK52" s="42"/>
      <c r="GHL52" s="42"/>
      <c r="GHM52" s="42"/>
      <c r="GHN52" s="42"/>
      <c r="GHO52" s="42"/>
      <c r="GHP52" s="42"/>
      <c r="GHQ52" s="42"/>
      <c r="GHR52" s="42"/>
      <c r="GHS52" s="42"/>
      <c r="GHT52" s="42"/>
      <c r="GHU52" s="42"/>
      <c r="GHV52" s="42"/>
      <c r="GHW52" s="42"/>
      <c r="GHX52" s="42"/>
      <c r="GHY52" s="42"/>
      <c r="GHZ52" s="42"/>
      <c r="GIA52" s="42"/>
      <c r="GIB52" s="42"/>
      <c r="GIC52" s="42"/>
      <c r="GID52" s="42"/>
      <c r="GIE52" s="42"/>
      <c r="GIF52" s="42"/>
      <c r="GIG52" s="2"/>
      <c r="GIH52" s="15"/>
      <c r="GII52" s="42"/>
      <c r="GIJ52" s="2"/>
      <c r="GIK52" s="2"/>
      <c r="GIL52" s="2"/>
      <c r="GIM52" s="2"/>
      <c r="GIN52" s="42"/>
      <c r="GIO52" s="42"/>
      <c r="GIP52" s="42"/>
      <c r="GIQ52" s="42"/>
      <c r="GIR52" s="42"/>
      <c r="GIS52" s="42"/>
      <c r="GIT52" s="42"/>
      <c r="GIU52" s="42"/>
      <c r="GIV52" s="42"/>
      <c r="GIW52" s="42"/>
      <c r="GIX52" s="42"/>
      <c r="GIY52" s="42"/>
      <c r="GIZ52" s="42"/>
      <c r="GJA52" s="42"/>
      <c r="GJB52" s="42"/>
      <c r="GJC52" s="42"/>
      <c r="GJD52" s="42"/>
      <c r="GJE52" s="42"/>
      <c r="GJF52" s="42"/>
      <c r="GJG52" s="42"/>
      <c r="GJH52" s="42"/>
      <c r="GJI52" s="42"/>
      <c r="GJJ52" s="42"/>
      <c r="GJK52" s="2"/>
      <c r="GJL52" s="15"/>
      <c r="GJM52" s="42"/>
      <c r="GJN52" s="2"/>
      <c r="GJO52" s="2"/>
      <c r="GJP52" s="2"/>
      <c r="GJQ52" s="2"/>
      <c r="GJR52" s="42"/>
      <c r="GJS52" s="42"/>
      <c r="GJT52" s="42"/>
      <c r="GJU52" s="42"/>
      <c r="GJV52" s="42"/>
      <c r="GJW52" s="42"/>
      <c r="GJX52" s="42"/>
      <c r="GJY52" s="42"/>
      <c r="GJZ52" s="42"/>
      <c r="GKA52" s="42"/>
      <c r="GKB52" s="42"/>
      <c r="GKC52" s="42"/>
      <c r="GKD52" s="42"/>
      <c r="GKE52" s="42"/>
      <c r="GKF52" s="42"/>
      <c r="GKG52" s="42"/>
      <c r="GKH52" s="42"/>
      <c r="GKI52" s="42"/>
      <c r="GKJ52" s="42"/>
      <c r="GKK52" s="42"/>
      <c r="GKL52" s="42"/>
      <c r="GKM52" s="42"/>
      <c r="GKN52" s="42"/>
      <c r="GKO52" s="2"/>
      <c r="GKP52" s="15"/>
      <c r="GKQ52" s="42"/>
      <c r="GKR52" s="2"/>
      <c r="GKS52" s="2"/>
      <c r="GKT52" s="2"/>
      <c r="GKU52" s="2"/>
      <c r="GKV52" s="42"/>
      <c r="GKW52" s="42"/>
      <c r="GKX52" s="42"/>
      <c r="GKY52" s="42"/>
      <c r="GKZ52" s="42"/>
      <c r="GLA52" s="42"/>
      <c r="GLB52" s="42"/>
      <c r="GLC52" s="42"/>
      <c r="GLD52" s="42"/>
      <c r="GLE52" s="42"/>
      <c r="GLF52" s="42"/>
      <c r="GLG52" s="42"/>
      <c r="GLH52" s="42"/>
      <c r="GLI52" s="42"/>
      <c r="GLJ52" s="42"/>
      <c r="GLK52" s="42"/>
      <c r="GLL52" s="42"/>
      <c r="GLM52" s="42"/>
      <c r="GLN52" s="42"/>
      <c r="GLO52" s="42"/>
      <c r="GLP52" s="42"/>
      <c r="GLQ52" s="42"/>
      <c r="GLR52" s="42"/>
      <c r="GLS52" s="2"/>
      <c r="GLT52" s="15"/>
      <c r="GLU52" s="42"/>
      <c r="GLV52" s="2"/>
      <c r="GLW52" s="2"/>
      <c r="GLX52" s="2"/>
      <c r="GLY52" s="2"/>
      <c r="GLZ52" s="42"/>
      <c r="GMA52" s="42"/>
      <c r="GMB52" s="42"/>
      <c r="GMC52" s="42"/>
      <c r="GMD52" s="42"/>
      <c r="GME52" s="42"/>
      <c r="GMF52" s="42"/>
      <c r="GMG52" s="42"/>
      <c r="GMH52" s="42"/>
      <c r="GMI52" s="42"/>
      <c r="GMJ52" s="42"/>
      <c r="GMK52" s="42"/>
      <c r="GML52" s="42"/>
      <c r="GMM52" s="42"/>
      <c r="GMN52" s="42"/>
      <c r="GMO52" s="42"/>
      <c r="GMP52" s="42"/>
      <c r="GMQ52" s="42"/>
      <c r="GMR52" s="42"/>
      <c r="GMS52" s="42"/>
      <c r="GMT52" s="42"/>
      <c r="GMU52" s="42"/>
      <c r="GMV52" s="42"/>
      <c r="GMW52" s="2"/>
      <c r="GMX52" s="15"/>
      <c r="GMY52" s="42"/>
      <c r="GMZ52" s="2"/>
      <c r="GNA52" s="2"/>
      <c r="GNB52" s="2"/>
      <c r="GNC52" s="2"/>
      <c r="GND52" s="42"/>
      <c r="GNE52" s="42"/>
      <c r="GNF52" s="42"/>
      <c r="GNG52" s="42"/>
      <c r="GNH52" s="42"/>
      <c r="GNI52" s="42"/>
      <c r="GNJ52" s="42"/>
      <c r="GNK52" s="42"/>
      <c r="GNL52" s="42"/>
      <c r="GNM52" s="42"/>
      <c r="GNN52" s="42"/>
      <c r="GNO52" s="42"/>
      <c r="GNP52" s="42"/>
      <c r="GNQ52" s="42"/>
      <c r="GNR52" s="42"/>
      <c r="GNS52" s="42"/>
      <c r="GNT52" s="42"/>
      <c r="GNU52" s="42"/>
      <c r="GNV52" s="42"/>
      <c r="GNW52" s="42"/>
      <c r="GNX52" s="42"/>
      <c r="GNY52" s="42"/>
      <c r="GNZ52" s="42"/>
      <c r="GOA52" s="2"/>
      <c r="GOB52" s="15"/>
      <c r="GOC52" s="42"/>
      <c r="GOD52" s="2"/>
      <c r="GOE52" s="2"/>
      <c r="GOF52" s="2"/>
      <c r="GOG52" s="2"/>
      <c r="GOH52" s="42"/>
      <c r="GOI52" s="42"/>
      <c r="GOJ52" s="42"/>
      <c r="GOK52" s="42"/>
      <c r="GOL52" s="42"/>
      <c r="GOM52" s="42"/>
      <c r="GON52" s="42"/>
      <c r="GOO52" s="42"/>
      <c r="GOP52" s="42"/>
      <c r="GOQ52" s="42"/>
      <c r="GOR52" s="42"/>
      <c r="GOS52" s="42"/>
      <c r="GOT52" s="42"/>
      <c r="GOU52" s="42"/>
      <c r="GOV52" s="42"/>
      <c r="GOW52" s="42"/>
      <c r="GOX52" s="42"/>
      <c r="GOY52" s="42"/>
      <c r="GOZ52" s="42"/>
      <c r="GPA52" s="42"/>
      <c r="GPB52" s="42"/>
      <c r="GPC52" s="42"/>
      <c r="GPD52" s="42"/>
      <c r="GPE52" s="2"/>
      <c r="GPF52" s="15"/>
      <c r="GPG52" s="42"/>
      <c r="GPH52" s="2"/>
      <c r="GPI52" s="2"/>
      <c r="GPJ52" s="2"/>
      <c r="GPK52" s="2"/>
      <c r="GPL52" s="42"/>
      <c r="GPM52" s="42"/>
      <c r="GPN52" s="42"/>
      <c r="GPO52" s="42"/>
      <c r="GPP52" s="42"/>
      <c r="GPQ52" s="42"/>
      <c r="GPR52" s="42"/>
      <c r="GPS52" s="42"/>
      <c r="GPT52" s="42"/>
      <c r="GPU52" s="42"/>
      <c r="GPV52" s="42"/>
      <c r="GPW52" s="42"/>
      <c r="GPX52" s="42"/>
      <c r="GPY52" s="42"/>
      <c r="GPZ52" s="42"/>
      <c r="GQA52" s="42"/>
      <c r="GQB52" s="42"/>
      <c r="GQC52" s="42"/>
      <c r="GQD52" s="42"/>
      <c r="GQE52" s="42"/>
      <c r="GQF52" s="42"/>
      <c r="GQG52" s="42"/>
      <c r="GQH52" s="42"/>
      <c r="GQI52" s="2"/>
      <c r="GQJ52" s="15"/>
      <c r="GQK52" s="42"/>
      <c r="GQL52" s="2"/>
      <c r="GQM52" s="2"/>
      <c r="GQN52" s="2"/>
      <c r="GQO52" s="2"/>
      <c r="GQP52" s="42"/>
      <c r="GQQ52" s="42"/>
      <c r="GQR52" s="42"/>
      <c r="GQS52" s="42"/>
      <c r="GQT52" s="42"/>
      <c r="GQU52" s="42"/>
      <c r="GQV52" s="42"/>
      <c r="GQW52" s="42"/>
      <c r="GQX52" s="42"/>
      <c r="GQY52" s="42"/>
      <c r="GQZ52" s="42"/>
      <c r="GRA52" s="42"/>
      <c r="GRB52" s="42"/>
      <c r="GRC52" s="42"/>
      <c r="GRD52" s="42"/>
      <c r="GRE52" s="42"/>
      <c r="GRF52" s="42"/>
      <c r="GRG52" s="42"/>
      <c r="GRH52" s="42"/>
      <c r="GRI52" s="42"/>
      <c r="GRJ52" s="42"/>
      <c r="GRK52" s="42"/>
      <c r="GRL52" s="42"/>
      <c r="GRM52" s="2"/>
      <c r="GRN52" s="15"/>
      <c r="GRO52" s="42"/>
      <c r="GRP52" s="2"/>
      <c r="GRQ52" s="2"/>
      <c r="GRR52" s="2"/>
      <c r="GRS52" s="2"/>
      <c r="GRT52" s="42"/>
      <c r="GRU52" s="42"/>
      <c r="GRV52" s="42"/>
      <c r="GRW52" s="42"/>
      <c r="GRX52" s="42"/>
      <c r="GRY52" s="42"/>
      <c r="GRZ52" s="42"/>
      <c r="GSA52" s="42"/>
      <c r="GSB52" s="42"/>
      <c r="GSC52" s="42"/>
      <c r="GSD52" s="42"/>
      <c r="GSE52" s="42"/>
      <c r="GSF52" s="42"/>
      <c r="GSG52" s="42"/>
      <c r="GSH52" s="42"/>
      <c r="GSI52" s="42"/>
      <c r="GSJ52" s="42"/>
      <c r="GSK52" s="42"/>
      <c r="GSL52" s="42"/>
      <c r="GSM52" s="42"/>
      <c r="GSN52" s="42"/>
      <c r="GSO52" s="42"/>
      <c r="GSP52" s="42"/>
      <c r="GSQ52" s="2"/>
      <c r="GSR52" s="15"/>
      <c r="GSS52" s="42"/>
      <c r="GST52" s="2"/>
      <c r="GSU52" s="2"/>
      <c r="GSV52" s="2"/>
      <c r="GSW52" s="2"/>
      <c r="GSX52" s="42"/>
      <c r="GSY52" s="42"/>
      <c r="GSZ52" s="42"/>
      <c r="GTA52" s="42"/>
      <c r="GTB52" s="42"/>
      <c r="GTC52" s="42"/>
      <c r="GTD52" s="42"/>
      <c r="GTE52" s="42"/>
      <c r="GTF52" s="42"/>
      <c r="GTG52" s="42"/>
      <c r="GTH52" s="42"/>
      <c r="GTI52" s="42"/>
      <c r="GTJ52" s="42"/>
      <c r="GTK52" s="42"/>
      <c r="GTL52" s="42"/>
      <c r="GTM52" s="42"/>
      <c r="GTN52" s="42"/>
      <c r="GTO52" s="42"/>
      <c r="GTP52" s="42"/>
      <c r="GTQ52" s="42"/>
      <c r="GTR52" s="42"/>
      <c r="GTS52" s="42"/>
      <c r="GTT52" s="42"/>
      <c r="GTU52" s="2"/>
      <c r="GTV52" s="15"/>
      <c r="GTW52" s="42"/>
      <c r="GTX52" s="2"/>
      <c r="GTY52" s="2"/>
      <c r="GTZ52" s="2"/>
      <c r="GUA52" s="2"/>
      <c r="GUB52" s="42"/>
      <c r="GUC52" s="42"/>
      <c r="GUD52" s="42"/>
      <c r="GUE52" s="42"/>
      <c r="GUF52" s="42"/>
      <c r="GUG52" s="42"/>
      <c r="GUH52" s="42"/>
      <c r="GUI52" s="42"/>
      <c r="GUJ52" s="42"/>
      <c r="GUK52" s="42"/>
      <c r="GUL52" s="42"/>
      <c r="GUM52" s="42"/>
      <c r="GUN52" s="42"/>
      <c r="GUO52" s="42"/>
      <c r="GUP52" s="42"/>
      <c r="GUQ52" s="42"/>
      <c r="GUR52" s="42"/>
      <c r="GUS52" s="42"/>
      <c r="GUT52" s="42"/>
      <c r="GUU52" s="42"/>
      <c r="GUV52" s="42"/>
      <c r="GUW52" s="42"/>
      <c r="GUX52" s="42"/>
      <c r="GUY52" s="2"/>
      <c r="GUZ52" s="15"/>
      <c r="GVA52" s="42"/>
      <c r="GVB52" s="2"/>
      <c r="GVC52" s="2"/>
      <c r="GVD52" s="2"/>
      <c r="GVE52" s="2"/>
      <c r="GVF52" s="42"/>
      <c r="GVG52" s="42"/>
      <c r="GVH52" s="42"/>
      <c r="GVI52" s="42"/>
      <c r="GVJ52" s="42"/>
      <c r="GVK52" s="42"/>
      <c r="GVL52" s="42"/>
      <c r="GVM52" s="42"/>
      <c r="GVN52" s="42"/>
      <c r="GVO52" s="42"/>
      <c r="GVP52" s="42"/>
      <c r="GVQ52" s="42"/>
      <c r="GVR52" s="42"/>
      <c r="GVS52" s="42"/>
      <c r="GVT52" s="42"/>
      <c r="GVU52" s="42"/>
      <c r="GVV52" s="42"/>
      <c r="GVW52" s="42"/>
      <c r="GVX52" s="42"/>
      <c r="GVY52" s="42"/>
      <c r="GVZ52" s="42"/>
      <c r="GWA52" s="42"/>
      <c r="GWB52" s="42"/>
      <c r="GWC52" s="2"/>
      <c r="GWD52" s="15"/>
      <c r="GWE52" s="42"/>
      <c r="GWF52" s="2"/>
      <c r="GWG52" s="2"/>
      <c r="GWH52" s="2"/>
      <c r="GWI52" s="2"/>
      <c r="GWJ52" s="42"/>
      <c r="GWK52" s="42"/>
      <c r="GWL52" s="42"/>
      <c r="GWM52" s="42"/>
      <c r="GWN52" s="42"/>
      <c r="GWO52" s="42"/>
      <c r="GWP52" s="42"/>
      <c r="GWQ52" s="42"/>
      <c r="GWR52" s="42"/>
      <c r="GWS52" s="42"/>
      <c r="GWT52" s="42"/>
      <c r="GWU52" s="42"/>
      <c r="GWV52" s="42"/>
      <c r="GWW52" s="42"/>
      <c r="GWX52" s="42"/>
      <c r="GWY52" s="42"/>
      <c r="GWZ52" s="42"/>
      <c r="GXA52" s="42"/>
      <c r="GXB52" s="42"/>
      <c r="GXC52" s="42"/>
      <c r="GXD52" s="42"/>
      <c r="GXE52" s="42"/>
      <c r="GXF52" s="42"/>
      <c r="GXG52" s="2"/>
      <c r="GXH52" s="15"/>
      <c r="GXI52" s="42"/>
      <c r="GXJ52" s="2"/>
      <c r="GXK52" s="2"/>
      <c r="GXL52" s="2"/>
      <c r="GXM52" s="2"/>
      <c r="GXN52" s="42"/>
      <c r="GXO52" s="42"/>
      <c r="GXP52" s="42"/>
      <c r="GXQ52" s="42"/>
      <c r="GXR52" s="42"/>
      <c r="GXS52" s="42"/>
      <c r="GXT52" s="42"/>
      <c r="GXU52" s="42"/>
      <c r="GXV52" s="42"/>
      <c r="GXW52" s="42"/>
      <c r="GXX52" s="42"/>
      <c r="GXY52" s="42"/>
      <c r="GXZ52" s="42"/>
      <c r="GYA52" s="42"/>
      <c r="GYB52" s="42"/>
      <c r="GYC52" s="42"/>
      <c r="GYD52" s="42"/>
      <c r="GYE52" s="42"/>
      <c r="GYF52" s="42"/>
      <c r="GYG52" s="42"/>
      <c r="GYH52" s="42"/>
      <c r="GYI52" s="42"/>
      <c r="GYJ52" s="42"/>
      <c r="GYK52" s="2"/>
      <c r="GYL52" s="15"/>
      <c r="GYM52" s="42"/>
      <c r="GYN52" s="2"/>
      <c r="GYO52" s="2"/>
      <c r="GYP52" s="2"/>
      <c r="GYQ52" s="2"/>
      <c r="GYR52" s="42"/>
      <c r="GYS52" s="42"/>
      <c r="GYT52" s="42"/>
      <c r="GYU52" s="42"/>
      <c r="GYV52" s="42"/>
      <c r="GYW52" s="42"/>
      <c r="GYX52" s="42"/>
      <c r="GYY52" s="42"/>
      <c r="GYZ52" s="42"/>
      <c r="GZA52" s="42"/>
      <c r="GZB52" s="42"/>
      <c r="GZC52" s="42"/>
      <c r="GZD52" s="42"/>
      <c r="GZE52" s="42"/>
      <c r="GZF52" s="42"/>
      <c r="GZG52" s="42"/>
      <c r="GZH52" s="42"/>
      <c r="GZI52" s="42"/>
      <c r="GZJ52" s="42"/>
      <c r="GZK52" s="42"/>
      <c r="GZL52" s="42"/>
      <c r="GZM52" s="42"/>
      <c r="GZN52" s="42"/>
      <c r="GZO52" s="2"/>
      <c r="GZP52" s="15"/>
      <c r="GZQ52" s="42"/>
      <c r="GZR52" s="2"/>
      <c r="GZS52" s="2"/>
      <c r="GZT52" s="2"/>
      <c r="GZU52" s="2"/>
      <c r="GZV52" s="42"/>
      <c r="GZW52" s="42"/>
      <c r="GZX52" s="42"/>
      <c r="GZY52" s="42"/>
      <c r="GZZ52" s="42"/>
      <c r="HAA52" s="42"/>
      <c r="HAB52" s="42"/>
      <c r="HAC52" s="42"/>
      <c r="HAD52" s="42"/>
      <c r="HAE52" s="42"/>
      <c r="HAF52" s="42"/>
      <c r="HAG52" s="42"/>
      <c r="HAH52" s="42"/>
      <c r="HAI52" s="42"/>
      <c r="HAJ52" s="42"/>
      <c r="HAK52" s="42"/>
      <c r="HAL52" s="42"/>
      <c r="HAM52" s="42"/>
      <c r="HAN52" s="42"/>
      <c r="HAO52" s="42"/>
      <c r="HAP52" s="42"/>
      <c r="HAQ52" s="42"/>
      <c r="HAR52" s="42"/>
      <c r="HAS52" s="2"/>
      <c r="HAT52" s="15"/>
      <c r="HAU52" s="42"/>
      <c r="HAV52" s="2"/>
      <c r="HAW52" s="2"/>
      <c r="HAX52" s="2"/>
      <c r="HAY52" s="2"/>
      <c r="HAZ52" s="42"/>
      <c r="HBA52" s="42"/>
      <c r="HBB52" s="42"/>
      <c r="HBC52" s="42"/>
      <c r="HBD52" s="42"/>
      <c r="HBE52" s="42"/>
      <c r="HBF52" s="42"/>
      <c r="HBG52" s="42"/>
      <c r="HBH52" s="42"/>
      <c r="HBI52" s="42"/>
      <c r="HBJ52" s="42"/>
      <c r="HBK52" s="42"/>
      <c r="HBL52" s="42"/>
      <c r="HBM52" s="42"/>
      <c r="HBN52" s="42"/>
      <c r="HBO52" s="42"/>
      <c r="HBP52" s="42"/>
      <c r="HBQ52" s="42"/>
      <c r="HBR52" s="42"/>
      <c r="HBS52" s="42"/>
      <c r="HBT52" s="42"/>
      <c r="HBU52" s="42"/>
      <c r="HBV52" s="42"/>
      <c r="HBW52" s="2"/>
      <c r="HBX52" s="15"/>
      <c r="HBY52" s="42"/>
      <c r="HBZ52" s="2"/>
      <c r="HCA52" s="2"/>
      <c r="HCB52" s="2"/>
      <c r="HCC52" s="2"/>
      <c r="HCD52" s="42"/>
      <c r="HCE52" s="42"/>
      <c r="HCF52" s="42"/>
      <c r="HCG52" s="42"/>
      <c r="HCH52" s="42"/>
      <c r="HCI52" s="42"/>
      <c r="HCJ52" s="42"/>
      <c r="HCK52" s="42"/>
      <c r="HCL52" s="42"/>
      <c r="HCM52" s="42"/>
      <c r="HCN52" s="42"/>
      <c r="HCO52" s="42"/>
      <c r="HCP52" s="42"/>
      <c r="HCQ52" s="42"/>
      <c r="HCR52" s="42"/>
      <c r="HCS52" s="42"/>
      <c r="HCT52" s="42"/>
      <c r="HCU52" s="42"/>
      <c r="HCV52" s="42"/>
      <c r="HCW52" s="42"/>
      <c r="HCX52" s="42"/>
      <c r="HCY52" s="42"/>
      <c r="HCZ52" s="42"/>
      <c r="HDA52" s="2"/>
      <c r="HDB52" s="15"/>
      <c r="HDC52" s="42"/>
      <c r="HDD52" s="2"/>
      <c r="HDE52" s="2"/>
      <c r="HDF52" s="2"/>
      <c r="HDG52" s="2"/>
      <c r="HDH52" s="42"/>
      <c r="HDI52" s="42"/>
      <c r="HDJ52" s="42"/>
      <c r="HDK52" s="42"/>
      <c r="HDL52" s="42"/>
      <c r="HDM52" s="42"/>
      <c r="HDN52" s="42"/>
      <c r="HDO52" s="42"/>
      <c r="HDP52" s="42"/>
      <c r="HDQ52" s="42"/>
      <c r="HDR52" s="42"/>
      <c r="HDS52" s="42"/>
      <c r="HDT52" s="42"/>
      <c r="HDU52" s="42"/>
      <c r="HDV52" s="42"/>
      <c r="HDW52" s="42"/>
      <c r="HDX52" s="42"/>
      <c r="HDY52" s="42"/>
      <c r="HDZ52" s="42"/>
      <c r="HEA52" s="42"/>
      <c r="HEB52" s="42"/>
      <c r="HEC52" s="42"/>
      <c r="HED52" s="42"/>
      <c r="HEE52" s="2"/>
      <c r="HEF52" s="15"/>
      <c r="HEG52" s="42"/>
      <c r="HEH52" s="2"/>
      <c r="HEI52" s="2"/>
      <c r="HEJ52" s="2"/>
      <c r="HEK52" s="2"/>
      <c r="HEL52" s="42"/>
      <c r="HEM52" s="42"/>
      <c r="HEN52" s="42"/>
      <c r="HEO52" s="42"/>
      <c r="HEP52" s="42"/>
      <c r="HEQ52" s="42"/>
      <c r="HER52" s="42"/>
      <c r="HES52" s="42"/>
      <c r="HET52" s="42"/>
      <c r="HEU52" s="42"/>
      <c r="HEV52" s="42"/>
      <c r="HEW52" s="42"/>
      <c r="HEX52" s="42"/>
      <c r="HEY52" s="42"/>
      <c r="HEZ52" s="42"/>
      <c r="HFA52" s="42"/>
      <c r="HFB52" s="42"/>
      <c r="HFC52" s="42"/>
      <c r="HFD52" s="42"/>
      <c r="HFE52" s="42"/>
      <c r="HFF52" s="42"/>
      <c r="HFG52" s="42"/>
      <c r="HFH52" s="42"/>
      <c r="HFI52" s="2"/>
      <c r="HFJ52" s="15"/>
      <c r="HFK52" s="42"/>
      <c r="HFL52" s="2"/>
      <c r="HFM52" s="2"/>
      <c r="HFN52" s="2"/>
      <c r="HFO52" s="2"/>
      <c r="HFP52" s="42"/>
      <c r="HFQ52" s="42"/>
      <c r="HFR52" s="42"/>
      <c r="HFS52" s="42"/>
      <c r="HFT52" s="42"/>
      <c r="HFU52" s="42"/>
      <c r="HFV52" s="42"/>
      <c r="HFW52" s="42"/>
      <c r="HFX52" s="42"/>
      <c r="HFY52" s="42"/>
      <c r="HFZ52" s="42"/>
      <c r="HGA52" s="42"/>
      <c r="HGB52" s="42"/>
      <c r="HGC52" s="42"/>
      <c r="HGD52" s="42"/>
      <c r="HGE52" s="42"/>
      <c r="HGF52" s="42"/>
      <c r="HGG52" s="42"/>
      <c r="HGH52" s="42"/>
      <c r="HGI52" s="42"/>
      <c r="HGJ52" s="42"/>
      <c r="HGK52" s="42"/>
      <c r="HGL52" s="42"/>
      <c r="HGM52" s="2"/>
      <c r="HGN52" s="15"/>
      <c r="HGO52" s="42"/>
      <c r="HGP52" s="2"/>
      <c r="HGQ52" s="2"/>
      <c r="HGR52" s="2"/>
      <c r="HGS52" s="2"/>
      <c r="HGT52" s="42"/>
      <c r="HGU52" s="42"/>
      <c r="HGV52" s="42"/>
      <c r="HGW52" s="42"/>
      <c r="HGX52" s="42"/>
      <c r="HGY52" s="42"/>
      <c r="HGZ52" s="42"/>
      <c r="HHA52" s="42"/>
      <c r="HHB52" s="42"/>
      <c r="HHC52" s="42"/>
      <c r="HHD52" s="42"/>
      <c r="HHE52" s="42"/>
      <c r="HHF52" s="42"/>
      <c r="HHG52" s="42"/>
      <c r="HHH52" s="42"/>
      <c r="HHI52" s="42"/>
      <c r="HHJ52" s="42"/>
      <c r="HHK52" s="42"/>
      <c r="HHL52" s="42"/>
      <c r="HHM52" s="42"/>
      <c r="HHN52" s="42"/>
      <c r="HHO52" s="42"/>
      <c r="HHP52" s="42"/>
      <c r="HHQ52" s="2"/>
      <c r="HHR52" s="15"/>
      <c r="HHS52" s="42"/>
      <c r="HHT52" s="2"/>
      <c r="HHU52" s="2"/>
      <c r="HHV52" s="2"/>
      <c r="HHW52" s="2"/>
      <c r="HHX52" s="42"/>
      <c r="HHY52" s="42"/>
      <c r="HHZ52" s="42"/>
      <c r="HIA52" s="42"/>
      <c r="HIB52" s="42"/>
      <c r="HIC52" s="42"/>
      <c r="HID52" s="42"/>
      <c r="HIE52" s="42"/>
      <c r="HIF52" s="42"/>
      <c r="HIG52" s="42"/>
      <c r="HIH52" s="42"/>
      <c r="HII52" s="42"/>
      <c r="HIJ52" s="42"/>
      <c r="HIK52" s="42"/>
      <c r="HIL52" s="42"/>
      <c r="HIM52" s="42"/>
      <c r="HIN52" s="42"/>
      <c r="HIO52" s="42"/>
      <c r="HIP52" s="42"/>
      <c r="HIQ52" s="42"/>
      <c r="HIR52" s="42"/>
      <c r="HIS52" s="42"/>
      <c r="HIT52" s="42"/>
      <c r="HIU52" s="2"/>
      <c r="HIV52" s="15"/>
      <c r="HIW52" s="42"/>
      <c r="HIX52" s="2"/>
      <c r="HIY52" s="2"/>
      <c r="HIZ52" s="2"/>
      <c r="HJA52" s="2"/>
      <c r="HJB52" s="42"/>
      <c r="HJC52" s="42"/>
      <c r="HJD52" s="42"/>
      <c r="HJE52" s="42"/>
      <c r="HJF52" s="42"/>
      <c r="HJG52" s="42"/>
      <c r="HJH52" s="42"/>
      <c r="HJI52" s="42"/>
      <c r="HJJ52" s="42"/>
      <c r="HJK52" s="42"/>
      <c r="HJL52" s="42"/>
      <c r="HJM52" s="42"/>
      <c r="HJN52" s="42"/>
      <c r="HJO52" s="42"/>
      <c r="HJP52" s="42"/>
      <c r="HJQ52" s="42"/>
      <c r="HJR52" s="42"/>
      <c r="HJS52" s="42"/>
      <c r="HJT52" s="42"/>
      <c r="HJU52" s="42"/>
      <c r="HJV52" s="42"/>
      <c r="HJW52" s="42"/>
      <c r="HJX52" s="42"/>
      <c r="HJY52" s="2"/>
      <c r="HJZ52" s="15"/>
      <c r="HKA52" s="42"/>
      <c r="HKB52" s="2"/>
      <c r="HKC52" s="2"/>
      <c r="HKD52" s="2"/>
      <c r="HKE52" s="2"/>
      <c r="HKF52" s="42"/>
      <c r="HKG52" s="42"/>
      <c r="HKH52" s="42"/>
      <c r="HKI52" s="42"/>
      <c r="HKJ52" s="42"/>
      <c r="HKK52" s="42"/>
      <c r="HKL52" s="42"/>
      <c r="HKM52" s="42"/>
      <c r="HKN52" s="42"/>
      <c r="HKO52" s="42"/>
      <c r="HKP52" s="42"/>
      <c r="HKQ52" s="42"/>
      <c r="HKR52" s="42"/>
      <c r="HKS52" s="42"/>
      <c r="HKT52" s="42"/>
      <c r="HKU52" s="42"/>
      <c r="HKV52" s="42"/>
      <c r="HKW52" s="42"/>
      <c r="HKX52" s="42"/>
      <c r="HKY52" s="42"/>
      <c r="HKZ52" s="42"/>
      <c r="HLA52" s="42"/>
      <c r="HLB52" s="42"/>
      <c r="HLC52" s="2"/>
      <c r="HLD52" s="15"/>
      <c r="HLE52" s="42"/>
      <c r="HLF52" s="2"/>
      <c r="HLG52" s="2"/>
      <c r="HLH52" s="2"/>
      <c r="HLI52" s="2"/>
      <c r="HLJ52" s="42"/>
      <c r="HLK52" s="42"/>
      <c r="HLL52" s="42"/>
      <c r="HLM52" s="42"/>
      <c r="HLN52" s="42"/>
      <c r="HLO52" s="42"/>
      <c r="HLP52" s="42"/>
      <c r="HLQ52" s="42"/>
      <c r="HLR52" s="42"/>
      <c r="HLS52" s="42"/>
      <c r="HLT52" s="42"/>
      <c r="HLU52" s="42"/>
      <c r="HLV52" s="42"/>
      <c r="HLW52" s="42"/>
      <c r="HLX52" s="42"/>
      <c r="HLY52" s="42"/>
      <c r="HLZ52" s="42"/>
      <c r="HMA52" s="42"/>
      <c r="HMB52" s="42"/>
      <c r="HMC52" s="42"/>
      <c r="HMD52" s="42"/>
      <c r="HME52" s="42"/>
      <c r="HMF52" s="42"/>
      <c r="HMG52" s="2"/>
      <c r="HMH52" s="15"/>
      <c r="HMI52" s="42"/>
      <c r="HMJ52" s="2"/>
      <c r="HMK52" s="2"/>
      <c r="HML52" s="2"/>
      <c r="HMM52" s="2"/>
      <c r="HMN52" s="42"/>
      <c r="HMO52" s="42"/>
      <c r="HMP52" s="42"/>
      <c r="HMQ52" s="42"/>
      <c r="HMR52" s="42"/>
      <c r="HMS52" s="42"/>
      <c r="HMT52" s="42"/>
      <c r="HMU52" s="42"/>
      <c r="HMV52" s="42"/>
      <c r="HMW52" s="42"/>
      <c r="HMX52" s="42"/>
      <c r="HMY52" s="42"/>
      <c r="HMZ52" s="42"/>
      <c r="HNA52" s="42"/>
      <c r="HNB52" s="42"/>
      <c r="HNC52" s="42"/>
      <c r="HND52" s="42"/>
      <c r="HNE52" s="42"/>
      <c r="HNF52" s="42"/>
      <c r="HNG52" s="42"/>
      <c r="HNH52" s="42"/>
      <c r="HNI52" s="42"/>
      <c r="HNJ52" s="42"/>
      <c r="HNK52" s="2"/>
      <c r="HNL52" s="15"/>
      <c r="HNM52" s="42"/>
      <c r="HNN52" s="2"/>
      <c r="HNO52" s="2"/>
      <c r="HNP52" s="2"/>
      <c r="HNQ52" s="2"/>
      <c r="HNR52" s="42"/>
      <c r="HNS52" s="42"/>
      <c r="HNT52" s="42"/>
      <c r="HNU52" s="42"/>
      <c r="HNV52" s="42"/>
      <c r="HNW52" s="42"/>
      <c r="HNX52" s="42"/>
      <c r="HNY52" s="42"/>
      <c r="HNZ52" s="42"/>
      <c r="HOA52" s="42"/>
      <c r="HOB52" s="42"/>
      <c r="HOC52" s="42"/>
      <c r="HOD52" s="42"/>
      <c r="HOE52" s="42"/>
      <c r="HOF52" s="42"/>
      <c r="HOG52" s="42"/>
      <c r="HOH52" s="42"/>
      <c r="HOI52" s="42"/>
      <c r="HOJ52" s="42"/>
      <c r="HOK52" s="42"/>
      <c r="HOL52" s="42"/>
      <c r="HOM52" s="42"/>
      <c r="HON52" s="42"/>
      <c r="HOO52" s="2"/>
      <c r="HOP52" s="15"/>
      <c r="HOQ52" s="42"/>
      <c r="HOR52" s="2"/>
      <c r="HOS52" s="2"/>
      <c r="HOT52" s="2"/>
      <c r="HOU52" s="2"/>
      <c r="HOV52" s="42"/>
      <c r="HOW52" s="42"/>
      <c r="HOX52" s="42"/>
      <c r="HOY52" s="42"/>
      <c r="HOZ52" s="42"/>
      <c r="HPA52" s="42"/>
      <c r="HPB52" s="42"/>
      <c r="HPC52" s="42"/>
      <c r="HPD52" s="42"/>
      <c r="HPE52" s="42"/>
      <c r="HPF52" s="42"/>
      <c r="HPG52" s="42"/>
      <c r="HPH52" s="42"/>
      <c r="HPI52" s="42"/>
      <c r="HPJ52" s="42"/>
      <c r="HPK52" s="42"/>
      <c r="HPL52" s="42"/>
      <c r="HPM52" s="42"/>
      <c r="HPN52" s="42"/>
      <c r="HPO52" s="42"/>
      <c r="HPP52" s="42"/>
      <c r="HPQ52" s="42"/>
      <c r="HPR52" s="42"/>
      <c r="HPS52" s="2"/>
      <c r="HPT52" s="15"/>
      <c r="HPU52" s="42"/>
      <c r="HPV52" s="2"/>
      <c r="HPW52" s="2"/>
      <c r="HPX52" s="2"/>
      <c r="HPY52" s="2"/>
      <c r="HPZ52" s="42"/>
      <c r="HQA52" s="42"/>
      <c r="HQB52" s="42"/>
      <c r="HQC52" s="42"/>
      <c r="HQD52" s="42"/>
      <c r="HQE52" s="42"/>
      <c r="HQF52" s="42"/>
      <c r="HQG52" s="42"/>
      <c r="HQH52" s="42"/>
      <c r="HQI52" s="42"/>
      <c r="HQJ52" s="42"/>
      <c r="HQK52" s="42"/>
      <c r="HQL52" s="42"/>
      <c r="HQM52" s="42"/>
      <c r="HQN52" s="42"/>
      <c r="HQO52" s="42"/>
      <c r="HQP52" s="42"/>
      <c r="HQQ52" s="42"/>
      <c r="HQR52" s="42"/>
      <c r="HQS52" s="42"/>
      <c r="HQT52" s="42"/>
      <c r="HQU52" s="42"/>
      <c r="HQV52" s="42"/>
      <c r="HQW52" s="2"/>
      <c r="HQX52" s="15"/>
      <c r="HQY52" s="42"/>
      <c r="HQZ52" s="2"/>
      <c r="HRA52" s="2"/>
      <c r="HRB52" s="2"/>
      <c r="HRC52" s="2"/>
      <c r="HRD52" s="42"/>
      <c r="HRE52" s="42"/>
      <c r="HRF52" s="42"/>
      <c r="HRG52" s="42"/>
      <c r="HRH52" s="42"/>
      <c r="HRI52" s="42"/>
      <c r="HRJ52" s="42"/>
      <c r="HRK52" s="42"/>
      <c r="HRL52" s="42"/>
      <c r="HRM52" s="42"/>
      <c r="HRN52" s="42"/>
      <c r="HRO52" s="42"/>
      <c r="HRP52" s="42"/>
      <c r="HRQ52" s="42"/>
      <c r="HRR52" s="42"/>
      <c r="HRS52" s="42"/>
      <c r="HRT52" s="42"/>
      <c r="HRU52" s="42"/>
      <c r="HRV52" s="42"/>
      <c r="HRW52" s="42"/>
      <c r="HRX52" s="42"/>
      <c r="HRY52" s="42"/>
      <c r="HRZ52" s="42"/>
      <c r="HSA52" s="2"/>
      <c r="HSB52" s="15"/>
      <c r="HSC52" s="42"/>
      <c r="HSD52" s="2"/>
      <c r="HSE52" s="2"/>
      <c r="HSF52" s="2"/>
      <c r="HSG52" s="2"/>
      <c r="HSH52" s="42"/>
      <c r="HSI52" s="42"/>
      <c r="HSJ52" s="42"/>
      <c r="HSK52" s="42"/>
      <c r="HSL52" s="42"/>
      <c r="HSM52" s="42"/>
      <c r="HSN52" s="42"/>
      <c r="HSO52" s="42"/>
      <c r="HSP52" s="42"/>
      <c r="HSQ52" s="42"/>
      <c r="HSR52" s="42"/>
      <c r="HSS52" s="42"/>
      <c r="HST52" s="42"/>
      <c r="HSU52" s="42"/>
      <c r="HSV52" s="42"/>
      <c r="HSW52" s="42"/>
      <c r="HSX52" s="42"/>
      <c r="HSY52" s="42"/>
      <c r="HSZ52" s="42"/>
      <c r="HTA52" s="42"/>
      <c r="HTB52" s="42"/>
      <c r="HTC52" s="42"/>
      <c r="HTD52" s="42"/>
      <c r="HTE52" s="2"/>
      <c r="HTF52" s="15"/>
      <c r="HTG52" s="42"/>
      <c r="HTH52" s="2"/>
      <c r="HTI52" s="2"/>
      <c r="HTJ52" s="2"/>
      <c r="HTK52" s="2"/>
      <c r="HTL52" s="42"/>
      <c r="HTM52" s="42"/>
      <c r="HTN52" s="42"/>
      <c r="HTO52" s="42"/>
      <c r="HTP52" s="42"/>
      <c r="HTQ52" s="42"/>
      <c r="HTR52" s="42"/>
      <c r="HTS52" s="42"/>
      <c r="HTT52" s="42"/>
      <c r="HTU52" s="42"/>
      <c r="HTV52" s="42"/>
      <c r="HTW52" s="42"/>
      <c r="HTX52" s="42"/>
      <c r="HTY52" s="42"/>
      <c r="HTZ52" s="42"/>
      <c r="HUA52" s="42"/>
      <c r="HUB52" s="42"/>
      <c r="HUC52" s="42"/>
      <c r="HUD52" s="42"/>
      <c r="HUE52" s="42"/>
      <c r="HUF52" s="42"/>
      <c r="HUG52" s="42"/>
      <c r="HUH52" s="42"/>
      <c r="HUI52" s="2"/>
      <c r="HUJ52" s="15"/>
      <c r="HUK52" s="42"/>
      <c r="HUL52" s="2"/>
      <c r="HUM52" s="2"/>
      <c r="HUN52" s="2"/>
      <c r="HUO52" s="2"/>
      <c r="HUP52" s="42"/>
      <c r="HUQ52" s="42"/>
      <c r="HUR52" s="42"/>
      <c r="HUS52" s="42"/>
      <c r="HUT52" s="42"/>
      <c r="HUU52" s="42"/>
      <c r="HUV52" s="42"/>
      <c r="HUW52" s="42"/>
      <c r="HUX52" s="42"/>
      <c r="HUY52" s="42"/>
      <c r="HUZ52" s="42"/>
      <c r="HVA52" s="42"/>
      <c r="HVB52" s="42"/>
      <c r="HVC52" s="42"/>
      <c r="HVD52" s="42"/>
      <c r="HVE52" s="42"/>
      <c r="HVF52" s="42"/>
      <c r="HVG52" s="42"/>
      <c r="HVH52" s="42"/>
      <c r="HVI52" s="42"/>
      <c r="HVJ52" s="42"/>
      <c r="HVK52" s="42"/>
      <c r="HVL52" s="42"/>
      <c r="HVM52" s="2"/>
      <c r="HVN52" s="15"/>
      <c r="HVO52" s="42"/>
      <c r="HVP52" s="2"/>
      <c r="HVQ52" s="2"/>
      <c r="HVR52" s="2"/>
      <c r="HVS52" s="2"/>
      <c r="HVT52" s="42"/>
      <c r="HVU52" s="42"/>
      <c r="HVV52" s="42"/>
      <c r="HVW52" s="42"/>
      <c r="HVX52" s="42"/>
      <c r="HVY52" s="42"/>
      <c r="HVZ52" s="42"/>
      <c r="HWA52" s="42"/>
      <c r="HWB52" s="42"/>
      <c r="HWC52" s="42"/>
      <c r="HWD52" s="42"/>
      <c r="HWE52" s="42"/>
      <c r="HWF52" s="42"/>
      <c r="HWG52" s="42"/>
      <c r="HWH52" s="42"/>
      <c r="HWI52" s="42"/>
      <c r="HWJ52" s="42"/>
      <c r="HWK52" s="42"/>
      <c r="HWL52" s="42"/>
      <c r="HWM52" s="42"/>
      <c r="HWN52" s="42"/>
      <c r="HWO52" s="42"/>
      <c r="HWP52" s="42"/>
      <c r="HWQ52" s="2"/>
      <c r="HWR52" s="15"/>
      <c r="HWS52" s="42"/>
      <c r="HWT52" s="2"/>
      <c r="HWU52" s="2"/>
      <c r="HWV52" s="2"/>
      <c r="HWW52" s="2"/>
      <c r="HWX52" s="42"/>
      <c r="HWY52" s="42"/>
      <c r="HWZ52" s="42"/>
      <c r="HXA52" s="42"/>
      <c r="HXB52" s="42"/>
      <c r="HXC52" s="42"/>
      <c r="HXD52" s="42"/>
      <c r="HXE52" s="42"/>
      <c r="HXF52" s="42"/>
      <c r="HXG52" s="42"/>
      <c r="HXH52" s="42"/>
      <c r="HXI52" s="42"/>
      <c r="HXJ52" s="42"/>
      <c r="HXK52" s="42"/>
      <c r="HXL52" s="42"/>
      <c r="HXM52" s="42"/>
      <c r="HXN52" s="42"/>
      <c r="HXO52" s="42"/>
      <c r="HXP52" s="42"/>
      <c r="HXQ52" s="42"/>
      <c r="HXR52" s="42"/>
      <c r="HXS52" s="42"/>
      <c r="HXT52" s="42"/>
      <c r="HXU52" s="2"/>
      <c r="HXV52" s="15"/>
      <c r="HXW52" s="42"/>
      <c r="HXX52" s="2"/>
      <c r="HXY52" s="2"/>
      <c r="HXZ52" s="2"/>
      <c r="HYA52" s="2"/>
      <c r="HYB52" s="42"/>
      <c r="HYC52" s="42"/>
      <c r="HYD52" s="42"/>
      <c r="HYE52" s="42"/>
      <c r="HYF52" s="42"/>
      <c r="HYG52" s="42"/>
      <c r="HYH52" s="42"/>
      <c r="HYI52" s="42"/>
      <c r="HYJ52" s="42"/>
      <c r="HYK52" s="42"/>
      <c r="HYL52" s="42"/>
      <c r="HYM52" s="42"/>
      <c r="HYN52" s="42"/>
      <c r="HYO52" s="42"/>
      <c r="HYP52" s="42"/>
      <c r="HYQ52" s="42"/>
      <c r="HYR52" s="42"/>
      <c r="HYS52" s="42"/>
      <c r="HYT52" s="42"/>
      <c r="HYU52" s="42"/>
      <c r="HYV52" s="42"/>
      <c r="HYW52" s="42"/>
      <c r="HYX52" s="42"/>
      <c r="HYY52" s="2"/>
      <c r="HYZ52" s="15"/>
      <c r="HZA52" s="42"/>
      <c r="HZB52" s="2"/>
      <c r="HZC52" s="2"/>
      <c r="HZD52" s="2"/>
      <c r="HZE52" s="2"/>
      <c r="HZF52" s="42"/>
      <c r="HZG52" s="42"/>
      <c r="HZH52" s="42"/>
      <c r="HZI52" s="42"/>
      <c r="HZJ52" s="42"/>
      <c r="HZK52" s="42"/>
      <c r="HZL52" s="42"/>
      <c r="HZM52" s="42"/>
      <c r="HZN52" s="42"/>
      <c r="HZO52" s="42"/>
      <c r="HZP52" s="42"/>
      <c r="HZQ52" s="42"/>
      <c r="HZR52" s="42"/>
      <c r="HZS52" s="42"/>
      <c r="HZT52" s="42"/>
      <c r="HZU52" s="42"/>
      <c r="HZV52" s="42"/>
      <c r="HZW52" s="42"/>
      <c r="HZX52" s="42"/>
      <c r="HZY52" s="42"/>
      <c r="HZZ52" s="42"/>
      <c r="IAA52" s="42"/>
      <c r="IAB52" s="42"/>
      <c r="IAC52" s="2"/>
      <c r="IAD52" s="15"/>
      <c r="IAE52" s="42"/>
      <c r="IAF52" s="2"/>
      <c r="IAG52" s="2"/>
      <c r="IAH52" s="2"/>
      <c r="IAI52" s="2"/>
      <c r="IAJ52" s="42"/>
      <c r="IAK52" s="42"/>
      <c r="IAL52" s="42"/>
      <c r="IAM52" s="42"/>
      <c r="IAN52" s="42"/>
      <c r="IAO52" s="42"/>
      <c r="IAP52" s="42"/>
      <c r="IAQ52" s="42"/>
      <c r="IAR52" s="42"/>
      <c r="IAS52" s="42"/>
      <c r="IAT52" s="42"/>
      <c r="IAU52" s="42"/>
      <c r="IAV52" s="42"/>
      <c r="IAW52" s="42"/>
      <c r="IAX52" s="42"/>
      <c r="IAY52" s="42"/>
      <c r="IAZ52" s="42"/>
      <c r="IBA52" s="42"/>
      <c r="IBB52" s="42"/>
      <c r="IBC52" s="42"/>
      <c r="IBD52" s="42"/>
      <c r="IBE52" s="42"/>
      <c r="IBF52" s="42"/>
      <c r="IBG52" s="2"/>
      <c r="IBH52" s="15"/>
      <c r="IBI52" s="42"/>
      <c r="IBJ52" s="2"/>
      <c r="IBK52" s="2"/>
      <c r="IBL52" s="2"/>
      <c r="IBM52" s="2"/>
      <c r="IBN52" s="42"/>
      <c r="IBO52" s="42"/>
      <c r="IBP52" s="42"/>
      <c r="IBQ52" s="42"/>
      <c r="IBR52" s="42"/>
      <c r="IBS52" s="42"/>
      <c r="IBT52" s="42"/>
      <c r="IBU52" s="42"/>
      <c r="IBV52" s="42"/>
      <c r="IBW52" s="42"/>
      <c r="IBX52" s="42"/>
      <c r="IBY52" s="42"/>
      <c r="IBZ52" s="42"/>
      <c r="ICA52" s="42"/>
      <c r="ICB52" s="42"/>
      <c r="ICC52" s="42"/>
      <c r="ICD52" s="42"/>
      <c r="ICE52" s="42"/>
      <c r="ICF52" s="42"/>
      <c r="ICG52" s="42"/>
      <c r="ICH52" s="42"/>
      <c r="ICI52" s="42"/>
      <c r="ICJ52" s="42"/>
      <c r="ICK52" s="2"/>
      <c r="ICL52" s="15"/>
      <c r="ICM52" s="42"/>
      <c r="ICN52" s="2"/>
      <c r="ICO52" s="2"/>
      <c r="ICP52" s="2"/>
      <c r="ICQ52" s="2"/>
      <c r="ICR52" s="42"/>
      <c r="ICS52" s="42"/>
      <c r="ICT52" s="42"/>
      <c r="ICU52" s="42"/>
      <c r="ICV52" s="42"/>
      <c r="ICW52" s="42"/>
      <c r="ICX52" s="42"/>
      <c r="ICY52" s="42"/>
      <c r="ICZ52" s="42"/>
      <c r="IDA52" s="42"/>
      <c r="IDB52" s="42"/>
      <c r="IDC52" s="42"/>
      <c r="IDD52" s="42"/>
      <c r="IDE52" s="42"/>
      <c r="IDF52" s="42"/>
      <c r="IDG52" s="42"/>
      <c r="IDH52" s="42"/>
      <c r="IDI52" s="42"/>
      <c r="IDJ52" s="42"/>
      <c r="IDK52" s="42"/>
      <c r="IDL52" s="42"/>
      <c r="IDM52" s="42"/>
      <c r="IDN52" s="42"/>
      <c r="IDO52" s="2"/>
      <c r="IDP52" s="15"/>
      <c r="IDQ52" s="42"/>
      <c r="IDR52" s="2"/>
      <c r="IDS52" s="2"/>
      <c r="IDT52" s="2"/>
      <c r="IDU52" s="2"/>
      <c r="IDV52" s="42"/>
      <c r="IDW52" s="42"/>
      <c r="IDX52" s="42"/>
      <c r="IDY52" s="42"/>
      <c r="IDZ52" s="42"/>
      <c r="IEA52" s="42"/>
      <c r="IEB52" s="42"/>
      <c r="IEC52" s="42"/>
      <c r="IED52" s="42"/>
      <c r="IEE52" s="42"/>
      <c r="IEF52" s="42"/>
      <c r="IEG52" s="42"/>
      <c r="IEH52" s="42"/>
      <c r="IEI52" s="42"/>
      <c r="IEJ52" s="42"/>
      <c r="IEK52" s="42"/>
      <c r="IEL52" s="42"/>
      <c r="IEM52" s="42"/>
      <c r="IEN52" s="42"/>
      <c r="IEO52" s="42"/>
      <c r="IEP52" s="42"/>
      <c r="IEQ52" s="42"/>
      <c r="IER52" s="42"/>
      <c r="IES52" s="2"/>
      <c r="IET52" s="15"/>
      <c r="IEU52" s="42"/>
      <c r="IEV52" s="2"/>
      <c r="IEW52" s="2"/>
      <c r="IEX52" s="2"/>
      <c r="IEY52" s="2"/>
      <c r="IEZ52" s="42"/>
      <c r="IFA52" s="42"/>
      <c r="IFB52" s="42"/>
      <c r="IFC52" s="42"/>
      <c r="IFD52" s="42"/>
      <c r="IFE52" s="42"/>
      <c r="IFF52" s="42"/>
      <c r="IFG52" s="42"/>
      <c r="IFH52" s="42"/>
      <c r="IFI52" s="42"/>
      <c r="IFJ52" s="42"/>
      <c r="IFK52" s="42"/>
      <c r="IFL52" s="42"/>
      <c r="IFM52" s="42"/>
      <c r="IFN52" s="42"/>
      <c r="IFO52" s="42"/>
      <c r="IFP52" s="42"/>
      <c r="IFQ52" s="42"/>
      <c r="IFR52" s="42"/>
      <c r="IFS52" s="42"/>
      <c r="IFT52" s="42"/>
      <c r="IFU52" s="42"/>
      <c r="IFV52" s="42"/>
      <c r="IFW52" s="2"/>
      <c r="IFX52" s="15"/>
      <c r="IFY52" s="42"/>
      <c r="IFZ52" s="2"/>
      <c r="IGA52" s="2"/>
      <c r="IGB52" s="2"/>
      <c r="IGC52" s="2"/>
      <c r="IGD52" s="42"/>
      <c r="IGE52" s="42"/>
      <c r="IGF52" s="42"/>
      <c r="IGG52" s="42"/>
      <c r="IGH52" s="42"/>
      <c r="IGI52" s="42"/>
      <c r="IGJ52" s="42"/>
      <c r="IGK52" s="42"/>
      <c r="IGL52" s="42"/>
      <c r="IGM52" s="42"/>
      <c r="IGN52" s="42"/>
      <c r="IGO52" s="42"/>
      <c r="IGP52" s="42"/>
      <c r="IGQ52" s="42"/>
      <c r="IGR52" s="42"/>
      <c r="IGS52" s="42"/>
      <c r="IGT52" s="42"/>
      <c r="IGU52" s="42"/>
      <c r="IGV52" s="42"/>
      <c r="IGW52" s="42"/>
      <c r="IGX52" s="42"/>
      <c r="IGY52" s="42"/>
      <c r="IGZ52" s="42"/>
      <c r="IHA52" s="2"/>
      <c r="IHB52" s="15"/>
      <c r="IHC52" s="42"/>
      <c r="IHD52" s="2"/>
      <c r="IHE52" s="2"/>
      <c r="IHF52" s="2"/>
      <c r="IHG52" s="2"/>
      <c r="IHH52" s="42"/>
      <c r="IHI52" s="42"/>
      <c r="IHJ52" s="42"/>
      <c r="IHK52" s="42"/>
      <c r="IHL52" s="42"/>
      <c r="IHM52" s="42"/>
      <c r="IHN52" s="42"/>
      <c r="IHO52" s="42"/>
      <c r="IHP52" s="42"/>
      <c r="IHQ52" s="42"/>
      <c r="IHR52" s="42"/>
      <c r="IHS52" s="42"/>
      <c r="IHT52" s="42"/>
      <c r="IHU52" s="42"/>
      <c r="IHV52" s="42"/>
      <c r="IHW52" s="42"/>
      <c r="IHX52" s="42"/>
      <c r="IHY52" s="42"/>
      <c r="IHZ52" s="42"/>
      <c r="IIA52" s="42"/>
      <c r="IIB52" s="42"/>
      <c r="IIC52" s="42"/>
      <c r="IID52" s="42"/>
      <c r="IIE52" s="2"/>
      <c r="IIF52" s="15"/>
      <c r="IIG52" s="42"/>
      <c r="IIH52" s="2"/>
      <c r="III52" s="2"/>
      <c r="IIJ52" s="2"/>
      <c r="IIK52" s="2"/>
      <c r="IIL52" s="42"/>
      <c r="IIM52" s="42"/>
      <c r="IIN52" s="42"/>
      <c r="IIO52" s="42"/>
      <c r="IIP52" s="42"/>
      <c r="IIQ52" s="42"/>
      <c r="IIR52" s="42"/>
      <c r="IIS52" s="42"/>
      <c r="IIT52" s="42"/>
      <c r="IIU52" s="42"/>
      <c r="IIV52" s="42"/>
      <c r="IIW52" s="42"/>
      <c r="IIX52" s="42"/>
      <c r="IIY52" s="42"/>
      <c r="IIZ52" s="42"/>
      <c r="IJA52" s="42"/>
      <c r="IJB52" s="42"/>
      <c r="IJC52" s="42"/>
      <c r="IJD52" s="42"/>
      <c r="IJE52" s="42"/>
      <c r="IJF52" s="42"/>
      <c r="IJG52" s="42"/>
      <c r="IJH52" s="42"/>
      <c r="IJI52" s="2"/>
      <c r="IJJ52" s="15"/>
      <c r="IJK52" s="42"/>
      <c r="IJL52" s="2"/>
      <c r="IJM52" s="2"/>
      <c r="IJN52" s="2"/>
      <c r="IJO52" s="2"/>
      <c r="IJP52" s="42"/>
      <c r="IJQ52" s="42"/>
      <c r="IJR52" s="42"/>
      <c r="IJS52" s="42"/>
      <c r="IJT52" s="42"/>
      <c r="IJU52" s="42"/>
      <c r="IJV52" s="42"/>
      <c r="IJW52" s="42"/>
      <c r="IJX52" s="42"/>
      <c r="IJY52" s="42"/>
      <c r="IJZ52" s="42"/>
      <c r="IKA52" s="42"/>
      <c r="IKB52" s="42"/>
      <c r="IKC52" s="42"/>
      <c r="IKD52" s="42"/>
      <c r="IKE52" s="42"/>
      <c r="IKF52" s="42"/>
      <c r="IKG52" s="42"/>
      <c r="IKH52" s="42"/>
      <c r="IKI52" s="42"/>
      <c r="IKJ52" s="42"/>
      <c r="IKK52" s="42"/>
      <c r="IKL52" s="42"/>
      <c r="IKM52" s="2"/>
      <c r="IKN52" s="15"/>
      <c r="IKO52" s="42"/>
      <c r="IKP52" s="2"/>
      <c r="IKQ52" s="2"/>
      <c r="IKR52" s="2"/>
      <c r="IKS52" s="2"/>
      <c r="IKT52" s="42"/>
      <c r="IKU52" s="42"/>
      <c r="IKV52" s="42"/>
      <c r="IKW52" s="42"/>
      <c r="IKX52" s="42"/>
      <c r="IKY52" s="42"/>
      <c r="IKZ52" s="42"/>
      <c r="ILA52" s="42"/>
      <c r="ILB52" s="42"/>
      <c r="ILC52" s="42"/>
      <c r="ILD52" s="42"/>
      <c r="ILE52" s="42"/>
      <c r="ILF52" s="42"/>
      <c r="ILG52" s="42"/>
      <c r="ILH52" s="42"/>
      <c r="ILI52" s="42"/>
      <c r="ILJ52" s="42"/>
      <c r="ILK52" s="42"/>
      <c r="ILL52" s="42"/>
      <c r="ILM52" s="42"/>
      <c r="ILN52" s="42"/>
      <c r="ILO52" s="42"/>
      <c r="ILP52" s="42"/>
      <c r="ILQ52" s="2"/>
      <c r="ILR52" s="15"/>
      <c r="ILS52" s="42"/>
      <c r="ILT52" s="2"/>
      <c r="ILU52" s="2"/>
      <c r="ILV52" s="2"/>
      <c r="ILW52" s="2"/>
      <c r="ILX52" s="42"/>
      <c r="ILY52" s="42"/>
      <c r="ILZ52" s="42"/>
      <c r="IMA52" s="42"/>
      <c r="IMB52" s="42"/>
      <c r="IMC52" s="42"/>
      <c r="IMD52" s="42"/>
      <c r="IME52" s="42"/>
      <c r="IMF52" s="42"/>
      <c r="IMG52" s="42"/>
      <c r="IMH52" s="42"/>
      <c r="IMI52" s="42"/>
      <c r="IMJ52" s="42"/>
      <c r="IMK52" s="42"/>
      <c r="IML52" s="42"/>
      <c r="IMM52" s="42"/>
      <c r="IMN52" s="42"/>
      <c r="IMO52" s="42"/>
      <c r="IMP52" s="42"/>
      <c r="IMQ52" s="42"/>
      <c r="IMR52" s="42"/>
      <c r="IMS52" s="42"/>
      <c r="IMT52" s="42"/>
      <c r="IMU52" s="2"/>
      <c r="IMV52" s="15"/>
      <c r="IMW52" s="42"/>
      <c r="IMX52" s="2"/>
      <c r="IMY52" s="2"/>
      <c r="IMZ52" s="2"/>
      <c r="INA52" s="2"/>
      <c r="INB52" s="42"/>
      <c r="INC52" s="42"/>
      <c r="IND52" s="42"/>
      <c r="INE52" s="42"/>
      <c r="INF52" s="42"/>
      <c r="ING52" s="42"/>
      <c r="INH52" s="42"/>
      <c r="INI52" s="42"/>
      <c r="INJ52" s="42"/>
      <c r="INK52" s="42"/>
      <c r="INL52" s="42"/>
      <c r="INM52" s="42"/>
      <c r="INN52" s="42"/>
      <c r="INO52" s="42"/>
      <c r="INP52" s="42"/>
      <c r="INQ52" s="42"/>
      <c r="INR52" s="42"/>
      <c r="INS52" s="42"/>
      <c r="INT52" s="42"/>
      <c r="INU52" s="42"/>
      <c r="INV52" s="42"/>
      <c r="INW52" s="42"/>
      <c r="INX52" s="42"/>
      <c r="INY52" s="2"/>
      <c r="INZ52" s="15"/>
      <c r="IOA52" s="42"/>
      <c r="IOB52" s="2"/>
      <c r="IOC52" s="2"/>
      <c r="IOD52" s="2"/>
      <c r="IOE52" s="2"/>
      <c r="IOF52" s="42"/>
      <c r="IOG52" s="42"/>
      <c r="IOH52" s="42"/>
      <c r="IOI52" s="42"/>
      <c r="IOJ52" s="42"/>
      <c r="IOK52" s="42"/>
      <c r="IOL52" s="42"/>
      <c r="IOM52" s="42"/>
      <c r="ION52" s="42"/>
      <c r="IOO52" s="42"/>
      <c r="IOP52" s="42"/>
      <c r="IOQ52" s="42"/>
      <c r="IOR52" s="42"/>
      <c r="IOS52" s="42"/>
      <c r="IOT52" s="42"/>
      <c r="IOU52" s="42"/>
      <c r="IOV52" s="42"/>
      <c r="IOW52" s="42"/>
      <c r="IOX52" s="42"/>
      <c r="IOY52" s="42"/>
      <c r="IOZ52" s="42"/>
      <c r="IPA52" s="42"/>
      <c r="IPB52" s="42"/>
      <c r="IPC52" s="2"/>
      <c r="IPD52" s="15"/>
      <c r="IPE52" s="42"/>
      <c r="IPF52" s="2"/>
      <c r="IPG52" s="2"/>
      <c r="IPH52" s="2"/>
      <c r="IPI52" s="2"/>
      <c r="IPJ52" s="42"/>
      <c r="IPK52" s="42"/>
      <c r="IPL52" s="42"/>
      <c r="IPM52" s="42"/>
      <c r="IPN52" s="42"/>
      <c r="IPO52" s="42"/>
      <c r="IPP52" s="42"/>
      <c r="IPQ52" s="42"/>
      <c r="IPR52" s="42"/>
      <c r="IPS52" s="42"/>
      <c r="IPT52" s="42"/>
      <c r="IPU52" s="42"/>
      <c r="IPV52" s="42"/>
      <c r="IPW52" s="42"/>
      <c r="IPX52" s="42"/>
      <c r="IPY52" s="42"/>
      <c r="IPZ52" s="42"/>
      <c r="IQA52" s="42"/>
      <c r="IQB52" s="42"/>
      <c r="IQC52" s="42"/>
      <c r="IQD52" s="42"/>
      <c r="IQE52" s="42"/>
      <c r="IQF52" s="42"/>
      <c r="IQG52" s="2"/>
      <c r="IQH52" s="15"/>
      <c r="IQI52" s="42"/>
      <c r="IQJ52" s="2"/>
      <c r="IQK52" s="2"/>
      <c r="IQL52" s="2"/>
      <c r="IQM52" s="2"/>
      <c r="IQN52" s="42"/>
      <c r="IQO52" s="42"/>
      <c r="IQP52" s="42"/>
      <c r="IQQ52" s="42"/>
      <c r="IQR52" s="42"/>
      <c r="IQS52" s="42"/>
      <c r="IQT52" s="42"/>
      <c r="IQU52" s="42"/>
      <c r="IQV52" s="42"/>
      <c r="IQW52" s="42"/>
      <c r="IQX52" s="42"/>
      <c r="IQY52" s="42"/>
      <c r="IQZ52" s="42"/>
      <c r="IRA52" s="42"/>
      <c r="IRB52" s="42"/>
      <c r="IRC52" s="42"/>
      <c r="IRD52" s="42"/>
      <c r="IRE52" s="42"/>
      <c r="IRF52" s="42"/>
      <c r="IRG52" s="42"/>
      <c r="IRH52" s="42"/>
      <c r="IRI52" s="42"/>
      <c r="IRJ52" s="42"/>
      <c r="IRK52" s="2"/>
      <c r="IRL52" s="15"/>
      <c r="IRM52" s="42"/>
      <c r="IRN52" s="2"/>
      <c r="IRO52" s="2"/>
      <c r="IRP52" s="2"/>
      <c r="IRQ52" s="2"/>
      <c r="IRR52" s="42"/>
      <c r="IRS52" s="42"/>
      <c r="IRT52" s="42"/>
      <c r="IRU52" s="42"/>
      <c r="IRV52" s="42"/>
      <c r="IRW52" s="42"/>
      <c r="IRX52" s="42"/>
      <c r="IRY52" s="42"/>
      <c r="IRZ52" s="42"/>
      <c r="ISA52" s="42"/>
      <c r="ISB52" s="42"/>
      <c r="ISC52" s="42"/>
      <c r="ISD52" s="42"/>
      <c r="ISE52" s="42"/>
      <c r="ISF52" s="42"/>
      <c r="ISG52" s="42"/>
      <c r="ISH52" s="42"/>
      <c r="ISI52" s="42"/>
      <c r="ISJ52" s="42"/>
      <c r="ISK52" s="42"/>
      <c r="ISL52" s="42"/>
      <c r="ISM52" s="42"/>
      <c r="ISN52" s="42"/>
      <c r="ISO52" s="2"/>
      <c r="ISP52" s="15"/>
      <c r="ISQ52" s="42"/>
      <c r="ISR52" s="2"/>
      <c r="ISS52" s="2"/>
      <c r="IST52" s="2"/>
      <c r="ISU52" s="2"/>
      <c r="ISV52" s="42"/>
      <c r="ISW52" s="42"/>
      <c r="ISX52" s="42"/>
      <c r="ISY52" s="42"/>
      <c r="ISZ52" s="42"/>
      <c r="ITA52" s="42"/>
      <c r="ITB52" s="42"/>
      <c r="ITC52" s="42"/>
      <c r="ITD52" s="42"/>
      <c r="ITE52" s="42"/>
      <c r="ITF52" s="42"/>
      <c r="ITG52" s="42"/>
      <c r="ITH52" s="42"/>
      <c r="ITI52" s="42"/>
      <c r="ITJ52" s="42"/>
      <c r="ITK52" s="42"/>
      <c r="ITL52" s="42"/>
      <c r="ITM52" s="42"/>
      <c r="ITN52" s="42"/>
      <c r="ITO52" s="42"/>
      <c r="ITP52" s="42"/>
      <c r="ITQ52" s="42"/>
      <c r="ITR52" s="42"/>
      <c r="ITS52" s="2"/>
      <c r="ITT52" s="15"/>
      <c r="ITU52" s="42"/>
      <c r="ITV52" s="2"/>
      <c r="ITW52" s="2"/>
      <c r="ITX52" s="2"/>
      <c r="ITY52" s="2"/>
      <c r="ITZ52" s="42"/>
      <c r="IUA52" s="42"/>
      <c r="IUB52" s="42"/>
      <c r="IUC52" s="42"/>
      <c r="IUD52" s="42"/>
      <c r="IUE52" s="42"/>
      <c r="IUF52" s="42"/>
      <c r="IUG52" s="42"/>
      <c r="IUH52" s="42"/>
      <c r="IUI52" s="42"/>
      <c r="IUJ52" s="42"/>
      <c r="IUK52" s="42"/>
      <c r="IUL52" s="42"/>
      <c r="IUM52" s="42"/>
      <c r="IUN52" s="42"/>
      <c r="IUO52" s="42"/>
      <c r="IUP52" s="42"/>
      <c r="IUQ52" s="42"/>
      <c r="IUR52" s="42"/>
      <c r="IUS52" s="42"/>
      <c r="IUT52" s="42"/>
      <c r="IUU52" s="42"/>
      <c r="IUV52" s="42"/>
      <c r="IUW52" s="2"/>
      <c r="IUX52" s="15"/>
      <c r="IUY52" s="42"/>
      <c r="IUZ52" s="2"/>
      <c r="IVA52" s="2"/>
      <c r="IVB52" s="2"/>
      <c r="IVC52" s="2"/>
      <c r="IVD52" s="42"/>
      <c r="IVE52" s="42"/>
      <c r="IVF52" s="42"/>
      <c r="IVG52" s="42"/>
      <c r="IVH52" s="42"/>
      <c r="IVI52" s="42"/>
      <c r="IVJ52" s="42"/>
      <c r="IVK52" s="42"/>
      <c r="IVL52" s="42"/>
      <c r="IVM52" s="42"/>
      <c r="IVN52" s="42"/>
      <c r="IVO52" s="42"/>
      <c r="IVP52" s="42"/>
      <c r="IVQ52" s="42"/>
      <c r="IVR52" s="42"/>
      <c r="IVS52" s="42"/>
      <c r="IVT52" s="42"/>
      <c r="IVU52" s="42"/>
      <c r="IVV52" s="42"/>
      <c r="IVW52" s="42"/>
      <c r="IVX52" s="42"/>
      <c r="IVY52" s="42"/>
      <c r="IVZ52" s="42"/>
      <c r="IWA52" s="2"/>
      <c r="IWB52" s="15"/>
      <c r="IWC52" s="42"/>
      <c r="IWD52" s="2"/>
      <c r="IWE52" s="2"/>
      <c r="IWF52" s="2"/>
      <c r="IWG52" s="2"/>
      <c r="IWH52" s="42"/>
      <c r="IWI52" s="42"/>
      <c r="IWJ52" s="42"/>
      <c r="IWK52" s="42"/>
      <c r="IWL52" s="42"/>
      <c r="IWM52" s="42"/>
      <c r="IWN52" s="42"/>
      <c r="IWO52" s="42"/>
      <c r="IWP52" s="42"/>
      <c r="IWQ52" s="42"/>
      <c r="IWR52" s="42"/>
      <c r="IWS52" s="42"/>
      <c r="IWT52" s="42"/>
      <c r="IWU52" s="42"/>
      <c r="IWV52" s="42"/>
      <c r="IWW52" s="42"/>
      <c r="IWX52" s="42"/>
      <c r="IWY52" s="42"/>
      <c r="IWZ52" s="42"/>
      <c r="IXA52" s="42"/>
      <c r="IXB52" s="42"/>
      <c r="IXC52" s="42"/>
      <c r="IXD52" s="42"/>
      <c r="IXE52" s="2"/>
      <c r="IXF52" s="15"/>
      <c r="IXG52" s="42"/>
      <c r="IXH52" s="2"/>
      <c r="IXI52" s="2"/>
      <c r="IXJ52" s="2"/>
      <c r="IXK52" s="2"/>
      <c r="IXL52" s="42"/>
      <c r="IXM52" s="42"/>
      <c r="IXN52" s="42"/>
      <c r="IXO52" s="42"/>
      <c r="IXP52" s="42"/>
      <c r="IXQ52" s="42"/>
      <c r="IXR52" s="42"/>
      <c r="IXS52" s="42"/>
      <c r="IXT52" s="42"/>
      <c r="IXU52" s="42"/>
      <c r="IXV52" s="42"/>
      <c r="IXW52" s="42"/>
      <c r="IXX52" s="42"/>
      <c r="IXY52" s="42"/>
      <c r="IXZ52" s="42"/>
      <c r="IYA52" s="42"/>
      <c r="IYB52" s="42"/>
      <c r="IYC52" s="42"/>
      <c r="IYD52" s="42"/>
      <c r="IYE52" s="42"/>
      <c r="IYF52" s="42"/>
      <c r="IYG52" s="42"/>
      <c r="IYH52" s="42"/>
      <c r="IYI52" s="2"/>
      <c r="IYJ52" s="15"/>
      <c r="IYK52" s="42"/>
      <c r="IYL52" s="2"/>
      <c r="IYM52" s="2"/>
      <c r="IYN52" s="2"/>
      <c r="IYO52" s="2"/>
      <c r="IYP52" s="42"/>
      <c r="IYQ52" s="42"/>
      <c r="IYR52" s="42"/>
      <c r="IYS52" s="42"/>
      <c r="IYT52" s="42"/>
      <c r="IYU52" s="42"/>
      <c r="IYV52" s="42"/>
      <c r="IYW52" s="42"/>
      <c r="IYX52" s="42"/>
      <c r="IYY52" s="42"/>
      <c r="IYZ52" s="42"/>
      <c r="IZA52" s="42"/>
      <c r="IZB52" s="42"/>
      <c r="IZC52" s="42"/>
      <c r="IZD52" s="42"/>
      <c r="IZE52" s="42"/>
      <c r="IZF52" s="42"/>
      <c r="IZG52" s="42"/>
      <c r="IZH52" s="42"/>
      <c r="IZI52" s="42"/>
      <c r="IZJ52" s="42"/>
      <c r="IZK52" s="42"/>
      <c r="IZL52" s="42"/>
      <c r="IZM52" s="2"/>
      <c r="IZN52" s="15"/>
      <c r="IZO52" s="42"/>
      <c r="IZP52" s="2"/>
      <c r="IZQ52" s="2"/>
      <c r="IZR52" s="2"/>
      <c r="IZS52" s="2"/>
      <c r="IZT52" s="42"/>
      <c r="IZU52" s="42"/>
      <c r="IZV52" s="42"/>
      <c r="IZW52" s="42"/>
      <c r="IZX52" s="42"/>
      <c r="IZY52" s="42"/>
      <c r="IZZ52" s="42"/>
      <c r="JAA52" s="42"/>
      <c r="JAB52" s="42"/>
      <c r="JAC52" s="42"/>
      <c r="JAD52" s="42"/>
      <c r="JAE52" s="42"/>
      <c r="JAF52" s="42"/>
      <c r="JAG52" s="42"/>
      <c r="JAH52" s="42"/>
      <c r="JAI52" s="42"/>
      <c r="JAJ52" s="42"/>
      <c r="JAK52" s="42"/>
      <c r="JAL52" s="42"/>
      <c r="JAM52" s="42"/>
      <c r="JAN52" s="42"/>
      <c r="JAO52" s="42"/>
      <c r="JAP52" s="42"/>
      <c r="JAQ52" s="2"/>
      <c r="JAR52" s="15"/>
      <c r="JAS52" s="42"/>
      <c r="JAT52" s="2"/>
      <c r="JAU52" s="2"/>
      <c r="JAV52" s="2"/>
      <c r="JAW52" s="2"/>
      <c r="JAX52" s="42"/>
      <c r="JAY52" s="42"/>
      <c r="JAZ52" s="42"/>
      <c r="JBA52" s="42"/>
      <c r="JBB52" s="42"/>
      <c r="JBC52" s="42"/>
      <c r="JBD52" s="42"/>
      <c r="JBE52" s="42"/>
      <c r="JBF52" s="42"/>
      <c r="JBG52" s="42"/>
      <c r="JBH52" s="42"/>
      <c r="JBI52" s="42"/>
      <c r="JBJ52" s="42"/>
      <c r="JBK52" s="42"/>
      <c r="JBL52" s="42"/>
      <c r="JBM52" s="42"/>
      <c r="JBN52" s="42"/>
      <c r="JBO52" s="42"/>
      <c r="JBP52" s="42"/>
      <c r="JBQ52" s="42"/>
      <c r="JBR52" s="42"/>
      <c r="JBS52" s="42"/>
      <c r="JBT52" s="42"/>
      <c r="JBU52" s="2"/>
      <c r="JBV52" s="15"/>
      <c r="JBW52" s="42"/>
      <c r="JBX52" s="2"/>
      <c r="JBY52" s="2"/>
      <c r="JBZ52" s="2"/>
      <c r="JCA52" s="2"/>
      <c r="JCB52" s="42"/>
      <c r="JCC52" s="42"/>
      <c r="JCD52" s="42"/>
      <c r="JCE52" s="42"/>
      <c r="JCF52" s="42"/>
      <c r="JCG52" s="42"/>
      <c r="JCH52" s="42"/>
      <c r="JCI52" s="42"/>
      <c r="JCJ52" s="42"/>
      <c r="JCK52" s="42"/>
      <c r="JCL52" s="42"/>
      <c r="JCM52" s="42"/>
      <c r="JCN52" s="42"/>
      <c r="JCO52" s="42"/>
      <c r="JCP52" s="42"/>
      <c r="JCQ52" s="42"/>
      <c r="JCR52" s="42"/>
      <c r="JCS52" s="42"/>
      <c r="JCT52" s="42"/>
      <c r="JCU52" s="42"/>
      <c r="JCV52" s="42"/>
      <c r="JCW52" s="42"/>
      <c r="JCX52" s="42"/>
      <c r="JCY52" s="2"/>
      <c r="JCZ52" s="15"/>
      <c r="JDA52" s="42"/>
      <c r="JDB52" s="2"/>
      <c r="JDC52" s="2"/>
      <c r="JDD52" s="2"/>
      <c r="JDE52" s="2"/>
      <c r="JDF52" s="42"/>
      <c r="JDG52" s="42"/>
      <c r="JDH52" s="42"/>
      <c r="JDI52" s="42"/>
      <c r="JDJ52" s="42"/>
      <c r="JDK52" s="42"/>
      <c r="JDL52" s="42"/>
      <c r="JDM52" s="42"/>
      <c r="JDN52" s="42"/>
      <c r="JDO52" s="42"/>
      <c r="JDP52" s="42"/>
      <c r="JDQ52" s="42"/>
      <c r="JDR52" s="42"/>
      <c r="JDS52" s="42"/>
      <c r="JDT52" s="42"/>
      <c r="JDU52" s="42"/>
      <c r="JDV52" s="42"/>
      <c r="JDW52" s="42"/>
      <c r="JDX52" s="42"/>
      <c r="JDY52" s="42"/>
      <c r="JDZ52" s="42"/>
      <c r="JEA52" s="42"/>
      <c r="JEB52" s="42"/>
      <c r="JEC52" s="2"/>
      <c r="JED52" s="15"/>
      <c r="JEE52" s="42"/>
      <c r="JEF52" s="2"/>
      <c r="JEG52" s="2"/>
      <c r="JEH52" s="2"/>
      <c r="JEI52" s="2"/>
      <c r="JEJ52" s="42"/>
      <c r="JEK52" s="42"/>
      <c r="JEL52" s="42"/>
      <c r="JEM52" s="42"/>
      <c r="JEN52" s="42"/>
      <c r="JEO52" s="42"/>
      <c r="JEP52" s="42"/>
      <c r="JEQ52" s="42"/>
      <c r="JER52" s="42"/>
      <c r="JES52" s="42"/>
      <c r="JET52" s="42"/>
      <c r="JEU52" s="42"/>
      <c r="JEV52" s="42"/>
      <c r="JEW52" s="42"/>
      <c r="JEX52" s="42"/>
      <c r="JEY52" s="42"/>
      <c r="JEZ52" s="42"/>
      <c r="JFA52" s="42"/>
      <c r="JFB52" s="42"/>
      <c r="JFC52" s="42"/>
      <c r="JFD52" s="42"/>
      <c r="JFE52" s="42"/>
      <c r="JFF52" s="42"/>
      <c r="JFG52" s="2"/>
      <c r="JFH52" s="15"/>
      <c r="JFI52" s="42"/>
      <c r="JFJ52" s="2"/>
      <c r="JFK52" s="2"/>
      <c r="JFL52" s="2"/>
      <c r="JFM52" s="2"/>
      <c r="JFN52" s="42"/>
      <c r="JFO52" s="42"/>
      <c r="JFP52" s="42"/>
      <c r="JFQ52" s="42"/>
      <c r="JFR52" s="42"/>
      <c r="JFS52" s="42"/>
      <c r="JFT52" s="42"/>
      <c r="JFU52" s="42"/>
      <c r="JFV52" s="42"/>
      <c r="JFW52" s="42"/>
      <c r="JFX52" s="42"/>
      <c r="JFY52" s="42"/>
      <c r="JFZ52" s="42"/>
      <c r="JGA52" s="42"/>
      <c r="JGB52" s="42"/>
      <c r="JGC52" s="42"/>
      <c r="JGD52" s="42"/>
      <c r="JGE52" s="42"/>
      <c r="JGF52" s="42"/>
      <c r="JGG52" s="42"/>
      <c r="JGH52" s="42"/>
      <c r="JGI52" s="42"/>
      <c r="JGJ52" s="42"/>
      <c r="JGK52" s="2"/>
      <c r="JGL52" s="15"/>
      <c r="JGM52" s="42"/>
      <c r="JGN52" s="2"/>
      <c r="JGO52" s="2"/>
      <c r="JGP52" s="2"/>
      <c r="JGQ52" s="2"/>
      <c r="JGR52" s="42"/>
      <c r="JGS52" s="42"/>
      <c r="JGT52" s="42"/>
      <c r="JGU52" s="42"/>
      <c r="JGV52" s="42"/>
      <c r="JGW52" s="42"/>
      <c r="JGX52" s="42"/>
      <c r="JGY52" s="42"/>
      <c r="JGZ52" s="42"/>
      <c r="JHA52" s="42"/>
      <c r="JHB52" s="42"/>
      <c r="JHC52" s="42"/>
      <c r="JHD52" s="42"/>
      <c r="JHE52" s="42"/>
      <c r="JHF52" s="42"/>
      <c r="JHG52" s="42"/>
      <c r="JHH52" s="42"/>
      <c r="JHI52" s="42"/>
      <c r="JHJ52" s="42"/>
      <c r="JHK52" s="42"/>
      <c r="JHL52" s="42"/>
      <c r="JHM52" s="42"/>
      <c r="JHN52" s="42"/>
      <c r="JHO52" s="2"/>
      <c r="JHP52" s="15"/>
      <c r="JHQ52" s="42"/>
      <c r="JHR52" s="2"/>
      <c r="JHS52" s="2"/>
      <c r="JHT52" s="2"/>
      <c r="JHU52" s="2"/>
      <c r="JHV52" s="42"/>
      <c r="JHW52" s="42"/>
      <c r="JHX52" s="42"/>
      <c r="JHY52" s="42"/>
      <c r="JHZ52" s="42"/>
      <c r="JIA52" s="42"/>
      <c r="JIB52" s="42"/>
      <c r="JIC52" s="42"/>
      <c r="JID52" s="42"/>
      <c r="JIE52" s="42"/>
      <c r="JIF52" s="42"/>
      <c r="JIG52" s="42"/>
      <c r="JIH52" s="42"/>
      <c r="JII52" s="42"/>
      <c r="JIJ52" s="42"/>
      <c r="JIK52" s="42"/>
      <c r="JIL52" s="42"/>
      <c r="JIM52" s="42"/>
      <c r="JIN52" s="42"/>
      <c r="JIO52" s="42"/>
      <c r="JIP52" s="42"/>
      <c r="JIQ52" s="42"/>
      <c r="JIR52" s="42"/>
      <c r="JIS52" s="2"/>
      <c r="JIT52" s="15"/>
      <c r="JIU52" s="42"/>
      <c r="JIV52" s="2"/>
      <c r="JIW52" s="2"/>
      <c r="JIX52" s="2"/>
      <c r="JIY52" s="2"/>
      <c r="JIZ52" s="42"/>
      <c r="JJA52" s="42"/>
      <c r="JJB52" s="42"/>
      <c r="JJC52" s="42"/>
      <c r="JJD52" s="42"/>
      <c r="JJE52" s="42"/>
      <c r="JJF52" s="42"/>
      <c r="JJG52" s="42"/>
      <c r="JJH52" s="42"/>
      <c r="JJI52" s="42"/>
      <c r="JJJ52" s="42"/>
      <c r="JJK52" s="42"/>
      <c r="JJL52" s="42"/>
      <c r="JJM52" s="42"/>
      <c r="JJN52" s="42"/>
      <c r="JJO52" s="42"/>
      <c r="JJP52" s="42"/>
      <c r="JJQ52" s="42"/>
      <c r="JJR52" s="42"/>
      <c r="JJS52" s="42"/>
      <c r="JJT52" s="42"/>
      <c r="JJU52" s="42"/>
      <c r="JJV52" s="42"/>
      <c r="JJW52" s="2"/>
      <c r="JJX52" s="15"/>
      <c r="JJY52" s="42"/>
      <c r="JJZ52" s="2"/>
      <c r="JKA52" s="2"/>
      <c r="JKB52" s="2"/>
      <c r="JKC52" s="2"/>
      <c r="JKD52" s="42"/>
      <c r="JKE52" s="42"/>
      <c r="JKF52" s="42"/>
      <c r="JKG52" s="42"/>
      <c r="JKH52" s="42"/>
      <c r="JKI52" s="42"/>
      <c r="JKJ52" s="42"/>
      <c r="JKK52" s="42"/>
      <c r="JKL52" s="42"/>
      <c r="JKM52" s="42"/>
      <c r="JKN52" s="42"/>
      <c r="JKO52" s="42"/>
      <c r="JKP52" s="42"/>
      <c r="JKQ52" s="42"/>
      <c r="JKR52" s="42"/>
      <c r="JKS52" s="42"/>
      <c r="JKT52" s="42"/>
      <c r="JKU52" s="42"/>
      <c r="JKV52" s="42"/>
      <c r="JKW52" s="42"/>
      <c r="JKX52" s="42"/>
      <c r="JKY52" s="42"/>
      <c r="JKZ52" s="42"/>
      <c r="JLA52" s="2"/>
      <c r="JLB52" s="15"/>
      <c r="JLC52" s="42"/>
      <c r="JLD52" s="2"/>
      <c r="JLE52" s="2"/>
      <c r="JLF52" s="2"/>
      <c r="JLG52" s="2"/>
      <c r="JLH52" s="42"/>
      <c r="JLI52" s="42"/>
      <c r="JLJ52" s="42"/>
      <c r="JLK52" s="42"/>
      <c r="JLL52" s="42"/>
      <c r="JLM52" s="42"/>
      <c r="JLN52" s="42"/>
      <c r="JLO52" s="42"/>
      <c r="JLP52" s="42"/>
      <c r="JLQ52" s="42"/>
      <c r="JLR52" s="42"/>
      <c r="JLS52" s="42"/>
      <c r="JLT52" s="42"/>
      <c r="JLU52" s="42"/>
      <c r="JLV52" s="42"/>
      <c r="JLW52" s="42"/>
      <c r="JLX52" s="42"/>
      <c r="JLY52" s="42"/>
      <c r="JLZ52" s="42"/>
      <c r="JMA52" s="42"/>
      <c r="JMB52" s="42"/>
      <c r="JMC52" s="42"/>
      <c r="JMD52" s="42"/>
      <c r="JME52" s="2"/>
      <c r="JMF52" s="15"/>
      <c r="JMG52" s="42"/>
      <c r="JMH52" s="2"/>
      <c r="JMI52" s="2"/>
      <c r="JMJ52" s="2"/>
      <c r="JMK52" s="2"/>
      <c r="JML52" s="42"/>
      <c r="JMM52" s="42"/>
      <c r="JMN52" s="42"/>
      <c r="JMO52" s="42"/>
      <c r="JMP52" s="42"/>
      <c r="JMQ52" s="42"/>
      <c r="JMR52" s="42"/>
      <c r="JMS52" s="42"/>
      <c r="JMT52" s="42"/>
      <c r="JMU52" s="42"/>
      <c r="JMV52" s="42"/>
      <c r="JMW52" s="42"/>
      <c r="JMX52" s="42"/>
      <c r="JMY52" s="42"/>
      <c r="JMZ52" s="42"/>
      <c r="JNA52" s="42"/>
      <c r="JNB52" s="42"/>
      <c r="JNC52" s="42"/>
      <c r="JND52" s="42"/>
      <c r="JNE52" s="42"/>
      <c r="JNF52" s="42"/>
      <c r="JNG52" s="42"/>
      <c r="JNH52" s="42"/>
      <c r="JNI52" s="2"/>
      <c r="JNJ52" s="15"/>
      <c r="JNK52" s="42"/>
      <c r="JNL52" s="2"/>
      <c r="JNM52" s="2"/>
      <c r="JNN52" s="2"/>
      <c r="JNO52" s="2"/>
      <c r="JNP52" s="42"/>
      <c r="JNQ52" s="42"/>
      <c r="JNR52" s="42"/>
      <c r="JNS52" s="42"/>
      <c r="JNT52" s="42"/>
      <c r="JNU52" s="42"/>
      <c r="JNV52" s="42"/>
      <c r="JNW52" s="42"/>
      <c r="JNX52" s="42"/>
      <c r="JNY52" s="42"/>
      <c r="JNZ52" s="42"/>
      <c r="JOA52" s="42"/>
      <c r="JOB52" s="42"/>
      <c r="JOC52" s="42"/>
      <c r="JOD52" s="42"/>
      <c r="JOE52" s="42"/>
      <c r="JOF52" s="42"/>
      <c r="JOG52" s="42"/>
      <c r="JOH52" s="42"/>
      <c r="JOI52" s="42"/>
      <c r="JOJ52" s="42"/>
      <c r="JOK52" s="42"/>
      <c r="JOL52" s="42"/>
      <c r="JOM52" s="2"/>
      <c r="JON52" s="15"/>
      <c r="JOO52" s="42"/>
      <c r="JOP52" s="2"/>
      <c r="JOQ52" s="2"/>
      <c r="JOR52" s="2"/>
      <c r="JOS52" s="2"/>
      <c r="JOT52" s="42"/>
      <c r="JOU52" s="42"/>
      <c r="JOV52" s="42"/>
      <c r="JOW52" s="42"/>
      <c r="JOX52" s="42"/>
      <c r="JOY52" s="42"/>
      <c r="JOZ52" s="42"/>
      <c r="JPA52" s="42"/>
      <c r="JPB52" s="42"/>
      <c r="JPC52" s="42"/>
      <c r="JPD52" s="42"/>
      <c r="JPE52" s="42"/>
      <c r="JPF52" s="42"/>
      <c r="JPG52" s="42"/>
      <c r="JPH52" s="42"/>
      <c r="JPI52" s="42"/>
      <c r="JPJ52" s="42"/>
      <c r="JPK52" s="42"/>
      <c r="JPL52" s="42"/>
      <c r="JPM52" s="42"/>
      <c r="JPN52" s="42"/>
      <c r="JPO52" s="42"/>
      <c r="JPP52" s="42"/>
      <c r="JPQ52" s="2"/>
      <c r="JPR52" s="15"/>
      <c r="JPS52" s="42"/>
      <c r="JPT52" s="2"/>
      <c r="JPU52" s="2"/>
      <c r="JPV52" s="2"/>
      <c r="JPW52" s="2"/>
      <c r="JPX52" s="42"/>
      <c r="JPY52" s="42"/>
      <c r="JPZ52" s="42"/>
      <c r="JQA52" s="42"/>
      <c r="JQB52" s="42"/>
      <c r="JQC52" s="42"/>
      <c r="JQD52" s="42"/>
      <c r="JQE52" s="42"/>
      <c r="JQF52" s="42"/>
      <c r="JQG52" s="42"/>
      <c r="JQH52" s="42"/>
      <c r="JQI52" s="42"/>
      <c r="JQJ52" s="42"/>
      <c r="JQK52" s="42"/>
      <c r="JQL52" s="42"/>
      <c r="JQM52" s="42"/>
      <c r="JQN52" s="42"/>
      <c r="JQO52" s="42"/>
      <c r="JQP52" s="42"/>
      <c r="JQQ52" s="42"/>
      <c r="JQR52" s="42"/>
      <c r="JQS52" s="42"/>
      <c r="JQT52" s="42"/>
      <c r="JQU52" s="2"/>
      <c r="JQV52" s="15"/>
      <c r="JQW52" s="42"/>
      <c r="JQX52" s="2"/>
      <c r="JQY52" s="2"/>
      <c r="JQZ52" s="2"/>
      <c r="JRA52" s="2"/>
      <c r="JRB52" s="42"/>
      <c r="JRC52" s="42"/>
      <c r="JRD52" s="42"/>
      <c r="JRE52" s="42"/>
      <c r="JRF52" s="42"/>
      <c r="JRG52" s="42"/>
      <c r="JRH52" s="42"/>
      <c r="JRI52" s="42"/>
      <c r="JRJ52" s="42"/>
      <c r="JRK52" s="42"/>
      <c r="JRL52" s="42"/>
      <c r="JRM52" s="42"/>
      <c r="JRN52" s="42"/>
      <c r="JRO52" s="42"/>
      <c r="JRP52" s="42"/>
      <c r="JRQ52" s="42"/>
      <c r="JRR52" s="42"/>
      <c r="JRS52" s="42"/>
      <c r="JRT52" s="42"/>
      <c r="JRU52" s="42"/>
      <c r="JRV52" s="42"/>
      <c r="JRW52" s="42"/>
      <c r="JRX52" s="42"/>
      <c r="JRY52" s="2"/>
      <c r="JRZ52" s="15"/>
      <c r="JSA52" s="42"/>
      <c r="JSB52" s="2"/>
      <c r="JSC52" s="2"/>
      <c r="JSD52" s="2"/>
      <c r="JSE52" s="2"/>
      <c r="JSF52" s="42"/>
      <c r="JSG52" s="42"/>
      <c r="JSH52" s="42"/>
      <c r="JSI52" s="42"/>
      <c r="JSJ52" s="42"/>
      <c r="JSK52" s="42"/>
      <c r="JSL52" s="42"/>
      <c r="JSM52" s="42"/>
      <c r="JSN52" s="42"/>
      <c r="JSO52" s="42"/>
      <c r="JSP52" s="42"/>
      <c r="JSQ52" s="42"/>
      <c r="JSR52" s="42"/>
      <c r="JSS52" s="42"/>
      <c r="JST52" s="42"/>
      <c r="JSU52" s="42"/>
      <c r="JSV52" s="42"/>
      <c r="JSW52" s="42"/>
      <c r="JSX52" s="42"/>
      <c r="JSY52" s="42"/>
      <c r="JSZ52" s="42"/>
      <c r="JTA52" s="42"/>
      <c r="JTB52" s="42"/>
      <c r="JTC52" s="2"/>
      <c r="JTD52" s="15"/>
      <c r="JTE52" s="42"/>
      <c r="JTF52" s="2"/>
      <c r="JTG52" s="2"/>
      <c r="JTH52" s="2"/>
      <c r="JTI52" s="2"/>
      <c r="JTJ52" s="42"/>
      <c r="JTK52" s="42"/>
      <c r="JTL52" s="42"/>
      <c r="JTM52" s="42"/>
      <c r="JTN52" s="42"/>
      <c r="JTO52" s="42"/>
      <c r="JTP52" s="42"/>
      <c r="JTQ52" s="42"/>
      <c r="JTR52" s="42"/>
      <c r="JTS52" s="42"/>
      <c r="JTT52" s="42"/>
      <c r="JTU52" s="42"/>
      <c r="JTV52" s="42"/>
      <c r="JTW52" s="42"/>
      <c r="JTX52" s="42"/>
      <c r="JTY52" s="42"/>
      <c r="JTZ52" s="42"/>
      <c r="JUA52" s="42"/>
      <c r="JUB52" s="42"/>
      <c r="JUC52" s="42"/>
      <c r="JUD52" s="42"/>
      <c r="JUE52" s="42"/>
      <c r="JUF52" s="42"/>
      <c r="JUG52" s="2"/>
      <c r="JUH52" s="15"/>
      <c r="JUI52" s="42"/>
      <c r="JUJ52" s="2"/>
      <c r="JUK52" s="2"/>
      <c r="JUL52" s="2"/>
      <c r="JUM52" s="2"/>
      <c r="JUN52" s="42"/>
      <c r="JUO52" s="42"/>
      <c r="JUP52" s="42"/>
      <c r="JUQ52" s="42"/>
      <c r="JUR52" s="42"/>
      <c r="JUS52" s="42"/>
      <c r="JUT52" s="42"/>
      <c r="JUU52" s="42"/>
      <c r="JUV52" s="42"/>
      <c r="JUW52" s="42"/>
      <c r="JUX52" s="42"/>
      <c r="JUY52" s="42"/>
      <c r="JUZ52" s="42"/>
      <c r="JVA52" s="42"/>
      <c r="JVB52" s="42"/>
      <c r="JVC52" s="42"/>
      <c r="JVD52" s="42"/>
      <c r="JVE52" s="42"/>
      <c r="JVF52" s="42"/>
      <c r="JVG52" s="42"/>
      <c r="JVH52" s="42"/>
      <c r="JVI52" s="42"/>
      <c r="JVJ52" s="42"/>
      <c r="JVK52" s="2"/>
      <c r="JVL52" s="15"/>
      <c r="JVM52" s="42"/>
      <c r="JVN52" s="2"/>
      <c r="JVO52" s="2"/>
      <c r="JVP52" s="2"/>
      <c r="JVQ52" s="2"/>
      <c r="JVR52" s="42"/>
      <c r="JVS52" s="42"/>
      <c r="JVT52" s="42"/>
      <c r="JVU52" s="42"/>
      <c r="JVV52" s="42"/>
      <c r="JVW52" s="42"/>
      <c r="JVX52" s="42"/>
      <c r="JVY52" s="42"/>
      <c r="JVZ52" s="42"/>
      <c r="JWA52" s="42"/>
      <c r="JWB52" s="42"/>
      <c r="JWC52" s="42"/>
      <c r="JWD52" s="42"/>
      <c r="JWE52" s="42"/>
      <c r="JWF52" s="42"/>
      <c r="JWG52" s="42"/>
      <c r="JWH52" s="42"/>
      <c r="JWI52" s="42"/>
      <c r="JWJ52" s="42"/>
      <c r="JWK52" s="42"/>
      <c r="JWL52" s="42"/>
      <c r="JWM52" s="42"/>
      <c r="JWN52" s="42"/>
      <c r="JWO52" s="2"/>
      <c r="JWP52" s="15"/>
      <c r="JWQ52" s="42"/>
      <c r="JWR52" s="2"/>
      <c r="JWS52" s="2"/>
      <c r="JWT52" s="2"/>
      <c r="JWU52" s="2"/>
      <c r="JWV52" s="42"/>
      <c r="JWW52" s="42"/>
      <c r="JWX52" s="42"/>
      <c r="JWY52" s="42"/>
      <c r="JWZ52" s="42"/>
      <c r="JXA52" s="42"/>
      <c r="JXB52" s="42"/>
      <c r="JXC52" s="42"/>
      <c r="JXD52" s="42"/>
      <c r="JXE52" s="42"/>
      <c r="JXF52" s="42"/>
      <c r="JXG52" s="42"/>
      <c r="JXH52" s="42"/>
      <c r="JXI52" s="42"/>
      <c r="JXJ52" s="42"/>
      <c r="JXK52" s="42"/>
      <c r="JXL52" s="42"/>
      <c r="JXM52" s="42"/>
      <c r="JXN52" s="42"/>
      <c r="JXO52" s="42"/>
      <c r="JXP52" s="42"/>
      <c r="JXQ52" s="42"/>
      <c r="JXR52" s="42"/>
      <c r="JXS52" s="2"/>
      <c r="JXT52" s="15"/>
      <c r="JXU52" s="42"/>
      <c r="JXV52" s="2"/>
      <c r="JXW52" s="2"/>
      <c r="JXX52" s="2"/>
      <c r="JXY52" s="2"/>
      <c r="JXZ52" s="42"/>
      <c r="JYA52" s="42"/>
      <c r="JYB52" s="42"/>
      <c r="JYC52" s="42"/>
      <c r="JYD52" s="42"/>
      <c r="JYE52" s="42"/>
      <c r="JYF52" s="42"/>
      <c r="JYG52" s="42"/>
      <c r="JYH52" s="42"/>
      <c r="JYI52" s="42"/>
      <c r="JYJ52" s="42"/>
      <c r="JYK52" s="42"/>
      <c r="JYL52" s="42"/>
      <c r="JYM52" s="42"/>
      <c r="JYN52" s="42"/>
      <c r="JYO52" s="42"/>
      <c r="JYP52" s="42"/>
      <c r="JYQ52" s="42"/>
      <c r="JYR52" s="42"/>
      <c r="JYS52" s="42"/>
      <c r="JYT52" s="42"/>
      <c r="JYU52" s="42"/>
      <c r="JYV52" s="42"/>
      <c r="JYW52" s="2"/>
      <c r="JYX52" s="15"/>
      <c r="JYY52" s="42"/>
      <c r="JYZ52" s="2"/>
      <c r="JZA52" s="2"/>
      <c r="JZB52" s="2"/>
      <c r="JZC52" s="2"/>
      <c r="JZD52" s="42"/>
      <c r="JZE52" s="42"/>
      <c r="JZF52" s="42"/>
      <c r="JZG52" s="42"/>
      <c r="JZH52" s="42"/>
      <c r="JZI52" s="42"/>
      <c r="JZJ52" s="42"/>
      <c r="JZK52" s="42"/>
      <c r="JZL52" s="42"/>
      <c r="JZM52" s="42"/>
      <c r="JZN52" s="42"/>
      <c r="JZO52" s="42"/>
      <c r="JZP52" s="42"/>
      <c r="JZQ52" s="42"/>
      <c r="JZR52" s="42"/>
      <c r="JZS52" s="42"/>
      <c r="JZT52" s="42"/>
      <c r="JZU52" s="42"/>
      <c r="JZV52" s="42"/>
      <c r="JZW52" s="42"/>
      <c r="JZX52" s="42"/>
      <c r="JZY52" s="42"/>
      <c r="JZZ52" s="42"/>
      <c r="KAA52" s="2"/>
      <c r="KAB52" s="15"/>
      <c r="KAC52" s="42"/>
      <c r="KAD52" s="2"/>
      <c r="KAE52" s="2"/>
      <c r="KAF52" s="2"/>
      <c r="KAG52" s="2"/>
      <c r="KAH52" s="42"/>
      <c r="KAI52" s="42"/>
      <c r="KAJ52" s="42"/>
      <c r="KAK52" s="42"/>
      <c r="KAL52" s="42"/>
      <c r="KAM52" s="42"/>
      <c r="KAN52" s="42"/>
      <c r="KAO52" s="42"/>
      <c r="KAP52" s="42"/>
      <c r="KAQ52" s="42"/>
      <c r="KAR52" s="42"/>
      <c r="KAS52" s="42"/>
      <c r="KAT52" s="42"/>
      <c r="KAU52" s="42"/>
      <c r="KAV52" s="42"/>
      <c r="KAW52" s="42"/>
      <c r="KAX52" s="42"/>
      <c r="KAY52" s="42"/>
      <c r="KAZ52" s="42"/>
      <c r="KBA52" s="42"/>
      <c r="KBB52" s="42"/>
      <c r="KBC52" s="42"/>
      <c r="KBD52" s="42"/>
      <c r="KBE52" s="2"/>
      <c r="KBF52" s="15"/>
      <c r="KBG52" s="42"/>
      <c r="KBH52" s="2"/>
      <c r="KBI52" s="2"/>
      <c r="KBJ52" s="2"/>
      <c r="KBK52" s="2"/>
      <c r="KBL52" s="42"/>
      <c r="KBM52" s="42"/>
      <c r="KBN52" s="42"/>
      <c r="KBO52" s="42"/>
      <c r="KBP52" s="42"/>
      <c r="KBQ52" s="42"/>
      <c r="KBR52" s="42"/>
      <c r="KBS52" s="42"/>
      <c r="KBT52" s="42"/>
      <c r="KBU52" s="42"/>
      <c r="KBV52" s="42"/>
      <c r="KBW52" s="42"/>
      <c r="KBX52" s="42"/>
      <c r="KBY52" s="42"/>
      <c r="KBZ52" s="42"/>
      <c r="KCA52" s="42"/>
      <c r="KCB52" s="42"/>
      <c r="KCC52" s="42"/>
      <c r="KCD52" s="42"/>
      <c r="KCE52" s="42"/>
      <c r="KCF52" s="42"/>
      <c r="KCG52" s="42"/>
      <c r="KCH52" s="42"/>
      <c r="KCI52" s="2"/>
      <c r="KCJ52" s="15"/>
      <c r="KCK52" s="42"/>
      <c r="KCL52" s="2"/>
      <c r="KCM52" s="2"/>
      <c r="KCN52" s="2"/>
      <c r="KCO52" s="2"/>
      <c r="KCP52" s="42"/>
      <c r="KCQ52" s="42"/>
      <c r="KCR52" s="42"/>
      <c r="KCS52" s="42"/>
      <c r="KCT52" s="42"/>
      <c r="KCU52" s="42"/>
      <c r="KCV52" s="42"/>
      <c r="KCW52" s="42"/>
      <c r="KCX52" s="42"/>
      <c r="KCY52" s="42"/>
      <c r="KCZ52" s="42"/>
      <c r="KDA52" s="42"/>
      <c r="KDB52" s="42"/>
      <c r="KDC52" s="42"/>
      <c r="KDD52" s="42"/>
      <c r="KDE52" s="42"/>
      <c r="KDF52" s="42"/>
      <c r="KDG52" s="42"/>
      <c r="KDH52" s="42"/>
      <c r="KDI52" s="42"/>
      <c r="KDJ52" s="42"/>
      <c r="KDK52" s="42"/>
      <c r="KDL52" s="42"/>
      <c r="KDM52" s="2"/>
      <c r="KDN52" s="15"/>
      <c r="KDO52" s="42"/>
      <c r="KDP52" s="2"/>
      <c r="KDQ52" s="2"/>
      <c r="KDR52" s="2"/>
      <c r="KDS52" s="2"/>
      <c r="KDT52" s="42"/>
      <c r="KDU52" s="42"/>
      <c r="KDV52" s="42"/>
      <c r="KDW52" s="42"/>
      <c r="KDX52" s="42"/>
      <c r="KDY52" s="42"/>
      <c r="KDZ52" s="42"/>
      <c r="KEA52" s="42"/>
      <c r="KEB52" s="42"/>
      <c r="KEC52" s="42"/>
      <c r="KED52" s="42"/>
      <c r="KEE52" s="42"/>
      <c r="KEF52" s="42"/>
      <c r="KEG52" s="42"/>
      <c r="KEH52" s="42"/>
      <c r="KEI52" s="42"/>
      <c r="KEJ52" s="42"/>
      <c r="KEK52" s="42"/>
      <c r="KEL52" s="42"/>
      <c r="KEM52" s="42"/>
      <c r="KEN52" s="42"/>
      <c r="KEO52" s="42"/>
      <c r="KEP52" s="42"/>
      <c r="KEQ52" s="2"/>
      <c r="KER52" s="15"/>
      <c r="KES52" s="42"/>
      <c r="KET52" s="2"/>
      <c r="KEU52" s="2"/>
      <c r="KEV52" s="2"/>
      <c r="KEW52" s="2"/>
      <c r="KEX52" s="42"/>
      <c r="KEY52" s="42"/>
      <c r="KEZ52" s="42"/>
      <c r="KFA52" s="42"/>
      <c r="KFB52" s="42"/>
      <c r="KFC52" s="42"/>
      <c r="KFD52" s="42"/>
      <c r="KFE52" s="42"/>
      <c r="KFF52" s="42"/>
      <c r="KFG52" s="42"/>
      <c r="KFH52" s="42"/>
      <c r="KFI52" s="42"/>
      <c r="KFJ52" s="42"/>
      <c r="KFK52" s="42"/>
      <c r="KFL52" s="42"/>
      <c r="KFM52" s="42"/>
      <c r="KFN52" s="42"/>
      <c r="KFO52" s="42"/>
      <c r="KFP52" s="42"/>
      <c r="KFQ52" s="42"/>
      <c r="KFR52" s="42"/>
      <c r="KFS52" s="42"/>
      <c r="KFT52" s="42"/>
      <c r="KFU52" s="2"/>
      <c r="KFV52" s="15"/>
      <c r="KFW52" s="42"/>
      <c r="KFX52" s="2"/>
      <c r="KFY52" s="2"/>
      <c r="KFZ52" s="2"/>
      <c r="KGA52" s="2"/>
      <c r="KGB52" s="42"/>
      <c r="KGC52" s="42"/>
      <c r="KGD52" s="42"/>
      <c r="KGE52" s="42"/>
      <c r="KGF52" s="42"/>
      <c r="KGG52" s="42"/>
      <c r="KGH52" s="42"/>
      <c r="KGI52" s="42"/>
      <c r="KGJ52" s="42"/>
      <c r="KGK52" s="42"/>
      <c r="KGL52" s="42"/>
      <c r="KGM52" s="42"/>
      <c r="KGN52" s="42"/>
      <c r="KGO52" s="42"/>
      <c r="KGP52" s="42"/>
      <c r="KGQ52" s="42"/>
      <c r="KGR52" s="42"/>
      <c r="KGS52" s="42"/>
      <c r="KGT52" s="42"/>
      <c r="KGU52" s="42"/>
      <c r="KGV52" s="42"/>
      <c r="KGW52" s="42"/>
      <c r="KGX52" s="42"/>
      <c r="KGY52" s="2"/>
      <c r="KGZ52" s="15"/>
      <c r="KHA52" s="42"/>
      <c r="KHB52" s="2"/>
      <c r="KHC52" s="2"/>
      <c r="KHD52" s="2"/>
      <c r="KHE52" s="2"/>
      <c r="KHF52" s="42"/>
      <c r="KHG52" s="42"/>
      <c r="KHH52" s="42"/>
      <c r="KHI52" s="42"/>
      <c r="KHJ52" s="42"/>
      <c r="KHK52" s="42"/>
      <c r="KHL52" s="42"/>
      <c r="KHM52" s="42"/>
      <c r="KHN52" s="42"/>
      <c r="KHO52" s="42"/>
      <c r="KHP52" s="42"/>
      <c r="KHQ52" s="42"/>
      <c r="KHR52" s="42"/>
      <c r="KHS52" s="42"/>
      <c r="KHT52" s="42"/>
      <c r="KHU52" s="42"/>
      <c r="KHV52" s="42"/>
      <c r="KHW52" s="42"/>
      <c r="KHX52" s="42"/>
      <c r="KHY52" s="42"/>
      <c r="KHZ52" s="42"/>
      <c r="KIA52" s="42"/>
      <c r="KIB52" s="42"/>
      <c r="KIC52" s="2"/>
      <c r="KID52" s="15"/>
      <c r="KIE52" s="42"/>
      <c r="KIF52" s="2"/>
      <c r="KIG52" s="2"/>
      <c r="KIH52" s="2"/>
      <c r="KII52" s="2"/>
      <c r="KIJ52" s="42"/>
      <c r="KIK52" s="42"/>
      <c r="KIL52" s="42"/>
      <c r="KIM52" s="42"/>
      <c r="KIN52" s="42"/>
      <c r="KIO52" s="42"/>
      <c r="KIP52" s="42"/>
      <c r="KIQ52" s="42"/>
      <c r="KIR52" s="42"/>
      <c r="KIS52" s="42"/>
      <c r="KIT52" s="42"/>
      <c r="KIU52" s="42"/>
      <c r="KIV52" s="42"/>
      <c r="KIW52" s="42"/>
      <c r="KIX52" s="42"/>
      <c r="KIY52" s="42"/>
      <c r="KIZ52" s="42"/>
      <c r="KJA52" s="42"/>
      <c r="KJB52" s="42"/>
      <c r="KJC52" s="42"/>
      <c r="KJD52" s="42"/>
      <c r="KJE52" s="42"/>
      <c r="KJF52" s="42"/>
      <c r="KJG52" s="2"/>
      <c r="KJH52" s="15"/>
      <c r="KJI52" s="42"/>
      <c r="KJJ52" s="2"/>
      <c r="KJK52" s="2"/>
      <c r="KJL52" s="2"/>
      <c r="KJM52" s="2"/>
      <c r="KJN52" s="42"/>
      <c r="KJO52" s="42"/>
      <c r="KJP52" s="42"/>
      <c r="KJQ52" s="42"/>
      <c r="KJR52" s="42"/>
      <c r="KJS52" s="42"/>
      <c r="KJT52" s="42"/>
      <c r="KJU52" s="42"/>
      <c r="KJV52" s="42"/>
      <c r="KJW52" s="42"/>
      <c r="KJX52" s="42"/>
      <c r="KJY52" s="42"/>
      <c r="KJZ52" s="42"/>
      <c r="KKA52" s="42"/>
      <c r="KKB52" s="42"/>
      <c r="KKC52" s="42"/>
      <c r="KKD52" s="42"/>
      <c r="KKE52" s="42"/>
      <c r="KKF52" s="42"/>
      <c r="KKG52" s="42"/>
      <c r="KKH52" s="42"/>
      <c r="KKI52" s="42"/>
      <c r="KKJ52" s="42"/>
      <c r="KKK52" s="2"/>
      <c r="KKL52" s="15"/>
      <c r="KKM52" s="42"/>
      <c r="KKN52" s="2"/>
      <c r="KKO52" s="2"/>
      <c r="KKP52" s="2"/>
      <c r="KKQ52" s="2"/>
      <c r="KKR52" s="42"/>
      <c r="KKS52" s="42"/>
      <c r="KKT52" s="42"/>
      <c r="KKU52" s="42"/>
      <c r="KKV52" s="42"/>
      <c r="KKW52" s="42"/>
      <c r="KKX52" s="42"/>
      <c r="KKY52" s="42"/>
      <c r="KKZ52" s="42"/>
      <c r="KLA52" s="42"/>
      <c r="KLB52" s="42"/>
      <c r="KLC52" s="42"/>
      <c r="KLD52" s="42"/>
      <c r="KLE52" s="42"/>
      <c r="KLF52" s="42"/>
      <c r="KLG52" s="42"/>
      <c r="KLH52" s="42"/>
      <c r="KLI52" s="42"/>
      <c r="KLJ52" s="42"/>
      <c r="KLK52" s="42"/>
      <c r="KLL52" s="42"/>
      <c r="KLM52" s="42"/>
      <c r="KLN52" s="42"/>
      <c r="KLO52" s="2"/>
      <c r="KLP52" s="15"/>
      <c r="KLQ52" s="42"/>
      <c r="KLR52" s="2"/>
      <c r="KLS52" s="2"/>
      <c r="KLT52" s="2"/>
      <c r="KLU52" s="2"/>
      <c r="KLV52" s="42"/>
      <c r="KLW52" s="42"/>
      <c r="KLX52" s="42"/>
      <c r="KLY52" s="42"/>
      <c r="KLZ52" s="42"/>
      <c r="KMA52" s="42"/>
      <c r="KMB52" s="42"/>
      <c r="KMC52" s="42"/>
      <c r="KMD52" s="42"/>
      <c r="KME52" s="42"/>
      <c r="KMF52" s="42"/>
      <c r="KMG52" s="42"/>
      <c r="KMH52" s="42"/>
      <c r="KMI52" s="42"/>
      <c r="KMJ52" s="42"/>
      <c r="KMK52" s="42"/>
      <c r="KML52" s="42"/>
      <c r="KMM52" s="42"/>
      <c r="KMN52" s="42"/>
      <c r="KMO52" s="42"/>
      <c r="KMP52" s="42"/>
      <c r="KMQ52" s="42"/>
      <c r="KMR52" s="42"/>
      <c r="KMS52" s="2"/>
      <c r="KMT52" s="15"/>
      <c r="KMU52" s="42"/>
      <c r="KMV52" s="2"/>
      <c r="KMW52" s="2"/>
      <c r="KMX52" s="2"/>
      <c r="KMY52" s="2"/>
      <c r="KMZ52" s="42"/>
      <c r="KNA52" s="42"/>
      <c r="KNB52" s="42"/>
      <c r="KNC52" s="42"/>
      <c r="KND52" s="42"/>
      <c r="KNE52" s="42"/>
      <c r="KNF52" s="42"/>
      <c r="KNG52" s="42"/>
      <c r="KNH52" s="42"/>
      <c r="KNI52" s="42"/>
      <c r="KNJ52" s="42"/>
      <c r="KNK52" s="42"/>
      <c r="KNL52" s="42"/>
      <c r="KNM52" s="42"/>
      <c r="KNN52" s="42"/>
      <c r="KNO52" s="42"/>
      <c r="KNP52" s="42"/>
      <c r="KNQ52" s="42"/>
      <c r="KNR52" s="42"/>
      <c r="KNS52" s="42"/>
      <c r="KNT52" s="42"/>
      <c r="KNU52" s="42"/>
      <c r="KNV52" s="42"/>
      <c r="KNW52" s="2"/>
      <c r="KNX52" s="15"/>
      <c r="KNY52" s="42"/>
      <c r="KNZ52" s="2"/>
      <c r="KOA52" s="2"/>
      <c r="KOB52" s="2"/>
      <c r="KOC52" s="2"/>
      <c r="KOD52" s="42"/>
      <c r="KOE52" s="42"/>
      <c r="KOF52" s="42"/>
      <c r="KOG52" s="42"/>
      <c r="KOH52" s="42"/>
      <c r="KOI52" s="42"/>
      <c r="KOJ52" s="42"/>
      <c r="KOK52" s="42"/>
      <c r="KOL52" s="42"/>
      <c r="KOM52" s="42"/>
      <c r="KON52" s="42"/>
      <c r="KOO52" s="42"/>
      <c r="KOP52" s="42"/>
      <c r="KOQ52" s="42"/>
      <c r="KOR52" s="42"/>
      <c r="KOS52" s="42"/>
      <c r="KOT52" s="42"/>
      <c r="KOU52" s="42"/>
      <c r="KOV52" s="42"/>
      <c r="KOW52" s="42"/>
      <c r="KOX52" s="42"/>
      <c r="KOY52" s="42"/>
      <c r="KOZ52" s="42"/>
      <c r="KPA52" s="2"/>
      <c r="KPB52" s="15"/>
      <c r="KPC52" s="42"/>
      <c r="KPD52" s="2"/>
      <c r="KPE52" s="2"/>
      <c r="KPF52" s="2"/>
      <c r="KPG52" s="2"/>
      <c r="KPH52" s="42"/>
      <c r="KPI52" s="42"/>
      <c r="KPJ52" s="42"/>
      <c r="KPK52" s="42"/>
      <c r="KPL52" s="42"/>
      <c r="KPM52" s="42"/>
      <c r="KPN52" s="42"/>
      <c r="KPO52" s="42"/>
      <c r="KPP52" s="42"/>
      <c r="KPQ52" s="42"/>
      <c r="KPR52" s="42"/>
      <c r="KPS52" s="42"/>
      <c r="KPT52" s="42"/>
      <c r="KPU52" s="42"/>
      <c r="KPV52" s="42"/>
      <c r="KPW52" s="42"/>
      <c r="KPX52" s="42"/>
      <c r="KPY52" s="42"/>
      <c r="KPZ52" s="42"/>
      <c r="KQA52" s="42"/>
      <c r="KQB52" s="42"/>
      <c r="KQC52" s="42"/>
      <c r="KQD52" s="42"/>
      <c r="KQE52" s="2"/>
      <c r="KQF52" s="15"/>
      <c r="KQG52" s="42"/>
      <c r="KQH52" s="2"/>
      <c r="KQI52" s="2"/>
      <c r="KQJ52" s="2"/>
      <c r="KQK52" s="2"/>
      <c r="KQL52" s="42"/>
      <c r="KQM52" s="42"/>
      <c r="KQN52" s="42"/>
      <c r="KQO52" s="42"/>
      <c r="KQP52" s="42"/>
      <c r="KQQ52" s="42"/>
      <c r="KQR52" s="42"/>
      <c r="KQS52" s="42"/>
      <c r="KQT52" s="42"/>
      <c r="KQU52" s="42"/>
      <c r="KQV52" s="42"/>
      <c r="KQW52" s="42"/>
      <c r="KQX52" s="42"/>
      <c r="KQY52" s="42"/>
      <c r="KQZ52" s="42"/>
      <c r="KRA52" s="42"/>
      <c r="KRB52" s="42"/>
      <c r="KRC52" s="42"/>
      <c r="KRD52" s="42"/>
      <c r="KRE52" s="42"/>
      <c r="KRF52" s="42"/>
      <c r="KRG52" s="42"/>
      <c r="KRH52" s="42"/>
      <c r="KRI52" s="2"/>
      <c r="KRJ52" s="15"/>
      <c r="KRK52" s="42"/>
      <c r="KRL52" s="2"/>
      <c r="KRM52" s="2"/>
      <c r="KRN52" s="2"/>
      <c r="KRO52" s="2"/>
      <c r="KRP52" s="42"/>
      <c r="KRQ52" s="42"/>
      <c r="KRR52" s="42"/>
      <c r="KRS52" s="42"/>
      <c r="KRT52" s="42"/>
      <c r="KRU52" s="42"/>
      <c r="KRV52" s="42"/>
      <c r="KRW52" s="42"/>
      <c r="KRX52" s="42"/>
      <c r="KRY52" s="42"/>
      <c r="KRZ52" s="42"/>
      <c r="KSA52" s="42"/>
      <c r="KSB52" s="42"/>
      <c r="KSC52" s="42"/>
      <c r="KSD52" s="42"/>
      <c r="KSE52" s="42"/>
      <c r="KSF52" s="42"/>
      <c r="KSG52" s="42"/>
      <c r="KSH52" s="42"/>
      <c r="KSI52" s="42"/>
      <c r="KSJ52" s="42"/>
      <c r="KSK52" s="42"/>
      <c r="KSL52" s="42"/>
      <c r="KSM52" s="2"/>
      <c r="KSN52" s="15"/>
      <c r="KSO52" s="42"/>
      <c r="KSP52" s="2"/>
      <c r="KSQ52" s="2"/>
      <c r="KSR52" s="2"/>
      <c r="KSS52" s="2"/>
      <c r="KST52" s="42"/>
      <c r="KSU52" s="42"/>
      <c r="KSV52" s="42"/>
      <c r="KSW52" s="42"/>
      <c r="KSX52" s="42"/>
      <c r="KSY52" s="42"/>
      <c r="KSZ52" s="42"/>
      <c r="KTA52" s="42"/>
      <c r="KTB52" s="42"/>
      <c r="KTC52" s="42"/>
      <c r="KTD52" s="42"/>
      <c r="KTE52" s="42"/>
      <c r="KTF52" s="42"/>
      <c r="KTG52" s="42"/>
      <c r="KTH52" s="42"/>
      <c r="KTI52" s="42"/>
      <c r="KTJ52" s="42"/>
      <c r="KTK52" s="42"/>
      <c r="KTL52" s="42"/>
      <c r="KTM52" s="42"/>
      <c r="KTN52" s="42"/>
      <c r="KTO52" s="42"/>
      <c r="KTP52" s="42"/>
      <c r="KTQ52" s="2"/>
      <c r="KTR52" s="15"/>
      <c r="KTS52" s="42"/>
      <c r="KTT52" s="2"/>
      <c r="KTU52" s="2"/>
      <c r="KTV52" s="2"/>
      <c r="KTW52" s="2"/>
      <c r="KTX52" s="42"/>
      <c r="KTY52" s="42"/>
      <c r="KTZ52" s="42"/>
      <c r="KUA52" s="42"/>
      <c r="KUB52" s="42"/>
      <c r="KUC52" s="42"/>
      <c r="KUD52" s="42"/>
      <c r="KUE52" s="42"/>
      <c r="KUF52" s="42"/>
      <c r="KUG52" s="42"/>
      <c r="KUH52" s="42"/>
      <c r="KUI52" s="42"/>
      <c r="KUJ52" s="42"/>
      <c r="KUK52" s="42"/>
      <c r="KUL52" s="42"/>
      <c r="KUM52" s="42"/>
      <c r="KUN52" s="42"/>
      <c r="KUO52" s="42"/>
      <c r="KUP52" s="42"/>
      <c r="KUQ52" s="42"/>
      <c r="KUR52" s="42"/>
      <c r="KUS52" s="42"/>
      <c r="KUT52" s="42"/>
      <c r="KUU52" s="2"/>
      <c r="KUV52" s="15"/>
      <c r="KUW52" s="42"/>
      <c r="KUX52" s="2"/>
      <c r="KUY52" s="2"/>
      <c r="KUZ52" s="2"/>
      <c r="KVA52" s="2"/>
      <c r="KVB52" s="42"/>
      <c r="KVC52" s="42"/>
      <c r="KVD52" s="42"/>
      <c r="KVE52" s="42"/>
      <c r="KVF52" s="42"/>
      <c r="KVG52" s="42"/>
      <c r="KVH52" s="42"/>
      <c r="KVI52" s="42"/>
      <c r="KVJ52" s="42"/>
      <c r="KVK52" s="42"/>
      <c r="KVL52" s="42"/>
      <c r="KVM52" s="42"/>
      <c r="KVN52" s="42"/>
      <c r="KVO52" s="42"/>
      <c r="KVP52" s="42"/>
      <c r="KVQ52" s="42"/>
      <c r="KVR52" s="42"/>
      <c r="KVS52" s="42"/>
      <c r="KVT52" s="42"/>
      <c r="KVU52" s="42"/>
      <c r="KVV52" s="42"/>
      <c r="KVW52" s="42"/>
      <c r="KVX52" s="42"/>
      <c r="KVY52" s="2"/>
      <c r="KVZ52" s="15"/>
      <c r="KWA52" s="42"/>
      <c r="KWB52" s="2"/>
      <c r="KWC52" s="2"/>
      <c r="KWD52" s="2"/>
      <c r="KWE52" s="2"/>
      <c r="KWF52" s="42"/>
      <c r="KWG52" s="42"/>
      <c r="KWH52" s="42"/>
      <c r="KWI52" s="42"/>
      <c r="KWJ52" s="42"/>
      <c r="KWK52" s="42"/>
      <c r="KWL52" s="42"/>
      <c r="KWM52" s="42"/>
      <c r="KWN52" s="42"/>
      <c r="KWO52" s="42"/>
      <c r="KWP52" s="42"/>
      <c r="KWQ52" s="42"/>
      <c r="KWR52" s="42"/>
      <c r="KWS52" s="42"/>
      <c r="KWT52" s="42"/>
      <c r="KWU52" s="42"/>
      <c r="KWV52" s="42"/>
      <c r="KWW52" s="42"/>
      <c r="KWX52" s="42"/>
      <c r="KWY52" s="42"/>
      <c r="KWZ52" s="42"/>
      <c r="KXA52" s="42"/>
      <c r="KXB52" s="42"/>
      <c r="KXC52" s="2"/>
      <c r="KXD52" s="15"/>
      <c r="KXE52" s="42"/>
      <c r="KXF52" s="2"/>
      <c r="KXG52" s="2"/>
      <c r="KXH52" s="2"/>
      <c r="KXI52" s="2"/>
      <c r="KXJ52" s="42"/>
      <c r="KXK52" s="42"/>
      <c r="KXL52" s="42"/>
      <c r="KXM52" s="42"/>
      <c r="KXN52" s="42"/>
      <c r="KXO52" s="42"/>
      <c r="KXP52" s="42"/>
      <c r="KXQ52" s="42"/>
      <c r="KXR52" s="42"/>
      <c r="KXS52" s="42"/>
      <c r="KXT52" s="42"/>
      <c r="KXU52" s="42"/>
      <c r="KXV52" s="42"/>
      <c r="KXW52" s="42"/>
      <c r="KXX52" s="42"/>
      <c r="KXY52" s="42"/>
      <c r="KXZ52" s="42"/>
      <c r="KYA52" s="42"/>
      <c r="KYB52" s="42"/>
      <c r="KYC52" s="42"/>
      <c r="KYD52" s="42"/>
      <c r="KYE52" s="42"/>
      <c r="KYF52" s="42"/>
      <c r="KYG52" s="2"/>
      <c r="KYH52" s="15"/>
      <c r="KYI52" s="42"/>
      <c r="KYJ52" s="2"/>
      <c r="KYK52" s="2"/>
      <c r="KYL52" s="2"/>
      <c r="KYM52" s="2"/>
      <c r="KYN52" s="42"/>
      <c r="KYO52" s="42"/>
      <c r="KYP52" s="42"/>
      <c r="KYQ52" s="42"/>
      <c r="KYR52" s="42"/>
      <c r="KYS52" s="42"/>
      <c r="KYT52" s="42"/>
      <c r="KYU52" s="42"/>
      <c r="KYV52" s="42"/>
      <c r="KYW52" s="42"/>
      <c r="KYX52" s="42"/>
      <c r="KYY52" s="42"/>
      <c r="KYZ52" s="42"/>
      <c r="KZA52" s="42"/>
      <c r="KZB52" s="42"/>
      <c r="KZC52" s="42"/>
      <c r="KZD52" s="42"/>
      <c r="KZE52" s="42"/>
      <c r="KZF52" s="42"/>
      <c r="KZG52" s="42"/>
      <c r="KZH52" s="42"/>
      <c r="KZI52" s="42"/>
      <c r="KZJ52" s="42"/>
      <c r="KZK52" s="2"/>
      <c r="KZL52" s="15"/>
      <c r="KZM52" s="42"/>
      <c r="KZN52" s="2"/>
      <c r="KZO52" s="2"/>
      <c r="KZP52" s="2"/>
      <c r="KZQ52" s="2"/>
      <c r="KZR52" s="42"/>
      <c r="KZS52" s="42"/>
      <c r="KZT52" s="42"/>
      <c r="KZU52" s="42"/>
      <c r="KZV52" s="42"/>
      <c r="KZW52" s="42"/>
      <c r="KZX52" s="42"/>
      <c r="KZY52" s="42"/>
      <c r="KZZ52" s="42"/>
      <c r="LAA52" s="42"/>
      <c r="LAB52" s="42"/>
      <c r="LAC52" s="42"/>
      <c r="LAD52" s="42"/>
      <c r="LAE52" s="42"/>
      <c r="LAF52" s="42"/>
      <c r="LAG52" s="42"/>
      <c r="LAH52" s="42"/>
      <c r="LAI52" s="42"/>
      <c r="LAJ52" s="42"/>
      <c r="LAK52" s="42"/>
      <c r="LAL52" s="42"/>
      <c r="LAM52" s="42"/>
      <c r="LAN52" s="42"/>
      <c r="LAO52" s="2"/>
      <c r="LAP52" s="15"/>
      <c r="LAQ52" s="42"/>
      <c r="LAR52" s="2"/>
      <c r="LAS52" s="2"/>
      <c r="LAT52" s="2"/>
      <c r="LAU52" s="2"/>
      <c r="LAV52" s="42"/>
      <c r="LAW52" s="42"/>
      <c r="LAX52" s="42"/>
      <c r="LAY52" s="42"/>
      <c r="LAZ52" s="42"/>
      <c r="LBA52" s="42"/>
      <c r="LBB52" s="42"/>
      <c r="LBC52" s="42"/>
      <c r="LBD52" s="42"/>
      <c r="LBE52" s="42"/>
      <c r="LBF52" s="42"/>
      <c r="LBG52" s="42"/>
      <c r="LBH52" s="42"/>
      <c r="LBI52" s="42"/>
      <c r="LBJ52" s="42"/>
      <c r="LBK52" s="42"/>
      <c r="LBL52" s="42"/>
      <c r="LBM52" s="42"/>
      <c r="LBN52" s="42"/>
      <c r="LBO52" s="42"/>
      <c r="LBP52" s="42"/>
      <c r="LBQ52" s="42"/>
      <c r="LBR52" s="42"/>
      <c r="LBS52" s="2"/>
      <c r="LBT52" s="15"/>
      <c r="LBU52" s="42"/>
      <c r="LBV52" s="2"/>
      <c r="LBW52" s="2"/>
      <c r="LBX52" s="2"/>
      <c r="LBY52" s="2"/>
      <c r="LBZ52" s="42"/>
      <c r="LCA52" s="42"/>
      <c r="LCB52" s="42"/>
      <c r="LCC52" s="42"/>
      <c r="LCD52" s="42"/>
      <c r="LCE52" s="42"/>
      <c r="LCF52" s="42"/>
      <c r="LCG52" s="42"/>
      <c r="LCH52" s="42"/>
      <c r="LCI52" s="42"/>
      <c r="LCJ52" s="42"/>
      <c r="LCK52" s="42"/>
      <c r="LCL52" s="42"/>
      <c r="LCM52" s="42"/>
      <c r="LCN52" s="42"/>
      <c r="LCO52" s="42"/>
      <c r="LCP52" s="42"/>
      <c r="LCQ52" s="42"/>
      <c r="LCR52" s="42"/>
      <c r="LCS52" s="42"/>
      <c r="LCT52" s="42"/>
      <c r="LCU52" s="42"/>
      <c r="LCV52" s="42"/>
      <c r="LCW52" s="2"/>
      <c r="LCX52" s="15"/>
      <c r="LCY52" s="42"/>
      <c r="LCZ52" s="2"/>
      <c r="LDA52" s="2"/>
      <c r="LDB52" s="2"/>
      <c r="LDC52" s="2"/>
      <c r="LDD52" s="42"/>
      <c r="LDE52" s="42"/>
      <c r="LDF52" s="42"/>
      <c r="LDG52" s="42"/>
      <c r="LDH52" s="42"/>
      <c r="LDI52" s="42"/>
      <c r="LDJ52" s="42"/>
      <c r="LDK52" s="42"/>
      <c r="LDL52" s="42"/>
      <c r="LDM52" s="42"/>
      <c r="LDN52" s="42"/>
      <c r="LDO52" s="42"/>
      <c r="LDP52" s="42"/>
      <c r="LDQ52" s="42"/>
      <c r="LDR52" s="42"/>
      <c r="LDS52" s="42"/>
      <c r="LDT52" s="42"/>
      <c r="LDU52" s="42"/>
      <c r="LDV52" s="42"/>
      <c r="LDW52" s="42"/>
      <c r="LDX52" s="42"/>
      <c r="LDY52" s="42"/>
      <c r="LDZ52" s="42"/>
      <c r="LEA52" s="2"/>
      <c r="LEB52" s="15"/>
      <c r="LEC52" s="42"/>
      <c r="LED52" s="2"/>
      <c r="LEE52" s="2"/>
      <c r="LEF52" s="2"/>
      <c r="LEG52" s="2"/>
      <c r="LEH52" s="42"/>
      <c r="LEI52" s="42"/>
      <c r="LEJ52" s="42"/>
      <c r="LEK52" s="42"/>
      <c r="LEL52" s="42"/>
      <c r="LEM52" s="42"/>
      <c r="LEN52" s="42"/>
      <c r="LEO52" s="42"/>
      <c r="LEP52" s="42"/>
      <c r="LEQ52" s="42"/>
      <c r="LER52" s="42"/>
      <c r="LES52" s="42"/>
      <c r="LET52" s="42"/>
      <c r="LEU52" s="42"/>
      <c r="LEV52" s="42"/>
      <c r="LEW52" s="42"/>
      <c r="LEX52" s="42"/>
      <c r="LEY52" s="42"/>
      <c r="LEZ52" s="42"/>
      <c r="LFA52" s="42"/>
      <c r="LFB52" s="42"/>
      <c r="LFC52" s="42"/>
      <c r="LFD52" s="42"/>
      <c r="LFE52" s="2"/>
      <c r="LFF52" s="15"/>
      <c r="LFG52" s="42"/>
      <c r="LFH52" s="2"/>
      <c r="LFI52" s="2"/>
      <c r="LFJ52" s="2"/>
      <c r="LFK52" s="2"/>
      <c r="LFL52" s="42"/>
      <c r="LFM52" s="42"/>
      <c r="LFN52" s="42"/>
      <c r="LFO52" s="42"/>
      <c r="LFP52" s="42"/>
      <c r="LFQ52" s="42"/>
      <c r="LFR52" s="42"/>
      <c r="LFS52" s="42"/>
      <c r="LFT52" s="42"/>
      <c r="LFU52" s="42"/>
      <c r="LFV52" s="42"/>
      <c r="LFW52" s="42"/>
      <c r="LFX52" s="42"/>
      <c r="LFY52" s="42"/>
      <c r="LFZ52" s="42"/>
      <c r="LGA52" s="42"/>
      <c r="LGB52" s="42"/>
      <c r="LGC52" s="42"/>
      <c r="LGD52" s="42"/>
      <c r="LGE52" s="42"/>
      <c r="LGF52" s="42"/>
      <c r="LGG52" s="42"/>
      <c r="LGH52" s="42"/>
      <c r="LGI52" s="2"/>
      <c r="LGJ52" s="15"/>
      <c r="LGK52" s="42"/>
      <c r="LGL52" s="2"/>
      <c r="LGM52" s="2"/>
      <c r="LGN52" s="2"/>
      <c r="LGO52" s="2"/>
      <c r="LGP52" s="42"/>
      <c r="LGQ52" s="42"/>
      <c r="LGR52" s="42"/>
      <c r="LGS52" s="42"/>
      <c r="LGT52" s="42"/>
      <c r="LGU52" s="42"/>
      <c r="LGV52" s="42"/>
      <c r="LGW52" s="42"/>
      <c r="LGX52" s="42"/>
      <c r="LGY52" s="42"/>
      <c r="LGZ52" s="42"/>
      <c r="LHA52" s="42"/>
      <c r="LHB52" s="42"/>
      <c r="LHC52" s="42"/>
      <c r="LHD52" s="42"/>
      <c r="LHE52" s="42"/>
      <c r="LHF52" s="42"/>
      <c r="LHG52" s="42"/>
      <c r="LHH52" s="42"/>
      <c r="LHI52" s="42"/>
      <c r="LHJ52" s="42"/>
      <c r="LHK52" s="42"/>
      <c r="LHL52" s="42"/>
      <c r="LHM52" s="2"/>
      <c r="LHN52" s="15"/>
      <c r="LHO52" s="42"/>
      <c r="LHP52" s="2"/>
      <c r="LHQ52" s="2"/>
      <c r="LHR52" s="2"/>
      <c r="LHS52" s="2"/>
      <c r="LHT52" s="42"/>
      <c r="LHU52" s="42"/>
      <c r="LHV52" s="42"/>
      <c r="LHW52" s="42"/>
      <c r="LHX52" s="42"/>
      <c r="LHY52" s="42"/>
      <c r="LHZ52" s="42"/>
      <c r="LIA52" s="42"/>
      <c r="LIB52" s="42"/>
      <c r="LIC52" s="42"/>
      <c r="LID52" s="42"/>
      <c r="LIE52" s="42"/>
      <c r="LIF52" s="42"/>
      <c r="LIG52" s="42"/>
      <c r="LIH52" s="42"/>
      <c r="LII52" s="42"/>
      <c r="LIJ52" s="42"/>
      <c r="LIK52" s="42"/>
      <c r="LIL52" s="42"/>
      <c r="LIM52" s="42"/>
      <c r="LIN52" s="42"/>
      <c r="LIO52" s="42"/>
      <c r="LIP52" s="42"/>
      <c r="LIQ52" s="2"/>
      <c r="LIR52" s="15"/>
      <c r="LIS52" s="42"/>
      <c r="LIT52" s="2"/>
      <c r="LIU52" s="2"/>
      <c r="LIV52" s="2"/>
      <c r="LIW52" s="2"/>
      <c r="LIX52" s="42"/>
      <c r="LIY52" s="42"/>
      <c r="LIZ52" s="42"/>
      <c r="LJA52" s="42"/>
      <c r="LJB52" s="42"/>
      <c r="LJC52" s="42"/>
      <c r="LJD52" s="42"/>
      <c r="LJE52" s="42"/>
      <c r="LJF52" s="42"/>
      <c r="LJG52" s="42"/>
      <c r="LJH52" s="42"/>
      <c r="LJI52" s="42"/>
      <c r="LJJ52" s="42"/>
      <c r="LJK52" s="42"/>
      <c r="LJL52" s="42"/>
      <c r="LJM52" s="42"/>
      <c r="LJN52" s="42"/>
      <c r="LJO52" s="42"/>
      <c r="LJP52" s="42"/>
      <c r="LJQ52" s="42"/>
      <c r="LJR52" s="42"/>
      <c r="LJS52" s="42"/>
      <c r="LJT52" s="42"/>
      <c r="LJU52" s="2"/>
      <c r="LJV52" s="15"/>
      <c r="LJW52" s="42"/>
      <c r="LJX52" s="2"/>
      <c r="LJY52" s="2"/>
      <c r="LJZ52" s="2"/>
      <c r="LKA52" s="2"/>
      <c r="LKB52" s="42"/>
      <c r="LKC52" s="42"/>
      <c r="LKD52" s="42"/>
      <c r="LKE52" s="42"/>
      <c r="LKF52" s="42"/>
      <c r="LKG52" s="42"/>
      <c r="LKH52" s="42"/>
      <c r="LKI52" s="42"/>
      <c r="LKJ52" s="42"/>
      <c r="LKK52" s="42"/>
      <c r="LKL52" s="42"/>
      <c r="LKM52" s="42"/>
      <c r="LKN52" s="42"/>
      <c r="LKO52" s="42"/>
      <c r="LKP52" s="42"/>
      <c r="LKQ52" s="42"/>
      <c r="LKR52" s="42"/>
      <c r="LKS52" s="42"/>
      <c r="LKT52" s="42"/>
      <c r="LKU52" s="42"/>
      <c r="LKV52" s="42"/>
      <c r="LKW52" s="42"/>
      <c r="LKX52" s="42"/>
      <c r="LKY52" s="2"/>
      <c r="LKZ52" s="15"/>
      <c r="LLA52" s="42"/>
      <c r="LLB52" s="2"/>
      <c r="LLC52" s="2"/>
      <c r="LLD52" s="2"/>
      <c r="LLE52" s="2"/>
      <c r="LLF52" s="42"/>
      <c r="LLG52" s="42"/>
      <c r="LLH52" s="42"/>
      <c r="LLI52" s="42"/>
      <c r="LLJ52" s="42"/>
      <c r="LLK52" s="42"/>
      <c r="LLL52" s="42"/>
      <c r="LLM52" s="42"/>
      <c r="LLN52" s="42"/>
      <c r="LLO52" s="42"/>
      <c r="LLP52" s="42"/>
      <c r="LLQ52" s="42"/>
      <c r="LLR52" s="42"/>
      <c r="LLS52" s="42"/>
      <c r="LLT52" s="42"/>
      <c r="LLU52" s="42"/>
      <c r="LLV52" s="42"/>
      <c r="LLW52" s="42"/>
      <c r="LLX52" s="42"/>
      <c r="LLY52" s="42"/>
      <c r="LLZ52" s="42"/>
      <c r="LMA52" s="42"/>
      <c r="LMB52" s="42"/>
      <c r="LMC52" s="2"/>
      <c r="LMD52" s="15"/>
      <c r="LME52" s="42"/>
      <c r="LMF52" s="2"/>
      <c r="LMG52" s="2"/>
      <c r="LMH52" s="2"/>
      <c r="LMI52" s="2"/>
      <c r="LMJ52" s="42"/>
      <c r="LMK52" s="42"/>
      <c r="LML52" s="42"/>
      <c r="LMM52" s="42"/>
      <c r="LMN52" s="42"/>
      <c r="LMO52" s="42"/>
      <c r="LMP52" s="42"/>
      <c r="LMQ52" s="42"/>
      <c r="LMR52" s="42"/>
      <c r="LMS52" s="42"/>
      <c r="LMT52" s="42"/>
      <c r="LMU52" s="42"/>
      <c r="LMV52" s="42"/>
      <c r="LMW52" s="42"/>
      <c r="LMX52" s="42"/>
      <c r="LMY52" s="42"/>
      <c r="LMZ52" s="42"/>
      <c r="LNA52" s="42"/>
      <c r="LNB52" s="42"/>
      <c r="LNC52" s="42"/>
      <c r="LND52" s="42"/>
      <c r="LNE52" s="42"/>
      <c r="LNF52" s="42"/>
      <c r="LNG52" s="2"/>
      <c r="LNH52" s="15"/>
      <c r="LNI52" s="42"/>
      <c r="LNJ52" s="2"/>
      <c r="LNK52" s="2"/>
      <c r="LNL52" s="2"/>
      <c r="LNM52" s="2"/>
      <c r="LNN52" s="42"/>
      <c r="LNO52" s="42"/>
      <c r="LNP52" s="42"/>
      <c r="LNQ52" s="42"/>
      <c r="LNR52" s="42"/>
      <c r="LNS52" s="42"/>
      <c r="LNT52" s="42"/>
      <c r="LNU52" s="42"/>
      <c r="LNV52" s="42"/>
      <c r="LNW52" s="42"/>
      <c r="LNX52" s="42"/>
      <c r="LNY52" s="42"/>
      <c r="LNZ52" s="42"/>
      <c r="LOA52" s="42"/>
      <c r="LOB52" s="42"/>
      <c r="LOC52" s="42"/>
      <c r="LOD52" s="42"/>
      <c r="LOE52" s="42"/>
      <c r="LOF52" s="42"/>
      <c r="LOG52" s="42"/>
      <c r="LOH52" s="42"/>
      <c r="LOI52" s="42"/>
      <c r="LOJ52" s="42"/>
      <c r="LOK52" s="2"/>
      <c r="LOL52" s="15"/>
      <c r="LOM52" s="42"/>
      <c r="LON52" s="2"/>
      <c r="LOO52" s="2"/>
      <c r="LOP52" s="2"/>
      <c r="LOQ52" s="2"/>
      <c r="LOR52" s="42"/>
      <c r="LOS52" s="42"/>
      <c r="LOT52" s="42"/>
      <c r="LOU52" s="42"/>
      <c r="LOV52" s="42"/>
      <c r="LOW52" s="42"/>
      <c r="LOX52" s="42"/>
      <c r="LOY52" s="42"/>
      <c r="LOZ52" s="42"/>
      <c r="LPA52" s="42"/>
      <c r="LPB52" s="42"/>
      <c r="LPC52" s="42"/>
      <c r="LPD52" s="42"/>
      <c r="LPE52" s="42"/>
      <c r="LPF52" s="42"/>
      <c r="LPG52" s="42"/>
      <c r="LPH52" s="42"/>
      <c r="LPI52" s="42"/>
      <c r="LPJ52" s="42"/>
      <c r="LPK52" s="42"/>
      <c r="LPL52" s="42"/>
      <c r="LPM52" s="42"/>
      <c r="LPN52" s="42"/>
      <c r="LPO52" s="2"/>
      <c r="LPP52" s="15"/>
      <c r="LPQ52" s="42"/>
      <c r="LPR52" s="2"/>
      <c r="LPS52" s="2"/>
      <c r="LPT52" s="2"/>
      <c r="LPU52" s="2"/>
      <c r="LPV52" s="42"/>
      <c r="LPW52" s="42"/>
      <c r="LPX52" s="42"/>
      <c r="LPY52" s="42"/>
      <c r="LPZ52" s="42"/>
      <c r="LQA52" s="42"/>
      <c r="LQB52" s="42"/>
      <c r="LQC52" s="42"/>
      <c r="LQD52" s="42"/>
      <c r="LQE52" s="42"/>
      <c r="LQF52" s="42"/>
      <c r="LQG52" s="42"/>
      <c r="LQH52" s="42"/>
      <c r="LQI52" s="42"/>
      <c r="LQJ52" s="42"/>
      <c r="LQK52" s="42"/>
      <c r="LQL52" s="42"/>
      <c r="LQM52" s="42"/>
      <c r="LQN52" s="42"/>
      <c r="LQO52" s="42"/>
      <c r="LQP52" s="42"/>
      <c r="LQQ52" s="42"/>
      <c r="LQR52" s="42"/>
      <c r="LQS52" s="2"/>
      <c r="LQT52" s="15"/>
      <c r="LQU52" s="42"/>
      <c r="LQV52" s="2"/>
      <c r="LQW52" s="2"/>
      <c r="LQX52" s="2"/>
      <c r="LQY52" s="2"/>
      <c r="LQZ52" s="42"/>
      <c r="LRA52" s="42"/>
      <c r="LRB52" s="42"/>
      <c r="LRC52" s="42"/>
      <c r="LRD52" s="42"/>
      <c r="LRE52" s="42"/>
      <c r="LRF52" s="42"/>
      <c r="LRG52" s="42"/>
      <c r="LRH52" s="42"/>
      <c r="LRI52" s="42"/>
      <c r="LRJ52" s="42"/>
      <c r="LRK52" s="42"/>
      <c r="LRL52" s="42"/>
      <c r="LRM52" s="42"/>
      <c r="LRN52" s="42"/>
      <c r="LRO52" s="42"/>
      <c r="LRP52" s="42"/>
      <c r="LRQ52" s="42"/>
      <c r="LRR52" s="42"/>
      <c r="LRS52" s="42"/>
      <c r="LRT52" s="42"/>
      <c r="LRU52" s="42"/>
      <c r="LRV52" s="42"/>
      <c r="LRW52" s="2"/>
      <c r="LRX52" s="15"/>
      <c r="LRY52" s="42"/>
      <c r="LRZ52" s="2"/>
      <c r="LSA52" s="2"/>
      <c r="LSB52" s="2"/>
      <c r="LSC52" s="2"/>
      <c r="LSD52" s="42"/>
      <c r="LSE52" s="42"/>
      <c r="LSF52" s="42"/>
      <c r="LSG52" s="42"/>
      <c r="LSH52" s="42"/>
      <c r="LSI52" s="42"/>
      <c r="LSJ52" s="42"/>
      <c r="LSK52" s="42"/>
      <c r="LSL52" s="42"/>
      <c r="LSM52" s="42"/>
      <c r="LSN52" s="42"/>
      <c r="LSO52" s="42"/>
      <c r="LSP52" s="42"/>
      <c r="LSQ52" s="42"/>
      <c r="LSR52" s="42"/>
      <c r="LSS52" s="42"/>
      <c r="LST52" s="42"/>
      <c r="LSU52" s="42"/>
      <c r="LSV52" s="42"/>
      <c r="LSW52" s="42"/>
      <c r="LSX52" s="42"/>
      <c r="LSY52" s="42"/>
      <c r="LSZ52" s="42"/>
      <c r="LTA52" s="2"/>
      <c r="LTB52" s="15"/>
      <c r="LTC52" s="42"/>
      <c r="LTD52" s="2"/>
      <c r="LTE52" s="2"/>
      <c r="LTF52" s="2"/>
      <c r="LTG52" s="2"/>
      <c r="LTH52" s="42"/>
      <c r="LTI52" s="42"/>
      <c r="LTJ52" s="42"/>
      <c r="LTK52" s="42"/>
      <c r="LTL52" s="42"/>
      <c r="LTM52" s="42"/>
      <c r="LTN52" s="42"/>
      <c r="LTO52" s="42"/>
      <c r="LTP52" s="42"/>
      <c r="LTQ52" s="42"/>
      <c r="LTR52" s="42"/>
      <c r="LTS52" s="42"/>
      <c r="LTT52" s="42"/>
      <c r="LTU52" s="42"/>
      <c r="LTV52" s="42"/>
      <c r="LTW52" s="42"/>
      <c r="LTX52" s="42"/>
      <c r="LTY52" s="42"/>
      <c r="LTZ52" s="42"/>
      <c r="LUA52" s="42"/>
      <c r="LUB52" s="42"/>
      <c r="LUC52" s="42"/>
      <c r="LUD52" s="42"/>
      <c r="LUE52" s="2"/>
      <c r="LUF52" s="15"/>
      <c r="LUG52" s="42"/>
      <c r="LUH52" s="2"/>
      <c r="LUI52" s="2"/>
      <c r="LUJ52" s="2"/>
      <c r="LUK52" s="2"/>
      <c r="LUL52" s="42"/>
      <c r="LUM52" s="42"/>
      <c r="LUN52" s="42"/>
      <c r="LUO52" s="42"/>
      <c r="LUP52" s="42"/>
      <c r="LUQ52" s="42"/>
      <c r="LUR52" s="42"/>
      <c r="LUS52" s="42"/>
      <c r="LUT52" s="42"/>
      <c r="LUU52" s="42"/>
      <c r="LUV52" s="42"/>
      <c r="LUW52" s="42"/>
      <c r="LUX52" s="42"/>
      <c r="LUY52" s="42"/>
      <c r="LUZ52" s="42"/>
      <c r="LVA52" s="42"/>
      <c r="LVB52" s="42"/>
      <c r="LVC52" s="42"/>
      <c r="LVD52" s="42"/>
      <c r="LVE52" s="42"/>
      <c r="LVF52" s="42"/>
      <c r="LVG52" s="42"/>
      <c r="LVH52" s="42"/>
      <c r="LVI52" s="2"/>
      <c r="LVJ52" s="15"/>
      <c r="LVK52" s="42"/>
      <c r="LVL52" s="2"/>
      <c r="LVM52" s="2"/>
      <c r="LVN52" s="2"/>
      <c r="LVO52" s="2"/>
      <c r="LVP52" s="42"/>
      <c r="LVQ52" s="42"/>
      <c r="LVR52" s="42"/>
      <c r="LVS52" s="42"/>
      <c r="LVT52" s="42"/>
      <c r="LVU52" s="42"/>
      <c r="LVV52" s="42"/>
      <c r="LVW52" s="42"/>
      <c r="LVX52" s="42"/>
      <c r="LVY52" s="42"/>
      <c r="LVZ52" s="42"/>
      <c r="LWA52" s="42"/>
      <c r="LWB52" s="42"/>
      <c r="LWC52" s="42"/>
      <c r="LWD52" s="42"/>
      <c r="LWE52" s="42"/>
      <c r="LWF52" s="42"/>
      <c r="LWG52" s="42"/>
      <c r="LWH52" s="42"/>
      <c r="LWI52" s="42"/>
      <c r="LWJ52" s="42"/>
      <c r="LWK52" s="42"/>
      <c r="LWL52" s="42"/>
      <c r="LWM52" s="2"/>
      <c r="LWN52" s="15"/>
      <c r="LWO52" s="42"/>
      <c r="LWP52" s="2"/>
      <c r="LWQ52" s="2"/>
      <c r="LWR52" s="2"/>
      <c r="LWS52" s="2"/>
      <c r="LWT52" s="42"/>
      <c r="LWU52" s="42"/>
      <c r="LWV52" s="42"/>
      <c r="LWW52" s="42"/>
      <c r="LWX52" s="42"/>
      <c r="LWY52" s="42"/>
      <c r="LWZ52" s="42"/>
      <c r="LXA52" s="42"/>
      <c r="LXB52" s="42"/>
      <c r="LXC52" s="42"/>
      <c r="LXD52" s="42"/>
      <c r="LXE52" s="42"/>
      <c r="LXF52" s="42"/>
      <c r="LXG52" s="42"/>
      <c r="LXH52" s="42"/>
      <c r="LXI52" s="42"/>
      <c r="LXJ52" s="42"/>
      <c r="LXK52" s="42"/>
      <c r="LXL52" s="42"/>
      <c r="LXM52" s="42"/>
      <c r="LXN52" s="42"/>
      <c r="LXO52" s="42"/>
      <c r="LXP52" s="42"/>
      <c r="LXQ52" s="2"/>
      <c r="LXR52" s="15"/>
      <c r="LXS52" s="42"/>
      <c r="LXT52" s="2"/>
      <c r="LXU52" s="2"/>
      <c r="LXV52" s="2"/>
      <c r="LXW52" s="2"/>
      <c r="LXX52" s="42"/>
      <c r="LXY52" s="42"/>
      <c r="LXZ52" s="42"/>
      <c r="LYA52" s="42"/>
      <c r="LYB52" s="42"/>
      <c r="LYC52" s="42"/>
      <c r="LYD52" s="42"/>
      <c r="LYE52" s="42"/>
      <c r="LYF52" s="42"/>
      <c r="LYG52" s="42"/>
      <c r="LYH52" s="42"/>
      <c r="LYI52" s="42"/>
      <c r="LYJ52" s="42"/>
      <c r="LYK52" s="42"/>
      <c r="LYL52" s="42"/>
      <c r="LYM52" s="42"/>
      <c r="LYN52" s="42"/>
      <c r="LYO52" s="42"/>
      <c r="LYP52" s="42"/>
      <c r="LYQ52" s="42"/>
      <c r="LYR52" s="42"/>
      <c r="LYS52" s="42"/>
      <c r="LYT52" s="42"/>
      <c r="LYU52" s="2"/>
      <c r="LYV52" s="15"/>
      <c r="LYW52" s="42"/>
      <c r="LYX52" s="2"/>
      <c r="LYY52" s="2"/>
      <c r="LYZ52" s="2"/>
      <c r="LZA52" s="2"/>
      <c r="LZB52" s="42"/>
      <c r="LZC52" s="42"/>
      <c r="LZD52" s="42"/>
      <c r="LZE52" s="42"/>
      <c r="LZF52" s="42"/>
      <c r="LZG52" s="42"/>
      <c r="LZH52" s="42"/>
      <c r="LZI52" s="42"/>
      <c r="LZJ52" s="42"/>
      <c r="LZK52" s="42"/>
      <c r="LZL52" s="42"/>
      <c r="LZM52" s="42"/>
      <c r="LZN52" s="42"/>
      <c r="LZO52" s="42"/>
      <c r="LZP52" s="42"/>
      <c r="LZQ52" s="42"/>
      <c r="LZR52" s="42"/>
      <c r="LZS52" s="42"/>
      <c r="LZT52" s="42"/>
      <c r="LZU52" s="42"/>
      <c r="LZV52" s="42"/>
      <c r="LZW52" s="42"/>
      <c r="LZX52" s="42"/>
      <c r="LZY52" s="2"/>
      <c r="LZZ52" s="15"/>
      <c r="MAA52" s="42"/>
      <c r="MAB52" s="2"/>
      <c r="MAC52" s="2"/>
      <c r="MAD52" s="2"/>
      <c r="MAE52" s="2"/>
      <c r="MAF52" s="42"/>
      <c r="MAG52" s="42"/>
      <c r="MAH52" s="42"/>
      <c r="MAI52" s="42"/>
      <c r="MAJ52" s="42"/>
      <c r="MAK52" s="42"/>
      <c r="MAL52" s="42"/>
      <c r="MAM52" s="42"/>
      <c r="MAN52" s="42"/>
      <c r="MAO52" s="42"/>
      <c r="MAP52" s="42"/>
      <c r="MAQ52" s="42"/>
      <c r="MAR52" s="42"/>
      <c r="MAS52" s="42"/>
      <c r="MAT52" s="42"/>
      <c r="MAU52" s="42"/>
      <c r="MAV52" s="42"/>
      <c r="MAW52" s="42"/>
      <c r="MAX52" s="42"/>
      <c r="MAY52" s="42"/>
      <c r="MAZ52" s="42"/>
      <c r="MBA52" s="42"/>
      <c r="MBB52" s="42"/>
      <c r="MBC52" s="2"/>
      <c r="MBD52" s="15"/>
      <c r="MBE52" s="42"/>
      <c r="MBF52" s="2"/>
      <c r="MBG52" s="2"/>
      <c r="MBH52" s="2"/>
      <c r="MBI52" s="2"/>
      <c r="MBJ52" s="42"/>
      <c r="MBK52" s="42"/>
      <c r="MBL52" s="42"/>
      <c r="MBM52" s="42"/>
      <c r="MBN52" s="42"/>
      <c r="MBO52" s="42"/>
      <c r="MBP52" s="42"/>
      <c r="MBQ52" s="42"/>
      <c r="MBR52" s="42"/>
      <c r="MBS52" s="42"/>
      <c r="MBT52" s="42"/>
      <c r="MBU52" s="42"/>
      <c r="MBV52" s="42"/>
      <c r="MBW52" s="42"/>
      <c r="MBX52" s="42"/>
      <c r="MBY52" s="42"/>
      <c r="MBZ52" s="42"/>
      <c r="MCA52" s="42"/>
      <c r="MCB52" s="42"/>
      <c r="MCC52" s="42"/>
      <c r="MCD52" s="42"/>
      <c r="MCE52" s="42"/>
      <c r="MCF52" s="42"/>
      <c r="MCG52" s="2"/>
      <c r="MCH52" s="15"/>
      <c r="MCI52" s="42"/>
      <c r="MCJ52" s="2"/>
      <c r="MCK52" s="2"/>
      <c r="MCL52" s="2"/>
      <c r="MCM52" s="2"/>
      <c r="MCN52" s="42"/>
      <c r="MCO52" s="42"/>
      <c r="MCP52" s="42"/>
      <c r="MCQ52" s="42"/>
      <c r="MCR52" s="42"/>
      <c r="MCS52" s="42"/>
      <c r="MCT52" s="42"/>
      <c r="MCU52" s="42"/>
      <c r="MCV52" s="42"/>
      <c r="MCW52" s="42"/>
      <c r="MCX52" s="42"/>
      <c r="MCY52" s="42"/>
      <c r="MCZ52" s="42"/>
      <c r="MDA52" s="42"/>
      <c r="MDB52" s="42"/>
      <c r="MDC52" s="42"/>
      <c r="MDD52" s="42"/>
      <c r="MDE52" s="42"/>
      <c r="MDF52" s="42"/>
      <c r="MDG52" s="42"/>
      <c r="MDH52" s="42"/>
      <c r="MDI52" s="42"/>
      <c r="MDJ52" s="42"/>
      <c r="MDK52" s="2"/>
      <c r="MDL52" s="15"/>
      <c r="MDM52" s="42"/>
      <c r="MDN52" s="2"/>
      <c r="MDO52" s="2"/>
      <c r="MDP52" s="2"/>
      <c r="MDQ52" s="2"/>
      <c r="MDR52" s="42"/>
      <c r="MDS52" s="42"/>
      <c r="MDT52" s="42"/>
      <c r="MDU52" s="42"/>
      <c r="MDV52" s="42"/>
      <c r="MDW52" s="42"/>
      <c r="MDX52" s="42"/>
      <c r="MDY52" s="42"/>
      <c r="MDZ52" s="42"/>
      <c r="MEA52" s="42"/>
      <c r="MEB52" s="42"/>
      <c r="MEC52" s="42"/>
      <c r="MED52" s="42"/>
      <c r="MEE52" s="42"/>
      <c r="MEF52" s="42"/>
      <c r="MEG52" s="42"/>
      <c r="MEH52" s="42"/>
      <c r="MEI52" s="42"/>
      <c r="MEJ52" s="42"/>
      <c r="MEK52" s="42"/>
      <c r="MEL52" s="42"/>
      <c r="MEM52" s="42"/>
      <c r="MEN52" s="42"/>
      <c r="MEO52" s="2"/>
      <c r="MEP52" s="15"/>
      <c r="MEQ52" s="42"/>
      <c r="MER52" s="2"/>
      <c r="MES52" s="2"/>
      <c r="MET52" s="2"/>
      <c r="MEU52" s="2"/>
      <c r="MEV52" s="42"/>
      <c r="MEW52" s="42"/>
      <c r="MEX52" s="42"/>
      <c r="MEY52" s="42"/>
      <c r="MEZ52" s="42"/>
      <c r="MFA52" s="42"/>
      <c r="MFB52" s="42"/>
      <c r="MFC52" s="42"/>
      <c r="MFD52" s="42"/>
      <c r="MFE52" s="42"/>
      <c r="MFF52" s="42"/>
      <c r="MFG52" s="42"/>
      <c r="MFH52" s="42"/>
      <c r="MFI52" s="42"/>
      <c r="MFJ52" s="42"/>
      <c r="MFK52" s="42"/>
      <c r="MFL52" s="42"/>
      <c r="MFM52" s="42"/>
      <c r="MFN52" s="42"/>
      <c r="MFO52" s="42"/>
      <c r="MFP52" s="42"/>
      <c r="MFQ52" s="42"/>
      <c r="MFR52" s="42"/>
      <c r="MFS52" s="2"/>
      <c r="MFT52" s="15"/>
      <c r="MFU52" s="42"/>
      <c r="MFV52" s="2"/>
      <c r="MFW52" s="2"/>
      <c r="MFX52" s="2"/>
      <c r="MFY52" s="2"/>
      <c r="MFZ52" s="42"/>
      <c r="MGA52" s="42"/>
      <c r="MGB52" s="42"/>
      <c r="MGC52" s="42"/>
      <c r="MGD52" s="42"/>
      <c r="MGE52" s="42"/>
      <c r="MGF52" s="42"/>
      <c r="MGG52" s="42"/>
      <c r="MGH52" s="42"/>
      <c r="MGI52" s="42"/>
      <c r="MGJ52" s="42"/>
      <c r="MGK52" s="42"/>
      <c r="MGL52" s="42"/>
      <c r="MGM52" s="42"/>
      <c r="MGN52" s="42"/>
      <c r="MGO52" s="42"/>
      <c r="MGP52" s="42"/>
      <c r="MGQ52" s="42"/>
      <c r="MGR52" s="42"/>
      <c r="MGS52" s="42"/>
      <c r="MGT52" s="42"/>
      <c r="MGU52" s="42"/>
      <c r="MGV52" s="42"/>
      <c r="MGW52" s="2"/>
      <c r="MGX52" s="15"/>
      <c r="MGY52" s="42"/>
      <c r="MGZ52" s="2"/>
      <c r="MHA52" s="2"/>
      <c r="MHB52" s="2"/>
      <c r="MHC52" s="2"/>
      <c r="MHD52" s="42"/>
      <c r="MHE52" s="42"/>
      <c r="MHF52" s="42"/>
      <c r="MHG52" s="42"/>
      <c r="MHH52" s="42"/>
      <c r="MHI52" s="42"/>
      <c r="MHJ52" s="42"/>
      <c r="MHK52" s="42"/>
      <c r="MHL52" s="42"/>
      <c r="MHM52" s="42"/>
      <c r="MHN52" s="42"/>
      <c r="MHO52" s="42"/>
      <c r="MHP52" s="42"/>
      <c r="MHQ52" s="42"/>
      <c r="MHR52" s="42"/>
      <c r="MHS52" s="42"/>
      <c r="MHT52" s="42"/>
      <c r="MHU52" s="42"/>
      <c r="MHV52" s="42"/>
      <c r="MHW52" s="42"/>
      <c r="MHX52" s="42"/>
      <c r="MHY52" s="42"/>
      <c r="MHZ52" s="42"/>
      <c r="MIA52" s="2"/>
      <c r="MIB52" s="15"/>
      <c r="MIC52" s="42"/>
      <c r="MID52" s="2"/>
      <c r="MIE52" s="2"/>
      <c r="MIF52" s="2"/>
      <c r="MIG52" s="2"/>
      <c r="MIH52" s="42"/>
      <c r="MII52" s="42"/>
      <c r="MIJ52" s="42"/>
      <c r="MIK52" s="42"/>
      <c r="MIL52" s="42"/>
      <c r="MIM52" s="42"/>
      <c r="MIN52" s="42"/>
      <c r="MIO52" s="42"/>
      <c r="MIP52" s="42"/>
      <c r="MIQ52" s="42"/>
      <c r="MIR52" s="42"/>
      <c r="MIS52" s="42"/>
      <c r="MIT52" s="42"/>
      <c r="MIU52" s="42"/>
      <c r="MIV52" s="42"/>
      <c r="MIW52" s="42"/>
      <c r="MIX52" s="42"/>
      <c r="MIY52" s="42"/>
      <c r="MIZ52" s="42"/>
      <c r="MJA52" s="42"/>
      <c r="MJB52" s="42"/>
      <c r="MJC52" s="42"/>
      <c r="MJD52" s="42"/>
      <c r="MJE52" s="2"/>
      <c r="MJF52" s="15"/>
      <c r="MJG52" s="42"/>
      <c r="MJH52" s="2"/>
      <c r="MJI52" s="2"/>
      <c r="MJJ52" s="2"/>
      <c r="MJK52" s="2"/>
      <c r="MJL52" s="42"/>
      <c r="MJM52" s="42"/>
      <c r="MJN52" s="42"/>
      <c r="MJO52" s="42"/>
      <c r="MJP52" s="42"/>
      <c r="MJQ52" s="42"/>
      <c r="MJR52" s="42"/>
      <c r="MJS52" s="42"/>
      <c r="MJT52" s="42"/>
      <c r="MJU52" s="42"/>
      <c r="MJV52" s="42"/>
      <c r="MJW52" s="42"/>
      <c r="MJX52" s="42"/>
      <c r="MJY52" s="42"/>
      <c r="MJZ52" s="42"/>
      <c r="MKA52" s="42"/>
      <c r="MKB52" s="42"/>
      <c r="MKC52" s="42"/>
      <c r="MKD52" s="42"/>
      <c r="MKE52" s="42"/>
      <c r="MKF52" s="42"/>
      <c r="MKG52" s="42"/>
      <c r="MKH52" s="42"/>
      <c r="MKI52" s="2"/>
      <c r="MKJ52" s="15"/>
      <c r="MKK52" s="42"/>
      <c r="MKL52" s="2"/>
      <c r="MKM52" s="2"/>
      <c r="MKN52" s="2"/>
      <c r="MKO52" s="2"/>
      <c r="MKP52" s="42"/>
      <c r="MKQ52" s="42"/>
      <c r="MKR52" s="42"/>
      <c r="MKS52" s="42"/>
      <c r="MKT52" s="42"/>
      <c r="MKU52" s="42"/>
      <c r="MKV52" s="42"/>
      <c r="MKW52" s="42"/>
      <c r="MKX52" s="42"/>
      <c r="MKY52" s="42"/>
      <c r="MKZ52" s="42"/>
      <c r="MLA52" s="42"/>
      <c r="MLB52" s="42"/>
      <c r="MLC52" s="42"/>
      <c r="MLD52" s="42"/>
      <c r="MLE52" s="42"/>
      <c r="MLF52" s="42"/>
      <c r="MLG52" s="42"/>
      <c r="MLH52" s="42"/>
      <c r="MLI52" s="42"/>
      <c r="MLJ52" s="42"/>
      <c r="MLK52" s="42"/>
      <c r="MLL52" s="42"/>
      <c r="MLM52" s="2"/>
      <c r="MLN52" s="15"/>
      <c r="MLO52" s="42"/>
      <c r="MLP52" s="2"/>
      <c r="MLQ52" s="2"/>
      <c r="MLR52" s="2"/>
      <c r="MLS52" s="2"/>
      <c r="MLT52" s="42"/>
      <c r="MLU52" s="42"/>
      <c r="MLV52" s="42"/>
      <c r="MLW52" s="42"/>
      <c r="MLX52" s="42"/>
      <c r="MLY52" s="42"/>
      <c r="MLZ52" s="42"/>
      <c r="MMA52" s="42"/>
      <c r="MMB52" s="42"/>
      <c r="MMC52" s="42"/>
      <c r="MMD52" s="42"/>
      <c r="MME52" s="42"/>
      <c r="MMF52" s="42"/>
      <c r="MMG52" s="42"/>
      <c r="MMH52" s="42"/>
      <c r="MMI52" s="42"/>
      <c r="MMJ52" s="42"/>
      <c r="MMK52" s="42"/>
      <c r="MML52" s="42"/>
      <c r="MMM52" s="42"/>
      <c r="MMN52" s="42"/>
      <c r="MMO52" s="42"/>
      <c r="MMP52" s="42"/>
      <c r="MMQ52" s="2"/>
      <c r="MMR52" s="15"/>
      <c r="MMS52" s="42"/>
      <c r="MMT52" s="2"/>
      <c r="MMU52" s="2"/>
      <c r="MMV52" s="2"/>
      <c r="MMW52" s="2"/>
      <c r="MMX52" s="42"/>
      <c r="MMY52" s="42"/>
      <c r="MMZ52" s="42"/>
      <c r="MNA52" s="42"/>
      <c r="MNB52" s="42"/>
      <c r="MNC52" s="42"/>
      <c r="MND52" s="42"/>
      <c r="MNE52" s="42"/>
      <c r="MNF52" s="42"/>
      <c r="MNG52" s="42"/>
      <c r="MNH52" s="42"/>
      <c r="MNI52" s="42"/>
      <c r="MNJ52" s="42"/>
      <c r="MNK52" s="42"/>
      <c r="MNL52" s="42"/>
      <c r="MNM52" s="42"/>
      <c r="MNN52" s="42"/>
      <c r="MNO52" s="42"/>
      <c r="MNP52" s="42"/>
      <c r="MNQ52" s="42"/>
      <c r="MNR52" s="42"/>
      <c r="MNS52" s="42"/>
      <c r="MNT52" s="42"/>
      <c r="MNU52" s="2"/>
      <c r="MNV52" s="15"/>
      <c r="MNW52" s="42"/>
      <c r="MNX52" s="2"/>
      <c r="MNY52" s="2"/>
      <c r="MNZ52" s="2"/>
      <c r="MOA52" s="2"/>
      <c r="MOB52" s="42"/>
      <c r="MOC52" s="42"/>
      <c r="MOD52" s="42"/>
      <c r="MOE52" s="42"/>
      <c r="MOF52" s="42"/>
      <c r="MOG52" s="42"/>
      <c r="MOH52" s="42"/>
      <c r="MOI52" s="42"/>
      <c r="MOJ52" s="42"/>
      <c r="MOK52" s="42"/>
      <c r="MOL52" s="42"/>
      <c r="MOM52" s="42"/>
      <c r="MON52" s="42"/>
      <c r="MOO52" s="42"/>
      <c r="MOP52" s="42"/>
      <c r="MOQ52" s="42"/>
      <c r="MOR52" s="42"/>
      <c r="MOS52" s="42"/>
      <c r="MOT52" s="42"/>
      <c r="MOU52" s="42"/>
      <c r="MOV52" s="42"/>
      <c r="MOW52" s="42"/>
      <c r="MOX52" s="42"/>
      <c r="MOY52" s="2"/>
      <c r="MOZ52" s="15"/>
      <c r="MPA52" s="42"/>
      <c r="MPB52" s="2"/>
      <c r="MPC52" s="2"/>
      <c r="MPD52" s="2"/>
      <c r="MPE52" s="2"/>
      <c r="MPF52" s="42"/>
      <c r="MPG52" s="42"/>
      <c r="MPH52" s="42"/>
      <c r="MPI52" s="42"/>
      <c r="MPJ52" s="42"/>
      <c r="MPK52" s="42"/>
      <c r="MPL52" s="42"/>
      <c r="MPM52" s="42"/>
      <c r="MPN52" s="42"/>
      <c r="MPO52" s="42"/>
      <c r="MPP52" s="42"/>
      <c r="MPQ52" s="42"/>
      <c r="MPR52" s="42"/>
      <c r="MPS52" s="42"/>
      <c r="MPT52" s="42"/>
      <c r="MPU52" s="42"/>
      <c r="MPV52" s="42"/>
      <c r="MPW52" s="42"/>
      <c r="MPX52" s="42"/>
      <c r="MPY52" s="42"/>
      <c r="MPZ52" s="42"/>
      <c r="MQA52" s="42"/>
      <c r="MQB52" s="42"/>
      <c r="MQC52" s="2"/>
      <c r="MQD52" s="15"/>
      <c r="MQE52" s="42"/>
      <c r="MQF52" s="2"/>
      <c r="MQG52" s="2"/>
      <c r="MQH52" s="2"/>
      <c r="MQI52" s="2"/>
      <c r="MQJ52" s="42"/>
      <c r="MQK52" s="42"/>
      <c r="MQL52" s="42"/>
      <c r="MQM52" s="42"/>
      <c r="MQN52" s="42"/>
      <c r="MQO52" s="42"/>
      <c r="MQP52" s="42"/>
      <c r="MQQ52" s="42"/>
      <c r="MQR52" s="42"/>
      <c r="MQS52" s="42"/>
      <c r="MQT52" s="42"/>
      <c r="MQU52" s="42"/>
      <c r="MQV52" s="42"/>
      <c r="MQW52" s="42"/>
      <c r="MQX52" s="42"/>
      <c r="MQY52" s="42"/>
      <c r="MQZ52" s="42"/>
      <c r="MRA52" s="42"/>
      <c r="MRB52" s="42"/>
      <c r="MRC52" s="42"/>
      <c r="MRD52" s="42"/>
      <c r="MRE52" s="42"/>
      <c r="MRF52" s="42"/>
      <c r="MRG52" s="2"/>
      <c r="MRH52" s="15"/>
      <c r="MRI52" s="42"/>
      <c r="MRJ52" s="2"/>
      <c r="MRK52" s="2"/>
      <c r="MRL52" s="2"/>
      <c r="MRM52" s="2"/>
      <c r="MRN52" s="42"/>
      <c r="MRO52" s="42"/>
      <c r="MRP52" s="42"/>
      <c r="MRQ52" s="42"/>
      <c r="MRR52" s="42"/>
      <c r="MRS52" s="42"/>
      <c r="MRT52" s="42"/>
      <c r="MRU52" s="42"/>
      <c r="MRV52" s="42"/>
      <c r="MRW52" s="42"/>
      <c r="MRX52" s="42"/>
      <c r="MRY52" s="42"/>
      <c r="MRZ52" s="42"/>
      <c r="MSA52" s="42"/>
      <c r="MSB52" s="42"/>
      <c r="MSC52" s="42"/>
      <c r="MSD52" s="42"/>
      <c r="MSE52" s="42"/>
      <c r="MSF52" s="42"/>
      <c r="MSG52" s="42"/>
      <c r="MSH52" s="42"/>
      <c r="MSI52" s="42"/>
      <c r="MSJ52" s="42"/>
      <c r="MSK52" s="2"/>
      <c r="MSL52" s="15"/>
      <c r="MSM52" s="42"/>
      <c r="MSN52" s="2"/>
      <c r="MSO52" s="2"/>
      <c r="MSP52" s="2"/>
      <c r="MSQ52" s="2"/>
      <c r="MSR52" s="42"/>
      <c r="MSS52" s="42"/>
      <c r="MST52" s="42"/>
      <c r="MSU52" s="42"/>
      <c r="MSV52" s="42"/>
      <c r="MSW52" s="42"/>
      <c r="MSX52" s="42"/>
      <c r="MSY52" s="42"/>
      <c r="MSZ52" s="42"/>
      <c r="MTA52" s="42"/>
      <c r="MTB52" s="42"/>
      <c r="MTC52" s="42"/>
      <c r="MTD52" s="42"/>
      <c r="MTE52" s="42"/>
      <c r="MTF52" s="42"/>
      <c r="MTG52" s="42"/>
      <c r="MTH52" s="42"/>
      <c r="MTI52" s="42"/>
      <c r="MTJ52" s="42"/>
      <c r="MTK52" s="42"/>
      <c r="MTL52" s="42"/>
      <c r="MTM52" s="42"/>
      <c r="MTN52" s="42"/>
      <c r="MTO52" s="2"/>
      <c r="MTP52" s="15"/>
      <c r="MTQ52" s="42"/>
      <c r="MTR52" s="2"/>
      <c r="MTS52" s="2"/>
      <c r="MTT52" s="2"/>
      <c r="MTU52" s="2"/>
      <c r="MTV52" s="42"/>
      <c r="MTW52" s="42"/>
      <c r="MTX52" s="42"/>
      <c r="MTY52" s="42"/>
      <c r="MTZ52" s="42"/>
      <c r="MUA52" s="42"/>
      <c r="MUB52" s="42"/>
      <c r="MUC52" s="42"/>
      <c r="MUD52" s="42"/>
      <c r="MUE52" s="42"/>
      <c r="MUF52" s="42"/>
      <c r="MUG52" s="42"/>
      <c r="MUH52" s="42"/>
      <c r="MUI52" s="42"/>
      <c r="MUJ52" s="42"/>
      <c r="MUK52" s="42"/>
      <c r="MUL52" s="42"/>
      <c r="MUM52" s="42"/>
      <c r="MUN52" s="42"/>
      <c r="MUO52" s="42"/>
      <c r="MUP52" s="42"/>
      <c r="MUQ52" s="42"/>
      <c r="MUR52" s="42"/>
      <c r="MUS52" s="2"/>
      <c r="MUT52" s="15"/>
      <c r="MUU52" s="42"/>
      <c r="MUV52" s="2"/>
      <c r="MUW52" s="2"/>
      <c r="MUX52" s="2"/>
      <c r="MUY52" s="2"/>
      <c r="MUZ52" s="42"/>
      <c r="MVA52" s="42"/>
      <c r="MVB52" s="42"/>
      <c r="MVC52" s="42"/>
      <c r="MVD52" s="42"/>
      <c r="MVE52" s="42"/>
      <c r="MVF52" s="42"/>
      <c r="MVG52" s="42"/>
      <c r="MVH52" s="42"/>
      <c r="MVI52" s="42"/>
      <c r="MVJ52" s="42"/>
      <c r="MVK52" s="42"/>
      <c r="MVL52" s="42"/>
      <c r="MVM52" s="42"/>
      <c r="MVN52" s="42"/>
      <c r="MVO52" s="42"/>
      <c r="MVP52" s="42"/>
      <c r="MVQ52" s="42"/>
      <c r="MVR52" s="42"/>
      <c r="MVS52" s="42"/>
      <c r="MVT52" s="42"/>
      <c r="MVU52" s="42"/>
      <c r="MVV52" s="42"/>
      <c r="MVW52" s="2"/>
      <c r="MVX52" s="15"/>
      <c r="MVY52" s="42"/>
      <c r="MVZ52" s="2"/>
      <c r="MWA52" s="2"/>
      <c r="MWB52" s="2"/>
      <c r="MWC52" s="2"/>
      <c r="MWD52" s="42"/>
      <c r="MWE52" s="42"/>
      <c r="MWF52" s="42"/>
      <c r="MWG52" s="42"/>
      <c r="MWH52" s="42"/>
      <c r="MWI52" s="42"/>
      <c r="MWJ52" s="42"/>
      <c r="MWK52" s="42"/>
      <c r="MWL52" s="42"/>
      <c r="MWM52" s="42"/>
      <c r="MWN52" s="42"/>
      <c r="MWO52" s="42"/>
      <c r="MWP52" s="42"/>
      <c r="MWQ52" s="42"/>
      <c r="MWR52" s="42"/>
      <c r="MWS52" s="42"/>
      <c r="MWT52" s="42"/>
      <c r="MWU52" s="42"/>
      <c r="MWV52" s="42"/>
      <c r="MWW52" s="42"/>
      <c r="MWX52" s="42"/>
      <c r="MWY52" s="42"/>
      <c r="MWZ52" s="42"/>
      <c r="MXA52" s="2"/>
      <c r="MXB52" s="15"/>
      <c r="MXC52" s="42"/>
      <c r="MXD52" s="2"/>
      <c r="MXE52" s="2"/>
      <c r="MXF52" s="2"/>
      <c r="MXG52" s="2"/>
      <c r="MXH52" s="42"/>
      <c r="MXI52" s="42"/>
      <c r="MXJ52" s="42"/>
      <c r="MXK52" s="42"/>
      <c r="MXL52" s="42"/>
      <c r="MXM52" s="42"/>
      <c r="MXN52" s="42"/>
      <c r="MXO52" s="42"/>
      <c r="MXP52" s="42"/>
      <c r="MXQ52" s="42"/>
      <c r="MXR52" s="42"/>
      <c r="MXS52" s="42"/>
      <c r="MXT52" s="42"/>
      <c r="MXU52" s="42"/>
      <c r="MXV52" s="42"/>
      <c r="MXW52" s="42"/>
      <c r="MXX52" s="42"/>
      <c r="MXY52" s="42"/>
      <c r="MXZ52" s="42"/>
      <c r="MYA52" s="42"/>
      <c r="MYB52" s="42"/>
      <c r="MYC52" s="42"/>
      <c r="MYD52" s="42"/>
      <c r="MYE52" s="2"/>
      <c r="MYF52" s="15"/>
      <c r="MYG52" s="42"/>
      <c r="MYH52" s="2"/>
      <c r="MYI52" s="2"/>
      <c r="MYJ52" s="2"/>
      <c r="MYK52" s="2"/>
      <c r="MYL52" s="42"/>
      <c r="MYM52" s="42"/>
      <c r="MYN52" s="42"/>
      <c r="MYO52" s="42"/>
      <c r="MYP52" s="42"/>
      <c r="MYQ52" s="42"/>
      <c r="MYR52" s="42"/>
      <c r="MYS52" s="42"/>
      <c r="MYT52" s="42"/>
      <c r="MYU52" s="42"/>
      <c r="MYV52" s="42"/>
      <c r="MYW52" s="42"/>
      <c r="MYX52" s="42"/>
      <c r="MYY52" s="42"/>
      <c r="MYZ52" s="42"/>
      <c r="MZA52" s="42"/>
      <c r="MZB52" s="42"/>
      <c r="MZC52" s="42"/>
      <c r="MZD52" s="42"/>
      <c r="MZE52" s="42"/>
      <c r="MZF52" s="42"/>
      <c r="MZG52" s="42"/>
      <c r="MZH52" s="42"/>
      <c r="MZI52" s="2"/>
      <c r="MZJ52" s="15"/>
      <c r="MZK52" s="42"/>
      <c r="MZL52" s="2"/>
      <c r="MZM52" s="2"/>
      <c r="MZN52" s="2"/>
      <c r="MZO52" s="2"/>
      <c r="MZP52" s="42"/>
      <c r="MZQ52" s="42"/>
      <c r="MZR52" s="42"/>
      <c r="MZS52" s="42"/>
      <c r="MZT52" s="42"/>
      <c r="MZU52" s="42"/>
      <c r="MZV52" s="42"/>
      <c r="MZW52" s="42"/>
      <c r="MZX52" s="42"/>
      <c r="MZY52" s="42"/>
      <c r="MZZ52" s="42"/>
      <c r="NAA52" s="42"/>
      <c r="NAB52" s="42"/>
      <c r="NAC52" s="42"/>
      <c r="NAD52" s="42"/>
      <c r="NAE52" s="42"/>
      <c r="NAF52" s="42"/>
      <c r="NAG52" s="42"/>
      <c r="NAH52" s="42"/>
      <c r="NAI52" s="42"/>
      <c r="NAJ52" s="42"/>
      <c r="NAK52" s="42"/>
      <c r="NAL52" s="42"/>
      <c r="NAM52" s="2"/>
      <c r="NAN52" s="15"/>
      <c r="NAO52" s="42"/>
      <c r="NAP52" s="2"/>
      <c r="NAQ52" s="2"/>
      <c r="NAR52" s="2"/>
      <c r="NAS52" s="2"/>
      <c r="NAT52" s="42"/>
      <c r="NAU52" s="42"/>
      <c r="NAV52" s="42"/>
      <c r="NAW52" s="42"/>
      <c r="NAX52" s="42"/>
      <c r="NAY52" s="42"/>
      <c r="NAZ52" s="42"/>
      <c r="NBA52" s="42"/>
      <c r="NBB52" s="42"/>
      <c r="NBC52" s="42"/>
      <c r="NBD52" s="42"/>
      <c r="NBE52" s="42"/>
      <c r="NBF52" s="42"/>
      <c r="NBG52" s="42"/>
      <c r="NBH52" s="42"/>
      <c r="NBI52" s="42"/>
      <c r="NBJ52" s="42"/>
      <c r="NBK52" s="42"/>
      <c r="NBL52" s="42"/>
      <c r="NBM52" s="42"/>
      <c r="NBN52" s="42"/>
      <c r="NBO52" s="42"/>
      <c r="NBP52" s="42"/>
      <c r="NBQ52" s="2"/>
      <c r="NBR52" s="15"/>
      <c r="NBS52" s="42"/>
      <c r="NBT52" s="2"/>
      <c r="NBU52" s="2"/>
      <c r="NBV52" s="2"/>
      <c r="NBW52" s="2"/>
      <c r="NBX52" s="42"/>
      <c r="NBY52" s="42"/>
      <c r="NBZ52" s="42"/>
      <c r="NCA52" s="42"/>
      <c r="NCB52" s="42"/>
      <c r="NCC52" s="42"/>
      <c r="NCD52" s="42"/>
      <c r="NCE52" s="42"/>
      <c r="NCF52" s="42"/>
      <c r="NCG52" s="42"/>
      <c r="NCH52" s="42"/>
      <c r="NCI52" s="42"/>
      <c r="NCJ52" s="42"/>
      <c r="NCK52" s="42"/>
      <c r="NCL52" s="42"/>
      <c r="NCM52" s="42"/>
      <c r="NCN52" s="42"/>
      <c r="NCO52" s="42"/>
      <c r="NCP52" s="42"/>
      <c r="NCQ52" s="42"/>
      <c r="NCR52" s="42"/>
      <c r="NCS52" s="42"/>
      <c r="NCT52" s="42"/>
      <c r="NCU52" s="2"/>
      <c r="NCV52" s="15"/>
      <c r="NCW52" s="42"/>
      <c r="NCX52" s="2"/>
      <c r="NCY52" s="2"/>
      <c r="NCZ52" s="2"/>
      <c r="NDA52" s="2"/>
      <c r="NDB52" s="42"/>
      <c r="NDC52" s="42"/>
      <c r="NDD52" s="42"/>
      <c r="NDE52" s="42"/>
      <c r="NDF52" s="42"/>
      <c r="NDG52" s="42"/>
      <c r="NDH52" s="42"/>
      <c r="NDI52" s="42"/>
      <c r="NDJ52" s="42"/>
      <c r="NDK52" s="42"/>
      <c r="NDL52" s="42"/>
      <c r="NDM52" s="42"/>
      <c r="NDN52" s="42"/>
      <c r="NDO52" s="42"/>
      <c r="NDP52" s="42"/>
      <c r="NDQ52" s="42"/>
      <c r="NDR52" s="42"/>
      <c r="NDS52" s="42"/>
      <c r="NDT52" s="42"/>
      <c r="NDU52" s="42"/>
      <c r="NDV52" s="42"/>
      <c r="NDW52" s="42"/>
      <c r="NDX52" s="42"/>
      <c r="NDY52" s="2"/>
      <c r="NDZ52" s="15"/>
      <c r="NEA52" s="42"/>
      <c r="NEB52" s="2"/>
      <c r="NEC52" s="2"/>
      <c r="NED52" s="2"/>
      <c r="NEE52" s="2"/>
      <c r="NEF52" s="42"/>
      <c r="NEG52" s="42"/>
      <c r="NEH52" s="42"/>
      <c r="NEI52" s="42"/>
      <c r="NEJ52" s="42"/>
      <c r="NEK52" s="42"/>
      <c r="NEL52" s="42"/>
      <c r="NEM52" s="42"/>
      <c r="NEN52" s="42"/>
      <c r="NEO52" s="42"/>
      <c r="NEP52" s="42"/>
      <c r="NEQ52" s="42"/>
      <c r="NER52" s="42"/>
      <c r="NES52" s="42"/>
      <c r="NET52" s="42"/>
      <c r="NEU52" s="42"/>
      <c r="NEV52" s="42"/>
      <c r="NEW52" s="42"/>
      <c r="NEX52" s="42"/>
      <c r="NEY52" s="42"/>
      <c r="NEZ52" s="42"/>
      <c r="NFA52" s="42"/>
      <c r="NFB52" s="42"/>
      <c r="NFC52" s="2"/>
      <c r="NFD52" s="15"/>
      <c r="NFE52" s="42"/>
      <c r="NFF52" s="2"/>
      <c r="NFG52" s="2"/>
      <c r="NFH52" s="2"/>
      <c r="NFI52" s="2"/>
      <c r="NFJ52" s="42"/>
      <c r="NFK52" s="42"/>
      <c r="NFL52" s="42"/>
      <c r="NFM52" s="42"/>
      <c r="NFN52" s="42"/>
      <c r="NFO52" s="42"/>
      <c r="NFP52" s="42"/>
      <c r="NFQ52" s="42"/>
      <c r="NFR52" s="42"/>
      <c r="NFS52" s="42"/>
      <c r="NFT52" s="42"/>
      <c r="NFU52" s="42"/>
      <c r="NFV52" s="42"/>
      <c r="NFW52" s="42"/>
      <c r="NFX52" s="42"/>
      <c r="NFY52" s="42"/>
      <c r="NFZ52" s="42"/>
      <c r="NGA52" s="42"/>
      <c r="NGB52" s="42"/>
      <c r="NGC52" s="42"/>
      <c r="NGD52" s="42"/>
      <c r="NGE52" s="42"/>
      <c r="NGF52" s="42"/>
      <c r="NGG52" s="2"/>
      <c r="NGH52" s="15"/>
      <c r="NGI52" s="42"/>
      <c r="NGJ52" s="2"/>
      <c r="NGK52" s="2"/>
      <c r="NGL52" s="2"/>
      <c r="NGM52" s="2"/>
      <c r="NGN52" s="42"/>
      <c r="NGO52" s="42"/>
      <c r="NGP52" s="42"/>
      <c r="NGQ52" s="42"/>
      <c r="NGR52" s="42"/>
      <c r="NGS52" s="42"/>
      <c r="NGT52" s="42"/>
      <c r="NGU52" s="42"/>
      <c r="NGV52" s="42"/>
      <c r="NGW52" s="42"/>
      <c r="NGX52" s="42"/>
      <c r="NGY52" s="42"/>
      <c r="NGZ52" s="42"/>
      <c r="NHA52" s="42"/>
      <c r="NHB52" s="42"/>
      <c r="NHC52" s="42"/>
      <c r="NHD52" s="42"/>
      <c r="NHE52" s="42"/>
      <c r="NHF52" s="42"/>
      <c r="NHG52" s="42"/>
      <c r="NHH52" s="42"/>
      <c r="NHI52" s="42"/>
      <c r="NHJ52" s="42"/>
      <c r="NHK52" s="2"/>
      <c r="NHL52" s="15"/>
      <c r="NHM52" s="42"/>
      <c r="NHN52" s="2"/>
      <c r="NHO52" s="2"/>
      <c r="NHP52" s="2"/>
      <c r="NHQ52" s="2"/>
      <c r="NHR52" s="42"/>
      <c r="NHS52" s="42"/>
      <c r="NHT52" s="42"/>
      <c r="NHU52" s="42"/>
      <c r="NHV52" s="42"/>
      <c r="NHW52" s="42"/>
      <c r="NHX52" s="42"/>
      <c r="NHY52" s="42"/>
      <c r="NHZ52" s="42"/>
      <c r="NIA52" s="42"/>
      <c r="NIB52" s="42"/>
      <c r="NIC52" s="42"/>
      <c r="NID52" s="42"/>
      <c r="NIE52" s="42"/>
      <c r="NIF52" s="42"/>
      <c r="NIG52" s="42"/>
      <c r="NIH52" s="42"/>
      <c r="NII52" s="42"/>
      <c r="NIJ52" s="42"/>
      <c r="NIK52" s="42"/>
      <c r="NIL52" s="42"/>
      <c r="NIM52" s="42"/>
      <c r="NIN52" s="42"/>
      <c r="NIO52" s="2"/>
      <c r="NIP52" s="15"/>
      <c r="NIQ52" s="42"/>
      <c r="NIR52" s="2"/>
      <c r="NIS52" s="2"/>
      <c r="NIT52" s="2"/>
      <c r="NIU52" s="2"/>
      <c r="NIV52" s="42"/>
      <c r="NIW52" s="42"/>
      <c r="NIX52" s="42"/>
      <c r="NIY52" s="42"/>
      <c r="NIZ52" s="42"/>
      <c r="NJA52" s="42"/>
      <c r="NJB52" s="42"/>
      <c r="NJC52" s="42"/>
      <c r="NJD52" s="42"/>
      <c r="NJE52" s="42"/>
      <c r="NJF52" s="42"/>
      <c r="NJG52" s="42"/>
      <c r="NJH52" s="42"/>
      <c r="NJI52" s="42"/>
      <c r="NJJ52" s="42"/>
      <c r="NJK52" s="42"/>
      <c r="NJL52" s="42"/>
      <c r="NJM52" s="42"/>
      <c r="NJN52" s="42"/>
      <c r="NJO52" s="42"/>
      <c r="NJP52" s="42"/>
      <c r="NJQ52" s="42"/>
      <c r="NJR52" s="42"/>
      <c r="NJS52" s="2"/>
      <c r="NJT52" s="15"/>
      <c r="NJU52" s="42"/>
      <c r="NJV52" s="2"/>
      <c r="NJW52" s="2"/>
      <c r="NJX52" s="2"/>
      <c r="NJY52" s="2"/>
      <c r="NJZ52" s="42"/>
      <c r="NKA52" s="42"/>
      <c r="NKB52" s="42"/>
      <c r="NKC52" s="42"/>
      <c r="NKD52" s="42"/>
      <c r="NKE52" s="42"/>
      <c r="NKF52" s="42"/>
      <c r="NKG52" s="42"/>
      <c r="NKH52" s="42"/>
      <c r="NKI52" s="42"/>
      <c r="NKJ52" s="42"/>
      <c r="NKK52" s="42"/>
      <c r="NKL52" s="42"/>
      <c r="NKM52" s="42"/>
      <c r="NKN52" s="42"/>
      <c r="NKO52" s="42"/>
      <c r="NKP52" s="42"/>
      <c r="NKQ52" s="42"/>
      <c r="NKR52" s="42"/>
      <c r="NKS52" s="42"/>
      <c r="NKT52" s="42"/>
      <c r="NKU52" s="42"/>
      <c r="NKV52" s="42"/>
      <c r="NKW52" s="2"/>
      <c r="NKX52" s="15"/>
      <c r="NKY52" s="42"/>
      <c r="NKZ52" s="2"/>
      <c r="NLA52" s="2"/>
      <c r="NLB52" s="2"/>
      <c r="NLC52" s="2"/>
      <c r="NLD52" s="42"/>
      <c r="NLE52" s="42"/>
      <c r="NLF52" s="42"/>
      <c r="NLG52" s="42"/>
      <c r="NLH52" s="42"/>
      <c r="NLI52" s="42"/>
      <c r="NLJ52" s="42"/>
      <c r="NLK52" s="42"/>
      <c r="NLL52" s="42"/>
      <c r="NLM52" s="42"/>
      <c r="NLN52" s="42"/>
      <c r="NLO52" s="42"/>
      <c r="NLP52" s="42"/>
      <c r="NLQ52" s="42"/>
      <c r="NLR52" s="42"/>
      <c r="NLS52" s="42"/>
      <c r="NLT52" s="42"/>
      <c r="NLU52" s="42"/>
      <c r="NLV52" s="42"/>
      <c r="NLW52" s="42"/>
      <c r="NLX52" s="42"/>
      <c r="NLY52" s="42"/>
      <c r="NLZ52" s="42"/>
      <c r="NMA52" s="2"/>
      <c r="NMB52" s="15"/>
      <c r="NMC52" s="42"/>
      <c r="NMD52" s="2"/>
      <c r="NME52" s="2"/>
      <c r="NMF52" s="2"/>
      <c r="NMG52" s="2"/>
      <c r="NMH52" s="42"/>
      <c r="NMI52" s="42"/>
      <c r="NMJ52" s="42"/>
      <c r="NMK52" s="42"/>
      <c r="NML52" s="42"/>
      <c r="NMM52" s="42"/>
      <c r="NMN52" s="42"/>
      <c r="NMO52" s="42"/>
      <c r="NMP52" s="42"/>
      <c r="NMQ52" s="42"/>
      <c r="NMR52" s="42"/>
      <c r="NMS52" s="42"/>
      <c r="NMT52" s="42"/>
      <c r="NMU52" s="42"/>
      <c r="NMV52" s="42"/>
      <c r="NMW52" s="42"/>
      <c r="NMX52" s="42"/>
      <c r="NMY52" s="42"/>
      <c r="NMZ52" s="42"/>
      <c r="NNA52" s="42"/>
      <c r="NNB52" s="42"/>
      <c r="NNC52" s="42"/>
      <c r="NND52" s="42"/>
      <c r="NNE52" s="2"/>
      <c r="NNF52" s="15"/>
      <c r="NNG52" s="42"/>
      <c r="NNH52" s="2"/>
      <c r="NNI52" s="2"/>
      <c r="NNJ52" s="2"/>
      <c r="NNK52" s="2"/>
      <c r="NNL52" s="42"/>
      <c r="NNM52" s="42"/>
      <c r="NNN52" s="42"/>
      <c r="NNO52" s="42"/>
      <c r="NNP52" s="42"/>
      <c r="NNQ52" s="42"/>
      <c r="NNR52" s="42"/>
      <c r="NNS52" s="42"/>
      <c r="NNT52" s="42"/>
      <c r="NNU52" s="42"/>
      <c r="NNV52" s="42"/>
      <c r="NNW52" s="42"/>
      <c r="NNX52" s="42"/>
      <c r="NNY52" s="42"/>
      <c r="NNZ52" s="42"/>
      <c r="NOA52" s="42"/>
      <c r="NOB52" s="42"/>
      <c r="NOC52" s="42"/>
      <c r="NOD52" s="42"/>
      <c r="NOE52" s="42"/>
      <c r="NOF52" s="42"/>
      <c r="NOG52" s="42"/>
      <c r="NOH52" s="42"/>
      <c r="NOI52" s="2"/>
      <c r="NOJ52" s="15"/>
      <c r="NOK52" s="42"/>
      <c r="NOL52" s="2"/>
      <c r="NOM52" s="2"/>
      <c r="NON52" s="2"/>
      <c r="NOO52" s="2"/>
      <c r="NOP52" s="42"/>
      <c r="NOQ52" s="42"/>
      <c r="NOR52" s="42"/>
      <c r="NOS52" s="42"/>
      <c r="NOT52" s="42"/>
      <c r="NOU52" s="42"/>
      <c r="NOV52" s="42"/>
      <c r="NOW52" s="42"/>
      <c r="NOX52" s="42"/>
      <c r="NOY52" s="42"/>
      <c r="NOZ52" s="42"/>
      <c r="NPA52" s="42"/>
      <c r="NPB52" s="42"/>
      <c r="NPC52" s="42"/>
      <c r="NPD52" s="42"/>
      <c r="NPE52" s="42"/>
      <c r="NPF52" s="42"/>
      <c r="NPG52" s="42"/>
      <c r="NPH52" s="42"/>
      <c r="NPI52" s="42"/>
      <c r="NPJ52" s="42"/>
      <c r="NPK52" s="42"/>
      <c r="NPL52" s="42"/>
      <c r="NPM52" s="2"/>
      <c r="NPN52" s="15"/>
      <c r="NPO52" s="42"/>
      <c r="NPP52" s="2"/>
      <c r="NPQ52" s="2"/>
      <c r="NPR52" s="2"/>
      <c r="NPS52" s="2"/>
      <c r="NPT52" s="42"/>
      <c r="NPU52" s="42"/>
      <c r="NPV52" s="42"/>
      <c r="NPW52" s="42"/>
      <c r="NPX52" s="42"/>
      <c r="NPY52" s="42"/>
      <c r="NPZ52" s="42"/>
      <c r="NQA52" s="42"/>
      <c r="NQB52" s="42"/>
      <c r="NQC52" s="42"/>
      <c r="NQD52" s="42"/>
      <c r="NQE52" s="42"/>
      <c r="NQF52" s="42"/>
      <c r="NQG52" s="42"/>
      <c r="NQH52" s="42"/>
      <c r="NQI52" s="42"/>
      <c r="NQJ52" s="42"/>
      <c r="NQK52" s="42"/>
      <c r="NQL52" s="42"/>
      <c r="NQM52" s="42"/>
      <c r="NQN52" s="42"/>
      <c r="NQO52" s="42"/>
      <c r="NQP52" s="42"/>
      <c r="NQQ52" s="2"/>
      <c r="NQR52" s="15"/>
      <c r="NQS52" s="42"/>
      <c r="NQT52" s="2"/>
      <c r="NQU52" s="2"/>
      <c r="NQV52" s="2"/>
      <c r="NQW52" s="2"/>
      <c r="NQX52" s="42"/>
      <c r="NQY52" s="42"/>
      <c r="NQZ52" s="42"/>
      <c r="NRA52" s="42"/>
      <c r="NRB52" s="42"/>
      <c r="NRC52" s="42"/>
      <c r="NRD52" s="42"/>
      <c r="NRE52" s="42"/>
      <c r="NRF52" s="42"/>
      <c r="NRG52" s="42"/>
      <c r="NRH52" s="42"/>
      <c r="NRI52" s="42"/>
      <c r="NRJ52" s="42"/>
      <c r="NRK52" s="42"/>
      <c r="NRL52" s="42"/>
      <c r="NRM52" s="42"/>
      <c r="NRN52" s="42"/>
      <c r="NRO52" s="42"/>
      <c r="NRP52" s="42"/>
      <c r="NRQ52" s="42"/>
      <c r="NRR52" s="42"/>
      <c r="NRS52" s="42"/>
      <c r="NRT52" s="42"/>
      <c r="NRU52" s="2"/>
      <c r="NRV52" s="15"/>
      <c r="NRW52" s="42"/>
      <c r="NRX52" s="2"/>
      <c r="NRY52" s="2"/>
      <c r="NRZ52" s="2"/>
      <c r="NSA52" s="2"/>
      <c r="NSB52" s="42"/>
      <c r="NSC52" s="42"/>
      <c r="NSD52" s="42"/>
      <c r="NSE52" s="42"/>
      <c r="NSF52" s="42"/>
      <c r="NSG52" s="42"/>
      <c r="NSH52" s="42"/>
      <c r="NSI52" s="42"/>
      <c r="NSJ52" s="42"/>
      <c r="NSK52" s="42"/>
      <c r="NSL52" s="42"/>
      <c r="NSM52" s="42"/>
      <c r="NSN52" s="42"/>
      <c r="NSO52" s="42"/>
      <c r="NSP52" s="42"/>
      <c r="NSQ52" s="42"/>
      <c r="NSR52" s="42"/>
      <c r="NSS52" s="42"/>
      <c r="NST52" s="42"/>
      <c r="NSU52" s="42"/>
      <c r="NSV52" s="42"/>
      <c r="NSW52" s="42"/>
      <c r="NSX52" s="42"/>
      <c r="NSY52" s="2"/>
      <c r="NSZ52" s="15"/>
      <c r="NTA52" s="42"/>
      <c r="NTB52" s="2"/>
      <c r="NTC52" s="2"/>
      <c r="NTD52" s="2"/>
      <c r="NTE52" s="2"/>
      <c r="NTF52" s="42"/>
      <c r="NTG52" s="42"/>
      <c r="NTH52" s="42"/>
      <c r="NTI52" s="42"/>
      <c r="NTJ52" s="42"/>
      <c r="NTK52" s="42"/>
      <c r="NTL52" s="42"/>
      <c r="NTM52" s="42"/>
      <c r="NTN52" s="42"/>
      <c r="NTO52" s="42"/>
      <c r="NTP52" s="42"/>
      <c r="NTQ52" s="42"/>
      <c r="NTR52" s="42"/>
      <c r="NTS52" s="42"/>
      <c r="NTT52" s="42"/>
      <c r="NTU52" s="42"/>
      <c r="NTV52" s="42"/>
      <c r="NTW52" s="42"/>
      <c r="NTX52" s="42"/>
      <c r="NTY52" s="42"/>
      <c r="NTZ52" s="42"/>
      <c r="NUA52" s="42"/>
      <c r="NUB52" s="42"/>
      <c r="NUC52" s="2"/>
      <c r="NUD52" s="15"/>
      <c r="NUE52" s="42"/>
      <c r="NUF52" s="2"/>
      <c r="NUG52" s="2"/>
      <c r="NUH52" s="2"/>
      <c r="NUI52" s="2"/>
      <c r="NUJ52" s="42"/>
      <c r="NUK52" s="42"/>
      <c r="NUL52" s="42"/>
      <c r="NUM52" s="42"/>
      <c r="NUN52" s="42"/>
      <c r="NUO52" s="42"/>
      <c r="NUP52" s="42"/>
      <c r="NUQ52" s="42"/>
      <c r="NUR52" s="42"/>
      <c r="NUS52" s="42"/>
      <c r="NUT52" s="42"/>
      <c r="NUU52" s="42"/>
      <c r="NUV52" s="42"/>
      <c r="NUW52" s="42"/>
      <c r="NUX52" s="42"/>
      <c r="NUY52" s="42"/>
      <c r="NUZ52" s="42"/>
      <c r="NVA52" s="42"/>
      <c r="NVB52" s="42"/>
      <c r="NVC52" s="42"/>
      <c r="NVD52" s="42"/>
      <c r="NVE52" s="42"/>
      <c r="NVF52" s="42"/>
      <c r="NVG52" s="2"/>
      <c r="NVH52" s="15"/>
      <c r="NVI52" s="42"/>
      <c r="NVJ52" s="2"/>
      <c r="NVK52" s="2"/>
      <c r="NVL52" s="2"/>
      <c r="NVM52" s="2"/>
      <c r="NVN52" s="42"/>
      <c r="NVO52" s="42"/>
      <c r="NVP52" s="42"/>
      <c r="NVQ52" s="42"/>
      <c r="NVR52" s="42"/>
      <c r="NVS52" s="42"/>
      <c r="NVT52" s="42"/>
      <c r="NVU52" s="42"/>
      <c r="NVV52" s="42"/>
      <c r="NVW52" s="42"/>
      <c r="NVX52" s="42"/>
      <c r="NVY52" s="42"/>
      <c r="NVZ52" s="42"/>
      <c r="NWA52" s="42"/>
      <c r="NWB52" s="42"/>
      <c r="NWC52" s="42"/>
      <c r="NWD52" s="42"/>
      <c r="NWE52" s="42"/>
      <c r="NWF52" s="42"/>
      <c r="NWG52" s="42"/>
      <c r="NWH52" s="42"/>
      <c r="NWI52" s="42"/>
      <c r="NWJ52" s="42"/>
      <c r="NWK52" s="2"/>
      <c r="NWL52" s="15"/>
      <c r="NWM52" s="42"/>
      <c r="NWN52" s="2"/>
      <c r="NWO52" s="2"/>
      <c r="NWP52" s="2"/>
      <c r="NWQ52" s="2"/>
      <c r="NWR52" s="42"/>
      <c r="NWS52" s="42"/>
      <c r="NWT52" s="42"/>
      <c r="NWU52" s="42"/>
      <c r="NWV52" s="42"/>
      <c r="NWW52" s="42"/>
      <c r="NWX52" s="42"/>
      <c r="NWY52" s="42"/>
      <c r="NWZ52" s="42"/>
      <c r="NXA52" s="42"/>
      <c r="NXB52" s="42"/>
      <c r="NXC52" s="42"/>
      <c r="NXD52" s="42"/>
      <c r="NXE52" s="42"/>
      <c r="NXF52" s="42"/>
      <c r="NXG52" s="42"/>
      <c r="NXH52" s="42"/>
      <c r="NXI52" s="42"/>
      <c r="NXJ52" s="42"/>
      <c r="NXK52" s="42"/>
      <c r="NXL52" s="42"/>
      <c r="NXM52" s="42"/>
      <c r="NXN52" s="42"/>
      <c r="NXO52" s="2"/>
      <c r="NXP52" s="15"/>
      <c r="NXQ52" s="42"/>
      <c r="NXR52" s="2"/>
      <c r="NXS52" s="2"/>
      <c r="NXT52" s="2"/>
      <c r="NXU52" s="2"/>
      <c r="NXV52" s="42"/>
      <c r="NXW52" s="42"/>
      <c r="NXX52" s="42"/>
      <c r="NXY52" s="42"/>
      <c r="NXZ52" s="42"/>
      <c r="NYA52" s="42"/>
      <c r="NYB52" s="42"/>
      <c r="NYC52" s="42"/>
      <c r="NYD52" s="42"/>
      <c r="NYE52" s="42"/>
      <c r="NYF52" s="42"/>
      <c r="NYG52" s="42"/>
      <c r="NYH52" s="42"/>
      <c r="NYI52" s="42"/>
      <c r="NYJ52" s="42"/>
      <c r="NYK52" s="42"/>
      <c r="NYL52" s="42"/>
      <c r="NYM52" s="42"/>
      <c r="NYN52" s="42"/>
      <c r="NYO52" s="42"/>
      <c r="NYP52" s="42"/>
      <c r="NYQ52" s="42"/>
      <c r="NYR52" s="42"/>
      <c r="NYS52" s="2"/>
      <c r="NYT52" s="15"/>
      <c r="NYU52" s="42"/>
      <c r="NYV52" s="2"/>
      <c r="NYW52" s="2"/>
      <c r="NYX52" s="2"/>
      <c r="NYY52" s="2"/>
      <c r="NYZ52" s="42"/>
      <c r="NZA52" s="42"/>
      <c r="NZB52" s="42"/>
      <c r="NZC52" s="42"/>
      <c r="NZD52" s="42"/>
      <c r="NZE52" s="42"/>
      <c r="NZF52" s="42"/>
      <c r="NZG52" s="42"/>
      <c r="NZH52" s="42"/>
      <c r="NZI52" s="42"/>
      <c r="NZJ52" s="42"/>
      <c r="NZK52" s="42"/>
      <c r="NZL52" s="42"/>
      <c r="NZM52" s="42"/>
      <c r="NZN52" s="42"/>
      <c r="NZO52" s="42"/>
      <c r="NZP52" s="42"/>
      <c r="NZQ52" s="42"/>
      <c r="NZR52" s="42"/>
      <c r="NZS52" s="42"/>
      <c r="NZT52" s="42"/>
      <c r="NZU52" s="42"/>
      <c r="NZV52" s="42"/>
      <c r="NZW52" s="2"/>
      <c r="NZX52" s="15"/>
      <c r="NZY52" s="42"/>
      <c r="NZZ52" s="2"/>
      <c r="OAA52" s="2"/>
      <c r="OAB52" s="2"/>
      <c r="OAC52" s="2"/>
      <c r="OAD52" s="42"/>
      <c r="OAE52" s="42"/>
      <c r="OAF52" s="42"/>
      <c r="OAG52" s="42"/>
      <c r="OAH52" s="42"/>
      <c r="OAI52" s="42"/>
      <c r="OAJ52" s="42"/>
      <c r="OAK52" s="42"/>
      <c r="OAL52" s="42"/>
      <c r="OAM52" s="42"/>
      <c r="OAN52" s="42"/>
      <c r="OAO52" s="42"/>
      <c r="OAP52" s="42"/>
      <c r="OAQ52" s="42"/>
      <c r="OAR52" s="42"/>
      <c r="OAS52" s="42"/>
      <c r="OAT52" s="42"/>
      <c r="OAU52" s="42"/>
      <c r="OAV52" s="42"/>
      <c r="OAW52" s="42"/>
      <c r="OAX52" s="42"/>
      <c r="OAY52" s="42"/>
      <c r="OAZ52" s="42"/>
      <c r="OBA52" s="2"/>
      <c r="OBB52" s="15"/>
      <c r="OBC52" s="42"/>
      <c r="OBD52" s="2"/>
      <c r="OBE52" s="2"/>
      <c r="OBF52" s="2"/>
      <c r="OBG52" s="2"/>
      <c r="OBH52" s="42"/>
      <c r="OBI52" s="42"/>
      <c r="OBJ52" s="42"/>
      <c r="OBK52" s="42"/>
      <c r="OBL52" s="42"/>
      <c r="OBM52" s="42"/>
      <c r="OBN52" s="42"/>
      <c r="OBO52" s="42"/>
      <c r="OBP52" s="42"/>
      <c r="OBQ52" s="42"/>
      <c r="OBR52" s="42"/>
      <c r="OBS52" s="42"/>
      <c r="OBT52" s="42"/>
      <c r="OBU52" s="42"/>
      <c r="OBV52" s="42"/>
      <c r="OBW52" s="42"/>
      <c r="OBX52" s="42"/>
      <c r="OBY52" s="42"/>
      <c r="OBZ52" s="42"/>
      <c r="OCA52" s="42"/>
      <c r="OCB52" s="42"/>
      <c r="OCC52" s="42"/>
      <c r="OCD52" s="42"/>
      <c r="OCE52" s="2"/>
      <c r="OCF52" s="15"/>
      <c r="OCG52" s="42"/>
      <c r="OCH52" s="2"/>
      <c r="OCI52" s="2"/>
      <c r="OCJ52" s="2"/>
      <c r="OCK52" s="2"/>
      <c r="OCL52" s="42"/>
      <c r="OCM52" s="42"/>
      <c r="OCN52" s="42"/>
      <c r="OCO52" s="42"/>
      <c r="OCP52" s="42"/>
      <c r="OCQ52" s="42"/>
      <c r="OCR52" s="42"/>
      <c r="OCS52" s="42"/>
      <c r="OCT52" s="42"/>
      <c r="OCU52" s="42"/>
      <c r="OCV52" s="42"/>
      <c r="OCW52" s="42"/>
      <c r="OCX52" s="42"/>
      <c r="OCY52" s="42"/>
      <c r="OCZ52" s="42"/>
      <c r="ODA52" s="42"/>
      <c r="ODB52" s="42"/>
      <c r="ODC52" s="42"/>
      <c r="ODD52" s="42"/>
      <c r="ODE52" s="42"/>
      <c r="ODF52" s="42"/>
      <c r="ODG52" s="42"/>
      <c r="ODH52" s="42"/>
      <c r="ODI52" s="2"/>
      <c r="ODJ52" s="15"/>
      <c r="ODK52" s="42"/>
      <c r="ODL52" s="2"/>
      <c r="ODM52" s="2"/>
      <c r="ODN52" s="2"/>
      <c r="ODO52" s="2"/>
      <c r="ODP52" s="42"/>
      <c r="ODQ52" s="42"/>
      <c r="ODR52" s="42"/>
      <c r="ODS52" s="42"/>
      <c r="ODT52" s="42"/>
      <c r="ODU52" s="42"/>
      <c r="ODV52" s="42"/>
      <c r="ODW52" s="42"/>
      <c r="ODX52" s="42"/>
      <c r="ODY52" s="42"/>
      <c r="ODZ52" s="42"/>
      <c r="OEA52" s="42"/>
      <c r="OEB52" s="42"/>
      <c r="OEC52" s="42"/>
      <c r="OED52" s="42"/>
      <c r="OEE52" s="42"/>
      <c r="OEF52" s="42"/>
      <c r="OEG52" s="42"/>
      <c r="OEH52" s="42"/>
      <c r="OEI52" s="42"/>
      <c r="OEJ52" s="42"/>
      <c r="OEK52" s="42"/>
      <c r="OEL52" s="42"/>
      <c r="OEM52" s="2"/>
      <c r="OEN52" s="15"/>
      <c r="OEO52" s="42"/>
      <c r="OEP52" s="2"/>
      <c r="OEQ52" s="2"/>
      <c r="OER52" s="2"/>
      <c r="OES52" s="2"/>
      <c r="OET52" s="42"/>
      <c r="OEU52" s="42"/>
      <c r="OEV52" s="42"/>
      <c r="OEW52" s="42"/>
      <c r="OEX52" s="42"/>
      <c r="OEY52" s="42"/>
      <c r="OEZ52" s="42"/>
      <c r="OFA52" s="42"/>
      <c r="OFB52" s="42"/>
      <c r="OFC52" s="42"/>
      <c r="OFD52" s="42"/>
      <c r="OFE52" s="42"/>
      <c r="OFF52" s="42"/>
      <c r="OFG52" s="42"/>
      <c r="OFH52" s="42"/>
      <c r="OFI52" s="42"/>
      <c r="OFJ52" s="42"/>
      <c r="OFK52" s="42"/>
      <c r="OFL52" s="42"/>
      <c r="OFM52" s="42"/>
      <c r="OFN52" s="42"/>
      <c r="OFO52" s="42"/>
      <c r="OFP52" s="42"/>
      <c r="OFQ52" s="2"/>
      <c r="OFR52" s="15"/>
      <c r="OFS52" s="42"/>
      <c r="OFT52" s="2"/>
      <c r="OFU52" s="2"/>
      <c r="OFV52" s="2"/>
      <c r="OFW52" s="2"/>
      <c r="OFX52" s="42"/>
      <c r="OFY52" s="42"/>
      <c r="OFZ52" s="42"/>
      <c r="OGA52" s="42"/>
      <c r="OGB52" s="42"/>
      <c r="OGC52" s="42"/>
      <c r="OGD52" s="42"/>
      <c r="OGE52" s="42"/>
      <c r="OGF52" s="42"/>
      <c r="OGG52" s="42"/>
      <c r="OGH52" s="42"/>
      <c r="OGI52" s="42"/>
      <c r="OGJ52" s="42"/>
      <c r="OGK52" s="42"/>
      <c r="OGL52" s="42"/>
      <c r="OGM52" s="42"/>
      <c r="OGN52" s="42"/>
      <c r="OGO52" s="42"/>
      <c r="OGP52" s="42"/>
      <c r="OGQ52" s="42"/>
      <c r="OGR52" s="42"/>
      <c r="OGS52" s="42"/>
      <c r="OGT52" s="42"/>
      <c r="OGU52" s="2"/>
      <c r="OGV52" s="15"/>
      <c r="OGW52" s="42"/>
      <c r="OGX52" s="2"/>
      <c r="OGY52" s="2"/>
      <c r="OGZ52" s="2"/>
      <c r="OHA52" s="2"/>
      <c r="OHB52" s="42"/>
      <c r="OHC52" s="42"/>
      <c r="OHD52" s="42"/>
      <c r="OHE52" s="42"/>
      <c r="OHF52" s="42"/>
      <c r="OHG52" s="42"/>
      <c r="OHH52" s="42"/>
      <c r="OHI52" s="42"/>
      <c r="OHJ52" s="42"/>
      <c r="OHK52" s="42"/>
      <c r="OHL52" s="42"/>
      <c r="OHM52" s="42"/>
      <c r="OHN52" s="42"/>
      <c r="OHO52" s="42"/>
      <c r="OHP52" s="42"/>
      <c r="OHQ52" s="42"/>
      <c r="OHR52" s="42"/>
      <c r="OHS52" s="42"/>
      <c r="OHT52" s="42"/>
      <c r="OHU52" s="42"/>
      <c r="OHV52" s="42"/>
      <c r="OHW52" s="42"/>
      <c r="OHX52" s="42"/>
      <c r="OHY52" s="2"/>
      <c r="OHZ52" s="15"/>
      <c r="OIA52" s="42"/>
      <c r="OIB52" s="2"/>
      <c r="OIC52" s="2"/>
      <c r="OID52" s="2"/>
      <c r="OIE52" s="2"/>
      <c r="OIF52" s="42"/>
      <c r="OIG52" s="42"/>
      <c r="OIH52" s="42"/>
      <c r="OII52" s="42"/>
      <c r="OIJ52" s="42"/>
      <c r="OIK52" s="42"/>
      <c r="OIL52" s="42"/>
      <c r="OIM52" s="42"/>
      <c r="OIN52" s="42"/>
      <c r="OIO52" s="42"/>
      <c r="OIP52" s="42"/>
      <c r="OIQ52" s="42"/>
      <c r="OIR52" s="42"/>
      <c r="OIS52" s="42"/>
      <c r="OIT52" s="42"/>
      <c r="OIU52" s="42"/>
      <c r="OIV52" s="42"/>
      <c r="OIW52" s="42"/>
      <c r="OIX52" s="42"/>
      <c r="OIY52" s="42"/>
      <c r="OIZ52" s="42"/>
      <c r="OJA52" s="42"/>
      <c r="OJB52" s="42"/>
      <c r="OJC52" s="2"/>
      <c r="OJD52" s="15"/>
      <c r="OJE52" s="42"/>
      <c r="OJF52" s="2"/>
      <c r="OJG52" s="2"/>
      <c r="OJH52" s="2"/>
      <c r="OJI52" s="2"/>
      <c r="OJJ52" s="42"/>
      <c r="OJK52" s="42"/>
      <c r="OJL52" s="42"/>
      <c r="OJM52" s="42"/>
      <c r="OJN52" s="42"/>
      <c r="OJO52" s="42"/>
      <c r="OJP52" s="42"/>
      <c r="OJQ52" s="42"/>
      <c r="OJR52" s="42"/>
      <c r="OJS52" s="42"/>
      <c r="OJT52" s="42"/>
      <c r="OJU52" s="42"/>
      <c r="OJV52" s="42"/>
      <c r="OJW52" s="42"/>
      <c r="OJX52" s="42"/>
      <c r="OJY52" s="42"/>
      <c r="OJZ52" s="42"/>
      <c r="OKA52" s="42"/>
      <c r="OKB52" s="42"/>
      <c r="OKC52" s="42"/>
      <c r="OKD52" s="42"/>
      <c r="OKE52" s="42"/>
      <c r="OKF52" s="42"/>
      <c r="OKG52" s="2"/>
      <c r="OKH52" s="15"/>
      <c r="OKI52" s="42"/>
      <c r="OKJ52" s="2"/>
      <c r="OKK52" s="2"/>
      <c r="OKL52" s="2"/>
      <c r="OKM52" s="2"/>
      <c r="OKN52" s="42"/>
      <c r="OKO52" s="42"/>
      <c r="OKP52" s="42"/>
      <c r="OKQ52" s="42"/>
      <c r="OKR52" s="42"/>
      <c r="OKS52" s="42"/>
      <c r="OKT52" s="42"/>
      <c r="OKU52" s="42"/>
      <c r="OKV52" s="42"/>
      <c r="OKW52" s="42"/>
      <c r="OKX52" s="42"/>
      <c r="OKY52" s="42"/>
      <c r="OKZ52" s="42"/>
      <c r="OLA52" s="42"/>
      <c r="OLB52" s="42"/>
      <c r="OLC52" s="42"/>
      <c r="OLD52" s="42"/>
      <c r="OLE52" s="42"/>
      <c r="OLF52" s="42"/>
      <c r="OLG52" s="42"/>
      <c r="OLH52" s="42"/>
      <c r="OLI52" s="42"/>
      <c r="OLJ52" s="42"/>
      <c r="OLK52" s="2"/>
      <c r="OLL52" s="15"/>
      <c r="OLM52" s="42"/>
      <c r="OLN52" s="2"/>
      <c r="OLO52" s="2"/>
      <c r="OLP52" s="2"/>
      <c r="OLQ52" s="2"/>
      <c r="OLR52" s="42"/>
      <c r="OLS52" s="42"/>
      <c r="OLT52" s="42"/>
      <c r="OLU52" s="42"/>
      <c r="OLV52" s="42"/>
      <c r="OLW52" s="42"/>
      <c r="OLX52" s="42"/>
      <c r="OLY52" s="42"/>
      <c r="OLZ52" s="42"/>
      <c r="OMA52" s="42"/>
      <c r="OMB52" s="42"/>
      <c r="OMC52" s="42"/>
      <c r="OMD52" s="42"/>
      <c r="OME52" s="42"/>
      <c r="OMF52" s="42"/>
      <c r="OMG52" s="42"/>
      <c r="OMH52" s="42"/>
      <c r="OMI52" s="42"/>
      <c r="OMJ52" s="42"/>
      <c r="OMK52" s="42"/>
      <c r="OML52" s="42"/>
      <c r="OMM52" s="42"/>
      <c r="OMN52" s="42"/>
      <c r="OMO52" s="2"/>
      <c r="OMP52" s="15"/>
      <c r="OMQ52" s="42"/>
      <c r="OMR52" s="2"/>
      <c r="OMS52" s="2"/>
      <c r="OMT52" s="2"/>
      <c r="OMU52" s="2"/>
      <c r="OMV52" s="42"/>
      <c r="OMW52" s="42"/>
      <c r="OMX52" s="42"/>
      <c r="OMY52" s="42"/>
      <c r="OMZ52" s="42"/>
      <c r="ONA52" s="42"/>
      <c r="ONB52" s="42"/>
      <c r="ONC52" s="42"/>
      <c r="OND52" s="42"/>
      <c r="ONE52" s="42"/>
      <c r="ONF52" s="42"/>
      <c r="ONG52" s="42"/>
      <c r="ONH52" s="42"/>
      <c r="ONI52" s="42"/>
      <c r="ONJ52" s="42"/>
      <c r="ONK52" s="42"/>
      <c r="ONL52" s="42"/>
      <c r="ONM52" s="42"/>
      <c r="ONN52" s="42"/>
      <c r="ONO52" s="42"/>
      <c r="ONP52" s="42"/>
      <c r="ONQ52" s="42"/>
      <c r="ONR52" s="42"/>
      <c r="ONS52" s="2"/>
      <c r="ONT52" s="15"/>
      <c r="ONU52" s="42"/>
      <c r="ONV52" s="2"/>
      <c r="ONW52" s="2"/>
      <c r="ONX52" s="2"/>
      <c r="ONY52" s="2"/>
      <c r="ONZ52" s="42"/>
      <c r="OOA52" s="42"/>
      <c r="OOB52" s="42"/>
      <c r="OOC52" s="42"/>
      <c r="OOD52" s="42"/>
      <c r="OOE52" s="42"/>
      <c r="OOF52" s="42"/>
      <c r="OOG52" s="42"/>
      <c r="OOH52" s="42"/>
      <c r="OOI52" s="42"/>
      <c r="OOJ52" s="42"/>
      <c r="OOK52" s="42"/>
      <c r="OOL52" s="42"/>
      <c r="OOM52" s="42"/>
      <c r="OON52" s="42"/>
      <c r="OOO52" s="42"/>
      <c r="OOP52" s="42"/>
      <c r="OOQ52" s="42"/>
      <c r="OOR52" s="42"/>
      <c r="OOS52" s="42"/>
      <c r="OOT52" s="42"/>
      <c r="OOU52" s="42"/>
      <c r="OOV52" s="42"/>
      <c r="OOW52" s="2"/>
      <c r="OOX52" s="15"/>
      <c r="OOY52" s="42"/>
      <c r="OOZ52" s="2"/>
      <c r="OPA52" s="2"/>
      <c r="OPB52" s="2"/>
      <c r="OPC52" s="2"/>
      <c r="OPD52" s="42"/>
      <c r="OPE52" s="42"/>
      <c r="OPF52" s="42"/>
      <c r="OPG52" s="42"/>
      <c r="OPH52" s="42"/>
      <c r="OPI52" s="42"/>
      <c r="OPJ52" s="42"/>
      <c r="OPK52" s="42"/>
      <c r="OPL52" s="42"/>
      <c r="OPM52" s="42"/>
      <c r="OPN52" s="42"/>
      <c r="OPO52" s="42"/>
      <c r="OPP52" s="42"/>
      <c r="OPQ52" s="42"/>
      <c r="OPR52" s="42"/>
      <c r="OPS52" s="42"/>
      <c r="OPT52" s="42"/>
      <c r="OPU52" s="42"/>
      <c r="OPV52" s="42"/>
      <c r="OPW52" s="42"/>
      <c r="OPX52" s="42"/>
      <c r="OPY52" s="42"/>
      <c r="OPZ52" s="42"/>
      <c r="OQA52" s="2"/>
      <c r="OQB52" s="15"/>
      <c r="OQC52" s="42"/>
      <c r="OQD52" s="2"/>
      <c r="OQE52" s="2"/>
      <c r="OQF52" s="2"/>
      <c r="OQG52" s="2"/>
      <c r="OQH52" s="42"/>
      <c r="OQI52" s="42"/>
      <c r="OQJ52" s="42"/>
      <c r="OQK52" s="42"/>
      <c r="OQL52" s="42"/>
      <c r="OQM52" s="42"/>
      <c r="OQN52" s="42"/>
      <c r="OQO52" s="42"/>
      <c r="OQP52" s="42"/>
      <c r="OQQ52" s="42"/>
      <c r="OQR52" s="42"/>
      <c r="OQS52" s="42"/>
      <c r="OQT52" s="42"/>
      <c r="OQU52" s="42"/>
      <c r="OQV52" s="42"/>
      <c r="OQW52" s="42"/>
      <c r="OQX52" s="42"/>
      <c r="OQY52" s="42"/>
      <c r="OQZ52" s="42"/>
      <c r="ORA52" s="42"/>
      <c r="ORB52" s="42"/>
      <c r="ORC52" s="42"/>
      <c r="ORD52" s="42"/>
      <c r="ORE52" s="2"/>
      <c r="ORF52" s="15"/>
      <c r="ORG52" s="42"/>
      <c r="ORH52" s="2"/>
      <c r="ORI52" s="2"/>
      <c r="ORJ52" s="2"/>
      <c r="ORK52" s="2"/>
      <c r="ORL52" s="42"/>
      <c r="ORM52" s="42"/>
      <c r="ORN52" s="42"/>
      <c r="ORO52" s="42"/>
      <c r="ORP52" s="42"/>
      <c r="ORQ52" s="42"/>
      <c r="ORR52" s="42"/>
      <c r="ORS52" s="42"/>
      <c r="ORT52" s="42"/>
      <c r="ORU52" s="42"/>
      <c r="ORV52" s="42"/>
      <c r="ORW52" s="42"/>
      <c r="ORX52" s="42"/>
      <c r="ORY52" s="42"/>
      <c r="ORZ52" s="42"/>
      <c r="OSA52" s="42"/>
      <c r="OSB52" s="42"/>
      <c r="OSC52" s="42"/>
      <c r="OSD52" s="42"/>
      <c r="OSE52" s="42"/>
      <c r="OSF52" s="42"/>
      <c r="OSG52" s="42"/>
      <c r="OSH52" s="42"/>
      <c r="OSI52" s="2"/>
      <c r="OSJ52" s="15"/>
      <c r="OSK52" s="42"/>
      <c r="OSL52" s="2"/>
      <c r="OSM52" s="2"/>
      <c r="OSN52" s="2"/>
      <c r="OSO52" s="2"/>
      <c r="OSP52" s="42"/>
      <c r="OSQ52" s="42"/>
      <c r="OSR52" s="42"/>
      <c r="OSS52" s="42"/>
      <c r="OST52" s="42"/>
      <c r="OSU52" s="42"/>
      <c r="OSV52" s="42"/>
      <c r="OSW52" s="42"/>
      <c r="OSX52" s="42"/>
      <c r="OSY52" s="42"/>
      <c r="OSZ52" s="42"/>
      <c r="OTA52" s="42"/>
      <c r="OTB52" s="42"/>
      <c r="OTC52" s="42"/>
      <c r="OTD52" s="42"/>
      <c r="OTE52" s="42"/>
      <c r="OTF52" s="42"/>
      <c r="OTG52" s="42"/>
      <c r="OTH52" s="42"/>
      <c r="OTI52" s="42"/>
      <c r="OTJ52" s="42"/>
      <c r="OTK52" s="42"/>
      <c r="OTL52" s="42"/>
      <c r="OTM52" s="2"/>
      <c r="OTN52" s="15"/>
      <c r="OTO52" s="42"/>
      <c r="OTP52" s="2"/>
      <c r="OTQ52" s="2"/>
      <c r="OTR52" s="2"/>
      <c r="OTS52" s="2"/>
      <c r="OTT52" s="42"/>
      <c r="OTU52" s="42"/>
      <c r="OTV52" s="42"/>
      <c r="OTW52" s="42"/>
      <c r="OTX52" s="42"/>
      <c r="OTY52" s="42"/>
      <c r="OTZ52" s="42"/>
      <c r="OUA52" s="42"/>
      <c r="OUB52" s="42"/>
      <c r="OUC52" s="42"/>
      <c r="OUD52" s="42"/>
      <c r="OUE52" s="42"/>
      <c r="OUF52" s="42"/>
      <c r="OUG52" s="42"/>
      <c r="OUH52" s="42"/>
      <c r="OUI52" s="42"/>
      <c r="OUJ52" s="42"/>
      <c r="OUK52" s="42"/>
      <c r="OUL52" s="42"/>
      <c r="OUM52" s="42"/>
      <c r="OUN52" s="42"/>
      <c r="OUO52" s="42"/>
      <c r="OUP52" s="42"/>
      <c r="OUQ52" s="2"/>
      <c r="OUR52" s="15"/>
      <c r="OUS52" s="42"/>
      <c r="OUT52" s="2"/>
      <c r="OUU52" s="2"/>
      <c r="OUV52" s="2"/>
      <c r="OUW52" s="2"/>
      <c r="OUX52" s="42"/>
      <c r="OUY52" s="42"/>
      <c r="OUZ52" s="42"/>
      <c r="OVA52" s="42"/>
      <c r="OVB52" s="42"/>
      <c r="OVC52" s="42"/>
      <c r="OVD52" s="42"/>
      <c r="OVE52" s="42"/>
      <c r="OVF52" s="42"/>
      <c r="OVG52" s="42"/>
      <c r="OVH52" s="42"/>
      <c r="OVI52" s="42"/>
      <c r="OVJ52" s="42"/>
      <c r="OVK52" s="42"/>
      <c r="OVL52" s="42"/>
      <c r="OVM52" s="42"/>
      <c r="OVN52" s="42"/>
      <c r="OVO52" s="42"/>
      <c r="OVP52" s="42"/>
      <c r="OVQ52" s="42"/>
      <c r="OVR52" s="42"/>
      <c r="OVS52" s="42"/>
      <c r="OVT52" s="42"/>
      <c r="OVU52" s="2"/>
      <c r="OVV52" s="15"/>
      <c r="OVW52" s="42"/>
      <c r="OVX52" s="2"/>
      <c r="OVY52" s="2"/>
      <c r="OVZ52" s="2"/>
      <c r="OWA52" s="2"/>
      <c r="OWB52" s="42"/>
      <c r="OWC52" s="42"/>
      <c r="OWD52" s="42"/>
      <c r="OWE52" s="42"/>
      <c r="OWF52" s="42"/>
      <c r="OWG52" s="42"/>
      <c r="OWH52" s="42"/>
      <c r="OWI52" s="42"/>
      <c r="OWJ52" s="42"/>
      <c r="OWK52" s="42"/>
      <c r="OWL52" s="42"/>
      <c r="OWM52" s="42"/>
      <c r="OWN52" s="42"/>
      <c r="OWO52" s="42"/>
      <c r="OWP52" s="42"/>
      <c r="OWQ52" s="42"/>
      <c r="OWR52" s="42"/>
      <c r="OWS52" s="42"/>
      <c r="OWT52" s="42"/>
      <c r="OWU52" s="42"/>
      <c r="OWV52" s="42"/>
      <c r="OWW52" s="42"/>
      <c r="OWX52" s="42"/>
      <c r="OWY52" s="2"/>
      <c r="OWZ52" s="15"/>
      <c r="OXA52" s="42"/>
      <c r="OXB52" s="2"/>
      <c r="OXC52" s="2"/>
      <c r="OXD52" s="2"/>
      <c r="OXE52" s="2"/>
      <c r="OXF52" s="42"/>
      <c r="OXG52" s="42"/>
      <c r="OXH52" s="42"/>
      <c r="OXI52" s="42"/>
      <c r="OXJ52" s="42"/>
      <c r="OXK52" s="42"/>
      <c r="OXL52" s="42"/>
      <c r="OXM52" s="42"/>
      <c r="OXN52" s="42"/>
      <c r="OXO52" s="42"/>
      <c r="OXP52" s="42"/>
      <c r="OXQ52" s="42"/>
      <c r="OXR52" s="42"/>
      <c r="OXS52" s="42"/>
      <c r="OXT52" s="42"/>
      <c r="OXU52" s="42"/>
      <c r="OXV52" s="42"/>
      <c r="OXW52" s="42"/>
      <c r="OXX52" s="42"/>
      <c r="OXY52" s="42"/>
      <c r="OXZ52" s="42"/>
      <c r="OYA52" s="42"/>
      <c r="OYB52" s="42"/>
      <c r="OYC52" s="2"/>
      <c r="OYD52" s="15"/>
      <c r="OYE52" s="42"/>
      <c r="OYF52" s="2"/>
      <c r="OYG52" s="2"/>
      <c r="OYH52" s="2"/>
      <c r="OYI52" s="2"/>
      <c r="OYJ52" s="42"/>
      <c r="OYK52" s="42"/>
      <c r="OYL52" s="42"/>
      <c r="OYM52" s="42"/>
      <c r="OYN52" s="42"/>
      <c r="OYO52" s="42"/>
      <c r="OYP52" s="42"/>
      <c r="OYQ52" s="42"/>
      <c r="OYR52" s="42"/>
      <c r="OYS52" s="42"/>
      <c r="OYT52" s="42"/>
      <c r="OYU52" s="42"/>
      <c r="OYV52" s="42"/>
      <c r="OYW52" s="42"/>
      <c r="OYX52" s="42"/>
      <c r="OYY52" s="42"/>
      <c r="OYZ52" s="42"/>
      <c r="OZA52" s="42"/>
      <c r="OZB52" s="42"/>
      <c r="OZC52" s="42"/>
      <c r="OZD52" s="42"/>
      <c r="OZE52" s="42"/>
      <c r="OZF52" s="42"/>
      <c r="OZG52" s="2"/>
      <c r="OZH52" s="15"/>
      <c r="OZI52" s="42"/>
      <c r="OZJ52" s="2"/>
      <c r="OZK52" s="2"/>
      <c r="OZL52" s="2"/>
      <c r="OZM52" s="2"/>
      <c r="OZN52" s="42"/>
      <c r="OZO52" s="42"/>
      <c r="OZP52" s="42"/>
      <c r="OZQ52" s="42"/>
      <c r="OZR52" s="42"/>
      <c r="OZS52" s="42"/>
      <c r="OZT52" s="42"/>
      <c r="OZU52" s="42"/>
      <c r="OZV52" s="42"/>
      <c r="OZW52" s="42"/>
      <c r="OZX52" s="42"/>
      <c r="OZY52" s="42"/>
      <c r="OZZ52" s="42"/>
      <c r="PAA52" s="42"/>
      <c r="PAB52" s="42"/>
      <c r="PAC52" s="42"/>
      <c r="PAD52" s="42"/>
      <c r="PAE52" s="42"/>
      <c r="PAF52" s="42"/>
      <c r="PAG52" s="42"/>
      <c r="PAH52" s="42"/>
      <c r="PAI52" s="42"/>
      <c r="PAJ52" s="42"/>
      <c r="PAK52" s="2"/>
      <c r="PAL52" s="15"/>
      <c r="PAM52" s="42"/>
      <c r="PAN52" s="2"/>
      <c r="PAO52" s="2"/>
      <c r="PAP52" s="2"/>
      <c r="PAQ52" s="2"/>
      <c r="PAR52" s="42"/>
      <c r="PAS52" s="42"/>
      <c r="PAT52" s="42"/>
      <c r="PAU52" s="42"/>
      <c r="PAV52" s="42"/>
      <c r="PAW52" s="42"/>
      <c r="PAX52" s="42"/>
      <c r="PAY52" s="42"/>
      <c r="PAZ52" s="42"/>
      <c r="PBA52" s="42"/>
      <c r="PBB52" s="42"/>
      <c r="PBC52" s="42"/>
      <c r="PBD52" s="42"/>
      <c r="PBE52" s="42"/>
      <c r="PBF52" s="42"/>
      <c r="PBG52" s="42"/>
      <c r="PBH52" s="42"/>
      <c r="PBI52" s="42"/>
      <c r="PBJ52" s="42"/>
      <c r="PBK52" s="42"/>
      <c r="PBL52" s="42"/>
      <c r="PBM52" s="42"/>
      <c r="PBN52" s="42"/>
      <c r="PBO52" s="2"/>
      <c r="PBP52" s="15"/>
      <c r="PBQ52" s="42"/>
      <c r="PBR52" s="2"/>
      <c r="PBS52" s="2"/>
      <c r="PBT52" s="2"/>
      <c r="PBU52" s="2"/>
      <c r="PBV52" s="42"/>
      <c r="PBW52" s="42"/>
      <c r="PBX52" s="42"/>
      <c r="PBY52" s="42"/>
      <c r="PBZ52" s="42"/>
      <c r="PCA52" s="42"/>
      <c r="PCB52" s="42"/>
      <c r="PCC52" s="42"/>
      <c r="PCD52" s="42"/>
      <c r="PCE52" s="42"/>
      <c r="PCF52" s="42"/>
      <c r="PCG52" s="42"/>
      <c r="PCH52" s="42"/>
      <c r="PCI52" s="42"/>
      <c r="PCJ52" s="42"/>
      <c r="PCK52" s="42"/>
      <c r="PCL52" s="42"/>
      <c r="PCM52" s="42"/>
      <c r="PCN52" s="42"/>
      <c r="PCO52" s="42"/>
      <c r="PCP52" s="42"/>
      <c r="PCQ52" s="42"/>
      <c r="PCR52" s="42"/>
      <c r="PCS52" s="2"/>
      <c r="PCT52" s="15"/>
      <c r="PCU52" s="42"/>
      <c r="PCV52" s="2"/>
      <c r="PCW52" s="2"/>
      <c r="PCX52" s="2"/>
      <c r="PCY52" s="2"/>
      <c r="PCZ52" s="42"/>
      <c r="PDA52" s="42"/>
      <c r="PDB52" s="42"/>
      <c r="PDC52" s="42"/>
      <c r="PDD52" s="42"/>
      <c r="PDE52" s="42"/>
      <c r="PDF52" s="42"/>
      <c r="PDG52" s="42"/>
      <c r="PDH52" s="42"/>
      <c r="PDI52" s="42"/>
      <c r="PDJ52" s="42"/>
      <c r="PDK52" s="42"/>
      <c r="PDL52" s="42"/>
      <c r="PDM52" s="42"/>
      <c r="PDN52" s="42"/>
      <c r="PDO52" s="42"/>
      <c r="PDP52" s="42"/>
      <c r="PDQ52" s="42"/>
      <c r="PDR52" s="42"/>
      <c r="PDS52" s="42"/>
      <c r="PDT52" s="42"/>
      <c r="PDU52" s="42"/>
      <c r="PDV52" s="42"/>
      <c r="PDW52" s="2"/>
      <c r="PDX52" s="15"/>
      <c r="PDY52" s="42"/>
      <c r="PDZ52" s="2"/>
      <c r="PEA52" s="2"/>
      <c r="PEB52" s="2"/>
      <c r="PEC52" s="2"/>
      <c r="PED52" s="42"/>
      <c r="PEE52" s="42"/>
      <c r="PEF52" s="42"/>
      <c r="PEG52" s="42"/>
      <c r="PEH52" s="42"/>
      <c r="PEI52" s="42"/>
      <c r="PEJ52" s="42"/>
      <c r="PEK52" s="42"/>
      <c r="PEL52" s="42"/>
      <c r="PEM52" s="42"/>
      <c r="PEN52" s="42"/>
      <c r="PEO52" s="42"/>
      <c r="PEP52" s="42"/>
      <c r="PEQ52" s="42"/>
      <c r="PER52" s="42"/>
      <c r="PES52" s="42"/>
      <c r="PET52" s="42"/>
      <c r="PEU52" s="42"/>
      <c r="PEV52" s="42"/>
      <c r="PEW52" s="42"/>
      <c r="PEX52" s="42"/>
      <c r="PEY52" s="42"/>
      <c r="PEZ52" s="42"/>
      <c r="PFA52" s="2"/>
      <c r="PFB52" s="15"/>
      <c r="PFC52" s="42"/>
      <c r="PFD52" s="2"/>
      <c r="PFE52" s="2"/>
      <c r="PFF52" s="2"/>
      <c r="PFG52" s="2"/>
      <c r="PFH52" s="42"/>
      <c r="PFI52" s="42"/>
      <c r="PFJ52" s="42"/>
      <c r="PFK52" s="42"/>
      <c r="PFL52" s="42"/>
      <c r="PFM52" s="42"/>
      <c r="PFN52" s="42"/>
      <c r="PFO52" s="42"/>
      <c r="PFP52" s="42"/>
      <c r="PFQ52" s="42"/>
      <c r="PFR52" s="42"/>
      <c r="PFS52" s="42"/>
      <c r="PFT52" s="42"/>
      <c r="PFU52" s="42"/>
      <c r="PFV52" s="42"/>
      <c r="PFW52" s="42"/>
      <c r="PFX52" s="42"/>
      <c r="PFY52" s="42"/>
      <c r="PFZ52" s="42"/>
      <c r="PGA52" s="42"/>
      <c r="PGB52" s="42"/>
      <c r="PGC52" s="42"/>
      <c r="PGD52" s="42"/>
      <c r="PGE52" s="2"/>
      <c r="PGF52" s="15"/>
      <c r="PGG52" s="42"/>
      <c r="PGH52" s="2"/>
      <c r="PGI52" s="2"/>
      <c r="PGJ52" s="2"/>
      <c r="PGK52" s="2"/>
      <c r="PGL52" s="42"/>
      <c r="PGM52" s="42"/>
      <c r="PGN52" s="42"/>
      <c r="PGO52" s="42"/>
      <c r="PGP52" s="42"/>
      <c r="PGQ52" s="42"/>
      <c r="PGR52" s="42"/>
      <c r="PGS52" s="42"/>
      <c r="PGT52" s="42"/>
      <c r="PGU52" s="42"/>
      <c r="PGV52" s="42"/>
      <c r="PGW52" s="42"/>
      <c r="PGX52" s="42"/>
      <c r="PGY52" s="42"/>
      <c r="PGZ52" s="42"/>
      <c r="PHA52" s="42"/>
      <c r="PHB52" s="42"/>
      <c r="PHC52" s="42"/>
      <c r="PHD52" s="42"/>
      <c r="PHE52" s="42"/>
      <c r="PHF52" s="42"/>
      <c r="PHG52" s="42"/>
      <c r="PHH52" s="42"/>
      <c r="PHI52" s="2"/>
      <c r="PHJ52" s="15"/>
      <c r="PHK52" s="42"/>
      <c r="PHL52" s="2"/>
      <c r="PHM52" s="2"/>
      <c r="PHN52" s="2"/>
      <c r="PHO52" s="2"/>
      <c r="PHP52" s="42"/>
      <c r="PHQ52" s="42"/>
      <c r="PHR52" s="42"/>
      <c r="PHS52" s="42"/>
      <c r="PHT52" s="42"/>
      <c r="PHU52" s="42"/>
      <c r="PHV52" s="42"/>
      <c r="PHW52" s="42"/>
      <c r="PHX52" s="42"/>
      <c r="PHY52" s="42"/>
      <c r="PHZ52" s="42"/>
      <c r="PIA52" s="42"/>
      <c r="PIB52" s="42"/>
      <c r="PIC52" s="42"/>
      <c r="PID52" s="42"/>
      <c r="PIE52" s="42"/>
      <c r="PIF52" s="42"/>
      <c r="PIG52" s="42"/>
      <c r="PIH52" s="42"/>
      <c r="PII52" s="42"/>
      <c r="PIJ52" s="42"/>
      <c r="PIK52" s="42"/>
      <c r="PIL52" s="42"/>
      <c r="PIM52" s="2"/>
      <c r="PIN52" s="15"/>
      <c r="PIO52" s="42"/>
      <c r="PIP52" s="2"/>
      <c r="PIQ52" s="2"/>
      <c r="PIR52" s="2"/>
      <c r="PIS52" s="2"/>
      <c r="PIT52" s="42"/>
      <c r="PIU52" s="42"/>
      <c r="PIV52" s="42"/>
      <c r="PIW52" s="42"/>
      <c r="PIX52" s="42"/>
      <c r="PIY52" s="42"/>
      <c r="PIZ52" s="42"/>
      <c r="PJA52" s="42"/>
      <c r="PJB52" s="42"/>
      <c r="PJC52" s="42"/>
      <c r="PJD52" s="42"/>
      <c r="PJE52" s="42"/>
      <c r="PJF52" s="42"/>
      <c r="PJG52" s="42"/>
      <c r="PJH52" s="42"/>
      <c r="PJI52" s="42"/>
      <c r="PJJ52" s="42"/>
      <c r="PJK52" s="42"/>
      <c r="PJL52" s="42"/>
      <c r="PJM52" s="42"/>
      <c r="PJN52" s="42"/>
      <c r="PJO52" s="42"/>
      <c r="PJP52" s="42"/>
      <c r="PJQ52" s="2"/>
      <c r="PJR52" s="15"/>
      <c r="PJS52" s="42"/>
      <c r="PJT52" s="2"/>
      <c r="PJU52" s="2"/>
      <c r="PJV52" s="2"/>
      <c r="PJW52" s="2"/>
      <c r="PJX52" s="42"/>
      <c r="PJY52" s="42"/>
      <c r="PJZ52" s="42"/>
      <c r="PKA52" s="42"/>
      <c r="PKB52" s="42"/>
      <c r="PKC52" s="42"/>
      <c r="PKD52" s="42"/>
      <c r="PKE52" s="42"/>
      <c r="PKF52" s="42"/>
      <c r="PKG52" s="42"/>
      <c r="PKH52" s="42"/>
      <c r="PKI52" s="42"/>
      <c r="PKJ52" s="42"/>
      <c r="PKK52" s="42"/>
      <c r="PKL52" s="42"/>
      <c r="PKM52" s="42"/>
      <c r="PKN52" s="42"/>
      <c r="PKO52" s="42"/>
      <c r="PKP52" s="42"/>
      <c r="PKQ52" s="42"/>
      <c r="PKR52" s="42"/>
      <c r="PKS52" s="42"/>
      <c r="PKT52" s="42"/>
      <c r="PKU52" s="2"/>
      <c r="PKV52" s="15"/>
      <c r="PKW52" s="42"/>
      <c r="PKX52" s="2"/>
      <c r="PKY52" s="2"/>
      <c r="PKZ52" s="2"/>
      <c r="PLA52" s="2"/>
      <c r="PLB52" s="42"/>
      <c r="PLC52" s="42"/>
      <c r="PLD52" s="42"/>
      <c r="PLE52" s="42"/>
      <c r="PLF52" s="42"/>
      <c r="PLG52" s="42"/>
      <c r="PLH52" s="42"/>
      <c r="PLI52" s="42"/>
      <c r="PLJ52" s="42"/>
      <c r="PLK52" s="42"/>
      <c r="PLL52" s="42"/>
      <c r="PLM52" s="42"/>
      <c r="PLN52" s="42"/>
      <c r="PLO52" s="42"/>
      <c r="PLP52" s="42"/>
      <c r="PLQ52" s="42"/>
      <c r="PLR52" s="42"/>
      <c r="PLS52" s="42"/>
      <c r="PLT52" s="42"/>
      <c r="PLU52" s="42"/>
      <c r="PLV52" s="42"/>
      <c r="PLW52" s="42"/>
      <c r="PLX52" s="42"/>
      <c r="PLY52" s="2"/>
      <c r="PLZ52" s="15"/>
      <c r="PMA52" s="42"/>
      <c r="PMB52" s="2"/>
      <c r="PMC52" s="2"/>
      <c r="PMD52" s="2"/>
      <c r="PME52" s="2"/>
      <c r="PMF52" s="42"/>
      <c r="PMG52" s="42"/>
      <c r="PMH52" s="42"/>
      <c r="PMI52" s="42"/>
      <c r="PMJ52" s="42"/>
      <c r="PMK52" s="42"/>
      <c r="PML52" s="42"/>
      <c r="PMM52" s="42"/>
      <c r="PMN52" s="42"/>
      <c r="PMO52" s="42"/>
      <c r="PMP52" s="42"/>
      <c r="PMQ52" s="42"/>
      <c r="PMR52" s="42"/>
      <c r="PMS52" s="42"/>
      <c r="PMT52" s="42"/>
      <c r="PMU52" s="42"/>
      <c r="PMV52" s="42"/>
      <c r="PMW52" s="42"/>
      <c r="PMX52" s="42"/>
      <c r="PMY52" s="42"/>
      <c r="PMZ52" s="42"/>
      <c r="PNA52" s="42"/>
      <c r="PNB52" s="42"/>
      <c r="PNC52" s="2"/>
      <c r="PND52" s="15"/>
      <c r="PNE52" s="42"/>
      <c r="PNF52" s="2"/>
      <c r="PNG52" s="2"/>
      <c r="PNH52" s="2"/>
      <c r="PNI52" s="2"/>
      <c r="PNJ52" s="42"/>
      <c r="PNK52" s="42"/>
      <c r="PNL52" s="42"/>
      <c r="PNM52" s="42"/>
      <c r="PNN52" s="42"/>
      <c r="PNO52" s="42"/>
      <c r="PNP52" s="42"/>
      <c r="PNQ52" s="42"/>
      <c r="PNR52" s="42"/>
      <c r="PNS52" s="42"/>
      <c r="PNT52" s="42"/>
      <c r="PNU52" s="42"/>
      <c r="PNV52" s="42"/>
      <c r="PNW52" s="42"/>
      <c r="PNX52" s="42"/>
      <c r="PNY52" s="42"/>
      <c r="PNZ52" s="42"/>
      <c r="POA52" s="42"/>
      <c r="POB52" s="42"/>
      <c r="POC52" s="42"/>
      <c r="POD52" s="42"/>
      <c r="POE52" s="42"/>
      <c r="POF52" s="42"/>
      <c r="POG52" s="2"/>
      <c r="POH52" s="15"/>
      <c r="POI52" s="42"/>
      <c r="POJ52" s="2"/>
      <c r="POK52" s="2"/>
      <c r="POL52" s="2"/>
      <c r="POM52" s="2"/>
      <c r="PON52" s="42"/>
      <c r="POO52" s="42"/>
      <c r="POP52" s="42"/>
      <c r="POQ52" s="42"/>
      <c r="POR52" s="42"/>
      <c r="POS52" s="42"/>
      <c r="POT52" s="42"/>
      <c r="POU52" s="42"/>
      <c r="POV52" s="42"/>
      <c r="POW52" s="42"/>
      <c r="POX52" s="42"/>
      <c r="POY52" s="42"/>
      <c r="POZ52" s="42"/>
      <c r="PPA52" s="42"/>
      <c r="PPB52" s="42"/>
      <c r="PPC52" s="42"/>
      <c r="PPD52" s="42"/>
      <c r="PPE52" s="42"/>
      <c r="PPF52" s="42"/>
      <c r="PPG52" s="42"/>
      <c r="PPH52" s="42"/>
      <c r="PPI52" s="42"/>
      <c r="PPJ52" s="42"/>
      <c r="PPK52" s="2"/>
      <c r="PPL52" s="15"/>
      <c r="PPM52" s="42"/>
      <c r="PPN52" s="2"/>
      <c r="PPO52" s="2"/>
      <c r="PPP52" s="2"/>
      <c r="PPQ52" s="2"/>
      <c r="PPR52" s="42"/>
      <c r="PPS52" s="42"/>
      <c r="PPT52" s="42"/>
      <c r="PPU52" s="42"/>
      <c r="PPV52" s="42"/>
      <c r="PPW52" s="42"/>
      <c r="PPX52" s="42"/>
      <c r="PPY52" s="42"/>
      <c r="PPZ52" s="42"/>
      <c r="PQA52" s="42"/>
      <c r="PQB52" s="42"/>
      <c r="PQC52" s="42"/>
      <c r="PQD52" s="42"/>
      <c r="PQE52" s="42"/>
      <c r="PQF52" s="42"/>
      <c r="PQG52" s="42"/>
      <c r="PQH52" s="42"/>
      <c r="PQI52" s="42"/>
      <c r="PQJ52" s="42"/>
      <c r="PQK52" s="42"/>
      <c r="PQL52" s="42"/>
      <c r="PQM52" s="42"/>
      <c r="PQN52" s="42"/>
      <c r="PQO52" s="2"/>
      <c r="PQP52" s="15"/>
      <c r="PQQ52" s="42"/>
      <c r="PQR52" s="2"/>
      <c r="PQS52" s="2"/>
      <c r="PQT52" s="2"/>
      <c r="PQU52" s="2"/>
      <c r="PQV52" s="42"/>
      <c r="PQW52" s="42"/>
      <c r="PQX52" s="42"/>
      <c r="PQY52" s="42"/>
      <c r="PQZ52" s="42"/>
      <c r="PRA52" s="42"/>
      <c r="PRB52" s="42"/>
      <c r="PRC52" s="42"/>
      <c r="PRD52" s="42"/>
      <c r="PRE52" s="42"/>
      <c r="PRF52" s="42"/>
      <c r="PRG52" s="42"/>
      <c r="PRH52" s="42"/>
      <c r="PRI52" s="42"/>
      <c r="PRJ52" s="42"/>
      <c r="PRK52" s="42"/>
      <c r="PRL52" s="42"/>
      <c r="PRM52" s="42"/>
      <c r="PRN52" s="42"/>
      <c r="PRO52" s="42"/>
      <c r="PRP52" s="42"/>
      <c r="PRQ52" s="42"/>
      <c r="PRR52" s="42"/>
      <c r="PRS52" s="2"/>
      <c r="PRT52" s="15"/>
      <c r="PRU52" s="42"/>
      <c r="PRV52" s="2"/>
      <c r="PRW52" s="2"/>
      <c r="PRX52" s="2"/>
      <c r="PRY52" s="2"/>
      <c r="PRZ52" s="42"/>
      <c r="PSA52" s="42"/>
      <c r="PSB52" s="42"/>
      <c r="PSC52" s="42"/>
      <c r="PSD52" s="42"/>
      <c r="PSE52" s="42"/>
      <c r="PSF52" s="42"/>
      <c r="PSG52" s="42"/>
      <c r="PSH52" s="42"/>
      <c r="PSI52" s="42"/>
      <c r="PSJ52" s="42"/>
      <c r="PSK52" s="42"/>
      <c r="PSL52" s="42"/>
      <c r="PSM52" s="42"/>
      <c r="PSN52" s="42"/>
      <c r="PSO52" s="42"/>
      <c r="PSP52" s="42"/>
      <c r="PSQ52" s="42"/>
      <c r="PSR52" s="42"/>
      <c r="PSS52" s="42"/>
      <c r="PST52" s="42"/>
      <c r="PSU52" s="42"/>
      <c r="PSV52" s="42"/>
      <c r="PSW52" s="2"/>
      <c r="PSX52" s="15"/>
      <c r="PSY52" s="42"/>
      <c r="PSZ52" s="2"/>
      <c r="PTA52" s="2"/>
      <c r="PTB52" s="2"/>
      <c r="PTC52" s="2"/>
      <c r="PTD52" s="42"/>
      <c r="PTE52" s="42"/>
      <c r="PTF52" s="42"/>
      <c r="PTG52" s="42"/>
      <c r="PTH52" s="42"/>
      <c r="PTI52" s="42"/>
      <c r="PTJ52" s="42"/>
      <c r="PTK52" s="42"/>
      <c r="PTL52" s="42"/>
      <c r="PTM52" s="42"/>
      <c r="PTN52" s="42"/>
      <c r="PTO52" s="42"/>
      <c r="PTP52" s="42"/>
      <c r="PTQ52" s="42"/>
      <c r="PTR52" s="42"/>
      <c r="PTS52" s="42"/>
      <c r="PTT52" s="42"/>
      <c r="PTU52" s="42"/>
      <c r="PTV52" s="42"/>
      <c r="PTW52" s="42"/>
      <c r="PTX52" s="42"/>
      <c r="PTY52" s="42"/>
      <c r="PTZ52" s="42"/>
      <c r="PUA52" s="2"/>
      <c r="PUB52" s="15"/>
      <c r="PUC52" s="42"/>
      <c r="PUD52" s="2"/>
      <c r="PUE52" s="2"/>
      <c r="PUF52" s="2"/>
      <c r="PUG52" s="2"/>
      <c r="PUH52" s="42"/>
      <c r="PUI52" s="42"/>
      <c r="PUJ52" s="42"/>
      <c r="PUK52" s="42"/>
      <c r="PUL52" s="42"/>
      <c r="PUM52" s="42"/>
      <c r="PUN52" s="42"/>
      <c r="PUO52" s="42"/>
      <c r="PUP52" s="42"/>
      <c r="PUQ52" s="42"/>
      <c r="PUR52" s="42"/>
      <c r="PUS52" s="42"/>
      <c r="PUT52" s="42"/>
      <c r="PUU52" s="42"/>
      <c r="PUV52" s="42"/>
      <c r="PUW52" s="42"/>
      <c r="PUX52" s="42"/>
      <c r="PUY52" s="42"/>
      <c r="PUZ52" s="42"/>
      <c r="PVA52" s="42"/>
      <c r="PVB52" s="42"/>
      <c r="PVC52" s="42"/>
      <c r="PVD52" s="42"/>
      <c r="PVE52" s="2"/>
      <c r="PVF52" s="15"/>
      <c r="PVG52" s="42"/>
      <c r="PVH52" s="2"/>
      <c r="PVI52" s="2"/>
      <c r="PVJ52" s="2"/>
      <c r="PVK52" s="2"/>
      <c r="PVL52" s="42"/>
      <c r="PVM52" s="42"/>
      <c r="PVN52" s="42"/>
      <c r="PVO52" s="42"/>
      <c r="PVP52" s="42"/>
      <c r="PVQ52" s="42"/>
      <c r="PVR52" s="42"/>
      <c r="PVS52" s="42"/>
      <c r="PVT52" s="42"/>
      <c r="PVU52" s="42"/>
      <c r="PVV52" s="42"/>
      <c r="PVW52" s="42"/>
      <c r="PVX52" s="42"/>
      <c r="PVY52" s="42"/>
      <c r="PVZ52" s="42"/>
      <c r="PWA52" s="42"/>
      <c r="PWB52" s="42"/>
      <c r="PWC52" s="42"/>
      <c r="PWD52" s="42"/>
      <c r="PWE52" s="42"/>
      <c r="PWF52" s="42"/>
      <c r="PWG52" s="42"/>
      <c r="PWH52" s="42"/>
      <c r="PWI52" s="2"/>
      <c r="PWJ52" s="15"/>
      <c r="PWK52" s="42"/>
      <c r="PWL52" s="2"/>
      <c r="PWM52" s="2"/>
      <c r="PWN52" s="2"/>
      <c r="PWO52" s="2"/>
      <c r="PWP52" s="42"/>
      <c r="PWQ52" s="42"/>
      <c r="PWR52" s="42"/>
      <c r="PWS52" s="42"/>
      <c r="PWT52" s="42"/>
      <c r="PWU52" s="42"/>
      <c r="PWV52" s="42"/>
      <c r="PWW52" s="42"/>
      <c r="PWX52" s="42"/>
      <c r="PWY52" s="42"/>
      <c r="PWZ52" s="42"/>
      <c r="PXA52" s="42"/>
      <c r="PXB52" s="42"/>
      <c r="PXC52" s="42"/>
      <c r="PXD52" s="42"/>
      <c r="PXE52" s="42"/>
      <c r="PXF52" s="42"/>
      <c r="PXG52" s="42"/>
      <c r="PXH52" s="42"/>
      <c r="PXI52" s="42"/>
      <c r="PXJ52" s="42"/>
      <c r="PXK52" s="42"/>
      <c r="PXL52" s="42"/>
      <c r="PXM52" s="2"/>
      <c r="PXN52" s="15"/>
      <c r="PXO52" s="42"/>
      <c r="PXP52" s="2"/>
      <c r="PXQ52" s="2"/>
      <c r="PXR52" s="2"/>
      <c r="PXS52" s="2"/>
      <c r="PXT52" s="42"/>
      <c r="PXU52" s="42"/>
      <c r="PXV52" s="42"/>
      <c r="PXW52" s="42"/>
      <c r="PXX52" s="42"/>
      <c r="PXY52" s="42"/>
      <c r="PXZ52" s="42"/>
      <c r="PYA52" s="42"/>
      <c r="PYB52" s="42"/>
      <c r="PYC52" s="42"/>
      <c r="PYD52" s="42"/>
      <c r="PYE52" s="42"/>
      <c r="PYF52" s="42"/>
      <c r="PYG52" s="42"/>
      <c r="PYH52" s="42"/>
      <c r="PYI52" s="42"/>
      <c r="PYJ52" s="42"/>
      <c r="PYK52" s="42"/>
      <c r="PYL52" s="42"/>
      <c r="PYM52" s="42"/>
      <c r="PYN52" s="42"/>
      <c r="PYO52" s="42"/>
      <c r="PYP52" s="42"/>
      <c r="PYQ52" s="2"/>
      <c r="PYR52" s="15"/>
      <c r="PYS52" s="42"/>
      <c r="PYT52" s="2"/>
      <c r="PYU52" s="2"/>
      <c r="PYV52" s="2"/>
      <c r="PYW52" s="2"/>
      <c r="PYX52" s="42"/>
      <c r="PYY52" s="42"/>
      <c r="PYZ52" s="42"/>
      <c r="PZA52" s="42"/>
      <c r="PZB52" s="42"/>
      <c r="PZC52" s="42"/>
      <c r="PZD52" s="42"/>
      <c r="PZE52" s="42"/>
      <c r="PZF52" s="42"/>
      <c r="PZG52" s="42"/>
      <c r="PZH52" s="42"/>
      <c r="PZI52" s="42"/>
      <c r="PZJ52" s="42"/>
      <c r="PZK52" s="42"/>
      <c r="PZL52" s="42"/>
      <c r="PZM52" s="42"/>
      <c r="PZN52" s="42"/>
      <c r="PZO52" s="42"/>
      <c r="PZP52" s="42"/>
      <c r="PZQ52" s="42"/>
      <c r="PZR52" s="42"/>
      <c r="PZS52" s="42"/>
      <c r="PZT52" s="42"/>
      <c r="PZU52" s="2"/>
      <c r="PZV52" s="15"/>
      <c r="PZW52" s="42"/>
      <c r="PZX52" s="2"/>
      <c r="PZY52" s="2"/>
      <c r="PZZ52" s="2"/>
      <c r="QAA52" s="2"/>
      <c r="QAB52" s="42"/>
      <c r="QAC52" s="42"/>
      <c r="QAD52" s="42"/>
      <c r="QAE52" s="42"/>
      <c r="QAF52" s="42"/>
      <c r="QAG52" s="42"/>
      <c r="QAH52" s="42"/>
      <c r="QAI52" s="42"/>
      <c r="QAJ52" s="42"/>
      <c r="QAK52" s="42"/>
      <c r="QAL52" s="42"/>
      <c r="QAM52" s="42"/>
      <c r="QAN52" s="42"/>
      <c r="QAO52" s="42"/>
      <c r="QAP52" s="42"/>
      <c r="QAQ52" s="42"/>
      <c r="QAR52" s="42"/>
      <c r="QAS52" s="42"/>
      <c r="QAT52" s="42"/>
      <c r="QAU52" s="42"/>
      <c r="QAV52" s="42"/>
      <c r="QAW52" s="42"/>
      <c r="QAX52" s="42"/>
      <c r="QAY52" s="2"/>
      <c r="QAZ52" s="15"/>
      <c r="QBA52" s="42"/>
      <c r="QBB52" s="2"/>
      <c r="QBC52" s="2"/>
      <c r="QBD52" s="2"/>
      <c r="QBE52" s="2"/>
      <c r="QBF52" s="42"/>
      <c r="QBG52" s="42"/>
      <c r="QBH52" s="42"/>
      <c r="QBI52" s="42"/>
      <c r="QBJ52" s="42"/>
      <c r="QBK52" s="42"/>
      <c r="QBL52" s="42"/>
      <c r="QBM52" s="42"/>
      <c r="QBN52" s="42"/>
      <c r="QBO52" s="42"/>
      <c r="QBP52" s="42"/>
      <c r="QBQ52" s="42"/>
      <c r="QBR52" s="42"/>
      <c r="QBS52" s="42"/>
      <c r="QBT52" s="42"/>
      <c r="QBU52" s="42"/>
      <c r="QBV52" s="42"/>
      <c r="QBW52" s="42"/>
      <c r="QBX52" s="42"/>
      <c r="QBY52" s="42"/>
      <c r="QBZ52" s="42"/>
      <c r="QCA52" s="42"/>
      <c r="QCB52" s="42"/>
      <c r="QCC52" s="2"/>
      <c r="QCD52" s="15"/>
      <c r="QCE52" s="42"/>
      <c r="QCF52" s="2"/>
      <c r="QCG52" s="2"/>
      <c r="QCH52" s="2"/>
      <c r="QCI52" s="2"/>
      <c r="QCJ52" s="42"/>
      <c r="QCK52" s="42"/>
      <c r="QCL52" s="42"/>
      <c r="QCM52" s="42"/>
      <c r="QCN52" s="42"/>
      <c r="QCO52" s="42"/>
      <c r="QCP52" s="42"/>
      <c r="QCQ52" s="42"/>
      <c r="QCR52" s="42"/>
      <c r="QCS52" s="42"/>
      <c r="QCT52" s="42"/>
      <c r="QCU52" s="42"/>
      <c r="QCV52" s="42"/>
      <c r="QCW52" s="42"/>
      <c r="QCX52" s="42"/>
      <c r="QCY52" s="42"/>
      <c r="QCZ52" s="42"/>
      <c r="QDA52" s="42"/>
      <c r="QDB52" s="42"/>
      <c r="QDC52" s="42"/>
      <c r="QDD52" s="42"/>
      <c r="QDE52" s="42"/>
      <c r="QDF52" s="42"/>
      <c r="QDG52" s="2"/>
      <c r="QDH52" s="15"/>
      <c r="QDI52" s="42"/>
      <c r="QDJ52" s="2"/>
      <c r="QDK52" s="2"/>
      <c r="QDL52" s="2"/>
      <c r="QDM52" s="2"/>
      <c r="QDN52" s="42"/>
      <c r="QDO52" s="42"/>
      <c r="QDP52" s="42"/>
      <c r="QDQ52" s="42"/>
      <c r="QDR52" s="42"/>
      <c r="QDS52" s="42"/>
      <c r="QDT52" s="42"/>
      <c r="QDU52" s="42"/>
      <c r="QDV52" s="42"/>
      <c r="QDW52" s="42"/>
      <c r="QDX52" s="42"/>
      <c r="QDY52" s="42"/>
      <c r="QDZ52" s="42"/>
      <c r="QEA52" s="42"/>
      <c r="QEB52" s="42"/>
      <c r="QEC52" s="42"/>
      <c r="QED52" s="42"/>
      <c r="QEE52" s="42"/>
      <c r="QEF52" s="42"/>
      <c r="QEG52" s="42"/>
      <c r="QEH52" s="42"/>
      <c r="QEI52" s="42"/>
      <c r="QEJ52" s="42"/>
      <c r="QEK52" s="2"/>
      <c r="QEL52" s="15"/>
      <c r="QEM52" s="42"/>
      <c r="QEN52" s="2"/>
      <c r="QEO52" s="2"/>
      <c r="QEP52" s="2"/>
      <c r="QEQ52" s="2"/>
      <c r="QER52" s="42"/>
      <c r="QES52" s="42"/>
      <c r="QET52" s="42"/>
      <c r="QEU52" s="42"/>
      <c r="QEV52" s="42"/>
      <c r="QEW52" s="42"/>
      <c r="QEX52" s="42"/>
      <c r="QEY52" s="42"/>
      <c r="QEZ52" s="42"/>
      <c r="QFA52" s="42"/>
      <c r="QFB52" s="42"/>
      <c r="QFC52" s="42"/>
      <c r="QFD52" s="42"/>
      <c r="QFE52" s="42"/>
      <c r="QFF52" s="42"/>
      <c r="QFG52" s="42"/>
      <c r="QFH52" s="42"/>
      <c r="QFI52" s="42"/>
      <c r="QFJ52" s="42"/>
      <c r="QFK52" s="42"/>
      <c r="QFL52" s="42"/>
      <c r="QFM52" s="42"/>
      <c r="QFN52" s="42"/>
      <c r="QFO52" s="2"/>
      <c r="QFP52" s="15"/>
      <c r="QFQ52" s="42"/>
      <c r="QFR52" s="2"/>
      <c r="QFS52" s="2"/>
      <c r="QFT52" s="2"/>
      <c r="QFU52" s="2"/>
      <c r="QFV52" s="42"/>
      <c r="QFW52" s="42"/>
      <c r="QFX52" s="42"/>
      <c r="QFY52" s="42"/>
      <c r="QFZ52" s="42"/>
      <c r="QGA52" s="42"/>
      <c r="QGB52" s="42"/>
      <c r="QGC52" s="42"/>
      <c r="QGD52" s="42"/>
      <c r="QGE52" s="42"/>
      <c r="QGF52" s="42"/>
      <c r="QGG52" s="42"/>
      <c r="QGH52" s="42"/>
      <c r="QGI52" s="42"/>
      <c r="QGJ52" s="42"/>
      <c r="QGK52" s="42"/>
      <c r="QGL52" s="42"/>
      <c r="QGM52" s="42"/>
      <c r="QGN52" s="42"/>
      <c r="QGO52" s="42"/>
      <c r="QGP52" s="42"/>
      <c r="QGQ52" s="42"/>
      <c r="QGR52" s="42"/>
      <c r="QGS52" s="2"/>
      <c r="QGT52" s="15"/>
      <c r="QGU52" s="42"/>
      <c r="QGV52" s="2"/>
      <c r="QGW52" s="2"/>
      <c r="QGX52" s="2"/>
      <c r="QGY52" s="2"/>
      <c r="QGZ52" s="42"/>
      <c r="QHA52" s="42"/>
      <c r="QHB52" s="42"/>
      <c r="QHC52" s="42"/>
      <c r="QHD52" s="42"/>
      <c r="QHE52" s="42"/>
      <c r="QHF52" s="42"/>
      <c r="QHG52" s="42"/>
      <c r="QHH52" s="42"/>
      <c r="QHI52" s="42"/>
      <c r="QHJ52" s="42"/>
      <c r="QHK52" s="42"/>
      <c r="QHL52" s="42"/>
      <c r="QHM52" s="42"/>
      <c r="QHN52" s="42"/>
      <c r="QHO52" s="42"/>
      <c r="QHP52" s="42"/>
      <c r="QHQ52" s="42"/>
      <c r="QHR52" s="42"/>
      <c r="QHS52" s="42"/>
      <c r="QHT52" s="42"/>
      <c r="QHU52" s="42"/>
      <c r="QHV52" s="42"/>
      <c r="QHW52" s="2"/>
      <c r="QHX52" s="15"/>
      <c r="QHY52" s="42"/>
      <c r="QHZ52" s="2"/>
      <c r="QIA52" s="2"/>
      <c r="QIB52" s="2"/>
      <c r="QIC52" s="2"/>
      <c r="QID52" s="42"/>
      <c r="QIE52" s="42"/>
      <c r="QIF52" s="42"/>
      <c r="QIG52" s="42"/>
      <c r="QIH52" s="42"/>
      <c r="QII52" s="42"/>
      <c r="QIJ52" s="42"/>
      <c r="QIK52" s="42"/>
      <c r="QIL52" s="42"/>
      <c r="QIM52" s="42"/>
      <c r="QIN52" s="42"/>
      <c r="QIO52" s="42"/>
      <c r="QIP52" s="42"/>
      <c r="QIQ52" s="42"/>
      <c r="QIR52" s="42"/>
      <c r="QIS52" s="42"/>
      <c r="QIT52" s="42"/>
      <c r="QIU52" s="42"/>
      <c r="QIV52" s="42"/>
      <c r="QIW52" s="42"/>
      <c r="QIX52" s="42"/>
      <c r="QIY52" s="42"/>
      <c r="QIZ52" s="42"/>
      <c r="QJA52" s="2"/>
      <c r="QJB52" s="15"/>
      <c r="QJC52" s="42"/>
      <c r="QJD52" s="2"/>
      <c r="QJE52" s="2"/>
      <c r="QJF52" s="2"/>
      <c r="QJG52" s="2"/>
      <c r="QJH52" s="42"/>
      <c r="QJI52" s="42"/>
      <c r="QJJ52" s="42"/>
      <c r="QJK52" s="42"/>
      <c r="QJL52" s="42"/>
      <c r="QJM52" s="42"/>
      <c r="QJN52" s="42"/>
      <c r="QJO52" s="42"/>
      <c r="QJP52" s="42"/>
      <c r="QJQ52" s="42"/>
      <c r="QJR52" s="42"/>
      <c r="QJS52" s="42"/>
      <c r="QJT52" s="42"/>
      <c r="QJU52" s="42"/>
      <c r="QJV52" s="42"/>
      <c r="QJW52" s="42"/>
      <c r="QJX52" s="42"/>
      <c r="QJY52" s="42"/>
      <c r="QJZ52" s="42"/>
      <c r="QKA52" s="42"/>
      <c r="QKB52" s="42"/>
      <c r="QKC52" s="42"/>
      <c r="QKD52" s="42"/>
      <c r="QKE52" s="2"/>
      <c r="QKF52" s="15"/>
      <c r="QKG52" s="42"/>
      <c r="QKH52" s="2"/>
      <c r="QKI52" s="2"/>
      <c r="QKJ52" s="2"/>
      <c r="QKK52" s="2"/>
      <c r="QKL52" s="42"/>
      <c r="QKM52" s="42"/>
      <c r="QKN52" s="42"/>
      <c r="QKO52" s="42"/>
      <c r="QKP52" s="42"/>
      <c r="QKQ52" s="42"/>
      <c r="QKR52" s="42"/>
      <c r="QKS52" s="42"/>
      <c r="QKT52" s="42"/>
      <c r="QKU52" s="42"/>
      <c r="QKV52" s="42"/>
      <c r="QKW52" s="42"/>
      <c r="QKX52" s="42"/>
      <c r="QKY52" s="42"/>
      <c r="QKZ52" s="42"/>
      <c r="QLA52" s="42"/>
      <c r="QLB52" s="42"/>
      <c r="QLC52" s="42"/>
      <c r="QLD52" s="42"/>
      <c r="QLE52" s="42"/>
      <c r="QLF52" s="42"/>
      <c r="QLG52" s="42"/>
      <c r="QLH52" s="42"/>
      <c r="QLI52" s="2"/>
      <c r="QLJ52" s="15"/>
      <c r="QLK52" s="42"/>
      <c r="QLL52" s="2"/>
      <c r="QLM52" s="2"/>
      <c r="QLN52" s="2"/>
      <c r="QLO52" s="2"/>
      <c r="QLP52" s="42"/>
      <c r="QLQ52" s="42"/>
      <c r="QLR52" s="42"/>
      <c r="QLS52" s="42"/>
      <c r="QLT52" s="42"/>
      <c r="QLU52" s="42"/>
      <c r="QLV52" s="42"/>
      <c r="QLW52" s="42"/>
      <c r="QLX52" s="42"/>
      <c r="QLY52" s="42"/>
      <c r="QLZ52" s="42"/>
      <c r="QMA52" s="42"/>
      <c r="QMB52" s="42"/>
      <c r="QMC52" s="42"/>
      <c r="QMD52" s="42"/>
      <c r="QME52" s="42"/>
      <c r="QMF52" s="42"/>
      <c r="QMG52" s="42"/>
      <c r="QMH52" s="42"/>
      <c r="QMI52" s="42"/>
      <c r="QMJ52" s="42"/>
      <c r="QMK52" s="42"/>
      <c r="QML52" s="42"/>
      <c r="QMM52" s="2"/>
      <c r="QMN52" s="15"/>
      <c r="QMO52" s="42"/>
      <c r="QMP52" s="2"/>
      <c r="QMQ52" s="2"/>
      <c r="QMR52" s="2"/>
      <c r="QMS52" s="2"/>
      <c r="QMT52" s="42"/>
      <c r="QMU52" s="42"/>
      <c r="QMV52" s="42"/>
      <c r="QMW52" s="42"/>
      <c r="QMX52" s="42"/>
      <c r="QMY52" s="42"/>
      <c r="QMZ52" s="42"/>
      <c r="QNA52" s="42"/>
      <c r="QNB52" s="42"/>
      <c r="QNC52" s="42"/>
      <c r="QND52" s="42"/>
      <c r="QNE52" s="42"/>
      <c r="QNF52" s="42"/>
      <c r="QNG52" s="42"/>
      <c r="QNH52" s="42"/>
      <c r="QNI52" s="42"/>
      <c r="QNJ52" s="42"/>
      <c r="QNK52" s="42"/>
      <c r="QNL52" s="42"/>
      <c r="QNM52" s="42"/>
      <c r="QNN52" s="42"/>
      <c r="QNO52" s="42"/>
      <c r="QNP52" s="42"/>
      <c r="QNQ52" s="2"/>
      <c r="QNR52" s="15"/>
      <c r="QNS52" s="42"/>
      <c r="QNT52" s="2"/>
      <c r="QNU52" s="2"/>
      <c r="QNV52" s="2"/>
      <c r="QNW52" s="2"/>
      <c r="QNX52" s="42"/>
      <c r="QNY52" s="42"/>
      <c r="QNZ52" s="42"/>
      <c r="QOA52" s="42"/>
      <c r="QOB52" s="42"/>
      <c r="QOC52" s="42"/>
      <c r="QOD52" s="42"/>
      <c r="QOE52" s="42"/>
      <c r="QOF52" s="42"/>
      <c r="QOG52" s="42"/>
      <c r="QOH52" s="42"/>
      <c r="QOI52" s="42"/>
      <c r="QOJ52" s="42"/>
      <c r="QOK52" s="42"/>
      <c r="QOL52" s="42"/>
      <c r="QOM52" s="42"/>
      <c r="QON52" s="42"/>
      <c r="QOO52" s="42"/>
      <c r="QOP52" s="42"/>
      <c r="QOQ52" s="42"/>
      <c r="QOR52" s="42"/>
      <c r="QOS52" s="42"/>
      <c r="QOT52" s="42"/>
      <c r="QOU52" s="2"/>
      <c r="QOV52" s="15"/>
      <c r="QOW52" s="42"/>
      <c r="QOX52" s="2"/>
      <c r="QOY52" s="2"/>
      <c r="QOZ52" s="2"/>
      <c r="QPA52" s="2"/>
      <c r="QPB52" s="42"/>
      <c r="QPC52" s="42"/>
      <c r="QPD52" s="42"/>
      <c r="QPE52" s="42"/>
      <c r="QPF52" s="42"/>
      <c r="QPG52" s="42"/>
      <c r="QPH52" s="42"/>
      <c r="QPI52" s="42"/>
      <c r="QPJ52" s="42"/>
      <c r="QPK52" s="42"/>
      <c r="QPL52" s="42"/>
      <c r="QPM52" s="42"/>
      <c r="QPN52" s="42"/>
      <c r="QPO52" s="42"/>
      <c r="QPP52" s="42"/>
      <c r="QPQ52" s="42"/>
      <c r="QPR52" s="42"/>
      <c r="QPS52" s="42"/>
      <c r="QPT52" s="42"/>
      <c r="QPU52" s="42"/>
      <c r="QPV52" s="42"/>
      <c r="QPW52" s="42"/>
      <c r="QPX52" s="42"/>
      <c r="QPY52" s="2"/>
      <c r="QPZ52" s="15"/>
      <c r="QQA52" s="42"/>
      <c r="QQB52" s="2"/>
      <c r="QQC52" s="2"/>
      <c r="QQD52" s="2"/>
      <c r="QQE52" s="2"/>
      <c r="QQF52" s="42"/>
      <c r="QQG52" s="42"/>
      <c r="QQH52" s="42"/>
      <c r="QQI52" s="42"/>
      <c r="QQJ52" s="42"/>
      <c r="QQK52" s="42"/>
      <c r="QQL52" s="42"/>
      <c r="QQM52" s="42"/>
      <c r="QQN52" s="42"/>
      <c r="QQO52" s="42"/>
      <c r="QQP52" s="42"/>
      <c r="QQQ52" s="42"/>
      <c r="QQR52" s="42"/>
      <c r="QQS52" s="42"/>
      <c r="QQT52" s="42"/>
      <c r="QQU52" s="42"/>
      <c r="QQV52" s="42"/>
      <c r="QQW52" s="42"/>
      <c r="QQX52" s="42"/>
      <c r="QQY52" s="42"/>
      <c r="QQZ52" s="42"/>
      <c r="QRA52" s="42"/>
      <c r="QRB52" s="42"/>
      <c r="QRC52" s="2"/>
      <c r="QRD52" s="15"/>
      <c r="QRE52" s="42"/>
      <c r="QRF52" s="2"/>
      <c r="QRG52" s="2"/>
      <c r="QRH52" s="2"/>
      <c r="QRI52" s="2"/>
      <c r="QRJ52" s="42"/>
      <c r="QRK52" s="42"/>
      <c r="QRL52" s="42"/>
      <c r="QRM52" s="42"/>
      <c r="QRN52" s="42"/>
      <c r="QRO52" s="42"/>
      <c r="QRP52" s="42"/>
      <c r="QRQ52" s="42"/>
      <c r="QRR52" s="42"/>
      <c r="QRS52" s="42"/>
      <c r="QRT52" s="42"/>
      <c r="QRU52" s="42"/>
      <c r="QRV52" s="42"/>
      <c r="QRW52" s="42"/>
      <c r="QRX52" s="42"/>
      <c r="QRY52" s="42"/>
      <c r="QRZ52" s="42"/>
      <c r="QSA52" s="42"/>
      <c r="QSB52" s="42"/>
      <c r="QSC52" s="42"/>
      <c r="QSD52" s="42"/>
      <c r="QSE52" s="42"/>
      <c r="QSF52" s="42"/>
      <c r="QSG52" s="2"/>
      <c r="QSH52" s="15"/>
      <c r="QSI52" s="42"/>
      <c r="QSJ52" s="2"/>
      <c r="QSK52" s="2"/>
      <c r="QSL52" s="2"/>
      <c r="QSM52" s="2"/>
      <c r="QSN52" s="42"/>
      <c r="QSO52" s="42"/>
      <c r="QSP52" s="42"/>
      <c r="QSQ52" s="42"/>
      <c r="QSR52" s="42"/>
      <c r="QSS52" s="42"/>
      <c r="QST52" s="42"/>
      <c r="QSU52" s="42"/>
      <c r="QSV52" s="42"/>
      <c r="QSW52" s="42"/>
      <c r="QSX52" s="42"/>
      <c r="QSY52" s="42"/>
      <c r="QSZ52" s="42"/>
      <c r="QTA52" s="42"/>
      <c r="QTB52" s="42"/>
      <c r="QTC52" s="42"/>
      <c r="QTD52" s="42"/>
      <c r="QTE52" s="42"/>
      <c r="QTF52" s="42"/>
      <c r="QTG52" s="42"/>
      <c r="QTH52" s="42"/>
      <c r="QTI52" s="42"/>
      <c r="QTJ52" s="42"/>
      <c r="QTK52" s="2"/>
      <c r="QTL52" s="15"/>
      <c r="QTM52" s="42"/>
      <c r="QTN52" s="2"/>
      <c r="QTO52" s="2"/>
      <c r="QTP52" s="2"/>
      <c r="QTQ52" s="2"/>
      <c r="QTR52" s="42"/>
      <c r="QTS52" s="42"/>
      <c r="QTT52" s="42"/>
      <c r="QTU52" s="42"/>
      <c r="QTV52" s="42"/>
      <c r="QTW52" s="42"/>
      <c r="QTX52" s="42"/>
      <c r="QTY52" s="42"/>
      <c r="QTZ52" s="42"/>
      <c r="QUA52" s="42"/>
      <c r="QUB52" s="42"/>
      <c r="QUC52" s="42"/>
      <c r="QUD52" s="42"/>
      <c r="QUE52" s="42"/>
      <c r="QUF52" s="42"/>
      <c r="QUG52" s="42"/>
      <c r="QUH52" s="42"/>
      <c r="QUI52" s="42"/>
      <c r="QUJ52" s="42"/>
      <c r="QUK52" s="42"/>
      <c r="QUL52" s="42"/>
      <c r="QUM52" s="42"/>
      <c r="QUN52" s="42"/>
      <c r="QUO52" s="2"/>
      <c r="QUP52" s="15"/>
      <c r="QUQ52" s="42"/>
      <c r="QUR52" s="2"/>
      <c r="QUS52" s="2"/>
      <c r="QUT52" s="2"/>
      <c r="QUU52" s="2"/>
      <c r="QUV52" s="42"/>
      <c r="QUW52" s="42"/>
      <c r="QUX52" s="42"/>
      <c r="QUY52" s="42"/>
      <c r="QUZ52" s="42"/>
      <c r="QVA52" s="42"/>
      <c r="QVB52" s="42"/>
      <c r="QVC52" s="42"/>
      <c r="QVD52" s="42"/>
      <c r="QVE52" s="42"/>
      <c r="QVF52" s="42"/>
      <c r="QVG52" s="42"/>
      <c r="QVH52" s="42"/>
      <c r="QVI52" s="42"/>
      <c r="QVJ52" s="42"/>
      <c r="QVK52" s="42"/>
      <c r="QVL52" s="42"/>
      <c r="QVM52" s="42"/>
      <c r="QVN52" s="42"/>
      <c r="QVO52" s="42"/>
      <c r="QVP52" s="42"/>
      <c r="QVQ52" s="42"/>
      <c r="QVR52" s="42"/>
      <c r="QVS52" s="2"/>
      <c r="QVT52" s="15"/>
      <c r="QVU52" s="42"/>
      <c r="QVV52" s="2"/>
      <c r="QVW52" s="2"/>
      <c r="QVX52" s="2"/>
      <c r="QVY52" s="2"/>
      <c r="QVZ52" s="42"/>
      <c r="QWA52" s="42"/>
      <c r="QWB52" s="42"/>
      <c r="QWC52" s="42"/>
      <c r="QWD52" s="42"/>
      <c r="QWE52" s="42"/>
      <c r="QWF52" s="42"/>
      <c r="QWG52" s="42"/>
      <c r="QWH52" s="42"/>
      <c r="QWI52" s="42"/>
      <c r="QWJ52" s="42"/>
      <c r="QWK52" s="42"/>
      <c r="QWL52" s="42"/>
      <c r="QWM52" s="42"/>
      <c r="QWN52" s="42"/>
      <c r="QWO52" s="42"/>
      <c r="QWP52" s="42"/>
      <c r="QWQ52" s="42"/>
      <c r="QWR52" s="42"/>
      <c r="QWS52" s="42"/>
      <c r="QWT52" s="42"/>
      <c r="QWU52" s="42"/>
      <c r="QWV52" s="42"/>
      <c r="QWW52" s="2"/>
      <c r="QWX52" s="15"/>
      <c r="QWY52" s="42"/>
      <c r="QWZ52" s="2"/>
      <c r="QXA52" s="2"/>
      <c r="QXB52" s="2"/>
      <c r="QXC52" s="2"/>
      <c r="QXD52" s="42"/>
      <c r="QXE52" s="42"/>
      <c r="QXF52" s="42"/>
      <c r="QXG52" s="42"/>
      <c r="QXH52" s="42"/>
      <c r="QXI52" s="42"/>
      <c r="QXJ52" s="42"/>
      <c r="QXK52" s="42"/>
      <c r="QXL52" s="42"/>
      <c r="QXM52" s="42"/>
      <c r="QXN52" s="42"/>
      <c r="QXO52" s="42"/>
      <c r="QXP52" s="42"/>
      <c r="QXQ52" s="42"/>
      <c r="QXR52" s="42"/>
      <c r="QXS52" s="42"/>
      <c r="QXT52" s="42"/>
      <c r="QXU52" s="42"/>
      <c r="QXV52" s="42"/>
      <c r="QXW52" s="42"/>
      <c r="QXX52" s="42"/>
      <c r="QXY52" s="42"/>
      <c r="QXZ52" s="42"/>
      <c r="QYA52" s="2"/>
      <c r="QYB52" s="15"/>
      <c r="QYC52" s="42"/>
      <c r="QYD52" s="2"/>
      <c r="QYE52" s="2"/>
      <c r="QYF52" s="2"/>
      <c r="QYG52" s="2"/>
      <c r="QYH52" s="42"/>
      <c r="QYI52" s="42"/>
      <c r="QYJ52" s="42"/>
      <c r="QYK52" s="42"/>
      <c r="QYL52" s="42"/>
      <c r="QYM52" s="42"/>
      <c r="QYN52" s="42"/>
      <c r="QYO52" s="42"/>
      <c r="QYP52" s="42"/>
      <c r="QYQ52" s="42"/>
      <c r="QYR52" s="42"/>
      <c r="QYS52" s="42"/>
      <c r="QYT52" s="42"/>
      <c r="QYU52" s="42"/>
      <c r="QYV52" s="42"/>
      <c r="QYW52" s="42"/>
      <c r="QYX52" s="42"/>
      <c r="QYY52" s="42"/>
      <c r="QYZ52" s="42"/>
      <c r="QZA52" s="42"/>
      <c r="QZB52" s="42"/>
      <c r="QZC52" s="42"/>
      <c r="QZD52" s="42"/>
      <c r="QZE52" s="2"/>
      <c r="QZF52" s="15"/>
      <c r="QZG52" s="42"/>
      <c r="QZH52" s="2"/>
      <c r="QZI52" s="2"/>
      <c r="QZJ52" s="2"/>
      <c r="QZK52" s="2"/>
      <c r="QZL52" s="42"/>
      <c r="QZM52" s="42"/>
      <c r="QZN52" s="42"/>
      <c r="QZO52" s="42"/>
      <c r="QZP52" s="42"/>
      <c r="QZQ52" s="42"/>
      <c r="QZR52" s="42"/>
      <c r="QZS52" s="42"/>
      <c r="QZT52" s="42"/>
      <c r="QZU52" s="42"/>
      <c r="QZV52" s="42"/>
      <c r="QZW52" s="42"/>
      <c r="QZX52" s="42"/>
      <c r="QZY52" s="42"/>
      <c r="QZZ52" s="42"/>
      <c r="RAA52" s="42"/>
      <c r="RAB52" s="42"/>
      <c r="RAC52" s="42"/>
      <c r="RAD52" s="42"/>
      <c r="RAE52" s="42"/>
      <c r="RAF52" s="42"/>
      <c r="RAG52" s="42"/>
      <c r="RAH52" s="42"/>
      <c r="RAI52" s="2"/>
      <c r="RAJ52" s="15"/>
      <c r="RAK52" s="42"/>
      <c r="RAL52" s="2"/>
      <c r="RAM52" s="2"/>
      <c r="RAN52" s="2"/>
      <c r="RAO52" s="2"/>
      <c r="RAP52" s="42"/>
      <c r="RAQ52" s="42"/>
      <c r="RAR52" s="42"/>
      <c r="RAS52" s="42"/>
      <c r="RAT52" s="42"/>
      <c r="RAU52" s="42"/>
      <c r="RAV52" s="42"/>
      <c r="RAW52" s="42"/>
      <c r="RAX52" s="42"/>
      <c r="RAY52" s="42"/>
      <c r="RAZ52" s="42"/>
      <c r="RBA52" s="42"/>
      <c r="RBB52" s="42"/>
      <c r="RBC52" s="42"/>
      <c r="RBD52" s="42"/>
      <c r="RBE52" s="42"/>
      <c r="RBF52" s="42"/>
      <c r="RBG52" s="42"/>
      <c r="RBH52" s="42"/>
      <c r="RBI52" s="42"/>
      <c r="RBJ52" s="42"/>
      <c r="RBK52" s="42"/>
      <c r="RBL52" s="42"/>
      <c r="RBM52" s="2"/>
      <c r="RBN52" s="15"/>
      <c r="RBO52" s="42"/>
      <c r="RBP52" s="2"/>
      <c r="RBQ52" s="2"/>
      <c r="RBR52" s="2"/>
      <c r="RBS52" s="2"/>
      <c r="RBT52" s="42"/>
      <c r="RBU52" s="42"/>
      <c r="RBV52" s="42"/>
      <c r="RBW52" s="42"/>
      <c r="RBX52" s="42"/>
      <c r="RBY52" s="42"/>
      <c r="RBZ52" s="42"/>
      <c r="RCA52" s="42"/>
      <c r="RCB52" s="42"/>
      <c r="RCC52" s="42"/>
      <c r="RCD52" s="42"/>
      <c r="RCE52" s="42"/>
      <c r="RCF52" s="42"/>
      <c r="RCG52" s="42"/>
      <c r="RCH52" s="42"/>
      <c r="RCI52" s="42"/>
      <c r="RCJ52" s="42"/>
      <c r="RCK52" s="42"/>
      <c r="RCL52" s="42"/>
      <c r="RCM52" s="42"/>
      <c r="RCN52" s="42"/>
      <c r="RCO52" s="42"/>
      <c r="RCP52" s="42"/>
      <c r="RCQ52" s="2"/>
      <c r="RCR52" s="15"/>
      <c r="RCS52" s="42"/>
      <c r="RCT52" s="2"/>
      <c r="RCU52" s="2"/>
      <c r="RCV52" s="2"/>
      <c r="RCW52" s="2"/>
      <c r="RCX52" s="42"/>
      <c r="RCY52" s="42"/>
      <c r="RCZ52" s="42"/>
      <c r="RDA52" s="42"/>
      <c r="RDB52" s="42"/>
      <c r="RDC52" s="42"/>
      <c r="RDD52" s="42"/>
      <c r="RDE52" s="42"/>
      <c r="RDF52" s="42"/>
      <c r="RDG52" s="42"/>
      <c r="RDH52" s="42"/>
      <c r="RDI52" s="42"/>
      <c r="RDJ52" s="42"/>
      <c r="RDK52" s="42"/>
      <c r="RDL52" s="42"/>
      <c r="RDM52" s="42"/>
      <c r="RDN52" s="42"/>
      <c r="RDO52" s="42"/>
      <c r="RDP52" s="42"/>
      <c r="RDQ52" s="42"/>
      <c r="RDR52" s="42"/>
      <c r="RDS52" s="42"/>
      <c r="RDT52" s="42"/>
      <c r="RDU52" s="2"/>
      <c r="RDV52" s="15"/>
      <c r="RDW52" s="42"/>
      <c r="RDX52" s="2"/>
      <c r="RDY52" s="2"/>
      <c r="RDZ52" s="2"/>
      <c r="REA52" s="2"/>
      <c r="REB52" s="42"/>
      <c r="REC52" s="42"/>
      <c r="RED52" s="42"/>
      <c r="REE52" s="42"/>
      <c r="REF52" s="42"/>
      <c r="REG52" s="42"/>
      <c r="REH52" s="42"/>
      <c r="REI52" s="42"/>
      <c r="REJ52" s="42"/>
      <c r="REK52" s="42"/>
      <c r="REL52" s="42"/>
      <c r="REM52" s="42"/>
      <c r="REN52" s="42"/>
      <c r="REO52" s="42"/>
      <c r="REP52" s="42"/>
      <c r="REQ52" s="42"/>
      <c r="RER52" s="42"/>
      <c r="RES52" s="42"/>
      <c r="RET52" s="42"/>
      <c r="REU52" s="42"/>
      <c r="REV52" s="42"/>
      <c r="REW52" s="42"/>
      <c r="REX52" s="42"/>
      <c r="REY52" s="2"/>
      <c r="REZ52" s="15"/>
      <c r="RFA52" s="42"/>
      <c r="RFB52" s="2"/>
      <c r="RFC52" s="2"/>
      <c r="RFD52" s="2"/>
      <c r="RFE52" s="2"/>
      <c r="RFF52" s="42"/>
      <c r="RFG52" s="42"/>
      <c r="RFH52" s="42"/>
      <c r="RFI52" s="42"/>
      <c r="RFJ52" s="42"/>
      <c r="RFK52" s="42"/>
      <c r="RFL52" s="42"/>
      <c r="RFM52" s="42"/>
      <c r="RFN52" s="42"/>
      <c r="RFO52" s="42"/>
      <c r="RFP52" s="42"/>
      <c r="RFQ52" s="42"/>
      <c r="RFR52" s="42"/>
      <c r="RFS52" s="42"/>
      <c r="RFT52" s="42"/>
      <c r="RFU52" s="42"/>
      <c r="RFV52" s="42"/>
      <c r="RFW52" s="42"/>
      <c r="RFX52" s="42"/>
      <c r="RFY52" s="42"/>
      <c r="RFZ52" s="42"/>
      <c r="RGA52" s="42"/>
      <c r="RGB52" s="42"/>
      <c r="RGC52" s="2"/>
      <c r="RGD52" s="15"/>
      <c r="RGE52" s="42"/>
      <c r="RGF52" s="2"/>
      <c r="RGG52" s="2"/>
      <c r="RGH52" s="2"/>
      <c r="RGI52" s="2"/>
      <c r="RGJ52" s="42"/>
      <c r="RGK52" s="42"/>
      <c r="RGL52" s="42"/>
      <c r="RGM52" s="42"/>
      <c r="RGN52" s="42"/>
      <c r="RGO52" s="42"/>
      <c r="RGP52" s="42"/>
      <c r="RGQ52" s="42"/>
      <c r="RGR52" s="42"/>
      <c r="RGS52" s="42"/>
      <c r="RGT52" s="42"/>
      <c r="RGU52" s="42"/>
      <c r="RGV52" s="42"/>
      <c r="RGW52" s="42"/>
      <c r="RGX52" s="42"/>
      <c r="RGY52" s="42"/>
      <c r="RGZ52" s="42"/>
      <c r="RHA52" s="42"/>
      <c r="RHB52" s="42"/>
      <c r="RHC52" s="42"/>
      <c r="RHD52" s="42"/>
      <c r="RHE52" s="42"/>
      <c r="RHF52" s="42"/>
      <c r="RHG52" s="2"/>
      <c r="RHH52" s="15"/>
      <c r="RHI52" s="42"/>
      <c r="RHJ52" s="2"/>
      <c r="RHK52" s="2"/>
      <c r="RHL52" s="2"/>
      <c r="RHM52" s="2"/>
      <c r="RHN52" s="42"/>
      <c r="RHO52" s="42"/>
      <c r="RHP52" s="42"/>
      <c r="RHQ52" s="42"/>
      <c r="RHR52" s="42"/>
      <c r="RHS52" s="42"/>
      <c r="RHT52" s="42"/>
      <c r="RHU52" s="42"/>
      <c r="RHV52" s="42"/>
      <c r="RHW52" s="42"/>
      <c r="RHX52" s="42"/>
      <c r="RHY52" s="42"/>
      <c r="RHZ52" s="42"/>
      <c r="RIA52" s="42"/>
      <c r="RIB52" s="42"/>
      <c r="RIC52" s="42"/>
      <c r="RID52" s="42"/>
      <c r="RIE52" s="42"/>
      <c r="RIF52" s="42"/>
      <c r="RIG52" s="42"/>
      <c r="RIH52" s="42"/>
      <c r="RII52" s="42"/>
      <c r="RIJ52" s="42"/>
      <c r="RIK52" s="2"/>
      <c r="RIL52" s="15"/>
      <c r="RIM52" s="42"/>
      <c r="RIN52" s="2"/>
      <c r="RIO52" s="2"/>
      <c r="RIP52" s="2"/>
      <c r="RIQ52" s="2"/>
      <c r="RIR52" s="42"/>
      <c r="RIS52" s="42"/>
      <c r="RIT52" s="42"/>
      <c r="RIU52" s="42"/>
      <c r="RIV52" s="42"/>
      <c r="RIW52" s="42"/>
      <c r="RIX52" s="42"/>
      <c r="RIY52" s="42"/>
      <c r="RIZ52" s="42"/>
      <c r="RJA52" s="42"/>
      <c r="RJB52" s="42"/>
      <c r="RJC52" s="42"/>
      <c r="RJD52" s="42"/>
      <c r="RJE52" s="42"/>
      <c r="RJF52" s="42"/>
      <c r="RJG52" s="42"/>
      <c r="RJH52" s="42"/>
      <c r="RJI52" s="42"/>
      <c r="RJJ52" s="42"/>
      <c r="RJK52" s="42"/>
      <c r="RJL52" s="42"/>
      <c r="RJM52" s="42"/>
      <c r="RJN52" s="42"/>
      <c r="RJO52" s="2"/>
      <c r="RJP52" s="15"/>
      <c r="RJQ52" s="42"/>
      <c r="RJR52" s="2"/>
      <c r="RJS52" s="2"/>
      <c r="RJT52" s="2"/>
      <c r="RJU52" s="2"/>
      <c r="RJV52" s="42"/>
      <c r="RJW52" s="42"/>
      <c r="RJX52" s="42"/>
      <c r="RJY52" s="42"/>
      <c r="RJZ52" s="42"/>
      <c r="RKA52" s="42"/>
      <c r="RKB52" s="42"/>
      <c r="RKC52" s="42"/>
      <c r="RKD52" s="42"/>
      <c r="RKE52" s="42"/>
      <c r="RKF52" s="42"/>
      <c r="RKG52" s="42"/>
      <c r="RKH52" s="42"/>
      <c r="RKI52" s="42"/>
      <c r="RKJ52" s="42"/>
      <c r="RKK52" s="42"/>
      <c r="RKL52" s="42"/>
      <c r="RKM52" s="42"/>
      <c r="RKN52" s="42"/>
      <c r="RKO52" s="42"/>
      <c r="RKP52" s="42"/>
      <c r="RKQ52" s="42"/>
      <c r="RKR52" s="42"/>
      <c r="RKS52" s="2"/>
      <c r="RKT52" s="15"/>
      <c r="RKU52" s="42"/>
      <c r="RKV52" s="2"/>
      <c r="RKW52" s="2"/>
      <c r="RKX52" s="2"/>
      <c r="RKY52" s="2"/>
      <c r="RKZ52" s="42"/>
      <c r="RLA52" s="42"/>
      <c r="RLB52" s="42"/>
      <c r="RLC52" s="42"/>
      <c r="RLD52" s="42"/>
      <c r="RLE52" s="42"/>
      <c r="RLF52" s="42"/>
      <c r="RLG52" s="42"/>
      <c r="RLH52" s="42"/>
      <c r="RLI52" s="42"/>
      <c r="RLJ52" s="42"/>
      <c r="RLK52" s="42"/>
      <c r="RLL52" s="42"/>
      <c r="RLM52" s="42"/>
      <c r="RLN52" s="42"/>
      <c r="RLO52" s="42"/>
      <c r="RLP52" s="42"/>
      <c r="RLQ52" s="42"/>
      <c r="RLR52" s="42"/>
      <c r="RLS52" s="42"/>
      <c r="RLT52" s="42"/>
      <c r="RLU52" s="42"/>
      <c r="RLV52" s="42"/>
      <c r="RLW52" s="2"/>
      <c r="RLX52" s="15"/>
      <c r="RLY52" s="42"/>
      <c r="RLZ52" s="2"/>
      <c r="RMA52" s="2"/>
      <c r="RMB52" s="2"/>
      <c r="RMC52" s="2"/>
      <c r="RMD52" s="42"/>
      <c r="RME52" s="42"/>
      <c r="RMF52" s="42"/>
      <c r="RMG52" s="42"/>
      <c r="RMH52" s="42"/>
      <c r="RMI52" s="42"/>
      <c r="RMJ52" s="42"/>
      <c r="RMK52" s="42"/>
      <c r="RML52" s="42"/>
      <c r="RMM52" s="42"/>
      <c r="RMN52" s="42"/>
      <c r="RMO52" s="42"/>
      <c r="RMP52" s="42"/>
      <c r="RMQ52" s="42"/>
      <c r="RMR52" s="42"/>
      <c r="RMS52" s="42"/>
      <c r="RMT52" s="42"/>
      <c r="RMU52" s="42"/>
      <c r="RMV52" s="42"/>
      <c r="RMW52" s="42"/>
      <c r="RMX52" s="42"/>
      <c r="RMY52" s="42"/>
      <c r="RMZ52" s="42"/>
      <c r="RNA52" s="2"/>
      <c r="RNB52" s="15"/>
      <c r="RNC52" s="42"/>
      <c r="RND52" s="2"/>
      <c r="RNE52" s="2"/>
      <c r="RNF52" s="2"/>
      <c r="RNG52" s="2"/>
      <c r="RNH52" s="42"/>
      <c r="RNI52" s="42"/>
      <c r="RNJ52" s="42"/>
      <c r="RNK52" s="42"/>
      <c r="RNL52" s="42"/>
      <c r="RNM52" s="42"/>
      <c r="RNN52" s="42"/>
      <c r="RNO52" s="42"/>
      <c r="RNP52" s="42"/>
      <c r="RNQ52" s="42"/>
      <c r="RNR52" s="42"/>
      <c r="RNS52" s="42"/>
      <c r="RNT52" s="42"/>
      <c r="RNU52" s="42"/>
      <c r="RNV52" s="42"/>
      <c r="RNW52" s="42"/>
      <c r="RNX52" s="42"/>
      <c r="RNY52" s="42"/>
      <c r="RNZ52" s="42"/>
      <c r="ROA52" s="42"/>
      <c r="ROB52" s="42"/>
      <c r="ROC52" s="42"/>
      <c r="ROD52" s="42"/>
      <c r="ROE52" s="2"/>
      <c r="ROF52" s="15"/>
      <c r="ROG52" s="42"/>
      <c r="ROH52" s="2"/>
      <c r="ROI52" s="2"/>
      <c r="ROJ52" s="2"/>
      <c r="ROK52" s="2"/>
      <c r="ROL52" s="42"/>
      <c r="ROM52" s="42"/>
      <c r="RON52" s="42"/>
      <c r="ROO52" s="42"/>
      <c r="ROP52" s="42"/>
      <c r="ROQ52" s="42"/>
      <c r="ROR52" s="42"/>
      <c r="ROS52" s="42"/>
      <c r="ROT52" s="42"/>
      <c r="ROU52" s="42"/>
      <c r="ROV52" s="42"/>
      <c r="ROW52" s="42"/>
      <c r="ROX52" s="42"/>
      <c r="ROY52" s="42"/>
      <c r="ROZ52" s="42"/>
      <c r="RPA52" s="42"/>
      <c r="RPB52" s="42"/>
      <c r="RPC52" s="42"/>
      <c r="RPD52" s="42"/>
      <c r="RPE52" s="42"/>
      <c r="RPF52" s="42"/>
      <c r="RPG52" s="42"/>
      <c r="RPH52" s="42"/>
      <c r="RPI52" s="2"/>
      <c r="RPJ52" s="15"/>
      <c r="RPK52" s="42"/>
      <c r="RPL52" s="2"/>
      <c r="RPM52" s="2"/>
      <c r="RPN52" s="2"/>
      <c r="RPO52" s="2"/>
      <c r="RPP52" s="42"/>
      <c r="RPQ52" s="42"/>
      <c r="RPR52" s="42"/>
      <c r="RPS52" s="42"/>
      <c r="RPT52" s="42"/>
      <c r="RPU52" s="42"/>
      <c r="RPV52" s="42"/>
      <c r="RPW52" s="42"/>
      <c r="RPX52" s="42"/>
      <c r="RPY52" s="42"/>
      <c r="RPZ52" s="42"/>
      <c r="RQA52" s="42"/>
      <c r="RQB52" s="42"/>
      <c r="RQC52" s="42"/>
      <c r="RQD52" s="42"/>
      <c r="RQE52" s="42"/>
      <c r="RQF52" s="42"/>
      <c r="RQG52" s="42"/>
      <c r="RQH52" s="42"/>
      <c r="RQI52" s="42"/>
      <c r="RQJ52" s="42"/>
      <c r="RQK52" s="42"/>
      <c r="RQL52" s="42"/>
      <c r="RQM52" s="2"/>
      <c r="RQN52" s="15"/>
      <c r="RQO52" s="42"/>
      <c r="RQP52" s="2"/>
      <c r="RQQ52" s="2"/>
      <c r="RQR52" s="2"/>
      <c r="RQS52" s="2"/>
      <c r="RQT52" s="42"/>
      <c r="RQU52" s="42"/>
      <c r="RQV52" s="42"/>
      <c r="RQW52" s="42"/>
      <c r="RQX52" s="42"/>
      <c r="RQY52" s="42"/>
      <c r="RQZ52" s="42"/>
      <c r="RRA52" s="42"/>
      <c r="RRB52" s="42"/>
      <c r="RRC52" s="42"/>
      <c r="RRD52" s="42"/>
      <c r="RRE52" s="42"/>
      <c r="RRF52" s="42"/>
      <c r="RRG52" s="42"/>
      <c r="RRH52" s="42"/>
      <c r="RRI52" s="42"/>
      <c r="RRJ52" s="42"/>
      <c r="RRK52" s="42"/>
      <c r="RRL52" s="42"/>
      <c r="RRM52" s="42"/>
      <c r="RRN52" s="42"/>
      <c r="RRO52" s="42"/>
      <c r="RRP52" s="42"/>
      <c r="RRQ52" s="2"/>
      <c r="RRR52" s="15"/>
      <c r="RRS52" s="42"/>
      <c r="RRT52" s="2"/>
      <c r="RRU52" s="2"/>
      <c r="RRV52" s="2"/>
      <c r="RRW52" s="2"/>
      <c r="RRX52" s="42"/>
      <c r="RRY52" s="42"/>
      <c r="RRZ52" s="42"/>
      <c r="RSA52" s="42"/>
      <c r="RSB52" s="42"/>
      <c r="RSC52" s="42"/>
      <c r="RSD52" s="42"/>
      <c r="RSE52" s="42"/>
      <c r="RSF52" s="42"/>
      <c r="RSG52" s="42"/>
      <c r="RSH52" s="42"/>
      <c r="RSI52" s="42"/>
      <c r="RSJ52" s="42"/>
      <c r="RSK52" s="42"/>
      <c r="RSL52" s="42"/>
      <c r="RSM52" s="42"/>
      <c r="RSN52" s="42"/>
      <c r="RSO52" s="42"/>
      <c r="RSP52" s="42"/>
      <c r="RSQ52" s="42"/>
      <c r="RSR52" s="42"/>
      <c r="RSS52" s="42"/>
      <c r="RST52" s="42"/>
      <c r="RSU52" s="2"/>
      <c r="RSV52" s="15"/>
      <c r="RSW52" s="42"/>
      <c r="RSX52" s="2"/>
      <c r="RSY52" s="2"/>
      <c r="RSZ52" s="2"/>
      <c r="RTA52" s="2"/>
      <c r="RTB52" s="42"/>
      <c r="RTC52" s="42"/>
      <c r="RTD52" s="42"/>
      <c r="RTE52" s="42"/>
      <c r="RTF52" s="42"/>
      <c r="RTG52" s="42"/>
      <c r="RTH52" s="42"/>
      <c r="RTI52" s="42"/>
      <c r="RTJ52" s="42"/>
      <c r="RTK52" s="42"/>
      <c r="RTL52" s="42"/>
      <c r="RTM52" s="42"/>
      <c r="RTN52" s="42"/>
      <c r="RTO52" s="42"/>
      <c r="RTP52" s="42"/>
      <c r="RTQ52" s="42"/>
      <c r="RTR52" s="42"/>
      <c r="RTS52" s="42"/>
      <c r="RTT52" s="42"/>
      <c r="RTU52" s="42"/>
      <c r="RTV52" s="42"/>
      <c r="RTW52" s="42"/>
      <c r="RTX52" s="42"/>
      <c r="RTY52" s="2"/>
      <c r="RTZ52" s="15"/>
      <c r="RUA52" s="42"/>
      <c r="RUB52" s="2"/>
      <c r="RUC52" s="2"/>
      <c r="RUD52" s="2"/>
      <c r="RUE52" s="2"/>
      <c r="RUF52" s="42"/>
      <c r="RUG52" s="42"/>
      <c r="RUH52" s="42"/>
      <c r="RUI52" s="42"/>
      <c r="RUJ52" s="42"/>
      <c r="RUK52" s="42"/>
      <c r="RUL52" s="42"/>
      <c r="RUM52" s="42"/>
      <c r="RUN52" s="42"/>
      <c r="RUO52" s="42"/>
      <c r="RUP52" s="42"/>
      <c r="RUQ52" s="42"/>
      <c r="RUR52" s="42"/>
      <c r="RUS52" s="42"/>
      <c r="RUT52" s="42"/>
      <c r="RUU52" s="42"/>
      <c r="RUV52" s="42"/>
      <c r="RUW52" s="42"/>
      <c r="RUX52" s="42"/>
      <c r="RUY52" s="42"/>
      <c r="RUZ52" s="42"/>
      <c r="RVA52" s="42"/>
      <c r="RVB52" s="42"/>
      <c r="RVC52" s="2"/>
      <c r="RVD52" s="15"/>
      <c r="RVE52" s="42"/>
      <c r="RVF52" s="2"/>
      <c r="RVG52" s="2"/>
      <c r="RVH52" s="2"/>
      <c r="RVI52" s="2"/>
      <c r="RVJ52" s="42"/>
      <c r="RVK52" s="42"/>
      <c r="RVL52" s="42"/>
      <c r="RVM52" s="42"/>
      <c r="RVN52" s="42"/>
      <c r="RVO52" s="42"/>
      <c r="RVP52" s="42"/>
      <c r="RVQ52" s="42"/>
      <c r="RVR52" s="42"/>
      <c r="RVS52" s="42"/>
      <c r="RVT52" s="42"/>
      <c r="RVU52" s="42"/>
      <c r="RVV52" s="42"/>
      <c r="RVW52" s="42"/>
      <c r="RVX52" s="42"/>
      <c r="RVY52" s="42"/>
      <c r="RVZ52" s="42"/>
      <c r="RWA52" s="42"/>
      <c r="RWB52" s="42"/>
      <c r="RWC52" s="42"/>
      <c r="RWD52" s="42"/>
      <c r="RWE52" s="42"/>
      <c r="RWF52" s="42"/>
      <c r="RWG52" s="2"/>
      <c r="RWH52" s="15"/>
      <c r="RWI52" s="42"/>
      <c r="RWJ52" s="2"/>
      <c r="RWK52" s="2"/>
      <c r="RWL52" s="2"/>
      <c r="RWM52" s="2"/>
      <c r="RWN52" s="42"/>
      <c r="RWO52" s="42"/>
      <c r="RWP52" s="42"/>
      <c r="RWQ52" s="42"/>
      <c r="RWR52" s="42"/>
      <c r="RWS52" s="42"/>
      <c r="RWT52" s="42"/>
      <c r="RWU52" s="42"/>
      <c r="RWV52" s="42"/>
      <c r="RWW52" s="42"/>
      <c r="RWX52" s="42"/>
      <c r="RWY52" s="42"/>
      <c r="RWZ52" s="42"/>
      <c r="RXA52" s="42"/>
      <c r="RXB52" s="42"/>
      <c r="RXC52" s="42"/>
      <c r="RXD52" s="42"/>
      <c r="RXE52" s="42"/>
      <c r="RXF52" s="42"/>
      <c r="RXG52" s="42"/>
      <c r="RXH52" s="42"/>
      <c r="RXI52" s="42"/>
      <c r="RXJ52" s="42"/>
      <c r="RXK52" s="2"/>
      <c r="RXL52" s="15"/>
      <c r="RXM52" s="42"/>
      <c r="RXN52" s="2"/>
      <c r="RXO52" s="2"/>
      <c r="RXP52" s="2"/>
      <c r="RXQ52" s="2"/>
      <c r="RXR52" s="42"/>
      <c r="RXS52" s="42"/>
      <c r="RXT52" s="42"/>
      <c r="RXU52" s="42"/>
      <c r="RXV52" s="42"/>
      <c r="RXW52" s="42"/>
      <c r="RXX52" s="42"/>
      <c r="RXY52" s="42"/>
      <c r="RXZ52" s="42"/>
      <c r="RYA52" s="42"/>
      <c r="RYB52" s="42"/>
      <c r="RYC52" s="42"/>
      <c r="RYD52" s="42"/>
      <c r="RYE52" s="42"/>
      <c r="RYF52" s="42"/>
      <c r="RYG52" s="42"/>
      <c r="RYH52" s="42"/>
      <c r="RYI52" s="42"/>
      <c r="RYJ52" s="42"/>
      <c r="RYK52" s="42"/>
      <c r="RYL52" s="42"/>
      <c r="RYM52" s="42"/>
      <c r="RYN52" s="42"/>
      <c r="RYO52" s="2"/>
      <c r="RYP52" s="15"/>
      <c r="RYQ52" s="42"/>
      <c r="RYR52" s="2"/>
      <c r="RYS52" s="2"/>
      <c r="RYT52" s="2"/>
      <c r="RYU52" s="2"/>
      <c r="RYV52" s="42"/>
      <c r="RYW52" s="42"/>
      <c r="RYX52" s="42"/>
      <c r="RYY52" s="42"/>
      <c r="RYZ52" s="42"/>
      <c r="RZA52" s="42"/>
      <c r="RZB52" s="42"/>
      <c r="RZC52" s="42"/>
      <c r="RZD52" s="42"/>
      <c r="RZE52" s="42"/>
      <c r="RZF52" s="42"/>
      <c r="RZG52" s="42"/>
      <c r="RZH52" s="42"/>
      <c r="RZI52" s="42"/>
      <c r="RZJ52" s="42"/>
      <c r="RZK52" s="42"/>
      <c r="RZL52" s="42"/>
      <c r="RZM52" s="42"/>
      <c r="RZN52" s="42"/>
      <c r="RZO52" s="42"/>
      <c r="RZP52" s="42"/>
      <c r="RZQ52" s="42"/>
      <c r="RZR52" s="42"/>
      <c r="RZS52" s="2"/>
      <c r="RZT52" s="15"/>
      <c r="RZU52" s="42"/>
      <c r="RZV52" s="2"/>
      <c r="RZW52" s="2"/>
      <c r="RZX52" s="2"/>
      <c r="RZY52" s="2"/>
      <c r="RZZ52" s="42"/>
      <c r="SAA52" s="42"/>
      <c r="SAB52" s="42"/>
      <c r="SAC52" s="42"/>
      <c r="SAD52" s="42"/>
      <c r="SAE52" s="42"/>
      <c r="SAF52" s="42"/>
      <c r="SAG52" s="42"/>
      <c r="SAH52" s="42"/>
      <c r="SAI52" s="42"/>
      <c r="SAJ52" s="42"/>
      <c r="SAK52" s="42"/>
      <c r="SAL52" s="42"/>
      <c r="SAM52" s="42"/>
      <c r="SAN52" s="42"/>
      <c r="SAO52" s="42"/>
      <c r="SAP52" s="42"/>
      <c r="SAQ52" s="42"/>
      <c r="SAR52" s="42"/>
      <c r="SAS52" s="42"/>
      <c r="SAT52" s="42"/>
      <c r="SAU52" s="42"/>
      <c r="SAV52" s="42"/>
      <c r="SAW52" s="2"/>
      <c r="SAX52" s="15"/>
      <c r="SAY52" s="42"/>
      <c r="SAZ52" s="2"/>
      <c r="SBA52" s="2"/>
      <c r="SBB52" s="2"/>
      <c r="SBC52" s="2"/>
      <c r="SBD52" s="42"/>
      <c r="SBE52" s="42"/>
      <c r="SBF52" s="42"/>
      <c r="SBG52" s="42"/>
      <c r="SBH52" s="42"/>
      <c r="SBI52" s="42"/>
      <c r="SBJ52" s="42"/>
      <c r="SBK52" s="42"/>
      <c r="SBL52" s="42"/>
      <c r="SBM52" s="42"/>
      <c r="SBN52" s="42"/>
      <c r="SBO52" s="42"/>
      <c r="SBP52" s="42"/>
      <c r="SBQ52" s="42"/>
      <c r="SBR52" s="42"/>
      <c r="SBS52" s="42"/>
      <c r="SBT52" s="42"/>
      <c r="SBU52" s="42"/>
      <c r="SBV52" s="42"/>
      <c r="SBW52" s="42"/>
      <c r="SBX52" s="42"/>
      <c r="SBY52" s="42"/>
      <c r="SBZ52" s="42"/>
      <c r="SCA52" s="2"/>
      <c r="SCB52" s="15"/>
      <c r="SCC52" s="42"/>
      <c r="SCD52" s="2"/>
      <c r="SCE52" s="2"/>
      <c r="SCF52" s="2"/>
      <c r="SCG52" s="2"/>
      <c r="SCH52" s="42"/>
      <c r="SCI52" s="42"/>
      <c r="SCJ52" s="42"/>
      <c r="SCK52" s="42"/>
      <c r="SCL52" s="42"/>
      <c r="SCM52" s="42"/>
      <c r="SCN52" s="42"/>
      <c r="SCO52" s="42"/>
      <c r="SCP52" s="42"/>
      <c r="SCQ52" s="42"/>
      <c r="SCR52" s="42"/>
      <c r="SCS52" s="42"/>
      <c r="SCT52" s="42"/>
      <c r="SCU52" s="42"/>
      <c r="SCV52" s="42"/>
      <c r="SCW52" s="42"/>
      <c r="SCX52" s="42"/>
      <c r="SCY52" s="42"/>
      <c r="SCZ52" s="42"/>
      <c r="SDA52" s="42"/>
      <c r="SDB52" s="42"/>
      <c r="SDC52" s="42"/>
      <c r="SDD52" s="42"/>
      <c r="SDE52" s="2"/>
      <c r="SDF52" s="15"/>
      <c r="SDG52" s="42"/>
      <c r="SDH52" s="2"/>
      <c r="SDI52" s="2"/>
      <c r="SDJ52" s="2"/>
      <c r="SDK52" s="2"/>
      <c r="SDL52" s="42"/>
      <c r="SDM52" s="42"/>
      <c r="SDN52" s="42"/>
      <c r="SDO52" s="42"/>
      <c r="SDP52" s="42"/>
      <c r="SDQ52" s="42"/>
      <c r="SDR52" s="42"/>
      <c r="SDS52" s="42"/>
      <c r="SDT52" s="42"/>
      <c r="SDU52" s="42"/>
      <c r="SDV52" s="42"/>
      <c r="SDW52" s="42"/>
      <c r="SDX52" s="42"/>
      <c r="SDY52" s="42"/>
      <c r="SDZ52" s="42"/>
      <c r="SEA52" s="42"/>
      <c r="SEB52" s="42"/>
      <c r="SEC52" s="42"/>
      <c r="SED52" s="42"/>
      <c r="SEE52" s="42"/>
      <c r="SEF52" s="42"/>
      <c r="SEG52" s="42"/>
      <c r="SEH52" s="42"/>
      <c r="SEI52" s="2"/>
      <c r="SEJ52" s="15"/>
      <c r="SEK52" s="42"/>
      <c r="SEL52" s="2"/>
      <c r="SEM52" s="2"/>
      <c r="SEN52" s="2"/>
      <c r="SEO52" s="2"/>
      <c r="SEP52" s="42"/>
      <c r="SEQ52" s="42"/>
      <c r="SER52" s="42"/>
      <c r="SES52" s="42"/>
      <c r="SET52" s="42"/>
      <c r="SEU52" s="42"/>
      <c r="SEV52" s="42"/>
      <c r="SEW52" s="42"/>
      <c r="SEX52" s="42"/>
      <c r="SEY52" s="42"/>
      <c r="SEZ52" s="42"/>
      <c r="SFA52" s="42"/>
      <c r="SFB52" s="42"/>
      <c r="SFC52" s="42"/>
      <c r="SFD52" s="42"/>
      <c r="SFE52" s="42"/>
      <c r="SFF52" s="42"/>
      <c r="SFG52" s="42"/>
      <c r="SFH52" s="42"/>
      <c r="SFI52" s="42"/>
      <c r="SFJ52" s="42"/>
      <c r="SFK52" s="42"/>
      <c r="SFL52" s="42"/>
      <c r="SFM52" s="2"/>
      <c r="SFN52" s="15"/>
      <c r="SFO52" s="42"/>
      <c r="SFP52" s="2"/>
      <c r="SFQ52" s="2"/>
      <c r="SFR52" s="2"/>
      <c r="SFS52" s="2"/>
      <c r="SFT52" s="42"/>
      <c r="SFU52" s="42"/>
      <c r="SFV52" s="42"/>
      <c r="SFW52" s="42"/>
      <c r="SFX52" s="42"/>
      <c r="SFY52" s="42"/>
      <c r="SFZ52" s="42"/>
      <c r="SGA52" s="42"/>
      <c r="SGB52" s="42"/>
      <c r="SGC52" s="42"/>
      <c r="SGD52" s="42"/>
      <c r="SGE52" s="42"/>
      <c r="SGF52" s="42"/>
      <c r="SGG52" s="42"/>
      <c r="SGH52" s="42"/>
      <c r="SGI52" s="42"/>
      <c r="SGJ52" s="42"/>
      <c r="SGK52" s="42"/>
      <c r="SGL52" s="42"/>
      <c r="SGM52" s="42"/>
      <c r="SGN52" s="42"/>
      <c r="SGO52" s="42"/>
      <c r="SGP52" s="42"/>
      <c r="SGQ52" s="2"/>
      <c r="SGR52" s="15"/>
      <c r="SGS52" s="42"/>
      <c r="SGT52" s="2"/>
      <c r="SGU52" s="2"/>
      <c r="SGV52" s="2"/>
      <c r="SGW52" s="2"/>
      <c r="SGX52" s="42"/>
      <c r="SGY52" s="42"/>
      <c r="SGZ52" s="42"/>
      <c r="SHA52" s="42"/>
      <c r="SHB52" s="42"/>
      <c r="SHC52" s="42"/>
      <c r="SHD52" s="42"/>
      <c r="SHE52" s="42"/>
      <c r="SHF52" s="42"/>
      <c r="SHG52" s="42"/>
      <c r="SHH52" s="42"/>
      <c r="SHI52" s="42"/>
      <c r="SHJ52" s="42"/>
      <c r="SHK52" s="42"/>
      <c r="SHL52" s="42"/>
      <c r="SHM52" s="42"/>
      <c r="SHN52" s="42"/>
      <c r="SHO52" s="42"/>
      <c r="SHP52" s="42"/>
      <c r="SHQ52" s="42"/>
      <c r="SHR52" s="42"/>
      <c r="SHS52" s="42"/>
      <c r="SHT52" s="42"/>
      <c r="SHU52" s="2"/>
      <c r="SHV52" s="15"/>
      <c r="SHW52" s="42"/>
      <c r="SHX52" s="2"/>
      <c r="SHY52" s="2"/>
      <c r="SHZ52" s="2"/>
      <c r="SIA52" s="2"/>
      <c r="SIB52" s="42"/>
      <c r="SIC52" s="42"/>
      <c r="SID52" s="42"/>
      <c r="SIE52" s="42"/>
      <c r="SIF52" s="42"/>
      <c r="SIG52" s="42"/>
      <c r="SIH52" s="42"/>
      <c r="SII52" s="42"/>
      <c r="SIJ52" s="42"/>
      <c r="SIK52" s="42"/>
      <c r="SIL52" s="42"/>
      <c r="SIM52" s="42"/>
      <c r="SIN52" s="42"/>
      <c r="SIO52" s="42"/>
      <c r="SIP52" s="42"/>
      <c r="SIQ52" s="42"/>
      <c r="SIR52" s="42"/>
      <c r="SIS52" s="42"/>
      <c r="SIT52" s="42"/>
      <c r="SIU52" s="42"/>
      <c r="SIV52" s="42"/>
      <c r="SIW52" s="42"/>
      <c r="SIX52" s="42"/>
      <c r="SIY52" s="2"/>
      <c r="SIZ52" s="15"/>
      <c r="SJA52" s="42"/>
      <c r="SJB52" s="2"/>
      <c r="SJC52" s="2"/>
      <c r="SJD52" s="2"/>
      <c r="SJE52" s="2"/>
      <c r="SJF52" s="42"/>
      <c r="SJG52" s="42"/>
      <c r="SJH52" s="42"/>
      <c r="SJI52" s="42"/>
      <c r="SJJ52" s="42"/>
      <c r="SJK52" s="42"/>
      <c r="SJL52" s="42"/>
      <c r="SJM52" s="42"/>
      <c r="SJN52" s="42"/>
      <c r="SJO52" s="42"/>
      <c r="SJP52" s="42"/>
      <c r="SJQ52" s="42"/>
      <c r="SJR52" s="42"/>
      <c r="SJS52" s="42"/>
      <c r="SJT52" s="42"/>
      <c r="SJU52" s="42"/>
      <c r="SJV52" s="42"/>
      <c r="SJW52" s="42"/>
      <c r="SJX52" s="42"/>
      <c r="SJY52" s="42"/>
      <c r="SJZ52" s="42"/>
      <c r="SKA52" s="42"/>
      <c r="SKB52" s="42"/>
      <c r="SKC52" s="2"/>
      <c r="SKD52" s="15"/>
      <c r="SKE52" s="42"/>
      <c r="SKF52" s="2"/>
      <c r="SKG52" s="2"/>
      <c r="SKH52" s="2"/>
      <c r="SKI52" s="2"/>
      <c r="SKJ52" s="42"/>
      <c r="SKK52" s="42"/>
      <c r="SKL52" s="42"/>
      <c r="SKM52" s="42"/>
      <c r="SKN52" s="42"/>
      <c r="SKO52" s="42"/>
      <c r="SKP52" s="42"/>
      <c r="SKQ52" s="42"/>
      <c r="SKR52" s="42"/>
      <c r="SKS52" s="42"/>
      <c r="SKT52" s="42"/>
      <c r="SKU52" s="42"/>
      <c r="SKV52" s="42"/>
      <c r="SKW52" s="42"/>
      <c r="SKX52" s="42"/>
      <c r="SKY52" s="42"/>
      <c r="SKZ52" s="42"/>
      <c r="SLA52" s="42"/>
      <c r="SLB52" s="42"/>
      <c r="SLC52" s="42"/>
      <c r="SLD52" s="42"/>
      <c r="SLE52" s="42"/>
      <c r="SLF52" s="42"/>
      <c r="SLG52" s="2"/>
      <c r="SLH52" s="15"/>
      <c r="SLI52" s="42"/>
      <c r="SLJ52" s="2"/>
      <c r="SLK52" s="2"/>
      <c r="SLL52" s="2"/>
      <c r="SLM52" s="2"/>
      <c r="SLN52" s="42"/>
      <c r="SLO52" s="42"/>
      <c r="SLP52" s="42"/>
      <c r="SLQ52" s="42"/>
      <c r="SLR52" s="42"/>
      <c r="SLS52" s="42"/>
      <c r="SLT52" s="42"/>
      <c r="SLU52" s="42"/>
      <c r="SLV52" s="42"/>
      <c r="SLW52" s="42"/>
      <c r="SLX52" s="42"/>
      <c r="SLY52" s="42"/>
      <c r="SLZ52" s="42"/>
      <c r="SMA52" s="42"/>
      <c r="SMB52" s="42"/>
      <c r="SMC52" s="42"/>
      <c r="SMD52" s="42"/>
      <c r="SME52" s="42"/>
      <c r="SMF52" s="42"/>
      <c r="SMG52" s="42"/>
      <c r="SMH52" s="42"/>
      <c r="SMI52" s="42"/>
      <c r="SMJ52" s="42"/>
      <c r="SMK52" s="2"/>
      <c r="SML52" s="15"/>
      <c r="SMM52" s="42"/>
      <c r="SMN52" s="2"/>
      <c r="SMO52" s="2"/>
      <c r="SMP52" s="2"/>
      <c r="SMQ52" s="2"/>
      <c r="SMR52" s="42"/>
      <c r="SMS52" s="42"/>
      <c r="SMT52" s="42"/>
      <c r="SMU52" s="42"/>
      <c r="SMV52" s="42"/>
      <c r="SMW52" s="42"/>
      <c r="SMX52" s="42"/>
      <c r="SMY52" s="42"/>
      <c r="SMZ52" s="42"/>
      <c r="SNA52" s="42"/>
      <c r="SNB52" s="42"/>
      <c r="SNC52" s="42"/>
      <c r="SND52" s="42"/>
      <c r="SNE52" s="42"/>
      <c r="SNF52" s="42"/>
      <c r="SNG52" s="42"/>
      <c r="SNH52" s="42"/>
      <c r="SNI52" s="42"/>
      <c r="SNJ52" s="42"/>
      <c r="SNK52" s="42"/>
      <c r="SNL52" s="42"/>
      <c r="SNM52" s="42"/>
      <c r="SNN52" s="42"/>
      <c r="SNO52" s="2"/>
      <c r="SNP52" s="15"/>
      <c r="SNQ52" s="42"/>
      <c r="SNR52" s="2"/>
      <c r="SNS52" s="2"/>
      <c r="SNT52" s="2"/>
      <c r="SNU52" s="2"/>
      <c r="SNV52" s="42"/>
      <c r="SNW52" s="42"/>
      <c r="SNX52" s="42"/>
      <c r="SNY52" s="42"/>
      <c r="SNZ52" s="42"/>
      <c r="SOA52" s="42"/>
      <c r="SOB52" s="42"/>
      <c r="SOC52" s="42"/>
      <c r="SOD52" s="42"/>
      <c r="SOE52" s="42"/>
      <c r="SOF52" s="42"/>
      <c r="SOG52" s="42"/>
      <c r="SOH52" s="42"/>
      <c r="SOI52" s="42"/>
      <c r="SOJ52" s="42"/>
      <c r="SOK52" s="42"/>
      <c r="SOL52" s="42"/>
      <c r="SOM52" s="42"/>
      <c r="SON52" s="42"/>
      <c r="SOO52" s="42"/>
      <c r="SOP52" s="42"/>
      <c r="SOQ52" s="42"/>
      <c r="SOR52" s="42"/>
      <c r="SOS52" s="2"/>
      <c r="SOT52" s="15"/>
      <c r="SOU52" s="42"/>
      <c r="SOV52" s="2"/>
      <c r="SOW52" s="2"/>
      <c r="SOX52" s="2"/>
      <c r="SOY52" s="2"/>
      <c r="SOZ52" s="42"/>
      <c r="SPA52" s="42"/>
      <c r="SPB52" s="42"/>
      <c r="SPC52" s="42"/>
      <c r="SPD52" s="42"/>
      <c r="SPE52" s="42"/>
      <c r="SPF52" s="42"/>
      <c r="SPG52" s="42"/>
      <c r="SPH52" s="42"/>
      <c r="SPI52" s="42"/>
      <c r="SPJ52" s="42"/>
      <c r="SPK52" s="42"/>
      <c r="SPL52" s="42"/>
      <c r="SPM52" s="42"/>
      <c r="SPN52" s="42"/>
      <c r="SPO52" s="42"/>
      <c r="SPP52" s="42"/>
      <c r="SPQ52" s="42"/>
      <c r="SPR52" s="42"/>
      <c r="SPS52" s="42"/>
      <c r="SPT52" s="42"/>
      <c r="SPU52" s="42"/>
      <c r="SPV52" s="42"/>
      <c r="SPW52" s="2"/>
      <c r="SPX52" s="15"/>
      <c r="SPY52" s="42"/>
      <c r="SPZ52" s="2"/>
      <c r="SQA52" s="2"/>
      <c r="SQB52" s="2"/>
      <c r="SQC52" s="2"/>
      <c r="SQD52" s="42"/>
      <c r="SQE52" s="42"/>
      <c r="SQF52" s="42"/>
      <c r="SQG52" s="42"/>
      <c r="SQH52" s="42"/>
      <c r="SQI52" s="42"/>
      <c r="SQJ52" s="42"/>
      <c r="SQK52" s="42"/>
      <c r="SQL52" s="42"/>
      <c r="SQM52" s="42"/>
      <c r="SQN52" s="42"/>
      <c r="SQO52" s="42"/>
      <c r="SQP52" s="42"/>
      <c r="SQQ52" s="42"/>
      <c r="SQR52" s="42"/>
      <c r="SQS52" s="42"/>
      <c r="SQT52" s="42"/>
      <c r="SQU52" s="42"/>
      <c r="SQV52" s="42"/>
      <c r="SQW52" s="42"/>
      <c r="SQX52" s="42"/>
      <c r="SQY52" s="42"/>
      <c r="SQZ52" s="42"/>
      <c r="SRA52" s="2"/>
      <c r="SRB52" s="15"/>
      <c r="SRC52" s="42"/>
      <c r="SRD52" s="2"/>
      <c r="SRE52" s="2"/>
      <c r="SRF52" s="2"/>
      <c r="SRG52" s="2"/>
      <c r="SRH52" s="42"/>
      <c r="SRI52" s="42"/>
      <c r="SRJ52" s="42"/>
      <c r="SRK52" s="42"/>
      <c r="SRL52" s="42"/>
      <c r="SRM52" s="42"/>
      <c r="SRN52" s="42"/>
      <c r="SRO52" s="42"/>
      <c r="SRP52" s="42"/>
      <c r="SRQ52" s="42"/>
      <c r="SRR52" s="42"/>
      <c r="SRS52" s="42"/>
      <c r="SRT52" s="42"/>
      <c r="SRU52" s="42"/>
      <c r="SRV52" s="42"/>
      <c r="SRW52" s="42"/>
      <c r="SRX52" s="42"/>
      <c r="SRY52" s="42"/>
      <c r="SRZ52" s="42"/>
      <c r="SSA52" s="42"/>
      <c r="SSB52" s="42"/>
      <c r="SSC52" s="42"/>
      <c r="SSD52" s="42"/>
      <c r="SSE52" s="2"/>
      <c r="SSF52" s="15"/>
      <c r="SSG52" s="42"/>
      <c r="SSH52" s="2"/>
      <c r="SSI52" s="2"/>
      <c r="SSJ52" s="2"/>
      <c r="SSK52" s="2"/>
      <c r="SSL52" s="42"/>
      <c r="SSM52" s="42"/>
      <c r="SSN52" s="42"/>
      <c r="SSO52" s="42"/>
      <c r="SSP52" s="42"/>
      <c r="SSQ52" s="42"/>
      <c r="SSR52" s="42"/>
      <c r="SSS52" s="42"/>
      <c r="SST52" s="42"/>
      <c r="SSU52" s="42"/>
      <c r="SSV52" s="42"/>
      <c r="SSW52" s="42"/>
      <c r="SSX52" s="42"/>
      <c r="SSY52" s="42"/>
      <c r="SSZ52" s="42"/>
      <c r="STA52" s="42"/>
      <c r="STB52" s="42"/>
      <c r="STC52" s="42"/>
      <c r="STD52" s="42"/>
      <c r="STE52" s="42"/>
      <c r="STF52" s="42"/>
      <c r="STG52" s="42"/>
      <c r="STH52" s="42"/>
      <c r="STI52" s="2"/>
      <c r="STJ52" s="15"/>
      <c r="STK52" s="42"/>
      <c r="STL52" s="2"/>
      <c r="STM52" s="2"/>
      <c r="STN52" s="2"/>
      <c r="STO52" s="2"/>
      <c r="STP52" s="42"/>
      <c r="STQ52" s="42"/>
      <c r="STR52" s="42"/>
      <c r="STS52" s="42"/>
      <c r="STT52" s="42"/>
      <c r="STU52" s="42"/>
      <c r="STV52" s="42"/>
      <c r="STW52" s="42"/>
      <c r="STX52" s="42"/>
      <c r="STY52" s="42"/>
      <c r="STZ52" s="42"/>
      <c r="SUA52" s="42"/>
      <c r="SUB52" s="42"/>
      <c r="SUC52" s="42"/>
      <c r="SUD52" s="42"/>
      <c r="SUE52" s="42"/>
      <c r="SUF52" s="42"/>
      <c r="SUG52" s="42"/>
      <c r="SUH52" s="42"/>
      <c r="SUI52" s="42"/>
      <c r="SUJ52" s="42"/>
      <c r="SUK52" s="42"/>
      <c r="SUL52" s="42"/>
      <c r="SUM52" s="2"/>
      <c r="SUN52" s="15"/>
      <c r="SUO52" s="42"/>
      <c r="SUP52" s="2"/>
      <c r="SUQ52" s="2"/>
      <c r="SUR52" s="2"/>
      <c r="SUS52" s="2"/>
      <c r="SUT52" s="42"/>
      <c r="SUU52" s="42"/>
      <c r="SUV52" s="42"/>
      <c r="SUW52" s="42"/>
      <c r="SUX52" s="42"/>
      <c r="SUY52" s="42"/>
      <c r="SUZ52" s="42"/>
      <c r="SVA52" s="42"/>
      <c r="SVB52" s="42"/>
      <c r="SVC52" s="42"/>
      <c r="SVD52" s="42"/>
      <c r="SVE52" s="42"/>
      <c r="SVF52" s="42"/>
      <c r="SVG52" s="42"/>
      <c r="SVH52" s="42"/>
      <c r="SVI52" s="42"/>
      <c r="SVJ52" s="42"/>
      <c r="SVK52" s="42"/>
      <c r="SVL52" s="42"/>
      <c r="SVM52" s="42"/>
      <c r="SVN52" s="42"/>
      <c r="SVO52" s="42"/>
      <c r="SVP52" s="42"/>
      <c r="SVQ52" s="2"/>
      <c r="SVR52" s="15"/>
      <c r="SVS52" s="42"/>
      <c r="SVT52" s="2"/>
      <c r="SVU52" s="2"/>
      <c r="SVV52" s="2"/>
      <c r="SVW52" s="2"/>
      <c r="SVX52" s="42"/>
      <c r="SVY52" s="42"/>
      <c r="SVZ52" s="42"/>
      <c r="SWA52" s="42"/>
      <c r="SWB52" s="42"/>
      <c r="SWC52" s="42"/>
      <c r="SWD52" s="42"/>
      <c r="SWE52" s="42"/>
      <c r="SWF52" s="42"/>
      <c r="SWG52" s="42"/>
      <c r="SWH52" s="42"/>
      <c r="SWI52" s="42"/>
      <c r="SWJ52" s="42"/>
      <c r="SWK52" s="42"/>
      <c r="SWL52" s="42"/>
      <c r="SWM52" s="42"/>
      <c r="SWN52" s="42"/>
      <c r="SWO52" s="42"/>
      <c r="SWP52" s="42"/>
      <c r="SWQ52" s="42"/>
      <c r="SWR52" s="42"/>
      <c r="SWS52" s="42"/>
      <c r="SWT52" s="42"/>
      <c r="SWU52" s="2"/>
      <c r="SWV52" s="15"/>
      <c r="SWW52" s="42"/>
      <c r="SWX52" s="2"/>
      <c r="SWY52" s="2"/>
      <c r="SWZ52" s="2"/>
      <c r="SXA52" s="2"/>
      <c r="SXB52" s="42"/>
      <c r="SXC52" s="42"/>
      <c r="SXD52" s="42"/>
      <c r="SXE52" s="42"/>
      <c r="SXF52" s="42"/>
      <c r="SXG52" s="42"/>
      <c r="SXH52" s="42"/>
      <c r="SXI52" s="42"/>
      <c r="SXJ52" s="42"/>
      <c r="SXK52" s="42"/>
      <c r="SXL52" s="42"/>
      <c r="SXM52" s="42"/>
      <c r="SXN52" s="42"/>
      <c r="SXO52" s="42"/>
      <c r="SXP52" s="42"/>
      <c r="SXQ52" s="42"/>
      <c r="SXR52" s="42"/>
      <c r="SXS52" s="42"/>
      <c r="SXT52" s="42"/>
      <c r="SXU52" s="42"/>
      <c r="SXV52" s="42"/>
      <c r="SXW52" s="42"/>
      <c r="SXX52" s="42"/>
      <c r="SXY52" s="2"/>
      <c r="SXZ52" s="15"/>
      <c r="SYA52" s="42"/>
      <c r="SYB52" s="2"/>
      <c r="SYC52" s="2"/>
      <c r="SYD52" s="2"/>
      <c r="SYE52" s="2"/>
      <c r="SYF52" s="42"/>
      <c r="SYG52" s="42"/>
      <c r="SYH52" s="42"/>
      <c r="SYI52" s="42"/>
      <c r="SYJ52" s="42"/>
      <c r="SYK52" s="42"/>
      <c r="SYL52" s="42"/>
      <c r="SYM52" s="42"/>
      <c r="SYN52" s="42"/>
      <c r="SYO52" s="42"/>
      <c r="SYP52" s="42"/>
      <c r="SYQ52" s="42"/>
      <c r="SYR52" s="42"/>
      <c r="SYS52" s="42"/>
      <c r="SYT52" s="42"/>
      <c r="SYU52" s="42"/>
      <c r="SYV52" s="42"/>
      <c r="SYW52" s="42"/>
      <c r="SYX52" s="42"/>
      <c r="SYY52" s="42"/>
      <c r="SYZ52" s="42"/>
      <c r="SZA52" s="42"/>
      <c r="SZB52" s="42"/>
      <c r="SZC52" s="2"/>
      <c r="SZD52" s="15"/>
      <c r="SZE52" s="42"/>
      <c r="SZF52" s="2"/>
      <c r="SZG52" s="2"/>
      <c r="SZH52" s="2"/>
      <c r="SZI52" s="2"/>
      <c r="SZJ52" s="42"/>
      <c r="SZK52" s="42"/>
      <c r="SZL52" s="42"/>
      <c r="SZM52" s="42"/>
      <c r="SZN52" s="42"/>
      <c r="SZO52" s="42"/>
      <c r="SZP52" s="42"/>
      <c r="SZQ52" s="42"/>
      <c r="SZR52" s="42"/>
      <c r="SZS52" s="42"/>
      <c r="SZT52" s="42"/>
      <c r="SZU52" s="42"/>
      <c r="SZV52" s="42"/>
      <c r="SZW52" s="42"/>
      <c r="SZX52" s="42"/>
      <c r="SZY52" s="42"/>
      <c r="SZZ52" s="42"/>
      <c r="TAA52" s="42"/>
      <c r="TAB52" s="42"/>
      <c r="TAC52" s="42"/>
      <c r="TAD52" s="42"/>
      <c r="TAE52" s="42"/>
      <c r="TAF52" s="42"/>
      <c r="TAG52" s="2"/>
      <c r="TAH52" s="15"/>
      <c r="TAI52" s="42"/>
      <c r="TAJ52" s="2"/>
      <c r="TAK52" s="2"/>
      <c r="TAL52" s="2"/>
      <c r="TAM52" s="2"/>
      <c r="TAN52" s="42"/>
      <c r="TAO52" s="42"/>
      <c r="TAP52" s="42"/>
      <c r="TAQ52" s="42"/>
      <c r="TAR52" s="42"/>
      <c r="TAS52" s="42"/>
      <c r="TAT52" s="42"/>
      <c r="TAU52" s="42"/>
      <c r="TAV52" s="42"/>
      <c r="TAW52" s="42"/>
      <c r="TAX52" s="42"/>
      <c r="TAY52" s="42"/>
      <c r="TAZ52" s="42"/>
      <c r="TBA52" s="42"/>
      <c r="TBB52" s="42"/>
      <c r="TBC52" s="42"/>
      <c r="TBD52" s="42"/>
      <c r="TBE52" s="42"/>
      <c r="TBF52" s="42"/>
      <c r="TBG52" s="42"/>
      <c r="TBH52" s="42"/>
      <c r="TBI52" s="42"/>
      <c r="TBJ52" s="42"/>
      <c r="TBK52" s="2"/>
      <c r="TBL52" s="15"/>
      <c r="TBM52" s="42"/>
      <c r="TBN52" s="2"/>
      <c r="TBO52" s="2"/>
      <c r="TBP52" s="2"/>
      <c r="TBQ52" s="2"/>
      <c r="TBR52" s="42"/>
      <c r="TBS52" s="42"/>
      <c r="TBT52" s="42"/>
      <c r="TBU52" s="42"/>
      <c r="TBV52" s="42"/>
      <c r="TBW52" s="42"/>
      <c r="TBX52" s="42"/>
      <c r="TBY52" s="42"/>
      <c r="TBZ52" s="42"/>
      <c r="TCA52" s="42"/>
      <c r="TCB52" s="42"/>
      <c r="TCC52" s="42"/>
      <c r="TCD52" s="42"/>
      <c r="TCE52" s="42"/>
      <c r="TCF52" s="42"/>
      <c r="TCG52" s="42"/>
      <c r="TCH52" s="42"/>
      <c r="TCI52" s="42"/>
      <c r="TCJ52" s="42"/>
      <c r="TCK52" s="42"/>
      <c r="TCL52" s="42"/>
      <c r="TCM52" s="42"/>
      <c r="TCN52" s="42"/>
      <c r="TCO52" s="2"/>
      <c r="TCP52" s="15"/>
      <c r="TCQ52" s="42"/>
      <c r="TCR52" s="2"/>
      <c r="TCS52" s="2"/>
      <c r="TCT52" s="2"/>
      <c r="TCU52" s="2"/>
      <c r="TCV52" s="42"/>
      <c r="TCW52" s="42"/>
      <c r="TCX52" s="42"/>
      <c r="TCY52" s="42"/>
      <c r="TCZ52" s="42"/>
      <c r="TDA52" s="42"/>
      <c r="TDB52" s="42"/>
      <c r="TDC52" s="42"/>
      <c r="TDD52" s="42"/>
      <c r="TDE52" s="42"/>
      <c r="TDF52" s="42"/>
      <c r="TDG52" s="42"/>
      <c r="TDH52" s="42"/>
      <c r="TDI52" s="42"/>
      <c r="TDJ52" s="42"/>
      <c r="TDK52" s="42"/>
      <c r="TDL52" s="42"/>
      <c r="TDM52" s="42"/>
      <c r="TDN52" s="42"/>
      <c r="TDO52" s="42"/>
      <c r="TDP52" s="42"/>
      <c r="TDQ52" s="42"/>
      <c r="TDR52" s="42"/>
      <c r="TDS52" s="2"/>
      <c r="TDT52" s="15"/>
      <c r="TDU52" s="42"/>
      <c r="TDV52" s="2"/>
      <c r="TDW52" s="2"/>
      <c r="TDX52" s="2"/>
      <c r="TDY52" s="2"/>
      <c r="TDZ52" s="42"/>
      <c r="TEA52" s="42"/>
      <c r="TEB52" s="42"/>
      <c r="TEC52" s="42"/>
      <c r="TED52" s="42"/>
      <c r="TEE52" s="42"/>
      <c r="TEF52" s="42"/>
      <c r="TEG52" s="42"/>
      <c r="TEH52" s="42"/>
      <c r="TEI52" s="42"/>
      <c r="TEJ52" s="42"/>
      <c r="TEK52" s="42"/>
      <c r="TEL52" s="42"/>
      <c r="TEM52" s="42"/>
      <c r="TEN52" s="42"/>
      <c r="TEO52" s="42"/>
      <c r="TEP52" s="42"/>
      <c r="TEQ52" s="42"/>
      <c r="TER52" s="42"/>
      <c r="TES52" s="42"/>
      <c r="TET52" s="42"/>
      <c r="TEU52" s="42"/>
      <c r="TEV52" s="42"/>
      <c r="TEW52" s="2"/>
      <c r="TEX52" s="15"/>
      <c r="TEY52" s="42"/>
      <c r="TEZ52" s="2"/>
      <c r="TFA52" s="2"/>
      <c r="TFB52" s="2"/>
      <c r="TFC52" s="2"/>
      <c r="TFD52" s="42"/>
      <c r="TFE52" s="42"/>
      <c r="TFF52" s="42"/>
      <c r="TFG52" s="42"/>
      <c r="TFH52" s="42"/>
      <c r="TFI52" s="42"/>
      <c r="TFJ52" s="42"/>
      <c r="TFK52" s="42"/>
      <c r="TFL52" s="42"/>
      <c r="TFM52" s="42"/>
      <c r="TFN52" s="42"/>
      <c r="TFO52" s="42"/>
      <c r="TFP52" s="42"/>
      <c r="TFQ52" s="42"/>
      <c r="TFR52" s="42"/>
      <c r="TFS52" s="42"/>
      <c r="TFT52" s="42"/>
      <c r="TFU52" s="42"/>
      <c r="TFV52" s="42"/>
      <c r="TFW52" s="42"/>
      <c r="TFX52" s="42"/>
      <c r="TFY52" s="42"/>
      <c r="TFZ52" s="42"/>
      <c r="TGA52" s="2"/>
      <c r="TGB52" s="15"/>
      <c r="TGC52" s="42"/>
      <c r="TGD52" s="2"/>
      <c r="TGE52" s="2"/>
      <c r="TGF52" s="2"/>
      <c r="TGG52" s="2"/>
      <c r="TGH52" s="42"/>
      <c r="TGI52" s="42"/>
      <c r="TGJ52" s="42"/>
      <c r="TGK52" s="42"/>
      <c r="TGL52" s="42"/>
      <c r="TGM52" s="42"/>
      <c r="TGN52" s="42"/>
      <c r="TGO52" s="42"/>
      <c r="TGP52" s="42"/>
      <c r="TGQ52" s="42"/>
      <c r="TGR52" s="42"/>
      <c r="TGS52" s="42"/>
      <c r="TGT52" s="42"/>
      <c r="TGU52" s="42"/>
      <c r="TGV52" s="42"/>
      <c r="TGW52" s="42"/>
      <c r="TGX52" s="42"/>
      <c r="TGY52" s="42"/>
      <c r="TGZ52" s="42"/>
      <c r="THA52" s="42"/>
      <c r="THB52" s="42"/>
      <c r="THC52" s="42"/>
      <c r="THD52" s="42"/>
      <c r="THE52" s="2"/>
      <c r="THF52" s="15"/>
      <c r="THG52" s="42"/>
      <c r="THH52" s="2"/>
      <c r="THI52" s="2"/>
      <c r="THJ52" s="2"/>
      <c r="THK52" s="2"/>
      <c r="THL52" s="42"/>
      <c r="THM52" s="42"/>
      <c r="THN52" s="42"/>
      <c r="THO52" s="42"/>
      <c r="THP52" s="42"/>
      <c r="THQ52" s="42"/>
      <c r="THR52" s="42"/>
      <c r="THS52" s="42"/>
      <c r="THT52" s="42"/>
      <c r="THU52" s="42"/>
      <c r="THV52" s="42"/>
      <c r="THW52" s="42"/>
      <c r="THX52" s="42"/>
      <c r="THY52" s="42"/>
      <c r="THZ52" s="42"/>
      <c r="TIA52" s="42"/>
      <c r="TIB52" s="42"/>
      <c r="TIC52" s="42"/>
      <c r="TID52" s="42"/>
      <c r="TIE52" s="42"/>
      <c r="TIF52" s="42"/>
      <c r="TIG52" s="42"/>
      <c r="TIH52" s="42"/>
      <c r="TII52" s="2"/>
      <c r="TIJ52" s="15"/>
      <c r="TIK52" s="42"/>
      <c r="TIL52" s="2"/>
      <c r="TIM52" s="2"/>
      <c r="TIN52" s="2"/>
      <c r="TIO52" s="2"/>
      <c r="TIP52" s="42"/>
      <c r="TIQ52" s="42"/>
      <c r="TIR52" s="42"/>
      <c r="TIS52" s="42"/>
      <c r="TIT52" s="42"/>
      <c r="TIU52" s="42"/>
      <c r="TIV52" s="42"/>
      <c r="TIW52" s="42"/>
      <c r="TIX52" s="42"/>
      <c r="TIY52" s="42"/>
      <c r="TIZ52" s="42"/>
      <c r="TJA52" s="42"/>
      <c r="TJB52" s="42"/>
      <c r="TJC52" s="42"/>
      <c r="TJD52" s="42"/>
      <c r="TJE52" s="42"/>
      <c r="TJF52" s="42"/>
      <c r="TJG52" s="42"/>
      <c r="TJH52" s="42"/>
      <c r="TJI52" s="42"/>
      <c r="TJJ52" s="42"/>
      <c r="TJK52" s="42"/>
      <c r="TJL52" s="42"/>
      <c r="TJM52" s="2"/>
      <c r="TJN52" s="15"/>
      <c r="TJO52" s="42"/>
      <c r="TJP52" s="2"/>
      <c r="TJQ52" s="2"/>
      <c r="TJR52" s="2"/>
      <c r="TJS52" s="2"/>
      <c r="TJT52" s="42"/>
      <c r="TJU52" s="42"/>
      <c r="TJV52" s="42"/>
      <c r="TJW52" s="42"/>
      <c r="TJX52" s="42"/>
      <c r="TJY52" s="42"/>
      <c r="TJZ52" s="42"/>
      <c r="TKA52" s="42"/>
      <c r="TKB52" s="42"/>
      <c r="TKC52" s="42"/>
      <c r="TKD52" s="42"/>
      <c r="TKE52" s="42"/>
      <c r="TKF52" s="42"/>
      <c r="TKG52" s="42"/>
      <c r="TKH52" s="42"/>
      <c r="TKI52" s="42"/>
      <c r="TKJ52" s="42"/>
      <c r="TKK52" s="42"/>
      <c r="TKL52" s="42"/>
      <c r="TKM52" s="42"/>
      <c r="TKN52" s="42"/>
      <c r="TKO52" s="42"/>
      <c r="TKP52" s="42"/>
      <c r="TKQ52" s="2"/>
      <c r="TKR52" s="15"/>
      <c r="TKS52" s="42"/>
      <c r="TKT52" s="2"/>
      <c r="TKU52" s="2"/>
      <c r="TKV52" s="2"/>
      <c r="TKW52" s="2"/>
      <c r="TKX52" s="42"/>
      <c r="TKY52" s="42"/>
      <c r="TKZ52" s="42"/>
      <c r="TLA52" s="42"/>
      <c r="TLB52" s="42"/>
      <c r="TLC52" s="42"/>
      <c r="TLD52" s="42"/>
      <c r="TLE52" s="42"/>
      <c r="TLF52" s="42"/>
      <c r="TLG52" s="42"/>
      <c r="TLH52" s="42"/>
      <c r="TLI52" s="42"/>
      <c r="TLJ52" s="42"/>
      <c r="TLK52" s="42"/>
      <c r="TLL52" s="42"/>
      <c r="TLM52" s="42"/>
      <c r="TLN52" s="42"/>
      <c r="TLO52" s="42"/>
      <c r="TLP52" s="42"/>
      <c r="TLQ52" s="42"/>
      <c r="TLR52" s="42"/>
      <c r="TLS52" s="42"/>
      <c r="TLT52" s="42"/>
      <c r="TLU52" s="2"/>
      <c r="TLV52" s="15"/>
      <c r="TLW52" s="42"/>
      <c r="TLX52" s="2"/>
      <c r="TLY52" s="2"/>
      <c r="TLZ52" s="2"/>
      <c r="TMA52" s="2"/>
      <c r="TMB52" s="42"/>
      <c r="TMC52" s="42"/>
      <c r="TMD52" s="42"/>
      <c r="TME52" s="42"/>
      <c r="TMF52" s="42"/>
      <c r="TMG52" s="42"/>
      <c r="TMH52" s="42"/>
      <c r="TMI52" s="42"/>
      <c r="TMJ52" s="42"/>
      <c r="TMK52" s="42"/>
      <c r="TML52" s="42"/>
      <c r="TMM52" s="42"/>
      <c r="TMN52" s="42"/>
      <c r="TMO52" s="42"/>
      <c r="TMP52" s="42"/>
      <c r="TMQ52" s="42"/>
      <c r="TMR52" s="42"/>
      <c r="TMS52" s="42"/>
      <c r="TMT52" s="42"/>
      <c r="TMU52" s="42"/>
      <c r="TMV52" s="42"/>
      <c r="TMW52" s="42"/>
      <c r="TMX52" s="42"/>
      <c r="TMY52" s="2"/>
      <c r="TMZ52" s="15"/>
      <c r="TNA52" s="42"/>
      <c r="TNB52" s="2"/>
      <c r="TNC52" s="2"/>
      <c r="TND52" s="2"/>
      <c r="TNE52" s="2"/>
      <c r="TNF52" s="42"/>
      <c r="TNG52" s="42"/>
      <c r="TNH52" s="42"/>
      <c r="TNI52" s="42"/>
      <c r="TNJ52" s="42"/>
      <c r="TNK52" s="42"/>
      <c r="TNL52" s="42"/>
      <c r="TNM52" s="42"/>
      <c r="TNN52" s="42"/>
      <c r="TNO52" s="42"/>
      <c r="TNP52" s="42"/>
      <c r="TNQ52" s="42"/>
      <c r="TNR52" s="42"/>
      <c r="TNS52" s="42"/>
      <c r="TNT52" s="42"/>
      <c r="TNU52" s="42"/>
      <c r="TNV52" s="42"/>
      <c r="TNW52" s="42"/>
      <c r="TNX52" s="42"/>
      <c r="TNY52" s="42"/>
      <c r="TNZ52" s="42"/>
      <c r="TOA52" s="42"/>
      <c r="TOB52" s="42"/>
      <c r="TOC52" s="2"/>
      <c r="TOD52" s="15"/>
      <c r="TOE52" s="42"/>
      <c r="TOF52" s="2"/>
      <c r="TOG52" s="2"/>
      <c r="TOH52" s="2"/>
      <c r="TOI52" s="2"/>
      <c r="TOJ52" s="42"/>
      <c r="TOK52" s="42"/>
      <c r="TOL52" s="42"/>
      <c r="TOM52" s="42"/>
      <c r="TON52" s="42"/>
      <c r="TOO52" s="42"/>
      <c r="TOP52" s="42"/>
      <c r="TOQ52" s="42"/>
      <c r="TOR52" s="42"/>
      <c r="TOS52" s="42"/>
      <c r="TOT52" s="42"/>
      <c r="TOU52" s="42"/>
      <c r="TOV52" s="42"/>
      <c r="TOW52" s="42"/>
      <c r="TOX52" s="42"/>
      <c r="TOY52" s="42"/>
      <c r="TOZ52" s="42"/>
      <c r="TPA52" s="42"/>
      <c r="TPB52" s="42"/>
      <c r="TPC52" s="42"/>
      <c r="TPD52" s="42"/>
      <c r="TPE52" s="42"/>
      <c r="TPF52" s="42"/>
      <c r="TPG52" s="2"/>
      <c r="TPH52" s="15"/>
      <c r="TPI52" s="42"/>
      <c r="TPJ52" s="2"/>
      <c r="TPK52" s="2"/>
      <c r="TPL52" s="2"/>
      <c r="TPM52" s="2"/>
      <c r="TPN52" s="42"/>
      <c r="TPO52" s="42"/>
      <c r="TPP52" s="42"/>
      <c r="TPQ52" s="42"/>
      <c r="TPR52" s="42"/>
      <c r="TPS52" s="42"/>
      <c r="TPT52" s="42"/>
      <c r="TPU52" s="42"/>
      <c r="TPV52" s="42"/>
      <c r="TPW52" s="42"/>
      <c r="TPX52" s="42"/>
      <c r="TPY52" s="42"/>
      <c r="TPZ52" s="42"/>
      <c r="TQA52" s="42"/>
      <c r="TQB52" s="42"/>
      <c r="TQC52" s="42"/>
      <c r="TQD52" s="42"/>
      <c r="TQE52" s="42"/>
      <c r="TQF52" s="42"/>
      <c r="TQG52" s="42"/>
      <c r="TQH52" s="42"/>
      <c r="TQI52" s="42"/>
      <c r="TQJ52" s="42"/>
      <c r="TQK52" s="2"/>
      <c r="TQL52" s="15"/>
      <c r="TQM52" s="42"/>
      <c r="TQN52" s="2"/>
      <c r="TQO52" s="2"/>
      <c r="TQP52" s="2"/>
      <c r="TQQ52" s="2"/>
      <c r="TQR52" s="42"/>
      <c r="TQS52" s="42"/>
      <c r="TQT52" s="42"/>
      <c r="TQU52" s="42"/>
      <c r="TQV52" s="42"/>
      <c r="TQW52" s="42"/>
      <c r="TQX52" s="42"/>
      <c r="TQY52" s="42"/>
      <c r="TQZ52" s="42"/>
      <c r="TRA52" s="42"/>
      <c r="TRB52" s="42"/>
      <c r="TRC52" s="42"/>
      <c r="TRD52" s="42"/>
      <c r="TRE52" s="42"/>
      <c r="TRF52" s="42"/>
      <c r="TRG52" s="42"/>
      <c r="TRH52" s="42"/>
      <c r="TRI52" s="42"/>
      <c r="TRJ52" s="42"/>
      <c r="TRK52" s="42"/>
      <c r="TRL52" s="42"/>
      <c r="TRM52" s="42"/>
      <c r="TRN52" s="42"/>
      <c r="TRO52" s="2"/>
      <c r="TRP52" s="15"/>
      <c r="TRQ52" s="42"/>
      <c r="TRR52" s="2"/>
      <c r="TRS52" s="2"/>
      <c r="TRT52" s="2"/>
      <c r="TRU52" s="2"/>
      <c r="TRV52" s="42"/>
      <c r="TRW52" s="42"/>
      <c r="TRX52" s="42"/>
      <c r="TRY52" s="42"/>
      <c r="TRZ52" s="42"/>
      <c r="TSA52" s="42"/>
      <c r="TSB52" s="42"/>
      <c r="TSC52" s="42"/>
      <c r="TSD52" s="42"/>
      <c r="TSE52" s="42"/>
      <c r="TSF52" s="42"/>
      <c r="TSG52" s="42"/>
      <c r="TSH52" s="42"/>
      <c r="TSI52" s="42"/>
      <c r="TSJ52" s="42"/>
      <c r="TSK52" s="42"/>
      <c r="TSL52" s="42"/>
      <c r="TSM52" s="42"/>
      <c r="TSN52" s="42"/>
      <c r="TSO52" s="42"/>
      <c r="TSP52" s="42"/>
      <c r="TSQ52" s="42"/>
      <c r="TSR52" s="42"/>
      <c r="TSS52" s="2"/>
      <c r="TST52" s="15"/>
      <c r="TSU52" s="42"/>
      <c r="TSV52" s="2"/>
      <c r="TSW52" s="2"/>
      <c r="TSX52" s="2"/>
      <c r="TSY52" s="2"/>
      <c r="TSZ52" s="42"/>
      <c r="TTA52" s="42"/>
      <c r="TTB52" s="42"/>
      <c r="TTC52" s="42"/>
      <c r="TTD52" s="42"/>
      <c r="TTE52" s="42"/>
      <c r="TTF52" s="42"/>
      <c r="TTG52" s="42"/>
      <c r="TTH52" s="42"/>
      <c r="TTI52" s="42"/>
      <c r="TTJ52" s="42"/>
      <c r="TTK52" s="42"/>
      <c r="TTL52" s="42"/>
      <c r="TTM52" s="42"/>
      <c r="TTN52" s="42"/>
      <c r="TTO52" s="42"/>
      <c r="TTP52" s="42"/>
      <c r="TTQ52" s="42"/>
      <c r="TTR52" s="42"/>
      <c r="TTS52" s="42"/>
      <c r="TTT52" s="42"/>
      <c r="TTU52" s="42"/>
      <c r="TTV52" s="42"/>
      <c r="TTW52" s="2"/>
      <c r="TTX52" s="15"/>
      <c r="TTY52" s="42"/>
      <c r="TTZ52" s="2"/>
      <c r="TUA52" s="2"/>
      <c r="TUB52" s="2"/>
      <c r="TUC52" s="2"/>
      <c r="TUD52" s="42"/>
      <c r="TUE52" s="42"/>
      <c r="TUF52" s="42"/>
      <c r="TUG52" s="42"/>
      <c r="TUH52" s="42"/>
      <c r="TUI52" s="42"/>
      <c r="TUJ52" s="42"/>
      <c r="TUK52" s="42"/>
      <c r="TUL52" s="42"/>
      <c r="TUM52" s="42"/>
      <c r="TUN52" s="42"/>
      <c r="TUO52" s="42"/>
      <c r="TUP52" s="42"/>
      <c r="TUQ52" s="42"/>
      <c r="TUR52" s="42"/>
      <c r="TUS52" s="42"/>
      <c r="TUT52" s="42"/>
      <c r="TUU52" s="42"/>
      <c r="TUV52" s="42"/>
      <c r="TUW52" s="42"/>
      <c r="TUX52" s="42"/>
      <c r="TUY52" s="42"/>
      <c r="TUZ52" s="42"/>
      <c r="TVA52" s="2"/>
      <c r="TVB52" s="15"/>
      <c r="TVC52" s="42"/>
      <c r="TVD52" s="2"/>
      <c r="TVE52" s="2"/>
      <c r="TVF52" s="2"/>
      <c r="TVG52" s="2"/>
      <c r="TVH52" s="42"/>
      <c r="TVI52" s="42"/>
      <c r="TVJ52" s="42"/>
      <c r="TVK52" s="42"/>
      <c r="TVL52" s="42"/>
      <c r="TVM52" s="42"/>
      <c r="TVN52" s="42"/>
      <c r="TVO52" s="42"/>
      <c r="TVP52" s="42"/>
      <c r="TVQ52" s="42"/>
      <c r="TVR52" s="42"/>
      <c r="TVS52" s="42"/>
      <c r="TVT52" s="42"/>
      <c r="TVU52" s="42"/>
      <c r="TVV52" s="42"/>
      <c r="TVW52" s="42"/>
      <c r="TVX52" s="42"/>
      <c r="TVY52" s="42"/>
      <c r="TVZ52" s="42"/>
      <c r="TWA52" s="42"/>
      <c r="TWB52" s="42"/>
      <c r="TWC52" s="42"/>
      <c r="TWD52" s="42"/>
      <c r="TWE52" s="2"/>
      <c r="TWF52" s="15"/>
      <c r="TWG52" s="42"/>
      <c r="TWH52" s="2"/>
      <c r="TWI52" s="2"/>
      <c r="TWJ52" s="2"/>
      <c r="TWK52" s="2"/>
      <c r="TWL52" s="42"/>
      <c r="TWM52" s="42"/>
      <c r="TWN52" s="42"/>
      <c r="TWO52" s="42"/>
      <c r="TWP52" s="42"/>
      <c r="TWQ52" s="42"/>
      <c r="TWR52" s="42"/>
      <c r="TWS52" s="42"/>
      <c r="TWT52" s="42"/>
      <c r="TWU52" s="42"/>
      <c r="TWV52" s="42"/>
      <c r="TWW52" s="42"/>
      <c r="TWX52" s="42"/>
      <c r="TWY52" s="42"/>
      <c r="TWZ52" s="42"/>
      <c r="TXA52" s="42"/>
      <c r="TXB52" s="42"/>
      <c r="TXC52" s="42"/>
      <c r="TXD52" s="42"/>
      <c r="TXE52" s="42"/>
      <c r="TXF52" s="42"/>
      <c r="TXG52" s="42"/>
      <c r="TXH52" s="42"/>
      <c r="TXI52" s="2"/>
      <c r="TXJ52" s="15"/>
      <c r="TXK52" s="42"/>
      <c r="TXL52" s="2"/>
      <c r="TXM52" s="2"/>
      <c r="TXN52" s="2"/>
      <c r="TXO52" s="2"/>
      <c r="TXP52" s="42"/>
      <c r="TXQ52" s="42"/>
      <c r="TXR52" s="42"/>
      <c r="TXS52" s="42"/>
      <c r="TXT52" s="42"/>
      <c r="TXU52" s="42"/>
      <c r="TXV52" s="42"/>
      <c r="TXW52" s="42"/>
      <c r="TXX52" s="42"/>
      <c r="TXY52" s="42"/>
      <c r="TXZ52" s="42"/>
      <c r="TYA52" s="42"/>
      <c r="TYB52" s="42"/>
      <c r="TYC52" s="42"/>
      <c r="TYD52" s="42"/>
      <c r="TYE52" s="42"/>
      <c r="TYF52" s="42"/>
      <c r="TYG52" s="42"/>
      <c r="TYH52" s="42"/>
      <c r="TYI52" s="42"/>
      <c r="TYJ52" s="42"/>
      <c r="TYK52" s="42"/>
      <c r="TYL52" s="42"/>
      <c r="TYM52" s="2"/>
      <c r="TYN52" s="15"/>
      <c r="TYO52" s="42"/>
      <c r="TYP52" s="2"/>
      <c r="TYQ52" s="2"/>
      <c r="TYR52" s="2"/>
      <c r="TYS52" s="2"/>
      <c r="TYT52" s="42"/>
      <c r="TYU52" s="42"/>
      <c r="TYV52" s="42"/>
      <c r="TYW52" s="42"/>
      <c r="TYX52" s="42"/>
      <c r="TYY52" s="42"/>
      <c r="TYZ52" s="42"/>
      <c r="TZA52" s="42"/>
      <c r="TZB52" s="42"/>
      <c r="TZC52" s="42"/>
      <c r="TZD52" s="42"/>
      <c r="TZE52" s="42"/>
      <c r="TZF52" s="42"/>
      <c r="TZG52" s="42"/>
      <c r="TZH52" s="42"/>
      <c r="TZI52" s="42"/>
      <c r="TZJ52" s="42"/>
      <c r="TZK52" s="42"/>
      <c r="TZL52" s="42"/>
      <c r="TZM52" s="42"/>
      <c r="TZN52" s="42"/>
      <c r="TZO52" s="42"/>
      <c r="TZP52" s="42"/>
      <c r="TZQ52" s="2"/>
      <c r="TZR52" s="15"/>
      <c r="TZS52" s="42"/>
      <c r="TZT52" s="2"/>
      <c r="TZU52" s="2"/>
      <c r="TZV52" s="2"/>
      <c r="TZW52" s="2"/>
      <c r="TZX52" s="42"/>
      <c r="TZY52" s="42"/>
      <c r="TZZ52" s="42"/>
      <c r="UAA52" s="42"/>
      <c r="UAB52" s="42"/>
      <c r="UAC52" s="42"/>
      <c r="UAD52" s="42"/>
      <c r="UAE52" s="42"/>
      <c r="UAF52" s="42"/>
      <c r="UAG52" s="42"/>
      <c r="UAH52" s="42"/>
      <c r="UAI52" s="42"/>
      <c r="UAJ52" s="42"/>
      <c r="UAK52" s="42"/>
      <c r="UAL52" s="42"/>
      <c r="UAM52" s="42"/>
      <c r="UAN52" s="42"/>
      <c r="UAO52" s="42"/>
      <c r="UAP52" s="42"/>
      <c r="UAQ52" s="42"/>
      <c r="UAR52" s="42"/>
      <c r="UAS52" s="42"/>
      <c r="UAT52" s="42"/>
      <c r="UAU52" s="2"/>
      <c r="UAV52" s="15"/>
      <c r="UAW52" s="42"/>
      <c r="UAX52" s="2"/>
      <c r="UAY52" s="2"/>
      <c r="UAZ52" s="2"/>
      <c r="UBA52" s="2"/>
      <c r="UBB52" s="42"/>
      <c r="UBC52" s="42"/>
      <c r="UBD52" s="42"/>
      <c r="UBE52" s="42"/>
      <c r="UBF52" s="42"/>
      <c r="UBG52" s="42"/>
      <c r="UBH52" s="42"/>
      <c r="UBI52" s="42"/>
      <c r="UBJ52" s="42"/>
      <c r="UBK52" s="42"/>
      <c r="UBL52" s="42"/>
      <c r="UBM52" s="42"/>
      <c r="UBN52" s="42"/>
      <c r="UBO52" s="42"/>
      <c r="UBP52" s="42"/>
      <c r="UBQ52" s="42"/>
      <c r="UBR52" s="42"/>
      <c r="UBS52" s="42"/>
      <c r="UBT52" s="42"/>
      <c r="UBU52" s="42"/>
      <c r="UBV52" s="42"/>
      <c r="UBW52" s="42"/>
      <c r="UBX52" s="42"/>
      <c r="UBY52" s="2"/>
      <c r="UBZ52" s="15"/>
      <c r="UCA52" s="42"/>
      <c r="UCB52" s="2"/>
      <c r="UCC52" s="2"/>
      <c r="UCD52" s="2"/>
      <c r="UCE52" s="2"/>
      <c r="UCF52" s="42"/>
      <c r="UCG52" s="42"/>
      <c r="UCH52" s="42"/>
      <c r="UCI52" s="42"/>
      <c r="UCJ52" s="42"/>
      <c r="UCK52" s="42"/>
      <c r="UCL52" s="42"/>
      <c r="UCM52" s="42"/>
      <c r="UCN52" s="42"/>
      <c r="UCO52" s="42"/>
      <c r="UCP52" s="42"/>
      <c r="UCQ52" s="42"/>
      <c r="UCR52" s="42"/>
      <c r="UCS52" s="42"/>
      <c r="UCT52" s="42"/>
      <c r="UCU52" s="42"/>
      <c r="UCV52" s="42"/>
      <c r="UCW52" s="42"/>
      <c r="UCX52" s="42"/>
      <c r="UCY52" s="42"/>
      <c r="UCZ52" s="42"/>
      <c r="UDA52" s="42"/>
      <c r="UDB52" s="42"/>
      <c r="UDC52" s="2"/>
      <c r="UDD52" s="15"/>
      <c r="UDE52" s="42"/>
      <c r="UDF52" s="2"/>
      <c r="UDG52" s="2"/>
      <c r="UDH52" s="2"/>
      <c r="UDI52" s="2"/>
      <c r="UDJ52" s="42"/>
      <c r="UDK52" s="42"/>
      <c r="UDL52" s="42"/>
      <c r="UDM52" s="42"/>
      <c r="UDN52" s="42"/>
      <c r="UDO52" s="42"/>
      <c r="UDP52" s="42"/>
      <c r="UDQ52" s="42"/>
      <c r="UDR52" s="42"/>
      <c r="UDS52" s="42"/>
      <c r="UDT52" s="42"/>
      <c r="UDU52" s="42"/>
      <c r="UDV52" s="42"/>
      <c r="UDW52" s="42"/>
      <c r="UDX52" s="42"/>
      <c r="UDY52" s="42"/>
      <c r="UDZ52" s="42"/>
      <c r="UEA52" s="42"/>
      <c r="UEB52" s="42"/>
      <c r="UEC52" s="42"/>
      <c r="UED52" s="42"/>
      <c r="UEE52" s="42"/>
      <c r="UEF52" s="42"/>
      <c r="UEG52" s="2"/>
      <c r="UEH52" s="15"/>
      <c r="UEI52" s="42"/>
      <c r="UEJ52" s="2"/>
      <c r="UEK52" s="2"/>
      <c r="UEL52" s="2"/>
      <c r="UEM52" s="2"/>
      <c r="UEN52" s="42"/>
      <c r="UEO52" s="42"/>
      <c r="UEP52" s="42"/>
      <c r="UEQ52" s="42"/>
      <c r="UER52" s="42"/>
      <c r="UES52" s="42"/>
      <c r="UET52" s="42"/>
      <c r="UEU52" s="42"/>
      <c r="UEV52" s="42"/>
      <c r="UEW52" s="42"/>
      <c r="UEX52" s="42"/>
      <c r="UEY52" s="42"/>
      <c r="UEZ52" s="42"/>
      <c r="UFA52" s="42"/>
      <c r="UFB52" s="42"/>
      <c r="UFC52" s="42"/>
      <c r="UFD52" s="42"/>
      <c r="UFE52" s="42"/>
      <c r="UFF52" s="42"/>
      <c r="UFG52" s="42"/>
      <c r="UFH52" s="42"/>
      <c r="UFI52" s="42"/>
      <c r="UFJ52" s="42"/>
      <c r="UFK52" s="2"/>
      <c r="UFL52" s="15"/>
      <c r="UFM52" s="42"/>
      <c r="UFN52" s="2"/>
      <c r="UFO52" s="2"/>
      <c r="UFP52" s="2"/>
      <c r="UFQ52" s="2"/>
      <c r="UFR52" s="42"/>
      <c r="UFS52" s="42"/>
      <c r="UFT52" s="42"/>
      <c r="UFU52" s="42"/>
      <c r="UFV52" s="42"/>
      <c r="UFW52" s="42"/>
      <c r="UFX52" s="42"/>
      <c r="UFY52" s="42"/>
      <c r="UFZ52" s="42"/>
      <c r="UGA52" s="42"/>
      <c r="UGB52" s="42"/>
      <c r="UGC52" s="42"/>
      <c r="UGD52" s="42"/>
      <c r="UGE52" s="42"/>
      <c r="UGF52" s="42"/>
      <c r="UGG52" s="42"/>
      <c r="UGH52" s="42"/>
      <c r="UGI52" s="42"/>
      <c r="UGJ52" s="42"/>
      <c r="UGK52" s="42"/>
      <c r="UGL52" s="42"/>
      <c r="UGM52" s="42"/>
      <c r="UGN52" s="42"/>
      <c r="UGO52" s="2"/>
      <c r="UGP52" s="15"/>
      <c r="UGQ52" s="42"/>
      <c r="UGR52" s="2"/>
      <c r="UGS52" s="2"/>
      <c r="UGT52" s="2"/>
      <c r="UGU52" s="2"/>
      <c r="UGV52" s="42"/>
      <c r="UGW52" s="42"/>
      <c r="UGX52" s="42"/>
      <c r="UGY52" s="42"/>
      <c r="UGZ52" s="42"/>
      <c r="UHA52" s="42"/>
      <c r="UHB52" s="42"/>
      <c r="UHC52" s="42"/>
      <c r="UHD52" s="42"/>
      <c r="UHE52" s="42"/>
      <c r="UHF52" s="42"/>
      <c r="UHG52" s="42"/>
      <c r="UHH52" s="42"/>
      <c r="UHI52" s="42"/>
      <c r="UHJ52" s="42"/>
      <c r="UHK52" s="42"/>
      <c r="UHL52" s="42"/>
      <c r="UHM52" s="42"/>
      <c r="UHN52" s="42"/>
      <c r="UHO52" s="42"/>
      <c r="UHP52" s="42"/>
      <c r="UHQ52" s="42"/>
      <c r="UHR52" s="42"/>
      <c r="UHS52" s="2"/>
      <c r="UHT52" s="15"/>
      <c r="UHU52" s="42"/>
      <c r="UHV52" s="2"/>
      <c r="UHW52" s="2"/>
      <c r="UHX52" s="2"/>
      <c r="UHY52" s="2"/>
      <c r="UHZ52" s="42"/>
      <c r="UIA52" s="42"/>
      <c r="UIB52" s="42"/>
      <c r="UIC52" s="42"/>
      <c r="UID52" s="42"/>
      <c r="UIE52" s="42"/>
      <c r="UIF52" s="42"/>
      <c r="UIG52" s="42"/>
      <c r="UIH52" s="42"/>
      <c r="UII52" s="42"/>
      <c r="UIJ52" s="42"/>
      <c r="UIK52" s="42"/>
      <c r="UIL52" s="42"/>
      <c r="UIM52" s="42"/>
      <c r="UIN52" s="42"/>
      <c r="UIO52" s="42"/>
      <c r="UIP52" s="42"/>
      <c r="UIQ52" s="42"/>
      <c r="UIR52" s="42"/>
      <c r="UIS52" s="42"/>
      <c r="UIT52" s="42"/>
      <c r="UIU52" s="42"/>
      <c r="UIV52" s="42"/>
      <c r="UIW52" s="2"/>
      <c r="UIX52" s="15"/>
      <c r="UIY52" s="42"/>
      <c r="UIZ52" s="2"/>
      <c r="UJA52" s="2"/>
      <c r="UJB52" s="2"/>
      <c r="UJC52" s="2"/>
      <c r="UJD52" s="42"/>
      <c r="UJE52" s="42"/>
      <c r="UJF52" s="42"/>
      <c r="UJG52" s="42"/>
      <c r="UJH52" s="42"/>
      <c r="UJI52" s="42"/>
      <c r="UJJ52" s="42"/>
      <c r="UJK52" s="42"/>
      <c r="UJL52" s="42"/>
      <c r="UJM52" s="42"/>
      <c r="UJN52" s="42"/>
      <c r="UJO52" s="42"/>
      <c r="UJP52" s="42"/>
      <c r="UJQ52" s="42"/>
      <c r="UJR52" s="42"/>
      <c r="UJS52" s="42"/>
      <c r="UJT52" s="42"/>
      <c r="UJU52" s="42"/>
      <c r="UJV52" s="42"/>
      <c r="UJW52" s="42"/>
      <c r="UJX52" s="42"/>
      <c r="UJY52" s="42"/>
      <c r="UJZ52" s="42"/>
      <c r="UKA52" s="2"/>
      <c r="UKB52" s="15"/>
      <c r="UKC52" s="42"/>
      <c r="UKD52" s="2"/>
      <c r="UKE52" s="2"/>
      <c r="UKF52" s="2"/>
      <c r="UKG52" s="2"/>
      <c r="UKH52" s="42"/>
      <c r="UKI52" s="42"/>
      <c r="UKJ52" s="42"/>
      <c r="UKK52" s="42"/>
      <c r="UKL52" s="42"/>
      <c r="UKM52" s="42"/>
      <c r="UKN52" s="42"/>
      <c r="UKO52" s="42"/>
      <c r="UKP52" s="42"/>
      <c r="UKQ52" s="42"/>
      <c r="UKR52" s="42"/>
      <c r="UKS52" s="42"/>
      <c r="UKT52" s="42"/>
      <c r="UKU52" s="42"/>
      <c r="UKV52" s="42"/>
      <c r="UKW52" s="42"/>
      <c r="UKX52" s="42"/>
      <c r="UKY52" s="42"/>
      <c r="UKZ52" s="42"/>
      <c r="ULA52" s="42"/>
      <c r="ULB52" s="42"/>
      <c r="ULC52" s="42"/>
      <c r="ULD52" s="42"/>
      <c r="ULE52" s="2"/>
      <c r="ULF52" s="15"/>
      <c r="ULG52" s="42"/>
      <c r="ULH52" s="2"/>
      <c r="ULI52" s="2"/>
      <c r="ULJ52" s="2"/>
      <c r="ULK52" s="2"/>
      <c r="ULL52" s="42"/>
      <c r="ULM52" s="42"/>
      <c r="ULN52" s="42"/>
      <c r="ULO52" s="42"/>
      <c r="ULP52" s="42"/>
      <c r="ULQ52" s="42"/>
      <c r="ULR52" s="42"/>
      <c r="ULS52" s="42"/>
      <c r="ULT52" s="42"/>
      <c r="ULU52" s="42"/>
      <c r="ULV52" s="42"/>
      <c r="ULW52" s="42"/>
      <c r="ULX52" s="42"/>
      <c r="ULY52" s="42"/>
      <c r="ULZ52" s="42"/>
      <c r="UMA52" s="42"/>
      <c r="UMB52" s="42"/>
      <c r="UMC52" s="42"/>
      <c r="UMD52" s="42"/>
      <c r="UME52" s="42"/>
      <c r="UMF52" s="42"/>
      <c r="UMG52" s="42"/>
      <c r="UMH52" s="42"/>
      <c r="UMI52" s="2"/>
      <c r="UMJ52" s="15"/>
      <c r="UMK52" s="42"/>
      <c r="UML52" s="2"/>
      <c r="UMM52" s="2"/>
      <c r="UMN52" s="2"/>
      <c r="UMO52" s="2"/>
      <c r="UMP52" s="42"/>
      <c r="UMQ52" s="42"/>
      <c r="UMR52" s="42"/>
      <c r="UMS52" s="42"/>
      <c r="UMT52" s="42"/>
      <c r="UMU52" s="42"/>
      <c r="UMV52" s="42"/>
      <c r="UMW52" s="42"/>
      <c r="UMX52" s="42"/>
      <c r="UMY52" s="42"/>
      <c r="UMZ52" s="42"/>
      <c r="UNA52" s="42"/>
      <c r="UNB52" s="42"/>
      <c r="UNC52" s="42"/>
      <c r="UND52" s="42"/>
      <c r="UNE52" s="42"/>
      <c r="UNF52" s="42"/>
      <c r="UNG52" s="42"/>
      <c r="UNH52" s="42"/>
      <c r="UNI52" s="42"/>
      <c r="UNJ52" s="42"/>
      <c r="UNK52" s="42"/>
      <c r="UNL52" s="42"/>
      <c r="UNM52" s="2"/>
      <c r="UNN52" s="15"/>
      <c r="UNO52" s="42"/>
      <c r="UNP52" s="2"/>
      <c r="UNQ52" s="2"/>
      <c r="UNR52" s="2"/>
      <c r="UNS52" s="2"/>
      <c r="UNT52" s="42"/>
      <c r="UNU52" s="42"/>
      <c r="UNV52" s="42"/>
      <c r="UNW52" s="42"/>
      <c r="UNX52" s="42"/>
      <c r="UNY52" s="42"/>
      <c r="UNZ52" s="42"/>
      <c r="UOA52" s="42"/>
      <c r="UOB52" s="42"/>
      <c r="UOC52" s="42"/>
      <c r="UOD52" s="42"/>
      <c r="UOE52" s="42"/>
      <c r="UOF52" s="42"/>
      <c r="UOG52" s="42"/>
      <c r="UOH52" s="42"/>
      <c r="UOI52" s="42"/>
      <c r="UOJ52" s="42"/>
      <c r="UOK52" s="42"/>
      <c r="UOL52" s="42"/>
      <c r="UOM52" s="42"/>
      <c r="UON52" s="42"/>
      <c r="UOO52" s="42"/>
      <c r="UOP52" s="42"/>
      <c r="UOQ52" s="2"/>
      <c r="UOR52" s="15"/>
      <c r="UOS52" s="42"/>
      <c r="UOT52" s="2"/>
      <c r="UOU52" s="2"/>
      <c r="UOV52" s="2"/>
      <c r="UOW52" s="2"/>
      <c r="UOX52" s="42"/>
      <c r="UOY52" s="42"/>
      <c r="UOZ52" s="42"/>
      <c r="UPA52" s="42"/>
      <c r="UPB52" s="42"/>
      <c r="UPC52" s="42"/>
      <c r="UPD52" s="42"/>
      <c r="UPE52" s="42"/>
      <c r="UPF52" s="42"/>
      <c r="UPG52" s="42"/>
      <c r="UPH52" s="42"/>
      <c r="UPI52" s="42"/>
      <c r="UPJ52" s="42"/>
      <c r="UPK52" s="42"/>
      <c r="UPL52" s="42"/>
      <c r="UPM52" s="42"/>
      <c r="UPN52" s="42"/>
      <c r="UPO52" s="42"/>
      <c r="UPP52" s="42"/>
      <c r="UPQ52" s="42"/>
      <c r="UPR52" s="42"/>
      <c r="UPS52" s="42"/>
      <c r="UPT52" s="42"/>
      <c r="UPU52" s="2"/>
      <c r="UPV52" s="15"/>
      <c r="UPW52" s="42"/>
      <c r="UPX52" s="2"/>
      <c r="UPY52" s="2"/>
      <c r="UPZ52" s="2"/>
      <c r="UQA52" s="2"/>
      <c r="UQB52" s="42"/>
      <c r="UQC52" s="42"/>
      <c r="UQD52" s="42"/>
      <c r="UQE52" s="42"/>
      <c r="UQF52" s="42"/>
      <c r="UQG52" s="42"/>
      <c r="UQH52" s="42"/>
      <c r="UQI52" s="42"/>
      <c r="UQJ52" s="42"/>
      <c r="UQK52" s="42"/>
      <c r="UQL52" s="42"/>
      <c r="UQM52" s="42"/>
      <c r="UQN52" s="42"/>
      <c r="UQO52" s="42"/>
      <c r="UQP52" s="42"/>
      <c r="UQQ52" s="42"/>
      <c r="UQR52" s="42"/>
      <c r="UQS52" s="42"/>
      <c r="UQT52" s="42"/>
      <c r="UQU52" s="42"/>
      <c r="UQV52" s="42"/>
      <c r="UQW52" s="42"/>
      <c r="UQX52" s="42"/>
      <c r="UQY52" s="2"/>
      <c r="UQZ52" s="15"/>
      <c r="URA52" s="42"/>
      <c r="URB52" s="2"/>
      <c r="URC52" s="2"/>
      <c r="URD52" s="2"/>
      <c r="URE52" s="2"/>
      <c r="URF52" s="42"/>
      <c r="URG52" s="42"/>
      <c r="URH52" s="42"/>
      <c r="URI52" s="42"/>
      <c r="URJ52" s="42"/>
      <c r="URK52" s="42"/>
      <c r="URL52" s="42"/>
      <c r="URM52" s="42"/>
      <c r="URN52" s="42"/>
      <c r="URO52" s="42"/>
      <c r="URP52" s="42"/>
      <c r="URQ52" s="42"/>
      <c r="URR52" s="42"/>
      <c r="URS52" s="42"/>
      <c r="URT52" s="42"/>
      <c r="URU52" s="42"/>
      <c r="URV52" s="42"/>
      <c r="URW52" s="42"/>
      <c r="URX52" s="42"/>
      <c r="URY52" s="42"/>
      <c r="URZ52" s="42"/>
      <c r="USA52" s="42"/>
      <c r="USB52" s="42"/>
      <c r="USC52" s="2"/>
      <c r="USD52" s="15"/>
      <c r="USE52" s="42"/>
      <c r="USF52" s="2"/>
      <c r="USG52" s="2"/>
      <c r="USH52" s="2"/>
      <c r="USI52" s="2"/>
      <c r="USJ52" s="42"/>
      <c r="USK52" s="42"/>
      <c r="USL52" s="42"/>
      <c r="USM52" s="42"/>
      <c r="USN52" s="42"/>
      <c r="USO52" s="42"/>
      <c r="USP52" s="42"/>
      <c r="USQ52" s="42"/>
      <c r="USR52" s="42"/>
      <c r="USS52" s="42"/>
      <c r="UST52" s="42"/>
      <c r="USU52" s="42"/>
      <c r="USV52" s="42"/>
      <c r="USW52" s="42"/>
      <c r="USX52" s="42"/>
      <c r="USY52" s="42"/>
      <c r="USZ52" s="42"/>
      <c r="UTA52" s="42"/>
      <c r="UTB52" s="42"/>
      <c r="UTC52" s="42"/>
      <c r="UTD52" s="42"/>
      <c r="UTE52" s="42"/>
      <c r="UTF52" s="42"/>
      <c r="UTG52" s="2"/>
      <c r="UTH52" s="15"/>
      <c r="UTI52" s="42"/>
      <c r="UTJ52" s="2"/>
      <c r="UTK52" s="2"/>
      <c r="UTL52" s="2"/>
      <c r="UTM52" s="2"/>
      <c r="UTN52" s="42"/>
      <c r="UTO52" s="42"/>
      <c r="UTP52" s="42"/>
      <c r="UTQ52" s="42"/>
      <c r="UTR52" s="42"/>
      <c r="UTS52" s="42"/>
      <c r="UTT52" s="42"/>
      <c r="UTU52" s="42"/>
      <c r="UTV52" s="42"/>
      <c r="UTW52" s="42"/>
      <c r="UTX52" s="42"/>
      <c r="UTY52" s="42"/>
      <c r="UTZ52" s="42"/>
      <c r="UUA52" s="42"/>
      <c r="UUB52" s="42"/>
      <c r="UUC52" s="42"/>
      <c r="UUD52" s="42"/>
      <c r="UUE52" s="42"/>
      <c r="UUF52" s="42"/>
      <c r="UUG52" s="42"/>
      <c r="UUH52" s="42"/>
      <c r="UUI52" s="42"/>
      <c r="UUJ52" s="42"/>
      <c r="UUK52" s="2"/>
      <c r="UUL52" s="15"/>
      <c r="UUM52" s="42"/>
      <c r="UUN52" s="2"/>
      <c r="UUO52" s="2"/>
      <c r="UUP52" s="2"/>
      <c r="UUQ52" s="2"/>
      <c r="UUR52" s="42"/>
      <c r="UUS52" s="42"/>
      <c r="UUT52" s="42"/>
      <c r="UUU52" s="42"/>
      <c r="UUV52" s="42"/>
      <c r="UUW52" s="42"/>
      <c r="UUX52" s="42"/>
      <c r="UUY52" s="42"/>
      <c r="UUZ52" s="42"/>
      <c r="UVA52" s="42"/>
      <c r="UVB52" s="42"/>
      <c r="UVC52" s="42"/>
      <c r="UVD52" s="42"/>
      <c r="UVE52" s="42"/>
      <c r="UVF52" s="42"/>
      <c r="UVG52" s="42"/>
      <c r="UVH52" s="42"/>
      <c r="UVI52" s="42"/>
      <c r="UVJ52" s="42"/>
      <c r="UVK52" s="42"/>
      <c r="UVL52" s="42"/>
      <c r="UVM52" s="42"/>
      <c r="UVN52" s="42"/>
      <c r="UVO52" s="2"/>
      <c r="UVP52" s="15"/>
      <c r="UVQ52" s="42"/>
      <c r="UVR52" s="2"/>
      <c r="UVS52" s="2"/>
      <c r="UVT52" s="2"/>
      <c r="UVU52" s="2"/>
      <c r="UVV52" s="42"/>
      <c r="UVW52" s="42"/>
      <c r="UVX52" s="42"/>
      <c r="UVY52" s="42"/>
      <c r="UVZ52" s="42"/>
      <c r="UWA52" s="42"/>
      <c r="UWB52" s="42"/>
      <c r="UWC52" s="42"/>
      <c r="UWD52" s="42"/>
      <c r="UWE52" s="42"/>
      <c r="UWF52" s="42"/>
      <c r="UWG52" s="42"/>
      <c r="UWH52" s="42"/>
      <c r="UWI52" s="42"/>
      <c r="UWJ52" s="42"/>
      <c r="UWK52" s="42"/>
      <c r="UWL52" s="42"/>
      <c r="UWM52" s="42"/>
      <c r="UWN52" s="42"/>
      <c r="UWO52" s="42"/>
      <c r="UWP52" s="42"/>
      <c r="UWQ52" s="42"/>
      <c r="UWR52" s="42"/>
      <c r="UWS52" s="2"/>
      <c r="UWT52" s="15"/>
      <c r="UWU52" s="42"/>
      <c r="UWV52" s="2"/>
      <c r="UWW52" s="2"/>
      <c r="UWX52" s="2"/>
      <c r="UWY52" s="2"/>
      <c r="UWZ52" s="42"/>
      <c r="UXA52" s="42"/>
      <c r="UXB52" s="42"/>
      <c r="UXC52" s="42"/>
      <c r="UXD52" s="42"/>
      <c r="UXE52" s="42"/>
      <c r="UXF52" s="42"/>
      <c r="UXG52" s="42"/>
      <c r="UXH52" s="42"/>
      <c r="UXI52" s="42"/>
      <c r="UXJ52" s="42"/>
      <c r="UXK52" s="42"/>
      <c r="UXL52" s="42"/>
      <c r="UXM52" s="42"/>
      <c r="UXN52" s="42"/>
      <c r="UXO52" s="42"/>
      <c r="UXP52" s="42"/>
      <c r="UXQ52" s="42"/>
      <c r="UXR52" s="42"/>
      <c r="UXS52" s="42"/>
      <c r="UXT52" s="42"/>
      <c r="UXU52" s="42"/>
      <c r="UXV52" s="42"/>
      <c r="UXW52" s="2"/>
      <c r="UXX52" s="15"/>
      <c r="UXY52" s="42"/>
      <c r="UXZ52" s="2"/>
      <c r="UYA52" s="2"/>
      <c r="UYB52" s="2"/>
      <c r="UYC52" s="2"/>
      <c r="UYD52" s="42"/>
      <c r="UYE52" s="42"/>
      <c r="UYF52" s="42"/>
      <c r="UYG52" s="42"/>
      <c r="UYH52" s="42"/>
      <c r="UYI52" s="42"/>
      <c r="UYJ52" s="42"/>
      <c r="UYK52" s="42"/>
      <c r="UYL52" s="42"/>
      <c r="UYM52" s="42"/>
      <c r="UYN52" s="42"/>
      <c r="UYO52" s="42"/>
      <c r="UYP52" s="42"/>
      <c r="UYQ52" s="42"/>
      <c r="UYR52" s="42"/>
      <c r="UYS52" s="42"/>
      <c r="UYT52" s="42"/>
      <c r="UYU52" s="42"/>
      <c r="UYV52" s="42"/>
      <c r="UYW52" s="42"/>
      <c r="UYX52" s="42"/>
      <c r="UYY52" s="42"/>
      <c r="UYZ52" s="42"/>
      <c r="UZA52" s="2"/>
      <c r="UZB52" s="15"/>
      <c r="UZC52" s="42"/>
      <c r="UZD52" s="2"/>
      <c r="UZE52" s="2"/>
      <c r="UZF52" s="2"/>
      <c r="UZG52" s="2"/>
      <c r="UZH52" s="42"/>
      <c r="UZI52" s="42"/>
      <c r="UZJ52" s="42"/>
      <c r="UZK52" s="42"/>
      <c r="UZL52" s="42"/>
      <c r="UZM52" s="42"/>
      <c r="UZN52" s="42"/>
      <c r="UZO52" s="42"/>
      <c r="UZP52" s="42"/>
      <c r="UZQ52" s="42"/>
      <c r="UZR52" s="42"/>
      <c r="UZS52" s="42"/>
      <c r="UZT52" s="42"/>
      <c r="UZU52" s="42"/>
      <c r="UZV52" s="42"/>
      <c r="UZW52" s="42"/>
      <c r="UZX52" s="42"/>
      <c r="UZY52" s="42"/>
      <c r="UZZ52" s="42"/>
      <c r="VAA52" s="42"/>
      <c r="VAB52" s="42"/>
      <c r="VAC52" s="42"/>
      <c r="VAD52" s="42"/>
      <c r="VAE52" s="2"/>
      <c r="VAF52" s="15"/>
      <c r="VAG52" s="42"/>
      <c r="VAH52" s="2"/>
      <c r="VAI52" s="2"/>
      <c r="VAJ52" s="2"/>
      <c r="VAK52" s="2"/>
      <c r="VAL52" s="42"/>
      <c r="VAM52" s="42"/>
      <c r="VAN52" s="42"/>
      <c r="VAO52" s="42"/>
      <c r="VAP52" s="42"/>
      <c r="VAQ52" s="42"/>
      <c r="VAR52" s="42"/>
      <c r="VAS52" s="42"/>
      <c r="VAT52" s="42"/>
      <c r="VAU52" s="42"/>
      <c r="VAV52" s="42"/>
      <c r="VAW52" s="42"/>
      <c r="VAX52" s="42"/>
      <c r="VAY52" s="42"/>
      <c r="VAZ52" s="42"/>
      <c r="VBA52" s="42"/>
      <c r="VBB52" s="42"/>
      <c r="VBC52" s="42"/>
      <c r="VBD52" s="42"/>
      <c r="VBE52" s="42"/>
      <c r="VBF52" s="42"/>
      <c r="VBG52" s="42"/>
      <c r="VBH52" s="42"/>
      <c r="VBI52" s="2"/>
      <c r="VBJ52" s="15"/>
      <c r="VBK52" s="42"/>
      <c r="VBL52" s="2"/>
      <c r="VBM52" s="2"/>
      <c r="VBN52" s="2"/>
      <c r="VBO52" s="2"/>
      <c r="VBP52" s="42"/>
      <c r="VBQ52" s="42"/>
      <c r="VBR52" s="42"/>
      <c r="VBS52" s="42"/>
      <c r="VBT52" s="42"/>
      <c r="VBU52" s="42"/>
      <c r="VBV52" s="42"/>
      <c r="VBW52" s="42"/>
      <c r="VBX52" s="42"/>
      <c r="VBY52" s="42"/>
      <c r="VBZ52" s="42"/>
      <c r="VCA52" s="42"/>
      <c r="VCB52" s="42"/>
      <c r="VCC52" s="42"/>
      <c r="VCD52" s="42"/>
      <c r="VCE52" s="42"/>
      <c r="VCF52" s="42"/>
      <c r="VCG52" s="42"/>
      <c r="VCH52" s="42"/>
      <c r="VCI52" s="42"/>
      <c r="VCJ52" s="42"/>
      <c r="VCK52" s="42"/>
      <c r="VCL52" s="42"/>
      <c r="VCM52" s="2"/>
      <c r="VCN52" s="15"/>
      <c r="VCO52" s="42"/>
      <c r="VCP52" s="2"/>
      <c r="VCQ52" s="2"/>
      <c r="VCR52" s="2"/>
      <c r="VCS52" s="2"/>
      <c r="VCT52" s="42"/>
      <c r="VCU52" s="42"/>
      <c r="VCV52" s="42"/>
      <c r="VCW52" s="42"/>
      <c r="VCX52" s="42"/>
      <c r="VCY52" s="42"/>
      <c r="VCZ52" s="42"/>
      <c r="VDA52" s="42"/>
      <c r="VDB52" s="42"/>
      <c r="VDC52" s="42"/>
      <c r="VDD52" s="42"/>
      <c r="VDE52" s="42"/>
      <c r="VDF52" s="42"/>
      <c r="VDG52" s="42"/>
      <c r="VDH52" s="42"/>
      <c r="VDI52" s="42"/>
      <c r="VDJ52" s="42"/>
      <c r="VDK52" s="42"/>
      <c r="VDL52" s="42"/>
      <c r="VDM52" s="42"/>
      <c r="VDN52" s="42"/>
      <c r="VDO52" s="42"/>
      <c r="VDP52" s="42"/>
      <c r="VDQ52" s="2"/>
      <c r="VDR52" s="15"/>
      <c r="VDS52" s="42"/>
      <c r="VDT52" s="2"/>
      <c r="VDU52" s="2"/>
      <c r="VDV52" s="2"/>
      <c r="VDW52" s="2"/>
      <c r="VDX52" s="42"/>
      <c r="VDY52" s="42"/>
      <c r="VDZ52" s="42"/>
      <c r="VEA52" s="42"/>
      <c r="VEB52" s="42"/>
      <c r="VEC52" s="42"/>
      <c r="VED52" s="42"/>
      <c r="VEE52" s="42"/>
      <c r="VEF52" s="42"/>
      <c r="VEG52" s="42"/>
      <c r="VEH52" s="42"/>
      <c r="VEI52" s="42"/>
      <c r="VEJ52" s="42"/>
      <c r="VEK52" s="42"/>
      <c r="VEL52" s="42"/>
      <c r="VEM52" s="42"/>
      <c r="VEN52" s="42"/>
      <c r="VEO52" s="42"/>
      <c r="VEP52" s="42"/>
      <c r="VEQ52" s="42"/>
      <c r="VER52" s="42"/>
      <c r="VES52" s="42"/>
      <c r="VET52" s="42"/>
      <c r="VEU52" s="2"/>
      <c r="VEV52" s="15"/>
      <c r="VEW52" s="42"/>
      <c r="VEX52" s="2"/>
      <c r="VEY52" s="2"/>
      <c r="VEZ52" s="2"/>
      <c r="VFA52" s="2"/>
      <c r="VFB52" s="42"/>
      <c r="VFC52" s="42"/>
      <c r="VFD52" s="42"/>
      <c r="VFE52" s="42"/>
      <c r="VFF52" s="42"/>
      <c r="VFG52" s="42"/>
      <c r="VFH52" s="42"/>
      <c r="VFI52" s="42"/>
      <c r="VFJ52" s="42"/>
      <c r="VFK52" s="42"/>
      <c r="VFL52" s="42"/>
      <c r="VFM52" s="42"/>
      <c r="VFN52" s="42"/>
      <c r="VFO52" s="42"/>
      <c r="VFP52" s="42"/>
      <c r="VFQ52" s="42"/>
      <c r="VFR52" s="42"/>
      <c r="VFS52" s="42"/>
      <c r="VFT52" s="42"/>
      <c r="VFU52" s="42"/>
      <c r="VFV52" s="42"/>
      <c r="VFW52" s="42"/>
      <c r="VFX52" s="42"/>
      <c r="VFY52" s="2"/>
      <c r="VFZ52" s="15"/>
      <c r="VGA52" s="42"/>
      <c r="VGB52" s="2"/>
      <c r="VGC52" s="2"/>
      <c r="VGD52" s="2"/>
      <c r="VGE52" s="2"/>
      <c r="VGF52" s="42"/>
      <c r="VGG52" s="42"/>
      <c r="VGH52" s="42"/>
      <c r="VGI52" s="42"/>
      <c r="VGJ52" s="42"/>
      <c r="VGK52" s="42"/>
      <c r="VGL52" s="42"/>
      <c r="VGM52" s="42"/>
      <c r="VGN52" s="42"/>
      <c r="VGO52" s="42"/>
      <c r="VGP52" s="42"/>
      <c r="VGQ52" s="42"/>
      <c r="VGR52" s="42"/>
      <c r="VGS52" s="42"/>
      <c r="VGT52" s="42"/>
      <c r="VGU52" s="42"/>
      <c r="VGV52" s="42"/>
      <c r="VGW52" s="42"/>
      <c r="VGX52" s="42"/>
      <c r="VGY52" s="42"/>
      <c r="VGZ52" s="42"/>
      <c r="VHA52" s="42"/>
      <c r="VHB52" s="42"/>
      <c r="VHC52" s="2"/>
      <c r="VHD52" s="15"/>
      <c r="VHE52" s="42"/>
      <c r="VHF52" s="2"/>
      <c r="VHG52" s="2"/>
      <c r="VHH52" s="2"/>
      <c r="VHI52" s="2"/>
      <c r="VHJ52" s="42"/>
      <c r="VHK52" s="42"/>
      <c r="VHL52" s="42"/>
      <c r="VHM52" s="42"/>
      <c r="VHN52" s="42"/>
      <c r="VHO52" s="42"/>
      <c r="VHP52" s="42"/>
      <c r="VHQ52" s="42"/>
      <c r="VHR52" s="42"/>
      <c r="VHS52" s="42"/>
      <c r="VHT52" s="42"/>
      <c r="VHU52" s="42"/>
      <c r="VHV52" s="42"/>
      <c r="VHW52" s="42"/>
      <c r="VHX52" s="42"/>
      <c r="VHY52" s="42"/>
      <c r="VHZ52" s="42"/>
      <c r="VIA52" s="42"/>
      <c r="VIB52" s="42"/>
      <c r="VIC52" s="42"/>
      <c r="VID52" s="42"/>
      <c r="VIE52" s="42"/>
      <c r="VIF52" s="42"/>
      <c r="VIG52" s="2"/>
      <c r="VIH52" s="15"/>
      <c r="VII52" s="42"/>
      <c r="VIJ52" s="2"/>
      <c r="VIK52" s="2"/>
      <c r="VIL52" s="2"/>
      <c r="VIM52" s="2"/>
      <c r="VIN52" s="42"/>
      <c r="VIO52" s="42"/>
      <c r="VIP52" s="42"/>
      <c r="VIQ52" s="42"/>
      <c r="VIR52" s="42"/>
      <c r="VIS52" s="42"/>
      <c r="VIT52" s="42"/>
      <c r="VIU52" s="42"/>
      <c r="VIV52" s="42"/>
      <c r="VIW52" s="42"/>
      <c r="VIX52" s="42"/>
      <c r="VIY52" s="42"/>
      <c r="VIZ52" s="42"/>
      <c r="VJA52" s="42"/>
      <c r="VJB52" s="42"/>
      <c r="VJC52" s="42"/>
      <c r="VJD52" s="42"/>
      <c r="VJE52" s="42"/>
      <c r="VJF52" s="42"/>
      <c r="VJG52" s="42"/>
      <c r="VJH52" s="42"/>
      <c r="VJI52" s="42"/>
      <c r="VJJ52" s="42"/>
      <c r="VJK52" s="2"/>
      <c r="VJL52" s="15"/>
      <c r="VJM52" s="42"/>
      <c r="VJN52" s="2"/>
      <c r="VJO52" s="2"/>
      <c r="VJP52" s="2"/>
      <c r="VJQ52" s="2"/>
      <c r="VJR52" s="42"/>
      <c r="VJS52" s="42"/>
      <c r="VJT52" s="42"/>
      <c r="VJU52" s="42"/>
      <c r="VJV52" s="42"/>
      <c r="VJW52" s="42"/>
      <c r="VJX52" s="42"/>
      <c r="VJY52" s="42"/>
      <c r="VJZ52" s="42"/>
      <c r="VKA52" s="42"/>
      <c r="VKB52" s="42"/>
      <c r="VKC52" s="42"/>
      <c r="VKD52" s="42"/>
      <c r="VKE52" s="42"/>
      <c r="VKF52" s="42"/>
      <c r="VKG52" s="42"/>
      <c r="VKH52" s="42"/>
      <c r="VKI52" s="42"/>
      <c r="VKJ52" s="42"/>
      <c r="VKK52" s="42"/>
      <c r="VKL52" s="42"/>
      <c r="VKM52" s="42"/>
      <c r="VKN52" s="42"/>
      <c r="VKO52" s="2"/>
      <c r="VKP52" s="15"/>
      <c r="VKQ52" s="42"/>
      <c r="VKR52" s="2"/>
      <c r="VKS52" s="2"/>
      <c r="VKT52" s="2"/>
      <c r="VKU52" s="2"/>
      <c r="VKV52" s="42"/>
      <c r="VKW52" s="42"/>
      <c r="VKX52" s="42"/>
      <c r="VKY52" s="42"/>
      <c r="VKZ52" s="42"/>
      <c r="VLA52" s="42"/>
      <c r="VLB52" s="42"/>
      <c r="VLC52" s="42"/>
      <c r="VLD52" s="42"/>
      <c r="VLE52" s="42"/>
      <c r="VLF52" s="42"/>
      <c r="VLG52" s="42"/>
      <c r="VLH52" s="42"/>
      <c r="VLI52" s="42"/>
      <c r="VLJ52" s="42"/>
      <c r="VLK52" s="42"/>
      <c r="VLL52" s="42"/>
      <c r="VLM52" s="42"/>
      <c r="VLN52" s="42"/>
      <c r="VLO52" s="42"/>
      <c r="VLP52" s="42"/>
      <c r="VLQ52" s="42"/>
      <c r="VLR52" s="42"/>
      <c r="VLS52" s="2"/>
      <c r="VLT52" s="15"/>
      <c r="VLU52" s="42"/>
      <c r="VLV52" s="2"/>
      <c r="VLW52" s="2"/>
      <c r="VLX52" s="2"/>
      <c r="VLY52" s="2"/>
      <c r="VLZ52" s="42"/>
      <c r="VMA52" s="42"/>
      <c r="VMB52" s="42"/>
      <c r="VMC52" s="42"/>
      <c r="VMD52" s="42"/>
      <c r="VME52" s="42"/>
      <c r="VMF52" s="42"/>
      <c r="VMG52" s="42"/>
      <c r="VMH52" s="42"/>
      <c r="VMI52" s="42"/>
      <c r="VMJ52" s="42"/>
      <c r="VMK52" s="42"/>
      <c r="VML52" s="42"/>
      <c r="VMM52" s="42"/>
      <c r="VMN52" s="42"/>
      <c r="VMO52" s="42"/>
      <c r="VMP52" s="42"/>
      <c r="VMQ52" s="42"/>
      <c r="VMR52" s="42"/>
      <c r="VMS52" s="42"/>
      <c r="VMT52" s="42"/>
      <c r="VMU52" s="42"/>
      <c r="VMV52" s="42"/>
      <c r="VMW52" s="2"/>
      <c r="VMX52" s="15"/>
      <c r="VMY52" s="42"/>
      <c r="VMZ52" s="2"/>
      <c r="VNA52" s="2"/>
      <c r="VNB52" s="2"/>
      <c r="VNC52" s="2"/>
      <c r="VND52" s="42"/>
      <c r="VNE52" s="42"/>
      <c r="VNF52" s="42"/>
      <c r="VNG52" s="42"/>
      <c r="VNH52" s="42"/>
      <c r="VNI52" s="42"/>
      <c r="VNJ52" s="42"/>
      <c r="VNK52" s="42"/>
      <c r="VNL52" s="42"/>
      <c r="VNM52" s="42"/>
      <c r="VNN52" s="42"/>
      <c r="VNO52" s="42"/>
      <c r="VNP52" s="42"/>
      <c r="VNQ52" s="42"/>
      <c r="VNR52" s="42"/>
      <c r="VNS52" s="42"/>
      <c r="VNT52" s="42"/>
      <c r="VNU52" s="42"/>
      <c r="VNV52" s="42"/>
      <c r="VNW52" s="42"/>
      <c r="VNX52" s="42"/>
      <c r="VNY52" s="42"/>
      <c r="VNZ52" s="42"/>
      <c r="VOA52" s="2"/>
      <c r="VOB52" s="15"/>
      <c r="VOC52" s="42"/>
      <c r="VOD52" s="2"/>
      <c r="VOE52" s="2"/>
      <c r="VOF52" s="2"/>
      <c r="VOG52" s="2"/>
      <c r="VOH52" s="42"/>
      <c r="VOI52" s="42"/>
      <c r="VOJ52" s="42"/>
      <c r="VOK52" s="42"/>
      <c r="VOL52" s="42"/>
      <c r="VOM52" s="42"/>
      <c r="VON52" s="42"/>
      <c r="VOO52" s="42"/>
      <c r="VOP52" s="42"/>
      <c r="VOQ52" s="42"/>
      <c r="VOR52" s="42"/>
      <c r="VOS52" s="42"/>
      <c r="VOT52" s="42"/>
      <c r="VOU52" s="42"/>
      <c r="VOV52" s="42"/>
      <c r="VOW52" s="42"/>
      <c r="VOX52" s="42"/>
      <c r="VOY52" s="42"/>
      <c r="VOZ52" s="42"/>
      <c r="VPA52" s="42"/>
      <c r="VPB52" s="42"/>
      <c r="VPC52" s="42"/>
      <c r="VPD52" s="42"/>
      <c r="VPE52" s="2"/>
      <c r="VPF52" s="15"/>
      <c r="VPG52" s="42"/>
      <c r="VPH52" s="2"/>
      <c r="VPI52" s="2"/>
      <c r="VPJ52" s="2"/>
      <c r="VPK52" s="2"/>
      <c r="VPL52" s="42"/>
      <c r="VPM52" s="42"/>
      <c r="VPN52" s="42"/>
      <c r="VPO52" s="42"/>
      <c r="VPP52" s="42"/>
      <c r="VPQ52" s="42"/>
      <c r="VPR52" s="42"/>
      <c r="VPS52" s="42"/>
      <c r="VPT52" s="42"/>
      <c r="VPU52" s="42"/>
      <c r="VPV52" s="42"/>
      <c r="VPW52" s="42"/>
      <c r="VPX52" s="42"/>
      <c r="VPY52" s="42"/>
      <c r="VPZ52" s="42"/>
      <c r="VQA52" s="42"/>
      <c r="VQB52" s="42"/>
      <c r="VQC52" s="42"/>
      <c r="VQD52" s="42"/>
      <c r="VQE52" s="42"/>
      <c r="VQF52" s="42"/>
      <c r="VQG52" s="42"/>
      <c r="VQH52" s="42"/>
      <c r="VQI52" s="2"/>
      <c r="VQJ52" s="15"/>
      <c r="VQK52" s="42"/>
      <c r="VQL52" s="2"/>
      <c r="VQM52" s="2"/>
      <c r="VQN52" s="2"/>
      <c r="VQO52" s="2"/>
      <c r="VQP52" s="42"/>
      <c r="VQQ52" s="42"/>
      <c r="VQR52" s="42"/>
      <c r="VQS52" s="42"/>
      <c r="VQT52" s="42"/>
      <c r="VQU52" s="42"/>
      <c r="VQV52" s="42"/>
      <c r="VQW52" s="42"/>
      <c r="VQX52" s="42"/>
      <c r="VQY52" s="42"/>
      <c r="VQZ52" s="42"/>
      <c r="VRA52" s="42"/>
      <c r="VRB52" s="42"/>
      <c r="VRC52" s="42"/>
      <c r="VRD52" s="42"/>
      <c r="VRE52" s="42"/>
      <c r="VRF52" s="42"/>
      <c r="VRG52" s="42"/>
      <c r="VRH52" s="42"/>
      <c r="VRI52" s="42"/>
      <c r="VRJ52" s="42"/>
      <c r="VRK52" s="42"/>
      <c r="VRL52" s="42"/>
      <c r="VRM52" s="2"/>
      <c r="VRN52" s="15"/>
      <c r="VRO52" s="42"/>
      <c r="VRP52" s="2"/>
      <c r="VRQ52" s="2"/>
      <c r="VRR52" s="2"/>
      <c r="VRS52" s="2"/>
      <c r="VRT52" s="42"/>
      <c r="VRU52" s="42"/>
      <c r="VRV52" s="42"/>
      <c r="VRW52" s="42"/>
      <c r="VRX52" s="42"/>
      <c r="VRY52" s="42"/>
      <c r="VRZ52" s="42"/>
      <c r="VSA52" s="42"/>
      <c r="VSB52" s="42"/>
      <c r="VSC52" s="42"/>
      <c r="VSD52" s="42"/>
      <c r="VSE52" s="42"/>
      <c r="VSF52" s="42"/>
      <c r="VSG52" s="42"/>
      <c r="VSH52" s="42"/>
      <c r="VSI52" s="42"/>
      <c r="VSJ52" s="42"/>
      <c r="VSK52" s="42"/>
      <c r="VSL52" s="42"/>
      <c r="VSM52" s="42"/>
      <c r="VSN52" s="42"/>
      <c r="VSO52" s="42"/>
      <c r="VSP52" s="42"/>
      <c r="VSQ52" s="2"/>
      <c r="VSR52" s="15"/>
      <c r="VSS52" s="42"/>
      <c r="VST52" s="2"/>
      <c r="VSU52" s="2"/>
      <c r="VSV52" s="2"/>
      <c r="VSW52" s="2"/>
      <c r="VSX52" s="42"/>
      <c r="VSY52" s="42"/>
      <c r="VSZ52" s="42"/>
      <c r="VTA52" s="42"/>
      <c r="VTB52" s="42"/>
      <c r="VTC52" s="42"/>
      <c r="VTD52" s="42"/>
      <c r="VTE52" s="42"/>
      <c r="VTF52" s="42"/>
      <c r="VTG52" s="42"/>
      <c r="VTH52" s="42"/>
      <c r="VTI52" s="42"/>
      <c r="VTJ52" s="42"/>
      <c r="VTK52" s="42"/>
      <c r="VTL52" s="42"/>
      <c r="VTM52" s="42"/>
      <c r="VTN52" s="42"/>
      <c r="VTO52" s="42"/>
      <c r="VTP52" s="42"/>
      <c r="VTQ52" s="42"/>
      <c r="VTR52" s="42"/>
      <c r="VTS52" s="42"/>
      <c r="VTT52" s="42"/>
      <c r="VTU52" s="2"/>
      <c r="VTV52" s="15"/>
      <c r="VTW52" s="42"/>
      <c r="VTX52" s="2"/>
      <c r="VTY52" s="2"/>
      <c r="VTZ52" s="2"/>
      <c r="VUA52" s="2"/>
      <c r="VUB52" s="42"/>
      <c r="VUC52" s="42"/>
      <c r="VUD52" s="42"/>
      <c r="VUE52" s="42"/>
      <c r="VUF52" s="42"/>
      <c r="VUG52" s="42"/>
      <c r="VUH52" s="42"/>
      <c r="VUI52" s="42"/>
      <c r="VUJ52" s="42"/>
      <c r="VUK52" s="42"/>
      <c r="VUL52" s="42"/>
      <c r="VUM52" s="42"/>
      <c r="VUN52" s="42"/>
      <c r="VUO52" s="42"/>
      <c r="VUP52" s="42"/>
      <c r="VUQ52" s="42"/>
      <c r="VUR52" s="42"/>
      <c r="VUS52" s="42"/>
      <c r="VUT52" s="42"/>
      <c r="VUU52" s="42"/>
      <c r="VUV52" s="42"/>
      <c r="VUW52" s="42"/>
      <c r="VUX52" s="42"/>
      <c r="VUY52" s="2"/>
      <c r="VUZ52" s="15"/>
      <c r="VVA52" s="42"/>
      <c r="VVB52" s="2"/>
      <c r="VVC52" s="2"/>
      <c r="VVD52" s="2"/>
      <c r="VVE52" s="2"/>
      <c r="VVF52" s="42"/>
      <c r="VVG52" s="42"/>
      <c r="VVH52" s="42"/>
      <c r="VVI52" s="42"/>
      <c r="VVJ52" s="42"/>
      <c r="VVK52" s="42"/>
      <c r="VVL52" s="42"/>
      <c r="VVM52" s="42"/>
      <c r="VVN52" s="42"/>
      <c r="VVO52" s="42"/>
      <c r="VVP52" s="42"/>
      <c r="VVQ52" s="42"/>
      <c r="VVR52" s="42"/>
      <c r="VVS52" s="42"/>
      <c r="VVT52" s="42"/>
      <c r="VVU52" s="42"/>
      <c r="VVV52" s="42"/>
      <c r="VVW52" s="42"/>
      <c r="VVX52" s="42"/>
      <c r="VVY52" s="42"/>
      <c r="VVZ52" s="42"/>
      <c r="VWA52" s="42"/>
      <c r="VWB52" s="42"/>
      <c r="VWC52" s="2"/>
      <c r="VWD52" s="15"/>
      <c r="VWE52" s="42"/>
      <c r="VWF52" s="2"/>
      <c r="VWG52" s="2"/>
      <c r="VWH52" s="2"/>
      <c r="VWI52" s="2"/>
      <c r="VWJ52" s="42"/>
      <c r="VWK52" s="42"/>
      <c r="VWL52" s="42"/>
      <c r="VWM52" s="42"/>
      <c r="VWN52" s="42"/>
      <c r="VWO52" s="42"/>
      <c r="VWP52" s="42"/>
      <c r="VWQ52" s="42"/>
      <c r="VWR52" s="42"/>
      <c r="VWS52" s="42"/>
      <c r="VWT52" s="42"/>
      <c r="VWU52" s="42"/>
      <c r="VWV52" s="42"/>
      <c r="VWW52" s="42"/>
      <c r="VWX52" s="42"/>
      <c r="VWY52" s="42"/>
      <c r="VWZ52" s="42"/>
      <c r="VXA52" s="42"/>
      <c r="VXB52" s="42"/>
      <c r="VXC52" s="42"/>
      <c r="VXD52" s="42"/>
      <c r="VXE52" s="42"/>
      <c r="VXF52" s="42"/>
      <c r="VXG52" s="2"/>
      <c r="VXH52" s="15"/>
      <c r="VXI52" s="42"/>
      <c r="VXJ52" s="2"/>
      <c r="VXK52" s="2"/>
      <c r="VXL52" s="2"/>
      <c r="VXM52" s="2"/>
      <c r="VXN52" s="42"/>
      <c r="VXO52" s="42"/>
      <c r="VXP52" s="42"/>
      <c r="VXQ52" s="42"/>
      <c r="VXR52" s="42"/>
      <c r="VXS52" s="42"/>
      <c r="VXT52" s="42"/>
      <c r="VXU52" s="42"/>
      <c r="VXV52" s="42"/>
      <c r="VXW52" s="42"/>
      <c r="VXX52" s="42"/>
      <c r="VXY52" s="42"/>
      <c r="VXZ52" s="42"/>
      <c r="VYA52" s="42"/>
      <c r="VYB52" s="42"/>
      <c r="VYC52" s="42"/>
      <c r="VYD52" s="42"/>
      <c r="VYE52" s="42"/>
      <c r="VYF52" s="42"/>
      <c r="VYG52" s="42"/>
      <c r="VYH52" s="42"/>
      <c r="VYI52" s="42"/>
      <c r="VYJ52" s="42"/>
      <c r="VYK52" s="2"/>
      <c r="VYL52" s="15"/>
      <c r="VYM52" s="42"/>
      <c r="VYN52" s="2"/>
      <c r="VYO52" s="2"/>
      <c r="VYP52" s="2"/>
      <c r="VYQ52" s="2"/>
      <c r="VYR52" s="42"/>
      <c r="VYS52" s="42"/>
      <c r="VYT52" s="42"/>
      <c r="VYU52" s="42"/>
      <c r="VYV52" s="42"/>
      <c r="VYW52" s="42"/>
      <c r="VYX52" s="42"/>
      <c r="VYY52" s="42"/>
      <c r="VYZ52" s="42"/>
      <c r="VZA52" s="42"/>
      <c r="VZB52" s="42"/>
      <c r="VZC52" s="42"/>
      <c r="VZD52" s="42"/>
      <c r="VZE52" s="42"/>
      <c r="VZF52" s="42"/>
      <c r="VZG52" s="42"/>
      <c r="VZH52" s="42"/>
      <c r="VZI52" s="42"/>
      <c r="VZJ52" s="42"/>
      <c r="VZK52" s="42"/>
      <c r="VZL52" s="42"/>
      <c r="VZM52" s="42"/>
      <c r="VZN52" s="42"/>
      <c r="VZO52" s="2"/>
      <c r="VZP52" s="15"/>
      <c r="VZQ52" s="42"/>
      <c r="VZR52" s="2"/>
      <c r="VZS52" s="2"/>
      <c r="VZT52" s="2"/>
      <c r="VZU52" s="2"/>
      <c r="VZV52" s="42"/>
      <c r="VZW52" s="42"/>
      <c r="VZX52" s="42"/>
      <c r="VZY52" s="42"/>
      <c r="VZZ52" s="42"/>
      <c r="WAA52" s="42"/>
      <c r="WAB52" s="42"/>
      <c r="WAC52" s="42"/>
      <c r="WAD52" s="42"/>
      <c r="WAE52" s="42"/>
      <c r="WAF52" s="42"/>
      <c r="WAG52" s="42"/>
      <c r="WAH52" s="42"/>
      <c r="WAI52" s="42"/>
      <c r="WAJ52" s="42"/>
      <c r="WAK52" s="42"/>
      <c r="WAL52" s="42"/>
      <c r="WAM52" s="42"/>
      <c r="WAN52" s="42"/>
      <c r="WAO52" s="42"/>
      <c r="WAP52" s="42"/>
      <c r="WAQ52" s="42"/>
      <c r="WAR52" s="42"/>
      <c r="WAS52" s="2"/>
      <c r="WAT52" s="15"/>
      <c r="WAU52" s="42"/>
      <c r="WAV52" s="2"/>
      <c r="WAW52" s="2"/>
      <c r="WAX52" s="2"/>
      <c r="WAY52" s="2"/>
      <c r="WAZ52" s="42"/>
      <c r="WBA52" s="42"/>
      <c r="WBB52" s="42"/>
      <c r="WBC52" s="42"/>
      <c r="WBD52" s="42"/>
      <c r="WBE52" s="42"/>
      <c r="WBF52" s="42"/>
      <c r="WBG52" s="42"/>
      <c r="WBH52" s="42"/>
      <c r="WBI52" s="42"/>
      <c r="WBJ52" s="42"/>
      <c r="WBK52" s="42"/>
      <c r="WBL52" s="42"/>
      <c r="WBM52" s="42"/>
      <c r="WBN52" s="42"/>
      <c r="WBO52" s="42"/>
      <c r="WBP52" s="42"/>
      <c r="WBQ52" s="42"/>
      <c r="WBR52" s="42"/>
      <c r="WBS52" s="42"/>
      <c r="WBT52" s="42"/>
      <c r="WBU52" s="42"/>
      <c r="WBV52" s="42"/>
      <c r="WBW52" s="2"/>
      <c r="WBX52" s="15"/>
      <c r="WBY52" s="42"/>
      <c r="WBZ52" s="2"/>
      <c r="WCA52" s="2"/>
      <c r="WCB52" s="2"/>
      <c r="WCC52" s="2"/>
      <c r="WCD52" s="42"/>
      <c r="WCE52" s="42"/>
      <c r="WCF52" s="42"/>
      <c r="WCG52" s="42"/>
      <c r="WCH52" s="42"/>
      <c r="WCI52" s="42"/>
      <c r="WCJ52" s="42"/>
      <c r="WCK52" s="42"/>
      <c r="WCL52" s="42"/>
      <c r="WCM52" s="42"/>
      <c r="WCN52" s="42"/>
      <c r="WCO52" s="42"/>
      <c r="WCP52" s="42"/>
      <c r="WCQ52" s="42"/>
      <c r="WCR52" s="42"/>
      <c r="WCS52" s="42"/>
      <c r="WCT52" s="42"/>
      <c r="WCU52" s="42"/>
      <c r="WCV52" s="42"/>
      <c r="WCW52" s="42"/>
      <c r="WCX52" s="42"/>
      <c r="WCY52" s="42"/>
      <c r="WCZ52" s="42"/>
      <c r="WDA52" s="2"/>
      <c r="WDB52" s="15"/>
      <c r="WDC52" s="42"/>
      <c r="WDD52" s="2"/>
      <c r="WDE52" s="2"/>
      <c r="WDF52" s="2"/>
      <c r="WDG52" s="2"/>
      <c r="WDH52" s="42"/>
      <c r="WDI52" s="42"/>
      <c r="WDJ52" s="42"/>
      <c r="WDK52" s="42"/>
      <c r="WDL52" s="42"/>
      <c r="WDM52" s="42"/>
      <c r="WDN52" s="42"/>
      <c r="WDO52" s="42"/>
      <c r="WDP52" s="42"/>
      <c r="WDQ52" s="42"/>
      <c r="WDR52" s="42"/>
      <c r="WDS52" s="42"/>
      <c r="WDT52" s="42"/>
      <c r="WDU52" s="42"/>
      <c r="WDV52" s="42"/>
      <c r="WDW52" s="42"/>
      <c r="WDX52" s="42"/>
      <c r="WDY52" s="42"/>
      <c r="WDZ52" s="42"/>
      <c r="WEA52" s="42"/>
      <c r="WEB52" s="42"/>
      <c r="WEC52" s="42"/>
      <c r="WED52" s="42"/>
      <c r="WEE52" s="2"/>
      <c r="WEF52" s="15"/>
      <c r="WEG52" s="42"/>
      <c r="WEH52" s="2"/>
      <c r="WEI52" s="2"/>
      <c r="WEJ52" s="2"/>
      <c r="WEK52" s="2"/>
      <c r="WEL52" s="42"/>
      <c r="WEM52" s="42"/>
      <c r="WEN52" s="42"/>
      <c r="WEO52" s="42"/>
      <c r="WEP52" s="42"/>
      <c r="WEQ52" s="42"/>
      <c r="WER52" s="42"/>
      <c r="WES52" s="42"/>
      <c r="WET52" s="42"/>
      <c r="WEU52" s="42"/>
      <c r="WEV52" s="42"/>
      <c r="WEW52" s="42"/>
      <c r="WEX52" s="42"/>
      <c r="WEY52" s="42"/>
      <c r="WEZ52" s="42"/>
      <c r="WFA52" s="42"/>
      <c r="WFB52" s="42"/>
      <c r="WFC52" s="42"/>
      <c r="WFD52" s="42"/>
      <c r="WFE52" s="42"/>
      <c r="WFF52" s="42"/>
      <c r="WFG52" s="42"/>
      <c r="WFH52" s="42"/>
      <c r="WFI52" s="2"/>
      <c r="WFJ52" s="15"/>
      <c r="WFK52" s="42"/>
      <c r="WFL52" s="2"/>
      <c r="WFM52" s="2"/>
      <c r="WFN52" s="2"/>
      <c r="WFO52" s="2"/>
      <c r="WFP52" s="42"/>
      <c r="WFQ52" s="42"/>
      <c r="WFR52" s="42"/>
      <c r="WFS52" s="42"/>
      <c r="WFT52" s="42"/>
      <c r="WFU52" s="42"/>
      <c r="WFV52" s="42"/>
      <c r="WFW52" s="42"/>
      <c r="WFX52" s="42"/>
      <c r="WFY52" s="42"/>
      <c r="WFZ52" s="42"/>
      <c r="WGA52" s="42"/>
      <c r="WGB52" s="42"/>
      <c r="WGC52" s="42"/>
      <c r="WGD52" s="42"/>
      <c r="WGE52" s="42"/>
      <c r="WGF52" s="42"/>
      <c r="WGG52" s="42"/>
      <c r="WGH52" s="42"/>
      <c r="WGI52" s="42"/>
      <c r="WGJ52" s="42"/>
      <c r="WGK52" s="42"/>
      <c r="WGL52" s="42"/>
      <c r="WGM52" s="2"/>
      <c r="WGN52" s="15"/>
      <c r="WGO52" s="42"/>
      <c r="WGP52" s="2"/>
      <c r="WGQ52" s="2"/>
      <c r="WGR52" s="2"/>
      <c r="WGS52" s="2"/>
      <c r="WGT52" s="42"/>
      <c r="WGU52" s="42"/>
      <c r="WGV52" s="42"/>
      <c r="WGW52" s="42"/>
      <c r="WGX52" s="42"/>
      <c r="WGY52" s="42"/>
      <c r="WGZ52" s="42"/>
      <c r="WHA52" s="42"/>
      <c r="WHB52" s="42"/>
      <c r="WHC52" s="42"/>
      <c r="WHD52" s="42"/>
      <c r="WHE52" s="42"/>
      <c r="WHF52" s="42"/>
      <c r="WHG52" s="42"/>
      <c r="WHH52" s="42"/>
      <c r="WHI52" s="42"/>
      <c r="WHJ52" s="42"/>
      <c r="WHK52" s="42"/>
      <c r="WHL52" s="42"/>
      <c r="WHM52" s="42"/>
      <c r="WHN52" s="42"/>
      <c r="WHO52" s="42"/>
      <c r="WHP52" s="42"/>
      <c r="WHQ52" s="2"/>
      <c r="WHR52" s="15"/>
      <c r="WHS52" s="42"/>
      <c r="WHT52" s="2"/>
      <c r="WHU52" s="2"/>
      <c r="WHV52" s="2"/>
      <c r="WHW52" s="2"/>
      <c r="WHX52" s="42"/>
      <c r="WHY52" s="42"/>
      <c r="WHZ52" s="42"/>
      <c r="WIA52" s="42"/>
      <c r="WIB52" s="42"/>
      <c r="WIC52" s="42"/>
      <c r="WID52" s="42"/>
      <c r="WIE52" s="42"/>
      <c r="WIF52" s="42"/>
      <c r="WIG52" s="42"/>
      <c r="WIH52" s="42"/>
      <c r="WII52" s="42"/>
      <c r="WIJ52" s="42"/>
      <c r="WIK52" s="42"/>
      <c r="WIL52" s="42"/>
      <c r="WIM52" s="42"/>
      <c r="WIN52" s="42"/>
      <c r="WIO52" s="42"/>
      <c r="WIP52" s="42"/>
      <c r="WIQ52" s="42"/>
      <c r="WIR52" s="42"/>
      <c r="WIS52" s="42"/>
      <c r="WIT52" s="42"/>
      <c r="WIU52" s="2"/>
      <c r="WIV52" s="15"/>
      <c r="WIW52" s="42"/>
      <c r="WIX52" s="2"/>
      <c r="WIY52" s="2"/>
      <c r="WIZ52" s="2"/>
      <c r="WJA52" s="2"/>
      <c r="WJB52" s="42"/>
      <c r="WJC52" s="42"/>
      <c r="WJD52" s="42"/>
      <c r="WJE52" s="42"/>
      <c r="WJF52" s="42"/>
      <c r="WJG52" s="42"/>
      <c r="WJH52" s="42"/>
      <c r="WJI52" s="42"/>
      <c r="WJJ52" s="42"/>
      <c r="WJK52" s="42"/>
      <c r="WJL52" s="42"/>
      <c r="WJM52" s="42"/>
      <c r="WJN52" s="42"/>
      <c r="WJO52" s="42"/>
      <c r="WJP52" s="42"/>
      <c r="WJQ52" s="42"/>
      <c r="WJR52" s="42"/>
      <c r="WJS52" s="42"/>
      <c r="WJT52" s="42"/>
      <c r="WJU52" s="42"/>
      <c r="WJV52" s="42"/>
      <c r="WJW52" s="42"/>
      <c r="WJX52" s="42"/>
      <c r="WJY52" s="2"/>
      <c r="WJZ52" s="15"/>
      <c r="WKA52" s="42"/>
      <c r="WKB52" s="2"/>
      <c r="WKC52" s="2"/>
      <c r="WKD52" s="2"/>
      <c r="WKE52" s="2"/>
      <c r="WKF52" s="42"/>
      <c r="WKG52" s="42"/>
      <c r="WKH52" s="42"/>
      <c r="WKI52" s="42"/>
      <c r="WKJ52" s="42"/>
      <c r="WKK52" s="42"/>
      <c r="WKL52" s="42"/>
      <c r="WKM52" s="42"/>
      <c r="WKN52" s="42"/>
      <c r="WKO52" s="42"/>
      <c r="WKP52" s="42"/>
      <c r="WKQ52" s="42"/>
      <c r="WKR52" s="42"/>
      <c r="WKS52" s="42"/>
      <c r="WKT52" s="42"/>
      <c r="WKU52" s="42"/>
      <c r="WKV52" s="42"/>
      <c r="WKW52" s="42"/>
      <c r="WKX52" s="42"/>
      <c r="WKY52" s="42"/>
      <c r="WKZ52" s="42"/>
      <c r="WLA52" s="42"/>
      <c r="WLB52" s="42"/>
      <c r="WLC52" s="2"/>
      <c r="WLD52" s="15"/>
      <c r="WLE52" s="42"/>
      <c r="WLF52" s="2"/>
      <c r="WLG52" s="2"/>
      <c r="WLH52" s="2"/>
      <c r="WLI52" s="2"/>
      <c r="WLJ52" s="42"/>
      <c r="WLK52" s="42"/>
      <c r="WLL52" s="42"/>
      <c r="WLM52" s="42"/>
      <c r="WLN52" s="42"/>
      <c r="WLO52" s="42"/>
      <c r="WLP52" s="42"/>
      <c r="WLQ52" s="42"/>
      <c r="WLR52" s="42"/>
      <c r="WLS52" s="42"/>
      <c r="WLT52" s="42"/>
      <c r="WLU52" s="42"/>
      <c r="WLV52" s="42"/>
      <c r="WLW52" s="42"/>
      <c r="WLX52" s="42"/>
      <c r="WLY52" s="42"/>
      <c r="WLZ52" s="42"/>
      <c r="WMA52" s="42"/>
      <c r="WMB52" s="42"/>
      <c r="WMC52" s="42"/>
      <c r="WMD52" s="42"/>
      <c r="WME52" s="42"/>
      <c r="WMF52" s="42"/>
      <c r="WMG52" s="2"/>
      <c r="WMH52" s="15"/>
      <c r="WMI52" s="42"/>
      <c r="WMJ52" s="2"/>
      <c r="WMK52" s="2"/>
      <c r="WML52" s="2"/>
      <c r="WMM52" s="2"/>
      <c r="WMN52" s="42"/>
      <c r="WMO52" s="42"/>
      <c r="WMP52" s="42"/>
      <c r="WMQ52" s="42"/>
      <c r="WMR52" s="42"/>
      <c r="WMS52" s="42"/>
      <c r="WMT52" s="42"/>
      <c r="WMU52" s="42"/>
      <c r="WMV52" s="42"/>
      <c r="WMW52" s="42"/>
      <c r="WMX52" s="42"/>
      <c r="WMY52" s="42"/>
      <c r="WMZ52" s="42"/>
      <c r="WNA52" s="42"/>
      <c r="WNB52" s="42"/>
      <c r="WNC52" s="42"/>
      <c r="WND52" s="42"/>
      <c r="WNE52" s="42"/>
      <c r="WNF52" s="42"/>
      <c r="WNG52" s="42"/>
      <c r="WNH52" s="42"/>
      <c r="WNI52" s="42"/>
      <c r="WNJ52" s="42"/>
      <c r="WNK52" s="2"/>
      <c r="WNL52" s="15"/>
      <c r="WNM52" s="42"/>
      <c r="WNN52" s="2"/>
      <c r="WNO52" s="2"/>
      <c r="WNP52" s="2"/>
      <c r="WNQ52" s="2"/>
      <c r="WNR52" s="42"/>
      <c r="WNS52" s="42"/>
      <c r="WNT52" s="42"/>
      <c r="WNU52" s="42"/>
      <c r="WNV52" s="42"/>
      <c r="WNW52" s="42"/>
      <c r="WNX52" s="42"/>
      <c r="WNY52" s="42"/>
      <c r="WNZ52" s="42"/>
      <c r="WOA52" s="42"/>
      <c r="WOB52" s="42"/>
      <c r="WOC52" s="42"/>
      <c r="WOD52" s="42"/>
      <c r="WOE52" s="42"/>
      <c r="WOF52" s="42"/>
      <c r="WOG52" s="42"/>
      <c r="WOH52" s="42"/>
      <c r="WOI52" s="42"/>
      <c r="WOJ52" s="42"/>
      <c r="WOK52" s="42"/>
      <c r="WOL52" s="42"/>
      <c r="WOM52" s="42"/>
      <c r="WON52" s="42"/>
      <c r="WOO52" s="2"/>
      <c r="WOP52" s="15"/>
      <c r="WOQ52" s="42"/>
      <c r="WOR52" s="2"/>
      <c r="WOS52" s="2"/>
      <c r="WOT52" s="2"/>
      <c r="WOU52" s="2"/>
      <c r="WOV52" s="42"/>
      <c r="WOW52" s="42"/>
      <c r="WOX52" s="42"/>
      <c r="WOY52" s="42"/>
      <c r="WOZ52" s="42"/>
      <c r="WPA52" s="42"/>
      <c r="WPB52" s="42"/>
      <c r="WPC52" s="42"/>
      <c r="WPD52" s="42"/>
      <c r="WPE52" s="42"/>
      <c r="WPF52" s="42"/>
      <c r="WPG52" s="42"/>
      <c r="WPH52" s="42"/>
      <c r="WPI52" s="42"/>
      <c r="WPJ52" s="42"/>
      <c r="WPK52" s="42"/>
      <c r="WPL52" s="42"/>
      <c r="WPM52" s="42"/>
      <c r="WPN52" s="42"/>
      <c r="WPO52" s="42"/>
      <c r="WPP52" s="42"/>
      <c r="WPQ52" s="42"/>
      <c r="WPR52" s="42"/>
      <c r="WPS52" s="2"/>
      <c r="WPT52" s="15"/>
      <c r="WPU52" s="42"/>
      <c r="WPV52" s="2"/>
      <c r="WPW52" s="2"/>
      <c r="WPX52" s="2"/>
      <c r="WPY52" s="2"/>
      <c r="WPZ52" s="42"/>
      <c r="WQA52" s="42"/>
      <c r="WQB52" s="42"/>
      <c r="WQC52" s="42"/>
      <c r="WQD52" s="42"/>
      <c r="WQE52" s="42"/>
      <c r="WQF52" s="42"/>
      <c r="WQG52" s="42"/>
      <c r="WQH52" s="42"/>
      <c r="WQI52" s="42"/>
      <c r="WQJ52" s="42"/>
      <c r="WQK52" s="42"/>
      <c r="WQL52" s="42"/>
      <c r="WQM52" s="42"/>
      <c r="WQN52" s="42"/>
      <c r="WQO52" s="42"/>
      <c r="WQP52" s="42"/>
      <c r="WQQ52" s="42"/>
      <c r="WQR52" s="42"/>
      <c r="WQS52" s="42"/>
      <c r="WQT52" s="42"/>
      <c r="WQU52" s="42"/>
      <c r="WQV52" s="42"/>
      <c r="WQW52" s="2"/>
      <c r="WQX52" s="15"/>
      <c r="WQY52" s="42"/>
      <c r="WQZ52" s="2"/>
      <c r="WRA52" s="2"/>
      <c r="WRB52" s="2"/>
      <c r="WRC52" s="2"/>
      <c r="WRD52" s="42"/>
      <c r="WRE52" s="42"/>
      <c r="WRF52" s="42"/>
      <c r="WRG52" s="42"/>
      <c r="WRH52" s="42"/>
      <c r="WRI52" s="42"/>
      <c r="WRJ52" s="42"/>
      <c r="WRK52" s="42"/>
      <c r="WRL52" s="42"/>
      <c r="WRM52" s="42"/>
      <c r="WRN52" s="42"/>
      <c r="WRO52" s="42"/>
      <c r="WRP52" s="42"/>
      <c r="WRQ52" s="42"/>
      <c r="WRR52" s="42"/>
      <c r="WRS52" s="42"/>
      <c r="WRT52" s="42"/>
      <c r="WRU52" s="42"/>
      <c r="WRV52" s="42"/>
      <c r="WRW52" s="42"/>
      <c r="WRX52" s="42"/>
      <c r="WRY52" s="42"/>
      <c r="WRZ52" s="42"/>
      <c r="WSA52" s="2"/>
      <c r="WSB52" s="15"/>
      <c r="WSC52" s="42"/>
      <c r="WSD52" s="2"/>
      <c r="WSE52" s="2"/>
      <c r="WSF52" s="2"/>
      <c r="WSG52" s="2"/>
      <c r="WSH52" s="42"/>
      <c r="WSI52" s="42"/>
      <c r="WSJ52" s="42"/>
      <c r="WSK52" s="42"/>
      <c r="WSL52" s="42"/>
      <c r="WSM52" s="42"/>
      <c r="WSN52" s="42"/>
      <c r="WSO52" s="42"/>
      <c r="WSP52" s="42"/>
      <c r="WSQ52" s="42"/>
      <c r="WSR52" s="42"/>
      <c r="WSS52" s="42"/>
      <c r="WST52" s="42"/>
      <c r="WSU52" s="42"/>
      <c r="WSV52" s="42"/>
      <c r="WSW52" s="42"/>
      <c r="WSX52" s="42"/>
      <c r="WSY52" s="42"/>
      <c r="WSZ52" s="42"/>
      <c r="WTA52" s="42"/>
      <c r="WTB52" s="42"/>
      <c r="WTC52" s="42"/>
      <c r="WTD52" s="42"/>
      <c r="WTE52" s="2"/>
      <c r="WTF52" s="15"/>
      <c r="WTG52" s="42"/>
      <c r="WTH52" s="2"/>
      <c r="WTI52" s="2"/>
      <c r="WTJ52" s="2"/>
      <c r="WTK52" s="2"/>
      <c r="WTL52" s="42"/>
      <c r="WTM52" s="42"/>
      <c r="WTN52" s="42"/>
      <c r="WTO52" s="42"/>
      <c r="WTP52" s="42"/>
      <c r="WTQ52" s="42"/>
      <c r="WTR52" s="42"/>
      <c r="WTS52" s="42"/>
      <c r="WTT52" s="42"/>
      <c r="WTU52" s="42"/>
      <c r="WTV52" s="42"/>
      <c r="WTW52" s="42"/>
      <c r="WTX52" s="42"/>
      <c r="WTY52" s="42"/>
      <c r="WTZ52" s="42"/>
      <c r="WUA52" s="42"/>
      <c r="WUB52" s="42"/>
      <c r="WUC52" s="42"/>
      <c r="WUD52" s="42"/>
      <c r="WUE52" s="42"/>
      <c r="WUF52" s="42"/>
      <c r="WUG52" s="42"/>
      <c r="WUH52" s="42"/>
      <c r="WUI52" s="2"/>
      <c r="WUJ52" s="15"/>
      <c r="WUK52" s="42"/>
      <c r="WUL52" s="2"/>
      <c r="WUM52" s="2"/>
      <c r="WUN52" s="2"/>
      <c r="WUO52" s="2"/>
      <c r="WUP52" s="42"/>
      <c r="WUQ52" s="42"/>
      <c r="WUR52" s="42"/>
      <c r="WUS52" s="42"/>
      <c r="WUT52" s="42"/>
      <c r="WUU52" s="42"/>
      <c r="WUV52" s="42"/>
      <c r="WUW52" s="42"/>
      <c r="WUX52" s="42"/>
      <c r="WUY52" s="42"/>
      <c r="WUZ52" s="42"/>
      <c r="WVA52" s="42"/>
      <c r="WVB52" s="42"/>
      <c r="WVC52" s="42"/>
      <c r="WVD52" s="42"/>
      <c r="WVE52" s="42"/>
      <c r="WVF52" s="42"/>
      <c r="WVG52" s="42"/>
      <c r="WVH52" s="42"/>
      <c r="WVI52" s="42"/>
      <c r="WVJ52" s="42"/>
      <c r="WVK52" s="42"/>
      <c r="WVL52" s="42"/>
      <c r="WVM52" s="2"/>
      <c r="WVN52" s="15"/>
      <c r="WVO52" s="42"/>
      <c r="WVP52" s="2"/>
      <c r="WVQ52" s="2"/>
      <c r="WVR52" s="2"/>
      <c r="WVS52" s="2"/>
      <c r="WVT52" s="42"/>
      <c r="WVU52" s="42"/>
      <c r="WVV52" s="42"/>
      <c r="WVW52" s="42"/>
      <c r="WVX52" s="42"/>
      <c r="WVY52" s="42"/>
      <c r="WVZ52" s="42"/>
      <c r="WWA52" s="42"/>
      <c r="WWB52" s="42"/>
      <c r="WWC52" s="42"/>
      <c r="WWD52" s="42"/>
      <c r="WWE52" s="42"/>
      <c r="WWF52" s="42"/>
      <c r="WWG52" s="42"/>
      <c r="WWH52" s="42"/>
      <c r="WWI52" s="42"/>
      <c r="WWJ52" s="42"/>
      <c r="WWK52" s="42"/>
      <c r="WWL52" s="42"/>
      <c r="WWM52" s="42"/>
      <c r="WWN52" s="42"/>
      <c r="WWO52" s="42"/>
      <c r="WWP52" s="42"/>
      <c r="WWQ52" s="2"/>
      <c r="WWR52" s="15"/>
      <c r="WWS52" s="42"/>
      <c r="WWT52" s="2"/>
      <c r="WWU52" s="2"/>
      <c r="WWV52" s="2"/>
      <c r="WWW52" s="2"/>
      <c r="WWX52" s="42"/>
      <c r="WWY52" s="42"/>
      <c r="WWZ52" s="42"/>
      <c r="WXA52" s="42"/>
      <c r="WXB52" s="42"/>
      <c r="WXC52" s="42"/>
      <c r="WXD52" s="42"/>
      <c r="WXE52" s="42"/>
      <c r="WXF52" s="42"/>
      <c r="WXG52" s="42"/>
      <c r="WXH52" s="42"/>
      <c r="WXI52" s="42"/>
      <c r="WXJ52" s="42"/>
      <c r="WXK52" s="42"/>
      <c r="WXL52" s="42"/>
      <c r="WXM52" s="42"/>
      <c r="WXN52" s="42"/>
      <c r="WXO52" s="42"/>
      <c r="WXP52" s="42"/>
      <c r="WXQ52" s="42"/>
      <c r="WXR52" s="42"/>
      <c r="WXS52" s="42"/>
      <c r="WXT52" s="42"/>
      <c r="WXU52" s="2"/>
      <c r="WXV52" s="15"/>
      <c r="WXW52" s="42"/>
      <c r="WXX52" s="2"/>
      <c r="WXY52" s="2"/>
      <c r="WXZ52" s="2"/>
      <c r="WYA52" s="2"/>
      <c r="WYB52" s="42"/>
      <c r="WYC52" s="42"/>
      <c r="WYD52" s="42"/>
      <c r="WYE52" s="42"/>
      <c r="WYF52" s="42"/>
      <c r="WYG52" s="42"/>
      <c r="WYH52" s="42"/>
      <c r="WYI52" s="42"/>
      <c r="WYJ52" s="42"/>
      <c r="WYK52" s="42"/>
      <c r="WYL52" s="42"/>
      <c r="WYM52" s="42"/>
      <c r="WYN52" s="42"/>
      <c r="WYO52" s="42"/>
      <c r="WYP52" s="42"/>
      <c r="WYQ52" s="42"/>
      <c r="WYR52" s="42"/>
      <c r="WYS52" s="42"/>
      <c r="WYT52" s="42"/>
      <c r="WYU52" s="42"/>
      <c r="WYV52" s="42"/>
      <c r="WYW52" s="42"/>
      <c r="WYX52" s="42"/>
      <c r="WYY52" s="2"/>
      <c r="WYZ52" s="15"/>
      <c r="WZA52" s="42"/>
      <c r="WZB52" s="2"/>
      <c r="WZC52" s="2"/>
      <c r="WZD52" s="2"/>
      <c r="WZE52" s="2"/>
      <c r="WZF52" s="42"/>
      <c r="WZG52" s="42"/>
      <c r="WZH52" s="42"/>
      <c r="WZI52" s="42"/>
      <c r="WZJ52" s="42"/>
      <c r="WZK52" s="42"/>
      <c r="WZL52" s="42"/>
      <c r="WZM52" s="42"/>
      <c r="WZN52" s="42"/>
      <c r="WZO52" s="42"/>
      <c r="WZP52" s="42"/>
      <c r="WZQ52" s="42"/>
      <c r="WZR52" s="42"/>
      <c r="WZS52" s="42"/>
      <c r="WZT52" s="42"/>
      <c r="WZU52" s="42"/>
      <c r="WZV52" s="42"/>
      <c r="WZW52" s="42"/>
      <c r="WZX52" s="42"/>
      <c r="WZY52" s="42"/>
      <c r="WZZ52" s="42"/>
      <c r="XAA52" s="42"/>
      <c r="XAB52" s="42"/>
      <c r="XAC52" s="2"/>
      <c r="XAD52" s="15"/>
      <c r="XAE52" s="42"/>
      <c r="XAF52" s="2"/>
      <c r="XAG52" s="2"/>
      <c r="XAH52" s="2"/>
      <c r="XAI52" s="2"/>
      <c r="XAJ52" s="42"/>
      <c r="XAK52" s="42"/>
      <c r="XAL52" s="42"/>
      <c r="XAM52" s="42"/>
      <c r="XAN52" s="42"/>
      <c r="XAO52" s="42"/>
      <c r="XAP52" s="42"/>
      <c r="XAQ52" s="42"/>
      <c r="XAR52" s="42"/>
      <c r="XAS52" s="42"/>
      <c r="XAT52" s="42"/>
      <c r="XAU52" s="42"/>
      <c r="XAV52" s="42"/>
      <c r="XAW52" s="42"/>
      <c r="XAX52" s="42"/>
      <c r="XAY52" s="42"/>
      <c r="XAZ52" s="42"/>
      <c r="XBA52" s="42"/>
      <c r="XBB52" s="42"/>
      <c r="XBC52" s="42"/>
      <c r="XBD52" s="42"/>
      <c r="XBE52" s="42"/>
      <c r="XBF52" s="42"/>
      <c r="XBG52" s="2"/>
      <c r="XBH52" s="15"/>
      <c r="XBI52" s="42"/>
      <c r="XBJ52" s="2"/>
      <c r="XBK52" s="2"/>
      <c r="XBL52" s="2"/>
      <c r="XBM52" s="2"/>
      <c r="XBN52" s="42"/>
      <c r="XBO52" s="42"/>
      <c r="XBP52" s="42"/>
      <c r="XBQ52" s="42"/>
      <c r="XBR52" s="42"/>
      <c r="XBS52" s="42"/>
      <c r="XBT52" s="42"/>
      <c r="XBU52" s="42"/>
      <c r="XBV52" s="42"/>
      <c r="XBW52" s="42"/>
      <c r="XBX52" s="42"/>
      <c r="XBY52" s="42"/>
      <c r="XBZ52" s="42"/>
      <c r="XCA52" s="42"/>
      <c r="XCB52" s="42"/>
      <c r="XCC52" s="42"/>
      <c r="XCD52" s="42"/>
      <c r="XCE52" s="42"/>
      <c r="XCF52" s="42"/>
      <c r="XCG52" s="42"/>
      <c r="XCH52" s="42"/>
      <c r="XCI52" s="42"/>
      <c r="XCJ52" s="42"/>
      <c r="XCK52" s="2"/>
      <c r="XCL52" s="15"/>
      <c r="XCM52" s="42"/>
      <c r="XCN52" s="2"/>
      <c r="XCO52" s="2"/>
      <c r="XCP52" s="2"/>
      <c r="XCQ52" s="2"/>
      <c r="XCR52" s="42"/>
      <c r="XCS52" s="42"/>
      <c r="XCT52" s="42"/>
      <c r="XCU52" s="42"/>
      <c r="XCV52" s="42"/>
      <c r="XCW52" s="42"/>
      <c r="XCX52" s="42"/>
      <c r="XCY52" s="42"/>
      <c r="XCZ52" s="42"/>
      <c r="XDA52" s="42"/>
      <c r="XDB52" s="42"/>
      <c r="XDC52" s="42"/>
      <c r="XDD52" s="42"/>
      <c r="XDE52" s="42"/>
      <c r="XDF52" s="42"/>
      <c r="XDG52" s="42"/>
      <c r="XDH52" s="42"/>
      <c r="XDI52" s="42"/>
      <c r="XDJ52" s="42"/>
      <c r="XDK52" s="42"/>
      <c r="XDL52" s="42"/>
      <c r="XDM52" s="42"/>
      <c r="XDN52" s="42"/>
      <c r="XDO52" s="2"/>
      <c r="XDP52" s="15"/>
      <c r="XDQ52" s="42"/>
      <c r="XDR52" s="2"/>
      <c r="XDS52" s="2"/>
      <c r="XDT52" s="2"/>
      <c r="XDU52" s="2"/>
      <c r="XDV52" s="42"/>
      <c r="XDW52" s="42"/>
      <c r="XDX52" s="42"/>
      <c r="XDY52" s="42"/>
      <c r="XDZ52" s="42"/>
      <c r="XEA52" s="42"/>
      <c r="XEB52" s="42"/>
      <c r="XEC52" s="42"/>
      <c r="XED52" s="42"/>
      <c r="XEE52" s="42"/>
      <c r="XEF52" s="42"/>
      <c r="XEG52" s="42"/>
      <c r="XEH52" s="42"/>
      <c r="XEI52" s="42"/>
      <c r="XEJ52" s="42"/>
      <c r="XEK52" s="42"/>
      <c r="XEL52" s="42"/>
      <c r="XEM52" s="42"/>
      <c r="XEN52" s="42"/>
      <c r="XEO52" s="42"/>
      <c r="XEP52" s="42"/>
      <c r="XEQ52" s="42"/>
      <c r="XER52" s="42"/>
      <c r="XES52" s="2"/>
      <c r="XET52" s="15"/>
      <c r="XEU52" s="42"/>
      <c r="XEV52" s="2"/>
    </row>
    <row r="53" spans="1:16376" s="590" customFormat="1" ht="13.15" customHeight="1" thickBot="1">
      <c r="A53" s="2"/>
      <c r="B53" s="1500" t="s">
        <v>1595</v>
      </c>
      <c r="C53" s="42"/>
      <c r="D53" s="1514">
        <f>'Sens WIP'!D27</f>
        <v>0</v>
      </c>
      <c r="E53" s="2"/>
      <c r="F53" s="2"/>
      <c r="G53" s="2"/>
      <c r="H53" s="42"/>
      <c r="I53" s="42"/>
      <c r="J53" s="42"/>
      <c r="K53" s="42"/>
      <c r="L53" s="42"/>
      <c r="M53" s="42"/>
      <c r="N53" s="42"/>
      <c r="O53" s="42"/>
      <c r="P53" s="42"/>
      <c r="Q53" s="42"/>
      <c r="R53" s="42"/>
      <c r="S53" s="42"/>
      <c r="T53" s="42"/>
      <c r="U53" s="42"/>
      <c r="V53" s="42"/>
      <c r="W53" s="42"/>
      <c r="X53" s="42"/>
      <c r="Y53" s="42"/>
      <c r="Z53" s="42"/>
      <c r="AA53" s="42"/>
      <c r="AB53" s="42"/>
      <c r="AC53" s="42"/>
      <c r="AD53" s="42"/>
      <c r="AE53" s="2"/>
      <c r="AF53" s="15"/>
      <c r="AG53" s="42"/>
      <c r="AH53" s="2"/>
      <c r="AI53" s="2"/>
      <c r="AJ53" s="2"/>
      <c r="AK53" s="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2"/>
      <c r="BJ53" s="15"/>
      <c r="BK53" s="42"/>
      <c r="BL53" s="2"/>
      <c r="BM53" s="2"/>
      <c r="BN53" s="2"/>
      <c r="BO53" s="2"/>
      <c r="BP53" s="42"/>
      <c r="BQ53" s="42"/>
      <c r="BR53" s="42"/>
      <c r="BS53" s="42"/>
      <c r="BT53" s="42"/>
      <c r="BU53" s="42"/>
      <c r="BV53" s="42"/>
      <c r="BW53" s="42"/>
      <c r="BX53" s="42"/>
      <c r="BY53" s="42"/>
      <c r="BZ53" s="42"/>
      <c r="CA53" s="42"/>
      <c r="CB53" s="42"/>
      <c r="CC53" s="42"/>
      <c r="CD53" s="42"/>
      <c r="CE53" s="2"/>
      <c r="CF53" s="15"/>
      <c r="CG53" s="42"/>
      <c r="CH53" s="2"/>
      <c r="CI53" s="2"/>
      <c r="CJ53" s="2"/>
      <c r="CK53" s="2"/>
      <c r="CL53" s="42"/>
      <c r="CM53" s="42"/>
      <c r="CN53" s="42"/>
      <c r="CO53" s="42"/>
      <c r="CP53" s="42"/>
      <c r="CQ53" s="42"/>
      <c r="CR53" s="42"/>
      <c r="CS53" s="42"/>
      <c r="CT53" s="42"/>
      <c r="CU53" s="42"/>
      <c r="CV53" s="42"/>
      <c r="CW53" s="42"/>
      <c r="CX53" s="42"/>
      <c r="CY53" s="42"/>
      <c r="CZ53" s="42"/>
      <c r="DA53" s="42"/>
      <c r="DB53" s="42"/>
      <c r="DC53" s="42"/>
      <c r="DD53" s="42"/>
      <c r="DE53" s="42"/>
      <c r="DF53" s="42"/>
      <c r="DG53" s="42"/>
      <c r="DH53" s="42"/>
      <c r="DI53" s="2"/>
      <c r="DJ53" s="15"/>
      <c r="DK53" s="42"/>
      <c r="DL53" s="2"/>
      <c r="DM53" s="2"/>
      <c r="DN53" s="2"/>
      <c r="DO53" s="2"/>
      <c r="DP53" s="42"/>
      <c r="DQ53" s="42"/>
      <c r="DR53" s="42"/>
      <c r="DS53" s="42"/>
      <c r="DT53" s="42"/>
      <c r="DU53" s="42"/>
      <c r="DV53" s="42"/>
      <c r="DW53" s="42"/>
      <c r="DX53" s="42"/>
      <c r="DY53" s="42"/>
      <c r="DZ53" s="42"/>
      <c r="EA53" s="42"/>
      <c r="EB53" s="42"/>
      <c r="EC53" s="42"/>
      <c r="ED53" s="42"/>
      <c r="EE53" s="42"/>
      <c r="EF53" s="42"/>
      <c r="EG53" s="42"/>
      <c r="EH53" s="42"/>
      <c r="EI53" s="42"/>
      <c r="EJ53" s="42"/>
      <c r="EK53" s="42"/>
      <c r="EL53" s="42"/>
      <c r="EM53" s="2"/>
      <c r="EN53" s="15"/>
      <c r="EO53" s="42"/>
      <c r="EP53" s="2"/>
      <c r="EQ53" s="2"/>
      <c r="ER53" s="2"/>
      <c r="ES53" s="2"/>
      <c r="ET53" s="42"/>
      <c r="EU53" s="42"/>
      <c r="EV53" s="42"/>
      <c r="EW53" s="42"/>
      <c r="EX53" s="42"/>
      <c r="EY53" s="42"/>
      <c r="EZ53" s="42"/>
      <c r="FA53" s="42"/>
      <c r="FB53" s="42"/>
      <c r="FC53" s="42"/>
      <c r="FD53" s="42"/>
      <c r="FE53" s="42"/>
      <c r="FF53" s="42"/>
      <c r="FG53" s="42"/>
      <c r="FH53" s="42"/>
      <c r="FI53" s="42"/>
      <c r="FJ53" s="42"/>
      <c r="FK53" s="42"/>
      <c r="FL53" s="42"/>
      <c r="FM53" s="42"/>
      <c r="FN53" s="42"/>
      <c r="FO53" s="42"/>
      <c r="FP53" s="42"/>
      <c r="FQ53" s="2"/>
      <c r="FR53" s="15"/>
      <c r="FS53" s="42"/>
      <c r="FT53" s="2"/>
      <c r="FU53" s="2"/>
      <c r="FV53" s="2"/>
      <c r="FW53" s="2"/>
      <c r="FX53" s="42"/>
      <c r="FY53" s="42"/>
      <c r="FZ53" s="42"/>
      <c r="GA53" s="42"/>
      <c r="GB53" s="42"/>
      <c r="GC53" s="42"/>
      <c r="GD53" s="42"/>
      <c r="GE53" s="42"/>
      <c r="GF53" s="42"/>
      <c r="GG53" s="42"/>
      <c r="GH53" s="42"/>
      <c r="GI53" s="42"/>
      <c r="GJ53" s="42"/>
      <c r="GK53" s="42"/>
      <c r="GL53" s="42"/>
      <c r="GM53" s="42"/>
      <c r="GN53" s="42"/>
      <c r="GO53" s="42"/>
      <c r="GP53" s="42"/>
      <c r="GQ53" s="42"/>
      <c r="GR53" s="42"/>
      <c r="GS53" s="42"/>
      <c r="GT53" s="42"/>
      <c r="GU53" s="2"/>
      <c r="GV53" s="15"/>
      <c r="GW53" s="42"/>
      <c r="GX53" s="2"/>
      <c r="GY53" s="2"/>
      <c r="GZ53" s="2"/>
      <c r="HA53" s="2"/>
      <c r="HB53" s="42"/>
      <c r="HC53" s="42"/>
      <c r="HD53" s="42"/>
      <c r="HE53" s="42"/>
      <c r="HF53" s="42"/>
      <c r="HG53" s="42"/>
      <c r="HH53" s="42"/>
      <c r="HI53" s="42"/>
      <c r="HJ53" s="42"/>
      <c r="HK53" s="42"/>
      <c r="HL53" s="42"/>
      <c r="HM53" s="42"/>
      <c r="HN53" s="42"/>
      <c r="HO53" s="42"/>
      <c r="HP53" s="42"/>
      <c r="HQ53" s="42"/>
      <c r="HR53" s="42"/>
      <c r="HS53" s="42"/>
      <c r="HT53" s="42"/>
      <c r="HU53" s="42"/>
      <c r="HV53" s="42"/>
      <c r="HW53" s="42"/>
      <c r="HX53" s="42"/>
      <c r="HY53" s="2"/>
      <c r="HZ53" s="15"/>
      <c r="IA53" s="42"/>
      <c r="IB53" s="2"/>
      <c r="IC53" s="2"/>
      <c r="ID53" s="2"/>
      <c r="IE53" s="2"/>
      <c r="IF53" s="42"/>
      <c r="IG53" s="42"/>
      <c r="IH53" s="42"/>
      <c r="II53" s="42"/>
      <c r="IJ53" s="42"/>
      <c r="IK53" s="42"/>
      <c r="IL53" s="42"/>
      <c r="IM53" s="42"/>
      <c r="IN53" s="42"/>
      <c r="IO53" s="42"/>
      <c r="IP53" s="42"/>
      <c r="IQ53" s="42"/>
      <c r="IR53" s="42"/>
      <c r="IS53" s="42"/>
      <c r="IT53" s="42"/>
      <c r="IU53" s="42"/>
      <c r="IV53" s="42"/>
      <c r="IW53" s="42"/>
      <c r="IX53" s="42"/>
      <c r="IY53" s="42"/>
      <c r="IZ53" s="42"/>
      <c r="JA53" s="42"/>
      <c r="JB53" s="42"/>
      <c r="JC53" s="2"/>
      <c r="JD53" s="15"/>
      <c r="JE53" s="42"/>
      <c r="JF53" s="2"/>
      <c r="JG53" s="2"/>
      <c r="JH53" s="2"/>
      <c r="JI53" s="2"/>
      <c r="JJ53" s="42"/>
      <c r="JK53" s="42"/>
      <c r="JL53" s="42"/>
      <c r="JM53" s="42"/>
      <c r="JN53" s="42"/>
      <c r="JO53" s="42"/>
      <c r="JP53" s="42"/>
      <c r="JQ53" s="42"/>
      <c r="JR53" s="42"/>
      <c r="JS53" s="42"/>
      <c r="JT53" s="42"/>
      <c r="JU53" s="42"/>
      <c r="JV53" s="42"/>
      <c r="JW53" s="42"/>
      <c r="JX53" s="42"/>
      <c r="JY53" s="42"/>
      <c r="JZ53" s="42"/>
      <c r="KA53" s="42"/>
      <c r="KB53" s="42"/>
      <c r="KC53" s="42"/>
      <c r="KD53" s="42"/>
      <c r="KE53" s="42"/>
      <c r="KF53" s="42"/>
      <c r="KG53" s="2"/>
      <c r="KH53" s="15"/>
      <c r="KI53" s="42"/>
      <c r="KJ53" s="2"/>
      <c r="KK53" s="2"/>
      <c r="KL53" s="2"/>
      <c r="KM53" s="2"/>
      <c r="KN53" s="42"/>
      <c r="KO53" s="42"/>
      <c r="KP53" s="42"/>
      <c r="KQ53" s="42"/>
      <c r="KR53" s="42"/>
      <c r="KS53" s="42"/>
      <c r="KT53" s="42"/>
      <c r="KU53" s="42"/>
      <c r="KV53" s="42"/>
      <c r="KW53" s="42"/>
      <c r="KX53" s="42"/>
      <c r="KY53" s="42"/>
      <c r="KZ53" s="42"/>
      <c r="LA53" s="42"/>
      <c r="LB53" s="42"/>
      <c r="LC53" s="42"/>
      <c r="LD53" s="42"/>
      <c r="LE53" s="42"/>
      <c r="LF53" s="42"/>
      <c r="LG53" s="42"/>
      <c r="LH53" s="42"/>
      <c r="LI53" s="42"/>
      <c r="LJ53" s="42"/>
      <c r="LK53" s="2"/>
      <c r="LL53" s="15"/>
      <c r="LM53" s="42"/>
      <c r="LN53" s="2"/>
      <c r="LO53" s="2"/>
      <c r="LP53" s="2"/>
      <c r="LQ53" s="2"/>
      <c r="LR53" s="42"/>
      <c r="LS53" s="42"/>
      <c r="LT53" s="42"/>
      <c r="LU53" s="42"/>
      <c r="LV53" s="42"/>
      <c r="LW53" s="42"/>
      <c r="LX53" s="42"/>
      <c r="LY53" s="42"/>
      <c r="LZ53" s="42"/>
      <c r="MA53" s="42"/>
      <c r="MB53" s="42"/>
      <c r="MC53" s="42"/>
      <c r="MD53" s="42"/>
      <c r="ME53" s="42"/>
      <c r="MF53" s="42"/>
      <c r="MG53" s="42"/>
      <c r="MH53" s="42"/>
      <c r="MI53" s="42"/>
      <c r="MJ53" s="42"/>
      <c r="MK53" s="42"/>
      <c r="ML53" s="42"/>
      <c r="MM53" s="42"/>
      <c r="MN53" s="42"/>
      <c r="MO53" s="2"/>
      <c r="MP53" s="15"/>
      <c r="MQ53" s="42"/>
      <c r="MR53" s="2"/>
      <c r="MS53" s="2"/>
      <c r="MT53" s="2"/>
      <c r="MU53" s="2"/>
      <c r="MV53" s="42"/>
      <c r="MW53" s="42"/>
      <c r="MX53" s="42"/>
      <c r="MY53" s="42"/>
      <c r="MZ53" s="42"/>
      <c r="NA53" s="42"/>
      <c r="NB53" s="42"/>
      <c r="NC53" s="42"/>
      <c r="ND53" s="42"/>
      <c r="NE53" s="42"/>
      <c r="NF53" s="42"/>
      <c r="NG53" s="42"/>
      <c r="NH53" s="42"/>
      <c r="NI53" s="42"/>
      <c r="NJ53" s="42"/>
      <c r="NK53" s="42"/>
      <c r="NL53" s="42"/>
      <c r="NM53" s="42"/>
      <c r="NN53" s="42"/>
      <c r="NO53" s="42"/>
      <c r="NP53" s="42"/>
      <c r="NQ53" s="42"/>
      <c r="NR53" s="42"/>
      <c r="NS53" s="2"/>
      <c r="NT53" s="15"/>
      <c r="NU53" s="42"/>
      <c r="NV53" s="2"/>
      <c r="NW53" s="2"/>
      <c r="NX53" s="2"/>
      <c r="NY53" s="2"/>
      <c r="NZ53" s="42"/>
      <c r="OA53" s="42"/>
      <c r="OB53" s="42"/>
      <c r="OC53" s="42"/>
      <c r="OD53" s="42"/>
      <c r="OE53" s="42"/>
      <c r="OF53" s="42"/>
      <c r="OG53" s="42"/>
      <c r="OH53" s="42"/>
      <c r="OI53" s="42"/>
      <c r="OJ53" s="42"/>
      <c r="OK53" s="42"/>
      <c r="OL53" s="42"/>
      <c r="OM53" s="42"/>
      <c r="ON53" s="42"/>
      <c r="OO53" s="42"/>
      <c r="OP53" s="42"/>
      <c r="OQ53" s="42"/>
      <c r="OR53" s="42"/>
      <c r="OS53" s="42"/>
      <c r="OT53" s="42"/>
      <c r="OU53" s="42"/>
      <c r="OV53" s="42"/>
      <c r="OW53" s="2"/>
      <c r="OX53" s="15"/>
      <c r="OY53" s="42"/>
      <c r="OZ53" s="2"/>
      <c r="PA53" s="2"/>
      <c r="PB53" s="2"/>
      <c r="PC53" s="2"/>
      <c r="PD53" s="42"/>
      <c r="PE53" s="42"/>
      <c r="PF53" s="42"/>
      <c r="PG53" s="42"/>
      <c r="PH53" s="42"/>
      <c r="PI53" s="42"/>
      <c r="PJ53" s="42"/>
      <c r="PK53" s="42"/>
      <c r="PL53" s="42"/>
      <c r="PM53" s="42"/>
      <c r="PN53" s="42"/>
      <c r="PO53" s="42"/>
      <c r="PP53" s="42"/>
      <c r="PQ53" s="42"/>
      <c r="PR53" s="42"/>
      <c r="PS53" s="42"/>
      <c r="PT53" s="42"/>
      <c r="PU53" s="42"/>
      <c r="PV53" s="42"/>
      <c r="PW53" s="42"/>
      <c r="PX53" s="42"/>
      <c r="PY53" s="42"/>
      <c r="PZ53" s="42"/>
      <c r="QA53" s="2"/>
      <c r="QB53" s="15"/>
      <c r="QC53" s="42"/>
      <c r="QD53" s="2"/>
      <c r="QE53" s="2"/>
      <c r="QF53" s="2"/>
      <c r="QG53" s="2"/>
      <c r="QH53" s="42"/>
      <c r="QI53" s="42"/>
      <c r="QJ53" s="42"/>
      <c r="QK53" s="42"/>
      <c r="QL53" s="42"/>
      <c r="QM53" s="42"/>
      <c r="QN53" s="42"/>
      <c r="QO53" s="42"/>
      <c r="QP53" s="42"/>
      <c r="QQ53" s="42"/>
      <c r="QR53" s="42"/>
      <c r="QS53" s="42"/>
      <c r="QT53" s="42"/>
      <c r="QU53" s="42"/>
      <c r="QV53" s="42"/>
      <c r="QW53" s="42"/>
      <c r="QX53" s="42"/>
      <c r="QY53" s="42"/>
      <c r="QZ53" s="42"/>
      <c r="RA53" s="42"/>
      <c r="RB53" s="42"/>
      <c r="RC53" s="42"/>
      <c r="RD53" s="42"/>
      <c r="RE53" s="2"/>
      <c r="RF53" s="15"/>
      <c r="RG53" s="42"/>
      <c r="RH53" s="2"/>
      <c r="RI53" s="2"/>
      <c r="RJ53" s="2"/>
      <c r="RK53" s="2"/>
      <c r="RL53" s="42"/>
      <c r="RM53" s="42"/>
      <c r="RN53" s="42"/>
      <c r="RO53" s="42"/>
      <c r="RP53" s="42"/>
      <c r="RQ53" s="42"/>
      <c r="RR53" s="42"/>
      <c r="RS53" s="42"/>
      <c r="RT53" s="42"/>
      <c r="RU53" s="42"/>
      <c r="RV53" s="42"/>
      <c r="RW53" s="42"/>
      <c r="RX53" s="42"/>
      <c r="RY53" s="42"/>
      <c r="RZ53" s="42"/>
      <c r="SA53" s="42"/>
      <c r="SB53" s="42"/>
      <c r="SC53" s="42"/>
      <c r="SD53" s="42"/>
      <c r="SE53" s="42"/>
      <c r="SF53" s="42"/>
      <c r="SG53" s="42"/>
      <c r="SH53" s="42"/>
      <c r="SI53" s="2"/>
      <c r="SJ53" s="15"/>
      <c r="SK53" s="42"/>
      <c r="SL53" s="2"/>
      <c r="SM53" s="2"/>
      <c r="SN53" s="2"/>
      <c r="SO53" s="2"/>
      <c r="SP53" s="42"/>
      <c r="SQ53" s="42"/>
      <c r="SR53" s="42"/>
      <c r="SS53" s="42"/>
      <c r="ST53" s="42"/>
      <c r="SU53" s="42"/>
      <c r="SV53" s="42"/>
      <c r="SW53" s="42"/>
      <c r="SX53" s="42"/>
      <c r="SY53" s="42"/>
      <c r="SZ53" s="42"/>
      <c r="TA53" s="42"/>
      <c r="TB53" s="42"/>
      <c r="TC53" s="42"/>
      <c r="TD53" s="42"/>
      <c r="TE53" s="42"/>
      <c r="TF53" s="42"/>
      <c r="TG53" s="42"/>
      <c r="TH53" s="42"/>
      <c r="TI53" s="42"/>
      <c r="TJ53" s="42"/>
      <c r="TK53" s="42"/>
      <c r="TL53" s="42"/>
      <c r="TM53" s="2"/>
      <c r="TN53" s="15"/>
      <c r="TO53" s="42"/>
      <c r="TP53" s="2"/>
      <c r="TQ53" s="2"/>
      <c r="TR53" s="2"/>
      <c r="TS53" s="2"/>
      <c r="TT53" s="42"/>
      <c r="TU53" s="42"/>
      <c r="TV53" s="42"/>
      <c r="TW53" s="42"/>
      <c r="TX53" s="42"/>
      <c r="TY53" s="42"/>
      <c r="TZ53" s="42"/>
      <c r="UA53" s="42"/>
      <c r="UB53" s="42"/>
      <c r="UC53" s="42"/>
      <c r="UD53" s="42"/>
      <c r="UE53" s="42"/>
      <c r="UF53" s="42"/>
      <c r="UG53" s="42"/>
      <c r="UH53" s="42"/>
      <c r="UI53" s="42"/>
      <c r="UJ53" s="42"/>
      <c r="UK53" s="42"/>
      <c r="UL53" s="42"/>
      <c r="UM53" s="42"/>
      <c r="UN53" s="42"/>
      <c r="UO53" s="42"/>
      <c r="UP53" s="42"/>
      <c r="UQ53" s="2"/>
      <c r="UR53" s="15"/>
      <c r="US53" s="42"/>
      <c r="UT53" s="2"/>
      <c r="UU53" s="2"/>
      <c r="UV53" s="2"/>
      <c r="UW53" s="2"/>
      <c r="UX53" s="42"/>
      <c r="UY53" s="42"/>
      <c r="UZ53" s="42"/>
      <c r="VA53" s="42"/>
      <c r="VB53" s="42"/>
      <c r="VC53" s="42"/>
      <c r="VD53" s="42"/>
      <c r="VE53" s="42"/>
      <c r="VF53" s="42"/>
      <c r="VG53" s="42"/>
      <c r="VH53" s="42"/>
      <c r="VI53" s="42"/>
      <c r="VJ53" s="42"/>
      <c r="VK53" s="42"/>
      <c r="VL53" s="42"/>
      <c r="VM53" s="42"/>
      <c r="VN53" s="42"/>
      <c r="VO53" s="42"/>
      <c r="VP53" s="42"/>
      <c r="VQ53" s="42"/>
      <c r="VR53" s="42"/>
      <c r="VS53" s="42"/>
      <c r="VT53" s="42"/>
      <c r="VU53" s="2"/>
      <c r="VV53" s="15"/>
      <c r="VW53" s="42"/>
      <c r="VX53" s="2"/>
      <c r="VY53" s="2"/>
      <c r="VZ53" s="2"/>
      <c r="WA53" s="2"/>
      <c r="WB53" s="42"/>
      <c r="WC53" s="42"/>
      <c r="WD53" s="42"/>
      <c r="WE53" s="42"/>
      <c r="WF53" s="42"/>
      <c r="WG53" s="42"/>
      <c r="WH53" s="42"/>
      <c r="WI53" s="42"/>
      <c r="WJ53" s="42"/>
      <c r="WK53" s="42"/>
      <c r="WL53" s="42"/>
      <c r="WM53" s="42"/>
      <c r="WN53" s="42"/>
      <c r="WO53" s="42"/>
      <c r="WP53" s="42"/>
      <c r="WQ53" s="42"/>
      <c r="WR53" s="42"/>
      <c r="WS53" s="42"/>
      <c r="WT53" s="42"/>
      <c r="WU53" s="42"/>
      <c r="WV53" s="42"/>
      <c r="WW53" s="42"/>
      <c r="WX53" s="42"/>
      <c r="WY53" s="2"/>
      <c r="WZ53" s="15"/>
      <c r="XA53" s="42"/>
      <c r="XB53" s="2"/>
      <c r="XC53" s="2"/>
      <c r="XD53" s="2"/>
      <c r="XE53" s="2"/>
      <c r="XF53" s="42"/>
      <c r="XG53" s="42"/>
      <c r="XH53" s="42"/>
      <c r="XI53" s="42"/>
      <c r="XJ53" s="42"/>
      <c r="XK53" s="42"/>
      <c r="XL53" s="42"/>
      <c r="XM53" s="42"/>
      <c r="XN53" s="42"/>
      <c r="XO53" s="42"/>
      <c r="XP53" s="42"/>
      <c r="XQ53" s="42"/>
      <c r="XR53" s="42"/>
      <c r="XS53" s="42"/>
      <c r="XT53" s="42"/>
      <c r="XU53" s="42"/>
      <c r="XV53" s="42"/>
      <c r="XW53" s="42"/>
      <c r="XX53" s="42"/>
      <c r="XY53" s="42"/>
      <c r="XZ53" s="42"/>
      <c r="YA53" s="42"/>
      <c r="YB53" s="42"/>
      <c r="YC53" s="2"/>
      <c r="YD53" s="15"/>
      <c r="YE53" s="42"/>
      <c r="YF53" s="2"/>
      <c r="YG53" s="2"/>
      <c r="YH53" s="2"/>
      <c r="YI53" s="2"/>
      <c r="YJ53" s="42"/>
      <c r="YK53" s="42"/>
      <c r="YL53" s="42"/>
      <c r="YM53" s="42"/>
      <c r="YN53" s="42"/>
      <c r="YO53" s="42"/>
      <c r="YP53" s="42"/>
      <c r="YQ53" s="42"/>
      <c r="YR53" s="42"/>
      <c r="YS53" s="42"/>
      <c r="YT53" s="42"/>
      <c r="YU53" s="42"/>
      <c r="YV53" s="42"/>
      <c r="YW53" s="42"/>
      <c r="YX53" s="42"/>
      <c r="YY53" s="42"/>
      <c r="YZ53" s="42"/>
      <c r="ZA53" s="42"/>
      <c r="ZB53" s="42"/>
      <c r="ZC53" s="42"/>
      <c r="ZD53" s="42"/>
      <c r="ZE53" s="42"/>
      <c r="ZF53" s="42"/>
      <c r="ZG53" s="2"/>
      <c r="ZH53" s="15"/>
      <c r="ZI53" s="42"/>
      <c r="ZJ53" s="2"/>
      <c r="ZK53" s="2"/>
      <c r="ZL53" s="2"/>
      <c r="ZM53" s="2"/>
      <c r="ZN53" s="42"/>
      <c r="ZO53" s="42"/>
      <c r="ZP53" s="42"/>
      <c r="ZQ53" s="42"/>
      <c r="ZR53" s="42"/>
      <c r="ZS53" s="42"/>
      <c r="ZT53" s="42"/>
      <c r="ZU53" s="42"/>
      <c r="ZV53" s="42"/>
      <c r="ZW53" s="42"/>
      <c r="ZX53" s="42"/>
      <c r="ZY53" s="42"/>
      <c r="ZZ53" s="42"/>
      <c r="AAA53" s="42"/>
      <c r="AAB53" s="42"/>
      <c r="AAC53" s="42"/>
      <c r="AAD53" s="42"/>
      <c r="AAE53" s="42"/>
      <c r="AAF53" s="42"/>
      <c r="AAG53" s="42"/>
      <c r="AAH53" s="42"/>
      <c r="AAI53" s="42"/>
      <c r="AAJ53" s="42"/>
      <c r="AAK53" s="2"/>
      <c r="AAL53" s="15"/>
      <c r="AAM53" s="42"/>
      <c r="AAN53" s="2"/>
      <c r="AAO53" s="2"/>
      <c r="AAP53" s="2"/>
      <c r="AAQ53" s="2"/>
      <c r="AAR53" s="42"/>
      <c r="AAS53" s="42"/>
      <c r="AAT53" s="42"/>
      <c r="AAU53" s="42"/>
      <c r="AAV53" s="42"/>
      <c r="AAW53" s="42"/>
      <c r="AAX53" s="42"/>
      <c r="AAY53" s="42"/>
      <c r="AAZ53" s="42"/>
      <c r="ABA53" s="42"/>
      <c r="ABB53" s="42"/>
      <c r="ABC53" s="42"/>
      <c r="ABD53" s="42"/>
      <c r="ABE53" s="42"/>
      <c r="ABF53" s="42"/>
      <c r="ABG53" s="42"/>
      <c r="ABH53" s="42"/>
      <c r="ABI53" s="42"/>
      <c r="ABJ53" s="42"/>
      <c r="ABK53" s="42"/>
      <c r="ABL53" s="42"/>
      <c r="ABM53" s="42"/>
      <c r="ABN53" s="42"/>
      <c r="ABO53" s="2"/>
      <c r="ABP53" s="15"/>
      <c r="ABQ53" s="42"/>
      <c r="ABR53" s="2"/>
      <c r="ABS53" s="2"/>
      <c r="ABT53" s="2"/>
      <c r="ABU53" s="2"/>
      <c r="ABV53" s="42"/>
      <c r="ABW53" s="42"/>
      <c r="ABX53" s="42"/>
      <c r="ABY53" s="42"/>
      <c r="ABZ53" s="42"/>
      <c r="ACA53" s="42"/>
      <c r="ACB53" s="42"/>
      <c r="ACC53" s="42"/>
      <c r="ACD53" s="42"/>
      <c r="ACE53" s="42"/>
      <c r="ACF53" s="42"/>
      <c r="ACG53" s="42"/>
      <c r="ACH53" s="42"/>
      <c r="ACI53" s="42"/>
      <c r="ACJ53" s="42"/>
      <c r="ACK53" s="42"/>
      <c r="ACL53" s="42"/>
      <c r="ACM53" s="42"/>
      <c r="ACN53" s="42"/>
      <c r="ACO53" s="42"/>
      <c r="ACP53" s="42"/>
      <c r="ACQ53" s="42"/>
      <c r="ACR53" s="42"/>
      <c r="ACS53" s="2"/>
      <c r="ACT53" s="15"/>
      <c r="ACU53" s="42"/>
      <c r="ACV53" s="2"/>
      <c r="ACW53" s="2"/>
      <c r="ACX53" s="2"/>
      <c r="ACY53" s="2"/>
      <c r="ACZ53" s="42"/>
      <c r="ADA53" s="42"/>
      <c r="ADB53" s="42"/>
      <c r="ADC53" s="42"/>
      <c r="ADD53" s="42"/>
      <c r="ADE53" s="42"/>
      <c r="ADF53" s="42"/>
      <c r="ADG53" s="42"/>
      <c r="ADH53" s="42"/>
      <c r="ADI53" s="42"/>
      <c r="ADJ53" s="42"/>
      <c r="ADK53" s="42"/>
      <c r="ADL53" s="42"/>
      <c r="ADM53" s="42"/>
      <c r="ADN53" s="42"/>
      <c r="ADO53" s="42"/>
      <c r="ADP53" s="42"/>
      <c r="ADQ53" s="42"/>
      <c r="ADR53" s="42"/>
      <c r="ADS53" s="42"/>
      <c r="ADT53" s="42"/>
      <c r="ADU53" s="42"/>
      <c r="ADV53" s="42"/>
      <c r="ADW53" s="2"/>
      <c r="ADX53" s="15"/>
      <c r="ADY53" s="42"/>
      <c r="ADZ53" s="2"/>
      <c r="AEA53" s="2"/>
      <c r="AEB53" s="2"/>
      <c r="AEC53" s="2"/>
      <c r="AED53" s="42"/>
      <c r="AEE53" s="42"/>
      <c r="AEF53" s="42"/>
      <c r="AEG53" s="42"/>
      <c r="AEH53" s="42"/>
      <c r="AEI53" s="42"/>
      <c r="AEJ53" s="42"/>
      <c r="AEK53" s="42"/>
      <c r="AEL53" s="42"/>
      <c r="AEM53" s="42"/>
      <c r="AEN53" s="42"/>
      <c r="AEO53" s="42"/>
      <c r="AEP53" s="42"/>
      <c r="AEQ53" s="42"/>
      <c r="AER53" s="42"/>
      <c r="AES53" s="42"/>
      <c r="AET53" s="42"/>
      <c r="AEU53" s="42"/>
      <c r="AEV53" s="42"/>
      <c r="AEW53" s="42"/>
      <c r="AEX53" s="42"/>
      <c r="AEY53" s="42"/>
      <c r="AEZ53" s="42"/>
      <c r="AFA53" s="2"/>
      <c r="AFB53" s="15"/>
      <c r="AFC53" s="42"/>
      <c r="AFD53" s="2"/>
      <c r="AFE53" s="2"/>
      <c r="AFF53" s="2"/>
      <c r="AFG53" s="2"/>
      <c r="AFH53" s="42"/>
      <c r="AFI53" s="42"/>
      <c r="AFJ53" s="42"/>
      <c r="AFK53" s="42"/>
      <c r="AFL53" s="42"/>
      <c r="AFM53" s="42"/>
      <c r="AFN53" s="42"/>
      <c r="AFO53" s="42"/>
      <c r="AFP53" s="42"/>
      <c r="AFQ53" s="42"/>
      <c r="AFR53" s="42"/>
      <c r="AFS53" s="42"/>
      <c r="AFT53" s="42"/>
      <c r="AFU53" s="42"/>
      <c r="AFV53" s="42"/>
      <c r="AFW53" s="42"/>
      <c r="AFX53" s="42"/>
      <c r="AFY53" s="42"/>
      <c r="AFZ53" s="42"/>
      <c r="AGA53" s="42"/>
      <c r="AGB53" s="42"/>
      <c r="AGC53" s="42"/>
      <c r="AGD53" s="42"/>
      <c r="AGE53" s="2"/>
      <c r="AGF53" s="15"/>
      <c r="AGG53" s="42"/>
      <c r="AGH53" s="2"/>
      <c r="AGI53" s="2"/>
      <c r="AGJ53" s="2"/>
      <c r="AGK53" s="2"/>
      <c r="AGL53" s="42"/>
      <c r="AGM53" s="42"/>
      <c r="AGN53" s="42"/>
      <c r="AGO53" s="42"/>
      <c r="AGP53" s="42"/>
      <c r="AGQ53" s="42"/>
      <c r="AGR53" s="42"/>
      <c r="AGS53" s="42"/>
      <c r="AGT53" s="42"/>
      <c r="AGU53" s="42"/>
      <c r="AGV53" s="42"/>
      <c r="AGW53" s="42"/>
      <c r="AGX53" s="42"/>
      <c r="AGY53" s="42"/>
      <c r="AGZ53" s="42"/>
      <c r="AHA53" s="42"/>
      <c r="AHB53" s="42"/>
      <c r="AHC53" s="42"/>
      <c r="AHD53" s="42"/>
      <c r="AHE53" s="42"/>
      <c r="AHF53" s="42"/>
      <c r="AHG53" s="42"/>
      <c r="AHH53" s="42"/>
      <c r="AHI53" s="2"/>
      <c r="AHJ53" s="15"/>
      <c r="AHK53" s="42"/>
      <c r="AHL53" s="2"/>
      <c r="AHM53" s="2"/>
      <c r="AHN53" s="2"/>
      <c r="AHO53" s="2"/>
      <c r="AHP53" s="42"/>
      <c r="AHQ53" s="42"/>
      <c r="AHR53" s="42"/>
      <c r="AHS53" s="42"/>
      <c r="AHT53" s="42"/>
      <c r="AHU53" s="42"/>
      <c r="AHV53" s="42"/>
      <c r="AHW53" s="42"/>
      <c r="AHX53" s="42"/>
      <c r="AHY53" s="42"/>
      <c r="AHZ53" s="42"/>
      <c r="AIA53" s="42"/>
      <c r="AIB53" s="42"/>
      <c r="AIC53" s="42"/>
      <c r="AID53" s="42"/>
      <c r="AIE53" s="42"/>
      <c r="AIF53" s="42"/>
      <c r="AIG53" s="42"/>
      <c r="AIH53" s="42"/>
      <c r="AII53" s="42"/>
      <c r="AIJ53" s="42"/>
      <c r="AIK53" s="42"/>
      <c r="AIL53" s="42"/>
      <c r="AIM53" s="2"/>
      <c r="AIN53" s="15"/>
      <c r="AIO53" s="42"/>
      <c r="AIP53" s="2"/>
      <c r="AIQ53" s="2"/>
      <c r="AIR53" s="2"/>
      <c r="AIS53" s="2"/>
      <c r="AIT53" s="42"/>
      <c r="AIU53" s="42"/>
      <c r="AIV53" s="42"/>
      <c r="AIW53" s="42"/>
      <c r="AIX53" s="42"/>
      <c r="AIY53" s="42"/>
      <c r="AIZ53" s="42"/>
      <c r="AJA53" s="42"/>
      <c r="AJB53" s="42"/>
      <c r="AJC53" s="42"/>
      <c r="AJD53" s="42"/>
      <c r="AJE53" s="42"/>
      <c r="AJF53" s="42"/>
      <c r="AJG53" s="42"/>
      <c r="AJH53" s="42"/>
      <c r="AJI53" s="42"/>
      <c r="AJJ53" s="42"/>
      <c r="AJK53" s="42"/>
      <c r="AJL53" s="42"/>
      <c r="AJM53" s="42"/>
      <c r="AJN53" s="42"/>
      <c r="AJO53" s="42"/>
      <c r="AJP53" s="42"/>
      <c r="AJQ53" s="2"/>
      <c r="AJR53" s="15"/>
      <c r="AJS53" s="42"/>
      <c r="AJT53" s="2"/>
      <c r="AJU53" s="2"/>
      <c r="AJV53" s="2"/>
      <c r="AJW53" s="2"/>
      <c r="AJX53" s="42"/>
      <c r="AJY53" s="42"/>
      <c r="AJZ53" s="42"/>
      <c r="AKA53" s="42"/>
      <c r="AKB53" s="42"/>
      <c r="AKC53" s="42"/>
      <c r="AKD53" s="42"/>
      <c r="AKE53" s="42"/>
      <c r="AKF53" s="42"/>
      <c r="AKG53" s="42"/>
      <c r="AKH53" s="42"/>
      <c r="AKI53" s="42"/>
      <c r="AKJ53" s="42"/>
      <c r="AKK53" s="42"/>
      <c r="AKL53" s="42"/>
      <c r="AKM53" s="42"/>
      <c r="AKN53" s="42"/>
      <c r="AKO53" s="42"/>
      <c r="AKP53" s="42"/>
      <c r="AKQ53" s="42"/>
      <c r="AKR53" s="42"/>
      <c r="AKS53" s="42"/>
      <c r="AKT53" s="42"/>
      <c r="AKU53" s="2"/>
      <c r="AKV53" s="15"/>
      <c r="AKW53" s="42"/>
      <c r="AKX53" s="2"/>
      <c r="AKY53" s="2"/>
      <c r="AKZ53" s="2"/>
      <c r="ALA53" s="2"/>
      <c r="ALB53" s="42"/>
      <c r="ALC53" s="42"/>
      <c r="ALD53" s="42"/>
      <c r="ALE53" s="42"/>
      <c r="ALF53" s="42"/>
      <c r="ALG53" s="42"/>
      <c r="ALH53" s="42"/>
      <c r="ALI53" s="42"/>
      <c r="ALJ53" s="42"/>
      <c r="ALK53" s="42"/>
      <c r="ALL53" s="42"/>
      <c r="ALM53" s="42"/>
      <c r="ALN53" s="42"/>
      <c r="ALO53" s="42"/>
      <c r="ALP53" s="42"/>
      <c r="ALQ53" s="42"/>
      <c r="ALR53" s="42"/>
      <c r="ALS53" s="42"/>
      <c r="ALT53" s="42"/>
      <c r="ALU53" s="42"/>
      <c r="ALV53" s="42"/>
      <c r="ALW53" s="42"/>
      <c r="ALX53" s="42"/>
      <c r="ALY53" s="2"/>
      <c r="ALZ53" s="15"/>
      <c r="AMA53" s="42"/>
      <c r="AMB53" s="2"/>
      <c r="AMC53" s="2"/>
      <c r="AMD53" s="2"/>
      <c r="AME53" s="2"/>
      <c r="AMF53" s="42"/>
      <c r="AMG53" s="42"/>
      <c r="AMH53" s="42"/>
      <c r="AMI53" s="42"/>
      <c r="AMJ53" s="42"/>
      <c r="AMK53" s="42"/>
      <c r="AML53" s="42"/>
      <c r="AMM53" s="42"/>
      <c r="AMN53" s="42"/>
      <c r="AMO53" s="42"/>
      <c r="AMP53" s="42"/>
      <c r="AMQ53" s="42"/>
      <c r="AMR53" s="42"/>
      <c r="AMS53" s="42"/>
      <c r="AMT53" s="42"/>
      <c r="AMU53" s="42"/>
      <c r="AMV53" s="42"/>
      <c r="AMW53" s="42"/>
      <c r="AMX53" s="42"/>
      <c r="AMY53" s="42"/>
      <c r="AMZ53" s="42"/>
      <c r="ANA53" s="42"/>
      <c r="ANB53" s="42"/>
      <c r="ANC53" s="2"/>
      <c r="AND53" s="15"/>
      <c r="ANE53" s="42"/>
      <c r="ANF53" s="2"/>
      <c r="ANG53" s="2"/>
      <c r="ANH53" s="2"/>
      <c r="ANI53" s="2"/>
      <c r="ANJ53" s="42"/>
      <c r="ANK53" s="42"/>
      <c r="ANL53" s="42"/>
      <c r="ANM53" s="42"/>
      <c r="ANN53" s="42"/>
      <c r="ANO53" s="42"/>
      <c r="ANP53" s="42"/>
      <c r="ANQ53" s="42"/>
      <c r="ANR53" s="42"/>
      <c r="ANS53" s="42"/>
      <c r="ANT53" s="42"/>
      <c r="ANU53" s="42"/>
      <c r="ANV53" s="42"/>
      <c r="ANW53" s="42"/>
      <c r="ANX53" s="42"/>
      <c r="ANY53" s="42"/>
      <c r="ANZ53" s="42"/>
      <c r="AOA53" s="42"/>
      <c r="AOB53" s="42"/>
      <c r="AOC53" s="42"/>
      <c r="AOD53" s="42"/>
      <c r="AOE53" s="42"/>
      <c r="AOF53" s="42"/>
      <c r="AOG53" s="2"/>
      <c r="AOH53" s="15"/>
      <c r="AOI53" s="42"/>
      <c r="AOJ53" s="2"/>
      <c r="AOK53" s="2"/>
      <c r="AOL53" s="2"/>
      <c r="AOM53" s="2"/>
      <c r="AON53" s="42"/>
      <c r="AOO53" s="42"/>
      <c r="AOP53" s="42"/>
      <c r="AOQ53" s="42"/>
      <c r="AOR53" s="42"/>
      <c r="AOS53" s="42"/>
      <c r="AOT53" s="42"/>
      <c r="AOU53" s="42"/>
      <c r="AOV53" s="42"/>
      <c r="AOW53" s="42"/>
      <c r="AOX53" s="42"/>
      <c r="AOY53" s="42"/>
      <c r="AOZ53" s="42"/>
      <c r="APA53" s="42"/>
      <c r="APB53" s="42"/>
      <c r="APC53" s="42"/>
      <c r="APD53" s="42"/>
      <c r="APE53" s="42"/>
      <c r="APF53" s="42"/>
      <c r="APG53" s="42"/>
      <c r="APH53" s="42"/>
      <c r="API53" s="42"/>
      <c r="APJ53" s="42"/>
      <c r="APK53" s="2"/>
      <c r="APL53" s="15"/>
      <c r="APM53" s="42"/>
      <c r="APN53" s="2"/>
      <c r="APO53" s="2"/>
      <c r="APP53" s="2"/>
      <c r="APQ53" s="2"/>
      <c r="APR53" s="42"/>
      <c r="APS53" s="42"/>
      <c r="APT53" s="42"/>
      <c r="APU53" s="42"/>
      <c r="APV53" s="42"/>
      <c r="APW53" s="42"/>
      <c r="APX53" s="42"/>
      <c r="APY53" s="42"/>
      <c r="APZ53" s="42"/>
      <c r="AQA53" s="42"/>
      <c r="AQB53" s="42"/>
      <c r="AQC53" s="42"/>
      <c r="AQD53" s="42"/>
      <c r="AQE53" s="42"/>
      <c r="AQF53" s="42"/>
      <c r="AQG53" s="42"/>
      <c r="AQH53" s="42"/>
      <c r="AQI53" s="42"/>
      <c r="AQJ53" s="42"/>
      <c r="AQK53" s="42"/>
      <c r="AQL53" s="42"/>
      <c r="AQM53" s="42"/>
      <c r="AQN53" s="42"/>
      <c r="AQO53" s="2"/>
      <c r="AQP53" s="15"/>
      <c r="AQQ53" s="42"/>
      <c r="AQR53" s="2"/>
      <c r="AQS53" s="2"/>
      <c r="AQT53" s="2"/>
      <c r="AQU53" s="2"/>
      <c r="AQV53" s="42"/>
      <c r="AQW53" s="42"/>
      <c r="AQX53" s="42"/>
      <c r="AQY53" s="42"/>
      <c r="AQZ53" s="42"/>
      <c r="ARA53" s="42"/>
      <c r="ARB53" s="42"/>
      <c r="ARC53" s="42"/>
      <c r="ARD53" s="42"/>
      <c r="ARE53" s="42"/>
      <c r="ARF53" s="42"/>
      <c r="ARG53" s="42"/>
      <c r="ARH53" s="42"/>
      <c r="ARI53" s="42"/>
      <c r="ARJ53" s="42"/>
      <c r="ARK53" s="42"/>
      <c r="ARL53" s="42"/>
      <c r="ARM53" s="42"/>
      <c r="ARN53" s="42"/>
      <c r="ARO53" s="42"/>
      <c r="ARP53" s="42"/>
      <c r="ARQ53" s="42"/>
      <c r="ARR53" s="42"/>
      <c r="ARS53" s="2"/>
      <c r="ART53" s="15"/>
      <c r="ARU53" s="42"/>
      <c r="ARV53" s="2"/>
      <c r="ARW53" s="2"/>
      <c r="ARX53" s="2"/>
      <c r="ARY53" s="2"/>
      <c r="ARZ53" s="42"/>
      <c r="ASA53" s="42"/>
      <c r="ASB53" s="42"/>
      <c r="ASC53" s="42"/>
      <c r="ASD53" s="42"/>
      <c r="ASE53" s="42"/>
      <c r="ASF53" s="42"/>
      <c r="ASG53" s="42"/>
      <c r="ASH53" s="42"/>
      <c r="ASI53" s="42"/>
      <c r="ASJ53" s="42"/>
      <c r="ASK53" s="42"/>
      <c r="ASL53" s="42"/>
      <c r="ASM53" s="42"/>
      <c r="ASN53" s="42"/>
      <c r="ASO53" s="42"/>
      <c r="ASP53" s="42"/>
      <c r="ASQ53" s="42"/>
      <c r="ASR53" s="42"/>
      <c r="ASS53" s="42"/>
      <c r="AST53" s="42"/>
      <c r="ASU53" s="42"/>
      <c r="ASV53" s="42"/>
      <c r="ASW53" s="2"/>
      <c r="ASX53" s="15"/>
      <c r="ASY53" s="42"/>
      <c r="ASZ53" s="2"/>
      <c r="ATA53" s="2"/>
      <c r="ATB53" s="2"/>
      <c r="ATC53" s="2"/>
      <c r="ATD53" s="42"/>
      <c r="ATE53" s="42"/>
      <c r="ATF53" s="42"/>
      <c r="ATG53" s="42"/>
      <c r="ATH53" s="42"/>
      <c r="ATI53" s="42"/>
      <c r="ATJ53" s="42"/>
      <c r="ATK53" s="42"/>
      <c r="ATL53" s="42"/>
      <c r="ATM53" s="42"/>
      <c r="ATN53" s="42"/>
      <c r="ATO53" s="42"/>
      <c r="ATP53" s="42"/>
      <c r="ATQ53" s="42"/>
      <c r="ATR53" s="42"/>
      <c r="ATS53" s="42"/>
      <c r="ATT53" s="42"/>
      <c r="ATU53" s="42"/>
      <c r="ATV53" s="42"/>
      <c r="ATW53" s="42"/>
      <c r="ATX53" s="42"/>
      <c r="ATY53" s="42"/>
      <c r="ATZ53" s="42"/>
      <c r="AUA53" s="2"/>
      <c r="AUB53" s="15"/>
      <c r="AUC53" s="42"/>
      <c r="AUD53" s="2"/>
      <c r="AUE53" s="2"/>
      <c r="AUF53" s="2"/>
      <c r="AUG53" s="2"/>
      <c r="AUH53" s="42"/>
      <c r="AUI53" s="42"/>
      <c r="AUJ53" s="42"/>
      <c r="AUK53" s="42"/>
      <c r="AUL53" s="42"/>
      <c r="AUM53" s="42"/>
      <c r="AUN53" s="42"/>
      <c r="AUO53" s="42"/>
      <c r="AUP53" s="42"/>
      <c r="AUQ53" s="42"/>
      <c r="AUR53" s="42"/>
      <c r="AUS53" s="42"/>
      <c r="AUT53" s="42"/>
      <c r="AUU53" s="42"/>
      <c r="AUV53" s="42"/>
      <c r="AUW53" s="42"/>
      <c r="AUX53" s="42"/>
      <c r="AUY53" s="42"/>
      <c r="AUZ53" s="42"/>
      <c r="AVA53" s="42"/>
      <c r="AVB53" s="42"/>
      <c r="AVC53" s="42"/>
      <c r="AVD53" s="42"/>
      <c r="AVE53" s="2"/>
      <c r="AVF53" s="15"/>
      <c r="AVG53" s="42"/>
      <c r="AVH53" s="2"/>
      <c r="AVI53" s="2"/>
      <c r="AVJ53" s="2"/>
      <c r="AVK53" s="2"/>
      <c r="AVL53" s="42"/>
      <c r="AVM53" s="42"/>
      <c r="AVN53" s="42"/>
      <c r="AVO53" s="42"/>
      <c r="AVP53" s="42"/>
      <c r="AVQ53" s="42"/>
      <c r="AVR53" s="42"/>
      <c r="AVS53" s="42"/>
      <c r="AVT53" s="42"/>
      <c r="AVU53" s="42"/>
      <c r="AVV53" s="42"/>
      <c r="AVW53" s="42"/>
      <c r="AVX53" s="42"/>
      <c r="AVY53" s="42"/>
      <c r="AVZ53" s="42"/>
      <c r="AWA53" s="42"/>
      <c r="AWB53" s="42"/>
      <c r="AWC53" s="42"/>
      <c r="AWD53" s="42"/>
      <c r="AWE53" s="42"/>
      <c r="AWF53" s="42"/>
      <c r="AWG53" s="42"/>
      <c r="AWH53" s="42"/>
      <c r="AWI53" s="2"/>
      <c r="AWJ53" s="15"/>
      <c r="AWK53" s="42"/>
      <c r="AWL53" s="2"/>
      <c r="AWM53" s="2"/>
      <c r="AWN53" s="2"/>
      <c r="AWO53" s="2"/>
      <c r="AWP53" s="42"/>
      <c r="AWQ53" s="42"/>
      <c r="AWR53" s="42"/>
      <c r="AWS53" s="42"/>
      <c r="AWT53" s="42"/>
      <c r="AWU53" s="42"/>
      <c r="AWV53" s="42"/>
      <c r="AWW53" s="42"/>
      <c r="AWX53" s="42"/>
      <c r="AWY53" s="42"/>
      <c r="AWZ53" s="42"/>
      <c r="AXA53" s="42"/>
      <c r="AXB53" s="42"/>
      <c r="AXC53" s="42"/>
      <c r="AXD53" s="42"/>
      <c r="AXE53" s="42"/>
      <c r="AXF53" s="42"/>
      <c r="AXG53" s="42"/>
      <c r="AXH53" s="42"/>
      <c r="AXI53" s="42"/>
      <c r="AXJ53" s="42"/>
      <c r="AXK53" s="42"/>
      <c r="AXL53" s="42"/>
      <c r="AXM53" s="2"/>
      <c r="AXN53" s="15"/>
      <c r="AXO53" s="42"/>
      <c r="AXP53" s="2"/>
      <c r="AXQ53" s="2"/>
      <c r="AXR53" s="2"/>
      <c r="AXS53" s="2"/>
      <c r="AXT53" s="42"/>
      <c r="AXU53" s="42"/>
      <c r="AXV53" s="42"/>
      <c r="AXW53" s="42"/>
      <c r="AXX53" s="42"/>
      <c r="AXY53" s="42"/>
      <c r="AXZ53" s="42"/>
      <c r="AYA53" s="42"/>
      <c r="AYB53" s="42"/>
      <c r="AYC53" s="42"/>
      <c r="AYD53" s="42"/>
      <c r="AYE53" s="42"/>
      <c r="AYF53" s="42"/>
      <c r="AYG53" s="42"/>
      <c r="AYH53" s="42"/>
      <c r="AYI53" s="42"/>
      <c r="AYJ53" s="42"/>
      <c r="AYK53" s="42"/>
      <c r="AYL53" s="42"/>
      <c r="AYM53" s="42"/>
      <c r="AYN53" s="42"/>
      <c r="AYO53" s="42"/>
      <c r="AYP53" s="42"/>
      <c r="AYQ53" s="2"/>
      <c r="AYR53" s="15"/>
      <c r="AYS53" s="42"/>
      <c r="AYT53" s="2"/>
      <c r="AYU53" s="2"/>
      <c r="AYV53" s="2"/>
      <c r="AYW53" s="2"/>
      <c r="AYX53" s="42"/>
      <c r="AYY53" s="42"/>
      <c r="AYZ53" s="42"/>
      <c r="AZA53" s="42"/>
      <c r="AZB53" s="42"/>
      <c r="AZC53" s="42"/>
      <c r="AZD53" s="42"/>
      <c r="AZE53" s="42"/>
      <c r="AZF53" s="42"/>
      <c r="AZG53" s="42"/>
      <c r="AZH53" s="42"/>
      <c r="AZI53" s="42"/>
      <c r="AZJ53" s="42"/>
      <c r="AZK53" s="42"/>
      <c r="AZL53" s="42"/>
      <c r="AZM53" s="42"/>
      <c r="AZN53" s="42"/>
      <c r="AZO53" s="42"/>
      <c r="AZP53" s="42"/>
      <c r="AZQ53" s="42"/>
      <c r="AZR53" s="42"/>
      <c r="AZS53" s="42"/>
      <c r="AZT53" s="42"/>
      <c r="AZU53" s="2"/>
      <c r="AZV53" s="15"/>
      <c r="AZW53" s="42"/>
      <c r="AZX53" s="2"/>
      <c r="AZY53" s="2"/>
      <c r="AZZ53" s="2"/>
      <c r="BAA53" s="2"/>
      <c r="BAB53" s="42"/>
      <c r="BAC53" s="42"/>
      <c r="BAD53" s="42"/>
      <c r="BAE53" s="42"/>
      <c r="BAF53" s="42"/>
      <c r="BAG53" s="42"/>
      <c r="BAH53" s="42"/>
      <c r="BAI53" s="42"/>
      <c r="BAJ53" s="42"/>
      <c r="BAK53" s="42"/>
      <c r="BAL53" s="42"/>
      <c r="BAM53" s="42"/>
      <c r="BAN53" s="42"/>
      <c r="BAO53" s="42"/>
      <c r="BAP53" s="42"/>
      <c r="BAQ53" s="42"/>
      <c r="BAR53" s="42"/>
      <c r="BAS53" s="42"/>
      <c r="BAT53" s="42"/>
      <c r="BAU53" s="42"/>
      <c r="BAV53" s="42"/>
      <c r="BAW53" s="42"/>
      <c r="BAX53" s="42"/>
      <c r="BAY53" s="2"/>
      <c r="BAZ53" s="15"/>
      <c r="BBA53" s="42"/>
      <c r="BBB53" s="2"/>
      <c r="BBC53" s="2"/>
      <c r="BBD53" s="2"/>
      <c r="BBE53" s="2"/>
      <c r="BBF53" s="42"/>
      <c r="BBG53" s="42"/>
      <c r="BBH53" s="42"/>
      <c r="BBI53" s="42"/>
      <c r="BBJ53" s="42"/>
      <c r="BBK53" s="42"/>
      <c r="BBL53" s="42"/>
      <c r="BBM53" s="42"/>
      <c r="BBN53" s="42"/>
      <c r="BBO53" s="42"/>
      <c r="BBP53" s="42"/>
      <c r="BBQ53" s="42"/>
      <c r="BBR53" s="42"/>
      <c r="BBS53" s="42"/>
      <c r="BBT53" s="42"/>
      <c r="BBU53" s="42"/>
      <c r="BBV53" s="42"/>
      <c r="BBW53" s="42"/>
      <c r="BBX53" s="42"/>
      <c r="BBY53" s="42"/>
      <c r="BBZ53" s="42"/>
      <c r="BCA53" s="42"/>
      <c r="BCB53" s="42"/>
      <c r="BCC53" s="2"/>
      <c r="BCD53" s="15"/>
      <c r="BCE53" s="42"/>
      <c r="BCF53" s="2"/>
      <c r="BCG53" s="2"/>
      <c r="BCH53" s="2"/>
      <c r="BCI53" s="2"/>
      <c r="BCJ53" s="42"/>
      <c r="BCK53" s="42"/>
      <c r="BCL53" s="42"/>
      <c r="BCM53" s="42"/>
      <c r="BCN53" s="42"/>
      <c r="BCO53" s="42"/>
      <c r="BCP53" s="42"/>
      <c r="BCQ53" s="42"/>
      <c r="BCR53" s="42"/>
      <c r="BCS53" s="42"/>
      <c r="BCT53" s="42"/>
      <c r="BCU53" s="42"/>
      <c r="BCV53" s="42"/>
      <c r="BCW53" s="42"/>
      <c r="BCX53" s="42"/>
      <c r="BCY53" s="42"/>
      <c r="BCZ53" s="42"/>
      <c r="BDA53" s="42"/>
      <c r="BDB53" s="42"/>
      <c r="BDC53" s="42"/>
      <c r="BDD53" s="42"/>
      <c r="BDE53" s="42"/>
      <c r="BDF53" s="42"/>
      <c r="BDG53" s="2"/>
      <c r="BDH53" s="15"/>
      <c r="BDI53" s="42"/>
      <c r="BDJ53" s="2"/>
      <c r="BDK53" s="2"/>
      <c r="BDL53" s="2"/>
      <c r="BDM53" s="2"/>
      <c r="BDN53" s="42"/>
      <c r="BDO53" s="42"/>
      <c r="BDP53" s="42"/>
      <c r="BDQ53" s="42"/>
      <c r="BDR53" s="42"/>
      <c r="BDS53" s="42"/>
      <c r="BDT53" s="42"/>
      <c r="BDU53" s="42"/>
      <c r="BDV53" s="42"/>
      <c r="BDW53" s="42"/>
      <c r="BDX53" s="42"/>
      <c r="BDY53" s="42"/>
      <c r="BDZ53" s="42"/>
      <c r="BEA53" s="42"/>
      <c r="BEB53" s="42"/>
      <c r="BEC53" s="42"/>
      <c r="BED53" s="42"/>
      <c r="BEE53" s="42"/>
      <c r="BEF53" s="42"/>
      <c r="BEG53" s="42"/>
      <c r="BEH53" s="42"/>
      <c r="BEI53" s="42"/>
      <c r="BEJ53" s="42"/>
      <c r="BEK53" s="2"/>
      <c r="BEL53" s="15"/>
      <c r="BEM53" s="42"/>
      <c r="BEN53" s="2"/>
      <c r="BEO53" s="2"/>
      <c r="BEP53" s="2"/>
      <c r="BEQ53" s="2"/>
      <c r="BER53" s="42"/>
      <c r="BES53" s="42"/>
      <c r="BET53" s="42"/>
      <c r="BEU53" s="42"/>
      <c r="BEV53" s="42"/>
      <c r="BEW53" s="42"/>
      <c r="BEX53" s="42"/>
      <c r="BEY53" s="42"/>
      <c r="BEZ53" s="42"/>
      <c r="BFA53" s="42"/>
      <c r="BFB53" s="42"/>
      <c r="BFC53" s="42"/>
      <c r="BFD53" s="42"/>
      <c r="BFE53" s="42"/>
      <c r="BFF53" s="42"/>
      <c r="BFG53" s="42"/>
      <c r="BFH53" s="42"/>
      <c r="BFI53" s="42"/>
      <c r="BFJ53" s="42"/>
      <c r="BFK53" s="42"/>
      <c r="BFL53" s="42"/>
      <c r="BFM53" s="42"/>
      <c r="BFN53" s="42"/>
      <c r="BFO53" s="2"/>
      <c r="BFP53" s="15"/>
      <c r="BFQ53" s="42"/>
      <c r="BFR53" s="2"/>
      <c r="BFS53" s="2"/>
      <c r="BFT53" s="2"/>
      <c r="BFU53" s="2"/>
      <c r="BFV53" s="42"/>
      <c r="BFW53" s="42"/>
      <c r="BFX53" s="42"/>
      <c r="BFY53" s="42"/>
      <c r="BFZ53" s="42"/>
      <c r="BGA53" s="42"/>
      <c r="BGB53" s="42"/>
      <c r="BGC53" s="42"/>
      <c r="BGD53" s="42"/>
      <c r="BGE53" s="42"/>
      <c r="BGF53" s="42"/>
      <c r="BGG53" s="42"/>
      <c r="BGH53" s="42"/>
      <c r="BGI53" s="42"/>
      <c r="BGJ53" s="42"/>
      <c r="BGK53" s="42"/>
      <c r="BGL53" s="42"/>
      <c r="BGM53" s="42"/>
      <c r="BGN53" s="42"/>
      <c r="BGO53" s="42"/>
      <c r="BGP53" s="42"/>
      <c r="BGQ53" s="42"/>
      <c r="BGR53" s="42"/>
      <c r="BGS53" s="2"/>
      <c r="BGT53" s="15"/>
      <c r="BGU53" s="42"/>
      <c r="BGV53" s="2"/>
      <c r="BGW53" s="2"/>
      <c r="BGX53" s="2"/>
      <c r="BGY53" s="2"/>
      <c r="BGZ53" s="42"/>
      <c r="BHA53" s="42"/>
      <c r="BHB53" s="42"/>
      <c r="BHC53" s="42"/>
      <c r="BHD53" s="42"/>
      <c r="BHE53" s="42"/>
      <c r="BHF53" s="42"/>
      <c r="BHG53" s="42"/>
      <c r="BHH53" s="42"/>
      <c r="BHI53" s="42"/>
      <c r="BHJ53" s="42"/>
      <c r="BHK53" s="42"/>
      <c r="BHL53" s="42"/>
      <c r="BHM53" s="42"/>
      <c r="BHN53" s="42"/>
      <c r="BHO53" s="42"/>
      <c r="BHP53" s="42"/>
      <c r="BHQ53" s="42"/>
      <c r="BHR53" s="42"/>
      <c r="BHS53" s="42"/>
      <c r="BHT53" s="42"/>
      <c r="BHU53" s="42"/>
      <c r="BHV53" s="42"/>
      <c r="BHW53" s="2"/>
      <c r="BHX53" s="15"/>
      <c r="BHY53" s="42"/>
      <c r="BHZ53" s="2"/>
      <c r="BIA53" s="2"/>
      <c r="BIB53" s="2"/>
      <c r="BIC53" s="2"/>
      <c r="BID53" s="42"/>
      <c r="BIE53" s="42"/>
      <c r="BIF53" s="42"/>
      <c r="BIG53" s="42"/>
      <c r="BIH53" s="42"/>
      <c r="BII53" s="42"/>
      <c r="BIJ53" s="42"/>
      <c r="BIK53" s="42"/>
      <c r="BIL53" s="42"/>
      <c r="BIM53" s="42"/>
      <c r="BIN53" s="42"/>
      <c r="BIO53" s="42"/>
      <c r="BIP53" s="42"/>
      <c r="BIQ53" s="42"/>
      <c r="BIR53" s="42"/>
      <c r="BIS53" s="42"/>
      <c r="BIT53" s="42"/>
      <c r="BIU53" s="42"/>
      <c r="BIV53" s="42"/>
      <c r="BIW53" s="42"/>
      <c r="BIX53" s="42"/>
      <c r="BIY53" s="42"/>
      <c r="BIZ53" s="42"/>
      <c r="BJA53" s="2"/>
      <c r="BJB53" s="15"/>
      <c r="BJC53" s="42"/>
      <c r="BJD53" s="2"/>
      <c r="BJE53" s="2"/>
      <c r="BJF53" s="2"/>
      <c r="BJG53" s="2"/>
      <c r="BJH53" s="42"/>
      <c r="BJI53" s="42"/>
      <c r="BJJ53" s="42"/>
      <c r="BJK53" s="42"/>
      <c r="BJL53" s="42"/>
      <c r="BJM53" s="42"/>
      <c r="BJN53" s="42"/>
      <c r="BJO53" s="42"/>
      <c r="BJP53" s="42"/>
      <c r="BJQ53" s="42"/>
      <c r="BJR53" s="42"/>
      <c r="BJS53" s="42"/>
      <c r="BJT53" s="42"/>
      <c r="BJU53" s="42"/>
      <c r="BJV53" s="42"/>
      <c r="BJW53" s="42"/>
      <c r="BJX53" s="42"/>
      <c r="BJY53" s="42"/>
      <c r="BJZ53" s="42"/>
      <c r="BKA53" s="42"/>
      <c r="BKB53" s="42"/>
      <c r="BKC53" s="42"/>
      <c r="BKD53" s="42"/>
      <c r="BKE53" s="2"/>
      <c r="BKF53" s="15"/>
      <c r="BKG53" s="42"/>
      <c r="BKH53" s="2"/>
      <c r="BKI53" s="2"/>
      <c r="BKJ53" s="2"/>
      <c r="BKK53" s="2"/>
      <c r="BKL53" s="42"/>
      <c r="BKM53" s="42"/>
      <c r="BKN53" s="42"/>
      <c r="BKO53" s="42"/>
      <c r="BKP53" s="42"/>
      <c r="BKQ53" s="42"/>
      <c r="BKR53" s="42"/>
      <c r="BKS53" s="42"/>
      <c r="BKT53" s="42"/>
      <c r="BKU53" s="42"/>
      <c r="BKV53" s="42"/>
      <c r="BKW53" s="42"/>
      <c r="BKX53" s="42"/>
      <c r="BKY53" s="42"/>
      <c r="BKZ53" s="42"/>
      <c r="BLA53" s="42"/>
      <c r="BLB53" s="42"/>
      <c r="BLC53" s="42"/>
      <c r="BLD53" s="42"/>
      <c r="BLE53" s="42"/>
      <c r="BLF53" s="42"/>
      <c r="BLG53" s="42"/>
      <c r="BLH53" s="42"/>
      <c r="BLI53" s="2"/>
      <c r="BLJ53" s="15"/>
      <c r="BLK53" s="42"/>
      <c r="BLL53" s="2"/>
      <c r="BLM53" s="2"/>
      <c r="BLN53" s="2"/>
      <c r="BLO53" s="2"/>
      <c r="BLP53" s="42"/>
      <c r="BLQ53" s="42"/>
      <c r="BLR53" s="42"/>
      <c r="BLS53" s="42"/>
      <c r="BLT53" s="42"/>
      <c r="BLU53" s="42"/>
      <c r="BLV53" s="42"/>
      <c r="BLW53" s="42"/>
      <c r="BLX53" s="42"/>
      <c r="BLY53" s="42"/>
      <c r="BLZ53" s="42"/>
      <c r="BMA53" s="42"/>
      <c r="BMB53" s="42"/>
      <c r="BMC53" s="42"/>
      <c r="BMD53" s="42"/>
      <c r="BME53" s="42"/>
      <c r="BMF53" s="42"/>
      <c r="BMG53" s="42"/>
      <c r="BMH53" s="42"/>
      <c r="BMI53" s="42"/>
      <c r="BMJ53" s="42"/>
      <c r="BMK53" s="42"/>
      <c r="BML53" s="42"/>
      <c r="BMM53" s="2"/>
      <c r="BMN53" s="15"/>
      <c r="BMO53" s="42"/>
      <c r="BMP53" s="2"/>
      <c r="BMQ53" s="2"/>
      <c r="BMR53" s="2"/>
      <c r="BMS53" s="2"/>
      <c r="BMT53" s="42"/>
      <c r="BMU53" s="42"/>
      <c r="BMV53" s="42"/>
      <c r="BMW53" s="42"/>
      <c r="BMX53" s="42"/>
      <c r="BMY53" s="42"/>
      <c r="BMZ53" s="42"/>
      <c r="BNA53" s="42"/>
      <c r="BNB53" s="42"/>
      <c r="BNC53" s="42"/>
      <c r="BND53" s="42"/>
      <c r="BNE53" s="42"/>
      <c r="BNF53" s="42"/>
      <c r="BNG53" s="42"/>
      <c r="BNH53" s="42"/>
      <c r="BNI53" s="42"/>
      <c r="BNJ53" s="42"/>
      <c r="BNK53" s="42"/>
      <c r="BNL53" s="42"/>
      <c r="BNM53" s="42"/>
      <c r="BNN53" s="42"/>
      <c r="BNO53" s="42"/>
      <c r="BNP53" s="42"/>
      <c r="BNQ53" s="2"/>
      <c r="BNR53" s="15"/>
      <c r="BNS53" s="42"/>
      <c r="BNT53" s="2"/>
      <c r="BNU53" s="2"/>
      <c r="BNV53" s="2"/>
      <c r="BNW53" s="2"/>
      <c r="BNX53" s="42"/>
      <c r="BNY53" s="42"/>
      <c r="BNZ53" s="42"/>
      <c r="BOA53" s="42"/>
      <c r="BOB53" s="42"/>
      <c r="BOC53" s="42"/>
      <c r="BOD53" s="42"/>
      <c r="BOE53" s="42"/>
      <c r="BOF53" s="42"/>
      <c r="BOG53" s="42"/>
      <c r="BOH53" s="42"/>
      <c r="BOI53" s="42"/>
      <c r="BOJ53" s="42"/>
      <c r="BOK53" s="42"/>
      <c r="BOL53" s="42"/>
      <c r="BOM53" s="42"/>
      <c r="BON53" s="42"/>
      <c r="BOO53" s="42"/>
      <c r="BOP53" s="42"/>
      <c r="BOQ53" s="42"/>
      <c r="BOR53" s="42"/>
      <c r="BOS53" s="42"/>
      <c r="BOT53" s="42"/>
      <c r="BOU53" s="2"/>
      <c r="BOV53" s="15"/>
      <c r="BOW53" s="42"/>
      <c r="BOX53" s="2"/>
      <c r="BOY53" s="2"/>
      <c r="BOZ53" s="2"/>
      <c r="BPA53" s="2"/>
      <c r="BPB53" s="42"/>
      <c r="BPC53" s="42"/>
      <c r="BPD53" s="42"/>
      <c r="BPE53" s="42"/>
      <c r="BPF53" s="42"/>
      <c r="BPG53" s="42"/>
      <c r="BPH53" s="42"/>
      <c r="BPI53" s="42"/>
      <c r="BPJ53" s="42"/>
      <c r="BPK53" s="42"/>
      <c r="BPL53" s="42"/>
      <c r="BPM53" s="42"/>
      <c r="BPN53" s="42"/>
      <c r="BPO53" s="42"/>
      <c r="BPP53" s="42"/>
      <c r="BPQ53" s="42"/>
      <c r="BPR53" s="42"/>
      <c r="BPS53" s="42"/>
      <c r="BPT53" s="42"/>
      <c r="BPU53" s="42"/>
      <c r="BPV53" s="42"/>
      <c r="BPW53" s="42"/>
      <c r="BPX53" s="42"/>
      <c r="BPY53" s="2"/>
      <c r="BPZ53" s="15"/>
      <c r="BQA53" s="42"/>
      <c r="BQB53" s="2"/>
      <c r="BQC53" s="2"/>
      <c r="BQD53" s="2"/>
      <c r="BQE53" s="2"/>
      <c r="BQF53" s="42"/>
      <c r="BQG53" s="42"/>
      <c r="BQH53" s="42"/>
      <c r="BQI53" s="42"/>
      <c r="BQJ53" s="42"/>
      <c r="BQK53" s="42"/>
      <c r="BQL53" s="42"/>
      <c r="BQM53" s="42"/>
      <c r="BQN53" s="42"/>
      <c r="BQO53" s="42"/>
      <c r="BQP53" s="42"/>
      <c r="BQQ53" s="42"/>
      <c r="BQR53" s="42"/>
      <c r="BQS53" s="42"/>
      <c r="BQT53" s="42"/>
      <c r="BQU53" s="42"/>
      <c r="BQV53" s="42"/>
      <c r="BQW53" s="42"/>
      <c r="BQX53" s="42"/>
      <c r="BQY53" s="42"/>
      <c r="BQZ53" s="42"/>
      <c r="BRA53" s="42"/>
      <c r="BRB53" s="42"/>
      <c r="BRC53" s="2"/>
      <c r="BRD53" s="15"/>
      <c r="BRE53" s="42"/>
      <c r="BRF53" s="2"/>
      <c r="BRG53" s="2"/>
      <c r="BRH53" s="2"/>
      <c r="BRI53" s="2"/>
      <c r="BRJ53" s="42"/>
      <c r="BRK53" s="42"/>
      <c r="BRL53" s="42"/>
      <c r="BRM53" s="42"/>
      <c r="BRN53" s="42"/>
      <c r="BRO53" s="42"/>
      <c r="BRP53" s="42"/>
      <c r="BRQ53" s="42"/>
      <c r="BRR53" s="42"/>
      <c r="BRS53" s="42"/>
      <c r="BRT53" s="42"/>
      <c r="BRU53" s="42"/>
      <c r="BRV53" s="42"/>
      <c r="BRW53" s="42"/>
      <c r="BRX53" s="42"/>
      <c r="BRY53" s="42"/>
      <c r="BRZ53" s="42"/>
      <c r="BSA53" s="42"/>
      <c r="BSB53" s="42"/>
      <c r="BSC53" s="42"/>
      <c r="BSD53" s="42"/>
      <c r="BSE53" s="42"/>
      <c r="BSF53" s="42"/>
      <c r="BSG53" s="2"/>
      <c r="BSH53" s="15"/>
      <c r="BSI53" s="42"/>
      <c r="BSJ53" s="2"/>
      <c r="BSK53" s="2"/>
      <c r="BSL53" s="2"/>
      <c r="BSM53" s="2"/>
      <c r="BSN53" s="42"/>
      <c r="BSO53" s="42"/>
      <c r="BSP53" s="42"/>
      <c r="BSQ53" s="42"/>
      <c r="BSR53" s="42"/>
      <c r="BSS53" s="42"/>
      <c r="BST53" s="42"/>
      <c r="BSU53" s="42"/>
      <c r="BSV53" s="42"/>
      <c r="BSW53" s="42"/>
      <c r="BSX53" s="42"/>
      <c r="BSY53" s="42"/>
      <c r="BSZ53" s="42"/>
      <c r="BTA53" s="42"/>
      <c r="BTB53" s="42"/>
      <c r="BTC53" s="42"/>
      <c r="BTD53" s="42"/>
      <c r="BTE53" s="42"/>
      <c r="BTF53" s="42"/>
      <c r="BTG53" s="42"/>
      <c r="BTH53" s="42"/>
      <c r="BTI53" s="42"/>
      <c r="BTJ53" s="42"/>
      <c r="BTK53" s="2"/>
      <c r="BTL53" s="15"/>
      <c r="BTM53" s="42"/>
      <c r="BTN53" s="2"/>
      <c r="BTO53" s="2"/>
      <c r="BTP53" s="2"/>
      <c r="BTQ53" s="2"/>
      <c r="BTR53" s="42"/>
      <c r="BTS53" s="42"/>
      <c r="BTT53" s="42"/>
      <c r="BTU53" s="42"/>
      <c r="BTV53" s="42"/>
      <c r="BTW53" s="42"/>
      <c r="BTX53" s="42"/>
      <c r="BTY53" s="42"/>
      <c r="BTZ53" s="42"/>
      <c r="BUA53" s="42"/>
      <c r="BUB53" s="42"/>
      <c r="BUC53" s="42"/>
      <c r="BUD53" s="42"/>
      <c r="BUE53" s="42"/>
      <c r="BUF53" s="42"/>
      <c r="BUG53" s="42"/>
      <c r="BUH53" s="42"/>
      <c r="BUI53" s="42"/>
      <c r="BUJ53" s="42"/>
      <c r="BUK53" s="42"/>
      <c r="BUL53" s="42"/>
      <c r="BUM53" s="42"/>
      <c r="BUN53" s="42"/>
      <c r="BUO53" s="2"/>
      <c r="BUP53" s="15"/>
      <c r="BUQ53" s="42"/>
      <c r="BUR53" s="2"/>
      <c r="BUS53" s="2"/>
      <c r="BUT53" s="2"/>
      <c r="BUU53" s="2"/>
      <c r="BUV53" s="42"/>
      <c r="BUW53" s="42"/>
      <c r="BUX53" s="42"/>
      <c r="BUY53" s="42"/>
      <c r="BUZ53" s="42"/>
      <c r="BVA53" s="42"/>
      <c r="BVB53" s="42"/>
      <c r="BVC53" s="42"/>
      <c r="BVD53" s="42"/>
      <c r="BVE53" s="42"/>
      <c r="BVF53" s="42"/>
      <c r="BVG53" s="42"/>
      <c r="BVH53" s="42"/>
      <c r="BVI53" s="42"/>
      <c r="BVJ53" s="42"/>
      <c r="BVK53" s="42"/>
      <c r="BVL53" s="42"/>
      <c r="BVM53" s="42"/>
      <c r="BVN53" s="42"/>
      <c r="BVO53" s="42"/>
      <c r="BVP53" s="42"/>
      <c r="BVQ53" s="42"/>
      <c r="BVR53" s="42"/>
      <c r="BVS53" s="2"/>
      <c r="BVT53" s="15"/>
      <c r="BVU53" s="42"/>
      <c r="BVV53" s="2"/>
      <c r="BVW53" s="2"/>
      <c r="BVX53" s="2"/>
      <c r="BVY53" s="2"/>
      <c r="BVZ53" s="42"/>
      <c r="BWA53" s="42"/>
      <c r="BWB53" s="42"/>
      <c r="BWC53" s="42"/>
      <c r="BWD53" s="42"/>
      <c r="BWE53" s="42"/>
      <c r="BWF53" s="42"/>
      <c r="BWG53" s="42"/>
      <c r="BWH53" s="42"/>
      <c r="BWI53" s="42"/>
      <c r="BWJ53" s="42"/>
      <c r="BWK53" s="42"/>
      <c r="BWL53" s="42"/>
      <c r="BWM53" s="42"/>
      <c r="BWN53" s="42"/>
      <c r="BWO53" s="42"/>
      <c r="BWP53" s="42"/>
      <c r="BWQ53" s="42"/>
      <c r="BWR53" s="42"/>
      <c r="BWS53" s="42"/>
      <c r="BWT53" s="42"/>
      <c r="BWU53" s="42"/>
      <c r="BWV53" s="42"/>
      <c r="BWW53" s="2"/>
      <c r="BWX53" s="15"/>
      <c r="BWY53" s="42"/>
      <c r="BWZ53" s="2"/>
      <c r="BXA53" s="2"/>
      <c r="BXB53" s="2"/>
      <c r="BXC53" s="2"/>
      <c r="BXD53" s="42"/>
      <c r="BXE53" s="42"/>
      <c r="BXF53" s="42"/>
      <c r="BXG53" s="42"/>
      <c r="BXH53" s="42"/>
      <c r="BXI53" s="42"/>
      <c r="BXJ53" s="42"/>
      <c r="BXK53" s="42"/>
      <c r="BXL53" s="42"/>
      <c r="BXM53" s="42"/>
      <c r="BXN53" s="42"/>
      <c r="BXO53" s="42"/>
      <c r="BXP53" s="42"/>
      <c r="BXQ53" s="42"/>
      <c r="BXR53" s="42"/>
      <c r="BXS53" s="42"/>
      <c r="BXT53" s="42"/>
      <c r="BXU53" s="42"/>
      <c r="BXV53" s="42"/>
      <c r="BXW53" s="42"/>
      <c r="BXX53" s="42"/>
      <c r="BXY53" s="42"/>
      <c r="BXZ53" s="42"/>
      <c r="BYA53" s="2"/>
      <c r="BYB53" s="15"/>
      <c r="BYC53" s="42"/>
      <c r="BYD53" s="2"/>
      <c r="BYE53" s="2"/>
      <c r="BYF53" s="2"/>
      <c r="BYG53" s="2"/>
      <c r="BYH53" s="42"/>
      <c r="BYI53" s="42"/>
      <c r="BYJ53" s="42"/>
      <c r="BYK53" s="42"/>
      <c r="BYL53" s="42"/>
      <c r="BYM53" s="42"/>
      <c r="BYN53" s="42"/>
      <c r="BYO53" s="42"/>
      <c r="BYP53" s="42"/>
      <c r="BYQ53" s="42"/>
      <c r="BYR53" s="42"/>
      <c r="BYS53" s="42"/>
      <c r="BYT53" s="42"/>
      <c r="BYU53" s="42"/>
      <c r="BYV53" s="42"/>
      <c r="BYW53" s="42"/>
      <c r="BYX53" s="42"/>
      <c r="BYY53" s="42"/>
      <c r="BYZ53" s="42"/>
      <c r="BZA53" s="42"/>
      <c r="BZB53" s="42"/>
      <c r="BZC53" s="42"/>
      <c r="BZD53" s="42"/>
      <c r="BZE53" s="2"/>
      <c r="BZF53" s="15"/>
      <c r="BZG53" s="42"/>
      <c r="BZH53" s="2"/>
      <c r="BZI53" s="2"/>
      <c r="BZJ53" s="2"/>
      <c r="BZK53" s="2"/>
      <c r="BZL53" s="42"/>
      <c r="BZM53" s="42"/>
      <c r="BZN53" s="42"/>
      <c r="BZO53" s="42"/>
      <c r="BZP53" s="42"/>
      <c r="BZQ53" s="42"/>
      <c r="BZR53" s="42"/>
      <c r="BZS53" s="42"/>
      <c r="BZT53" s="42"/>
      <c r="BZU53" s="42"/>
      <c r="BZV53" s="42"/>
      <c r="BZW53" s="42"/>
      <c r="BZX53" s="42"/>
      <c r="BZY53" s="42"/>
      <c r="BZZ53" s="42"/>
      <c r="CAA53" s="42"/>
      <c r="CAB53" s="42"/>
      <c r="CAC53" s="42"/>
      <c r="CAD53" s="42"/>
      <c r="CAE53" s="42"/>
      <c r="CAF53" s="42"/>
      <c r="CAG53" s="42"/>
      <c r="CAH53" s="42"/>
      <c r="CAI53" s="2"/>
      <c r="CAJ53" s="15"/>
      <c r="CAK53" s="42"/>
      <c r="CAL53" s="2"/>
      <c r="CAM53" s="2"/>
      <c r="CAN53" s="2"/>
      <c r="CAO53" s="2"/>
      <c r="CAP53" s="42"/>
      <c r="CAQ53" s="42"/>
      <c r="CAR53" s="42"/>
      <c r="CAS53" s="42"/>
      <c r="CAT53" s="42"/>
      <c r="CAU53" s="42"/>
      <c r="CAV53" s="42"/>
      <c r="CAW53" s="42"/>
      <c r="CAX53" s="42"/>
      <c r="CAY53" s="42"/>
      <c r="CAZ53" s="42"/>
      <c r="CBA53" s="42"/>
      <c r="CBB53" s="42"/>
      <c r="CBC53" s="42"/>
      <c r="CBD53" s="42"/>
      <c r="CBE53" s="42"/>
      <c r="CBF53" s="42"/>
      <c r="CBG53" s="42"/>
      <c r="CBH53" s="42"/>
      <c r="CBI53" s="42"/>
      <c r="CBJ53" s="42"/>
      <c r="CBK53" s="42"/>
      <c r="CBL53" s="42"/>
      <c r="CBM53" s="2"/>
      <c r="CBN53" s="15"/>
      <c r="CBO53" s="42"/>
      <c r="CBP53" s="2"/>
      <c r="CBQ53" s="2"/>
      <c r="CBR53" s="2"/>
      <c r="CBS53" s="2"/>
      <c r="CBT53" s="42"/>
      <c r="CBU53" s="42"/>
      <c r="CBV53" s="42"/>
      <c r="CBW53" s="42"/>
      <c r="CBX53" s="42"/>
      <c r="CBY53" s="42"/>
      <c r="CBZ53" s="42"/>
      <c r="CCA53" s="42"/>
      <c r="CCB53" s="42"/>
      <c r="CCC53" s="42"/>
      <c r="CCD53" s="42"/>
      <c r="CCE53" s="42"/>
      <c r="CCF53" s="42"/>
      <c r="CCG53" s="42"/>
      <c r="CCH53" s="42"/>
      <c r="CCI53" s="42"/>
      <c r="CCJ53" s="42"/>
      <c r="CCK53" s="42"/>
      <c r="CCL53" s="42"/>
      <c r="CCM53" s="42"/>
      <c r="CCN53" s="42"/>
      <c r="CCO53" s="42"/>
      <c r="CCP53" s="42"/>
      <c r="CCQ53" s="2"/>
      <c r="CCR53" s="15"/>
      <c r="CCS53" s="42"/>
      <c r="CCT53" s="2"/>
      <c r="CCU53" s="2"/>
      <c r="CCV53" s="2"/>
      <c r="CCW53" s="2"/>
      <c r="CCX53" s="42"/>
      <c r="CCY53" s="42"/>
      <c r="CCZ53" s="42"/>
      <c r="CDA53" s="42"/>
      <c r="CDB53" s="42"/>
      <c r="CDC53" s="42"/>
      <c r="CDD53" s="42"/>
      <c r="CDE53" s="42"/>
      <c r="CDF53" s="42"/>
      <c r="CDG53" s="42"/>
      <c r="CDH53" s="42"/>
      <c r="CDI53" s="42"/>
      <c r="CDJ53" s="42"/>
      <c r="CDK53" s="42"/>
      <c r="CDL53" s="42"/>
      <c r="CDM53" s="42"/>
      <c r="CDN53" s="42"/>
      <c r="CDO53" s="42"/>
      <c r="CDP53" s="42"/>
      <c r="CDQ53" s="42"/>
      <c r="CDR53" s="42"/>
      <c r="CDS53" s="42"/>
      <c r="CDT53" s="42"/>
      <c r="CDU53" s="2"/>
      <c r="CDV53" s="15"/>
      <c r="CDW53" s="42"/>
      <c r="CDX53" s="2"/>
      <c r="CDY53" s="2"/>
      <c r="CDZ53" s="2"/>
      <c r="CEA53" s="2"/>
      <c r="CEB53" s="42"/>
      <c r="CEC53" s="42"/>
      <c r="CED53" s="42"/>
      <c r="CEE53" s="42"/>
      <c r="CEF53" s="42"/>
      <c r="CEG53" s="42"/>
      <c r="CEH53" s="42"/>
      <c r="CEI53" s="42"/>
      <c r="CEJ53" s="42"/>
      <c r="CEK53" s="42"/>
      <c r="CEL53" s="42"/>
      <c r="CEM53" s="42"/>
      <c r="CEN53" s="42"/>
      <c r="CEO53" s="42"/>
      <c r="CEP53" s="42"/>
      <c r="CEQ53" s="42"/>
      <c r="CER53" s="42"/>
      <c r="CES53" s="42"/>
      <c r="CET53" s="42"/>
      <c r="CEU53" s="42"/>
      <c r="CEV53" s="42"/>
      <c r="CEW53" s="42"/>
      <c r="CEX53" s="42"/>
      <c r="CEY53" s="2"/>
      <c r="CEZ53" s="15"/>
      <c r="CFA53" s="42"/>
      <c r="CFB53" s="2"/>
      <c r="CFC53" s="2"/>
      <c r="CFD53" s="2"/>
      <c r="CFE53" s="2"/>
      <c r="CFF53" s="42"/>
      <c r="CFG53" s="42"/>
      <c r="CFH53" s="42"/>
      <c r="CFI53" s="42"/>
      <c r="CFJ53" s="42"/>
      <c r="CFK53" s="42"/>
      <c r="CFL53" s="42"/>
      <c r="CFM53" s="42"/>
      <c r="CFN53" s="42"/>
      <c r="CFO53" s="42"/>
      <c r="CFP53" s="42"/>
      <c r="CFQ53" s="42"/>
      <c r="CFR53" s="42"/>
      <c r="CFS53" s="42"/>
      <c r="CFT53" s="42"/>
      <c r="CFU53" s="42"/>
      <c r="CFV53" s="42"/>
      <c r="CFW53" s="42"/>
      <c r="CFX53" s="42"/>
      <c r="CFY53" s="42"/>
      <c r="CFZ53" s="42"/>
      <c r="CGA53" s="42"/>
      <c r="CGB53" s="42"/>
      <c r="CGC53" s="2"/>
      <c r="CGD53" s="15"/>
      <c r="CGE53" s="42"/>
      <c r="CGF53" s="2"/>
      <c r="CGG53" s="2"/>
      <c r="CGH53" s="2"/>
      <c r="CGI53" s="2"/>
      <c r="CGJ53" s="42"/>
      <c r="CGK53" s="42"/>
      <c r="CGL53" s="42"/>
      <c r="CGM53" s="42"/>
      <c r="CGN53" s="42"/>
      <c r="CGO53" s="42"/>
      <c r="CGP53" s="42"/>
      <c r="CGQ53" s="42"/>
      <c r="CGR53" s="42"/>
      <c r="CGS53" s="42"/>
      <c r="CGT53" s="42"/>
      <c r="CGU53" s="42"/>
      <c r="CGV53" s="42"/>
      <c r="CGW53" s="42"/>
      <c r="CGX53" s="42"/>
      <c r="CGY53" s="42"/>
      <c r="CGZ53" s="42"/>
      <c r="CHA53" s="42"/>
      <c r="CHB53" s="42"/>
      <c r="CHC53" s="42"/>
      <c r="CHD53" s="42"/>
      <c r="CHE53" s="42"/>
      <c r="CHF53" s="42"/>
      <c r="CHG53" s="2"/>
      <c r="CHH53" s="15"/>
      <c r="CHI53" s="42"/>
      <c r="CHJ53" s="2"/>
      <c r="CHK53" s="2"/>
      <c r="CHL53" s="2"/>
      <c r="CHM53" s="2"/>
      <c r="CHN53" s="42"/>
      <c r="CHO53" s="42"/>
      <c r="CHP53" s="42"/>
      <c r="CHQ53" s="42"/>
      <c r="CHR53" s="42"/>
      <c r="CHS53" s="42"/>
      <c r="CHT53" s="42"/>
      <c r="CHU53" s="42"/>
      <c r="CHV53" s="42"/>
      <c r="CHW53" s="42"/>
      <c r="CHX53" s="42"/>
      <c r="CHY53" s="42"/>
      <c r="CHZ53" s="42"/>
      <c r="CIA53" s="42"/>
      <c r="CIB53" s="42"/>
      <c r="CIC53" s="42"/>
      <c r="CID53" s="42"/>
      <c r="CIE53" s="42"/>
      <c r="CIF53" s="42"/>
      <c r="CIG53" s="42"/>
      <c r="CIH53" s="42"/>
      <c r="CII53" s="42"/>
      <c r="CIJ53" s="42"/>
      <c r="CIK53" s="2"/>
      <c r="CIL53" s="15"/>
      <c r="CIM53" s="42"/>
      <c r="CIN53" s="2"/>
      <c r="CIO53" s="2"/>
      <c r="CIP53" s="2"/>
      <c r="CIQ53" s="2"/>
      <c r="CIR53" s="42"/>
      <c r="CIS53" s="42"/>
      <c r="CIT53" s="42"/>
      <c r="CIU53" s="42"/>
      <c r="CIV53" s="42"/>
      <c r="CIW53" s="42"/>
      <c r="CIX53" s="42"/>
      <c r="CIY53" s="42"/>
      <c r="CIZ53" s="42"/>
      <c r="CJA53" s="42"/>
      <c r="CJB53" s="42"/>
      <c r="CJC53" s="42"/>
      <c r="CJD53" s="42"/>
      <c r="CJE53" s="42"/>
      <c r="CJF53" s="42"/>
      <c r="CJG53" s="42"/>
      <c r="CJH53" s="42"/>
      <c r="CJI53" s="42"/>
      <c r="CJJ53" s="42"/>
      <c r="CJK53" s="42"/>
      <c r="CJL53" s="42"/>
      <c r="CJM53" s="42"/>
      <c r="CJN53" s="42"/>
      <c r="CJO53" s="2"/>
      <c r="CJP53" s="15"/>
      <c r="CJQ53" s="42"/>
      <c r="CJR53" s="2"/>
      <c r="CJS53" s="2"/>
      <c r="CJT53" s="2"/>
      <c r="CJU53" s="2"/>
      <c r="CJV53" s="42"/>
      <c r="CJW53" s="42"/>
      <c r="CJX53" s="42"/>
      <c r="CJY53" s="42"/>
      <c r="CJZ53" s="42"/>
      <c r="CKA53" s="42"/>
      <c r="CKB53" s="42"/>
      <c r="CKC53" s="42"/>
      <c r="CKD53" s="42"/>
      <c r="CKE53" s="42"/>
      <c r="CKF53" s="42"/>
      <c r="CKG53" s="42"/>
      <c r="CKH53" s="42"/>
      <c r="CKI53" s="42"/>
      <c r="CKJ53" s="42"/>
      <c r="CKK53" s="42"/>
      <c r="CKL53" s="42"/>
      <c r="CKM53" s="42"/>
      <c r="CKN53" s="42"/>
      <c r="CKO53" s="42"/>
      <c r="CKP53" s="42"/>
      <c r="CKQ53" s="42"/>
      <c r="CKR53" s="42"/>
      <c r="CKS53" s="2"/>
      <c r="CKT53" s="15"/>
      <c r="CKU53" s="42"/>
      <c r="CKV53" s="2"/>
      <c r="CKW53" s="2"/>
      <c r="CKX53" s="2"/>
      <c r="CKY53" s="2"/>
      <c r="CKZ53" s="42"/>
      <c r="CLA53" s="42"/>
      <c r="CLB53" s="42"/>
      <c r="CLC53" s="42"/>
      <c r="CLD53" s="42"/>
      <c r="CLE53" s="42"/>
      <c r="CLF53" s="42"/>
      <c r="CLG53" s="42"/>
      <c r="CLH53" s="42"/>
      <c r="CLI53" s="42"/>
      <c r="CLJ53" s="42"/>
      <c r="CLK53" s="42"/>
      <c r="CLL53" s="42"/>
      <c r="CLM53" s="42"/>
      <c r="CLN53" s="42"/>
      <c r="CLO53" s="42"/>
      <c r="CLP53" s="42"/>
      <c r="CLQ53" s="42"/>
      <c r="CLR53" s="42"/>
      <c r="CLS53" s="42"/>
      <c r="CLT53" s="42"/>
      <c r="CLU53" s="42"/>
      <c r="CLV53" s="42"/>
      <c r="CLW53" s="2"/>
      <c r="CLX53" s="15"/>
      <c r="CLY53" s="42"/>
      <c r="CLZ53" s="2"/>
      <c r="CMA53" s="2"/>
      <c r="CMB53" s="2"/>
      <c r="CMC53" s="2"/>
      <c r="CMD53" s="42"/>
      <c r="CME53" s="42"/>
      <c r="CMF53" s="42"/>
      <c r="CMG53" s="42"/>
      <c r="CMH53" s="42"/>
      <c r="CMI53" s="42"/>
      <c r="CMJ53" s="42"/>
      <c r="CMK53" s="42"/>
      <c r="CML53" s="42"/>
      <c r="CMM53" s="42"/>
      <c r="CMN53" s="42"/>
      <c r="CMO53" s="42"/>
      <c r="CMP53" s="42"/>
      <c r="CMQ53" s="42"/>
      <c r="CMR53" s="42"/>
      <c r="CMS53" s="42"/>
      <c r="CMT53" s="42"/>
      <c r="CMU53" s="42"/>
      <c r="CMV53" s="42"/>
      <c r="CMW53" s="42"/>
      <c r="CMX53" s="42"/>
      <c r="CMY53" s="42"/>
      <c r="CMZ53" s="42"/>
      <c r="CNA53" s="2"/>
      <c r="CNB53" s="15"/>
      <c r="CNC53" s="42"/>
      <c r="CND53" s="2"/>
      <c r="CNE53" s="2"/>
      <c r="CNF53" s="2"/>
      <c r="CNG53" s="2"/>
      <c r="CNH53" s="42"/>
      <c r="CNI53" s="42"/>
      <c r="CNJ53" s="42"/>
      <c r="CNK53" s="42"/>
      <c r="CNL53" s="42"/>
      <c r="CNM53" s="42"/>
      <c r="CNN53" s="42"/>
      <c r="CNO53" s="42"/>
      <c r="CNP53" s="42"/>
      <c r="CNQ53" s="42"/>
      <c r="CNR53" s="42"/>
      <c r="CNS53" s="42"/>
      <c r="CNT53" s="42"/>
      <c r="CNU53" s="42"/>
      <c r="CNV53" s="42"/>
      <c r="CNW53" s="42"/>
      <c r="CNX53" s="42"/>
      <c r="CNY53" s="42"/>
      <c r="CNZ53" s="42"/>
      <c r="COA53" s="42"/>
      <c r="COB53" s="42"/>
      <c r="COC53" s="42"/>
      <c r="COD53" s="42"/>
      <c r="COE53" s="2"/>
      <c r="COF53" s="15"/>
      <c r="COG53" s="42"/>
      <c r="COH53" s="2"/>
      <c r="COI53" s="2"/>
      <c r="COJ53" s="2"/>
      <c r="COK53" s="2"/>
      <c r="COL53" s="42"/>
      <c r="COM53" s="42"/>
      <c r="CON53" s="42"/>
      <c r="COO53" s="42"/>
      <c r="COP53" s="42"/>
      <c r="COQ53" s="42"/>
      <c r="COR53" s="42"/>
      <c r="COS53" s="42"/>
      <c r="COT53" s="42"/>
      <c r="COU53" s="42"/>
      <c r="COV53" s="42"/>
      <c r="COW53" s="42"/>
      <c r="COX53" s="42"/>
      <c r="COY53" s="42"/>
      <c r="COZ53" s="42"/>
      <c r="CPA53" s="42"/>
      <c r="CPB53" s="42"/>
      <c r="CPC53" s="42"/>
      <c r="CPD53" s="42"/>
      <c r="CPE53" s="42"/>
      <c r="CPF53" s="42"/>
      <c r="CPG53" s="42"/>
      <c r="CPH53" s="42"/>
      <c r="CPI53" s="2"/>
      <c r="CPJ53" s="15"/>
      <c r="CPK53" s="42"/>
      <c r="CPL53" s="2"/>
      <c r="CPM53" s="2"/>
      <c r="CPN53" s="2"/>
      <c r="CPO53" s="2"/>
      <c r="CPP53" s="42"/>
      <c r="CPQ53" s="42"/>
      <c r="CPR53" s="42"/>
      <c r="CPS53" s="42"/>
      <c r="CPT53" s="42"/>
      <c r="CPU53" s="42"/>
      <c r="CPV53" s="42"/>
      <c r="CPW53" s="42"/>
      <c r="CPX53" s="42"/>
      <c r="CPY53" s="42"/>
      <c r="CPZ53" s="42"/>
      <c r="CQA53" s="42"/>
      <c r="CQB53" s="42"/>
      <c r="CQC53" s="42"/>
      <c r="CQD53" s="42"/>
      <c r="CQE53" s="42"/>
      <c r="CQF53" s="42"/>
      <c r="CQG53" s="42"/>
      <c r="CQH53" s="42"/>
      <c r="CQI53" s="42"/>
      <c r="CQJ53" s="42"/>
      <c r="CQK53" s="42"/>
      <c r="CQL53" s="42"/>
      <c r="CQM53" s="2"/>
      <c r="CQN53" s="15"/>
      <c r="CQO53" s="42"/>
      <c r="CQP53" s="2"/>
      <c r="CQQ53" s="2"/>
      <c r="CQR53" s="2"/>
      <c r="CQS53" s="2"/>
      <c r="CQT53" s="42"/>
      <c r="CQU53" s="42"/>
      <c r="CQV53" s="42"/>
      <c r="CQW53" s="42"/>
      <c r="CQX53" s="42"/>
      <c r="CQY53" s="42"/>
      <c r="CQZ53" s="42"/>
      <c r="CRA53" s="42"/>
      <c r="CRB53" s="42"/>
      <c r="CRC53" s="42"/>
      <c r="CRD53" s="42"/>
      <c r="CRE53" s="42"/>
      <c r="CRF53" s="42"/>
      <c r="CRG53" s="42"/>
      <c r="CRH53" s="42"/>
      <c r="CRI53" s="42"/>
      <c r="CRJ53" s="42"/>
      <c r="CRK53" s="42"/>
      <c r="CRL53" s="42"/>
      <c r="CRM53" s="42"/>
      <c r="CRN53" s="42"/>
      <c r="CRO53" s="42"/>
      <c r="CRP53" s="42"/>
      <c r="CRQ53" s="2"/>
      <c r="CRR53" s="15"/>
      <c r="CRS53" s="42"/>
      <c r="CRT53" s="2"/>
      <c r="CRU53" s="2"/>
      <c r="CRV53" s="2"/>
      <c r="CRW53" s="2"/>
      <c r="CRX53" s="42"/>
      <c r="CRY53" s="42"/>
      <c r="CRZ53" s="42"/>
      <c r="CSA53" s="42"/>
      <c r="CSB53" s="42"/>
      <c r="CSC53" s="42"/>
      <c r="CSD53" s="42"/>
      <c r="CSE53" s="42"/>
      <c r="CSF53" s="42"/>
      <c r="CSG53" s="42"/>
      <c r="CSH53" s="42"/>
      <c r="CSI53" s="42"/>
      <c r="CSJ53" s="42"/>
      <c r="CSK53" s="42"/>
      <c r="CSL53" s="42"/>
      <c r="CSM53" s="42"/>
      <c r="CSN53" s="42"/>
      <c r="CSO53" s="42"/>
      <c r="CSP53" s="42"/>
      <c r="CSQ53" s="42"/>
      <c r="CSR53" s="42"/>
      <c r="CSS53" s="42"/>
      <c r="CST53" s="42"/>
      <c r="CSU53" s="2"/>
      <c r="CSV53" s="15"/>
      <c r="CSW53" s="42"/>
      <c r="CSX53" s="2"/>
      <c r="CSY53" s="2"/>
      <c r="CSZ53" s="2"/>
      <c r="CTA53" s="2"/>
      <c r="CTB53" s="42"/>
      <c r="CTC53" s="42"/>
      <c r="CTD53" s="42"/>
      <c r="CTE53" s="42"/>
      <c r="CTF53" s="42"/>
      <c r="CTG53" s="42"/>
      <c r="CTH53" s="42"/>
      <c r="CTI53" s="42"/>
      <c r="CTJ53" s="42"/>
      <c r="CTK53" s="42"/>
      <c r="CTL53" s="42"/>
      <c r="CTM53" s="42"/>
      <c r="CTN53" s="42"/>
      <c r="CTO53" s="42"/>
      <c r="CTP53" s="42"/>
      <c r="CTQ53" s="42"/>
      <c r="CTR53" s="42"/>
      <c r="CTS53" s="42"/>
      <c r="CTT53" s="42"/>
      <c r="CTU53" s="42"/>
      <c r="CTV53" s="42"/>
      <c r="CTW53" s="42"/>
      <c r="CTX53" s="42"/>
      <c r="CTY53" s="2"/>
      <c r="CTZ53" s="15"/>
      <c r="CUA53" s="42"/>
      <c r="CUB53" s="2"/>
      <c r="CUC53" s="2"/>
      <c r="CUD53" s="2"/>
      <c r="CUE53" s="2"/>
      <c r="CUF53" s="42"/>
      <c r="CUG53" s="42"/>
      <c r="CUH53" s="42"/>
      <c r="CUI53" s="42"/>
      <c r="CUJ53" s="42"/>
      <c r="CUK53" s="42"/>
      <c r="CUL53" s="42"/>
      <c r="CUM53" s="42"/>
      <c r="CUN53" s="42"/>
      <c r="CUO53" s="42"/>
      <c r="CUP53" s="42"/>
      <c r="CUQ53" s="42"/>
      <c r="CUR53" s="42"/>
      <c r="CUS53" s="42"/>
      <c r="CUT53" s="42"/>
      <c r="CUU53" s="42"/>
      <c r="CUV53" s="42"/>
      <c r="CUW53" s="42"/>
      <c r="CUX53" s="42"/>
      <c r="CUY53" s="42"/>
      <c r="CUZ53" s="42"/>
      <c r="CVA53" s="42"/>
      <c r="CVB53" s="42"/>
      <c r="CVC53" s="2"/>
      <c r="CVD53" s="15"/>
      <c r="CVE53" s="42"/>
      <c r="CVF53" s="2"/>
      <c r="CVG53" s="2"/>
      <c r="CVH53" s="2"/>
      <c r="CVI53" s="2"/>
      <c r="CVJ53" s="42"/>
      <c r="CVK53" s="42"/>
      <c r="CVL53" s="42"/>
      <c r="CVM53" s="42"/>
      <c r="CVN53" s="42"/>
      <c r="CVO53" s="42"/>
      <c r="CVP53" s="42"/>
      <c r="CVQ53" s="42"/>
      <c r="CVR53" s="42"/>
      <c r="CVS53" s="42"/>
      <c r="CVT53" s="42"/>
      <c r="CVU53" s="42"/>
      <c r="CVV53" s="42"/>
      <c r="CVW53" s="42"/>
      <c r="CVX53" s="42"/>
      <c r="CVY53" s="42"/>
      <c r="CVZ53" s="42"/>
      <c r="CWA53" s="42"/>
      <c r="CWB53" s="42"/>
      <c r="CWC53" s="42"/>
      <c r="CWD53" s="42"/>
      <c r="CWE53" s="42"/>
      <c r="CWF53" s="42"/>
      <c r="CWG53" s="2"/>
      <c r="CWH53" s="15"/>
      <c r="CWI53" s="42"/>
      <c r="CWJ53" s="2"/>
      <c r="CWK53" s="2"/>
      <c r="CWL53" s="2"/>
      <c r="CWM53" s="2"/>
      <c r="CWN53" s="42"/>
      <c r="CWO53" s="42"/>
      <c r="CWP53" s="42"/>
      <c r="CWQ53" s="42"/>
      <c r="CWR53" s="42"/>
      <c r="CWS53" s="42"/>
      <c r="CWT53" s="42"/>
      <c r="CWU53" s="42"/>
      <c r="CWV53" s="42"/>
      <c r="CWW53" s="42"/>
      <c r="CWX53" s="42"/>
      <c r="CWY53" s="42"/>
      <c r="CWZ53" s="42"/>
      <c r="CXA53" s="42"/>
      <c r="CXB53" s="42"/>
      <c r="CXC53" s="42"/>
      <c r="CXD53" s="42"/>
      <c r="CXE53" s="42"/>
      <c r="CXF53" s="42"/>
      <c r="CXG53" s="42"/>
      <c r="CXH53" s="42"/>
      <c r="CXI53" s="42"/>
      <c r="CXJ53" s="42"/>
      <c r="CXK53" s="2"/>
      <c r="CXL53" s="15"/>
      <c r="CXM53" s="42"/>
      <c r="CXN53" s="2"/>
      <c r="CXO53" s="2"/>
      <c r="CXP53" s="2"/>
      <c r="CXQ53" s="2"/>
      <c r="CXR53" s="42"/>
      <c r="CXS53" s="42"/>
      <c r="CXT53" s="42"/>
      <c r="CXU53" s="42"/>
      <c r="CXV53" s="42"/>
      <c r="CXW53" s="42"/>
      <c r="CXX53" s="42"/>
      <c r="CXY53" s="42"/>
      <c r="CXZ53" s="42"/>
      <c r="CYA53" s="42"/>
      <c r="CYB53" s="42"/>
      <c r="CYC53" s="42"/>
      <c r="CYD53" s="42"/>
      <c r="CYE53" s="42"/>
      <c r="CYF53" s="42"/>
      <c r="CYG53" s="42"/>
      <c r="CYH53" s="42"/>
      <c r="CYI53" s="42"/>
      <c r="CYJ53" s="42"/>
      <c r="CYK53" s="42"/>
      <c r="CYL53" s="42"/>
      <c r="CYM53" s="42"/>
      <c r="CYN53" s="42"/>
      <c r="CYO53" s="2"/>
      <c r="CYP53" s="15"/>
      <c r="CYQ53" s="42"/>
      <c r="CYR53" s="2"/>
      <c r="CYS53" s="2"/>
      <c r="CYT53" s="2"/>
      <c r="CYU53" s="2"/>
      <c r="CYV53" s="42"/>
      <c r="CYW53" s="42"/>
      <c r="CYX53" s="42"/>
      <c r="CYY53" s="42"/>
      <c r="CYZ53" s="42"/>
      <c r="CZA53" s="42"/>
      <c r="CZB53" s="42"/>
      <c r="CZC53" s="42"/>
      <c r="CZD53" s="42"/>
      <c r="CZE53" s="42"/>
      <c r="CZF53" s="42"/>
      <c r="CZG53" s="42"/>
      <c r="CZH53" s="42"/>
      <c r="CZI53" s="42"/>
      <c r="CZJ53" s="42"/>
      <c r="CZK53" s="42"/>
      <c r="CZL53" s="42"/>
      <c r="CZM53" s="42"/>
      <c r="CZN53" s="42"/>
      <c r="CZO53" s="42"/>
      <c r="CZP53" s="42"/>
      <c r="CZQ53" s="42"/>
      <c r="CZR53" s="42"/>
      <c r="CZS53" s="2"/>
      <c r="CZT53" s="15"/>
      <c r="CZU53" s="42"/>
      <c r="CZV53" s="2"/>
      <c r="CZW53" s="2"/>
      <c r="CZX53" s="2"/>
      <c r="CZY53" s="2"/>
      <c r="CZZ53" s="42"/>
      <c r="DAA53" s="42"/>
      <c r="DAB53" s="42"/>
      <c r="DAC53" s="42"/>
      <c r="DAD53" s="42"/>
      <c r="DAE53" s="42"/>
      <c r="DAF53" s="42"/>
      <c r="DAG53" s="42"/>
      <c r="DAH53" s="42"/>
      <c r="DAI53" s="42"/>
      <c r="DAJ53" s="42"/>
      <c r="DAK53" s="42"/>
      <c r="DAL53" s="42"/>
      <c r="DAM53" s="42"/>
      <c r="DAN53" s="42"/>
      <c r="DAO53" s="42"/>
      <c r="DAP53" s="42"/>
      <c r="DAQ53" s="42"/>
      <c r="DAR53" s="42"/>
      <c r="DAS53" s="42"/>
      <c r="DAT53" s="42"/>
      <c r="DAU53" s="42"/>
      <c r="DAV53" s="42"/>
      <c r="DAW53" s="2"/>
      <c r="DAX53" s="15"/>
      <c r="DAY53" s="42"/>
      <c r="DAZ53" s="2"/>
      <c r="DBA53" s="2"/>
      <c r="DBB53" s="2"/>
      <c r="DBC53" s="2"/>
      <c r="DBD53" s="42"/>
      <c r="DBE53" s="42"/>
      <c r="DBF53" s="42"/>
      <c r="DBG53" s="42"/>
      <c r="DBH53" s="42"/>
      <c r="DBI53" s="42"/>
      <c r="DBJ53" s="42"/>
      <c r="DBK53" s="42"/>
      <c r="DBL53" s="42"/>
      <c r="DBM53" s="42"/>
      <c r="DBN53" s="42"/>
      <c r="DBO53" s="42"/>
      <c r="DBP53" s="42"/>
      <c r="DBQ53" s="42"/>
      <c r="DBR53" s="42"/>
      <c r="DBS53" s="42"/>
      <c r="DBT53" s="42"/>
      <c r="DBU53" s="42"/>
      <c r="DBV53" s="42"/>
      <c r="DBW53" s="42"/>
      <c r="DBX53" s="42"/>
      <c r="DBY53" s="42"/>
      <c r="DBZ53" s="42"/>
      <c r="DCA53" s="2"/>
      <c r="DCB53" s="15"/>
      <c r="DCC53" s="42"/>
      <c r="DCD53" s="2"/>
      <c r="DCE53" s="2"/>
      <c r="DCF53" s="2"/>
      <c r="DCG53" s="2"/>
      <c r="DCH53" s="42"/>
      <c r="DCI53" s="42"/>
      <c r="DCJ53" s="42"/>
      <c r="DCK53" s="42"/>
      <c r="DCL53" s="42"/>
      <c r="DCM53" s="42"/>
      <c r="DCN53" s="42"/>
      <c r="DCO53" s="42"/>
      <c r="DCP53" s="42"/>
      <c r="DCQ53" s="42"/>
      <c r="DCR53" s="42"/>
      <c r="DCS53" s="42"/>
      <c r="DCT53" s="42"/>
      <c r="DCU53" s="42"/>
      <c r="DCV53" s="42"/>
      <c r="DCW53" s="42"/>
      <c r="DCX53" s="42"/>
      <c r="DCY53" s="42"/>
      <c r="DCZ53" s="42"/>
      <c r="DDA53" s="42"/>
      <c r="DDB53" s="42"/>
      <c r="DDC53" s="42"/>
      <c r="DDD53" s="42"/>
      <c r="DDE53" s="2"/>
      <c r="DDF53" s="15"/>
      <c r="DDG53" s="42"/>
      <c r="DDH53" s="2"/>
      <c r="DDI53" s="2"/>
      <c r="DDJ53" s="2"/>
      <c r="DDK53" s="2"/>
      <c r="DDL53" s="42"/>
      <c r="DDM53" s="42"/>
      <c r="DDN53" s="42"/>
      <c r="DDO53" s="42"/>
      <c r="DDP53" s="42"/>
      <c r="DDQ53" s="42"/>
      <c r="DDR53" s="42"/>
      <c r="DDS53" s="42"/>
      <c r="DDT53" s="42"/>
      <c r="DDU53" s="42"/>
      <c r="DDV53" s="42"/>
      <c r="DDW53" s="42"/>
      <c r="DDX53" s="42"/>
      <c r="DDY53" s="42"/>
      <c r="DDZ53" s="42"/>
      <c r="DEA53" s="42"/>
      <c r="DEB53" s="42"/>
      <c r="DEC53" s="42"/>
      <c r="DED53" s="42"/>
      <c r="DEE53" s="42"/>
      <c r="DEF53" s="42"/>
      <c r="DEG53" s="42"/>
      <c r="DEH53" s="42"/>
      <c r="DEI53" s="2"/>
      <c r="DEJ53" s="15"/>
      <c r="DEK53" s="42"/>
      <c r="DEL53" s="2"/>
      <c r="DEM53" s="2"/>
      <c r="DEN53" s="2"/>
      <c r="DEO53" s="2"/>
      <c r="DEP53" s="42"/>
      <c r="DEQ53" s="42"/>
      <c r="DER53" s="42"/>
      <c r="DES53" s="42"/>
      <c r="DET53" s="42"/>
      <c r="DEU53" s="42"/>
      <c r="DEV53" s="42"/>
      <c r="DEW53" s="42"/>
      <c r="DEX53" s="42"/>
      <c r="DEY53" s="42"/>
      <c r="DEZ53" s="42"/>
      <c r="DFA53" s="42"/>
      <c r="DFB53" s="42"/>
      <c r="DFC53" s="42"/>
      <c r="DFD53" s="42"/>
      <c r="DFE53" s="42"/>
      <c r="DFF53" s="42"/>
      <c r="DFG53" s="42"/>
      <c r="DFH53" s="42"/>
      <c r="DFI53" s="42"/>
      <c r="DFJ53" s="42"/>
      <c r="DFK53" s="42"/>
      <c r="DFL53" s="42"/>
      <c r="DFM53" s="2"/>
      <c r="DFN53" s="15"/>
      <c r="DFO53" s="42"/>
      <c r="DFP53" s="2"/>
      <c r="DFQ53" s="2"/>
      <c r="DFR53" s="2"/>
      <c r="DFS53" s="2"/>
      <c r="DFT53" s="42"/>
      <c r="DFU53" s="42"/>
      <c r="DFV53" s="42"/>
      <c r="DFW53" s="42"/>
      <c r="DFX53" s="42"/>
      <c r="DFY53" s="42"/>
      <c r="DFZ53" s="42"/>
      <c r="DGA53" s="42"/>
      <c r="DGB53" s="42"/>
      <c r="DGC53" s="42"/>
      <c r="DGD53" s="42"/>
      <c r="DGE53" s="42"/>
      <c r="DGF53" s="42"/>
      <c r="DGG53" s="42"/>
      <c r="DGH53" s="42"/>
      <c r="DGI53" s="42"/>
      <c r="DGJ53" s="42"/>
      <c r="DGK53" s="42"/>
      <c r="DGL53" s="42"/>
      <c r="DGM53" s="42"/>
      <c r="DGN53" s="42"/>
      <c r="DGO53" s="42"/>
      <c r="DGP53" s="42"/>
      <c r="DGQ53" s="2"/>
      <c r="DGR53" s="15"/>
      <c r="DGS53" s="42"/>
      <c r="DGT53" s="2"/>
      <c r="DGU53" s="2"/>
      <c r="DGV53" s="2"/>
      <c r="DGW53" s="2"/>
      <c r="DGX53" s="42"/>
      <c r="DGY53" s="42"/>
      <c r="DGZ53" s="42"/>
      <c r="DHA53" s="42"/>
      <c r="DHB53" s="42"/>
      <c r="DHC53" s="42"/>
      <c r="DHD53" s="42"/>
      <c r="DHE53" s="42"/>
      <c r="DHF53" s="42"/>
      <c r="DHG53" s="42"/>
      <c r="DHH53" s="42"/>
      <c r="DHI53" s="42"/>
      <c r="DHJ53" s="42"/>
      <c r="DHK53" s="42"/>
      <c r="DHL53" s="42"/>
      <c r="DHM53" s="42"/>
      <c r="DHN53" s="42"/>
      <c r="DHO53" s="42"/>
      <c r="DHP53" s="42"/>
      <c r="DHQ53" s="42"/>
      <c r="DHR53" s="42"/>
      <c r="DHS53" s="42"/>
      <c r="DHT53" s="42"/>
      <c r="DHU53" s="2"/>
      <c r="DHV53" s="15"/>
      <c r="DHW53" s="42"/>
      <c r="DHX53" s="2"/>
      <c r="DHY53" s="2"/>
      <c r="DHZ53" s="2"/>
      <c r="DIA53" s="2"/>
      <c r="DIB53" s="42"/>
      <c r="DIC53" s="42"/>
      <c r="DID53" s="42"/>
      <c r="DIE53" s="42"/>
      <c r="DIF53" s="42"/>
      <c r="DIG53" s="42"/>
      <c r="DIH53" s="42"/>
      <c r="DII53" s="42"/>
      <c r="DIJ53" s="42"/>
      <c r="DIK53" s="42"/>
      <c r="DIL53" s="42"/>
      <c r="DIM53" s="42"/>
      <c r="DIN53" s="42"/>
      <c r="DIO53" s="42"/>
      <c r="DIP53" s="42"/>
      <c r="DIQ53" s="42"/>
      <c r="DIR53" s="42"/>
      <c r="DIS53" s="42"/>
      <c r="DIT53" s="42"/>
      <c r="DIU53" s="42"/>
      <c r="DIV53" s="42"/>
      <c r="DIW53" s="42"/>
      <c r="DIX53" s="42"/>
      <c r="DIY53" s="2"/>
      <c r="DIZ53" s="15"/>
      <c r="DJA53" s="42"/>
      <c r="DJB53" s="2"/>
      <c r="DJC53" s="2"/>
      <c r="DJD53" s="2"/>
      <c r="DJE53" s="2"/>
      <c r="DJF53" s="42"/>
      <c r="DJG53" s="42"/>
      <c r="DJH53" s="42"/>
      <c r="DJI53" s="42"/>
      <c r="DJJ53" s="42"/>
      <c r="DJK53" s="42"/>
      <c r="DJL53" s="42"/>
      <c r="DJM53" s="42"/>
      <c r="DJN53" s="42"/>
      <c r="DJO53" s="42"/>
      <c r="DJP53" s="42"/>
      <c r="DJQ53" s="42"/>
      <c r="DJR53" s="42"/>
      <c r="DJS53" s="42"/>
      <c r="DJT53" s="42"/>
      <c r="DJU53" s="42"/>
      <c r="DJV53" s="42"/>
      <c r="DJW53" s="42"/>
      <c r="DJX53" s="42"/>
      <c r="DJY53" s="42"/>
      <c r="DJZ53" s="42"/>
      <c r="DKA53" s="42"/>
      <c r="DKB53" s="42"/>
      <c r="DKC53" s="2"/>
      <c r="DKD53" s="15"/>
      <c r="DKE53" s="42"/>
      <c r="DKF53" s="2"/>
      <c r="DKG53" s="2"/>
      <c r="DKH53" s="2"/>
      <c r="DKI53" s="2"/>
      <c r="DKJ53" s="42"/>
      <c r="DKK53" s="42"/>
      <c r="DKL53" s="42"/>
      <c r="DKM53" s="42"/>
      <c r="DKN53" s="42"/>
      <c r="DKO53" s="42"/>
      <c r="DKP53" s="42"/>
      <c r="DKQ53" s="42"/>
      <c r="DKR53" s="42"/>
      <c r="DKS53" s="42"/>
      <c r="DKT53" s="42"/>
      <c r="DKU53" s="42"/>
      <c r="DKV53" s="42"/>
      <c r="DKW53" s="42"/>
      <c r="DKX53" s="42"/>
      <c r="DKY53" s="42"/>
      <c r="DKZ53" s="42"/>
      <c r="DLA53" s="42"/>
      <c r="DLB53" s="42"/>
      <c r="DLC53" s="42"/>
      <c r="DLD53" s="42"/>
      <c r="DLE53" s="42"/>
      <c r="DLF53" s="42"/>
      <c r="DLG53" s="2"/>
      <c r="DLH53" s="15"/>
      <c r="DLI53" s="42"/>
      <c r="DLJ53" s="2"/>
      <c r="DLK53" s="2"/>
      <c r="DLL53" s="2"/>
      <c r="DLM53" s="2"/>
      <c r="DLN53" s="42"/>
      <c r="DLO53" s="42"/>
      <c r="DLP53" s="42"/>
      <c r="DLQ53" s="42"/>
      <c r="DLR53" s="42"/>
      <c r="DLS53" s="42"/>
      <c r="DLT53" s="42"/>
      <c r="DLU53" s="42"/>
      <c r="DLV53" s="42"/>
      <c r="DLW53" s="42"/>
      <c r="DLX53" s="42"/>
      <c r="DLY53" s="42"/>
      <c r="DLZ53" s="42"/>
      <c r="DMA53" s="42"/>
      <c r="DMB53" s="42"/>
      <c r="DMC53" s="42"/>
      <c r="DMD53" s="42"/>
      <c r="DME53" s="42"/>
      <c r="DMF53" s="42"/>
      <c r="DMG53" s="42"/>
      <c r="DMH53" s="42"/>
      <c r="DMI53" s="42"/>
      <c r="DMJ53" s="42"/>
      <c r="DMK53" s="2"/>
      <c r="DML53" s="15"/>
      <c r="DMM53" s="42"/>
      <c r="DMN53" s="2"/>
      <c r="DMO53" s="2"/>
      <c r="DMP53" s="2"/>
      <c r="DMQ53" s="2"/>
      <c r="DMR53" s="42"/>
      <c r="DMS53" s="42"/>
      <c r="DMT53" s="42"/>
      <c r="DMU53" s="42"/>
      <c r="DMV53" s="42"/>
      <c r="DMW53" s="42"/>
      <c r="DMX53" s="42"/>
      <c r="DMY53" s="42"/>
      <c r="DMZ53" s="42"/>
      <c r="DNA53" s="42"/>
      <c r="DNB53" s="42"/>
      <c r="DNC53" s="42"/>
      <c r="DND53" s="42"/>
      <c r="DNE53" s="42"/>
      <c r="DNF53" s="42"/>
      <c r="DNG53" s="42"/>
      <c r="DNH53" s="42"/>
      <c r="DNI53" s="42"/>
      <c r="DNJ53" s="42"/>
      <c r="DNK53" s="42"/>
      <c r="DNL53" s="42"/>
      <c r="DNM53" s="42"/>
      <c r="DNN53" s="42"/>
      <c r="DNO53" s="2"/>
      <c r="DNP53" s="15"/>
      <c r="DNQ53" s="42"/>
      <c r="DNR53" s="2"/>
      <c r="DNS53" s="2"/>
      <c r="DNT53" s="2"/>
      <c r="DNU53" s="2"/>
      <c r="DNV53" s="42"/>
      <c r="DNW53" s="42"/>
      <c r="DNX53" s="42"/>
      <c r="DNY53" s="42"/>
      <c r="DNZ53" s="42"/>
      <c r="DOA53" s="42"/>
      <c r="DOB53" s="42"/>
      <c r="DOC53" s="42"/>
      <c r="DOD53" s="42"/>
      <c r="DOE53" s="42"/>
      <c r="DOF53" s="42"/>
      <c r="DOG53" s="42"/>
      <c r="DOH53" s="42"/>
      <c r="DOI53" s="42"/>
      <c r="DOJ53" s="42"/>
      <c r="DOK53" s="42"/>
      <c r="DOL53" s="42"/>
      <c r="DOM53" s="42"/>
      <c r="DON53" s="42"/>
      <c r="DOO53" s="42"/>
      <c r="DOP53" s="42"/>
      <c r="DOQ53" s="42"/>
      <c r="DOR53" s="42"/>
      <c r="DOS53" s="2"/>
      <c r="DOT53" s="15"/>
      <c r="DOU53" s="42"/>
      <c r="DOV53" s="2"/>
      <c r="DOW53" s="2"/>
      <c r="DOX53" s="2"/>
      <c r="DOY53" s="2"/>
      <c r="DOZ53" s="42"/>
      <c r="DPA53" s="42"/>
      <c r="DPB53" s="42"/>
      <c r="DPC53" s="42"/>
      <c r="DPD53" s="42"/>
      <c r="DPE53" s="42"/>
      <c r="DPF53" s="42"/>
      <c r="DPG53" s="42"/>
      <c r="DPH53" s="42"/>
      <c r="DPI53" s="42"/>
      <c r="DPJ53" s="42"/>
      <c r="DPK53" s="42"/>
      <c r="DPL53" s="42"/>
      <c r="DPM53" s="42"/>
      <c r="DPN53" s="42"/>
      <c r="DPO53" s="42"/>
      <c r="DPP53" s="42"/>
      <c r="DPQ53" s="42"/>
      <c r="DPR53" s="42"/>
      <c r="DPS53" s="42"/>
      <c r="DPT53" s="42"/>
      <c r="DPU53" s="42"/>
      <c r="DPV53" s="42"/>
      <c r="DPW53" s="2"/>
      <c r="DPX53" s="15"/>
      <c r="DPY53" s="42"/>
      <c r="DPZ53" s="2"/>
      <c r="DQA53" s="2"/>
      <c r="DQB53" s="2"/>
      <c r="DQC53" s="2"/>
      <c r="DQD53" s="42"/>
      <c r="DQE53" s="42"/>
      <c r="DQF53" s="42"/>
      <c r="DQG53" s="42"/>
      <c r="DQH53" s="42"/>
      <c r="DQI53" s="42"/>
      <c r="DQJ53" s="42"/>
      <c r="DQK53" s="42"/>
      <c r="DQL53" s="42"/>
      <c r="DQM53" s="42"/>
      <c r="DQN53" s="42"/>
      <c r="DQO53" s="42"/>
      <c r="DQP53" s="42"/>
      <c r="DQQ53" s="42"/>
      <c r="DQR53" s="42"/>
      <c r="DQS53" s="42"/>
      <c r="DQT53" s="42"/>
      <c r="DQU53" s="42"/>
      <c r="DQV53" s="42"/>
      <c r="DQW53" s="42"/>
      <c r="DQX53" s="42"/>
      <c r="DQY53" s="42"/>
      <c r="DQZ53" s="42"/>
      <c r="DRA53" s="2"/>
      <c r="DRB53" s="15"/>
      <c r="DRC53" s="42"/>
      <c r="DRD53" s="2"/>
      <c r="DRE53" s="2"/>
      <c r="DRF53" s="2"/>
      <c r="DRG53" s="2"/>
      <c r="DRH53" s="42"/>
      <c r="DRI53" s="42"/>
      <c r="DRJ53" s="42"/>
      <c r="DRK53" s="42"/>
      <c r="DRL53" s="42"/>
      <c r="DRM53" s="42"/>
      <c r="DRN53" s="42"/>
      <c r="DRO53" s="42"/>
      <c r="DRP53" s="42"/>
      <c r="DRQ53" s="42"/>
      <c r="DRR53" s="42"/>
      <c r="DRS53" s="42"/>
      <c r="DRT53" s="42"/>
      <c r="DRU53" s="42"/>
      <c r="DRV53" s="42"/>
      <c r="DRW53" s="42"/>
      <c r="DRX53" s="42"/>
      <c r="DRY53" s="42"/>
      <c r="DRZ53" s="42"/>
      <c r="DSA53" s="42"/>
      <c r="DSB53" s="42"/>
      <c r="DSC53" s="42"/>
      <c r="DSD53" s="42"/>
      <c r="DSE53" s="2"/>
      <c r="DSF53" s="15"/>
      <c r="DSG53" s="42"/>
      <c r="DSH53" s="2"/>
      <c r="DSI53" s="2"/>
      <c r="DSJ53" s="2"/>
      <c r="DSK53" s="2"/>
      <c r="DSL53" s="42"/>
      <c r="DSM53" s="42"/>
      <c r="DSN53" s="42"/>
      <c r="DSO53" s="42"/>
      <c r="DSP53" s="42"/>
      <c r="DSQ53" s="42"/>
      <c r="DSR53" s="42"/>
      <c r="DSS53" s="42"/>
      <c r="DST53" s="42"/>
      <c r="DSU53" s="42"/>
      <c r="DSV53" s="42"/>
      <c r="DSW53" s="42"/>
      <c r="DSX53" s="42"/>
      <c r="DSY53" s="42"/>
      <c r="DSZ53" s="42"/>
      <c r="DTA53" s="42"/>
      <c r="DTB53" s="42"/>
      <c r="DTC53" s="42"/>
      <c r="DTD53" s="42"/>
      <c r="DTE53" s="42"/>
      <c r="DTF53" s="42"/>
      <c r="DTG53" s="42"/>
      <c r="DTH53" s="42"/>
      <c r="DTI53" s="2"/>
      <c r="DTJ53" s="15"/>
      <c r="DTK53" s="42"/>
      <c r="DTL53" s="2"/>
      <c r="DTM53" s="2"/>
      <c r="DTN53" s="2"/>
      <c r="DTO53" s="2"/>
      <c r="DTP53" s="42"/>
      <c r="DTQ53" s="42"/>
      <c r="DTR53" s="42"/>
      <c r="DTS53" s="42"/>
      <c r="DTT53" s="42"/>
      <c r="DTU53" s="42"/>
      <c r="DTV53" s="42"/>
      <c r="DTW53" s="42"/>
      <c r="DTX53" s="42"/>
      <c r="DTY53" s="42"/>
      <c r="DTZ53" s="42"/>
      <c r="DUA53" s="42"/>
      <c r="DUB53" s="42"/>
      <c r="DUC53" s="42"/>
      <c r="DUD53" s="42"/>
      <c r="DUE53" s="42"/>
      <c r="DUF53" s="42"/>
      <c r="DUG53" s="42"/>
      <c r="DUH53" s="42"/>
      <c r="DUI53" s="42"/>
      <c r="DUJ53" s="42"/>
      <c r="DUK53" s="42"/>
      <c r="DUL53" s="42"/>
      <c r="DUM53" s="2"/>
      <c r="DUN53" s="15"/>
      <c r="DUO53" s="42"/>
      <c r="DUP53" s="2"/>
      <c r="DUQ53" s="2"/>
      <c r="DUR53" s="2"/>
      <c r="DUS53" s="2"/>
      <c r="DUT53" s="42"/>
      <c r="DUU53" s="42"/>
      <c r="DUV53" s="42"/>
      <c r="DUW53" s="42"/>
      <c r="DUX53" s="42"/>
      <c r="DUY53" s="42"/>
      <c r="DUZ53" s="42"/>
      <c r="DVA53" s="42"/>
      <c r="DVB53" s="42"/>
      <c r="DVC53" s="42"/>
      <c r="DVD53" s="42"/>
      <c r="DVE53" s="42"/>
      <c r="DVF53" s="42"/>
      <c r="DVG53" s="42"/>
      <c r="DVH53" s="42"/>
      <c r="DVI53" s="42"/>
      <c r="DVJ53" s="42"/>
      <c r="DVK53" s="42"/>
      <c r="DVL53" s="42"/>
      <c r="DVM53" s="42"/>
      <c r="DVN53" s="42"/>
      <c r="DVO53" s="42"/>
      <c r="DVP53" s="42"/>
      <c r="DVQ53" s="2"/>
      <c r="DVR53" s="15"/>
      <c r="DVS53" s="42"/>
      <c r="DVT53" s="2"/>
      <c r="DVU53" s="2"/>
      <c r="DVV53" s="2"/>
      <c r="DVW53" s="2"/>
      <c r="DVX53" s="42"/>
      <c r="DVY53" s="42"/>
      <c r="DVZ53" s="42"/>
      <c r="DWA53" s="42"/>
      <c r="DWB53" s="42"/>
      <c r="DWC53" s="42"/>
      <c r="DWD53" s="42"/>
      <c r="DWE53" s="42"/>
      <c r="DWF53" s="42"/>
      <c r="DWG53" s="42"/>
      <c r="DWH53" s="42"/>
      <c r="DWI53" s="42"/>
      <c r="DWJ53" s="42"/>
      <c r="DWK53" s="42"/>
      <c r="DWL53" s="42"/>
      <c r="DWM53" s="42"/>
      <c r="DWN53" s="42"/>
      <c r="DWO53" s="42"/>
      <c r="DWP53" s="42"/>
      <c r="DWQ53" s="42"/>
      <c r="DWR53" s="42"/>
      <c r="DWS53" s="42"/>
      <c r="DWT53" s="42"/>
      <c r="DWU53" s="2"/>
      <c r="DWV53" s="15"/>
      <c r="DWW53" s="42"/>
      <c r="DWX53" s="2"/>
      <c r="DWY53" s="2"/>
      <c r="DWZ53" s="2"/>
      <c r="DXA53" s="2"/>
      <c r="DXB53" s="42"/>
      <c r="DXC53" s="42"/>
      <c r="DXD53" s="42"/>
      <c r="DXE53" s="42"/>
      <c r="DXF53" s="42"/>
      <c r="DXG53" s="42"/>
      <c r="DXH53" s="42"/>
      <c r="DXI53" s="42"/>
      <c r="DXJ53" s="42"/>
      <c r="DXK53" s="42"/>
      <c r="DXL53" s="42"/>
      <c r="DXM53" s="42"/>
      <c r="DXN53" s="42"/>
      <c r="DXO53" s="42"/>
      <c r="DXP53" s="42"/>
      <c r="DXQ53" s="42"/>
      <c r="DXR53" s="42"/>
      <c r="DXS53" s="42"/>
      <c r="DXT53" s="42"/>
      <c r="DXU53" s="42"/>
      <c r="DXV53" s="42"/>
      <c r="DXW53" s="42"/>
      <c r="DXX53" s="42"/>
      <c r="DXY53" s="2"/>
      <c r="DXZ53" s="15"/>
      <c r="DYA53" s="42"/>
      <c r="DYB53" s="2"/>
      <c r="DYC53" s="2"/>
      <c r="DYD53" s="2"/>
      <c r="DYE53" s="2"/>
      <c r="DYF53" s="42"/>
      <c r="DYG53" s="42"/>
      <c r="DYH53" s="42"/>
      <c r="DYI53" s="42"/>
      <c r="DYJ53" s="42"/>
      <c r="DYK53" s="42"/>
      <c r="DYL53" s="42"/>
      <c r="DYM53" s="42"/>
      <c r="DYN53" s="42"/>
      <c r="DYO53" s="42"/>
      <c r="DYP53" s="42"/>
      <c r="DYQ53" s="42"/>
      <c r="DYR53" s="42"/>
      <c r="DYS53" s="42"/>
      <c r="DYT53" s="42"/>
      <c r="DYU53" s="42"/>
      <c r="DYV53" s="42"/>
      <c r="DYW53" s="42"/>
      <c r="DYX53" s="42"/>
      <c r="DYY53" s="42"/>
      <c r="DYZ53" s="42"/>
      <c r="DZA53" s="42"/>
      <c r="DZB53" s="42"/>
      <c r="DZC53" s="2"/>
      <c r="DZD53" s="15"/>
      <c r="DZE53" s="42"/>
      <c r="DZF53" s="2"/>
      <c r="DZG53" s="2"/>
      <c r="DZH53" s="2"/>
      <c r="DZI53" s="2"/>
      <c r="DZJ53" s="42"/>
      <c r="DZK53" s="42"/>
      <c r="DZL53" s="42"/>
      <c r="DZM53" s="42"/>
      <c r="DZN53" s="42"/>
      <c r="DZO53" s="42"/>
      <c r="DZP53" s="42"/>
      <c r="DZQ53" s="42"/>
      <c r="DZR53" s="42"/>
      <c r="DZS53" s="42"/>
      <c r="DZT53" s="42"/>
      <c r="DZU53" s="42"/>
      <c r="DZV53" s="42"/>
      <c r="DZW53" s="42"/>
      <c r="DZX53" s="42"/>
      <c r="DZY53" s="42"/>
      <c r="DZZ53" s="42"/>
      <c r="EAA53" s="42"/>
      <c r="EAB53" s="42"/>
      <c r="EAC53" s="42"/>
      <c r="EAD53" s="42"/>
      <c r="EAE53" s="42"/>
      <c r="EAF53" s="42"/>
      <c r="EAG53" s="2"/>
      <c r="EAH53" s="15"/>
      <c r="EAI53" s="42"/>
      <c r="EAJ53" s="2"/>
      <c r="EAK53" s="2"/>
      <c r="EAL53" s="2"/>
      <c r="EAM53" s="2"/>
      <c r="EAN53" s="42"/>
      <c r="EAO53" s="42"/>
      <c r="EAP53" s="42"/>
      <c r="EAQ53" s="42"/>
      <c r="EAR53" s="42"/>
      <c r="EAS53" s="42"/>
      <c r="EAT53" s="42"/>
      <c r="EAU53" s="42"/>
      <c r="EAV53" s="42"/>
      <c r="EAW53" s="42"/>
      <c r="EAX53" s="42"/>
      <c r="EAY53" s="42"/>
      <c r="EAZ53" s="42"/>
      <c r="EBA53" s="42"/>
      <c r="EBB53" s="42"/>
      <c r="EBC53" s="42"/>
      <c r="EBD53" s="42"/>
      <c r="EBE53" s="42"/>
      <c r="EBF53" s="42"/>
      <c r="EBG53" s="42"/>
      <c r="EBH53" s="42"/>
      <c r="EBI53" s="42"/>
      <c r="EBJ53" s="42"/>
      <c r="EBK53" s="2"/>
      <c r="EBL53" s="15"/>
      <c r="EBM53" s="42"/>
      <c r="EBN53" s="2"/>
      <c r="EBO53" s="2"/>
      <c r="EBP53" s="2"/>
      <c r="EBQ53" s="2"/>
      <c r="EBR53" s="42"/>
      <c r="EBS53" s="42"/>
      <c r="EBT53" s="42"/>
      <c r="EBU53" s="42"/>
      <c r="EBV53" s="42"/>
      <c r="EBW53" s="42"/>
      <c r="EBX53" s="42"/>
      <c r="EBY53" s="42"/>
      <c r="EBZ53" s="42"/>
      <c r="ECA53" s="42"/>
      <c r="ECB53" s="42"/>
      <c r="ECC53" s="42"/>
      <c r="ECD53" s="42"/>
      <c r="ECE53" s="42"/>
      <c r="ECF53" s="42"/>
      <c r="ECG53" s="42"/>
      <c r="ECH53" s="42"/>
      <c r="ECI53" s="42"/>
      <c r="ECJ53" s="42"/>
      <c r="ECK53" s="42"/>
      <c r="ECL53" s="42"/>
      <c r="ECM53" s="42"/>
      <c r="ECN53" s="42"/>
      <c r="ECO53" s="2"/>
      <c r="ECP53" s="15"/>
      <c r="ECQ53" s="42"/>
      <c r="ECR53" s="2"/>
      <c r="ECS53" s="2"/>
      <c r="ECT53" s="2"/>
      <c r="ECU53" s="2"/>
      <c r="ECV53" s="42"/>
      <c r="ECW53" s="42"/>
      <c r="ECX53" s="42"/>
      <c r="ECY53" s="42"/>
      <c r="ECZ53" s="42"/>
      <c r="EDA53" s="42"/>
      <c r="EDB53" s="42"/>
      <c r="EDC53" s="42"/>
      <c r="EDD53" s="42"/>
      <c r="EDE53" s="42"/>
      <c r="EDF53" s="42"/>
      <c r="EDG53" s="42"/>
      <c r="EDH53" s="42"/>
      <c r="EDI53" s="42"/>
      <c r="EDJ53" s="42"/>
      <c r="EDK53" s="42"/>
      <c r="EDL53" s="42"/>
      <c r="EDM53" s="42"/>
      <c r="EDN53" s="42"/>
      <c r="EDO53" s="42"/>
      <c r="EDP53" s="42"/>
      <c r="EDQ53" s="42"/>
      <c r="EDR53" s="42"/>
      <c r="EDS53" s="2"/>
      <c r="EDT53" s="15"/>
      <c r="EDU53" s="42"/>
      <c r="EDV53" s="2"/>
      <c r="EDW53" s="2"/>
      <c r="EDX53" s="2"/>
      <c r="EDY53" s="2"/>
      <c r="EDZ53" s="42"/>
      <c r="EEA53" s="42"/>
      <c r="EEB53" s="42"/>
      <c r="EEC53" s="42"/>
      <c r="EED53" s="42"/>
      <c r="EEE53" s="42"/>
      <c r="EEF53" s="42"/>
      <c r="EEG53" s="42"/>
      <c r="EEH53" s="42"/>
      <c r="EEI53" s="42"/>
      <c r="EEJ53" s="42"/>
      <c r="EEK53" s="42"/>
      <c r="EEL53" s="42"/>
      <c r="EEM53" s="42"/>
      <c r="EEN53" s="42"/>
      <c r="EEO53" s="42"/>
      <c r="EEP53" s="42"/>
      <c r="EEQ53" s="42"/>
      <c r="EER53" s="42"/>
      <c r="EES53" s="42"/>
      <c r="EET53" s="42"/>
      <c r="EEU53" s="42"/>
      <c r="EEV53" s="42"/>
      <c r="EEW53" s="2"/>
      <c r="EEX53" s="15"/>
      <c r="EEY53" s="42"/>
      <c r="EEZ53" s="2"/>
      <c r="EFA53" s="2"/>
      <c r="EFB53" s="2"/>
      <c r="EFC53" s="2"/>
      <c r="EFD53" s="42"/>
      <c r="EFE53" s="42"/>
      <c r="EFF53" s="42"/>
      <c r="EFG53" s="42"/>
      <c r="EFH53" s="42"/>
      <c r="EFI53" s="42"/>
      <c r="EFJ53" s="42"/>
      <c r="EFK53" s="42"/>
      <c r="EFL53" s="42"/>
      <c r="EFM53" s="42"/>
      <c r="EFN53" s="42"/>
      <c r="EFO53" s="42"/>
      <c r="EFP53" s="42"/>
      <c r="EFQ53" s="42"/>
      <c r="EFR53" s="42"/>
      <c r="EFS53" s="42"/>
      <c r="EFT53" s="42"/>
      <c r="EFU53" s="42"/>
      <c r="EFV53" s="42"/>
      <c r="EFW53" s="42"/>
      <c r="EFX53" s="42"/>
      <c r="EFY53" s="42"/>
      <c r="EFZ53" s="42"/>
      <c r="EGA53" s="2"/>
      <c r="EGB53" s="15"/>
      <c r="EGC53" s="42"/>
      <c r="EGD53" s="2"/>
      <c r="EGE53" s="2"/>
      <c r="EGF53" s="2"/>
      <c r="EGG53" s="2"/>
      <c r="EGH53" s="42"/>
      <c r="EGI53" s="42"/>
      <c r="EGJ53" s="42"/>
      <c r="EGK53" s="42"/>
      <c r="EGL53" s="42"/>
      <c r="EGM53" s="42"/>
      <c r="EGN53" s="42"/>
      <c r="EGO53" s="42"/>
      <c r="EGP53" s="42"/>
      <c r="EGQ53" s="42"/>
      <c r="EGR53" s="42"/>
      <c r="EGS53" s="42"/>
      <c r="EGT53" s="42"/>
      <c r="EGU53" s="42"/>
      <c r="EGV53" s="42"/>
      <c r="EGW53" s="42"/>
      <c r="EGX53" s="42"/>
      <c r="EGY53" s="42"/>
      <c r="EGZ53" s="42"/>
      <c r="EHA53" s="42"/>
      <c r="EHB53" s="42"/>
      <c r="EHC53" s="42"/>
      <c r="EHD53" s="42"/>
      <c r="EHE53" s="2"/>
      <c r="EHF53" s="15"/>
      <c r="EHG53" s="42"/>
      <c r="EHH53" s="2"/>
      <c r="EHI53" s="2"/>
      <c r="EHJ53" s="2"/>
      <c r="EHK53" s="2"/>
      <c r="EHL53" s="42"/>
      <c r="EHM53" s="42"/>
      <c r="EHN53" s="42"/>
      <c r="EHO53" s="42"/>
      <c r="EHP53" s="42"/>
      <c r="EHQ53" s="42"/>
      <c r="EHR53" s="42"/>
      <c r="EHS53" s="42"/>
      <c r="EHT53" s="42"/>
      <c r="EHU53" s="42"/>
      <c r="EHV53" s="42"/>
      <c r="EHW53" s="42"/>
      <c r="EHX53" s="42"/>
      <c r="EHY53" s="42"/>
      <c r="EHZ53" s="42"/>
      <c r="EIA53" s="42"/>
      <c r="EIB53" s="42"/>
      <c r="EIC53" s="42"/>
      <c r="EID53" s="42"/>
      <c r="EIE53" s="42"/>
      <c r="EIF53" s="42"/>
      <c r="EIG53" s="42"/>
      <c r="EIH53" s="42"/>
      <c r="EII53" s="2"/>
      <c r="EIJ53" s="15"/>
      <c r="EIK53" s="42"/>
      <c r="EIL53" s="2"/>
      <c r="EIM53" s="2"/>
      <c r="EIN53" s="2"/>
      <c r="EIO53" s="2"/>
      <c r="EIP53" s="42"/>
      <c r="EIQ53" s="42"/>
      <c r="EIR53" s="42"/>
      <c r="EIS53" s="42"/>
      <c r="EIT53" s="42"/>
      <c r="EIU53" s="42"/>
      <c r="EIV53" s="42"/>
      <c r="EIW53" s="42"/>
      <c r="EIX53" s="42"/>
      <c r="EIY53" s="42"/>
      <c r="EIZ53" s="42"/>
      <c r="EJA53" s="42"/>
      <c r="EJB53" s="42"/>
      <c r="EJC53" s="42"/>
      <c r="EJD53" s="42"/>
      <c r="EJE53" s="42"/>
      <c r="EJF53" s="42"/>
      <c r="EJG53" s="42"/>
      <c r="EJH53" s="42"/>
      <c r="EJI53" s="42"/>
      <c r="EJJ53" s="42"/>
      <c r="EJK53" s="42"/>
      <c r="EJL53" s="42"/>
      <c r="EJM53" s="2"/>
      <c r="EJN53" s="15"/>
      <c r="EJO53" s="42"/>
      <c r="EJP53" s="2"/>
      <c r="EJQ53" s="2"/>
      <c r="EJR53" s="2"/>
      <c r="EJS53" s="2"/>
      <c r="EJT53" s="42"/>
      <c r="EJU53" s="42"/>
      <c r="EJV53" s="42"/>
      <c r="EJW53" s="42"/>
      <c r="EJX53" s="42"/>
      <c r="EJY53" s="42"/>
      <c r="EJZ53" s="42"/>
      <c r="EKA53" s="42"/>
      <c r="EKB53" s="42"/>
      <c r="EKC53" s="42"/>
      <c r="EKD53" s="42"/>
      <c r="EKE53" s="42"/>
      <c r="EKF53" s="42"/>
      <c r="EKG53" s="42"/>
      <c r="EKH53" s="42"/>
      <c r="EKI53" s="42"/>
      <c r="EKJ53" s="42"/>
      <c r="EKK53" s="42"/>
      <c r="EKL53" s="42"/>
      <c r="EKM53" s="42"/>
      <c r="EKN53" s="42"/>
      <c r="EKO53" s="42"/>
      <c r="EKP53" s="42"/>
      <c r="EKQ53" s="2"/>
      <c r="EKR53" s="15"/>
      <c r="EKS53" s="42"/>
      <c r="EKT53" s="2"/>
      <c r="EKU53" s="2"/>
      <c r="EKV53" s="2"/>
      <c r="EKW53" s="2"/>
      <c r="EKX53" s="42"/>
      <c r="EKY53" s="42"/>
      <c r="EKZ53" s="42"/>
      <c r="ELA53" s="42"/>
      <c r="ELB53" s="42"/>
      <c r="ELC53" s="42"/>
      <c r="ELD53" s="42"/>
      <c r="ELE53" s="42"/>
      <c r="ELF53" s="42"/>
      <c r="ELG53" s="42"/>
      <c r="ELH53" s="42"/>
      <c r="ELI53" s="42"/>
      <c r="ELJ53" s="42"/>
      <c r="ELK53" s="42"/>
      <c r="ELL53" s="42"/>
      <c r="ELM53" s="42"/>
      <c r="ELN53" s="42"/>
      <c r="ELO53" s="42"/>
      <c r="ELP53" s="42"/>
      <c r="ELQ53" s="42"/>
      <c r="ELR53" s="42"/>
      <c r="ELS53" s="42"/>
      <c r="ELT53" s="42"/>
      <c r="ELU53" s="2"/>
      <c r="ELV53" s="15"/>
      <c r="ELW53" s="42"/>
      <c r="ELX53" s="2"/>
      <c r="ELY53" s="2"/>
      <c r="ELZ53" s="2"/>
      <c r="EMA53" s="2"/>
      <c r="EMB53" s="42"/>
      <c r="EMC53" s="42"/>
      <c r="EMD53" s="42"/>
      <c r="EME53" s="42"/>
      <c r="EMF53" s="42"/>
      <c r="EMG53" s="42"/>
      <c r="EMH53" s="42"/>
      <c r="EMI53" s="42"/>
      <c r="EMJ53" s="42"/>
      <c r="EMK53" s="42"/>
      <c r="EML53" s="42"/>
      <c r="EMM53" s="42"/>
      <c r="EMN53" s="42"/>
      <c r="EMO53" s="42"/>
      <c r="EMP53" s="42"/>
      <c r="EMQ53" s="42"/>
      <c r="EMR53" s="42"/>
      <c r="EMS53" s="42"/>
      <c r="EMT53" s="42"/>
      <c r="EMU53" s="42"/>
      <c r="EMV53" s="42"/>
      <c r="EMW53" s="42"/>
      <c r="EMX53" s="42"/>
      <c r="EMY53" s="2"/>
      <c r="EMZ53" s="15"/>
      <c r="ENA53" s="42"/>
      <c r="ENB53" s="2"/>
      <c r="ENC53" s="2"/>
      <c r="END53" s="2"/>
      <c r="ENE53" s="2"/>
      <c r="ENF53" s="42"/>
      <c r="ENG53" s="42"/>
      <c r="ENH53" s="42"/>
      <c r="ENI53" s="42"/>
      <c r="ENJ53" s="42"/>
      <c r="ENK53" s="42"/>
      <c r="ENL53" s="42"/>
      <c r="ENM53" s="42"/>
      <c r="ENN53" s="42"/>
      <c r="ENO53" s="42"/>
      <c r="ENP53" s="42"/>
      <c r="ENQ53" s="42"/>
      <c r="ENR53" s="42"/>
      <c r="ENS53" s="42"/>
      <c r="ENT53" s="42"/>
      <c r="ENU53" s="42"/>
      <c r="ENV53" s="42"/>
      <c r="ENW53" s="42"/>
      <c r="ENX53" s="42"/>
      <c r="ENY53" s="42"/>
      <c r="ENZ53" s="42"/>
      <c r="EOA53" s="42"/>
      <c r="EOB53" s="42"/>
      <c r="EOC53" s="2"/>
      <c r="EOD53" s="15"/>
      <c r="EOE53" s="42"/>
      <c r="EOF53" s="2"/>
      <c r="EOG53" s="2"/>
      <c r="EOH53" s="2"/>
      <c r="EOI53" s="2"/>
      <c r="EOJ53" s="42"/>
      <c r="EOK53" s="42"/>
      <c r="EOL53" s="42"/>
      <c r="EOM53" s="42"/>
      <c r="EON53" s="42"/>
      <c r="EOO53" s="42"/>
      <c r="EOP53" s="42"/>
      <c r="EOQ53" s="42"/>
      <c r="EOR53" s="42"/>
      <c r="EOS53" s="42"/>
      <c r="EOT53" s="42"/>
      <c r="EOU53" s="42"/>
      <c r="EOV53" s="42"/>
      <c r="EOW53" s="42"/>
      <c r="EOX53" s="42"/>
      <c r="EOY53" s="42"/>
      <c r="EOZ53" s="42"/>
      <c r="EPA53" s="42"/>
      <c r="EPB53" s="42"/>
      <c r="EPC53" s="42"/>
      <c r="EPD53" s="42"/>
      <c r="EPE53" s="42"/>
      <c r="EPF53" s="42"/>
      <c r="EPG53" s="2"/>
      <c r="EPH53" s="15"/>
      <c r="EPI53" s="42"/>
      <c r="EPJ53" s="2"/>
      <c r="EPK53" s="2"/>
      <c r="EPL53" s="2"/>
      <c r="EPM53" s="2"/>
      <c r="EPN53" s="42"/>
      <c r="EPO53" s="42"/>
      <c r="EPP53" s="42"/>
      <c r="EPQ53" s="42"/>
      <c r="EPR53" s="42"/>
      <c r="EPS53" s="42"/>
      <c r="EPT53" s="42"/>
      <c r="EPU53" s="42"/>
      <c r="EPV53" s="42"/>
      <c r="EPW53" s="42"/>
      <c r="EPX53" s="42"/>
      <c r="EPY53" s="42"/>
      <c r="EPZ53" s="42"/>
      <c r="EQA53" s="42"/>
      <c r="EQB53" s="42"/>
      <c r="EQC53" s="42"/>
      <c r="EQD53" s="42"/>
      <c r="EQE53" s="42"/>
      <c r="EQF53" s="42"/>
      <c r="EQG53" s="42"/>
      <c r="EQH53" s="42"/>
      <c r="EQI53" s="42"/>
      <c r="EQJ53" s="42"/>
      <c r="EQK53" s="2"/>
      <c r="EQL53" s="15"/>
      <c r="EQM53" s="42"/>
      <c r="EQN53" s="2"/>
      <c r="EQO53" s="2"/>
      <c r="EQP53" s="2"/>
      <c r="EQQ53" s="2"/>
      <c r="EQR53" s="42"/>
      <c r="EQS53" s="42"/>
      <c r="EQT53" s="42"/>
      <c r="EQU53" s="42"/>
      <c r="EQV53" s="42"/>
      <c r="EQW53" s="42"/>
      <c r="EQX53" s="42"/>
      <c r="EQY53" s="42"/>
      <c r="EQZ53" s="42"/>
      <c r="ERA53" s="42"/>
      <c r="ERB53" s="42"/>
      <c r="ERC53" s="42"/>
      <c r="ERD53" s="42"/>
      <c r="ERE53" s="42"/>
      <c r="ERF53" s="42"/>
      <c r="ERG53" s="42"/>
      <c r="ERH53" s="42"/>
      <c r="ERI53" s="42"/>
      <c r="ERJ53" s="42"/>
      <c r="ERK53" s="42"/>
      <c r="ERL53" s="42"/>
      <c r="ERM53" s="42"/>
      <c r="ERN53" s="42"/>
      <c r="ERO53" s="2"/>
      <c r="ERP53" s="15"/>
      <c r="ERQ53" s="42"/>
      <c r="ERR53" s="2"/>
      <c r="ERS53" s="2"/>
      <c r="ERT53" s="2"/>
      <c r="ERU53" s="2"/>
      <c r="ERV53" s="42"/>
      <c r="ERW53" s="42"/>
      <c r="ERX53" s="42"/>
      <c r="ERY53" s="42"/>
      <c r="ERZ53" s="42"/>
      <c r="ESA53" s="42"/>
      <c r="ESB53" s="42"/>
      <c r="ESC53" s="42"/>
      <c r="ESD53" s="42"/>
      <c r="ESE53" s="42"/>
      <c r="ESF53" s="42"/>
      <c r="ESG53" s="42"/>
      <c r="ESH53" s="42"/>
      <c r="ESI53" s="42"/>
      <c r="ESJ53" s="42"/>
      <c r="ESK53" s="42"/>
      <c r="ESL53" s="42"/>
      <c r="ESM53" s="42"/>
      <c r="ESN53" s="42"/>
      <c r="ESO53" s="42"/>
      <c r="ESP53" s="42"/>
      <c r="ESQ53" s="42"/>
      <c r="ESR53" s="42"/>
      <c r="ESS53" s="2"/>
      <c r="EST53" s="15"/>
      <c r="ESU53" s="42"/>
      <c r="ESV53" s="2"/>
      <c r="ESW53" s="2"/>
      <c r="ESX53" s="2"/>
      <c r="ESY53" s="2"/>
      <c r="ESZ53" s="42"/>
      <c r="ETA53" s="42"/>
      <c r="ETB53" s="42"/>
      <c r="ETC53" s="42"/>
      <c r="ETD53" s="42"/>
      <c r="ETE53" s="42"/>
      <c r="ETF53" s="42"/>
      <c r="ETG53" s="42"/>
      <c r="ETH53" s="42"/>
      <c r="ETI53" s="42"/>
      <c r="ETJ53" s="42"/>
      <c r="ETK53" s="42"/>
      <c r="ETL53" s="42"/>
      <c r="ETM53" s="42"/>
      <c r="ETN53" s="42"/>
      <c r="ETO53" s="42"/>
      <c r="ETP53" s="42"/>
      <c r="ETQ53" s="42"/>
      <c r="ETR53" s="42"/>
      <c r="ETS53" s="42"/>
      <c r="ETT53" s="42"/>
      <c r="ETU53" s="42"/>
      <c r="ETV53" s="42"/>
      <c r="ETW53" s="2"/>
      <c r="ETX53" s="15"/>
      <c r="ETY53" s="42"/>
      <c r="ETZ53" s="2"/>
      <c r="EUA53" s="2"/>
      <c r="EUB53" s="2"/>
      <c r="EUC53" s="2"/>
      <c r="EUD53" s="42"/>
      <c r="EUE53" s="42"/>
      <c r="EUF53" s="42"/>
      <c r="EUG53" s="42"/>
      <c r="EUH53" s="42"/>
      <c r="EUI53" s="42"/>
      <c r="EUJ53" s="42"/>
      <c r="EUK53" s="42"/>
      <c r="EUL53" s="42"/>
      <c r="EUM53" s="42"/>
      <c r="EUN53" s="42"/>
      <c r="EUO53" s="42"/>
      <c r="EUP53" s="42"/>
      <c r="EUQ53" s="42"/>
      <c r="EUR53" s="42"/>
      <c r="EUS53" s="42"/>
      <c r="EUT53" s="42"/>
      <c r="EUU53" s="42"/>
      <c r="EUV53" s="42"/>
      <c r="EUW53" s="42"/>
      <c r="EUX53" s="42"/>
      <c r="EUY53" s="42"/>
      <c r="EUZ53" s="42"/>
      <c r="EVA53" s="2"/>
      <c r="EVB53" s="15"/>
      <c r="EVC53" s="42"/>
      <c r="EVD53" s="2"/>
      <c r="EVE53" s="2"/>
      <c r="EVF53" s="2"/>
      <c r="EVG53" s="2"/>
      <c r="EVH53" s="42"/>
      <c r="EVI53" s="42"/>
      <c r="EVJ53" s="42"/>
      <c r="EVK53" s="42"/>
      <c r="EVL53" s="42"/>
      <c r="EVM53" s="42"/>
      <c r="EVN53" s="42"/>
      <c r="EVO53" s="42"/>
      <c r="EVP53" s="42"/>
      <c r="EVQ53" s="42"/>
      <c r="EVR53" s="42"/>
      <c r="EVS53" s="42"/>
      <c r="EVT53" s="42"/>
      <c r="EVU53" s="42"/>
      <c r="EVV53" s="42"/>
      <c r="EVW53" s="42"/>
      <c r="EVX53" s="42"/>
      <c r="EVY53" s="42"/>
      <c r="EVZ53" s="42"/>
      <c r="EWA53" s="42"/>
      <c r="EWB53" s="42"/>
      <c r="EWC53" s="42"/>
      <c r="EWD53" s="42"/>
      <c r="EWE53" s="2"/>
      <c r="EWF53" s="15"/>
      <c r="EWG53" s="42"/>
      <c r="EWH53" s="2"/>
      <c r="EWI53" s="2"/>
      <c r="EWJ53" s="2"/>
      <c r="EWK53" s="2"/>
      <c r="EWL53" s="42"/>
      <c r="EWM53" s="42"/>
      <c r="EWN53" s="42"/>
      <c r="EWO53" s="42"/>
      <c r="EWP53" s="42"/>
      <c r="EWQ53" s="42"/>
      <c r="EWR53" s="42"/>
      <c r="EWS53" s="42"/>
      <c r="EWT53" s="42"/>
      <c r="EWU53" s="42"/>
      <c r="EWV53" s="42"/>
      <c r="EWW53" s="42"/>
      <c r="EWX53" s="42"/>
      <c r="EWY53" s="42"/>
      <c r="EWZ53" s="42"/>
      <c r="EXA53" s="42"/>
      <c r="EXB53" s="42"/>
      <c r="EXC53" s="42"/>
      <c r="EXD53" s="42"/>
      <c r="EXE53" s="42"/>
      <c r="EXF53" s="42"/>
      <c r="EXG53" s="42"/>
      <c r="EXH53" s="42"/>
      <c r="EXI53" s="2"/>
      <c r="EXJ53" s="15"/>
      <c r="EXK53" s="42"/>
      <c r="EXL53" s="2"/>
      <c r="EXM53" s="2"/>
      <c r="EXN53" s="2"/>
      <c r="EXO53" s="2"/>
      <c r="EXP53" s="42"/>
      <c r="EXQ53" s="42"/>
      <c r="EXR53" s="42"/>
      <c r="EXS53" s="42"/>
      <c r="EXT53" s="42"/>
      <c r="EXU53" s="42"/>
      <c r="EXV53" s="42"/>
      <c r="EXW53" s="42"/>
      <c r="EXX53" s="42"/>
      <c r="EXY53" s="42"/>
      <c r="EXZ53" s="42"/>
      <c r="EYA53" s="42"/>
      <c r="EYB53" s="42"/>
      <c r="EYC53" s="42"/>
      <c r="EYD53" s="42"/>
      <c r="EYE53" s="42"/>
      <c r="EYF53" s="42"/>
      <c r="EYG53" s="42"/>
      <c r="EYH53" s="42"/>
      <c r="EYI53" s="42"/>
      <c r="EYJ53" s="42"/>
      <c r="EYK53" s="42"/>
      <c r="EYL53" s="42"/>
      <c r="EYM53" s="2"/>
      <c r="EYN53" s="15"/>
      <c r="EYO53" s="42"/>
      <c r="EYP53" s="2"/>
      <c r="EYQ53" s="2"/>
      <c r="EYR53" s="2"/>
      <c r="EYS53" s="2"/>
      <c r="EYT53" s="42"/>
      <c r="EYU53" s="42"/>
      <c r="EYV53" s="42"/>
      <c r="EYW53" s="42"/>
      <c r="EYX53" s="42"/>
      <c r="EYY53" s="42"/>
      <c r="EYZ53" s="42"/>
      <c r="EZA53" s="42"/>
      <c r="EZB53" s="42"/>
      <c r="EZC53" s="42"/>
      <c r="EZD53" s="42"/>
      <c r="EZE53" s="42"/>
      <c r="EZF53" s="42"/>
      <c r="EZG53" s="42"/>
      <c r="EZH53" s="42"/>
      <c r="EZI53" s="42"/>
      <c r="EZJ53" s="42"/>
      <c r="EZK53" s="42"/>
      <c r="EZL53" s="42"/>
      <c r="EZM53" s="42"/>
      <c r="EZN53" s="42"/>
      <c r="EZO53" s="42"/>
      <c r="EZP53" s="42"/>
      <c r="EZQ53" s="2"/>
      <c r="EZR53" s="15"/>
      <c r="EZS53" s="42"/>
      <c r="EZT53" s="2"/>
      <c r="EZU53" s="2"/>
      <c r="EZV53" s="2"/>
      <c r="EZW53" s="2"/>
      <c r="EZX53" s="42"/>
      <c r="EZY53" s="42"/>
      <c r="EZZ53" s="42"/>
      <c r="FAA53" s="42"/>
      <c r="FAB53" s="42"/>
      <c r="FAC53" s="42"/>
      <c r="FAD53" s="42"/>
      <c r="FAE53" s="42"/>
      <c r="FAF53" s="42"/>
      <c r="FAG53" s="42"/>
      <c r="FAH53" s="42"/>
      <c r="FAI53" s="42"/>
      <c r="FAJ53" s="42"/>
      <c r="FAK53" s="42"/>
      <c r="FAL53" s="42"/>
      <c r="FAM53" s="42"/>
      <c r="FAN53" s="42"/>
      <c r="FAO53" s="42"/>
      <c r="FAP53" s="42"/>
      <c r="FAQ53" s="42"/>
      <c r="FAR53" s="42"/>
      <c r="FAS53" s="42"/>
      <c r="FAT53" s="42"/>
      <c r="FAU53" s="2"/>
      <c r="FAV53" s="15"/>
      <c r="FAW53" s="42"/>
      <c r="FAX53" s="2"/>
      <c r="FAY53" s="2"/>
      <c r="FAZ53" s="2"/>
      <c r="FBA53" s="2"/>
      <c r="FBB53" s="42"/>
      <c r="FBC53" s="42"/>
      <c r="FBD53" s="42"/>
      <c r="FBE53" s="42"/>
      <c r="FBF53" s="42"/>
      <c r="FBG53" s="42"/>
      <c r="FBH53" s="42"/>
      <c r="FBI53" s="42"/>
      <c r="FBJ53" s="42"/>
      <c r="FBK53" s="42"/>
      <c r="FBL53" s="42"/>
      <c r="FBM53" s="42"/>
      <c r="FBN53" s="42"/>
      <c r="FBO53" s="42"/>
      <c r="FBP53" s="42"/>
      <c r="FBQ53" s="42"/>
      <c r="FBR53" s="42"/>
      <c r="FBS53" s="42"/>
      <c r="FBT53" s="42"/>
      <c r="FBU53" s="42"/>
      <c r="FBV53" s="42"/>
      <c r="FBW53" s="42"/>
      <c r="FBX53" s="42"/>
      <c r="FBY53" s="2"/>
      <c r="FBZ53" s="15"/>
      <c r="FCA53" s="42"/>
      <c r="FCB53" s="2"/>
      <c r="FCC53" s="2"/>
      <c r="FCD53" s="2"/>
      <c r="FCE53" s="2"/>
      <c r="FCF53" s="42"/>
      <c r="FCG53" s="42"/>
      <c r="FCH53" s="42"/>
      <c r="FCI53" s="42"/>
      <c r="FCJ53" s="42"/>
      <c r="FCK53" s="42"/>
      <c r="FCL53" s="42"/>
      <c r="FCM53" s="42"/>
      <c r="FCN53" s="42"/>
      <c r="FCO53" s="42"/>
      <c r="FCP53" s="42"/>
      <c r="FCQ53" s="42"/>
      <c r="FCR53" s="42"/>
      <c r="FCS53" s="42"/>
      <c r="FCT53" s="42"/>
      <c r="FCU53" s="42"/>
      <c r="FCV53" s="42"/>
      <c r="FCW53" s="42"/>
      <c r="FCX53" s="42"/>
      <c r="FCY53" s="42"/>
      <c r="FCZ53" s="42"/>
      <c r="FDA53" s="42"/>
      <c r="FDB53" s="42"/>
      <c r="FDC53" s="2"/>
      <c r="FDD53" s="15"/>
      <c r="FDE53" s="42"/>
      <c r="FDF53" s="2"/>
      <c r="FDG53" s="2"/>
      <c r="FDH53" s="2"/>
      <c r="FDI53" s="2"/>
      <c r="FDJ53" s="42"/>
      <c r="FDK53" s="42"/>
      <c r="FDL53" s="42"/>
      <c r="FDM53" s="42"/>
      <c r="FDN53" s="42"/>
      <c r="FDO53" s="42"/>
      <c r="FDP53" s="42"/>
      <c r="FDQ53" s="42"/>
      <c r="FDR53" s="42"/>
      <c r="FDS53" s="42"/>
      <c r="FDT53" s="42"/>
      <c r="FDU53" s="42"/>
      <c r="FDV53" s="42"/>
      <c r="FDW53" s="42"/>
      <c r="FDX53" s="42"/>
      <c r="FDY53" s="42"/>
      <c r="FDZ53" s="42"/>
      <c r="FEA53" s="42"/>
      <c r="FEB53" s="42"/>
      <c r="FEC53" s="42"/>
      <c r="FED53" s="42"/>
      <c r="FEE53" s="42"/>
      <c r="FEF53" s="42"/>
      <c r="FEG53" s="2"/>
      <c r="FEH53" s="15"/>
      <c r="FEI53" s="42"/>
      <c r="FEJ53" s="2"/>
      <c r="FEK53" s="2"/>
      <c r="FEL53" s="2"/>
      <c r="FEM53" s="2"/>
      <c r="FEN53" s="42"/>
      <c r="FEO53" s="42"/>
      <c r="FEP53" s="42"/>
      <c r="FEQ53" s="42"/>
      <c r="FER53" s="42"/>
      <c r="FES53" s="42"/>
      <c r="FET53" s="42"/>
      <c r="FEU53" s="42"/>
      <c r="FEV53" s="42"/>
      <c r="FEW53" s="42"/>
      <c r="FEX53" s="42"/>
      <c r="FEY53" s="42"/>
      <c r="FEZ53" s="42"/>
      <c r="FFA53" s="42"/>
      <c r="FFB53" s="42"/>
      <c r="FFC53" s="42"/>
      <c r="FFD53" s="42"/>
      <c r="FFE53" s="42"/>
      <c r="FFF53" s="42"/>
      <c r="FFG53" s="42"/>
      <c r="FFH53" s="42"/>
      <c r="FFI53" s="42"/>
      <c r="FFJ53" s="42"/>
      <c r="FFK53" s="2"/>
      <c r="FFL53" s="15"/>
      <c r="FFM53" s="42"/>
      <c r="FFN53" s="2"/>
      <c r="FFO53" s="2"/>
      <c r="FFP53" s="2"/>
      <c r="FFQ53" s="2"/>
      <c r="FFR53" s="42"/>
      <c r="FFS53" s="42"/>
      <c r="FFT53" s="42"/>
      <c r="FFU53" s="42"/>
      <c r="FFV53" s="42"/>
      <c r="FFW53" s="42"/>
      <c r="FFX53" s="42"/>
      <c r="FFY53" s="42"/>
      <c r="FFZ53" s="42"/>
      <c r="FGA53" s="42"/>
      <c r="FGB53" s="42"/>
      <c r="FGC53" s="42"/>
      <c r="FGD53" s="42"/>
      <c r="FGE53" s="42"/>
      <c r="FGF53" s="42"/>
      <c r="FGG53" s="42"/>
      <c r="FGH53" s="42"/>
      <c r="FGI53" s="42"/>
      <c r="FGJ53" s="42"/>
      <c r="FGK53" s="42"/>
      <c r="FGL53" s="42"/>
      <c r="FGM53" s="42"/>
      <c r="FGN53" s="42"/>
      <c r="FGO53" s="2"/>
      <c r="FGP53" s="15"/>
      <c r="FGQ53" s="42"/>
      <c r="FGR53" s="2"/>
      <c r="FGS53" s="2"/>
      <c r="FGT53" s="2"/>
      <c r="FGU53" s="2"/>
      <c r="FGV53" s="42"/>
      <c r="FGW53" s="42"/>
      <c r="FGX53" s="42"/>
      <c r="FGY53" s="42"/>
      <c r="FGZ53" s="42"/>
      <c r="FHA53" s="42"/>
      <c r="FHB53" s="42"/>
      <c r="FHC53" s="42"/>
      <c r="FHD53" s="42"/>
      <c r="FHE53" s="42"/>
      <c r="FHF53" s="42"/>
      <c r="FHG53" s="42"/>
      <c r="FHH53" s="42"/>
      <c r="FHI53" s="42"/>
      <c r="FHJ53" s="42"/>
      <c r="FHK53" s="42"/>
      <c r="FHL53" s="42"/>
      <c r="FHM53" s="42"/>
      <c r="FHN53" s="42"/>
      <c r="FHO53" s="42"/>
      <c r="FHP53" s="42"/>
      <c r="FHQ53" s="42"/>
      <c r="FHR53" s="42"/>
      <c r="FHS53" s="2"/>
      <c r="FHT53" s="15"/>
      <c r="FHU53" s="42"/>
      <c r="FHV53" s="2"/>
      <c r="FHW53" s="2"/>
      <c r="FHX53" s="2"/>
      <c r="FHY53" s="2"/>
      <c r="FHZ53" s="42"/>
      <c r="FIA53" s="42"/>
      <c r="FIB53" s="42"/>
      <c r="FIC53" s="42"/>
      <c r="FID53" s="42"/>
      <c r="FIE53" s="42"/>
      <c r="FIF53" s="42"/>
      <c r="FIG53" s="42"/>
      <c r="FIH53" s="42"/>
      <c r="FII53" s="42"/>
      <c r="FIJ53" s="42"/>
      <c r="FIK53" s="42"/>
      <c r="FIL53" s="42"/>
      <c r="FIM53" s="42"/>
      <c r="FIN53" s="42"/>
      <c r="FIO53" s="42"/>
      <c r="FIP53" s="42"/>
      <c r="FIQ53" s="42"/>
      <c r="FIR53" s="42"/>
      <c r="FIS53" s="42"/>
      <c r="FIT53" s="42"/>
      <c r="FIU53" s="42"/>
      <c r="FIV53" s="42"/>
      <c r="FIW53" s="2"/>
      <c r="FIX53" s="15"/>
      <c r="FIY53" s="42"/>
      <c r="FIZ53" s="2"/>
      <c r="FJA53" s="2"/>
      <c r="FJB53" s="2"/>
      <c r="FJC53" s="2"/>
      <c r="FJD53" s="42"/>
      <c r="FJE53" s="42"/>
      <c r="FJF53" s="42"/>
      <c r="FJG53" s="42"/>
      <c r="FJH53" s="42"/>
      <c r="FJI53" s="42"/>
      <c r="FJJ53" s="42"/>
      <c r="FJK53" s="42"/>
      <c r="FJL53" s="42"/>
      <c r="FJM53" s="42"/>
      <c r="FJN53" s="42"/>
      <c r="FJO53" s="42"/>
      <c r="FJP53" s="42"/>
      <c r="FJQ53" s="42"/>
      <c r="FJR53" s="42"/>
      <c r="FJS53" s="42"/>
      <c r="FJT53" s="42"/>
      <c r="FJU53" s="42"/>
      <c r="FJV53" s="42"/>
      <c r="FJW53" s="42"/>
      <c r="FJX53" s="42"/>
      <c r="FJY53" s="42"/>
      <c r="FJZ53" s="42"/>
      <c r="FKA53" s="2"/>
      <c r="FKB53" s="15"/>
      <c r="FKC53" s="42"/>
      <c r="FKD53" s="2"/>
      <c r="FKE53" s="2"/>
      <c r="FKF53" s="2"/>
      <c r="FKG53" s="2"/>
      <c r="FKH53" s="42"/>
      <c r="FKI53" s="42"/>
      <c r="FKJ53" s="42"/>
      <c r="FKK53" s="42"/>
      <c r="FKL53" s="42"/>
      <c r="FKM53" s="42"/>
      <c r="FKN53" s="42"/>
      <c r="FKO53" s="42"/>
      <c r="FKP53" s="42"/>
      <c r="FKQ53" s="42"/>
      <c r="FKR53" s="42"/>
      <c r="FKS53" s="42"/>
      <c r="FKT53" s="42"/>
      <c r="FKU53" s="42"/>
      <c r="FKV53" s="42"/>
      <c r="FKW53" s="42"/>
      <c r="FKX53" s="42"/>
      <c r="FKY53" s="42"/>
      <c r="FKZ53" s="42"/>
      <c r="FLA53" s="42"/>
      <c r="FLB53" s="42"/>
      <c r="FLC53" s="42"/>
      <c r="FLD53" s="42"/>
      <c r="FLE53" s="2"/>
      <c r="FLF53" s="15"/>
      <c r="FLG53" s="42"/>
      <c r="FLH53" s="2"/>
      <c r="FLI53" s="2"/>
      <c r="FLJ53" s="2"/>
      <c r="FLK53" s="2"/>
      <c r="FLL53" s="42"/>
      <c r="FLM53" s="42"/>
      <c r="FLN53" s="42"/>
      <c r="FLO53" s="42"/>
      <c r="FLP53" s="42"/>
      <c r="FLQ53" s="42"/>
      <c r="FLR53" s="42"/>
      <c r="FLS53" s="42"/>
      <c r="FLT53" s="42"/>
      <c r="FLU53" s="42"/>
      <c r="FLV53" s="42"/>
      <c r="FLW53" s="42"/>
      <c r="FLX53" s="42"/>
      <c r="FLY53" s="42"/>
      <c r="FLZ53" s="42"/>
      <c r="FMA53" s="42"/>
      <c r="FMB53" s="42"/>
      <c r="FMC53" s="42"/>
      <c r="FMD53" s="42"/>
      <c r="FME53" s="42"/>
      <c r="FMF53" s="42"/>
      <c r="FMG53" s="42"/>
      <c r="FMH53" s="42"/>
      <c r="FMI53" s="2"/>
      <c r="FMJ53" s="15"/>
      <c r="FMK53" s="42"/>
      <c r="FML53" s="2"/>
      <c r="FMM53" s="2"/>
      <c r="FMN53" s="2"/>
      <c r="FMO53" s="2"/>
      <c r="FMP53" s="42"/>
      <c r="FMQ53" s="42"/>
      <c r="FMR53" s="42"/>
      <c r="FMS53" s="42"/>
      <c r="FMT53" s="42"/>
      <c r="FMU53" s="42"/>
      <c r="FMV53" s="42"/>
      <c r="FMW53" s="42"/>
      <c r="FMX53" s="42"/>
      <c r="FMY53" s="42"/>
      <c r="FMZ53" s="42"/>
      <c r="FNA53" s="42"/>
      <c r="FNB53" s="42"/>
      <c r="FNC53" s="42"/>
      <c r="FND53" s="42"/>
      <c r="FNE53" s="42"/>
      <c r="FNF53" s="42"/>
      <c r="FNG53" s="42"/>
      <c r="FNH53" s="42"/>
      <c r="FNI53" s="42"/>
      <c r="FNJ53" s="42"/>
      <c r="FNK53" s="42"/>
      <c r="FNL53" s="42"/>
      <c r="FNM53" s="2"/>
      <c r="FNN53" s="15"/>
      <c r="FNO53" s="42"/>
      <c r="FNP53" s="2"/>
      <c r="FNQ53" s="2"/>
      <c r="FNR53" s="2"/>
      <c r="FNS53" s="2"/>
      <c r="FNT53" s="42"/>
      <c r="FNU53" s="42"/>
      <c r="FNV53" s="42"/>
      <c r="FNW53" s="42"/>
      <c r="FNX53" s="42"/>
      <c r="FNY53" s="42"/>
      <c r="FNZ53" s="42"/>
      <c r="FOA53" s="42"/>
      <c r="FOB53" s="42"/>
      <c r="FOC53" s="42"/>
      <c r="FOD53" s="42"/>
      <c r="FOE53" s="42"/>
      <c r="FOF53" s="42"/>
      <c r="FOG53" s="42"/>
      <c r="FOH53" s="42"/>
      <c r="FOI53" s="42"/>
      <c r="FOJ53" s="42"/>
      <c r="FOK53" s="42"/>
      <c r="FOL53" s="42"/>
      <c r="FOM53" s="42"/>
      <c r="FON53" s="42"/>
      <c r="FOO53" s="42"/>
      <c r="FOP53" s="42"/>
      <c r="FOQ53" s="2"/>
      <c r="FOR53" s="15"/>
      <c r="FOS53" s="42"/>
      <c r="FOT53" s="2"/>
      <c r="FOU53" s="2"/>
      <c r="FOV53" s="2"/>
      <c r="FOW53" s="2"/>
      <c r="FOX53" s="42"/>
      <c r="FOY53" s="42"/>
      <c r="FOZ53" s="42"/>
      <c r="FPA53" s="42"/>
      <c r="FPB53" s="42"/>
      <c r="FPC53" s="42"/>
      <c r="FPD53" s="42"/>
      <c r="FPE53" s="42"/>
      <c r="FPF53" s="42"/>
      <c r="FPG53" s="42"/>
      <c r="FPH53" s="42"/>
      <c r="FPI53" s="42"/>
      <c r="FPJ53" s="42"/>
      <c r="FPK53" s="42"/>
      <c r="FPL53" s="42"/>
      <c r="FPM53" s="42"/>
      <c r="FPN53" s="42"/>
      <c r="FPO53" s="42"/>
      <c r="FPP53" s="42"/>
      <c r="FPQ53" s="42"/>
      <c r="FPR53" s="42"/>
      <c r="FPS53" s="42"/>
      <c r="FPT53" s="42"/>
      <c r="FPU53" s="2"/>
      <c r="FPV53" s="15"/>
      <c r="FPW53" s="42"/>
      <c r="FPX53" s="2"/>
      <c r="FPY53" s="2"/>
      <c r="FPZ53" s="2"/>
      <c r="FQA53" s="2"/>
      <c r="FQB53" s="42"/>
      <c r="FQC53" s="42"/>
      <c r="FQD53" s="42"/>
      <c r="FQE53" s="42"/>
      <c r="FQF53" s="42"/>
      <c r="FQG53" s="42"/>
      <c r="FQH53" s="42"/>
      <c r="FQI53" s="42"/>
      <c r="FQJ53" s="42"/>
      <c r="FQK53" s="42"/>
      <c r="FQL53" s="42"/>
      <c r="FQM53" s="42"/>
      <c r="FQN53" s="42"/>
      <c r="FQO53" s="42"/>
      <c r="FQP53" s="42"/>
      <c r="FQQ53" s="42"/>
      <c r="FQR53" s="42"/>
      <c r="FQS53" s="42"/>
      <c r="FQT53" s="42"/>
      <c r="FQU53" s="42"/>
      <c r="FQV53" s="42"/>
      <c r="FQW53" s="42"/>
      <c r="FQX53" s="42"/>
      <c r="FQY53" s="2"/>
      <c r="FQZ53" s="15"/>
      <c r="FRA53" s="42"/>
      <c r="FRB53" s="2"/>
      <c r="FRC53" s="2"/>
      <c r="FRD53" s="2"/>
      <c r="FRE53" s="2"/>
      <c r="FRF53" s="42"/>
      <c r="FRG53" s="42"/>
      <c r="FRH53" s="42"/>
      <c r="FRI53" s="42"/>
      <c r="FRJ53" s="42"/>
      <c r="FRK53" s="42"/>
      <c r="FRL53" s="42"/>
      <c r="FRM53" s="42"/>
      <c r="FRN53" s="42"/>
      <c r="FRO53" s="42"/>
      <c r="FRP53" s="42"/>
      <c r="FRQ53" s="42"/>
      <c r="FRR53" s="42"/>
      <c r="FRS53" s="42"/>
      <c r="FRT53" s="42"/>
      <c r="FRU53" s="42"/>
      <c r="FRV53" s="42"/>
      <c r="FRW53" s="42"/>
      <c r="FRX53" s="42"/>
      <c r="FRY53" s="42"/>
      <c r="FRZ53" s="42"/>
      <c r="FSA53" s="42"/>
      <c r="FSB53" s="42"/>
      <c r="FSC53" s="2"/>
      <c r="FSD53" s="15"/>
      <c r="FSE53" s="42"/>
      <c r="FSF53" s="2"/>
      <c r="FSG53" s="2"/>
      <c r="FSH53" s="2"/>
      <c r="FSI53" s="2"/>
      <c r="FSJ53" s="42"/>
      <c r="FSK53" s="42"/>
      <c r="FSL53" s="42"/>
      <c r="FSM53" s="42"/>
      <c r="FSN53" s="42"/>
      <c r="FSO53" s="42"/>
      <c r="FSP53" s="42"/>
      <c r="FSQ53" s="42"/>
      <c r="FSR53" s="42"/>
      <c r="FSS53" s="42"/>
      <c r="FST53" s="42"/>
      <c r="FSU53" s="42"/>
      <c r="FSV53" s="42"/>
      <c r="FSW53" s="42"/>
      <c r="FSX53" s="42"/>
      <c r="FSY53" s="42"/>
      <c r="FSZ53" s="42"/>
      <c r="FTA53" s="42"/>
      <c r="FTB53" s="42"/>
      <c r="FTC53" s="42"/>
      <c r="FTD53" s="42"/>
      <c r="FTE53" s="42"/>
      <c r="FTF53" s="42"/>
      <c r="FTG53" s="2"/>
      <c r="FTH53" s="15"/>
      <c r="FTI53" s="42"/>
      <c r="FTJ53" s="2"/>
      <c r="FTK53" s="2"/>
      <c r="FTL53" s="2"/>
      <c r="FTM53" s="2"/>
      <c r="FTN53" s="42"/>
      <c r="FTO53" s="42"/>
      <c r="FTP53" s="42"/>
      <c r="FTQ53" s="42"/>
      <c r="FTR53" s="42"/>
      <c r="FTS53" s="42"/>
      <c r="FTT53" s="42"/>
      <c r="FTU53" s="42"/>
      <c r="FTV53" s="42"/>
      <c r="FTW53" s="42"/>
      <c r="FTX53" s="42"/>
      <c r="FTY53" s="42"/>
      <c r="FTZ53" s="42"/>
      <c r="FUA53" s="42"/>
      <c r="FUB53" s="42"/>
      <c r="FUC53" s="42"/>
      <c r="FUD53" s="42"/>
      <c r="FUE53" s="42"/>
      <c r="FUF53" s="42"/>
      <c r="FUG53" s="42"/>
      <c r="FUH53" s="42"/>
      <c r="FUI53" s="42"/>
      <c r="FUJ53" s="42"/>
      <c r="FUK53" s="2"/>
      <c r="FUL53" s="15"/>
      <c r="FUM53" s="42"/>
      <c r="FUN53" s="2"/>
      <c r="FUO53" s="2"/>
      <c r="FUP53" s="2"/>
      <c r="FUQ53" s="2"/>
      <c r="FUR53" s="42"/>
      <c r="FUS53" s="42"/>
      <c r="FUT53" s="42"/>
      <c r="FUU53" s="42"/>
      <c r="FUV53" s="42"/>
      <c r="FUW53" s="42"/>
      <c r="FUX53" s="42"/>
      <c r="FUY53" s="42"/>
      <c r="FUZ53" s="42"/>
      <c r="FVA53" s="42"/>
      <c r="FVB53" s="42"/>
      <c r="FVC53" s="42"/>
      <c r="FVD53" s="42"/>
      <c r="FVE53" s="42"/>
      <c r="FVF53" s="42"/>
      <c r="FVG53" s="42"/>
      <c r="FVH53" s="42"/>
      <c r="FVI53" s="42"/>
      <c r="FVJ53" s="42"/>
      <c r="FVK53" s="42"/>
      <c r="FVL53" s="42"/>
      <c r="FVM53" s="42"/>
      <c r="FVN53" s="42"/>
      <c r="FVO53" s="2"/>
      <c r="FVP53" s="15"/>
      <c r="FVQ53" s="42"/>
      <c r="FVR53" s="2"/>
      <c r="FVS53" s="2"/>
      <c r="FVT53" s="2"/>
      <c r="FVU53" s="2"/>
      <c r="FVV53" s="42"/>
      <c r="FVW53" s="42"/>
      <c r="FVX53" s="42"/>
      <c r="FVY53" s="42"/>
      <c r="FVZ53" s="42"/>
      <c r="FWA53" s="42"/>
      <c r="FWB53" s="42"/>
      <c r="FWC53" s="42"/>
      <c r="FWD53" s="42"/>
      <c r="FWE53" s="42"/>
      <c r="FWF53" s="42"/>
      <c r="FWG53" s="42"/>
      <c r="FWH53" s="42"/>
      <c r="FWI53" s="42"/>
      <c r="FWJ53" s="42"/>
      <c r="FWK53" s="42"/>
      <c r="FWL53" s="42"/>
      <c r="FWM53" s="42"/>
      <c r="FWN53" s="42"/>
      <c r="FWO53" s="42"/>
      <c r="FWP53" s="42"/>
      <c r="FWQ53" s="42"/>
      <c r="FWR53" s="42"/>
      <c r="FWS53" s="2"/>
      <c r="FWT53" s="15"/>
      <c r="FWU53" s="42"/>
      <c r="FWV53" s="2"/>
      <c r="FWW53" s="2"/>
      <c r="FWX53" s="2"/>
      <c r="FWY53" s="2"/>
      <c r="FWZ53" s="42"/>
      <c r="FXA53" s="42"/>
      <c r="FXB53" s="42"/>
      <c r="FXC53" s="42"/>
      <c r="FXD53" s="42"/>
      <c r="FXE53" s="42"/>
      <c r="FXF53" s="42"/>
      <c r="FXG53" s="42"/>
      <c r="FXH53" s="42"/>
      <c r="FXI53" s="42"/>
      <c r="FXJ53" s="42"/>
      <c r="FXK53" s="42"/>
      <c r="FXL53" s="42"/>
      <c r="FXM53" s="42"/>
      <c r="FXN53" s="42"/>
      <c r="FXO53" s="42"/>
      <c r="FXP53" s="42"/>
      <c r="FXQ53" s="42"/>
      <c r="FXR53" s="42"/>
      <c r="FXS53" s="42"/>
      <c r="FXT53" s="42"/>
      <c r="FXU53" s="42"/>
      <c r="FXV53" s="42"/>
      <c r="FXW53" s="2"/>
      <c r="FXX53" s="15"/>
      <c r="FXY53" s="42"/>
      <c r="FXZ53" s="2"/>
      <c r="FYA53" s="2"/>
      <c r="FYB53" s="2"/>
      <c r="FYC53" s="2"/>
      <c r="FYD53" s="42"/>
      <c r="FYE53" s="42"/>
      <c r="FYF53" s="42"/>
      <c r="FYG53" s="42"/>
      <c r="FYH53" s="42"/>
      <c r="FYI53" s="42"/>
      <c r="FYJ53" s="42"/>
      <c r="FYK53" s="42"/>
      <c r="FYL53" s="42"/>
      <c r="FYM53" s="42"/>
      <c r="FYN53" s="42"/>
      <c r="FYO53" s="42"/>
      <c r="FYP53" s="42"/>
      <c r="FYQ53" s="42"/>
      <c r="FYR53" s="42"/>
      <c r="FYS53" s="42"/>
      <c r="FYT53" s="42"/>
      <c r="FYU53" s="42"/>
      <c r="FYV53" s="42"/>
      <c r="FYW53" s="42"/>
      <c r="FYX53" s="42"/>
      <c r="FYY53" s="42"/>
      <c r="FYZ53" s="42"/>
      <c r="FZA53" s="2"/>
      <c r="FZB53" s="15"/>
      <c r="FZC53" s="42"/>
      <c r="FZD53" s="2"/>
      <c r="FZE53" s="2"/>
      <c r="FZF53" s="2"/>
      <c r="FZG53" s="2"/>
      <c r="FZH53" s="42"/>
      <c r="FZI53" s="42"/>
      <c r="FZJ53" s="42"/>
      <c r="FZK53" s="42"/>
      <c r="FZL53" s="42"/>
      <c r="FZM53" s="42"/>
      <c r="FZN53" s="42"/>
      <c r="FZO53" s="42"/>
      <c r="FZP53" s="42"/>
      <c r="FZQ53" s="42"/>
      <c r="FZR53" s="42"/>
      <c r="FZS53" s="42"/>
      <c r="FZT53" s="42"/>
      <c r="FZU53" s="42"/>
      <c r="FZV53" s="42"/>
      <c r="FZW53" s="42"/>
      <c r="FZX53" s="42"/>
      <c r="FZY53" s="42"/>
      <c r="FZZ53" s="42"/>
      <c r="GAA53" s="42"/>
      <c r="GAB53" s="42"/>
      <c r="GAC53" s="42"/>
      <c r="GAD53" s="42"/>
      <c r="GAE53" s="2"/>
      <c r="GAF53" s="15"/>
      <c r="GAG53" s="42"/>
      <c r="GAH53" s="2"/>
      <c r="GAI53" s="2"/>
      <c r="GAJ53" s="2"/>
      <c r="GAK53" s="2"/>
      <c r="GAL53" s="42"/>
      <c r="GAM53" s="42"/>
      <c r="GAN53" s="42"/>
      <c r="GAO53" s="42"/>
      <c r="GAP53" s="42"/>
      <c r="GAQ53" s="42"/>
      <c r="GAR53" s="42"/>
      <c r="GAS53" s="42"/>
      <c r="GAT53" s="42"/>
      <c r="GAU53" s="42"/>
      <c r="GAV53" s="42"/>
      <c r="GAW53" s="42"/>
      <c r="GAX53" s="42"/>
      <c r="GAY53" s="42"/>
      <c r="GAZ53" s="42"/>
      <c r="GBA53" s="42"/>
      <c r="GBB53" s="42"/>
      <c r="GBC53" s="42"/>
      <c r="GBD53" s="42"/>
      <c r="GBE53" s="42"/>
      <c r="GBF53" s="42"/>
      <c r="GBG53" s="42"/>
      <c r="GBH53" s="42"/>
      <c r="GBI53" s="2"/>
      <c r="GBJ53" s="15"/>
      <c r="GBK53" s="42"/>
      <c r="GBL53" s="2"/>
      <c r="GBM53" s="2"/>
      <c r="GBN53" s="2"/>
      <c r="GBO53" s="2"/>
      <c r="GBP53" s="42"/>
      <c r="GBQ53" s="42"/>
      <c r="GBR53" s="42"/>
      <c r="GBS53" s="42"/>
      <c r="GBT53" s="42"/>
      <c r="GBU53" s="42"/>
      <c r="GBV53" s="42"/>
      <c r="GBW53" s="42"/>
      <c r="GBX53" s="42"/>
      <c r="GBY53" s="42"/>
      <c r="GBZ53" s="42"/>
      <c r="GCA53" s="42"/>
      <c r="GCB53" s="42"/>
      <c r="GCC53" s="42"/>
      <c r="GCD53" s="42"/>
      <c r="GCE53" s="42"/>
      <c r="GCF53" s="42"/>
      <c r="GCG53" s="42"/>
      <c r="GCH53" s="42"/>
      <c r="GCI53" s="42"/>
      <c r="GCJ53" s="42"/>
      <c r="GCK53" s="42"/>
      <c r="GCL53" s="42"/>
      <c r="GCM53" s="2"/>
      <c r="GCN53" s="15"/>
      <c r="GCO53" s="42"/>
      <c r="GCP53" s="2"/>
      <c r="GCQ53" s="2"/>
      <c r="GCR53" s="2"/>
      <c r="GCS53" s="2"/>
      <c r="GCT53" s="42"/>
      <c r="GCU53" s="42"/>
      <c r="GCV53" s="42"/>
      <c r="GCW53" s="42"/>
      <c r="GCX53" s="42"/>
      <c r="GCY53" s="42"/>
      <c r="GCZ53" s="42"/>
      <c r="GDA53" s="42"/>
      <c r="GDB53" s="42"/>
      <c r="GDC53" s="42"/>
      <c r="GDD53" s="42"/>
      <c r="GDE53" s="42"/>
      <c r="GDF53" s="42"/>
      <c r="GDG53" s="42"/>
      <c r="GDH53" s="42"/>
      <c r="GDI53" s="42"/>
      <c r="GDJ53" s="42"/>
      <c r="GDK53" s="42"/>
      <c r="GDL53" s="42"/>
      <c r="GDM53" s="42"/>
      <c r="GDN53" s="42"/>
      <c r="GDO53" s="42"/>
      <c r="GDP53" s="42"/>
      <c r="GDQ53" s="2"/>
      <c r="GDR53" s="15"/>
      <c r="GDS53" s="42"/>
      <c r="GDT53" s="2"/>
      <c r="GDU53" s="2"/>
      <c r="GDV53" s="2"/>
      <c r="GDW53" s="2"/>
      <c r="GDX53" s="42"/>
      <c r="GDY53" s="42"/>
      <c r="GDZ53" s="42"/>
      <c r="GEA53" s="42"/>
      <c r="GEB53" s="42"/>
      <c r="GEC53" s="42"/>
      <c r="GED53" s="42"/>
      <c r="GEE53" s="42"/>
      <c r="GEF53" s="42"/>
      <c r="GEG53" s="42"/>
      <c r="GEH53" s="42"/>
      <c r="GEI53" s="42"/>
      <c r="GEJ53" s="42"/>
      <c r="GEK53" s="42"/>
      <c r="GEL53" s="42"/>
      <c r="GEM53" s="42"/>
      <c r="GEN53" s="42"/>
      <c r="GEO53" s="42"/>
      <c r="GEP53" s="42"/>
      <c r="GEQ53" s="42"/>
      <c r="GER53" s="42"/>
      <c r="GES53" s="42"/>
      <c r="GET53" s="42"/>
      <c r="GEU53" s="2"/>
      <c r="GEV53" s="15"/>
      <c r="GEW53" s="42"/>
      <c r="GEX53" s="2"/>
      <c r="GEY53" s="2"/>
      <c r="GEZ53" s="2"/>
      <c r="GFA53" s="2"/>
      <c r="GFB53" s="42"/>
      <c r="GFC53" s="42"/>
      <c r="GFD53" s="42"/>
      <c r="GFE53" s="42"/>
      <c r="GFF53" s="42"/>
      <c r="GFG53" s="42"/>
      <c r="GFH53" s="42"/>
      <c r="GFI53" s="42"/>
      <c r="GFJ53" s="42"/>
      <c r="GFK53" s="42"/>
      <c r="GFL53" s="42"/>
      <c r="GFM53" s="42"/>
      <c r="GFN53" s="42"/>
      <c r="GFO53" s="42"/>
      <c r="GFP53" s="42"/>
      <c r="GFQ53" s="42"/>
      <c r="GFR53" s="42"/>
      <c r="GFS53" s="42"/>
      <c r="GFT53" s="42"/>
      <c r="GFU53" s="42"/>
      <c r="GFV53" s="42"/>
      <c r="GFW53" s="42"/>
      <c r="GFX53" s="42"/>
      <c r="GFY53" s="2"/>
      <c r="GFZ53" s="15"/>
      <c r="GGA53" s="42"/>
      <c r="GGB53" s="2"/>
      <c r="GGC53" s="2"/>
      <c r="GGD53" s="2"/>
      <c r="GGE53" s="2"/>
      <c r="GGF53" s="42"/>
      <c r="GGG53" s="42"/>
      <c r="GGH53" s="42"/>
      <c r="GGI53" s="42"/>
      <c r="GGJ53" s="42"/>
      <c r="GGK53" s="42"/>
      <c r="GGL53" s="42"/>
      <c r="GGM53" s="42"/>
      <c r="GGN53" s="42"/>
      <c r="GGO53" s="42"/>
      <c r="GGP53" s="42"/>
      <c r="GGQ53" s="42"/>
      <c r="GGR53" s="42"/>
      <c r="GGS53" s="42"/>
      <c r="GGT53" s="42"/>
      <c r="GGU53" s="42"/>
      <c r="GGV53" s="42"/>
      <c r="GGW53" s="42"/>
      <c r="GGX53" s="42"/>
      <c r="GGY53" s="42"/>
      <c r="GGZ53" s="42"/>
      <c r="GHA53" s="42"/>
      <c r="GHB53" s="42"/>
      <c r="GHC53" s="2"/>
      <c r="GHD53" s="15"/>
      <c r="GHE53" s="42"/>
      <c r="GHF53" s="2"/>
      <c r="GHG53" s="2"/>
      <c r="GHH53" s="2"/>
      <c r="GHI53" s="2"/>
      <c r="GHJ53" s="42"/>
      <c r="GHK53" s="42"/>
      <c r="GHL53" s="42"/>
      <c r="GHM53" s="42"/>
      <c r="GHN53" s="42"/>
      <c r="GHO53" s="42"/>
      <c r="GHP53" s="42"/>
      <c r="GHQ53" s="42"/>
      <c r="GHR53" s="42"/>
      <c r="GHS53" s="42"/>
      <c r="GHT53" s="42"/>
      <c r="GHU53" s="42"/>
      <c r="GHV53" s="42"/>
      <c r="GHW53" s="42"/>
      <c r="GHX53" s="42"/>
      <c r="GHY53" s="42"/>
      <c r="GHZ53" s="42"/>
      <c r="GIA53" s="42"/>
      <c r="GIB53" s="42"/>
      <c r="GIC53" s="42"/>
      <c r="GID53" s="42"/>
      <c r="GIE53" s="42"/>
      <c r="GIF53" s="42"/>
      <c r="GIG53" s="2"/>
      <c r="GIH53" s="15"/>
      <c r="GII53" s="42"/>
      <c r="GIJ53" s="2"/>
      <c r="GIK53" s="2"/>
      <c r="GIL53" s="2"/>
      <c r="GIM53" s="2"/>
      <c r="GIN53" s="42"/>
      <c r="GIO53" s="42"/>
      <c r="GIP53" s="42"/>
      <c r="GIQ53" s="42"/>
      <c r="GIR53" s="42"/>
      <c r="GIS53" s="42"/>
      <c r="GIT53" s="42"/>
      <c r="GIU53" s="42"/>
      <c r="GIV53" s="42"/>
      <c r="GIW53" s="42"/>
      <c r="GIX53" s="42"/>
      <c r="GIY53" s="42"/>
      <c r="GIZ53" s="42"/>
      <c r="GJA53" s="42"/>
      <c r="GJB53" s="42"/>
      <c r="GJC53" s="42"/>
      <c r="GJD53" s="42"/>
      <c r="GJE53" s="42"/>
      <c r="GJF53" s="42"/>
      <c r="GJG53" s="42"/>
      <c r="GJH53" s="42"/>
      <c r="GJI53" s="42"/>
      <c r="GJJ53" s="42"/>
      <c r="GJK53" s="2"/>
      <c r="GJL53" s="15"/>
      <c r="GJM53" s="42"/>
      <c r="GJN53" s="2"/>
      <c r="GJO53" s="2"/>
      <c r="GJP53" s="2"/>
      <c r="GJQ53" s="2"/>
      <c r="GJR53" s="42"/>
      <c r="GJS53" s="42"/>
      <c r="GJT53" s="42"/>
      <c r="GJU53" s="42"/>
      <c r="GJV53" s="42"/>
      <c r="GJW53" s="42"/>
      <c r="GJX53" s="42"/>
      <c r="GJY53" s="42"/>
      <c r="GJZ53" s="42"/>
      <c r="GKA53" s="42"/>
      <c r="GKB53" s="42"/>
      <c r="GKC53" s="42"/>
      <c r="GKD53" s="42"/>
      <c r="GKE53" s="42"/>
      <c r="GKF53" s="42"/>
      <c r="GKG53" s="42"/>
      <c r="GKH53" s="42"/>
      <c r="GKI53" s="42"/>
      <c r="GKJ53" s="42"/>
      <c r="GKK53" s="42"/>
      <c r="GKL53" s="42"/>
      <c r="GKM53" s="42"/>
      <c r="GKN53" s="42"/>
      <c r="GKO53" s="2"/>
      <c r="GKP53" s="15"/>
      <c r="GKQ53" s="42"/>
      <c r="GKR53" s="2"/>
      <c r="GKS53" s="2"/>
      <c r="GKT53" s="2"/>
      <c r="GKU53" s="2"/>
      <c r="GKV53" s="42"/>
      <c r="GKW53" s="42"/>
      <c r="GKX53" s="42"/>
      <c r="GKY53" s="42"/>
      <c r="GKZ53" s="42"/>
      <c r="GLA53" s="42"/>
      <c r="GLB53" s="42"/>
      <c r="GLC53" s="42"/>
      <c r="GLD53" s="42"/>
      <c r="GLE53" s="42"/>
      <c r="GLF53" s="42"/>
      <c r="GLG53" s="42"/>
      <c r="GLH53" s="42"/>
      <c r="GLI53" s="42"/>
      <c r="GLJ53" s="42"/>
      <c r="GLK53" s="42"/>
      <c r="GLL53" s="42"/>
      <c r="GLM53" s="42"/>
      <c r="GLN53" s="42"/>
      <c r="GLO53" s="42"/>
      <c r="GLP53" s="42"/>
      <c r="GLQ53" s="42"/>
      <c r="GLR53" s="42"/>
      <c r="GLS53" s="2"/>
      <c r="GLT53" s="15"/>
      <c r="GLU53" s="42"/>
      <c r="GLV53" s="2"/>
      <c r="GLW53" s="2"/>
      <c r="GLX53" s="2"/>
      <c r="GLY53" s="2"/>
      <c r="GLZ53" s="42"/>
      <c r="GMA53" s="42"/>
      <c r="GMB53" s="42"/>
      <c r="GMC53" s="42"/>
      <c r="GMD53" s="42"/>
      <c r="GME53" s="42"/>
      <c r="GMF53" s="42"/>
      <c r="GMG53" s="42"/>
      <c r="GMH53" s="42"/>
      <c r="GMI53" s="42"/>
      <c r="GMJ53" s="42"/>
      <c r="GMK53" s="42"/>
      <c r="GML53" s="42"/>
      <c r="GMM53" s="42"/>
      <c r="GMN53" s="42"/>
      <c r="GMO53" s="42"/>
      <c r="GMP53" s="42"/>
      <c r="GMQ53" s="42"/>
      <c r="GMR53" s="42"/>
      <c r="GMS53" s="42"/>
      <c r="GMT53" s="42"/>
      <c r="GMU53" s="42"/>
      <c r="GMV53" s="42"/>
      <c r="GMW53" s="2"/>
      <c r="GMX53" s="15"/>
      <c r="GMY53" s="42"/>
      <c r="GMZ53" s="2"/>
      <c r="GNA53" s="2"/>
      <c r="GNB53" s="2"/>
      <c r="GNC53" s="2"/>
      <c r="GND53" s="42"/>
      <c r="GNE53" s="42"/>
      <c r="GNF53" s="42"/>
      <c r="GNG53" s="42"/>
      <c r="GNH53" s="42"/>
      <c r="GNI53" s="42"/>
      <c r="GNJ53" s="42"/>
      <c r="GNK53" s="42"/>
      <c r="GNL53" s="42"/>
      <c r="GNM53" s="42"/>
      <c r="GNN53" s="42"/>
      <c r="GNO53" s="42"/>
      <c r="GNP53" s="42"/>
      <c r="GNQ53" s="42"/>
      <c r="GNR53" s="42"/>
      <c r="GNS53" s="42"/>
      <c r="GNT53" s="42"/>
      <c r="GNU53" s="42"/>
      <c r="GNV53" s="42"/>
      <c r="GNW53" s="42"/>
      <c r="GNX53" s="42"/>
      <c r="GNY53" s="42"/>
      <c r="GNZ53" s="42"/>
      <c r="GOA53" s="2"/>
      <c r="GOB53" s="15"/>
      <c r="GOC53" s="42"/>
      <c r="GOD53" s="2"/>
      <c r="GOE53" s="2"/>
      <c r="GOF53" s="2"/>
      <c r="GOG53" s="2"/>
      <c r="GOH53" s="42"/>
      <c r="GOI53" s="42"/>
      <c r="GOJ53" s="42"/>
      <c r="GOK53" s="42"/>
      <c r="GOL53" s="42"/>
      <c r="GOM53" s="42"/>
      <c r="GON53" s="42"/>
      <c r="GOO53" s="42"/>
      <c r="GOP53" s="42"/>
      <c r="GOQ53" s="42"/>
      <c r="GOR53" s="42"/>
      <c r="GOS53" s="42"/>
      <c r="GOT53" s="42"/>
      <c r="GOU53" s="42"/>
      <c r="GOV53" s="42"/>
      <c r="GOW53" s="42"/>
      <c r="GOX53" s="42"/>
      <c r="GOY53" s="42"/>
      <c r="GOZ53" s="42"/>
      <c r="GPA53" s="42"/>
      <c r="GPB53" s="42"/>
      <c r="GPC53" s="42"/>
      <c r="GPD53" s="42"/>
      <c r="GPE53" s="2"/>
      <c r="GPF53" s="15"/>
      <c r="GPG53" s="42"/>
      <c r="GPH53" s="2"/>
      <c r="GPI53" s="2"/>
      <c r="GPJ53" s="2"/>
      <c r="GPK53" s="2"/>
      <c r="GPL53" s="42"/>
      <c r="GPM53" s="42"/>
      <c r="GPN53" s="42"/>
      <c r="GPO53" s="42"/>
      <c r="GPP53" s="42"/>
      <c r="GPQ53" s="42"/>
      <c r="GPR53" s="42"/>
      <c r="GPS53" s="42"/>
      <c r="GPT53" s="42"/>
      <c r="GPU53" s="42"/>
      <c r="GPV53" s="42"/>
      <c r="GPW53" s="42"/>
      <c r="GPX53" s="42"/>
      <c r="GPY53" s="42"/>
      <c r="GPZ53" s="42"/>
      <c r="GQA53" s="42"/>
      <c r="GQB53" s="42"/>
      <c r="GQC53" s="42"/>
      <c r="GQD53" s="42"/>
      <c r="GQE53" s="42"/>
      <c r="GQF53" s="42"/>
      <c r="GQG53" s="42"/>
      <c r="GQH53" s="42"/>
      <c r="GQI53" s="2"/>
      <c r="GQJ53" s="15"/>
      <c r="GQK53" s="42"/>
      <c r="GQL53" s="2"/>
      <c r="GQM53" s="2"/>
      <c r="GQN53" s="2"/>
      <c r="GQO53" s="2"/>
      <c r="GQP53" s="42"/>
      <c r="GQQ53" s="42"/>
      <c r="GQR53" s="42"/>
      <c r="GQS53" s="42"/>
      <c r="GQT53" s="42"/>
      <c r="GQU53" s="42"/>
      <c r="GQV53" s="42"/>
      <c r="GQW53" s="42"/>
      <c r="GQX53" s="42"/>
      <c r="GQY53" s="42"/>
      <c r="GQZ53" s="42"/>
      <c r="GRA53" s="42"/>
      <c r="GRB53" s="42"/>
      <c r="GRC53" s="42"/>
      <c r="GRD53" s="42"/>
      <c r="GRE53" s="42"/>
      <c r="GRF53" s="42"/>
      <c r="GRG53" s="42"/>
      <c r="GRH53" s="42"/>
      <c r="GRI53" s="42"/>
      <c r="GRJ53" s="42"/>
      <c r="GRK53" s="42"/>
      <c r="GRL53" s="42"/>
      <c r="GRM53" s="2"/>
      <c r="GRN53" s="15"/>
      <c r="GRO53" s="42"/>
      <c r="GRP53" s="2"/>
      <c r="GRQ53" s="2"/>
      <c r="GRR53" s="2"/>
      <c r="GRS53" s="2"/>
      <c r="GRT53" s="42"/>
      <c r="GRU53" s="42"/>
      <c r="GRV53" s="42"/>
      <c r="GRW53" s="42"/>
      <c r="GRX53" s="42"/>
      <c r="GRY53" s="42"/>
      <c r="GRZ53" s="42"/>
      <c r="GSA53" s="42"/>
      <c r="GSB53" s="42"/>
      <c r="GSC53" s="42"/>
      <c r="GSD53" s="42"/>
      <c r="GSE53" s="42"/>
      <c r="GSF53" s="42"/>
      <c r="GSG53" s="42"/>
      <c r="GSH53" s="42"/>
      <c r="GSI53" s="42"/>
      <c r="GSJ53" s="42"/>
      <c r="GSK53" s="42"/>
      <c r="GSL53" s="42"/>
      <c r="GSM53" s="42"/>
      <c r="GSN53" s="42"/>
      <c r="GSO53" s="42"/>
      <c r="GSP53" s="42"/>
      <c r="GSQ53" s="2"/>
      <c r="GSR53" s="15"/>
      <c r="GSS53" s="42"/>
      <c r="GST53" s="2"/>
      <c r="GSU53" s="2"/>
      <c r="GSV53" s="2"/>
      <c r="GSW53" s="2"/>
      <c r="GSX53" s="42"/>
      <c r="GSY53" s="42"/>
      <c r="GSZ53" s="42"/>
      <c r="GTA53" s="42"/>
      <c r="GTB53" s="42"/>
      <c r="GTC53" s="42"/>
      <c r="GTD53" s="42"/>
      <c r="GTE53" s="42"/>
      <c r="GTF53" s="42"/>
      <c r="GTG53" s="42"/>
      <c r="GTH53" s="42"/>
      <c r="GTI53" s="42"/>
      <c r="GTJ53" s="42"/>
      <c r="GTK53" s="42"/>
      <c r="GTL53" s="42"/>
      <c r="GTM53" s="42"/>
      <c r="GTN53" s="42"/>
      <c r="GTO53" s="42"/>
      <c r="GTP53" s="42"/>
      <c r="GTQ53" s="42"/>
      <c r="GTR53" s="42"/>
      <c r="GTS53" s="42"/>
      <c r="GTT53" s="42"/>
      <c r="GTU53" s="2"/>
      <c r="GTV53" s="15"/>
      <c r="GTW53" s="42"/>
      <c r="GTX53" s="2"/>
      <c r="GTY53" s="2"/>
      <c r="GTZ53" s="2"/>
      <c r="GUA53" s="2"/>
      <c r="GUB53" s="42"/>
      <c r="GUC53" s="42"/>
      <c r="GUD53" s="42"/>
      <c r="GUE53" s="42"/>
      <c r="GUF53" s="42"/>
      <c r="GUG53" s="42"/>
      <c r="GUH53" s="42"/>
      <c r="GUI53" s="42"/>
      <c r="GUJ53" s="42"/>
      <c r="GUK53" s="42"/>
      <c r="GUL53" s="42"/>
      <c r="GUM53" s="42"/>
      <c r="GUN53" s="42"/>
      <c r="GUO53" s="42"/>
      <c r="GUP53" s="42"/>
      <c r="GUQ53" s="42"/>
      <c r="GUR53" s="42"/>
      <c r="GUS53" s="42"/>
      <c r="GUT53" s="42"/>
      <c r="GUU53" s="42"/>
      <c r="GUV53" s="42"/>
      <c r="GUW53" s="42"/>
      <c r="GUX53" s="42"/>
      <c r="GUY53" s="2"/>
      <c r="GUZ53" s="15"/>
      <c r="GVA53" s="42"/>
      <c r="GVB53" s="2"/>
      <c r="GVC53" s="2"/>
      <c r="GVD53" s="2"/>
      <c r="GVE53" s="2"/>
      <c r="GVF53" s="42"/>
      <c r="GVG53" s="42"/>
      <c r="GVH53" s="42"/>
      <c r="GVI53" s="42"/>
      <c r="GVJ53" s="42"/>
      <c r="GVK53" s="42"/>
      <c r="GVL53" s="42"/>
      <c r="GVM53" s="42"/>
      <c r="GVN53" s="42"/>
      <c r="GVO53" s="42"/>
      <c r="GVP53" s="42"/>
      <c r="GVQ53" s="42"/>
      <c r="GVR53" s="42"/>
      <c r="GVS53" s="42"/>
      <c r="GVT53" s="42"/>
      <c r="GVU53" s="42"/>
      <c r="GVV53" s="42"/>
      <c r="GVW53" s="42"/>
      <c r="GVX53" s="42"/>
      <c r="GVY53" s="42"/>
      <c r="GVZ53" s="42"/>
      <c r="GWA53" s="42"/>
      <c r="GWB53" s="42"/>
      <c r="GWC53" s="2"/>
      <c r="GWD53" s="15"/>
      <c r="GWE53" s="42"/>
      <c r="GWF53" s="2"/>
      <c r="GWG53" s="2"/>
      <c r="GWH53" s="2"/>
      <c r="GWI53" s="2"/>
      <c r="GWJ53" s="42"/>
      <c r="GWK53" s="42"/>
      <c r="GWL53" s="42"/>
      <c r="GWM53" s="42"/>
      <c r="GWN53" s="42"/>
      <c r="GWO53" s="42"/>
      <c r="GWP53" s="42"/>
      <c r="GWQ53" s="42"/>
      <c r="GWR53" s="42"/>
      <c r="GWS53" s="42"/>
      <c r="GWT53" s="42"/>
      <c r="GWU53" s="42"/>
      <c r="GWV53" s="42"/>
      <c r="GWW53" s="42"/>
      <c r="GWX53" s="42"/>
      <c r="GWY53" s="42"/>
      <c r="GWZ53" s="42"/>
      <c r="GXA53" s="42"/>
      <c r="GXB53" s="42"/>
      <c r="GXC53" s="42"/>
      <c r="GXD53" s="42"/>
      <c r="GXE53" s="42"/>
      <c r="GXF53" s="42"/>
      <c r="GXG53" s="2"/>
      <c r="GXH53" s="15"/>
      <c r="GXI53" s="42"/>
      <c r="GXJ53" s="2"/>
      <c r="GXK53" s="2"/>
      <c r="GXL53" s="2"/>
      <c r="GXM53" s="2"/>
      <c r="GXN53" s="42"/>
      <c r="GXO53" s="42"/>
      <c r="GXP53" s="42"/>
      <c r="GXQ53" s="42"/>
      <c r="GXR53" s="42"/>
      <c r="GXS53" s="42"/>
      <c r="GXT53" s="42"/>
      <c r="GXU53" s="42"/>
      <c r="GXV53" s="42"/>
      <c r="GXW53" s="42"/>
      <c r="GXX53" s="42"/>
      <c r="GXY53" s="42"/>
      <c r="GXZ53" s="42"/>
      <c r="GYA53" s="42"/>
      <c r="GYB53" s="42"/>
      <c r="GYC53" s="42"/>
      <c r="GYD53" s="42"/>
      <c r="GYE53" s="42"/>
      <c r="GYF53" s="42"/>
      <c r="GYG53" s="42"/>
      <c r="GYH53" s="42"/>
      <c r="GYI53" s="42"/>
      <c r="GYJ53" s="42"/>
      <c r="GYK53" s="2"/>
      <c r="GYL53" s="15"/>
      <c r="GYM53" s="42"/>
      <c r="GYN53" s="2"/>
      <c r="GYO53" s="2"/>
      <c r="GYP53" s="2"/>
      <c r="GYQ53" s="2"/>
      <c r="GYR53" s="42"/>
      <c r="GYS53" s="42"/>
      <c r="GYT53" s="42"/>
      <c r="GYU53" s="42"/>
      <c r="GYV53" s="42"/>
      <c r="GYW53" s="42"/>
      <c r="GYX53" s="42"/>
      <c r="GYY53" s="42"/>
      <c r="GYZ53" s="42"/>
      <c r="GZA53" s="42"/>
      <c r="GZB53" s="42"/>
      <c r="GZC53" s="42"/>
      <c r="GZD53" s="42"/>
      <c r="GZE53" s="42"/>
      <c r="GZF53" s="42"/>
      <c r="GZG53" s="42"/>
      <c r="GZH53" s="42"/>
      <c r="GZI53" s="42"/>
      <c r="GZJ53" s="42"/>
      <c r="GZK53" s="42"/>
      <c r="GZL53" s="42"/>
      <c r="GZM53" s="42"/>
      <c r="GZN53" s="42"/>
      <c r="GZO53" s="2"/>
      <c r="GZP53" s="15"/>
      <c r="GZQ53" s="42"/>
      <c r="GZR53" s="2"/>
      <c r="GZS53" s="2"/>
      <c r="GZT53" s="2"/>
      <c r="GZU53" s="2"/>
      <c r="GZV53" s="42"/>
      <c r="GZW53" s="42"/>
      <c r="GZX53" s="42"/>
      <c r="GZY53" s="42"/>
      <c r="GZZ53" s="42"/>
      <c r="HAA53" s="42"/>
      <c r="HAB53" s="42"/>
      <c r="HAC53" s="42"/>
      <c r="HAD53" s="42"/>
      <c r="HAE53" s="42"/>
      <c r="HAF53" s="42"/>
      <c r="HAG53" s="42"/>
      <c r="HAH53" s="42"/>
      <c r="HAI53" s="42"/>
      <c r="HAJ53" s="42"/>
      <c r="HAK53" s="42"/>
      <c r="HAL53" s="42"/>
      <c r="HAM53" s="42"/>
      <c r="HAN53" s="42"/>
      <c r="HAO53" s="42"/>
      <c r="HAP53" s="42"/>
      <c r="HAQ53" s="42"/>
      <c r="HAR53" s="42"/>
      <c r="HAS53" s="2"/>
      <c r="HAT53" s="15"/>
      <c r="HAU53" s="42"/>
      <c r="HAV53" s="2"/>
      <c r="HAW53" s="2"/>
      <c r="HAX53" s="2"/>
      <c r="HAY53" s="2"/>
      <c r="HAZ53" s="42"/>
      <c r="HBA53" s="42"/>
      <c r="HBB53" s="42"/>
      <c r="HBC53" s="42"/>
      <c r="HBD53" s="42"/>
      <c r="HBE53" s="42"/>
      <c r="HBF53" s="42"/>
      <c r="HBG53" s="42"/>
      <c r="HBH53" s="42"/>
      <c r="HBI53" s="42"/>
      <c r="HBJ53" s="42"/>
      <c r="HBK53" s="42"/>
      <c r="HBL53" s="42"/>
      <c r="HBM53" s="42"/>
      <c r="HBN53" s="42"/>
      <c r="HBO53" s="42"/>
      <c r="HBP53" s="42"/>
      <c r="HBQ53" s="42"/>
      <c r="HBR53" s="42"/>
      <c r="HBS53" s="42"/>
      <c r="HBT53" s="42"/>
      <c r="HBU53" s="42"/>
      <c r="HBV53" s="42"/>
      <c r="HBW53" s="2"/>
      <c r="HBX53" s="15"/>
      <c r="HBY53" s="42"/>
      <c r="HBZ53" s="2"/>
      <c r="HCA53" s="2"/>
      <c r="HCB53" s="2"/>
      <c r="HCC53" s="2"/>
      <c r="HCD53" s="42"/>
      <c r="HCE53" s="42"/>
      <c r="HCF53" s="42"/>
      <c r="HCG53" s="42"/>
      <c r="HCH53" s="42"/>
      <c r="HCI53" s="42"/>
      <c r="HCJ53" s="42"/>
      <c r="HCK53" s="42"/>
      <c r="HCL53" s="42"/>
      <c r="HCM53" s="42"/>
      <c r="HCN53" s="42"/>
      <c r="HCO53" s="42"/>
      <c r="HCP53" s="42"/>
      <c r="HCQ53" s="42"/>
      <c r="HCR53" s="42"/>
      <c r="HCS53" s="42"/>
      <c r="HCT53" s="42"/>
      <c r="HCU53" s="42"/>
      <c r="HCV53" s="42"/>
      <c r="HCW53" s="42"/>
      <c r="HCX53" s="42"/>
      <c r="HCY53" s="42"/>
      <c r="HCZ53" s="42"/>
      <c r="HDA53" s="2"/>
      <c r="HDB53" s="15"/>
      <c r="HDC53" s="42"/>
      <c r="HDD53" s="2"/>
      <c r="HDE53" s="2"/>
      <c r="HDF53" s="2"/>
      <c r="HDG53" s="2"/>
      <c r="HDH53" s="42"/>
      <c r="HDI53" s="42"/>
      <c r="HDJ53" s="42"/>
      <c r="HDK53" s="42"/>
      <c r="HDL53" s="42"/>
      <c r="HDM53" s="42"/>
      <c r="HDN53" s="42"/>
      <c r="HDO53" s="42"/>
      <c r="HDP53" s="42"/>
      <c r="HDQ53" s="42"/>
      <c r="HDR53" s="42"/>
      <c r="HDS53" s="42"/>
      <c r="HDT53" s="42"/>
      <c r="HDU53" s="42"/>
      <c r="HDV53" s="42"/>
      <c r="HDW53" s="42"/>
      <c r="HDX53" s="42"/>
      <c r="HDY53" s="42"/>
      <c r="HDZ53" s="42"/>
      <c r="HEA53" s="42"/>
      <c r="HEB53" s="42"/>
      <c r="HEC53" s="42"/>
      <c r="HED53" s="42"/>
      <c r="HEE53" s="2"/>
      <c r="HEF53" s="15"/>
      <c r="HEG53" s="42"/>
      <c r="HEH53" s="2"/>
      <c r="HEI53" s="2"/>
      <c r="HEJ53" s="2"/>
      <c r="HEK53" s="2"/>
      <c r="HEL53" s="42"/>
      <c r="HEM53" s="42"/>
      <c r="HEN53" s="42"/>
      <c r="HEO53" s="42"/>
      <c r="HEP53" s="42"/>
      <c r="HEQ53" s="42"/>
      <c r="HER53" s="42"/>
      <c r="HES53" s="42"/>
      <c r="HET53" s="42"/>
      <c r="HEU53" s="42"/>
      <c r="HEV53" s="42"/>
      <c r="HEW53" s="42"/>
      <c r="HEX53" s="42"/>
      <c r="HEY53" s="42"/>
      <c r="HEZ53" s="42"/>
      <c r="HFA53" s="42"/>
      <c r="HFB53" s="42"/>
      <c r="HFC53" s="42"/>
      <c r="HFD53" s="42"/>
      <c r="HFE53" s="42"/>
      <c r="HFF53" s="42"/>
      <c r="HFG53" s="42"/>
      <c r="HFH53" s="42"/>
      <c r="HFI53" s="2"/>
      <c r="HFJ53" s="15"/>
      <c r="HFK53" s="42"/>
      <c r="HFL53" s="2"/>
      <c r="HFM53" s="2"/>
      <c r="HFN53" s="2"/>
      <c r="HFO53" s="2"/>
      <c r="HFP53" s="42"/>
      <c r="HFQ53" s="42"/>
      <c r="HFR53" s="42"/>
      <c r="HFS53" s="42"/>
      <c r="HFT53" s="42"/>
      <c r="HFU53" s="42"/>
      <c r="HFV53" s="42"/>
      <c r="HFW53" s="42"/>
      <c r="HFX53" s="42"/>
      <c r="HFY53" s="42"/>
      <c r="HFZ53" s="42"/>
      <c r="HGA53" s="42"/>
      <c r="HGB53" s="42"/>
      <c r="HGC53" s="42"/>
      <c r="HGD53" s="42"/>
      <c r="HGE53" s="42"/>
      <c r="HGF53" s="42"/>
      <c r="HGG53" s="42"/>
      <c r="HGH53" s="42"/>
      <c r="HGI53" s="42"/>
      <c r="HGJ53" s="42"/>
      <c r="HGK53" s="42"/>
      <c r="HGL53" s="42"/>
      <c r="HGM53" s="2"/>
      <c r="HGN53" s="15"/>
      <c r="HGO53" s="42"/>
      <c r="HGP53" s="2"/>
      <c r="HGQ53" s="2"/>
      <c r="HGR53" s="2"/>
      <c r="HGS53" s="2"/>
      <c r="HGT53" s="42"/>
      <c r="HGU53" s="42"/>
      <c r="HGV53" s="42"/>
      <c r="HGW53" s="42"/>
      <c r="HGX53" s="42"/>
      <c r="HGY53" s="42"/>
      <c r="HGZ53" s="42"/>
      <c r="HHA53" s="42"/>
      <c r="HHB53" s="42"/>
      <c r="HHC53" s="42"/>
      <c r="HHD53" s="42"/>
      <c r="HHE53" s="42"/>
      <c r="HHF53" s="42"/>
      <c r="HHG53" s="42"/>
      <c r="HHH53" s="42"/>
      <c r="HHI53" s="42"/>
      <c r="HHJ53" s="42"/>
      <c r="HHK53" s="42"/>
      <c r="HHL53" s="42"/>
      <c r="HHM53" s="42"/>
      <c r="HHN53" s="42"/>
      <c r="HHO53" s="42"/>
      <c r="HHP53" s="42"/>
      <c r="HHQ53" s="2"/>
      <c r="HHR53" s="15"/>
      <c r="HHS53" s="42"/>
      <c r="HHT53" s="2"/>
      <c r="HHU53" s="2"/>
      <c r="HHV53" s="2"/>
      <c r="HHW53" s="2"/>
      <c r="HHX53" s="42"/>
      <c r="HHY53" s="42"/>
      <c r="HHZ53" s="42"/>
      <c r="HIA53" s="42"/>
      <c r="HIB53" s="42"/>
      <c r="HIC53" s="42"/>
      <c r="HID53" s="42"/>
      <c r="HIE53" s="42"/>
      <c r="HIF53" s="42"/>
      <c r="HIG53" s="42"/>
      <c r="HIH53" s="42"/>
      <c r="HII53" s="42"/>
      <c r="HIJ53" s="42"/>
      <c r="HIK53" s="42"/>
      <c r="HIL53" s="42"/>
      <c r="HIM53" s="42"/>
      <c r="HIN53" s="42"/>
      <c r="HIO53" s="42"/>
      <c r="HIP53" s="42"/>
      <c r="HIQ53" s="42"/>
      <c r="HIR53" s="42"/>
      <c r="HIS53" s="42"/>
      <c r="HIT53" s="42"/>
      <c r="HIU53" s="2"/>
      <c r="HIV53" s="15"/>
      <c r="HIW53" s="42"/>
      <c r="HIX53" s="2"/>
      <c r="HIY53" s="2"/>
      <c r="HIZ53" s="2"/>
      <c r="HJA53" s="2"/>
      <c r="HJB53" s="42"/>
      <c r="HJC53" s="42"/>
      <c r="HJD53" s="42"/>
      <c r="HJE53" s="42"/>
      <c r="HJF53" s="42"/>
      <c r="HJG53" s="42"/>
      <c r="HJH53" s="42"/>
      <c r="HJI53" s="42"/>
      <c r="HJJ53" s="42"/>
      <c r="HJK53" s="42"/>
      <c r="HJL53" s="42"/>
      <c r="HJM53" s="42"/>
      <c r="HJN53" s="42"/>
      <c r="HJO53" s="42"/>
      <c r="HJP53" s="42"/>
      <c r="HJQ53" s="42"/>
      <c r="HJR53" s="42"/>
      <c r="HJS53" s="42"/>
      <c r="HJT53" s="42"/>
      <c r="HJU53" s="42"/>
      <c r="HJV53" s="42"/>
      <c r="HJW53" s="42"/>
      <c r="HJX53" s="42"/>
      <c r="HJY53" s="2"/>
      <c r="HJZ53" s="15"/>
      <c r="HKA53" s="42"/>
      <c r="HKB53" s="2"/>
      <c r="HKC53" s="2"/>
      <c r="HKD53" s="2"/>
      <c r="HKE53" s="2"/>
      <c r="HKF53" s="42"/>
      <c r="HKG53" s="42"/>
      <c r="HKH53" s="42"/>
      <c r="HKI53" s="42"/>
      <c r="HKJ53" s="42"/>
      <c r="HKK53" s="42"/>
      <c r="HKL53" s="42"/>
      <c r="HKM53" s="42"/>
      <c r="HKN53" s="42"/>
      <c r="HKO53" s="42"/>
      <c r="HKP53" s="42"/>
      <c r="HKQ53" s="42"/>
      <c r="HKR53" s="42"/>
      <c r="HKS53" s="42"/>
      <c r="HKT53" s="42"/>
      <c r="HKU53" s="42"/>
      <c r="HKV53" s="42"/>
      <c r="HKW53" s="42"/>
      <c r="HKX53" s="42"/>
      <c r="HKY53" s="42"/>
      <c r="HKZ53" s="42"/>
      <c r="HLA53" s="42"/>
      <c r="HLB53" s="42"/>
      <c r="HLC53" s="2"/>
      <c r="HLD53" s="15"/>
      <c r="HLE53" s="42"/>
      <c r="HLF53" s="2"/>
      <c r="HLG53" s="2"/>
      <c r="HLH53" s="2"/>
      <c r="HLI53" s="2"/>
      <c r="HLJ53" s="42"/>
      <c r="HLK53" s="42"/>
      <c r="HLL53" s="42"/>
      <c r="HLM53" s="42"/>
      <c r="HLN53" s="42"/>
      <c r="HLO53" s="42"/>
      <c r="HLP53" s="42"/>
      <c r="HLQ53" s="42"/>
      <c r="HLR53" s="42"/>
      <c r="HLS53" s="42"/>
      <c r="HLT53" s="42"/>
      <c r="HLU53" s="42"/>
      <c r="HLV53" s="42"/>
      <c r="HLW53" s="42"/>
      <c r="HLX53" s="42"/>
      <c r="HLY53" s="42"/>
      <c r="HLZ53" s="42"/>
      <c r="HMA53" s="42"/>
      <c r="HMB53" s="42"/>
      <c r="HMC53" s="42"/>
      <c r="HMD53" s="42"/>
      <c r="HME53" s="42"/>
      <c r="HMF53" s="42"/>
      <c r="HMG53" s="2"/>
      <c r="HMH53" s="15"/>
      <c r="HMI53" s="42"/>
      <c r="HMJ53" s="2"/>
      <c r="HMK53" s="2"/>
      <c r="HML53" s="2"/>
      <c r="HMM53" s="2"/>
      <c r="HMN53" s="42"/>
      <c r="HMO53" s="42"/>
      <c r="HMP53" s="42"/>
      <c r="HMQ53" s="42"/>
      <c r="HMR53" s="42"/>
      <c r="HMS53" s="42"/>
      <c r="HMT53" s="42"/>
      <c r="HMU53" s="42"/>
      <c r="HMV53" s="42"/>
      <c r="HMW53" s="42"/>
      <c r="HMX53" s="42"/>
      <c r="HMY53" s="42"/>
      <c r="HMZ53" s="42"/>
      <c r="HNA53" s="42"/>
      <c r="HNB53" s="42"/>
      <c r="HNC53" s="42"/>
      <c r="HND53" s="42"/>
      <c r="HNE53" s="42"/>
      <c r="HNF53" s="42"/>
      <c r="HNG53" s="42"/>
      <c r="HNH53" s="42"/>
      <c r="HNI53" s="42"/>
      <c r="HNJ53" s="42"/>
      <c r="HNK53" s="2"/>
      <c r="HNL53" s="15"/>
      <c r="HNM53" s="42"/>
      <c r="HNN53" s="2"/>
      <c r="HNO53" s="2"/>
      <c r="HNP53" s="2"/>
      <c r="HNQ53" s="2"/>
      <c r="HNR53" s="42"/>
      <c r="HNS53" s="42"/>
      <c r="HNT53" s="42"/>
      <c r="HNU53" s="42"/>
      <c r="HNV53" s="42"/>
      <c r="HNW53" s="42"/>
      <c r="HNX53" s="42"/>
      <c r="HNY53" s="42"/>
      <c r="HNZ53" s="42"/>
      <c r="HOA53" s="42"/>
      <c r="HOB53" s="42"/>
      <c r="HOC53" s="42"/>
      <c r="HOD53" s="42"/>
      <c r="HOE53" s="42"/>
      <c r="HOF53" s="42"/>
      <c r="HOG53" s="42"/>
      <c r="HOH53" s="42"/>
      <c r="HOI53" s="42"/>
      <c r="HOJ53" s="42"/>
      <c r="HOK53" s="42"/>
      <c r="HOL53" s="42"/>
      <c r="HOM53" s="42"/>
      <c r="HON53" s="42"/>
      <c r="HOO53" s="2"/>
      <c r="HOP53" s="15"/>
      <c r="HOQ53" s="42"/>
      <c r="HOR53" s="2"/>
      <c r="HOS53" s="2"/>
      <c r="HOT53" s="2"/>
      <c r="HOU53" s="2"/>
      <c r="HOV53" s="42"/>
      <c r="HOW53" s="42"/>
      <c r="HOX53" s="42"/>
      <c r="HOY53" s="42"/>
      <c r="HOZ53" s="42"/>
      <c r="HPA53" s="42"/>
      <c r="HPB53" s="42"/>
      <c r="HPC53" s="42"/>
      <c r="HPD53" s="42"/>
      <c r="HPE53" s="42"/>
      <c r="HPF53" s="42"/>
      <c r="HPG53" s="42"/>
      <c r="HPH53" s="42"/>
      <c r="HPI53" s="42"/>
      <c r="HPJ53" s="42"/>
      <c r="HPK53" s="42"/>
      <c r="HPL53" s="42"/>
      <c r="HPM53" s="42"/>
      <c r="HPN53" s="42"/>
      <c r="HPO53" s="42"/>
      <c r="HPP53" s="42"/>
      <c r="HPQ53" s="42"/>
      <c r="HPR53" s="42"/>
      <c r="HPS53" s="2"/>
      <c r="HPT53" s="15"/>
      <c r="HPU53" s="42"/>
      <c r="HPV53" s="2"/>
      <c r="HPW53" s="2"/>
      <c r="HPX53" s="2"/>
      <c r="HPY53" s="2"/>
      <c r="HPZ53" s="42"/>
      <c r="HQA53" s="42"/>
      <c r="HQB53" s="42"/>
      <c r="HQC53" s="42"/>
      <c r="HQD53" s="42"/>
      <c r="HQE53" s="42"/>
      <c r="HQF53" s="42"/>
      <c r="HQG53" s="42"/>
      <c r="HQH53" s="42"/>
      <c r="HQI53" s="42"/>
      <c r="HQJ53" s="42"/>
      <c r="HQK53" s="42"/>
      <c r="HQL53" s="42"/>
      <c r="HQM53" s="42"/>
      <c r="HQN53" s="42"/>
      <c r="HQO53" s="42"/>
      <c r="HQP53" s="42"/>
      <c r="HQQ53" s="42"/>
      <c r="HQR53" s="42"/>
      <c r="HQS53" s="42"/>
      <c r="HQT53" s="42"/>
      <c r="HQU53" s="42"/>
      <c r="HQV53" s="42"/>
      <c r="HQW53" s="2"/>
      <c r="HQX53" s="15"/>
      <c r="HQY53" s="42"/>
      <c r="HQZ53" s="2"/>
      <c r="HRA53" s="2"/>
      <c r="HRB53" s="2"/>
      <c r="HRC53" s="2"/>
      <c r="HRD53" s="42"/>
      <c r="HRE53" s="42"/>
      <c r="HRF53" s="42"/>
      <c r="HRG53" s="42"/>
      <c r="HRH53" s="42"/>
      <c r="HRI53" s="42"/>
      <c r="HRJ53" s="42"/>
      <c r="HRK53" s="42"/>
      <c r="HRL53" s="42"/>
      <c r="HRM53" s="42"/>
      <c r="HRN53" s="42"/>
      <c r="HRO53" s="42"/>
      <c r="HRP53" s="42"/>
      <c r="HRQ53" s="42"/>
      <c r="HRR53" s="42"/>
      <c r="HRS53" s="42"/>
      <c r="HRT53" s="42"/>
      <c r="HRU53" s="42"/>
      <c r="HRV53" s="42"/>
      <c r="HRW53" s="42"/>
      <c r="HRX53" s="42"/>
      <c r="HRY53" s="42"/>
      <c r="HRZ53" s="42"/>
      <c r="HSA53" s="2"/>
      <c r="HSB53" s="15"/>
      <c r="HSC53" s="42"/>
      <c r="HSD53" s="2"/>
      <c r="HSE53" s="2"/>
      <c r="HSF53" s="2"/>
      <c r="HSG53" s="2"/>
      <c r="HSH53" s="42"/>
      <c r="HSI53" s="42"/>
      <c r="HSJ53" s="42"/>
      <c r="HSK53" s="42"/>
      <c r="HSL53" s="42"/>
      <c r="HSM53" s="42"/>
      <c r="HSN53" s="42"/>
      <c r="HSO53" s="42"/>
      <c r="HSP53" s="42"/>
      <c r="HSQ53" s="42"/>
      <c r="HSR53" s="42"/>
      <c r="HSS53" s="42"/>
      <c r="HST53" s="42"/>
      <c r="HSU53" s="42"/>
      <c r="HSV53" s="42"/>
      <c r="HSW53" s="42"/>
      <c r="HSX53" s="42"/>
      <c r="HSY53" s="42"/>
      <c r="HSZ53" s="42"/>
      <c r="HTA53" s="42"/>
      <c r="HTB53" s="42"/>
      <c r="HTC53" s="42"/>
      <c r="HTD53" s="42"/>
      <c r="HTE53" s="2"/>
      <c r="HTF53" s="15"/>
      <c r="HTG53" s="42"/>
      <c r="HTH53" s="2"/>
      <c r="HTI53" s="2"/>
      <c r="HTJ53" s="2"/>
      <c r="HTK53" s="2"/>
      <c r="HTL53" s="42"/>
      <c r="HTM53" s="42"/>
      <c r="HTN53" s="42"/>
      <c r="HTO53" s="42"/>
      <c r="HTP53" s="42"/>
      <c r="HTQ53" s="42"/>
      <c r="HTR53" s="42"/>
      <c r="HTS53" s="42"/>
      <c r="HTT53" s="42"/>
      <c r="HTU53" s="42"/>
      <c r="HTV53" s="42"/>
      <c r="HTW53" s="42"/>
      <c r="HTX53" s="42"/>
      <c r="HTY53" s="42"/>
      <c r="HTZ53" s="42"/>
      <c r="HUA53" s="42"/>
      <c r="HUB53" s="42"/>
      <c r="HUC53" s="42"/>
      <c r="HUD53" s="42"/>
      <c r="HUE53" s="42"/>
      <c r="HUF53" s="42"/>
      <c r="HUG53" s="42"/>
      <c r="HUH53" s="42"/>
      <c r="HUI53" s="2"/>
      <c r="HUJ53" s="15"/>
      <c r="HUK53" s="42"/>
      <c r="HUL53" s="2"/>
      <c r="HUM53" s="2"/>
      <c r="HUN53" s="2"/>
      <c r="HUO53" s="2"/>
      <c r="HUP53" s="42"/>
      <c r="HUQ53" s="42"/>
      <c r="HUR53" s="42"/>
      <c r="HUS53" s="42"/>
      <c r="HUT53" s="42"/>
      <c r="HUU53" s="42"/>
      <c r="HUV53" s="42"/>
      <c r="HUW53" s="42"/>
      <c r="HUX53" s="42"/>
      <c r="HUY53" s="42"/>
      <c r="HUZ53" s="42"/>
      <c r="HVA53" s="42"/>
      <c r="HVB53" s="42"/>
      <c r="HVC53" s="42"/>
      <c r="HVD53" s="42"/>
      <c r="HVE53" s="42"/>
      <c r="HVF53" s="42"/>
      <c r="HVG53" s="42"/>
      <c r="HVH53" s="42"/>
      <c r="HVI53" s="42"/>
      <c r="HVJ53" s="42"/>
      <c r="HVK53" s="42"/>
      <c r="HVL53" s="42"/>
      <c r="HVM53" s="2"/>
      <c r="HVN53" s="15"/>
      <c r="HVO53" s="42"/>
      <c r="HVP53" s="2"/>
      <c r="HVQ53" s="2"/>
      <c r="HVR53" s="2"/>
      <c r="HVS53" s="2"/>
      <c r="HVT53" s="42"/>
      <c r="HVU53" s="42"/>
      <c r="HVV53" s="42"/>
      <c r="HVW53" s="42"/>
      <c r="HVX53" s="42"/>
      <c r="HVY53" s="42"/>
      <c r="HVZ53" s="42"/>
      <c r="HWA53" s="42"/>
      <c r="HWB53" s="42"/>
      <c r="HWC53" s="42"/>
      <c r="HWD53" s="42"/>
      <c r="HWE53" s="42"/>
      <c r="HWF53" s="42"/>
      <c r="HWG53" s="42"/>
      <c r="HWH53" s="42"/>
      <c r="HWI53" s="42"/>
      <c r="HWJ53" s="42"/>
      <c r="HWK53" s="42"/>
      <c r="HWL53" s="42"/>
      <c r="HWM53" s="42"/>
      <c r="HWN53" s="42"/>
      <c r="HWO53" s="42"/>
      <c r="HWP53" s="42"/>
      <c r="HWQ53" s="2"/>
      <c r="HWR53" s="15"/>
      <c r="HWS53" s="42"/>
      <c r="HWT53" s="2"/>
      <c r="HWU53" s="2"/>
      <c r="HWV53" s="2"/>
      <c r="HWW53" s="2"/>
      <c r="HWX53" s="42"/>
      <c r="HWY53" s="42"/>
      <c r="HWZ53" s="42"/>
      <c r="HXA53" s="42"/>
      <c r="HXB53" s="42"/>
      <c r="HXC53" s="42"/>
      <c r="HXD53" s="42"/>
      <c r="HXE53" s="42"/>
      <c r="HXF53" s="42"/>
      <c r="HXG53" s="42"/>
      <c r="HXH53" s="42"/>
      <c r="HXI53" s="42"/>
      <c r="HXJ53" s="42"/>
      <c r="HXK53" s="42"/>
      <c r="HXL53" s="42"/>
      <c r="HXM53" s="42"/>
      <c r="HXN53" s="42"/>
      <c r="HXO53" s="42"/>
      <c r="HXP53" s="42"/>
      <c r="HXQ53" s="42"/>
      <c r="HXR53" s="42"/>
      <c r="HXS53" s="42"/>
      <c r="HXT53" s="42"/>
      <c r="HXU53" s="2"/>
      <c r="HXV53" s="15"/>
      <c r="HXW53" s="42"/>
      <c r="HXX53" s="2"/>
      <c r="HXY53" s="2"/>
      <c r="HXZ53" s="2"/>
      <c r="HYA53" s="2"/>
      <c r="HYB53" s="42"/>
      <c r="HYC53" s="42"/>
      <c r="HYD53" s="42"/>
      <c r="HYE53" s="42"/>
      <c r="HYF53" s="42"/>
      <c r="HYG53" s="42"/>
      <c r="HYH53" s="42"/>
      <c r="HYI53" s="42"/>
      <c r="HYJ53" s="42"/>
      <c r="HYK53" s="42"/>
      <c r="HYL53" s="42"/>
      <c r="HYM53" s="42"/>
      <c r="HYN53" s="42"/>
      <c r="HYO53" s="42"/>
      <c r="HYP53" s="42"/>
      <c r="HYQ53" s="42"/>
      <c r="HYR53" s="42"/>
      <c r="HYS53" s="42"/>
      <c r="HYT53" s="42"/>
      <c r="HYU53" s="42"/>
      <c r="HYV53" s="42"/>
      <c r="HYW53" s="42"/>
      <c r="HYX53" s="42"/>
      <c r="HYY53" s="2"/>
      <c r="HYZ53" s="15"/>
      <c r="HZA53" s="42"/>
      <c r="HZB53" s="2"/>
      <c r="HZC53" s="2"/>
      <c r="HZD53" s="2"/>
      <c r="HZE53" s="2"/>
      <c r="HZF53" s="42"/>
      <c r="HZG53" s="42"/>
      <c r="HZH53" s="42"/>
      <c r="HZI53" s="42"/>
      <c r="HZJ53" s="42"/>
      <c r="HZK53" s="42"/>
      <c r="HZL53" s="42"/>
      <c r="HZM53" s="42"/>
      <c r="HZN53" s="42"/>
      <c r="HZO53" s="42"/>
      <c r="HZP53" s="42"/>
      <c r="HZQ53" s="42"/>
      <c r="HZR53" s="42"/>
      <c r="HZS53" s="42"/>
      <c r="HZT53" s="42"/>
      <c r="HZU53" s="42"/>
      <c r="HZV53" s="42"/>
      <c r="HZW53" s="42"/>
      <c r="HZX53" s="42"/>
      <c r="HZY53" s="42"/>
      <c r="HZZ53" s="42"/>
      <c r="IAA53" s="42"/>
      <c r="IAB53" s="42"/>
      <c r="IAC53" s="2"/>
      <c r="IAD53" s="15"/>
      <c r="IAE53" s="42"/>
      <c r="IAF53" s="2"/>
      <c r="IAG53" s="2"/>
      <c r="IAH53" s="2"/>
      <c r="IAI53" s="2"/>
      <c r="IAJ53" s="42"/>
      <c r="IAK53" s="42"/>
      <c r="IAL53" s="42"/>
      <c r="IAM53" s="42"/>
      <c r="IAN53" s="42"/>
      <c r="IAO53" s="42"/>
      <c r="IAP53" s="42"/>
      <c r="IAQ53" s="42"/>
      <c r="IAR53" s="42"/>
      <c r="IAS53" s="42"/>
      <c r="IAT53" s="42"/>
      <c r="IAU53" s="42"/>
      <c r="IAV53" s="42"/>
      <c r="IAW53" s="42"/>
      <c r="IAX53" s="42"/>
      <c r="IAY53" s="42"/>
      <c r="IAZ53" s="42"/>
      <c r="IBA53" s="42"/>
      <c r="IBB53" s="42"/>
      <c r="IBC53" s="42"/>
      <c r="IBD53" s="42"/>
      <c r="IBE53" s="42"/>
      <c r="IBF53" s="42"/>
      <c r="IBG53" s="2"/>
      <c r="IBH53" s="15"/>
      <c r="IBI53" s="42"/>
      <c r="IBJ53" s="2"/>
      <c r="IBK53" s="2"/>
      <c r="IBL53" s="2"/>
      <c r="IBM53" s="2"/>
      <c r="IBN53" s="42"/>
      <c r="IBO53" s="42"/>
      <c r="IBP53" s="42"/>
      <c r="IBQ53" s="42"/>
      <c r="IBR53" s="42"/>
      <c r="IBS53" s="42"/>
      <c r="IBT53" s="42"/>
      <c r="IBU53" s="42"/>
      <c r="IBV53" s="42"/>
      <c r="IBW53" s="42"/>
      <c r="IBX53" s="42"/>
      <c r="IBY53" s="42"/>
      <c r="IBZ53" s="42"/>
      <c r="ICA53" s="42"/>
      <c r="ICB53" s="42"/>
      <c r="ICC53" s="42"/>
      <c r="ICD53" s="42"/>
      <c r="ICE53" s="42"/>
      <c r="ICF53" s="42"/>
      <c r="ICG53" s="42"/>
      <c r="ICH53" s="42"/>
      <c r="ICI53" s="42"/>
      <c r="ICJ53" s="42"/>
      <c r="ICK53" s="2"/>
      <c r="ICL53" s="15"/>
      <c r="ICM53" s="42"/>
      <c r="ICN53" s="2"/>
      <c r="ICO53" s="2"/>
      <c r="ICP53" s="2"/>
      <c r="ICQ53" s="2"/>
      <c r="ICR53" s="42"/>
      <c r="ICS53" s="42"/>
      <c r="ICT53" s="42"/>
      <c r="ICU53" s="42"/>
      <c r="ICV53" s="42"/>
      <c r="ICW53" s="42"/>
      <c r="ICX53" s="42"/>
      <c r="ICY53" s="42"/>
      <c r="ICZ53" s="42"/>
      <c r="IDA53" s="42"/>
      <c r="IDB53" s="42"/>
      <c r="IDC53" s="42"/>
      <c r="IDD53" s="42"/>
      <c r="IDE53" s="42"/>
      <c r="IDF53" s="42"/>
      <c r="IDG53" s="42"/>
      <c r="IDH53" s="42"/>
      <c r="IDI53" s="42"/>
      <c r="IDJ53" s="42"/>
      <c r="IDK53" s="42"/>
      <c r="IDL53" s="42"/>
      <c r="IDM53" s="42"/>
      <c r="IDN53" s="42"/>
      <c r="IDO53" s="2"/>
      <c r="IDP53" s="15"/>
      <c r="IDQ53" s="42"/>
      <c r="IDR53" s="2"/>
      <c r="IDS53" s="2"/>
      <c r="IDT53" s="2"/>
      <c r="IDU53" s="2"/>
      <c r="IDV53" s="42"/>
      <c r="IDW53" s="42"/>
      <c r="IDX53" s="42"/>
      <c r="IDY53" s="42"/>
      <c r="IDZ53" s="42"/>
      <c r="IEA53" s="42"/>
      <c r="IEB53" s="42"/>
      <c r="IEC53" s="42"/>
      <c r="IED53" s="42"/>
      <c r="IEE53" s="42"/>
      <c r="IEF53" s="42"/>
      <c r="IEG53" s="42"/>
      <c r="IEH53" s="42"/>
      <c r="IEI53" s="42"/>
      <c r="IEJ53" s="42"/>
      <c r="IEK53" s="42"/>
      <c r="IEL53" s="42"/>
      <c r="IEM53" s="42"/>
      <c r="IEN53" s="42"/>
      <c r="IEO53" s="42"/>
      <c r="IEP53" s="42"/>
      <c r="IEQ53" s="42"/>
      <c r="IER53" s="42"/>
      <c r="IES53" s="2"/>
      <c r="IET53" s="15"/>
      <c r="IEU53" s="42"/>
      <c r="IEV53" s="2"/>
      <c r="IEW53" s="2"/>
      <c r="IEX53" s="2"/>
      <c r="IEY53" s="2"/>
      <c r="IEZ53" s="42"/>
      <c r="IFA53" s="42"/>
      <c r="IFB53" s="42"/>
      <c r="IFC53" s="42"/>
      <c r="IFD53" s="42"/>
      <c r="IFE53" s="42"/>
      <c r="IFF53" s="42"/>
      <c r="IFG53" s="42"/>
      <c r="IFH53" s="42"/>
      <c r="IFI53" s="42"/>
      <c r="IFJ53" s="42"/>
      <c r="IFK53" s="42"/>
      <c r="IFL53" s="42"/>
      <c r="IFM53" s="42"/>
      <c r="IFN53" s="42"/>
      <c r="IFO53" s="42"/>
      <c r="IFP53" s="42"/>
      <c r="IFQ53" s="42"/>
      <c r="IFR53" s="42"/>
      <c r="IFS53" s="42"/>
      <c r="IFT53" s="42"/>
      <c r="IFU53" s="42"/>
      <c r="IFV53" s="42"/>
      <c r="IFW53" s="2"/>
      <c r="IFX53" s="15"/>
      <c r="IFY53" s="42"/>
      <c r="IFZ53" s="2"/>
      <c r="IGA53" s="2"/>
      <c r="IGB53" s="2"/>
      <c r="IGC53" s="2"/>
      <c r="IGD53" s="42"/>
      <c r="IGE53" s="42"/>
      <c r="IGF53" s="42"/>
      <c r="IGG53" s="42"/>
      <c r="IGH53" s="42"/>
      <c r="IGI53" s="42"/>
      <c r="IGJ53" s="42"/>
      <c r="IGK53" s="42"/>
      <c r="IGL53" s="42"/>
      <c r="IGM53" s="42"/>
      <c r="IGN53" s="42"/>
      <c r="IGO53" s="42"/>
      <c r="IGP53" s="42"/>
      <c r="IGQ53" s="42"/>
      <c r="IGR53" s="42"/>
      <c r="IGS53" s="42"/>
      <c r="IGT53" s="42"/>
      <c r="IGU53" s="42"/>
      <c r="IGV53" s="42"/>
      <c r="IGW53" s="42"/>
      <c r="IGX53" s="42"/>
      <c r="IGY53" s="42"/>
      <c r="IGZ53" s="42"/>
      <c r="IHA53" s="2"/>
      <c r="IHB53" s="15"/>
      <c r="IHC53" s="42"/>
      <c r="IHD53" s="2"/>
      <c r="IHE53" s="2"/>
      <c r="IHF53" s="2"/>
      <c r="IHG53" s="2"/>
      <c r="IHH53" s="42"/>
      <c r="IHI53" s="42"/>
      <c r="IHJ53" s="42"/>
      <c r="IHK53" s="42"/>
      <c r="IHL53" s="42"/>
      <c r="IHM53" s="42"/>
      <c r="IHN53" s="42"/>
      <c r="IHO53" s="42"/>
      <c r="IHP53" s="42"/>
      <c r="IHQ53" s="42"/>
      <c r="IHR53" s="42"/>
      <c r="IHS53" s="42"/>
      <c r="IHT53" s="42"/>
      <c r="IHU53" s="42"/>
      <c r="IHV53" s="42"/>
      <c r="IHW53" s="42"/>
      <c r="IHX53" s="42"/>
      <c r="IHY53" s="42"/>
      <c r="IHZ53" s="42"/>
      <c r="IIA53" s="42"/>
      <c r="IIB53" s="42"/>
      <c r="IIC53" s="42"/>
      <c r="IID53" s="42"/>
      <c r="IIE53" s="2"/>
      <c r="IIF53" s="15"/>
      <c r="IIG53" s="42"/>
      <c r="IIH53" s="2"/>
      <c r="III53" s="2"/>
      <c r="IIJ53" s="2"/>
      <c r="IIK53" s="2"/>
      <c r="IIL53" s="42"/>
      <c r="IIM53" s="42"/>
      <c r="IIN53" s="42"/>
      <c r="IIO53" s="42"/>
      <c r="IIP53" s="42"/>
      <c r="IIQ53" s="42"/>
      <c r="IIR53" s="42"/>
      <c r="IIS53" s="42"/>
      <c r="IIT53" s="42"/>
      <c r="IIU53" s="42"/>
      <c r="IIV53" s="42"/>
      <c r="IIW53" s="42"/>
      <c r="IIX53" s="42"/>
      <c r="IIY53" s="42"/>
      <c r="IIZ53" s="42"/>
      <c r="IJA53" s="42"/>
      <c r="IJB53" s="42"/>
      <c r="IJC53" s="42"/>
      <c r="IJD53" s="42"/>
      <c r="IJE53" s="42"/>
      <c r="IJF53" s="42"/>
      <c r="IJG53" s="42"/>
      <c r="IJH53" s="42"/>
      <c r="IJI53" s="2"/>
      <c r="IJJ53" s="15"/>
      <c r="IJK53" s="42"/>
      <c r="IJL53" s="2"/>
      <c r="IJM53" s="2"/>
      <c r="IJN53" s="2"/>
      <c r="IJO53" s="2"/>
      <c r="IJP53" s="42"/>
      <c r="IJQ53" s="42"/>
      <c r="IJR53" s="42"/>
      <c r="IJS53" s="42"/>
      <c r="IJT53" s="42"/>
      <c r="IJU53" s="42"/>
      <c r="IJV53" s="42"/>
      <c r="IJW53" s="42"/>
      <c r="IJX53" s="42"/>
      <c r="IJY53" s="42"/>
      <c r="IJZ53" s="42"/>
      <c r="IKA53" s="42"/>
      <c r="IKB53" s="42"/>
      <c r="IKC53" s="42"/>
      <c r="IKD53" s="42"/>
      <c r="IKE53" s="42"/>
      <c r="IKF53" s="42"/>
      <c r="IKG53" s="42"/>
      <c r="IKH53" s="42"/>
      <c r="IKI53" s="42"/>
      <c r="IKJ53" s="42"/>
      <c r="IKK53" s="42"/>
      <c r="IKL53" s="42"/>
      <c r="IKM53" s="2"/>
      <c r="IKN53" s="15"/>
      <c r="IKO53" s="42"/>
      <c r="IKP53" s="2"/>
      <c r="IKQ53" s="2"/>
      <c r="IKR53" s="2"/>
      <c r="IKS53" s="2"/>
      <c r="IKT53" s="42"/>
      <c r="IKU53" s="42"/>
      <c r="IKV53" s="42"/>
      <c r="IKW53" s="42"/>
      <c r="IKX53" s="42"/>
      <c r="IKY53" s="42"/>
      <c r="IKZ53" s="42"/>
      <c r="ILA53" s="42"/>
      <c r="ILB53" s="42"/>
      <c r="ILC53" s="42"/>
      <c r="ILD53" s="42"/>
      <c r="ILE53" s="42"/>
      <c r="ILF53" s="42"/>
      <c r="ILG53" s="42"/>
      <c r="ILH53" s="42"/>
      <c r="ILI53" s="42"/>
      <c r="ILJ53" s="42"/>
      <c r="ILK53" s="42"/>
      <c r="ILL53" s="42"/>
      <c r="ILM53" s="42"/>
      <c r="ILN53" s="42"/>
      <c r="ILO53" s="42"/>
      <c r="ILP53" s="42"/>
      <c r="ILQ53" s="2"/>
      <c r="ILR53" s="15"/>
      <c r="ILS53" s="42"/>
      <c r="ILT53" s="2"/>
      <c r="ILU53" s="2"/>
      <c r="ILV53" s="2"/>
      <c r="ILW53" s="2"/>
      <c r="ILX53" s="42"/>
      <c r="ILY53" s="42"/>
      <c r="ILZ53" s="42"/>
      <c r="IMA53" s="42"/>
      <c r="IMB53" s="42"/>
      <c r="IMC53" s="42"/>
      <c r="IMD53" s="42"/>
      <c r="IME53" s="42"/>
      <c r="IMF53" s="42"/>
      <c r="IMG53" s="42"/>
      <c r="IMH53" s="42"/>
      <c r="IMI53" s="42"/>
      <c r="IMJ53" s="42"/>
      <c r="IMK53" s="42"/>
      <c r="IML53" s="42"/>
      <c r="IMM53" s="42"/>
      <c r="IMN53" s="42"/>
      <c r="IMO53" s="42"/>
      <c r="IMP53" s="42"/>
      <c r="IMQ53" s="42"/>
      <c r="IMR53" s="42"/>
      <c r="IMS53" s="42"/>
      <c r="IMT53" s="42"/>
      <c r="IMU53" s="2"/>
      <c r="IMV53" s="15"/>
      <c r="IMW53" s="42"/>
      <c r="IMX53" s="2"/>
      <c r="IMY53" s="2"/>
      <c r="IMZ53" s="2"/>
      <c r="INA53" s="2"/>
      <c r="INB53" s="42"/>
      <c r="INC53" s="42"/>
      <c r="IND53" s="42"/>
      <c r="INE53" s="42"/>
      <c r="INF53" s="42"/>
      <c r="ING53" s="42"/>
      <c r="INH53" s="42"/>
      <c r="INI53" s="42"/>
      <c r="INJ53" s="42"/>
      <c r="INK53" s="42"/>
      <c r="INL53" s="42"/>
      <c r="INM53" s="42"/>
      <c r="INN53" s="42"/>
      <c r="INO53" s="42"/>
      <c r="INP53" s="42"/>
      <c r="INQ53" s="42"/>
      <c r="INR53" s="42"/>
      <c r="INS53" s="42"/>
      <c r="INT53" s="42"/>
      <c r="INU53" s="42"/>
      <c r="INV53" s="42"/>
      <c r="INW53" s="42"/>
      <c r="INX53" s="42"/>
      <c r="INY53" s="2"/>
      <c r="INZ53" s="15"/>
      <c r="IOA53" s="42"/>
      <c r="IOB53" s="2"/>
      <c r="IOC53" s="2"/>
      <c r="IOD53" s="2"/>
      <c r="IOE53" s="2"/>
      <c r="IOF53" s="42"/>
      <c r="IOG53" s="42"/>
      <c r="IOH53" s="42"/>
      <c r="IOI53" s="42"/>
      <c r="IOJ53" s="42"/>
      <c r="IOK53" s="42"/>
      <c r="IOL53" s="42"/>
      <c r="IOM53" s="42"/>
      <c r="ION53" s="42"/>
      <c r="IOO53" s="42"/>
      <c r="IOP53" s="42"/>
      <c r="IOQ53" s="42"/>
      <c r="IOR53" s="42"/>
      <c r="IOS53" s="42"/>
      <c r="IOT53" s="42"/>
      <c r="IOU53" s="42"/>
      <c r="IOV53" s="42"/>
      <c r="IOW53" s="42"/>
      <c r="IOX53" s="42"/>
      <c r="IOY53" s="42"/>
      <c r="IOZ53" s="42"/>
      <c r="IPA53" s="42"/>
      <c r="IPB53" s="42"/>
      <c r="IPC53" s="2"/>
      <c r="IPD53" s="15"/>
      <c r="IPE53" s="42"/>
      <c r="IPF53" s="2"/>
      <c r="IPG53" s="2"/>
      <c r="IPH53" s="2"/>
      <c r="IPI53" s="2"/>
      <c r="IPJ53" s="42"/>
      <c r="IPK53" s="42"/>
      <c r="IPL53" s="42"/>
      <c r="IPM53" s="42"/>
      <c r="IPN53" s="42"/>
      <c r="IPO53" s="42"/>
      <c r="IPP53" s="42"/>
      <c r="IPQ53" s="42"/>
      <c r="IPR53" s="42"/>
      <c r="IPS53" s="42"/>
      <c r="IPT53" s="42"/>
      <c r="IPU53" s="42"/>
      <c r="IPV53" s="42"/>
      <c r="IPW53" s="42"/>
      <c r="IPX53" s="42"/>
      <c r="IPY53" s="42"/>
      <c r="IPZ53" s="42"/>
      <c r="IQA53" s="42"/>
      <c r="IQB53" s="42"/>
      <c r="IQC53" s="42"/>
      <c r="IQD53" s="42"/>
      <c r="IQE53" s="42"/>
      <c r="IQF53" s="42"/>
      <c r="IQG53" s="2"/>
      <c r="IQH53" s="15"/>
      <c r="IQI53" s="42"/>
      <c r="IQJ53" s="2"/>
      <c r="IQK53" s="2"/>
      <c r="IQL53" s="2"/>
      <c r="IQM53" s="2"/>
      <c r="IQN53" s="42"/>
      <c r="IQO53" s="42"/>
      <c r="IQP53" s="42"/>
      <c r="IQQ53" s="42"/>
      <c r="IQR53" s="42"/>
      <c r="IQS53" s="42"/>
      <c r="IQT53" s="42"/>
      <c r="IQU53" s="42"/>
      <c r="IQV53" s="42"/>
      <c r="IQW53" s="42"/>
      <c r="IQX53" s="42"/>
      <c r="IQY53" s="42"/>
      <c r="IQZ53" s="42"/>
      <c r="IRA53" s="42"/>
      <c r="IRB53" s="42"/>
      <c r="IRC53" s="42"/>
      <c r="IRD53" s="42"/>
      <c r="IRE53" s="42"/>
      <c r="IRF53" s="42"/>
      <c r="IRG53" s="42"/>
      <c r="IRH53" s="42"/>
      <c r="IRI53" s="42"/>
      <c r="IRJ53" s="42"/>
      <c r="IRK53" s="2"/>
      <c r="IRL53" s="15"/>
      <c r="IRM53" s="42"/>
      <c r="IRN53" s="2"/>
      <c r="IRO53" s="2"/>
      <c r="IRP53" s="2"/>
      <c r="IRQ53" s="2"/>
      <c r="IRR53" s="42"/>
      <c r="IRS53" s="42"/>
      <c r="IRT53" s="42"/>
      <c r="IRU53" s="42"/>
      <c r="IRV53" s="42"/>
      <c r="IRW53" s="42"/>
      <c r="IRX53" s="42"/>
      <c r="IRY53" s="42"/>
      <c r="IRZ53" s="42"/>
      <c r="ISA53" s="42"/>
      <c r="ISB53" s="42"/>
      <c r="ISC53" s="42"/>
      <c r="ISD53" s="42"/>
      <c r="ISE53" s="42"/>
      <c r="ISF53" s="42"/>
      <c r="ISG53" s="42"/>
      <c r="ISH53" s="42"/>
      <c r="ISI53" s="42"/>
      <c r="ISJ53" s="42"/>
      <c r="ISK53" s="42"/>
      <c r="ISL53" s="42"/>
      <c r="ISM53" s="42"/>
      <c r="ISN53" s="42"/>
      <c r="ISO53" s="2"/>
      <c r="ISP53" s="15"/>
      <c r="ISQ53" s="42"/>
      <c r="ISR53" s="2"/>
      <c r="ISS53" s="2"/>
      <c r="IST53" s="2"/>
      <c r="ISU53" s="2"/>
      <c r="ISV53" s="42"/>
      <c r="ISW53" s="42"/>
      <c r="ISX53" s="42"/>
      <c r="ISY53" s="42"/>
      <c r="ISZ53" s="42"/>
      <c r="ITA53" s="42"/>
      <c r="ITB53" s="42"/>
      <c r="ITC53" s="42"/>
      <c r="ITD53" s="42"/>
      <c r="ITE53" s="42"/>
      <c r="ITF53" s="42"/>
      <c r="ITG53" s="42"/>
      <c r="ITH53" s="42"/>
      <c r="ITI53" s="42"/>
      <c r="ITJ53" s="42"/>
      <c r="ITK53" s="42"/>
      <c r="ITL53" s="42"/>
      <c r="ITM53" s="42"/>
      <c r="ITN53" s="42"/>
      <c r="ITO53" s="42"/>
      <c r="ITP53" s="42"/>
      <c r="ITQ53" s="42"/>
      <c r="ITR53" s="42"/>
      <c r="ITS53" s="2"/>
      <c r="ITT53" s="15"/>
      <c r="ITU53" s="42"/>
      <c r="ITV53" s="2"/>
      <c r="ITW53" s="2"/>
      <c r="ITX53" s="2"/>
      <c r="ITY53" s="2"/>
      <c r="ITZ53" s="42"/>
      <c r="IUA53" s="42"/>
      <c r="IUB53" s="42"/>
      <c r="IUC53" s="42"/>
      <c r="IUD53" s="42"/>
      <c r="IUE53" s="42"/>
      <c r="IUF53" s="42"/>
      <c r="IUG53" s="42"/>
      <c r="IUH53" s="42"/>
      <c r="IUI53" s="42"/>
      <c r="IUJ53" s="42"/>
      <c r="IUK53" s="42"/>
      <c r="IUL53" s="42"/>
      <c r="IUM53" s="42"/>
      <c r="IUN53" s="42"/>
      <c r="IUO53" s="42"/>
      <c r="IUP53" s="42"/>
      <c r="IUQ53" s="42"/>
      <c r="IUR53" s="42"/>
      <c r="IUS53" s="42"/>
      <c r="IUT53" s="42"/>
      <c r="IUU53" s="42"/>
      <c r="IUV53" s="42"/>
      <c r="IUW53" s="2"/>
      <c r="IUX53" s="15"/>
      <c r="IUY53" s="42"/>
      <c r="IUZ53" s="2"/>
      <c r="IVA53" s="2"/>
      <c r="IVB53" s="2"/>
      <c r="IVC53" s="2"/>
      <c r="IVD53" s="42"/>
      <c r="IVE53" s="42"/>
      <c r="IVF53" s="42"/>
      <c r="IVG53" s="42"/>
      <c r="IVH53" s="42"/>
      <c r="IVI53" s="42"/>
      <c r="IVJ53" s="42"/>
      <c r="IVK53" s="42"/>
      <c r="IVL53" s="42"/>
      <c r="IVM53" s="42"/>
      <c r="IVN53" s="42"/>
      <c r="IVO53" s="42"/>
      <c r="IVP53" s="42"/>
      <c r="IVQ53" s="42"/>
      <c r="IVR53" s="42"/>
      <c r="IVS53" s="42"/>
      <c r="IVT53" s="42"/>
      <c r="IVU53" s="42"/>
      <c r="IVV53" s="42"/>
      <c r="IVW53" s="42"/>
      <c r="IVX53" s="42"/>
      <c r="IVY53" s="42"/>
      <c r="IVZ53" s="42"/>
      <c r="IWA53" s="2"/>
      <c r="IWB53" s="15"/>
      <c r="IWC53" s="42"/>
      <c r="IWD53" s="2"/>
      <c r="IWE53" s="2"/>
      <c r="IWF53" s="2"/>
      <c r="IWG53" s="2"/>
      <c r="IWH53" s="42"/>
      <c r="IWI53" s="42"/>
      <c r="IWJ53" s="42"/>
      <c r="IWK53" s="42"/>
      <c r="IWL53" s="42"/>
      <c r="IWM53" s="42"/>
      <c r="IWN53" s="42"/>
      <c r="IWO53" s="42"/>
      <c r="IWP53" s="42"/>
      <c r="IWQ53" s="42"/>
      <c r="IWR53" s="42"/>
      <c r="IWS53" s="42"/>
      <c r="IWT53" s="42"/>
      <c r="IWU53" s="42"/>
      <c r="IWV53" s="42"/>
      <c r="IWW53" s="42"/>
      <c r="IWX53" s="42"/>
      <c r="IWY53" s="42"/>
      <c r="IWZ53" s="42"/>
      <c r="IXA53" s="42"/>
      <c r="IXB53" s="42"/>
      <c r="IXC53" s="42"/>
      <c r="IXD53" s="42"/>
      <c r="IXE53" s="2"/>
      <c r="IXF53" s="15"/>
      <c r="IXG53" s="42"/>
      <c r="IXH53" s="2"/>
      <c r="IXI53" s="2"/>
      <c r="IXJ53" s="2"/>
      <c r="IXK53" s="2"/>
      <c r="IXL53" s="42"/>
      <c r="IXM53" s="42"/>
      <c r="IXN53" s="42"/>
      <c r="IXO53" s="42"/>
      <c r="IXP53" s="42"/>
      <c r="IXQ53" s="42"/>
      <c r="IXR53" s="42"/>
      <c r="IXS53" s="42"/>
      <c r="IXT53" s="42"/>
      <c r="IXU53" s="42"/>
      <c r="IXV53" s="42"/>
      <c r="IXW53" s="42"/>
      <c r="IXX53" s="42"/>
      <c r="IXY53" s="42"/>
      <c r="IXZ53" s="42"/>
      <c r="IYA53" s="42"/>
      <c r="IYB53" s="42"/>
      <c r="IYC53" s="42"/>
      <c r="IYD53" s="42"/>
      <c r="IYE53" s="42"/>
      <c r="IYF53" s="42"/>
      <c r="IYG53" s="42"/>
      <c r="IYH53" s="42"/>
      <c r="IYI53" s="2"/>
      <c r="IYJ53" s="15"/>
      <c r="IYK53" s="42"/>
      <c r="IYL53" s="2"/>
      <c r="IYM53" s="2"/>
      <c r="IYN53" s="2"/>
      <c r="IYO53" s="2"/>
      <c r="IYP53" s="42"/>
      <c r="IYQ53" s="42"/>
      <c r="IYR53" s="42"/>
      <c r="IYS53" s="42"/>
      <c r="IYT53" s="42"/>
      <c r="IYU53" s="42"/>
      <c r="IYV53" s="42"/>
      <c r="IYW53" s="42"/>
      <c r="IYX53" s="42"/>
      <c r="IYY53" s="42"/>
      <c r="IYZ53" s="42"/>
      <c r="IZA53" s="42"/>
      <c r="IZB53" s="42"/>
      <c r="IZC53" s="42"/>
      <c r="IZD53" s="42"/>
      <c r="IZE53" s="42"/>
      <c r="IZF53" s="42"/>
      <c r="IZG53" s="42"/>
      <c r="IZH53" s="42"/>
      <c r="IZI53" s="42"/>
      <c r="IZJ53" s="42"/>
      <c r="IZK53" s="42"/>
      <c r="IZL53" s="42"/>
      <c r="IZM53" s="2"/>
      <c r="IZN53" s="15"/>
      <c r="IZO53" s="42"/>
      <c r="IZP53" s="2"/>
      <c r="IZQ53" s="2"/>
      <c r="IZR53" s="2"/>
      <c r="IZS53" s="2"/>
      <c r="IZT53" s="42"/>
      <c r="IZU53" s="42"/>
      <c r="IZV53" s="42"/>
      <c r="IZW53" s="42"/>
      <c r="IZX53" s="42"/>
      <c r="IZY53" s="42"/>
      <c r="IZZ53" s="42"/>
      <c r="JAA53" s="42"/>
      <c r="JAB53" s="42"/>
      <c r="JAC53" s="42"/>
      <c r="JAD53" s="42"/>
      <c r="JAE53" s="42"/>
      <c r="JAF53" s="42"/>
      <c r="JAG53" s="42"/>
      <c r="JAH53" s="42"/>
      <c r="JAI53" s="42"/>
      <c r="JAJ53" s="42"/>
      <c r="JAK53" s="42"/>
      <c r="JAL53" s="42"/>
      <c r="JAM53" s="42"/>
      <c r="JAN53" s="42"/>
      <c r="JAO53" s="42"/>
      <c r="JAP53" s="42"/>
      <c r="JAQ53" s="2"/>
      <c r="JAR53" s="15"/>
      <c r="JAS53" s="42"/>
      <c r="JAT53" s="2"/>
      <c r="JAU53" s="2"/>
      <c r="JAV53" s="2"/>
      <c r="JAW53" s="2"/>
      <c r="JAX53" s="42"/>
      <c r="JAY53" s="42"/>
      <c r="JAZ53" s="42"/>
      <c r="JBA53" s="42"/>
      <c r="JBB53" s="42"/>
      <c r="JBC53" s="42"/>
      <c r="JBD53" s="42"/>
      <c r="JBE53" s="42"/>
      <c r="JBF53" s="42"/>
      <c r="JBG53" s="42"/>
      <c r="JBH53" s="42"/>
      <c r="JBI53" s="42"/>
      <c r="JBJ53" s="42"/>
      <c r="JBK53" s="42"/>
      <c r="JBL53" s="42"/>
      <c r="JBM53" s="42"/>
      <c r="JBN53" s="42"/>
      <c r="JBO53" s="42"/>
      <c r="JBP53" s="42"/>
      <c r="JBQ53" s="42"/>
      <c r="JBR53" s="42"/>
      <c r="JBS53" s="42"/>
      <c r="JBT53" s="42"/>
      <c r="JBU53" s="2"/>
      <c r="JBV53" s="15"/>
      <c r="JBW53" s="42"/>
      <c r="JBX53" s="2"/>
      <c r="JBY53" s="2"/>
      <c r="JBZ53" s="2"/>
      <c r="JCA53" s="2"/>
      <c r="JCB53" s="42"/>
      <c r="JCC53" s="42"/>
      <c r="JCD53" s="42"/>
      <c r="JCE53" s="42"/>
      <c r="JCF53" s="42"/>
      <c r="JCG53" s="42"/>
      <c r="JCH53" s="42"/>
      <c r="JCI53" s="42"/>
      <c r="JCJ53" s="42"/>
      <c r="JCK53" s="42"/>
      <c r="JCL53" s="42"/>
      <c r="JCM53" s="42"/>
      <c r="JCN53" s="42"/>
      <c r="JCO53" s="42"/>
      <c r="JCP53" s="42"/>
      <c r="JCQ53" s="42"/>
      <c r="JCR53" s="42"/>
      <c r="JCS53" s="42"/>
      <c r="JCT53" s="42"/>
      <c r="JCU53" s="42"/>
      <c r="JCV53" s="42"/>
      <c r="JCW53" s="42"/>
      <c r="JCX53" s="42"/>
      <c r="JCY53" s="2"/>
      <c r="JCZ53" s="15"/>
      <c r="JDA53" s="42"/>
      <c r="JDB53" s="2"/>
      <c r="JDC53" s="2"/>
      <c r="JDD53" s="2"/>
      <c r="JDE53" s="2"/>
      <c r="JDF53" s="42"/>
      <c r="JDG53" s="42"/>
      <c r="JDH53" s="42"/>
      <c r="JDI53" s="42"/>
      <c r="JDJ53" s="42"/>
      <c r="JDK53" s="42"/>
      <c r="JDL53" s="42"/>
      <c r="JDM53" s="42"/>
      <c r="JDN53" s="42"/>
      <c r="JDO53" s="42"/>
      <c r="JDP53" s="42"/>
      <c r="JDQ53" s="42"/>
      <c r="JDR53" s="42"/>
      <c r="JDS53" s="42"/>
      <c r="JDT53" s="42"/>
      <c r="JDU53" s="42"/>
      <c r="JDV53" s="42"/>
      <c r="JDW53" s="42"/>
      <c r="JDX53" s="42"/>
      <c r="JDY53" s="42"/>
      <c r="JDZ53" s="42"/>
      <c r="JEA53" s="42"/>
      <c r="JEB53" s="42"/>
      <c r="JEC53" s="2"/>
      <c r="JED53" s="15"/>
      <c r="JEE53" s="42"/>
      <c r="JEF53" s="2"/>
      <c r="JEG53" s="2"/>
      <c r="JEH53" s="2"/>
      <c r="JEI53" s="2"/>
      <c r="JEJ53" s="42"/>
      <c r="JEK53" s="42"/>
      <c r="JEL53" s="42"/>
      <c r="JEM53" s="42"/>
      <c r="JEN53" s="42"/>
      <c r="JEO53" s="42"/>
      <c r="JEP53" s="42"/>
      <c r="JEQ53" s="42"/>
      <c r="JER53" s="42"/>
      <c r="JES53" s="42"/>
      <c r="JET53" s="42"/>
      <c r="JEU53" s="42"/>
      <c r="JEV53" s="42"/>
      <c r="JEW53" s="42"/>
      <c r="JEX53" s="42"/>
      <c r="JEY53" s="42"/>
      <c r="JEZ53" s="42"/>
      <c r="JFA53" s="42"/>
      <c r="JFB53" s="42"/>
      <c r="JFC53" s="42"/>
      <c r="JFD53" s="42"/>
      <c r="JFE53" s="42"/>
      <c r="JFF53" s="42"/>
      <c r="JFG53" s="2"/>
      <c r="JFH53" s="15"/>
      <c r="JFI53" s="42"/>
      <c r="JFJ53" s="2"/>
      <c r="JFK53" s="2"/>
      <c r="JFL53" s="2"/>
      <c r="JFM53" s="2"/>
      <c r="JFN53" s="42"/>
      <c r="JFO53" s="42"/>
      <c r="JFP53" s="42"/>
      <c r="JFQ53" s="42"/>
      <c r="JFR53" s="42"/>
      <c r="JFS53" s="42"/>
      <c r="JFT53" s="42"/>
      <c r="JFU53" s="42"/>
      <c r="JFV53" s="42"/>
      <c r="JFW53" s="42"/>
      <c r="JFX53" s="42"/>
      <c r="JFY53" s="42"/>
      <c r="JFZ53" s="42"/>
      <c r="JGA53" s="42"/>
      <c r="JGB53" s="42"/>
      <c r="JGC53" s="42"/>
      <c r="JGD53" s="42"/>
      <c r="JGE53" s="42"/>
      <c r="JGF53" s="42"/>
      <c r="JGG53" s="42"/>
      <c r="JGH53" s="42"/>
      <c r="JGI53" s="42"/>
      <c r="JGJ53" s="42"/>
      <c r="JGK53" s="2"/>
      <c r="JGL53" s="15"/>
      <c r="JGM53" s="42"/>
      <c r="JGN53" s="2"/>
      <c r="JGO53" s="2"/>
      <c r="JGP53" s="2"/>
      <c r="JGQ53" s="2"/>
      <c r="JGR53" s="42"/>
      <c r="JGS53" s="42"/>
      <c r="JGT53" s="42"/>
      <c r="JGU53" s="42"/>
      <c r="JGV53" s="42"/>
      <c r="JGW53" s="42"/>
      <c r="JGX53" s="42"/>
      <c r="JGY53" s="42"/>
      <c r="JGZ53" s="42"/>
      <c r="JHA53" s="42"/>
      <c r="JHB53" s="42"/>
      <c r="JHC53" s="42"/>
      <c r="JHD53" s="42"/>
      <c r="JHE53" s="42"/>
      <c r="JHF53" s="42"/>
      <c r="JHG53" s="42"/>
      <c r="JHH53" s="42"/>
      <c r="JHI53" s="42"/>
      <c r="JHJ53" s="42"/>
      <c r="JHK53" s="42"/>
      <c r="JHL53" s="42"/>
      <c r="JHM53" s="42"/>
      <c r="JHN53" s="42"/>
      <c r="JHO53" s="2"/>
      <c r="JHP53" s="15"/>
      <c r="JHQ53" s="42"/>
      <c r="JHR53" s="2"/>
      <c r="JHS53" s="2"/>
      <c r="JHT53" s="2"/>
      <c r="JHU53" s="2"/>
      <c r="JHV53" s="42"/>
      <c r="JHW53" s="42"/>
      <c r="JHX53" s="42"/>
      <c r="JHY53" s="42"/>
      <c r="JHZ53" s="42"/>
      <c r="JIA53" s="42"/>
      <c r="JIB53" s="42"/>
      <c r="JIC53" s="42"/>
      <c r="JID53" s="42"/>
      <c r="JIE53" s="42"/>
      <c r="JIF53" s="42"/>
      <c r="JIG53" s="42"/>
      <c r="JIH53" s="42"/>
      <c r="JII53" s="42"/>
      <c r="JIJ53" s="42"/>
      <c r="JIK53" s="42"/>
      <c r="JIL53" s="42"/>
      <c r="JIM53" s="42"/>
      <c r="JIN53" s="42"/>
      <c r="JIO53" s="42"/>
      <c r="JIP53" s="42"/>
      <c r="JIQ53" s="42"/>
      <c r="JIR53" s="42"/>
      <c r="JIS53" s="2"/>
      <c r="JIT53" s="15"/>
      <c r="JIU53" s="42"/>
      <c r="JIV53" s="2"/>
      <c r="JIW53" s="2"/>
      <c r="JIX53" s="2"/>
      <c r="JIY53" s="2"/>
      <c r="JIZ53" s="42"/>
      <c r="JJA53" s="42"/>
      <c r="JJB53" s="42"/>
      <c r="JJC53" s="42"/>
      <c r="JJD53" s="42"/>
      <c r="JJE53" s="42"/>
      <c r="JJF53" s="42"/>
      <c r="JJG53" s="42"/>
      <c r="JJH53" s="42"/>
      <c r="JJI53" s="42"/>
      <c r="JJJ53" s="42"/>
      <c r="JJK53" s="42"/>
      <c r="JJL53" s="42"/>
      <c r="JJM53" s="42"/>
      <c r="JJN53" s="42"/>
      <c r="JJO53" s="42"/>
      <c r="JJP53" s="42"/>
      <c r="JJQ53" s="42"/>
      <c r="JJR53" s="42"/>
      <c r="JJS53" s="42"/>
      <c r="JJT53" s="42"/>
      <c r="JJU53" s="42"/>
      <c r="JJV53" s="42"/>
      <c r="JJW53" s="2"/>
      <c r="JJX53" s="15"/>
      <c r="JJY53" s="42"/>
      <c r="JJZ53" s="2"/>
      <c r="JKA53" s="2"/>
      <c r="JKB53" s="2"/>
      <c r="JKC53" s="2"/>
      <c r="JKD53" s="42"/>
      <c r="JKE53" s="42"/>
      <c r="JKF53" s="42"/>
      <c r="JKG53" s="42"/>
      <c r="JKH53" s="42"/>
      <c r="JKI53" s="42"/>
      <c r="JKJ53" s="42"/>
      <c r="JKK53" s="42"/>
      <c r="JKL53" s="42"/>
      <c r="JKM53" s="42"/>
      <c r="JKN53" s="42"/>
      <c r="JKO53" s="42"/>
      <c r="JKP53" s="42"/>
      <c r="JKQ53" s="42"/>
      <c r="JKR53" s="42"/>
      <c r="JKS53" s="42"/>
      <c r="JKT53" s="42"/>
      <c r="JKU53" s="42"/>
      <c r="JKV53" s="42"/>
      <c r="JKW53" s="42"/>
      <c r="JKX53" s="42"/>
      <c r="JKY53" s="42"/>
      <c r="JKZ53" s="42"/>
      <c r="JLA53" s="2"/>
      <c r="JLB53" s="15"/>
      <c r="JLC53" s="42"/>
      <c r="JLD53" s="2"/>
      <c r="JLE53" s="2"/>
      <c r="JLF53" s="2"/>
      <c r="JLG53" s="2"/>
      <c r="JLH53" s="42"/>
      <c r="JLI53" s="42"/>
      <c r="JLJ53" s="42"/>
      <c r="JLK53" s="42"/>
      <c r="JLL53" s="42"/>
      <c r="JLM53" s="42"/>
      <c r="JLN53" s="42"/>
      <c r="JLO53" s="42"/>
      <c r="JLP53" s="42"/>
      <c r="JLQ53" s="42"/>
      <c r="JLR53" s="42"/>
      <c r="JLS53" s="42"/>
      <c r="JLT53" s="42"/>
      <c r="JLU53" s="42"/>
      <c r="JLV53" s="42"/>
      <c r="JLW53" s="42"/>
      <c r="JLX53" s="42"/>
      <c r="JLY53" s="42"/>
      <c r="JLZ53" s="42"/>
      <c r="JMA53" s="42"/>
      <c r="JMB53" s="42"/>
      <c r="JMC53" s="42"/>
      <c r="JMD53" s="42"/>
      <c r="JME53" s="2"/>
      <c r="JMF53" s="15"/>
      <c r="JMG53" s="42"/>
      <c r="JMH53" s="2"/>
      <c r="JMI53" s="2"/>
      <c r="JMJ53" s="2"/>
      <c r="JMK53" s="2"/>
      <c r="JML53" s="42"/>
      <c r="JMM53" s="42"/>
      <c r="JMN53" s="42"/>
      <c r="JMO53" s="42"/>
      <c r="JMP53" s="42"/>
      <c r="JMQ53" s="42"/>
      <c r="JMR53" s="42"/>
      <c r="JMS53" s="42"/>
      <c r="JMT53" s="42"/>
      <c r="JMU53" s="42"/>
      <c r="JMV53" s="42"/>
      <c r="JMW53" s="42"/>
      <c r="JMX53" s="42"/>
      <c r="JMY53" s="42"/>
      <c r="JMZ53" s="42"/>
      <c r="JNA53" s="42"/>
      <c r="JNB53" s="42"/>
      <c r="JNC53" s="42"/>
      <c r="JND53" s="42"/>
      <c r="JNE53" s="42"/>
      <c r="JNF53" s="42"/>
      <c r="JNG53" s="42"/>
      <c r="JNH53" s="42"/>
      <c r="JNI53" s="2"/>
      <c r="JNJ53" s="15"/>
      <c r="JNK53" s="42"/>
      <c r="JNL53" s="2"/>
      <c r="JNM53" s="2"/>
      <c r="JNN53" s="2"/>
      <c r="JNO53" s="2"/>
      <c r="JNP53" s="42"/>
      <c r="JNQ53" s="42"/>
      <c r="JNR53" s="42"/>
      <c r="JNS53" s="42"/>
      <c r="JNT53" s="42"/>
      <c r="JNU53" s="42"/>
      <c r="JNV53" s="42"/>
      <c r="JNW53" s="42"/>
      <c r="JNX53" s="42"/>
      <c r="JNY53" s="42"/>
      <c r="JNZ53" s="42"/>
      <c r="JOA53" s="42"/>
      <c r="JOB53" s="42"/>
      <c r="JOC53" s="42"/>
      <c r="JOD53" s="42"/>
      <c r="JOE53" s="42"/>
      <c r="JOF53" s="42"/>
      <c r="JOG53" s="42"/>
      <c r="JOH53" s="42"/>
      <c r="JOI53" s="42"/>
      <c r="JOJ53" s="42"/>
      <c r="JOK53" s="42"/>
      <c r="JOL53" s="42"/>
      <c r="JOM53" s="2"/>
      <c r="JON53" s="15"/>
      <c r="JOO53" s="42"/>
      <c r="JOP53" s="2"/>
      <c r="JOQ53" s="2"/>
      <c r="JOR53" s="2"/>
      <c r="JOS53" s="2"/>
      <c r="JOT53" s="42"/>
      <c r="JOU53" s="42"/>
      <c r="JOV53" s="42"/>
      <c r="JOW53" s="42"/>
      <c r="JOX53" s="42"/>
      <c r="JOY53" s="42"/>
      <c r="JOZ53" s="42"/>
      <c r="JPA53" s="42"/>
      <c r="JPB53" s="42"/>
      <c r="JPC53" s="42"/>
      <c r="JPD53" s="42"/>
      <c r="JPE53" s="42"/>
      <c r="JPF53" s="42"/>
      <c r="JPG53" s="42"/>
      <c r="JPH53" s="42"/>
      <c r="JPI53" s="42"/>
      <c r="JPJ53" s="42"/>
      <c r="JPK53" s="42"/>
      <c r="JPL53" s="42"/>
      <c r="JPM53" s="42"/>
      <c r="JPN53" s="42"/>
      <c r="JPO53" s="42"/>
      <c r="JPP53" s="42"/>
      <c r="JPQ53" s="2"/>
      <c r="JPR53" s="15"/>
      <c r="JPS53" s="42"/>
      <c r="JPT53" s="2"/>
      <c r="JPU53" s="2"/>
      <c r="JPV53" s="2"/>
      <c r="JPW53" s="2"/>
      <c r="JPX53" s="42"/>
      <c r="JPY53" s="42"/>
      <c r="JPZ53" s="42"/>
      <c r="JQA53" s="42"/>
      <c r="JQB53" s="42"/>
      <c r="JQC53" s="42"/>
      <c r="JQD53" s="42"/>
      <c r="JQE53" s="42"/>
      <c r="JQF53" s="42"/>
      <c r="JQG53" s="42"/>
      <c r="JQH53" s="42"/>
      <c r="JQI53" s="42"/>
      <c r="JQJ53" s="42"/>
      <c r="JQK53" s="42"/>
      <c r="JQL53" s="42"/>
      <c r="JQM53" s="42"/>
      <c r="JQN53" s="42"/>
      <c r="JQO53" s="42"/>
      <c r="JQP53" s="42"/>
      <c r="JQQ53" s="42"/>
      <c r="JQR53" s="42"/>
      <c r="JQS53" s="42"/>
      <c r="JQT53" s="42"/>
      <c r="JQU53" s="2"/>
      <c r="JQV53" s="15"/>
      <c r="JQW53" s="42"/>
      <c r="JQX53" s="2"/>
      <c r="JQY53" s="2"/>
      <c r="JQZ53" s="2"/>
      <c r="JRA53" s="2"/>
      <c r="JRB53" s="42"/>
      <c r="JRC53" s="42"/>
      <c r="JRD53" s="42"/>
      <c r="JRE53" s="42"/>
      <c r="JRF53" s="42"/>
      <c r="JRG53" s="42"/>
      <c r="JRH53" s="42"/>
      <c r="JRI53" s="42"/>
      <c r="JRJ53" s="42"/>
      <c r="JRK53" s="42"/>
      <c r="JRL53" s="42"/>
      <c r="JRM53" s="42"/>
      <c r="JRN53" s="42"/>
      <c r="JRO53" s="42"/>
      <c r="JRP53" s="42"/>
      <c r="JRQ53" s="42"/>
      <c r="JRR53" s="42"/>
      <c r="JRS53" s="42"/>
      <c r="JRT53" s="42"/>
      <c r="JRU53" s="42"/>
      <c r="JRV53" s="42"/>
      <c r="JRW53" s="42"/>
      <c r="JRX53" s="42"/>
      <c r="JRY53" s="2"/>
      <c r="JRZ53" s="15"/>
      <c r="JSA53" s="42"/>
      <c r="JSB53" s="2"/>
      <c r="JSC53" s="2"/>
      <c r="JSD53" s="2"/>
      <c r="JSE53" s="2"/>
      <c r="JSF53" s="42"/>
      <c r="JSG53" s="42"/>
      <c r="JSH53" s="42"/>
      <c r="JSI53" s="42"/>
      <c r="JSJ53" s="42"/>
      <c r="JSK53" s="42"/>
      <c r="JSL53" s="42"/>
      <c r="JSM53" s="42"/>
      <c r="JSN53" s="42"/>
      <c r="JSO53" s="42"/>
      <c r="JSP53" s="42"/>
      <c r="JSQ53" s="42"/>
      <c r="JSR53" s="42"/>
      <c r="JSS53" s="42"/>
      <c r="JST53" s="42"/>
      <c r="JSU53" s="42"/>
      <c r="JSV53" s="42"/>
      <c r="JSW53" s="42"/>
      <c r="JSX53" s="42"/>
      <c r="JSY53" s="42"/>
      <c r="JSZ53" s="42"/>
      <c r="JTA53" s="42"/>
      <c r="JTB53" s="42"/>
      <c r="JTC53" s="2"/>
      <c r="JTD53" s="15"/>
      <c r="JTE53" s="42"/>
      <c r="JTF53" s="2"/>
      <c r="JTG53" s="2"/>
      <c r="JTH53" s="2"/>
      <c r="JTI53" s="2"/>
      <c r="JTJ53" s="42"/>
      <c r="JTK53" s="42"/>
      <c r="JTL53" s="42"/>
      <c r="JTM53" s="42"/>
      <c r="JTN53" s="42"/>
      <c r="JTO53" s="42"/>
      <c r="JTP53" s="42"/>
      <c r="JTQ53" s="42"/>
      <c r="JTR53" s="42"/>
      <c r="JTS53" s="42"/>
      <c r="JTT53" s="42"/>
      <c r="JTU53" s="42"/>
      <c r="JTV53" s="42"/>
      <c r="JTW53" s="42"/>
      <c r="JTX53" s="42"/>
      <c r="JTY53" s="42"/>
      <c r="JTZ53" s="42"/>
      <c r="JUA53" s="42"/>
      <c r="JUB53" s="42"/>
      <c r="JUC53" s="42"/>
      <c r="JUD53" s="42"/>
      <c r="JUE53" s="42"/>
      <c r="JUF53" s="42"/>
      <c r="JUG53" s="2"/>
      <c r="JUH53" s="15"/>
      <c r="JUI53" s="42"/>
      <c r="JUJ53" s="2"/>
      <c r="JUK53" s="2"/>
      <c r="JUL53" s="2"/>
      <c r="JUM53" s="2"/>
      <c r="JUN53" s="42"/>
      <c r="JUO53" s="42"/>
      <c r="JUP53" s="42"/>
      <c r="JUQ53" s="42"/>
      <c r="JUR53" s="42"/>
      <c r="JUS53" s="42"/>
      <c r="JUT53" s="42"/>
      <c r="JUU53" s="42"/>
      <c r="JUV53" s="42"/>
      <c r="JUW53" s="42"/>
      <c r="JUX53" s="42"/>
      <c r="JUY53" s="42"/>
      <c r="JUZ53" s="42"/>
      <c r="JVA53" s="42"/>
      <c r="JVB53" s="42"/>
      <c r="JVC53" s="42"/>
      <c r="JVD53" s="42"/>
      <c r="JVE53" s="42"/>
      <c r="JVF53" s="42"/>
      <c r="JVG53" s="42"/>
      <c r="JVH53" s="42"/>
      <c r="JVI53" s="42"/>
      <c r="JVJ53" s="42"/>
      <c r="JVK53" s="2"/>
      <c r="JVL53" s="15"/>
      <c r="JVM53" s="42"/>
      <c r="JVN53" s="2"/>
      <c r="JVO53" s="2"/>
      <c r="JVP53" s="2"/>
      <c r="JVQ53" s="2"/>
      <c r="JVR53" s="42"/>
      <c r="JVS53" s="42"/>
      <c r="JVT53" s="42"/>
      <c r="JVU53" s="42"/>
      <c r="JVV53" s="42"/>
      <c r="JVW53" s="42"/>
      <c r="JVX53" s="42"/>
      <c r="JVY53" s="42"/>
      <c r="JVZ53" s="42"/>
      <c r="JWA53" s="42"/>
      <c r="JWB53" s="42"/>
      <c r="JWC53" s="42"/>
      <c r="JWD53" s="42"/>
      <c r="JWE53" s="42"/>
      <c r="JWF53" s="42"/>
      <c r="JWG53" s="42"/>
      <c r="JWH53" s="42"/>
      <c r="JWI53" s="42"/>
      <c r="JWJ53" s="42"/>
      <c r="JWK53" s="42"/>
      <c r="JWL53" s="42"/>
      <c r="JWM53" s="42"/>
      <c r="JWN53" s="42"/>
      <c r="JWO53" s="2"/>
      <c r="JWP53" s="15"/>
      <c r="JWQ53" s="42"/>
      <c r="JWR53" s="2"/>
      <c r="JWS53" s="2"/>
      <c r="JWT53" s="2"/>
      <c r="JWU53" s="2"/>
      <c r="JWV53" s="42"/>
      <c r="JWW53" s="42"/>
      <c r="JWX53" s="42"/>
      <c r="JWY53" s="42"/>
      <c r="JWZ53" s="42"/>
      <c r="JXA53" s="42"/>
      <c r="JXB53" s="42"/>
      <c r="JXC53" s="42"/>
      <c r="JXD53" s="42"/>
      <c r="JXE53" s="42"/>
      <c r="JXF53" s="42"/>
      <c r="JXG53" s="42"/>
      <c r="JXH53" s="42"/>
      <c r="JXI53" s="42"/>
      <c r="JXJ53" s="42"/>
      <c r="JXK53" s="42"/>
      <c r="JXL53" s="42"/>
      <c r="JXM53" s="42"/>
      <c r="JXN53" s="42"/>
      <c r="JXO53" s="42"/>
      <c r="JXP53" s="42"/>
      <c r="JXQ53" s="42"/>
      <c r="JXR53" s="42"/>
      <c r="JXS53" s="2"/>
      <c r="JXT53" s="15"/>
      <c r="JXU53" s="42"/>
      <c r="JXV53" s="2"/>
      <c r="JXW53" s="2"/>
      <c r="JXX53" s="2"/>
      <c r="JXY53" s="2"/>
      <c r="JXZ53" s="42"/>
      <c r="JYA53" s="42"/>
      <c r="JYB53" s="42"/>
      <c r="JYC53" s="42"/>
      <c r="JYD53" s="42"/>
      <c r="JYE53" s="42"/>
      <c r="JYF53" s="42"/>
      <c r="JYG53" s="42"/>
      <c r="JYH53" s="42"/>
      <c r="JYI53" s="42"/>
      <c r="JYJ53" s="42"/>
      <c r="JYK53" s="42"/>
      <c r="JYL53" s="42"/>
      <c r="JYM53" s="42"/>
      <c r="JYN53" s="42"/>
      <c r="JYO53" s="42"/>
      <c r="JYP53" s="42"/>
      <c r="JYQ53" s="42"/>
      <c r="JYR53" s="42"/>
      <c r="JYS53" s="42"/>
      <c r="JYT53" s="42"/>
      <c r="JYU53" s="42"/>
      <c r="JYV53" s="42"/>
      <c r="JYW53" s="2"/>
      <c r="JYX53" s="15"/>
      <c r="JYY53" s="42"/>
      <c r="JYZ53" s="2"/>
      <c r="JZA53" s="2"/>
      <c r="JZB53" s="2"/>
      <c r="JZC53" s="2"/>
      <c r="JZD53" s="42"/>
      <c r="JZE53" s="42"/>
      <c r="JZF53" s="42"/>
      <c r="JZG53" s="42"/>
      <c r="JZH53" s="42"/>
      <c r="JZI53" s="42"/>
      <c r="JZJ53" s="42"/>
      <c r="JZK53" s="42"/>
      <c r="JZL53" s="42"/>
      <c r="JZM53" s="42"/>
      <c r="JZN53" s="42"/>
      <c r="JZO53" s="42"/>
      <c r="JZP53" s="42"/>
      <c r="JZQ53" s="42"/>
      <c r="JZR53" s="42"/>
      <c r="JZS53" s="42"/>
      <c r="JZT53" s="42"/>
      <c r="JZU53" s="42"/>
      <c r="JZV53" s="42"/>
      <c r="JZW53" s="42"/>
      <c r="JZX53" s="42"/>
      <c r="JZY53" s="42"/>
      <c r="JZZ53" s="42"/>
      <c r="KAA53" s="2"/>
      <c r="KAB53" s="15"/>
      <c r="KAC53" s="42"/>
      <c r="KAD53" s="2"/>
      <c r="KAE53" s="2"/>
      <c r="KAF53" s="2"/>
      <c r="KAG53" s="2"/>
      <c r="KAH53" s="42"/>
      <c r="KAI53" s="42"/>
      <c r="KAJ53" s="42"/>
      <c r="KAK53" s="42"/>
      <c r="KAL53" s="42"/>
      <c r="KAM53" s="42"/>
      <c r="KAN53" s="42"/>
      <c r="KAO53" s="42"/>
      <c r="KAP53" s="42"/>
      <c r="KAQ53" s="42"/>
      <c r="KAR53" s="42"/>
      <c r="KAS53" s="42"/>
      <c r="KAT53" s="42"/>
      <c r="KAU53" s="42"/>
      <c r="KAV53" s="42"/>
      <c r="KAW53" s="42"/>
      <c r="KAX53" s="42"/>
      <c r="KAY53" s="42"/>
      <c r="KAZ53" s="42"/>
      <c r="KBA53" s="42"/>
      <c r="KBB53" s="42"/>
      <c r="KBC53" s="42"/>
      <c r="KBD53" s="42"/>
      <c r="KBE53" s="2"/>
      <c r="KBF53" s="15"/>
      <c r="KBG53" s="42"/>
      <c r="KBH53" s="2"/>
      <c r="KBI53" s="2"/>
      <c r="KBJ53" s="2"/>
      <c r="KBK53" s="2"/>
      <c r="KBL53" s="42"/>
      <c r="KBM53" s="42"/>
      <c r="KBN53" s="42"/>
      <c r="KBO53" s="42"/>
      <c r="KBP53" s="42"/>
      <c r="KBQ53" s="42"/>
      <c r="KBR53" s="42"/>
      <c r="KBS53" s="42"/>
      <c r="KBT53" s="42"/>
      <c r="KBU53" s="42"/>
      <c r="KBV53" s="42"/>
      <c r="KBW53" s="42"/>
      <c r="KBX53" s="42"/>
      <c r="KBY53" s="42"/>
      <c r="KBZ53" s="42"/>
      <c r="KCA53" s="42"/>
      <c r="KCB53" s="42"/>
      <c r="KCC53" s="42"/>
      <c r="KCD53" s="42"/>
      <c r="KCE53" s="42"/>
      <c r="KCF53" s="42"/>
      <c r="KCG53" s="42"/>
      <c r="KCH53" s="42"/>
      <c r="KCI53" s="2"/>
      <c r="KCJ53" s="15"/>
      <c r="KCK53" s="42"/>
      <c r="KCL53" s="2"/>
      <c r="KCM53" s="2"/>
      <c r="KCN53" s="2"/>
      <c r="KCO53" s="2"/>
      <c r="KCP53" s="42"/>
      <c r="KCQ53" s="42"/>
      <c r="KCR53" s="42"/>
      <c r="KCS53" s="42"/>
      <c r="KCT53" s="42"/>
      <c r="KCU53" s="42"/>
      <c r="KCV53" s="42"/>
      <c r="KCW53" s="42"/>
      <c r="KCX53" s="42"/>
      <c r="KCY53" s="42"/>
      <c r="KCZ53" s="42"/>
      <c r="KDA53" s="42"/>
      <c r="KDB53" s="42"/>
      <c r="KDC53" s="42"/>
      <c r="KDD53" s="42"/>
      <c r="KDE53" s="42"/>
      <c r="KDF53" s="42"/>
      <c r="KDG53" s="42"/>
      <c r="KDH53" s="42"/>
      <c r="KDI53" s="42"/>
      <c r="KDJ53" s="42"/>
      <c r="KDK53" s="42"/>
      <c r="KDL53" s="42"/>
      <c r="KDM53" s="2"/>
      <c r="KDN53" s="15"/>
      <c r="KDO53" s="42"/>
      <c r="KDP53" s="2"/>
      <c r="KDQ53" s="2"/>
      <c r="KDR53" s="2"/>
      <c r="KDS53" s="2"/>
      <c r="KDT53" s="42"/>
      <c r="KDU53" s="42"/>
      <c r="KDV53" s="42"/>
      <c r="KDW53" s="42"/>
      <c r="KDX53" s="42"/>
      <c r="KDY53" s="42"/>
      <c r="KDZ53" s="42"/>
      <c r="KEA53" s="42"/>
      <c r="KEB53" s="42"/>
      <c r="KEC53" s="42"/>
      <c r="KED53" s="42"/>
      <c r="KEE53" s="42"/>
      <c r="KEF53" s="42"/>
      <c r="KEG53" s="42"/>
      <c r="KEH53" s="42"/>
      <c r="KEI53" s="42"/>
      <c r="KEJ53" s="42"/>
      <c r="KEK53" s="42"/>
      <c r="KEL53" s="42"/>
      <c r="KEM53" s="42"/>
      <c r="KEN53" s="42"/>
      <c r="KEO53" s="42"/>
      <c r="KEP53" s="42"/>
      <c r="KEQ53" s="2"/>
      <c r="KER53" s="15"/>
      <c r="KES53" s="42"/>
      <c r="KET53" s="2"/>
      <c r="KEU53" s="2"/>
      <c r="KEV53" s="2"/>
      <c r="KEW53" s="2"/>
      <c r="KEX53" s="42"/>
      <c r="KEY53" s="42"/>
      <c r="KEZ53" s="42"/>
      <c r="KFA53" s="42"/>
      <c r="KFB53" s="42"/>
      <c r="KFC53" s="42"/>
      <c r="KFD53" s="42"/>
      <c r="KFE53" s="42"/>
      <c r="KFF53" s="42"/>
      <c r="KFG53" s="42"/>
      <c r="KFH53" s="42"/>
      <c r="KFI53" s="42"/>
      <c r="KFJ53" s="42"/>
      <c r="KFK53" s="42"/>
      <c r="KFL53" s="42"/>
      <c r="KFM53" s="42"/>
      <c r="KFN53" s="42"/>
      <c r="KFO53" s="42"/>
      <c r="KFP53" s="42"/>
      <c r="KFQ53" s="42"/>
      <c r="KFR53" s="42"/>
      <c r="KFS53" s="42"/>
      <c r="KFT53" s="42"/>
      <c r="KFU53" s="2"/>
      <c r="KFV53" s="15"/>
      <c r="KFW53" s="42"/>
      <c r="KFX53" s="2"/>
      <c r="KFY53" s="2"/>
      <c r="KFZ53" s="2"/>
      <c r="KGA53" s="2"/>
      <c r="KGB53" s="42"/>
      <c r="KGC53" s="42"/>
      <c r="KGD53" s="42"/>
      <c r="KGE53" s="42"/>
      <c r="KGF53" s="42"/>
      <c r="KGG53" s="42"/>
      <c r="KGH53" s="42"/>
      <c r="KGI53" s="42"/>
      <c r="KGJ53" s="42"/>
      <c r="KGK53" s="42"/>
      <c r="KGL53" s="42"/>
      <c r="KGM53" s="42"/>
      <c r="KGN53" s="42"/>
      <c r="KGO53" s="42"/>
      <c r="KGP53" s="42"/>
      <c r="KGQ53" s="42"/>
      <c r="KGR53" s="42"/>
      <c r="KGS53" s="42"/>
      <c r="KGT53" s="42"/>
      <c r="KGU53" s="42"/>
      <c r="KGV53" s="42"/>
      <c r="KGW53" s="42"/>
      <c r="KGX53" s="42"/>
      <c r="KGY53" s="2"/>
      <c r="KGZ53" s="15"/>
      <c r="KHA53" s="42"/>
      <c r="KHB53" s="2"/>
      <c r="KHC53" s="2"/>
      <c r="KHD53" s="2"/>
      <c r="KHE53" s="2"/>
      <c r="KHF53" s="42"/>
      <c r="KHG53" s="42"/>
      <c r="KHH53" s="42"/>
      <c r="KHI53" s="42"/>
      <c r="KHJ53" s="42"/>
      <c r="KHK53" s="42"/>
      <c r="KHL53" s="42"/>
      <c r="KHM53" s="42"/>
      <c r="KHN53" s="42"/>
      <c r="KHO53" s="42"/>
      <c r="KHP53" s="42"/>
      <c r="KHQ53" s="42"/>
      <c r="KHR53" s="42"/>
      <c r="KHS53" s="42"/>
      <c r="KHT53" s="42"/>
      <c r="KHU53" s="42"/>
      <c r="KHV53" s="42"/>
      <c r="KHW53" s="42"/>
      <c r="KHX53" s="42"/>
      <c r="KHY53" s="42"/>
      <c r="KHZ53" s="42"/>
      <c r="KIA53" s="42"/>
      <c r="KIB53" s="42"/>
      <c r="KIC53" s="2"/>
      <c r="KID53" s="15"/>
      <c r="KIE53" s="42"/>
      <c r="KIF53" s="2"/>
      <c r="KIG53" s="2"/>
      <c r="KIH53" s="2"/>
      <c r="KII53" s="2"/>
      <c r="KIJ53" s="42"/>
      <c r="KIK53" s="42"/>
      <c r="KIL53" s="42"/>
      <c r="KIM53" s="42"/>
      <c r="KIN53" s="42"/>
      <c r="KIO53" s="42"/>
      <c r="KIP53" s="42"/>
      <c r="KIQ53" s="42"/>
      <c r="KIR53" s="42"/>
      <c r="KIS53" s="42"/>
      <c r="KIT53" s="42"/>
      <c r="KIU53" s="42"/>
      <c r="KIV53" s="42"/>
      <c r="KIW53" s="42"/>
      <c r="KIX53" s="42"/>
      <c r="KIY53" s="42"/>
      <c r="KIZ53" s="42"/>
      <c r="KJA53" s="42"/>
      <c r="KJB53" s="42"/>
      <c r="KJC53" s="42"/>
      <c r="KJD53" s="42"/>
      <c r="KJE53" s="42"/>
      <c r="KJF53" s="42"/>
      <c r="KJG53" s="2"/>
      <c r="KJH53" s="15"/>
      <c r="KJI53" s="42"/>
      <c r="KJJ53" s="2"/>
      <c r="KJK53" s="2"/>
      <c r="KJL53" s="2"/>
      <c r="KJM53" s="2"/>
      <c r="KJN53" s="42"/>
      <c r="KJO53" s="42"/>
      <c r="KJP53" s="42"/>
      <c r="KJQ53" s="42"/>
      <c r="KJR53" s="42"/>
      <c r="KJS53" s="42"/>
      <c r="KJT53" s="42"/>
      <c r="KJU53" s="42"/>
      <c r="KJV53" s="42"/>
      <c r="KJW53" s="42"/>
      <c r="KJX53" s="42"/>
      <c r="KJY53" s="42"/>
      <c r="KJZ53" s="42"/>
      <c r="KKA53" s="42"/>
      <c r="KKB53" s="42"/>
      <c r="KKC53" s="42"/>
      <c r="KKD53" s="42"/>
      <c r="KKE53" s="42"/>
      <c r="KKF53" s="42"/>
      <c r="KKG53" s="42"/>
      <c r="KKH53" s="42"/>
      <c r="KKI53" s="42"/>
      <c r="KKJ53" s="42"/>
      <c r="KKK53" s="2"/>
      <c r="KKL53" s="15"/>
      <c r="KKM53" s="42"/>
      <c r="KKN53" s="2"/>
      <c r="KKO53" s="2"/>
      <c r="KKP53" s="2"/>
      <c r="KKQ53" s="2"/>
      <c r="KKR53" s="42"/>
      <c r="KKS53" s="42"/>
      <c r="KKT53" s="42"/>
      <c r="KKU53" s="42"/>
      <c r="KKV53" s="42"/>
      <c r="KKW53" s="42"/>
      <c r="KKX53" s="42"/>
      <c r="KKY53" s="42"/>
      <c r="KKZ53" s="42"/>
      <c r="KLA53" s="42"/>
      <c r="KLB53" s="42"/>
      <c r="KLC53" s="42"/>
      <c r="KLD53" s="42"/>
      <c r="KLE53" s="42"/>
      <c r="KLF53" s="42"/>
      <c r="KLG53" s="42"/>
      <c r="KLH53" s="42"/>
      <c r="KLI53" s="42"/>
      <c r="KLJ53" s="42"/>
      <c r="KLK53" s="42"/>
      <c r="KLL53" s="42"/>
      <c r="KLM53" s="42"/>
      <c r="KLN53" s="42"/>
      <c r="KLO53" s="2"/>
      <c r="KLP53" s="15"/>
      <c r="KLQ53" s="42"/>
      <c r="KLR53" s="2"/>
      <c r="KLS53" s="2"/>
      <c r="KLT53" s="2"/>
      <c r="KLU53" s="2"/>
      <c r="KLV53" s="42"/>
      <c r="KLW53" s="42"/>
      <c r="KLX53" s="42"/>
      <c r="KLY53" s="42"/>
      <c r="KLZ53" s="42"/>
      <c r="KMA53" s="42"/>
      <c r="KMB53" s="42"/>
      <c r="KMC53" s="42"/>
      <c r="KMD53" s="42"/>
      <c r="KME53" s="42"/>
      <c r="KMF53" s="42"/>
      <c r="KMG53" s="42"/>
      <c r="KMH53" s="42"/>
      <c r="KMI53" s="42"/>
      <c r="KMJ53" s="42"/>
      <c r="KMK53" s="42"/>
      <c r="KML53" s="42"/>
      <c r="KMM53" s="42"/>
      <c r="KMN53" s="42"/>
      <c r="KMO53" s="42"/>
      <c r="KMP53" s="42"/>
      <c r="KMQ53" s="42"/>
      <c r="KMR53" s="42"/>
      <c r="KMS53" s="2"/>
      <c r="KMT53" s="15"/>
      <c r="KMU53" s="42"/>
      <c r="KMV53" s="2"/>
      <c r="KMW53" s="2"/>
      <c r="KMX53" s="2"/>
      <c r="KMY53" s="2"/>
      <c r="KMZ53" s="42"/>
      <c r="KNA53" s="42"/>
      <c r="KNB53" s="42"/>
      <c r="KNC53" s="42"/>
      <c r="KND53" s="42"/>
      <c r="KNE53" s="42"/>
      <c r="KNF53" s="42"/>
      <c r="KNG53" s="42"/>
      <c r="KNH53" s="42"/>
      <c r="KNI53" s="42"/>
      <c r="KNJ53" s="42"/>
      <c r="KNK53" s="42"/>
      <c r="KNL53" s="42"/>
      <c r="KNM53" s="42"/>
      <c r="KNN53" s="42"/>
      <c r="KNO53" s="42"/>
      <c r="KNP53" s="42"/>
      <c r="KNQ53" s="42"/>
      <c r="KNR53" s="42"/>
      <c r="KNS53" s="42"/>
      <c r="KNT53" s="42"/>
      <c r="KNU53" s="42"/>
      <c r="KNV53" s="42"/>
      <c r="KNW53" s="2"/>
      <c r="KNX53" s="15"/>
      <c r="KNY53" s="42"/>
      <c r="KNZ53" s="2"/>
      <c r="KOA53" s="2"/>
      <c r="KOB53" s="2"/>
      <c r="KOC53" s="2"/>
      <c r="KOD53" s="42"/>
      <c r="KOE53" s="42"/>
      <c r="KOF53" s="42"/>
      <c r="KOG53" s="42"/>
      <c r="KOH53" s="42"/>
      <c r="KOI53" s="42"/>
      <c r="KOJ53" s="42"/>
      <c r="KOK53" s="42"/>
      <c r="KOL53" s="42"/>
      <c r="KOM53" s="42"/>
      <c r="KON53" s="42"/>
      <c r="KOO53" s="42"/>
      <c r="KOP53" s="42"/>
      <c r="KOQ53" s="42"/>
      <c r="KOR53" s="42"/>
      <c r="KOS53" s="42"/>
      <c r="KOT53" s="42"/>
      <c r="KOU53" s="42"/>
      <c r="KOV53" s="42"/>
      <c r="KOW53" s="42"/>
      <c r="KOX53" s="42"/>
      <c r="KOY53" s="42"/>
      <c r="KOZ53" s="42"/>
      <c r="KPA53" s="2"/>
      <c r="KPB53" s="15"/>
      <c r="KPC53" s="42"/>
      <c r="KPD53" s="2"/>
      <c r="KPE53" s="2"/>
      <c r="KPF53" s="2"/>
      <c r="KPG53" s="2"/>
      <c r="KPH53" s="42"/>
      <c r="KPI53" s="42"/>
      <c r="KPJ53" s="42"/>
      <c r="KPK53" s="42"/>
      <c r="KPL53" s="42"/>
      <c r="KPM53" s="42"/>
      <c r="KPN53" s="42"/>
      <c r="KPO53" s="42"/>
      <c r="KPP53" s="42"/>
      <c r="KPQ53" s="42"/>
      <c r="KPR53" s="42"/>
      <c r="KPS53" s="42"/>
      <c r="KPT53" s="42"/>
      <c r="KPU53" s="42"/>
      <c r="KPV53" s="42"/>
      <c r="KPW53" s="42"/>
      <c r="KPX53" s="42"/>
      <c r="KPY53" s="42"/>
      <c r="KPZ53" s="42"/>
      <c r="KQA53" s="42"/>
      <c r="KQB53" s="42"/>
      <c r="KQC53" s="42"/>
      <c r="KQD53" s="42"/>
      <c r="KQE53" s="2"/>
      <c r="KQF53" s="15"/>
      <c r="KQG53" s="42"/>
      <c r="KQH53" s="2"/>
      <c r="KQI53" s="2"/>
      <c r="KQJ53" s="2"/>
      <c r="KQK53" s="2"/>
      <c r="KQL53" s="42"/>
      <c r="KQM53" s="42"/>
      <c r="KQN53" s="42"/>
      <c r="KQO53" s="42"/>
      <c r="KQP53" s="42"/>
      <c r="KQQ53" s="42"/>
      <c r="KQR53" s="42"/>
      <c r="KQS53" s="42"/>
      <c r="KQT53" s="42"/>
      <c r="KQU53" s="42"/>
      <c r="KQV53" s="42"/>
      <c r="KQW53" s="42"/>
      <c r="KQX53" s="42"/>
      <c r="KQY53" s="42"/>
      <c r="KQZ53" s="42"/>
      <c r="KRA53" s="42"/>
      <c r="KRB53" s="42"/>
      <c r="KRC53" s="42"/>
      <c r="KRD53" s="42"/>
      <c r="KRE53" s="42"/>
      <c r="KRF53" s="42"/>
      <c r="KRG53" s="42"/>
      <c r="KRH53" s="42"/>
      <c r="KRI53" s="2"/>
      <c r="KRJ53" s="15"/>
      <c r="KRK53" s="42"/>
      <c r="KRL53" s="2"/>
      <c r="KRM53" s="2"/>
      <c r="KRN53" s="2"/>
      <c r="KRO53" s="2"/>
      <c r="KRP53" s="42"/>
      <c r="KRQ53" s="42"/>
      <c r="KRR53" s="42"/>
      <c r="KRS53" s="42"/>
      <c r="KRT53" s="42"/>
      <c r="KRU53" s="42"/>
      <c r="KRV53" s="42"/>
      <c r="KRW53" s="42"/>
      <c r="KRX53" s="42"/>
      <c r="KRY53" s="42"/>
      <c r="KRZ53" s="42"/>
      <c r="KSA53" s="42"/>
      <c r="KSB53" s="42"/>
      <c r="KSC53" s="42"/>
      <c r="KSD53" s="42"/>
      <c r="KSE53" s="42"/>
      <c r="KSF53" s="42"/>
      <c r="KSG53" s="42"/>
      <c r="KSH53" s="42"/>
      <c r="KSI53" s="42"/>
      <c r="KSJ53" s="42"/>
      <c r="KSK53" s="42"/>
      <c r="KSL53" s="42"/>
      <c r="KSM53" s="2"/>
      <c r="KSN53" s="15"/>
      <c r="KSO53" s="42"/>
      <c r="KSP53" s="2"/>
      <c r="KSQ53" s="2"/>
      <c r="KSR53" s="2"/>
      <c r="KSS53" s="2"/>
      <c r="KST53" s="42"/>
      <c r="KSU53" s="42"/>
      <c r="KSV53" s="42"/>
      <c r="KSW53" s="42"/>
      <c r="KSX53" s="42"/>
      <c r="KSY53" s="42"/>
      <c r="KSZ53" s="42"/>
      <c r="KTA53" s="42"/>
      <c r="KTB53" s="42"/>
      <c r="KTC53" s="42"/>
      <c r="KTD53" s="42"/>
      <c r="KTE53" s="42"/>
      <c r="KTF53" s="42"/>
      <c r="KTG53" s="42"/>
      <c r="KTH53" s="42"/>
      <c r="KTI53" s="42"/>
      <c r="KTJ53" s="42"/>
      <c r="KTK53" s="42"/>
      <c r="KTL53" s="42"/>
      <c r="KTM53" s="42"/>
      <c r="KTN53" s="42"/>
      <c r="KTO53" s="42"/>
      <c r="KTP53" s="42"/>
      <c r="KTQ53" s="2"/>
      <c r="KTR53" s="15"/>
      <c r="KTS53" s="42"/>
      <c r="KTT53" s="2"/>
      <c r="KTU53" s="2"/>
      <c r="KTV53" s="2"/>
      <c r="KTW53" s="2"/>
      <c r="KTX53" s="42"/>
      <c r="KTY53" s="42"/>
      <c r="KTZ53" s="42"/>
      <c r="KUA53" s="42"/>
      <c r="KUB53" s="42"/>
      <c r="KUC53" s="42"/>
      <c r="KUD53" s="42"/>
      <c r="KUE53" s="42"/>
      <c r="KUF53" s="42"/>
      <c r="KUG53" s="42"/>
      <c r="KUH53" s="42"/>
      <c r="KUI53" s="42"/>
      <c r="KUJ53" s="42"/>
      <c r="KUK53" s="42"/>
      <c r="KUL53" s="42"/>
      <c r="KUM53" s="42"/>
      <c r="KUN53" s="42"/>
      <c r="KUO53" s="42"/>
      <c r="KUP53" s="42"/>
      <c r="KUQ53" s="42"/>
      <c r="KUR53" s="42"/>
      <c r="KUS53" s="42"/>
      <c r="KUT53" s="42"/>
      <c r="KUU53" s="2"/>
      <c r="KUV53" s="15"/>
      <c r="KUW53" s="42"/>
      <c r="KUX53" s="2"/>
      <c r="KUY53" s="2"/>
      <c r="KUZ53" s="2"/>
      <c r="KVA53" s="2"/>
      <c r="KVB53" s="42"/>
      <c r="KVC53" s="42"/>
      <c r="KVD53" s="42"/>
      <c r="KVE53" s="42"/>
      <c r="KVF53" s="42"/>
      <c r="KVG53" s="42"/>
      <c r="KVH53" s="42"/>
      <c r="KVI53" s="42"/>
      <c r="KVJ53" s="42"/>
      <c r="KVK53" s="42"/>
      <c r="KVL53" s="42"/>
      <c r="KVM53" s="42"/>
      <c r="KVN53" s="42"/>
      <c r="KVO53" s="42"/>
      <c r="KVP53" s="42"/>
      <c r="KVQ53" s="42"/>
      <c r="KVR53" s="42"/>
      <c r="KVS53" s="42"/>
      <c r="KVT53" s="42"/>
      <c r="KVU53" s="42"/>
      <c r="KVV53" s="42"/>
      <c r="KVW53" s="42"/>
      <c r="KVX53" s="42"/>
      <c r="KVY53" s="2"/>
      <c r="KVZ53" s="15"/>
      <c r="KWA53" s="42"/>
      <c r="KWB53" s="2"/>
      <c r="KWC53" s="2"/>
      <c r="KWD53" s="2"/>
      <c r="KWE53" s="2"/>
      <c r="KWF53" s="42"/>
      <c r="KWG53" s="42"/>
      <c r="KWH53" s="42"/>
      <c r="KWI53" s="42"/>
      <c r="KWJ53" s="42"/>
      <c r="KWK53" s="42"/>
      <c r="KWL53" s="42"/>
      <c r="KWM53" s="42"/>
      <c r="KWN53" s="42"/>
      <c r="KWO53" s="42"/>
      <c r="KWP53" s="42"/>
      <c r="KWQ53" s="42"/>
      <c r="KWR53" s="42"/>
      <c r="KWS53" s="42"/>
      <c r="KWT53" s="42"/>
      <c r="KWU53" s="42"/>
      <c r="KWV53" s="42"/>
      <c r="KWW53" s="42"/>
      <c r="KWX53" s="42"/>
      <c r="KWY53" s="42"/>
      <c r="KWZ53" s="42"/>
      <c r="KXA53" s="42"/>
      <c r="KXB53" s="42"/>
      <c r="KXC53" s="2"/>
      <c r="KXD53" s="15"/>
      <c r="KXE53" s="42"/>
      <c r="KXF53" s="2"/>
      <c r="KXG53" s="2"/>
      <c r="KXH53" s="2"/>
      <c r="KXI53" s="2"/>
      <c r="KXJ53" s="42"/>
      <c r="KXK53" s="42"/>
      <c r="KXL53" s="42"/>
      <c r="KXM53" s="42"/>
      <c r="KXN53" s="42"/>
      <c r="KXO53" s="42"/>
      <c r="KXP53" s="42"/>
      <c r="KXQ53" s="42"/>
      <c r="KXR53" s="42"/>
      <c r="KXS53" s="42"/>
      <c r="KXT53" s="42"/>
      <c r="KXU53" s="42"/>
      <c r="KXV53" s="42"/>
      <c r="KXW53" s="42"/>
      <c r="KXX53" s="42"/>
      <c r="KXY53" s="42"/>
      <c r="KXZ53" s="42"/>
      <c r="KYA53" s="42"/>
      <c r="KYB53" s="42"/>
      <c r="KYC53" s="42"/>
      <c r="KYD53" s="42"/>
      <c r="KYE53" s="42"/>
      <c r="KYF53" s="42"/>
      <c r="KYG53" s="2"/>
      <c r="KYH53" s="15"/>
      <c r="KYI53" s="42"/>
      <c r="KYJ53" s="2"/>
      <c r="KYK53" s="2"/>
      <c r="KYL53" s="2"/>
      <c r="KYM53" s="2"/>
      <c r="KYN53" s="42"/>
      <c r="KYO53" s="42"/>
      <c r="KYP53" s="42"/>
      <c r="KYQ53" s="42"/>
      <c r="KYR53" s="42"/>
      <c r="KYS53" s="42"/>
      <c r="KYT53" s="42"/>
      <c r="KYU53" s="42"/>
      <c r="KYV53" s="42"/>
      <c r="KYW53" s="42"/>
      <c r="KYX53" s="42"/>
      <c r="KYY53" s="42"/>
      <c r="KYZ53" s="42"/>
      <c r="KZA53" s="42"/>
      <c r="KZB53" s="42"/>
      <c r="KZC53" s="42"/>
      <c r="KZD53" s="42"/>
      <c r="KZE53" s="42"/>
      <c r="KZF53" s="42"/>
      <c r="KZG53" s="42"/>
      <c r="KZH53" s="42"/>
      <c r="KZI53" s="42"/>
      <c r="KZJ53" s="42"/>
      <c r="KZK53" s="2"/>
      <c r="KZL53" s="15"/>
      <c r="KZM53" s="42"/>
      <c r="KZN53" s="2"/>
      <c r="KZO53" s="2"/>
      <c r="KZP53" s="2"/>
      <c r="KZQ53" s="2"/>
      <c r="KZR53" s="42"/>
      <c r="KZS53" s="42"/>
      <c r="KZT53" s="42"/>
      <c r="KZU53" s="42"/>
      <c r="KZV53" s="42"/>
      <c r="KZW53" s="42"/>
      <c r="KZX53" s="42"/>
      <c r="KZY53" s="42"/>
      <c r="KZZ53" s="42"/>
      <c r="LAA53" s="42"/>
      <c r="LAB53" s="42"/>
      <c r="LAC53" s="42"/>
      <c r="LAD53" s="42"/>
      <c r="LAE53" s="42"/>
      <c r="LAF53" s="42"/>
      <c r="LAG53" s="42"/>
      <c r="LAH53" s="42"/>
      <c r="LAI53" s="42"/>
      <c r="LAJ53" s="42"/>
      <c r="LAK53" s="42"/>
      <c r="LAL53" s="42"/>
      <c r="LAM53" s="42"/>
      <c r="LAN53" s="42"/>
      <c r="LAO53" s="2"/>
      <c r="LAP53" s="15"/>
      <c r="LAQ53" s="42"/>
      <c r="LAR53" s="2"/>
      <c r="LAS53" s="2"/>
      <c r="LAT53" s="2"/>
      <c r="LAU53" s="2"/>
      <c r="LAV53" s="42"/>
      <c r="LAW53" s="42"/>
      <c r="LAX53" s="42"/>
      <c r="LAY53" s="42"/>
      <c r="LAZ53" s="42"/>
      <c r="LBA53" s="42"/>
      <c r="LBB53" s="42"/>
      <c r="LBC53" s="42"/>
      <c r="LBD53" s="42"/>
      <c r="LBE53" s="42"/>
      <c r="LBF53" s="42"/>
      <c r="LBG53" s="42"/>
      <c r="LBH53" s="42"/>
      <c r="LBI53" s="42"/>
      <c r="LBJ53" s="42"/>
      <c r="LBK53" s="42"/>
      <c r="LBL53" s="42"/>
      <c r="LBM53" s="42"/>
      <c r="LBN53" s="42"/>
      <c r="LBO53" s="42"/>
      <c r="LBP53" s="42"/>
      <c r="LBQ53" s="42"/>
      <c r="LBR53" s="42"/>
      <c r="LBS53" s="2"/>
      <c r="LBT53" s="15"/>
      <c r="LBU53" s="42"/>
      <c r="LBV53" s="2"/>
      <c r="LBW53" s="2"/>
      <c r="LBX53" s="2"/>
      <c r="LBY53" s="2"/>
      <c r="LBZ53" s="42"/>
      <c r="LCA53" s="42"/>
      <c r="LCB53" s="42"/>
      <c r="LCC53" s="42"/>
      <c r="LCD53" s="42"/>
      <c r="LCE53" s="42"/>
      <c r="LCF53" s="42"/>
      <c r="LCG53" s="42"/>
      <c r="LCH53" s="42"/>
      <c r="LCI53" s="42"/>
      <c r="LCJ53" s="42"/>
      <c r="LCK53" s="42"/>
      <c r="LCL53" s="42"/>
      <c r="LCM53" s="42"/>
      <c r="LCN53" s="42"/>
      <c r="LCO53" s="42"/>
      <c r="LCP53" s="42"/>
      <c r="LCQ53" s="42"/>
      <c r="LCR53" s="42"/>
      <c r="LCS53" s="42"/>
      <c r="LCT53" s="42"/>
      <c r="LCU53" s="42"/>
      <c r="LCV53" s="42"/>
      <c r="LCW53" s="2"/>
      <c r="LCX53" s="15"/>
      <c r="LCY53" s="42"/>
      <c r="LCZ53" s="2"/>
      <c r="LDA53" s="2"/>
      <c r="LDB53" s="2"/>
      <c r="LDC53" s="2"/>
      <c r="LDD53" s="42"/>
      <c r="LDE53" s="42"/>
      <c r="LDF53" s="42"/>
      <c r="LDG53" s="42"/>
      <c r="LDH53" s="42"/>
      <c r="LDI53" s="42"/>
      <c r="LDJ53" s="42"/>
      <c r="LDK53" s="42"/>
      <c r="LDL53" s="42"/>
      <c r="LDM53" s="42"/>
      <c r="LDN53" s="42"/>
      <c r="LDO53" s="42"/>
      <c r="LDP53" s="42"/>
      <c r="LDQ53" s="42"/>
      <c r="LDR53" s="42"/>
      <c r="LDS53" s="42"/>
      <c r="LDT53" s="42"/>
      <c r="LDU53" s="42"/>
      <c r="LDV53" s="42"/>
      <c r="LDW53" s="42"/>
      <c r="LDX53" s="42"/>
      <c r="LDY53" s="42"/>
      <c r="LDZ53" s="42"/>
      <c r="LEA53" s="2"/>
      <c r="LEB53" s="15"/>
      <c r="LEC53" s="42"/>
      <c r="LED53" s="2"/>
      <c r="LEE53" s="2"/>
      <c r="LEF53" s="2"/>
      <c r="LEG53" s="2"/>
      <c r="LEH53" s="42"/>
      <c r="LEI53" s="42"/>
      <c r="LEJ53" s="42"/>
      <c r="LEK53" s="42"/>
      <c r="LEL53" s="42"/>
      <c r="LEM53" s="42"/>
      <c r="LEN53" s="42"/>
      <c r="LEO53" s="42"/>
      <c r="LEP53" s="42"/>
      <c r="LEQ53" s="42"/>
      <c r="LER53" s="42"/>
      <c r="LES53" s="42"/>
      <c r="LET53" s="42"/>
      <c r="LEU53" s="42"/>
      <c r="LEV53" s="42"/>
      <c r="LEW53" s="42"/>
      <c r="LEX53" s="42"/>
      <c r="LEY53" s="42"/>
      <c r="LEZ53" s="42"/>
      <c r="LFA53" s="42"/>
      <c r="LFB53" s="42"/>
      <c r="LFC53" s="42"/>
      <c r="LFD53" s="42"/>
      <c r="LFE53" s="2"/>
      <c r="LFF53" s="15"/>
      <c r="LFG53" s="42"/>
      <c r="LFH53" s="2"/>
      <c r="LFI53" s="2"/>
      <c r="LFJ53" s="2"/>
      <c r="LFK53" s="2"/>
      <c r="LFL53" s="42"/>
      <c r="LFM53" s="42"/>
      <c r="LFN53" s="42"/>
      <c r="LFO53" s="42"/>
      <c r="LFP53" s="42"/>
      <c r="LFQ53" s="42"/>
      <c r="LFR53" s="42"/>
      <c r="LFS53" s="42"/>
      <c r="LFT53" s="42"/>
      <c r="LFU53" s="42"/>
      <c r="LFV53" s="42"/>
      <c r="LFW53" s="42"/>
      <c r="LFX53" s="42"/>
      <c r="LFY53" s="42"/>
      <c r="LFZ53" s="42"/>
      <c r="LGA53" s="42"/>
      <c r="LGB53" s="42"/>
      <c r="LGC53" s="42"/>
      <c r="LGD53" s="42"/>
      <c r="LGE53" s="42"/>
      <c r="LGF53" s="42"/>
      <c r="LGG53" s="42"/>
      <c r="LGH53" s="42"/>
      <c r="LGI53" s="2"/>
      <c r="LGJ53" s="15"/>
      <c r="LGK53" s="42"/>
      <c r="LGL53" s="2"/>
      <c r="LGM53" s="2"/>
      <c r="LGN53" s="2"/>
      <c r="LGO53" s="2"/>
      <c r="LGP53" s="42"/>
      <c r="LGQ53" s="42"/>
      <c r="LGR53" s="42"/>
      <c r="LGS53" s="42"/>
      <c r="LGT53" s="42"/>
      <c r="LGU53" s="42"/>
      <c r="LGV53" s="42"/>
      <c r="LGW53" s="42"/>
      <c r="LGX53" s="42"/>
      <c r="LGY53" s="42"/>
      <c r="LGZ53" s="42"/>
      <c r="LHA53" s="42"/>
      <c r="LHB53" s="42"/>
      <c r="LHC53" s="42"/>
      <c r="LHD53" s="42"/>
      <c r="LHE53" s="42"/>
      <c r="LHF53" s="42"/>
      <c r="LHG53" s="42"/>
      <c r="LHH53" s="42"/>
      <c r="LHI53" s="42"/>
      <c r="LHJ53" s="42"/>
      <c r="LHK53" s="42"/>
      <c r="LHL53" s="42"/>
      <c r="LHM53" s="2"/>
      <c r="LHN53" s="15"/>
      <c r="LHO53" s="42"/>
      <c r="LHP53" s="2"/>
      <c r="LHQ53" s="2"/>
      <c r="LHR53" s="2"/>
      <c r="LHS53" s="2"/>
      <c r="LHT53" s="42"/>
      <c r="LHU53" s="42"/>
      <c r="LHV53" s="42"/>
      <c r="LHW53" s="42"/>
      <c r="LHX53" s="42"/>
      <c r="LHY53" s="42"/>
      <c r="LHZ53" s="42"/>
      <c r="LIA53" s="42"/>
      <c r="LIB53" s="42"/>
      <c r="LIC53" s="42"/>
      <c r="LID53" s="42"/>
      <c r="LIE53" s="42"/>
      <c r="LIF53" s="42"/>
      <c r="LIG53" s="42"/>
      <c r="LIH53" s="42"/>
      <c r="LII53" s="42"/>
      <c r="LIJ53" s="42"/>
      <c r="LIK53" s="42"/>
      <c r="LIL53" s="42"/>
      <c r="LIM53" s="42"/>
      <c r="LIN53" s="42"/>
      <c r="LIO53" s="42"/>
      <c r="LIP53" s="42"/>
      <c r="LIQ53" s="2"/>
      <c r="LIR53" s="15"/>
      <c r="LIS53" s="42"/>
      <c r="LIT53" s="2"/>
      <c r="LIU53" s="2"/>
      <c r="LIV53" s="2"/>
      <c r="LIW53" s="2"/>
      <c r="LIX53" s="42"/>
      <c r="LIY53" s="42"/>
      <c r="LIZ53" s="42"/>
      <c r="LJA53" s="42"/>
      <c r="LJB53" s="42"/>
      <c r="LJC53" s="42"/>
      <c r="LJD53" s="42"/>
      <c r="LJE53" s="42"/>
      <c r="LJF53" s="42"/>
      <c r="LJG53" s="42"/>
      <c r="LJH53" s="42"/>
      <c r="LJI53" s="42"/>
      <c r="LJJ53" s="42"/>
      <c r="LJK53" s="42"/>
      <c r="LJL53" s="42"/>
      <c r="LJM53" s="42"/>
      <c r="LJN53" s="42"/>
      <c r="LJO53" s="42"/>
      <c r="LJP53" s="42"/>
      <c r="LJQ53" s="42"/>
      <c r="LJR53" s="42"/>
      <c r="LJS53" s="42"/>
      <c r="LJT53" s="42"/>
      <c r="LJU53" s="2"/>
      <c r="LJV53" s="15"/>
      <c r="LJW53" s="42"/>
      <c r="LJX53" s="2"/>
      <c r="LJY53" s="2"/>
      <c r="LJZ53" s="2"/>
      <c r="LKA53" s="2"/>
      <c r="LKB53" s="42"/>
      <c r="LKC53" s="42"/>
      <c r="LKD53" s="42"/>
      <c r="LKE53" s="42"/>
      <c r="LKF53" s="42"/>
      <c r="LKG53" s="42"/>
      <c r="LKH53" s="42"/>
      <c r="LKI53" s="42"/>
      <c r="LKJ53" s="42"/>
      <c r="LKK53" s="42"/>
      <c r="LKL53" s="42"/>
      <c r="LKM53" s="42"/>
      <c r="LKN53" s="42"/>
      <c r="LKO53" s="42"/>
      <c r="LKP53" s="42"/>
      <c r="LKQ53" s="42"/>
      <c r="LKR53" s="42"/>
      <c r="LKS53" s="42"/>
      <c r="LKT53" s="42"/>
      <c r="LKU53" s="42"/>
      <c r="LKV53" s="42"/>
      <c r="LKW53" s="42"/>
      <c r="LKX53" s="42"/>
      <c r="LKY53" s="2"/>
      <c r="LKZ53" s="15"/>
      <c r="LLA53" s="42"/>
      <c r="LLB53" s="2"/>
      <c r="LLC53" s="2"/>
      <c r="LLD53" s="2"/>
      <c r="LLE53" s="2"/>
      <c r="LLF53" s="42"/>
      <c r="LLG53" s="42"/>
      <c r="LLH53" s="42"/>
      <c r="LLI53" s="42"/>
      <c r="LLJ53" s="42"/>
      <c r="LLK53" s="42"/>
      <c r="LLL53" s="42"/>
      <c r="LLM53" s="42"/>
      <c r="LLN53" s="42"/>
      <c r="LLO53" s="42"/>
      <c r="LLP53" s="42"/>
      <c r="LLQ53" s="42"/>
      <c r="LLR53" s="42"/>
      <c r="LLS53" s="42"/>
      <c r="LLT53" s="42"/>
      <c r="LLU53" s="42"/>
      <c r="LLV53" s="42"/>
      <c r="LLW53" s="42"/>
      <c r="LLX53" s="42"/>
      <c r="LLY53" s="42"/>
      <c r="LLZ53" s="42"/>
      <c r="LMA53" s="42"/>
      <c r="LMB53" s="42"/>
      <c r="LMC53" s="2"/>
      <c r="LMD53" s="15"/>
      <c r="LME53" s="42"/>
      <c r="LMF53" s="2"/>
      <c r="LMG53" s="2"/>
      <c r="LMH53" s="2"/>
      <c r="LMI53" s="2"/>
      <c r="LMJ53" s="42"/>
      <c r="LMK53" s="42"/>
      <c r="LML53" s="42"/>
      <c r="LMM53" s="42"/>
      <c r="LMN53" s="42"/>
      <c r="LMO53" s="42"/>
      <c r="LMP53" s="42"/>
      <c r="LMQ53" s="42"/>
      <c r="LMR53" s="42"/>
      <c r="LMS53" s="42"/>
      <c r="LMT53" s="42"/>
      <c r="LMU53" s="42"/>
      <c r="LMV53" s="42"/>
      <c r="LMW53" s="42"/>
      <c r="LMX53" s="42"/>
      <c r="LMY53" s="42"/>
      <c r="LMZ53" s="42"/>
      <c r="LNA53" s="42"/>
      <c r="LNB53" s="42"/>
      <c r="LNC53" s="42"/>
      <c r="LND53" s="42"/>
      <c r="LNE53" s="42"/>
      <c r="LNF53" s="42"/>
      <c r="LNG53" s="2"/>
      <c r="LNH53" s="15"/>
      <c r="LNI53" s="42"/>
      <c r="LNJ53" s="2"/>
      <c r="LNK53" s="2"/>
      <c r="LNL53" s="2"/>
      <c r="LNM53" s="2"/>
      <c r="LNN53" s="42"/>
      <c r="LNO53" s="42"/>
      <c r="LNP53" s="42"/>
      <c r="LNQ53" s="42"/>
      <c r="LNR53" s="42"/>
      <c r="LNS53" s="42"/>
      <c r="LNT53" s="42"/>
      <c r="LNU53" s="42"/>
      <c r="LNV53" s="42"/>
      <c r="LNW53" s="42"/>
      <c r="LNX53" s="42"/>
      <c r="LNY53" s="42"/>
      <c r="LNZ53" s="42"/>
      <c r="LOA53" s="42"/>
      <c r="LOB53" s="42"/>
      <c r="LOC53" s="42"/>
      <c r="LOD53" s="42"/>
      <c r="LOE53" s="42"/>
      <c r="LOF53" s="42"/>
      <c r="LOG53" s="42"/>
      <c r="LOH53" s="42"/>
      <c r="LOI53" s="42"/>
      <c r="LOJ53" s="42"/>
      <c r="LOK53" s="2"/>
      <c r="LOL53" s="15"/>
      <c r="LOM53" s="42"/>
      <c r="LON53" s="2"/>
      <c r="LOO53" s="2"/>
      <c r="LOP53" s="2"/>
      <c r="LOQ53" s="2"/>
      <c r="LOR53" s="42"/>
      <c r="LOS53" s="42"/>
      <c r="LOT53" s="42"/>
      <c r="LOU53" s="42"/>
      <c r="LOV53" s="42"/>
      <c r="LOW53" s="42"/>
      <c r="LOX53" s="42"/>
      <c r="LOY53" s="42"/>
      <c r="LOZ53" s="42"/>
      <c r="LPA53" s="42"/>
      <c r="LPB53" s="42"/>
      <c r="LPC53" s="42"/>
      <c r="LPD53" s="42"/>
      <c r="LPE53" s="42"/>
      <c r="LPF53" s="42"/>
      <c r="LPG53" s="42"/>
      <c r="LPH53" s="42"/>
      <c r="LPI53" s="42"/>
      <c r="LPJ53" s="42"/>
      <c r="LPK53" s="42"/>
      <c r="LPL53" s="42"/>
      <c r="LPM53" s="42"/>
      <c r="LPN53" s="42"/>
      <c r="LPO53" s="2"/>
      <c r="LPP53" s="15"/>
      <c r="LPQ53" s="42"/>
      <c r="LPR53" s="2"/>
      <c r="LPS53" s="2"/>
      <c r="LPT53" s="2"/>
      <c r="LPU53" s="2"/>
      <c r="LPV53" s="42"/>
      <c r="LPW53" s="42"/>
      <c r="LPX53" s="42"/>
      <c r="LPY53" s="42"/>
      <c r="LPZ53" s="42"/>
      <c r="LQA53" s="42"/>
      <c r="LQB53" s="42"/>
      <c r="LQC53" s="42"/>
      <c r="LQD53" s="42"/>
      <c r="LQE53" s="42"/>
      <c r="LQF53" s="42"/>
      <c r="LQG53" s="42"/>
      <c r="LQH53" s="42"/>
      <c r="LQI53" s="42"/>
      <c r="LQJ53" s="42"/>
      <c r="LQK53" s="42"/>
      <c r="LQL53" s="42"/>
      <c r="LQM53" s="42"/>
      <c r="LQN53" s="42"/>
      <c r="LQO53" s="42"/>
      <c r="LQP53" s="42"/>
      <c r="LQQ53" s="42"/>
      <c r="LQR53" s="42"/>
      <c r="LQS53" s="2"/>
      <c r="LQT53" s="15"/>
      <c r="LQU53" s="42"/>
      <c r="LQV53" s="2"/>
      <c r="LQW53" s="2"/>
      <c r="LQX53" s="2"/>
      <c r="LQY53" s="2"/>
      <c r="LQZ53" s="42"/>
      <c r="LRA53" s="42"/>
      <c r="LRB53" s="42"/>
      <c r="LRC53" s="42"/>
      <c r="LRD53" s="42"/>
      <c r="LRE53" s="42"/>
      <c r="LRF53" s="42"/>
      <c r="LRG53" s="42"/>
      <c r="LRH53" s="42"/>
      <c r="LRI53" s="42"/>
      <c r="LRJ53" s="42"/>
      <c r="LRK53" s="42"/>
      <c r="LRL53" s="42"/>
      <c r="LRM53" s="42"/>
      <c r="LRN53" s="42"/>
      <c r="LRO53" s="42"/>
      <c r="LRP53" s="42"/>
      <c r="LRQ53" s="42"/>
      <c r="LRR53" s="42"/>
      <c r="LRS53" s="42"/>
      <c r="LRT53" s="42"/>
      <c r="LRU53" s="42"/>
      <c r="LRV53" s="42"/>
      <c r="LRW53" s="2"/>
      <c r="LRX53" s="15"/>
      <c r="LRY53" s="42"/>
      <c r="LRZ53" s="2"/>
      <c r="LSA53" s="2"/>
      <c r="LSB53" s="2"/>
      <c r="LSC53" s="2"/>
      <c r="LSD53" s="42"/>
      <c r="LSE53" s="42"/>
      <c r="LSF53" s="42"/>
      <c r="LSG53" s="42"/>
      <c r="LSH53" s="42"/>
      <c r="LSI53" s="42"/>
      <c r="LSJ53" s="42"/>
      <c r="LSK53" s="42"/>
      <c r="LSL53" s="42"/>
      <c r="LSM53" s="42"/>
      <c r="LSN53" s="42"/>
      <c r="LSO53" s="42"/>
      <c r="LSP53" s="42"/>
      <c r="LSQ53" s="42"/>
      <c r="LSR53" s="42"/>
      <c r="LSS53" s="42"/>
      <c r="LST53" s="42"/>
      <c r="LSU53" s="42"/>
      <c r="LSV53" s="42"/>
      <c r="LSW53" s="42"/>
      <c r="LSX53" s="42"/>
      <c r="LSY53" s="42"/>
      <c r="LSZ53" s="42"/>
      <c r="LTA53" s="2"/>
      <c r="LTB53" s="15"/>
      <c r="LTC53" s="42"/>
      <c r="LTD53" s="2"/>
      <c r="LTE53" s="2"/>
      <c r="LTF53" s="2"/>
      <c r="LTG53" s="2"/>
      <c r="LTH53" s="42"/>
      <c r="LTI53" s="42"/>
      <c r="LTJ53" s="42"/>
      <c r="LTK53" s="42"/>
      <c r="LTL53" s="42"/>
      <c r="LTM53" s="42"/>
      <c r="LTN53" s="42"/>
      <c r="LTO53" s="42"/>
      <c r="LTP53" s="42"/>
      <c r="LTQ53" s="42"/>
      <c r="LTR53" s="42"/>
      <c r="LTS53" s="42"/>
      <c r="LTT53" s="42"/>
      <c r="LTU53" s="42"/>
      <c r="LTV53" s="42"/>
      <c r="LTW53" s="42"/>
      <c r="LTX53" s="42"/>
      <c r="LTY53" s="42"/>
      <c r="LTZ53" s="42"/>
      <c r="LUA53" s="42"/>
      <c r="LUB53" s="42"/>
      <c r="LUC53" s="42"/>
      <c r="LUD53" s="42"/>
      <c r="LUE53" s="2"/>
      <c r="LUF53" s="15"/>
      <c r="LUG53" s="42"/>
      <c r="LUH53" s="2"/>
      <c r="LUI53" s="2"/>
      <c r="LUJ53" s="2"/>
      <c r="LUK53" s="2"/>
      <c r="LUL53" s="42"/>
      <c r="LUM53" s="42"/>
      <c r="LUN53" s="42"/>
      <c r="LUO53" s="42"/>
      <c r="LUP53" s="42"/>
      <c r="LUQ53" s="42"/>
      <c r="LUR53" s="42"/>
      <c r="LUS53" s="42"/>
      <c r="LUT53" s="42"/>
      <c r="LUU53" s="42"/>
      <c r="LUV53" s="42"/>
      <c r="LUW53" s="42"/>
      <c r="LUX53" s="42"/>
      <c r="LUY53" s="42"/>
      <c r="LUZ53" s="42"/>
      <c r="LVA53" s="42"/>
      <c r="LVB53" s="42"/>
      <c r="LVC53" s="42"/>
      <c r="LVD53" s="42"/>
      <c r="LVE53" s="42"/>
      <c r="LVF53" s="42"/>
      <c r="LVG53" s="42"/>
      <c r="LVH53" s="42"/>
      <c r="LVI53" s="2"/>
      <c r="LVJ53" s="15"/>
      <c r="LVK53" s="42"/>
      <c r="LVL53" s="2"/>
      <c r="LVM53" s="2"/>
      <c r="LVN53" s="2"/>
      <c r="LVO53" s="2"/>
      <c r="LVP53" s="42"/>
      <c r="LVQ53" s="42"/>
      <c r="LVR53" s="42"/>
      <c r="LVS53" s="42"/>
      <c r="LVT53" s="42"/>
      <c r="LVU53" s="42"/>
      <c r="LVV53" s="42"/>
      <c r="LVW53" s="42"/>
      <c r="LVX53" s="42"/>
      <c r="LVY53" s="42"/>
      <c r="LVZ53" s="42"/>
      <c r="LWA53" s="42"/>
      <c r="LWB53" s="42"/>
      <c r="LWC53" s="42"/>
      <c r="LWD53" s="42"/>
      <c r="LWE53" s="42"/>
      <c r="LWF53" s="42"/>
      <c r="LWG53" s="42"/>
      <c r="LWH53" s="42"/>
      <c r="LWI53" s="42"/>
      <c r="LWJ53" s="42"/>
      <c r="LWK53" s="42"/>
      <c r="LWL53" s="42"/>
      <c r="LWM53" s="2"/>
      <c r="LWN53" s="15"/>
      <c r="LWO53" s="42"/>
      <c r="LWP53" s="2"/>
      <c r="LWQ53" s="2"/>
      <c r="LWR53" s="2"/>
      <c r="LWS53" s="2"/>
      <c r="LWT53" s="42"/>
      <c r="LWU53" s="42"/>
      <c r="LWV53" s="42"/>
      <c r="LWW53" s="42"/>
      <c r="LWX53" s="42"/>
      <c r="LWY53" s="42"/>
      <c r="LWZ53" s="42"/>
      <c r="LXA53" s="42"/>
      <c r="LXB53" s="42"/>
      <c r="LXC53" s="42"/>
      <c r="LXD53" s="42"/>
      <c r="LXE53" s="42"/>
      <c r="LXF53" s="42"/>
      <c r="LXG53" s="42"/>
      <c r="LXH53" s="42"/>
      <c r="LXI53" s="42"/>
      <c r="LXJ53" s="42"/>
      <c r="LXK53" s="42"/>
      <c r="LXL53" s="42"/>
      <c r="LXM53" s="42"/>
      <c r="LXN53" s="42"/>
      <c r="LXO53" s="42"/>
      <c r="LXP53" s="42"/>
      <c r="LXQ53" s="2"/>
      <c r="LXR53" s="15"/>
      <c r="LXS53" s="42"/>
      <c r="LXT53" s="2"/>
      <c r="LXU53" s="2"/>
      <c r="LXV53" s="2"/>
      <c r="LXW53" s="2"/>
      <c r="LXX53" s="42"/>
      <c r="LXY53" s="42"/>
      <c r="LXZ53" s="42"/>
      <c r="LYA53" s="42"/>
      <c r="LYB53" s="42"/>
      <c r="LYC53" s="42"/>
      <c r="LYD53" s="42"/>
      <c r="LYE53" s="42"/>
      <c r="LYF53" s="42"/>
      <c r="LYG53" s="42"/>
      <c r="LYH53" s="42"/>
      <c r="LYI53" s="42"/>
      <c r="LYJ53" s="42"/>
      <c r="LYK53" s="42"/>
      <c r="LYL53" s="42"/>
      <c r="LYM53" s="42"/>
      <c r="LYN53" s="42"/>
      <c r="LYO53" s="42"/>
      <c r="LYP53" s="42"/>
      <c r="LYQ53" s="42"/>
      <c r="LYR53" s="42"/>
      <c r="LYS53" s="42"/>
      <c r="LYT53" s="42"/>
      <c r="LYU53" s="2"/>
      <c r="LYV53" s="15"/>
      <c r="LYW53" s="42"/>
      <c r="LYX53" s="2"/>
      <c r="LYY53" s="2"/>
      <c r="LYZ53" s="2"/>
      <c r="LZA53" s="2"/>
      <c r="LZB53" s="42"/>
      <c r="LZC53" s="42"/>
      <c r="LZD53" s="42"/>
      <c r="LZE53" s="42"/>
      <c r="LZF53" s="42"/>
      <c r="LZG53" s="42"/>
      <c r="LZH53" s="42"/>
      <c r="LZI53" s="42"/>
      <c r="LZJ53" s="42"/>
      <c r="LZK53" s="42"/>
      <c r="LZL53" s="42"/>
      <c r="LZM53" s="42"/>
      <c r="LZN53" s="42"/>
      <c r="LZO53" s="42"/>
      <c r="LZP53" s="42"/>
      <c r="LZQ53" s="42"/>
      <c r="LZR53" s="42"/>
      <c r="LZS53" s="42"/>
      <c r="LZT53" s="42"/>
      <c r="LZU53" s="42"/>
      <c r="LZV53" s="42"/>
      <c r="LZW53" s="42"/>
      <c r="LZX53" s="42"/>
      <c r="LZY53" s="2"/>
      <c r="LZZ53" s="15"/>
      <c r="MAA53" s="42"/>
      <c r="MAB53" s="2"/>
      <c r="MAC53" s="2"/>
      <c r="MAD53" s="2"/>
      <c r="MAE53" s="2"/>
      <c r="MAF53" s="42"/>
      <c r="MAG53" s="42"/>
      <c r="MAH53" s="42"/>
      <c r="MAI53" s="42"/>
      <c r="MAJ53" s="42"/>
      <c r="MAK53" s="42"/>
      <c r="MAL53" s="42"/>
      <c r="MAM53" s="42"/>
      <c r="MAN53" s="42"/>
      <c r="MAO53" s="42"/>
      <c r="MAP53" s="42"/>
      <c r="MAQ53" s="42"/>
      <c r="MAR53" s="42"/>
      <c r="MAS53" s="42"/>
      <c r="MAT53" s="42"/>
      <c r="MAU53" s="42"/>
      <c r="MAV53" s="42"/>
      <c r="MAW53" s="42"/>
      <c r="MAX53" s="42"/>
      <c r="MAY53" s="42"/>
      <c r="MAZ53" s="42"/>
      <c r="MBA53" s="42"/>
      <c r="MBB53" s="42"/>
      <c r="MBC53" s="2"/>
      <c r="MBD53" s="15"/>
      <c r="MBE53" s="42"/>
      <c r="MBF53" s="2"/>
      <c r="MBG53" s="2"/>
      <c r="MBH53" s="2"/>
      <c r="MBI53" s="2"/>
      <c r="MBJ53" s="42"/>
      <c r="MBK53" s="42"/>
      <c r="MBL53" s="42"/>
      <c r="MBM53" s="42"/>
      <c r="MBN53" s="42"/>
      <c r="MBO53" s="42"/>
      <c r="MBP53" s="42"/>
      <c r="MBQ53" s="42"/>
      <c r="MBR53" s="42"/>
      <c r="MBS53" s="42"/>
      <c r="MBT53" s="42"/>
      <c r="MBU53" s="42"/>
      <c r="MBV53" s="42"/>
      <c r="MBW53" s="42"/>
      <c r="MBX53" s="42"/>
      <c r="MBY53" s="42"/>
      <c r="MBZ53" s="42"/>
      <c r="MCA53" s="42"/>
      <c r="MCB53" s="42"/>
      <c r="MCC53" s="42"/>
      <c r="MCD53" s="42"/>
      <c r="MCE53" s="42"/>
      <c r="MCF53" s="42"/>
      <c r="MCG53" s="2"/>
      <c r="MCH53" s="15"/>
      <c r="MCI53" s="42"/>
      <c r="MCJ53" s="2"/>
      <c r="MCK53" s="2"/>
      <c r="MCL53" s="2"/>
      <c r="MCM53" s="2"/>
      <c r="MCN53" s="42"/>
      <c r="MCO53" s="42"/>
      <c r="MCP53" s="42"/>
      <c r="MCQ53" s="42"/>
      <c r="MCR53" s="42"/>
      <c r="MCS53" s="42"/>
      <c r="MCT53" s="42"/>
      <c r="MCU53" s="42"/>
      <c r="MCV53" s="42"/>
      <c r="MCW53" s="42"/>
      <c r="MCX53" s="42"/>
      <c r="MCY53" s="42"/>
      <c r="MCZ53" s="42"/>
      <c r="MDA53" s="42"/>
      <c r="MDB53" s="42"/>
      <c r="MDC53" s="42"/>
      <c r="MDD53" s="42"/>
      <c r="MDE53" s="42"/>
      <c r="MDF53" s="42"/>
      <c r="MDG53" s="42"/>
      <c r="MDH53" s="42"/>
      <c r="MDI53" s="42"/>
      <c r="MDJ53" s="42"/>
      <c r="MDK53" s="2"/>
      <c r="MDL53" s="15"/>
      <c r="MDM53" s="42"/>
      <c r="MDN53" s="2"/>
      <c r="MDO53" s="2"/>
      <c r="MDP53" s="2"/>
      <c r="MDQ53" s="2"/>
      <c r="MDR53" s="42"/>
      <c r="MDS53" s="42"/>
      <c r="MDT53" s="42"/>
      <c r="MDU53" s="42"/>
      <c r="MDV53" s="42"/>
      <c r="MDW53" s="42"/>
      <c r="MDX53" s="42"/>
      <c r="MDY53" s="42"/>
      <c r="MDZ53" s="42"/>
      <c r="MEA53" s="42"/>
      <c r="MEB53" s="42"/>
      <c r="MEC53" s="42"/>
      <c r="MED53" s="42"/>
      <c r="MEE53" s="42"/>
      <c r="MEF53" s="42"/>
      <c r="MEG53" s="42"/>
      <c r="MEH53" s="42"/>
      <c r="MEI53" s="42"/>
      <c r="MEJ53" s="42"/>
      <c r="MEK53" s="42"/>
      <c r="MEL53" s="42"/>
      <c r="MEM53" s="42"/>
      <c r="MEN53" s="42"/>
      <c r="MEO53" s="2"/>
      <c r="MEP53" s="15"/>
      <c r="MEQ53" s="42"/>
      <c r="MER53" s="2"/>
      <c r="MES53" s="2"/>
      <c r="MET53" s="2"/>
      <c r="MEU53" s="2"/>
      <c r="MEV53" s="42"/>
      <c r="MEW53" s="42"/>
      <c r="MEX53" s="42"/>
      <c r="MEY53" s="42"/>
      <c r="MEZ53" s="42"/>
      <c r="MFA53" s="42"/>
      <c r="MFB53" s="42"/>
      <c r="MFC53" s="42"/>
      <c r="MFD53" s="42"/>
      <c r="MFE53" s="42"/>
      <c r="MFF53" s="42"/>
      <c r="MFG53" s="42"/>
      <c r="MFH53" s="42"/>
      <c r="MFI53" s="42"/>
      <c r="MFJ53" s="42"/>
      <c r="MFK53" s="42"/>
      <c r="MFL53" s="42"/>
      <c r="MFM53" s="42"/>
      <c r="MFN53" s="42"/>
      <c r="MFO53" s="42"/>
      <c r="MFP53" s="42"/>
      <c r="MFQ53" s="42"/>
      <c r="MFR53" s="42"/>
      <c r="MFS53" s="2"/>
      <c r="MFT53" s="15"/>
      <c r="MFU53" s="42"/>
      <c r="MFV53" s="2"/>
      <c r="MFW53" s="2"/>
      <c r="MFX53" s="2"/>
      <c r="MFY53" s="2"/>
      <c r="MFZ53" s="42"/>
      <c r="MGA53" s="42"/>
      <c r="MGB53" s="42"/>
      <c r="MGC53" s="42"/>
      <c r="MGD53" s="42"/>
      <c r="MGE53" s="42"/>
      <c r="MGF53" s="42"/>
      <c r="MGG53" s="42"/>
      <c r="MGH53" s="42"/>
      <c r="MGI53" s="42"/>
      <c r="MGJ53" s="42"/>
      <c r="MGK53" s="42"/>
      <c r="MGL53" s="42"/>
      <c r="MGM53" s="42"/>
      <c r="MGN53" s="42"/>
      <c r="MGO53" s="42"/>
      <c r="MGP53" s="42"/>
      <c r="MGQ53" s="42"/>
      <c r="MGR53" s="42"/>
      <c r="MGS53" s="42"/>
      <c r="MGT53" s="42"/>
      <c r="MGU53" s="42"/>
      <c r="MGV53" s="42"/>
      <c r="MGW53" s="2"/>
      <c r="MGX53" s="15"/>
      <c r="MGY53" s="42"/>
      <c r="MGZ53" s="2"/>
      <c r="MHA53" s="2"/>
      <c r="MHB53" s="2"/>
      <c r="MHC53" s="2"/>
      <c r="MHD53" s="42"/>
      <c r="MHE53" s="42"/>
      <c r="MHF53" s="42"/>
      <c r="MHG53" s="42"/>
      <c r="MHH53" s="42"/>
      <c r="MHI53" s="42"/>
      <c r="MHJ53" s="42"/>
      <c r="MHK53" s="42"/>
      <c r="MHL53" s="42"/>
      <c r="MHM53" s="42"/>
      <c r="MHN53" s="42"/>
      <c r="MHO53" s="42"/>
      <c r="MHP53" s="42"/>
      <c r="MHQ53" s="42"/>
      <c r="MHR53" s="42"/>
      <c r="MHS53" s="42"/>
      <c r="MHT53" s="42"/>
      <c r="MHU53" s="42"/>
      <c r="MHV53" s="42"/>
      <c r="MHW53" s="42"/>
      <c r="MHX53" s="42"/>
      <c r="MHY53" s="42"/>
      <c r="MHZ53" s="42"/>
      <c r="MIA53" s="2"/>
      <c r="MIB53" s="15"/>
      <c r="MIC53" s="42"/>
      <c r="MID53" s="2"/>
      <c r="MIE53" s="2"/>
      <c r="MIF53" s="2"/>
      <c r="MIG53" s="2"/>
      <c r="MIH53" s="42"/>
      <c r="MII53" s="42"/>
      <c r="MIJ53" s="42"/>
      <c r="MIK53" s="42"/>
      <c r="MIL53" s="42"/>
      <c r="MIM53" s="42"/>
      <c r="MIN53" s="42"/>
      <c r="MIO53" s="42"/>
      <c r="MIP53" s="42"/>
      <c r="MIQ53" s="42"/>
      <c r="MIR53" s="42"/>
      <c r="MIS53" s="42"/>
      <c r="MIT53" s="42"/>
      <c r="MIU53" s="42"/>
      <c r="MIV53" s="42"/>
      <c r="MIW53" s="42"/>
      <c r="MIX53" s="42"/>
      <c r="MIY53" s="42"/>
      <c r="MIZ53" s="42"/>
      <c r="MJA53" s="42"/>
      <c r="MJB53" s="42"/>
      <c r="MJC53" s="42"/>
      <c r="MJD53" s="42"/>
      <c r="MJE53" s="2"/>
      <c r="MJF53" s="15"/>
      <c r="MJG53" s="42"/>
      <c r="MJH53" s="2"/>
      <c r="MJI53" s="2"/>
      <c r="MJJ53" s="2"/>
      <c r="MJK53" s="2"/>
      <c r="MJL53" s="42"/>
      <c r="MJM53" s="42"/>
      <c r="MJN53" s="42"/>
      <c r="MJO53" s="42"/>
      <c r="MJP53" s="42"/>
      <c r="MJQ53" s="42"/>
      <c r="MJR53" s="42"/>
      <c r="MJS53" s="42"/>
      <c r="MJT53" s="42"/>
      <c r="MJU53" s="42"/>
      <c r="MJV53" s="42"/>
      <c r="MJW53" s="42"/>
      <c r="MJX53" s="42"/>
      <c r="MJY53" s="42"/>
      <c r="MJZ53" s="42"/>
      <c r="MKA53" s="42"/>
      <c r="MKB53" s="42"/>
      <c r="MKC53" s="42"/>
      <c r="MKD53" s="42"/>
      <c r="MKE53" s="42"/>
      <c r="MKF53" s="42"/>
      <c r="MKG53" s="42"/>
      <c r="MKH53" s="42"/>
      <c r="MKI53" s="2"/>
      <c r="MKJ53" s="15"/>
      <c r="MKK53" s="42"/>
      <c r="MKL53" s="2"/>
      <c r="MKM53" s="2"/>
      <c r="MKN53" s="2"/>
      <c r="MKO53" s="2"/>
      <c r="MKP53" s="42"/>
      <c r="MKQ53" s="42"/>
      <c r="MKR53" s="42"/>
      <c r="MKS53" s="42"/>
      <c r="MKT53" s="42"/>
      <c r="MKU53" s="42"/>
      <c r="MKV53" s="42"/>
      <c r="MKW53" s="42"/>
      <c r="MKX53" s="42"/>
      <c r="MKY53" s="42"/>
      <c r="MKZ53" s="42"/>
      <c r="MLA53" s="42"/>
      <c r="MLB53" s="42"/>
      <c r="MLC53" s="42"/>
      <c r="MLD53" s="42"/>
      <c r="MLE53" s="42"/>
      <c r="MLF53" s="42"/>
      <c r="MLG53" s="42"/>
      <c r="MLH53" s="42"/>
      <c r="MLI53" s="42"/>
      <c r="MLJ53" s="42"/>
      <c r="MLK53" s="42"/>
      <c r="MLL53" s="42"/>
      <c r="MLM53" s="2"/>
      <c r="MLN53" s="15"/>
      <c r="MLO53" s="42"/>
      <c r="MLP53" s="2"/>
      <c r="MLQ53" s="2"/>
      <c r="MLR53" s="2"/>
      <c r="MLS53" s="2"/>
      <c r="MLT53" s="42"/>
      <c r="MLU53" s="42"/>
      <c r="MLV53" s="42"/>
      <c r="MLW53" s="42"/>
      <c r="MLX53" s="42"/>
      <c r="MLY53" s="42"/>
      <c r="MLZ53" s="42"/>
      <c r="MMA53" s="42"/>
      <c r="MMB53" s="42"/>
      <c r="MMC53" s="42"/>
      <c r="MMD53" s="42"/>
      <c r="MME53" s="42"/>
      <c r="MMF53" s="42"/>
      <c r="MMG53" s="42"/>
      <c r="MMH53" s="42"/>
      <c r="MMI53" s="42"/>
      <c r="MMJ53" s="42"/>
      <c r="MMK53" s="42"/>
      <c r="MML53" s="42"/>
      <c r="MMM53" s="42"/>
      <c r="MMN53" s="42"/>
      <c r="MMO53" s="42"/>
      <c r="MMP53" s="42"/>
      <c r="MMQ53" s="2"/>
      <c r="MMR53" s="15"/>
      <c r="MMS53" s="42"/>
      <c r="MMT53" s="2"/>
      <c r="MMU53" s="2"/>
      <c r="MMV53" s="2"/>
      <c r="MMW53" s="2"/>
      <c r="MMX53" s="42"/>
      <c r="MMY53" s="42"/>
      <c r="MMZ53" s="42"/>
      <c r="MNA53" s="42"/>
      <c r="MNB53" s="42"/>
      <c r="MNC53" s="42"/>
      <c r="MND53" s="42"/>
      <c r="MNE53" s="42"/>
      <c r="MNF53" s="42"/>
      <c r="MNG53" s="42"/>
      <c r="MNH53" s="42"/>
      <c r="MNI53" s="42"/>
      <c r="MNJ53" s="42"/>
      <c r="MNK53" s="42"/>
      <c r="MNL53" s="42"/>
      <c r="MNM53" s="42"/>
      <c r="MNN53" s="42"/>
      <c r="MNO53" s="42"/>
      <c r="MNP53" s="42"/>
      <c r="MNQ53" s="42"/>
      <c r="MNR53" s="42"/>
      <c r="MNS53" s="42"/>
      <c r="MNT53" s="42"/>
      <c r="MNU53" s="2"/>
      <c r="MNV53" s="15"/>
      <c r="MNW53" s="42"/>
      <c r="MNX53" s="2"/>
      <c r="MNY53" s="2"/>
      <c r="MNZ53" s="2"/>
      <c r="MOA53" s="2"/>
      <c r="MOB53" s="42"/>
      <c r="MOC53" s="42"/>
      <c r="MOD53" s="42"/>
      <c r="MOE53" s="42"/>
      <c r="MOF53" s="42"/>
      <c r="MOG53" s="42"/>
      <c r="MOH53" s="42"/>
      <c r="MOI53" s="42"/>
      <c r="MOJ53" s="42"/>
      <c r="MOK53" s="42"/>
      <c r="MOL53" s="42"/>
      <c r="MOM53" s="42"/>
      <c r="MON53" s="42"/>
      <c r="MOO53" s="42"/>
      <c r="MOP53" s="42"/>
      <c r="MOQ53" s="42"/>
      <c r="MOR53" s="42"/>
      <c r="MOS53" s="42"/>
      <c r="MOT53" s="42"/>
      <c r="MOU53" s="42"/>
      <c r="MOV53" s="42"/>
      <c r="MOW53" s="42"/>
      <c r="MOX53" s="42"/>
      <c r="MOY53" s="2"/>
      <c r="MOZ53" s="15"/>
      <c r="MPA53" s="42"/>
      <c r="MPB53" s="2"/>
      <c r="MPC53" s="2"/>
      <c r="MPD53" s="2"/>
      <c r="MPE53" s="2"/>
      <c r="MPF53" s="42"/>
      <c r="MPG53" s="42"/>
      <c r="MPH53" s="42"/>
      <c r="MPI53" s="42"/>
      <c r="MPJ53" s="42"/>
      <c r="MPK53" s="42"/>
      <c r="MPL53" s="42"/>
      <c r="MPM53" s="42"/>
      <c r="MPN53" s="42"/>
      <c r="MPO53" s="42"/>
      <c r="MPP53" s="42"/>
      <c r="MPQ53" s="42"/>
      <c r="MPR53" s="42"/>
      <c r="MPS53" s="42"/>
      <c r="MPT53" s="42"/>
      <c r="MPU53" s="42"/>
      <c r="MPV53" s="42"/>
      <c r="MPW53" s="42"/>
      <c r="MPX53" s="42"/>
      <c r="MPY53" s="42"/>
      <c r="MPZ53" s="42"/>
      <c r="MQA53" s="42"/>
      <c r="MQB53" s="42"/>
      <c r="MQC53" s="2"/>
      <c r="MQD53" s="15"/>
      <c r="MQE53" s="42"/>
      <c r="MQF53" s="2"/>
      <c r="MQG53" s="2"/>
      <c r="MQH53" s="2"/>
      <c r="MQI53" s="2"/>
      <c r="MQJ53" s="42"/>
      <c r="MQK53" s="42"/>
      <c r="MQL53" s="42"/>
      <c r="MQM53" s="42"/>
      <c r="MQN53" s="42"/>
      <c r="MQO53" s="42"/>
      <c r="MQP53" s="42"/>
      <c r="MQQ53" s="42"/>
      <c r="MQR53" s="42"/>
      <c r="MQS53" s="42"/>
      <c r="MQT53" s="42"/>
      <c r="MQU53" s="42"/>
      <c r="MQV53" s="42"/>
      <c r="MQW53" s="42"/>
      <c r="MQX53" s="42"/>
      <c r="MQY53" s="42"/>
      <c r="MQZ53" s="42"/>
      <c r="MRA53" s="42"/>
      <c r="MRB53" s="42"/>
      <c r="MRC53" s="42"/>
      <c r="MRD53" s="42"/>
      <c r="MRE53" s="42"/>
      <c r="MRF53" s="42"/>
      <c r="MRG53" s="2"/>
      <c r="MRH53" s="15"/>
      <c r="MRI53" s="42"/>
      <c r="MRJ53" s="2"/>
      <c r="MRK53" s="2"/>
      <c r="MRL53" s="2"/>
      <c r="MRM53" s="2"/>
      <c r="MRN53" s="42"/>
      <c r="MRO53" s="42"/>
      <c r="MRP53" s="42"/>
      <c r="MRQ53" s="42"/>
      <c r="MRR53" s="42"/>
      <c r="MRS53" s="42"/>
      <c r="MRT53" s="42"/>
      <c r="MRU53" s="42"/>
      <c r="MRV53" s="42"/>
      <c r="MRW53" s="42"/>
      <c r="MRX53" s="42"/>
      <c r="MRY53" s="42"/>
      <c r="MRZ53" s="42"/>
      <c r="MSA53" s="42"/>
      <c r="MSB53" s="42"/>
      <c r="MSC53" s="42"/>
      <c r="MSD53" s="42"/>
      <c r="MSE53" s="42"/>
      <c r="MSF53" s="42"/>
      <c r="MSG53" s="42"/>
      <c r="MSH53" s="42"/>
      <c r="MSI53" s="42"/>
      <c r="MSJ53" s="42"/>
      <c r="MSK53" s="2"/>
      <c r="MSL53" s="15"/>
      <c r="MSM53" s="42"/>
      <c r="MSN53" s="2"/>
      <c r="MSO53" s="2"/>
      <c r="MSP53" s="2"/>
      <c r="MSQ53" s="2"/>
      <c r="MSR53" s="42"/>
      <c r="MSS53" s="42"/>
      <c r="MST53" s="42"/>
      <c r="MSU53" s="42"/>
      <c r="MSV53" s="42"/>
      <c r="MSW53" s="42"/>
      <c r="MSX53" s="42"/>
      <c r="MSY53" s="42"/>
      <c r="MSZ53" s="42"/>
      <c r="MTA53" s="42"/>
      <c r="MTB53" s="42"/>
      <c r="MTC53" s="42"/>
      <c r="MTD53" s="42"/>
      <c r="MTE53" s="42"/>
      <c r="MTF53" s="42"/>
      <c r="MTG53" s="42"/>
      <c r="MTH53" s="42"/>
      <c r="MTI53" s="42"/>
      <c r="MTJ53" s="42"/>
      <c r="MTK53" s="42"/>
      <c r="MTL53" s="42"/>
      <c r="MTM53" s="42"/>
      <c r="MTN53" s="42"/>
      <c r="MTO53" s="2"/>
      <c r="MTP53" s="15"/>
      <c r="MTQ53" s="42"/>
      <c r="MTR53" s="2"/>
      <c r="MTS53" s="2"/>
      <c r="MTT53" s="2"/>
      <c r="MTU53" s="2"/>
      <c r="MTV53" s="42"/>
      <c r="MTW53" s="42"/>
      <c r="MTX53" s="42"/>
      <c r="MTY53" s="42"/>
      <c r="MTZ53" s="42"/>
      <c r="MUA53" s="42"/>
      <c r="MUB53" s="42"/>
      <c r="MUC53" s="42"/>
      <c r="MUD53" s="42"/>
      <c r="MUE53" s="42"/>
      <c r="MUF53" s="42"/>
      <c r="MUG53" s="42"/>
      <c r="MUH53" s="42"/>
      <c r="MUI53" s="42"/>
      <c r="MUJ53" s="42"/>
      <c r="MUK53" s="42"/>
      <c r="MUL53" s="42"/>
      <c r="MUM53" s="42"/>
      <c r="MUN53" s="42"/>
      <c r="MUO53" s="42"/>
      <c r="MUP53" s="42"/>
      <c r="MUQ53" s="42"/>
      <c r="MUR53" s="42"/>
      <c r="MUS53" s="2"/>
      <c r="MUT53" s="15"/>
      <c r="MUU53" s="42"/>
      <c r="MUV53" s="2"/>
      <c r="MUW53" s="2"/>
      <c r="MUX53" s="2"/>
      <c r="MUY53" s="2"/>
      <c r="MUZ53" s="42"/>
      <c r="MVA53" s="42"/>
      <c r="MVB53" s="42"/>
      <c r="MVC53" s="42"/>
      <c r="MVD53" s="42"/>
      <c r="MVE53" s="42"/>
      <c r="MVF53" s="42"/>
      <c r="MVG53" s="42"/>
      <c r="MVH53" s="42"/>
      <c r="MVI53" s="42"/>
      <c r="MVJ53" s="42"/>
      <c r="MVK53" s="42"/>
      <c r="MVL53" s="42"/>
      <c r="MVM53" s="42"/>
      <c r="MVN53" s="42"/>
      <c r="MVO53" s="42"/>
      <c r="MVP53" s="42"/>
      <c r="MVQ53" s="42"/>
      <c r="MVR53" s="42"/>
      <c r="MVS53" s="42"/>
      <c r="MVT53" s="42"/>
      <c r="MVU53" s="42"/>
      <c r="MVV53" s="42"/>
      <c r="MVW53" s="2"/>
      <c r="MVX53" s="15"/>
      <c r="MVY53" s="42"/>
      <c r="MVZ53" s="2"/>
      <c r="MWA53" s="2"/>
      <c r="MWB53" s="2"/>
      <c r="MWC53" s="2"/>
      <c r="MWD53" s="42"/>
      <c r="MWE53" s="42"/>
      <c r="MWF53" s="42"/>
      <c r="MWG53" s="42"/>
      <c r="MWH53" s="42"/>
      <c r="MWI53" s="42"/>
      <c r="MWJ53" s="42"/>
      <c r="MWK53" s="42"/>
      <c r="MWL53" s="42"/>
      <c r="MWM53" s="42"/>
      <c r="MWN53" s="42"/>
      <c r="MWO53" s="42"/>
      <c r="MWP53" s="42"/>
      <c r="MWQ53" s="42"/>
      <c r="MWR53" s="42"/>
      <c r="MWS53" s="42"/>
      <c r="MWT53" s="42"/>
      <c r="MWU53" s="42"/>
      <c r="MWV53" s="42"/>
      <c r="MWW53" s="42"/>
      <c r="MWX53" s="42"/>
      <c r="MWY53" s="42"/>
      <c r="MWZ53" s="42"/>
      <c r="MXA53" s="2"/>
      <c r="MXB53" s="15"/>
      <c r="MXC53" s="42"/>
      <c r="MXD53" s="2"/>
      <c r="MXE53" s="2"/>
      <c r="MXF53" s="2"/>
      <c r="MXG53" s="2"/>
      <c r="MXH53" s="42"/>
      <c r="MXI53" s="42"/>
      <c r="MXJ53" s="42"/>
      <c r="MXK53" s="42"/>
      <c r="MXL53" s="42"/>
      <c r="MXM53" s="42"/>
      <c r="MXN53" s="42"/>
      <c r="MXO53" s="42"/>
      <c r="MXP53" s="42"/>
      <c r="MXQ53" s="42"/>
      <c r="MXR53" s="42"/>
      <c r="MXS53" s="42"/>
      <c r="MXT53" s="42"/>
      <c r="MXU53" s="42"/>
      <c r="MXV53" s="42"/>
      <c r="MXW53" s="42"/>
      <c r="MXX53" s="42"/>
      <c r="MXY53" s="42"/>
      <c r="MXZ53" s="42"/>
      <c r="MYA53" s="42"/>
      <c r="MYB53" s="42"/>
      <c r="MYC53" s="42"/>
      <c r="MYD53" s="42"/>
      <c r="MYE53" s="2"/>
      <c r="MYF53" s="15"/>
      <c r="MYG53" s="42"/>
      <c r="MYH53" s="2"/>
      <c r="MYI53" s="2"/>
      <c r="MYJ53" s="2"/>
      <c r="MYK53" s="2"/>
      <c r="MYL53" s="42"/>
      <c r="MYM53" s="42"/>
      <c r="MYN53" s="42"/>
      <c r="MYO53" s="42"/>
      <c r="MYP53" s="42"/>
      <c r="MYQ53" s="42"/>
      <c r="MYR53" s="42"/>
      <c r="MYS53" s="42"/>
      <c r="MYT53" s="42"/>
      <c r="MYU53" s="42"/>
      <c r="MYV53" s="42"/>
      <c r="MYW53" s="42"/>
      <c r="MYX53" s="42"/>
      <c r="MYY53" s="42"/>
      <c r="MYZ53" s="42"/>
      <c r="MZA53" s="42"/>
      <c r="MZB53" s="42"/>
      <c r="MZC53" s="42"/>
      <c r="MZD53" s="42"/>
      <c r="MZE53" s="42"/>
      <c r="MZF53" s="42"/>
      <c r="MZG53" s="42"/>
      <c r="MZH53" s="42"/>
      <c r="MZI53" s="2"/>
      <c r="MZJ53" s="15"/>
      <c r="MZK53" s="42"/>
      <c r="MZL53" s="2"/>
      <c r="MZM53" s="2"/>
      <c r="MZN53" s="2"/>
      <c r="MZO53" s="2"/>
      <c r="MZP53" s="42"/>
      <c r="MZQ53" s="42"/>
      <c r="MZR53" s="42"/>
      <c r="MZS53" s="42"/>
      <c r="MZT53" s="42"/>
      <c r="MZU53" s="42"/>
      <c r="MZV53" s="42"/>
      <c r="MZW53" s="42"/>
      <c r="MZX53" s="42"/>
      <c r="MZY53" s="42"/>
      <c r="MZZ53" s="42"/>
      <c r="NAA53" s="42"/>
      <c r="NAB53" s="42"/>
      <c r="NAC53" s="42"/>
      <c r="NAD53" s="42"/>
      <c r="NAE53" s="42"/>
      <c r="NAF53" s="42"/>
      <c r="NAG53" s="42"/>
      <c r="NAH53" s="42"/>
      <c r="NAI53" s="42"/>
      <c r="NAJ53" s="42"/>
      <c r="NAK53" s="42"/>
      <c r="NAL53" s="42"/>
      <c r="NAM53" s="2"/>
      <c r="NAN53" s="15"/>
      <c r="NAO53" s="42"/>
      <c r="NAP53" s="2"/>
      <c r="NAQ53" s="2"/>
      <c r="NAR53" s="2"/>
      <c r="NAS53" s="2"/>
      <c r="NAT53" s="42"/>
      <c r="NAU53" s="42"/>
      <c r="NAV53" s="42"/>
      <c r="NAW53" s="42"/>
      <c r="NAX53" s="42"/>
      <c r="NAY53" s="42"/>
      <c r="NAZ53" s="42"/>
      <c r="NBA53" s="42"/>
      <c r="NBB53" s="42"/>
      <c r="NBC53" s="42"/>
      <c r="NBD53" s="42"/>
      <c r="NBE53" s="42"/>
      <c r="NBF53" s="42"/>
      <c r="NBG53" s="42"/>
      <c r="NBH53" s="42"/>
      <c r="NBI53" s="42"/>
      <c r="NBJ53" s="42"/>
      <c r="NBK53" s="42"/>
      <c r="NBL53" s="42"/>
      <c r="NBM53" s="42"/>
      <c r="NBN53" s="42"/>
      <c r="NBO53" s="42"/>
      <c r="NBP53" s="42"/>
      <c r="NBQ53" s="2"/>
      <c r="NBR53" s="15"/>
      <c r="NBS53" s="42"/>
      <c r="NBT53" s="2"/>
      <c r="NBU53" s="2"/>
      <c r="NBV53" s="2"/>
      <c r="NBW53" s="2"/>
      <c r="NBX53" s="42"/>
      <c r="NBY53" s="42"/>
      <c r="NBZ53" s="42"/>
      <c r="NCA53" s="42"/>
      <c r="NCB53" s="42"/>
      <c r="NCC53" s="42"/>
      <c r="NCD53" s="42"/>
      <c r="NCE53" s="42"/>
      <c r="NCF53" s="42"/>
      <c r="NCG53" s="42"/>
      <c r="NCH53" s="42"/>
      <c r="NCI53" s="42"/>
      <c r="NCJ53" s="42"/>
      <c r="NCK53" s="42"/>
      <c r="NCL53" s="42"/>
      <c r="NCM53" s="42"/>
      <c r="NCN53" s="42"/>
      <c r="NCO53" s="42"/>
      <c r="NCP53" s="42"/>
      <c r="NCQ53" s="42"/>
      <c r="NCR53" s="42"/>
      <c r="NCS53" s="42"/>
      <c r="NCT53" s="42"/>
      <c r="NCU53" s="2"/>
      <c r="NCV53" s="15"/>
      <c r="NCW53" s="42"/>
      <c r="NCX53" s="2"/>
      <c r="NCY53" s="2"/>
      <c r="NCZ53" s="2"/>
      <c r="NDA53" s="2"/>
      <c r="NDB53" s="42"/>
      <c r="NDC53" s="42"/>
      <c r="NDD53" s="42"/>
      <c r="NDE53" s="42"/>
      <c r="NDF53" s="42"/>
      <c r="NDG53" s="42"/>
      <c r="NDH53" s="42"/>
      <c r="NDI53" s="42"/>
      <c r="NDJ53" s="42"/>
      <c r="NDK53" s="42"/>
      <c r="NDL53" s="42"/>
      <c r="NDM53" s="42"/>
      <c r="NDN53" s="42"/>
      <c r="NDO53" s="42"/>
      <c r="NDP53" s="42"/>
      <c r="NDQ53" s="42"/>
      <c r="NDR53" s="42"/>
      <c r="NDS53" s="42"/>
      <c r="NDT53" s="42"/>
      <c r="NDU53" s="42"/>
      <c r="NDV53" s="42"/>
      <c r="NDW53" s="42"/>
      <c r="NDX53" s="42"/>
      <c r="NDY53" s="2"/>
      <c r="NDZ53" s="15"/>
      <c r="NEA53" s="42"/>
      <c r="NEB53" s="2"/>
      <c r="NEC53" s="2"/>
      <c r="NED53" s="2"/>
      <c r="NEE53" s="2"/>
      <c r="NEF53" s="42"/>
      <c r="NEG53" s="42"/>
      <c r="NEH53" s="42"/>
      <c r="NEI53" s="42"/>
      <c r="NEJ53" s="42"/>
      <c r="NEK53" s="42"/>
      <c r="NEL53" s="42"/>
      <c r="NEM53" s="42"/>
      <c r="NEN53" s="42"/>
      <c r="NEO53" s="42"/>
      <c r="NEP53" s="42"/>
      <c r="NEQ53" s="42"/>
      <c r="NER53" s="42"/>
      <c r="NES53" s="42"/>
      <c r="NET53" s="42"/>
      <c r="NEU53" s="42"/>
      <c r="NEV53" s="42"/>
      <c r="NEW53" s="42"/>
      <c r="NEX53" s="42"/>
      <c r="NEY53" s="42"/>
      <c r="NEZ53" s="42"/>
      <c r="NFA53" s="42"/>
      <c r="NFB53" s="42"/>
      <c r="NFC53" s="2"/>
      <c r="NFD53" s="15"/>
      <c r="NFE53" s="42"/>
      <c r="NFF53" s="2"/>
      <c r="NFG53" s="2"/>
      <c r="NFH53" s="2"/>
      <c r="NFI53" s="2"/>
      <c r="NFJ53" s="42"/>
      <c r="NFK53" s="42"/>
      <c r="NFL53" s="42"/>
      <c r="NFM53" s="42"/>
      <c r="NFN53" s="42"/>
      <c r="NFO53" s="42"/>
      <c r="NFP53" s="42"/>
      <c r="NFQ53" s="42"/>
      <c r="NFR53" s="42"/>
      <c r="NFS53" s="42"/>
      <c r="NFT53" s="42"/>
      <c r="NFU53" s="42"/>
      <c r="NFV53" s="42"/>
      <c r="NFW53" s="42"/>
      <c r="NFX53" s="42"/>
      <c r="NFY53" s="42"/>
      <c r="NFZ53" s="42"/>
      <c r="NGA53" s="42"/>
      <c r="NGB53" s="42"/>
      <c r="NGC53" s="42"/>
      <c r="NGD53" s="42"/>
      <c r="NGE53" s="42"/>
      <c r="NGF53" s="42"/>
      <c r="NGG53" s="2"/>
      <c r="NGH53" s="15"/>
      <c r="NGI53" s="42"/>
      <c r="NGJ53" s="2"/>
      <c r="NGK53" s="2"/>
      <c r="NGL53" s="2"/>
      <c r="NGM53" s="2"/>
      <c r="NGN53" s="42"/>
      <c r="NGO53" s="42"/>
      <c r="NGP53" s="42"/>
      <c r="NGQ53" s="42"/>
      <c r="NGR53" s="42"/>
      <c r="NGS53" s="42"/>
      <c r="NGT53" s="42"/>
      <c r="NGU53" s="42"/>
      <c r="NGV53" s="42"/>
      <c r="NGW53" s="42"/>
      <c r="NGX53" s="42"/>
      <c r="NGY53" s="42"/>
      <c r="NGZ53" s="42"/>
      <c r="NHA53" s="42"/>
      <c r="NHB53" s="42"/>
      <c r="NHC53" s="42"/>
      <c r="NHD53" s="42"/>
      <c r="NHE53" s="42"/>
      <c r="NHF53" s="42"/>
      <c r="NHG53" s="42"/>
      <c r="NHH53" s="42"/>
      <c r="NHI53" s="42"/>
      <c r="NHJ53" s="42"/>
      <c r="NHK53" s="2"/>
      <c r="NHL53" s="15"/>
      <c r="NHM53" s="42"/>
      <c r="NHN53" s="2"/>
      <c r="NHO53" s="2"/>
      <c r="NHP53" s="2"/>
      <c r="NHQ53" s="2"/>
      <c r="NHR53" s="42"/>
      <c r="NHS53" s="42"/>
      <c r="NHT53" s="42"/>
      <c r="NHU53" s="42"/>
      <c r="NHV53" s="42"/>
      <c r="NHW53" s="42"/>
      <c r="NHX53" s="42"/>
      <c r="NHY53" s="42"/>
      <c r="NHZ53" s="42"/>
      <c r="NIA53" s="42"/>
      <c r="NIB53" s="42"/>
      <c r="NIC53" s="42"/>
      <c r="NID53" s="42"/>
      <c r="NIE53" s="42"/>
      <c r="NIF53" s="42"/>
      <c r="NIG53" s="42"/>
      <c r="NIH53" s="42"/>
      <c r="NII53" s="42"/>
      <c r="NIJ53" s="42"/>
      <c r="NIK53" s="42"/>
      <c r="NIL53" s="42"/>
      <c r="NIM53" s="42"/>
      <c r="NIN53" s="42"/>
      <c r="NIO53" s="2"/>
      <c r="NIP53" s="15"/>
      <c r="NIQ53" s="42"/>
      <c r="NIR53" s="2"/>
      <c r="NIS53" s="2"/>
      <c r="NIT53" s="2"/>
      <c r="NIU53" s="2"/>
      <c r="NIV53" s="42"/>
      <c r="NIW53" s="42"/>
      <c r="NIX53" s="42"/>
      <c r="NIY53" s="42"/>
      <c r="NIZ53" s="42"/>
      <c r="NJA53" s="42"/>
      <c r="NJB53" s="42"/>
      <c r="NJC53" s="42"/>
      <c r="NJD53" s="42"/>
      <c r="NJE53" s="42"/>
      <c r="NJF53" s="42"/>
      <c r="NJG53" s="42"/>
      <c r="NJH53" s="42"/>
      <c r="NJI53" s="42"/>
      <c r="NJJ53" s="42"/>
      <c r="NJK53" s="42"/>
      <c r="NJL53" s="42"/>
      <c r="NJM53" s="42"/>
      <c r="NJN53" s="42"/>
      <c r="NJO53" s="42"/>
      <c r="NJP53" s="42"/>
      <c r="NJQ53" s="42"/>
      <c r="NJR53" s="42"/>
      <c r="NJS53" s="2"/>
      <c r="NJT53" s="15"/>
      <c r="NJU53" s="42"/>
      <c r="NJV53" s="2"/>
      <c r="NJW53" s="2"/>
      <c r="NJX53" s="2"/>
      <c r="NJY53" s="2"/>
      <c r="NJZ53" s="42"/>
      <c r="NKA53" s="42"/>
      <c r="NKB53" s="42"/>
      <c r="NKC53" s="42"/>
      <c r="NKD53" s="42"/>
      <c r="NKE53" s="42"/>
      <c r="NKF53" s="42"/>
      <c r="NKG53" s="42"/>
      <c r="NKH53" s="42"/>
      <c r="NKI53" s="42"/>
      <c r="NKJ53" s="42"/>
      <c r="NKK53" s="42"/>
      <c r="NKL53" s="42"/>
      <c r="NKM53" s="42"/>
      <c r="NKN53" s="42"/>
      <c r="NKO53" s="42"/>
      <c r="NKP53" s="42"/>
      <c r="NKQ53" s="42"/>
      <c r="NKR53" s="42"/>
      <c r="NKS53" s="42"/>
      <c r="NKT53" s="42"/>
      <c r="NKU53" s="42"/>
      <c r="NKV53" s="42"/>
      <c r="NKW53" s="2"/>
      <c r="NKX53" s="15"/>
      <c r="NKY53" s="42"/>
      <c r="NKZ53" s="2"/>
      <c r="NLA53" s="2"/>
      <c r="NLB53" s="2"/>
      <c r="NLC53" s="2"/>
      <c r="NLD53" s="42"/>
      <c r="NLE53" s="42"/>
      <c r="NLF53" s="42"/>
      <c r="NLG53" s="42"/>
      <c r="NLH53" s="42"/>
      <c r="NLI53" s="42"/>
      <c r="NLJ53" s="42"/>
      <c r="NLK53" s="42"/>
      <c r="NLL53" s="42"/>
      <c r="NLM53" s="42"/>
      <c r="NLN53" s="42"/>
      <c r="NLO53" s="42"/>
      <c r="NLP53" s="42"/>
      <c r="NLQ53" s="42"/>
      <c r="NLR53" s="42"/>
      <c r="NLS53" s="42"/>
      <c r="NLT53" s="42"/>
      <c r="NLU53" s="42"/>
      <c r="NLV53" s="42"/>
      <c r="NLW53" s="42"/>
      <c r="NLX53" s="42"/>
      <c r="NLY53" s="42"/>
      <c r="NLZ53" s="42"/>
      <c r="NMA53" s="2"/>
      <c r="NMB53" s="15"/>
      <c r="NMC53" s="42"/>
      <c r="NMD53" s="2"/>
      <c r="NME53" s="2"/>
      <c r="NMF53" s="2"/>
      <c r="NMG53" s="2"/>
      <c r="NMH53" s="42"/>
      <c r="NMI53" s="42"/>
      <c r="NMJ53" s="42"/>
      <c r="NMK53" s="42"/>
      <c r="NML53" s="42"/>
      <c r="NMM53" s="42"/>
      <c r="NMN53" s="42"/>
      <c r="NMO53" s="42"/>
      <c r="NMP53" s="42"/>
      <c r="NMQ53" s="42"/>
      <c r="NMR53" s="42"/>
      <c r="NMS53" s="42"/>
      <c r="NMT53" s="42"/>
      <c r="NMU53" s="42"/>
      <c r="NMV53" s="42"/>
      <c r="NMW53" s="42"/>
      <c r="NMX53" s="42"/>
      <c r="NMY53" s="42"/>
      <c r="NMZ53" s="42"/>
      <c r="NNA53" s="42"/>
      <c r="NNB53" s="42"/>
      <c r="NNC53" s="42"/>
      <c r="NND53" s="42"/>
      <c r="NNE53" s="2"/>
      <c r="NNF53" s="15"/>
      <c r="NNG53" s="42"/>
      <c r="NNH53" s="2"/>
      <c r="NNI53" s="2"/>
      <c r="NNJ53" s="2"/>
      <c r="NNK53" s="2"/>
      <c r="NNL53" s="42"/>
      <c r="NNM53" s="42"/>
      <c r="NNN53" s="42"/>
      <c r="NNO53" s="42"/>
      <c r="NNP53" s="42"/>
      <c r="NNQ53" s="42"/>
      <c r="NNR53" s="42"/>
      <c r="NNS53" s="42"/>
      <c r="NNT53" s="42"/>
      <c r="NNU53" s="42"/>
      <c r="NNV53" s="42"/>
      <c r="NNW53" s="42"/>
      <c r="NNX53" s="42"/>
      <c r="NNY53" s="42"/>
      <c r="NNZ53" s="42"/>
      <c r="NOA53" s="42"/>
      <c r="NOB53" s="42"/>
      <c r="NOC53" s="42"/>
      <c r="NOD53" s="42"/>
      <c r="NOE53" s="42"/>
      <c r="NOF53" s="42"/>
      <c r="NOG53" s="42"/>
      <c r="NOH53" s="42"/>
      <c r="NOI53" s="2"/>
      <c r="NOJ53" s="15"/>
      <c r="NOK53" s="42"/>
      <c r="NOL53" s="2"/>
      <c r="NOM53" s="2"/>
      <c r="NON53" s="2"/>
      <c r="NOO53" s="2"/>
      <c r="NOP53" s="42"/>
      <c r="NOQ53" s="42"/>
      <c r="NOR53" s="42"/>
      <c r="NOS53" s="42"/>
      <c r="NOT53" s="42"/>
      <c r="NOU53" s="42"/>
      <c r="NOV53" s="42"/>
      <c r="NOW53" s="42"/>
      <c r="NOX53" s="42"/>
      <c r="NOY53" s="42"/>
      <c r="NOZ53" s="42"/>
      <c r="NPA53" s="42"/>
      <c r="NPB53" s="42"/>
      <c r="NPC53" s="42"/>
      <c r="NPD53" s="42"/>
      <c r="NPE53" s="42"/>
      <c r="NPF53" s="42"/>
      <c r="NPG53" s="42"/>
      <c r="NPH53" s="42"/>
      <c r="NPI53" s="42"/>
      <c r="NPJ53" s="42"/>
      <c r="NPK53" s="42"/>
      <c r="NPL53" s="42"/>
      <c r="NPM53" s="2"/>
      <c r="NPN53" s="15"/>
      <c r="NPO53" s="42"/>
      <c r="NPP53" s="2"/>
      <c r="NPQ53" s="2"/>
      <c r="NPR53" s="2"/>
      <c r="NPS53" s="2"/>
      <c r="NPT53" s="42"/>
      <c r="NPU53" s="42"/>
      <c r="NPV53" s="42"/>
      <c r="NPW53" s="42"/>
      <c r="NPX53" s="42"/>
      <c r="NPY53" s="42"/>
      <c r="NPZ53" s="42"/>
      <c r="NQA53" s="42"/>
      <c r="NQB53" s="42"/>
      <c r="NQC53" s="42"/>
      <c r="NQD53" s="42"/>
      <c r="NQE53" s="42"/>
      <c r="NQF53" s="42"/>
      <c r="NQG53" s="42"/>
      <c r="NQH53" s="42"/>
      <c r="NQI53" s="42"/>
      <c r="NQJ53" s="42"/>
      <c r="NQK53" s="42"/>
      <c r="NQL53" s="42"/>
      <c r="NQM53" s="42"/>
      <c r="NQN53" s="42"/>
      <c r="NQO53" s="42"/>
      <c r="NQP53" s="42"/>
      <c r="NQQ53" s="2"/>
      <c r="NQR53" s="15"/>
      <c r="NQS53" s="42"/>
      <c r="NQT53" s="2"/>
      <c r="NQU53" s="2"/>
      <c r="NQV53" s="2"/>
      <c r="NQW53" s="2"/>
      <c r="NQX53" s="42"/>
      <c r="NQY53" s="42"/>
      <c r="NQZ53" s="42"/>
      <c r="NRA53" s="42"/>
      <c r="NRB53" s="42"/>
      <c r="NRC53" s="42"/>
      <c r="NRD53" s="42"/>
      <c r="NRE53" s="42"/>
      <c r="NRF53" s="42"/>
      <c r="NRG53" s="42"/>
      <c r="NRH53" s="42"/>
      <c r="NRI53" s="42"/>
      <c r="NRJ53" s="42"/>
      <c r="NRK53" s="42"/>
      <c r="NRL53" s="42"/>
      <c r="NRM53" s="42"/>
      <c r="NRN53" s="42"/>
      <c r="NRO53" s="42"/>
      <c r="NRP53" s="42"/>
      <c r="NRQ53" s="42"/>
      <c r="NRR53" s="42"/>
      <c r="NRS53" s="42"/>
      <c r="NRT53" s="42"/>
      <c r="NRU53" s="2"/>
      <c r="NRV53" s="15"/>
      <c r="NRW53" s="42"/>
      <c r="NRX53" s="2"/>
      <c r="NRY53" s="2"/>
      <c r="NRZ53" s="2"/>
      <c r="NSA53" s="2"/>
      <c r="NSB53" s="42"/>
      <c r="NSC53" s="42"/>
      <c r="NSD53" s="42"/>
      <c r="NSE53" s="42"/>
      <c r="NSF53" s="42"/>
      <c r="NSG53" s="42"/>
      <c r="NSH53" s="42"/>
      <c r="NSI53" s="42"/>
      <c r="NSJ53" s="42"/>
      <c r="NSK53" s="42"/>
      <c r="NSL53" s="42"/>
      <c r="NSM53" s="42"/>
      <c r="NSN53" s="42"/>
      <c r="NSO53" s="42"/>
      <c r="NSP53" s="42"/>
      <c r="NSQ53" s="42"/>
      <c r="NSR53" s="42"/>
      <c r="NSS53" s="42"/>
      <c r="NST53" s="42"/>
      <c r="NSU53" s="42"/>
      <c r="NSV53" s="42"/>
      <c r="NSW53" s="42"/>
      <c r="NSX53" s="42"/>
      <c r="NSY53" s="2"/>
      <c r="NSZ53" s="15"/>
      <c r="NTA53" s="42"/>
      <c r="NTB53" s="2"/>
      <c r="NTC53" s="2"/>
      <c r="NTD53" s="2"/>
      <c r="NTE53" s="2"/>
      <c r="NTF53" s="42"/>
      <c r="NTG53" s="42"/>
      <c r="NTH53" s="42"/>
      <c r="NTI53" s="42"/>
      <c r="NTJ53" s="42"/>
      <c r="NTK53" s="42"/>
      <c r="NTL53" s="42"/>
      <c r="NTM53" s="42"/>
      <c r="NTN53" s="42"/>
      <c r="NTO53" s="42"/>
      <c r="NTP53" s="42"/>
      <c r="NTQ53" s="42"/>
      <c r="NTR53" s="42"/>
      <c r="NTS53" s="42"/>
      <c r="NTT53" s="42"/>
      <c r="NTU53" s="42"/>
      <c r="NTV53" s="42"/>
      <c r="NTW53" s="42"/>
      <c r="NTX53" s="42"/>
      <c r="NTY53" s="42"/>
      <c r="NTZ53" s="42"/>
      <c r="NUA53" s="42"/>
      <c r="NUB53" s="42"/>
      <c r="NUC53" s="2"/>
      <c r="NUD53" s="15"/>
      <c r="NUE53" s="42"/>
      <c r="NUF53" s="2"/>
      <c r="NUG53" s="2"/>
      <c r="NUH53" s="2"/>
      <c r="NUI53" s="2"/>
      <c r="NUJ53" s="42"/>
      <c r="NUK53" s="42"/>
      <c r="NUL53" s="42"/>
      <c r="NUM53" s="42"/>
      <c r="NUN53" s="42"/>
      <c r="NUO53" s="42"/>
      <c r="NUP53" s="42"/>
      <c r="NUQ53" s="42"/>
      <c r="NUR53" s="42"/>
      <c r="NUS53" s="42"/>
      <c r="NUT53" s="42"/>
      <c r="NUU53" s="42"/>
      <c r="NUV53" s="42"/>
      <c r="NUW53" s="42"/>
      <c r="NUX53" s="42"/>
      <c r="NUY53" s="42"/>
      <c r="NUZ53" s="42"/>
      <c r="NVA53" s="42"/>
      <c r="NVB53" s="42"/>
      <c r="NVC53" s="42"/>
      <c r="NVD53" s="42"/>
      <c r="NVE53" s="42"/>
      <c r="NVF53" s="42"/>
      <c r="NVG53" s="2"/>
      <c r="NVH53" s="15"/>
      <c r="NVI53" s="42"/>
      <c r="NVJ53" s="2"/>
      <c r="NVK53" s="2"/>
      <c r="NVL53" s="2"/>
      <c r="NVM53" s="2"/>
      <c r="NVN53" s="42"/>
      <c r="NVO53" s="42"/>
      <c r="NVP53" s="42"/>
      <c r="NVQ53" s="42"/>
      <c r="NVR53" s="42"/>
      <c r="NVS53" s="42"/>
      <c r="NVT53" s="42"/>
      <c r="NVU53" s="42"/>
      <c r="NVV53" s="42"/>
      <c r="NVW53" s="42"/>
      <c r="NVX53" s="42"/>
      <c r="NVY53" s="42"/>
      <c r="NVZ53" s="42"/>
      <c r="NWA53" s="42"/>
      <c r="NWB53" s="42"/>
      <c r="NWC53" s="42"/>
      <c r="NWD53" s="42"/>
      <c r="NWE53" s="42"/>
      <c r="NWF53" s="42"/>
      <c r="NWG53" s="42"/>
      <c r="NWH53" s="42"/>
      <c r="NWI53" s="42"/>
      <c r="NWJ53" s="42"/>
      <c r="NWK53" s="2"/>
      <c r="NWL53" s="15"/>
      <c r="NWM53" s="42"/>
      <c r="NWN53" s="2"/>
      <c r="NWO53" s="2"/>
      <c r="NWP53" s="2"/>
      <c r="NWQ53" s="2"/>
      <c r="NWR53" s="42"/>
      <c r="NWS53" s="42"/>
      <c r="NWT53" s="42"/>
      <c r="NWU53" s="42"/>
      <c r="NWV53" s="42"/>
      <c r="NWW53" s="42"/>
      <c r="NWX53" s="42"/>
      <c r="NWY53" s="42"/>
      <c r="NWZ53" s="42"/>
      <c r="NXA53" s="42"/>
      <c r="NXB53" s="42"/>
      <c r="NXC53" s="42"/>
      <c r="NXD53" s="42"/>
      <c r="NXE53" s="42"/>
      <c r="NXF53" s="42"/>
      <c r="NXG53" s="42"/>
      <c r="NXH53" s="42"/>
      <c r="NXI53" s="42"/>
      <c r="NXJ53" s="42"/>
      <c r="NXK53" s="42"/>
      <c r="NXL53" s="42"/>
      <c r="NXM53" s="42"/>
      <c r="NXN53" s="42"/>
      <c r="NXO53" s="2"/>
      <c r="NXP53" s="15"/>
      <c r="NXQ53" s="42"/>
      <c r="NXR53" s="2"/>
      <c r="NXS53" s="2"/>
      <c r="NXT53" s="2"/>
      <c r="NXU53" s="2"/>
      <c r="NXV53" s="42"/>
      <c r="NXW53" s="42"/>
      <c r="NXX53" s="42"/>
      <c r="NXY53" s="42"/>
      <c r="NXZ53" s="42"/>
      <c r="NYA53" s="42"/>
      <c r="NYB53" s="42"/>
      <c r="NYC53" s="42"/>
      <c r="NYD53" s="42"/>
      <c r="NYE53" s="42"/>
      <c r="NYF53" s="42"/>
      <c r="NYG53" s="42"/>
      <c r="NYH53" s="42"/>
      <c r="NYI53" s="42"/>
      <c r="NYJ53" s="42"/>
      <c r="NYK53" s="42"/>
      <c r="NYL53" s="42"/>
      <c r="NYM53" s="42"/>
      <c r="NYN53" s="42"/>
      <c r="NYO53" s="42"/>
      <c r="NYP53" s="42"/>
      <c r="NYQ53" s="42"/>
      <c r="NYR53" s="42"/>
      <c r="NYS53" s="2"/>
      <c r="NYT53" s="15"/>
      <c r="NYU53" s="42"/>
      <c r="NYV53" s="2"/>
      <c r="NYW53" s="2"/>
      <c r="NYX53" s="2"/>
      <c r="NYY53" s="2"/>
      <c r="NYZ53" s="42"/>
      <c r="NZA53" s="42"/>
      <c r="NZB53" s="42"/>
      <c r="NZC53" s="42"/>
      <c r="NZD53" s="42"/>
      <c r="NZE53" s="42"/>
      <c r="NZF53" s="42"/>
      <c r="NZG53" s="42"/>
      <c r="NZH53" s="42"/>
      <c r="NZI53" s="42"/>
      <c r="NZJ53" s="42"/>
      <c r="NZK53" s="42"/>
      <c r="NZL53" s="42"/>
      <c r="NZM53" s="42"/>
      <c r="NZN53" s="42"/>
      <c r="NZO53" s="42"/>
      <c r="NZP53" s="42"/>
      <c r="NZQ53" s="42"/>
      <c r="NZR53" s="42"/>
      <c r="NZS53" s="42"/>
      <c r="NZT53" s="42"/>
      <c r="NZU53" s="42"/>
      <c r="NZV53" s="42"/>
      <c r="NZW53" s="2"/>
      <c r="NZX53" s="15"/>
      <c r="NZY53" s="42"/>
      <c r="NZZ53" s="2"/>
      <c r="OAA53" s="2"/>
      <c r="OAB53" s="2"/>
      <c r="OAC53" s="2"/>
      <c r="OAD53" s="42"/>
      <c r="OAE53" s="42"/>
      <c r="OAF53" s="42"/>
      <c r="OAG53" s="42"/>
      <c r="OAH53" s="42"/>
      <c r="OAI53" s="42"/>
      <c r="OAJ53" s="42"/>
      <c r="OAK53" s="42"/>
      <c r="OAL53" s="42"/>
      <c r="OAM53" s="42"/>
      <c r="OAN53" s="42"/>
      <c r="OAO53" s="42"/>
      <c r="OAP53" s="42"/>
      <c r="OAQ53" s="42"/>
      <c r="OAR53" s="42"/>
      <c r="OAS53" s="42"/>
      <c r="OAT53" s="42"/>
      <c r="OAU53" s="42"/>
      <c r="OAV53" s="42"/>
      <c r="OAW53" s="42"/>
      <c r="OAX53" s="42"/>
      <c r="OAY53" s="42"/>
      <c r="OAZ53" s="42"/>
      <c r="OBA53" s="2"/>
      <c r="OBB53" s="15"/>
      <c r="OBC53" s="42"/>
      <c r="OBD53" s="2"/>
      <c r="OBE53" s="2"/>
      <c r="OBF53" s="2"/>
      <c r="OBG53" s="2"/>
      <c r="OBH53" s="42"/>
      <c r="OBI53" s="42"/>
      <c r="OBJ53" s="42"/>
      <c r="OBK53" s="42"/>
      <c r="OBL53" s="42"/>
      <c r="OBM53" s="42"/>
      <c r="OBN53" s="42"/>
      <c r="OBO53" s="42"/>
      <c r="OBP53" s="42"/>
      <c r="OBQ53" s="42"/>
      <c r="OBR53" s="42"/>
      <c r="OBS53" s="42"/>
      <c r="OBT53" s="42"/>
      <c r="OBU53" s="42"/>
      <c r="OBV53" s="42"/>
      <c r="OBW53" s="42"/>
      <c r="OBX53" s="42"/>
      <c r="OBY53" s="42"/>
      <c r="OBZ53" s="42"/>
      <c r="OCA53" s="42"/>
      <c r="OCB53" s="42"/>
      <c r="OCC53" s="42"/>
      <c r="OCD53" s="42"/>
      <c r="OCE53" s="2"/>
      <c r="OCF53" s="15"/>
      <c r="OCG53" s="42"/>
      <c r="OCH53" s="2"/>
      <c r="OCI53" s="2"/>
      <c r="OCJ53" s="2"/>
      <c r="OCK53" s="2"/>
      <c r="OCL53" s="42"/>
      <c r="OCM53" s="42"/>
      <c r="OCN53" s="42"/>
      <c r="OCO53" s="42"/>
      <c r="OCP53" s="42"/>
      <c r="OCQ53" s="42"/>
      <c r="OCR53" s="42"/>
      <c r="OCS53" s="42"/>
      <c r="OCT53" s="42"/>
      <c r="OCU53" s="42"/>
      <c r="OCV53" s="42"/>
      <c r="OCW53" s="42"/>
      <c r="OCX53" s="42"/>
      <c r="OCY53" s="42"/>
      <c r="OCZ53" s="42"/>
      <c r="ODA53" s="42"/>
      <c r="ODB53" s="42"/>
      <c r="ODC53" s="42"/>
      <c r="ODD53" s="42"/>
      <c r="ODE53" s="42"/>
      <c r="ODF53" s="42"/>
      <c r="ODG53" s="42"/>
      <c r="ODH53" s="42"/>
      <c r="ODI53" s="2"/>
      <c r="ODJ53" s="15"/>
      <c r="ODK53" s="42"/>
      <c r="ODL53" s="2"/>
      <c r="ODM53" s="2"/>
      <c r="ODN53" s="2"/>
      <c r="ODO53" s="2"/>
      <c r="ODP53" s="42"/>
      <c r="ODQ53" s="42"/>
      <c r="ODR53" s="42"/>
      <c r="ODS53" s="42"/>
      <c r="ODT53" s="42"/>
      <c r="ODU53" s="42"/>
      <c r="ODV53" s="42"/>
      <c r="ODW53" s="42"/>
      <c r="ODX53" s="42"/>
      <c r="ODY53" s="42"/>
      <c r="ODZ53" s="42"/>
      <c r="OEA53" s="42"/>
      <c r="OEB53" s="42"/>
      <c r="OEC53" s="42"/>
      <c r="OED53" s="42"/>
      <c r="OEE53" s="42"/>
      <c r="OEF53" s="42"/>
      <c r="OEG53" s="42"/>
      <c r="OEH53" s="42"/>
      <c r="OEI53" s="42"/>
      <c r="OEJ53" s="42"/>
      <c r="OEK53" s="42"/>
      <c r="OEL53" s="42"/>
      <c r="OEM53" s="2"/>
      <c r="OEN53" s="15"/>
      <c r="OEO53" s="42"/>
      <c r="OEP53" s="2"/>
      <c r="OEQ53" s="2"/>
      <c r="OER53" s="2"/>
      <c r="OES53" s="2"/>
      <c r="OET53" s="42"/>
      <c r="OEU53" s="42"/>
      <c r="OEV53" s="42"/>
      <c r="OEW53" s="42"/>
      <c r="OEX53" s="42"/>
      <c r="OEY53" s="42"/>
      <c r="OEZ53" s="42"/>
      <c r="OFA53" s="42"/>
      <c r="OFB53" s="42"/>
      <c r="OFC53" s="42"/>
      <c r="OFD53" s="42"/>
      <c r="OFE53" s="42"/>
      <c r="OFF53" s="42"/>
      <c r="OFG53" s="42"/>
      <c r="OFH53" s="42"/>
      <c r="OFI53" s="42"/>
      <c r="OFJ53" s="42"/>
      <c r="OFK53" s="42"/>
      <c r="OFL53" s="42"/>
      <c r="OFM53" s="42"/>
      <c r="OFN53" s="42"/>
      <c r="OFO53" s="42"/>
      <c r="OFP53" s="42"/>
      <c r="OFQ53" s="2"/>
      <c r="OFR53" s="15"/>
      <c r="OFS53" s="42"/>
      <c r="OFT53" s="2"/>
      <c r="OFU53" s="2"/>
      <c r="OFV53" s="2"/>
      <c r="OFW53" s="2"/>
      <c r="OFX53" s="42"/>
      <c r="OFY53" s="42"/>
      <c r="OFZ53" s="42"/>
      <c r="OGA53" s="42"/>
      <c r="OGB53" s="42"/>
      <c r="OGC53" s="42"/>
      <c r="OGD53" s="42"/>
      <c r="OGE53" s="42"/>
      <c r="OGF53" s="42"/>
      <c r="OGG53" s="42"/>
      <c r="OGH53" s="42"/>
      <c r="OGI53" s="42"/>
      <c r="OGJ53" s="42"/>
      <c r="OGK53" s="42"/>
      <c r="OGL53" s="42"/>
      <c r="OGM53" s="42"/>
      <c r="OGN53" s="42"/>
      <c r="OGO53" s="42"/>
      <c r="OGP53" s="42"/>
      <c r="OGQ53" s="42"/>
      <c r="OGR53" s="42"/>
      <c r="OGS53" s="42"/>
      <c r="OGT53" s="42"/>
      <c r="OGU53" s="2"/>
      <c r="OGV53" s="15"/>
      <c r="OGW53" s="42"/>
      <c r="OGX53" s="2"/>
      <c r="OGY53" s="2"/>
      <c r="OGZ53" s="2"/>
      <c r="OHA53" s="2"/>
      <c r="OHB53" s="42"/>
      <c r="OHC53" s="42"/>
      <c r="OHD53" s="42"/>
      <c r="OHE53" s="42"/>
      <c r="OHF53" s="42"/>
      <c r="OHG53" s="42"/>
      <c r="OHH53" s="42"/>
      <c r="OHI53" s="42"/>
      <c r="OHJ53" s="42"/>
      <c r="OHK53" s="42"/>
      <c r="OHL53" s="42"/>
      <c r="OHM53" s="42"/>
      <c r="OHN53" s="42"/>
      <c r="OHO53" s="42"/>
      <c r="OHP53" s="42"/>
      <c r="OHQ53" s="42"/>
      <c r="OHR53" s="42"/>
      <c r="OHS53" s="42"/>
      <c r="OHT53" s="42"/>
      <c r="OHU53" s="42"/>
      <c r="OHV53" s="42"/>
      <c r="OHW53" s="42"/>
      <c r="OHX53" s="42"/>
      <c r="OHY53" s="2"/>
      <c r="OHZ53" s="15"/>
      <c r="OIA53" s="42"/>
      <c r="OIB53" s="2"/>
      <c r="OIC53" s="2"/>
      <c r="OID53" s="2"/>
      <c r="OIE53" s="2"/>
      <c r="OIF53" s="42"/>
      <c r="OIG53" s="42"/>
      <c r="OIH53" s="42"/>
      <c r="OII53" s="42"/>
      <c r="OIJ53" s="42"/>
      <c r="OIK53" s="42"/>
      <c r="OIL53" s="42"/>
      <c r="OIM53" s="42"/>
      <c r="OIN53" s="42"/>
      <c r="OIO53" s="42"/>
      <c r="OIP53" s="42"/>
      <c r="OIQ53" s="42"/>
      <c r="OIR53" s="42"/>
      <c r="OIS53" s="42"/>
      <c r="OIT53" s="42"/>
      <c r="OIU53" s="42"/>
      <c r="OIV53" s="42"/>
      <c r="OIW53" s="42"/>
      <c r="OIX53" s="42"/>
      <c r="OIY53" s="42"/>
      <c r="OIZ53" s="42"/>
      <c r="OJA53" s="42"/>
      <c r="OJB53" s="42"/>
      <c r="OJC53" s="2"/>
      <c r="OJD53" s="15"/>
      <c r="OJE53" s="42"/>
      <c r="OJF53" s="2"/>
      <c r="OJG53" s="2"/>
      <c r="OJH53" s="2"/>
      <c r="OJI53" s="2"/>
      <c r="OJJ53" s="42"/>
      <c r="OJK53" s="42"/>
      <c r="OJL53" s="42"/>
      <c r="OJM53" s="42"/>
      <c r="OJN53" s="42"/>
      <c r="OJO53" s="42"/>
      <c r="OJP53" s="42"/>
      <c r="OJQ53" s="42"/>
      <c r="OJR53" s="42"/>
      <c r="OJS53" s="42"/>
      <c r="OJT53" s="42"/>
      <c r="OJU53" s="42"/>
      <c r="OJV53" s="42"/>
      <c r="OJW53" s="42"/>
      <c r="OJX53" s="42"/>
      <c r="OJY53" s="42"/>
      <c r="OJZ53" s="42"/>
      <c r="OKA53" s="42"/>
      <c r="OKB53" s="42"/>
      <c r="OKC53" s="42"/>
      <c r="OKD53" s="42"/>
      <c r="OKE53" s="42"/>
      <c r="OKF53" s="42"/>
      <c r="OKG53" s="2"/>
      <c r="OKH53" s="15"/>
      <c r="OKI53" s="42"/>
      <c r="OKJ53" s="2"/>
      <c r="OKK53" s="2"/>
      <c r="OKL53" s="2"/>
      <c r="OKM53" s="2"/>
      <c r="OKN53" s="42"/>
      <c r="OKO53" s="42"/>
      <c r="OKP53" s="42"/>
      <c r="OKQ53" s="42"/>
      <c r="OKR53" s="42"/>
      <c r="OKS53" s="42"/>
      <c r="OKT53" s="42"/>
      <c r="OKU53" s="42"/>
      <c r="OKV53" s="42"/>
      <c r="OKW53" s="42"/>
      <c r="OKX53" s="42"/>
      <c r="OKY53" s="42"/>
      <c r="OKZ53" s="42"/>
      <c r="OLA53" s="42"/>
      <c r="OLB53" s="42"/>
      <c r="OLC53" s="42"/>
      <c r="OLD53" s="42"/>
      <c r="OLE53" s="42"/>
      <c r="OLF53" s="42"/>
      <c r="OLG53" s="42"/>
      <c r="OLH53" s="42"/>
      <c r="OLI53" s="42"/>
      <c r="OLJ53" s="42"/>
      <c r="OLK53" s="2"/>
      <c r="OLL53" s="15"/>
      <c r="OLM53" s="42"/>
      <c r="OLN53" s="2"/>
      <c r="OLO53" s="2"/>
      <c r="OLP53" s="2"/>
      <c r="OLQ53" s="2"/>
      <c r="OLR53" s="42"/>
      <c r="OLS53" s="42"/>
      <c r="OLT53" s="42"/>
      <c r="OLU53" s="42"/>
      <c r="OLV53" s="42"/>
      <c r="OLW53" s="42"/>
      <c r="OLX53" s="42"/>
      <c r="OLY53" s="42"/>
      <c r="OLZ53" s="42"/>
      <c r="OMA53" s="42"/>
      <c r="OMB53" s="42"/>
      <c r="OMC53" s="42"/>
      <c r="OMD53" s="42"/>
      <c r="OME53" s="42"/>
      <c r="OMF53" s="42"/>
      <c r="OMG53" s="42"/>
      <c r="OMH53" s="42"/>
      <c r="OMI53" s="42"/>
      <c r="OMJ53" s="42"/>
      <c r="OMK53" s="42"/>
      <c r="OML53" s="42"/>
      <c r="OMM53" s="42"/>
      <c r="OMN53" s="42"/>
      <c r="OMO53" s="2"/>
      <c r="OMP53" s="15"/>
      <c r="OMQ53" s="42"/>
      <c r="OMR53" s="2"/>
      <c r="OMS53" s="2"/>
      <c r="OMT53" s="2"/>
      <c r="OMU53" s="2"/>
      <c r="OMV53" s="42"/>
      <c r="OMW53" s="42"/>
      <c r="OMX53" s="42"/>
      <c r="OMY53" s="42"/>
      <c r="OMZ53" s="42"/>
      <c r="ONA53" s="42"/>
      <c r="ONB53" s="42"/>
      <c r="ONC53" s="42"/>
      <c r="OND53" s="42"/>
      <c r="ONE53" s="42"/>
      <c r="ONF53" s="42"/>
      <c r="ONG53" s="42"/>
      <c r="ONH53" s="42"/>
      <c r="ONI53" s="42"/>
      <c r="ONJ53" s="42"/>
      <c r="ONK53" s="42"/>
      <c r="ONL53" s="42"/>
      <c r="ONM53" s="42"/>
      <c r="ONN53" s="42"/>
      <c r="ONO53" s="42"/>
      <c r="ONP53" s="42"/>
      <c r="ONQ53" s="42"/>
      <c r="ONR53" s="42"/>
      <c r="ONS53" s="2"/>
      <c r="ONT53" s="15"/>
      <c r="ONU53" s="42"/>
      <c r="ONV53" s="2"/>
      <c r="ONW53" s="2"/>
      <c r="ONX53" s="2"/>
      <c r="ONY53" s="2"/>
      <c r="ONZ53" s="42"/>
      <c r="OOA53" s="42"/>
      <c r="OOB53" s="42"/>
      <c r="OOC53" s="42"/>
      <c r="OOD53" s="42"/>
      <c r="OOE53" s="42"/>
      <c r="OOF53" s="42"/>
      <c r="OOG53" s="42"/>
      <c r="OOH53" s="42"/>
      <c r="OOI53" s="42"/>
      <c r="OOJ53" s="42"/>
      <c r="OOK53" s="42"/>
      <c r="OOL53" s="42"/>
      <c r="OOM53" s="42"/>
      <c r="OON53" s="42"/>
      <c r="OOO53" s="42"/>
      <c r="OOP53" s="42"/>
      <c r="OOQ53" s="42"/>
      <c r="OOR53" s="42"/>
      <c r="OOS53" s="42"/>
      <c r="OOT53" s="42"/>
      <c r="OOU53" s="42"/>
      <c r="OOV53" s="42"/>
      <c r="OOW53" s="2"/>
      <c r="OOX53" s="15"/>
      <c r="OOY53" s="42"/>
      <c r="OOZ53" s="2"/>
      <c r="OPA53" s="2"/>
      <c r="OPB53" s="2"/>
      <c r="OPC53" s="2"/>
      <c r="OPD53" s="42"/>
      <c r="OPE53" s="42"/>
      <c r="OPF53" s="42"/>
      <c r="OPG53" s="42"/>
      <c r="OPH53" s="42"/>
      <c r="OPI53" s="42"/>
      <c r="OPJ53" s="42"/>
      <c r="OPK53" s="42"/>
      <c r="OPL53" s="42"/>
      <c r="OPM53" s="42"/>
      <c r="OPN53" s="42"/>
      <c r="OPO53" s="42"/>
      <c r="OPP53" s="42"/>
      <c r="OPQ53" s="42"/>
      <c r="OPR53" s="42"/>
      <c r="OPS53" s="42"/>
      <c r="OPT53" s="42"/>
      <c r="OPU53" s="42"/>
      <c r="OPV53" s="42"/>
      <c r="OPW53" s="42"/>
      <c r="OPX53" s="42"/>
      <c r="OPY53" s="42"/>
      <c r="OPZ53" s="42"/>
      <c r="OQA53" s="2"/>
      <c r="OQB53" s="15"/>
      <c r="OQC53" s="42"/>
      <c r="OQD53" s="2"/>
      <c r="OQE53" s="2"/>
      <c r="OQF53" s="2"/>
      <c r="OQG53" s="2"/>
      <c r="OQH53" s="42"/>
      <c r="OQI53" s="42"/>
      <c r="OQJ53" s="42"/>
      <c r="OQK53" s="42"/>
      <c r="OQL53" s="42"/>
      <c r="OQM53" s="42"/>
      <c r="OQN53" s="42"/>
      <c r="OQO53" s="42"/>
      <c r="OQP53" s="42"/>
      <c r="OQQ53" s="42"/>
      <c r="OQR53" s="42"/>
      <c r="OQS53" s="42"/>
      <c r="OQT53" s="42"/>
      <c r="OQU53" s="42"/>
      <c r="OQV53" s="42"/>
      <c r="OQW53" s="42"/>
      <c r="OQX53" s="42"/>
      <c r="OQY53" s="42"/>
      <c r="OQZ53" s="42"/>
      <c r="ORA53" s="42"/>
      <c r="ORB53" s="42"/>
      <c r="ORC53" s="42"/>
      <c r="ORD53" s="42"/>
      <c r="ORE53" s="2"/>
      <c r="ORF53" s="15"/>
      <c r="ORG53" s="42"/>
      <c r="ORH53" s="2"/>
      <c r="ORI53" s="2"/>
      <c r="ORJ53" s="2"/>
      <c r="ORK53" s="2"/>
      <c r="ORL53" s="42"/>
      <c r="ORM53" s="42"/>
      <c r="ORN53" s="42"/>
      <c r="ORO53" s="42"/>
      <c r="ORP53" s="42"/>
      <c r="ORQ53" s="42"/>
      <c r="ORR53" s="42"/>
      <c r="ORS53" s="42"/>
      <c r="ORT53" s="42"/>
      <c r="ORU53" s="42"/>
      <c r="ORV53" s="42"/>
      <c r="ORW53" s="42"/>
      <c r="ORX53" s="42"/>
      <c r="ORY53" s="42"/>
      <c r="ORZ53" s="42"/>
      <c r="OSA53" s="42"/>
      <c r="OSB53" s="42"/>
      <c r="OSC53" s="42"/>
      <c r="OSD53" s="42"/>
      <c r="OSE53" s="42"/>
      <c r="OSF53" s="42"/>
      <c r="OSG53" s="42"/>
      <c r="OSH53" s="42"/>
      <c r="OSI53" s="2"/>
      <c r="OSJ53" s="15"/>
      <c r="OSK53" s="42"/>
      <c r="OSL53" s="2"/>
      <c r="OSM53" s="2"/>
      <c r="OSN53" s="2"/>
      <c r="OSO53" s="2"/>
      <c r="OSP53" s="42"/>
      <c r="OSQ53" s="42"/>
      <c r="OSR53" s="42"/>
      <c r="OSS53" s="42"/>
      <c r="OST53" s="42"/>
      <c r="OSU53" s="42"/>
      <c r="OSV53" s="42"/>
      <c r="OSW53" s="42"/>
      <c r="OSX53" s="42"/>
      <c r="OSY53" s="42"/>
      <c r="OSZ53" s="42"/>
      <c r="OTA53" s="42"/>
      <c r="OTB53" s="42"/>
      <c r="OTC53" s="42"/>
      <c r="OTD53" s="42"/>
      <c r="OTE53" s="42"/>
      <c r="OTF53" s="42"/>
      <c r="OTG53" s="42"/>
      <c r="OTH53" s="42"/>
      <c r="OTI53" s="42"/>
      <c r="OTJ53" s="42"/>
      <c r="OTK53" s="42"/>
      <c r="OTL53" s="42"/>
      <c r="OTM53" s="2"/>
      <c r="OTN53" s="15"/>
      <c r="OTO53" s="42"/>
      <c r="OTP53" s="2"/>
      <c r="OTQ53" s="2"/>
      <c r="OTR53" s="2"/>
      <c r="OTS53" s="2"/>
      <c r="OTT53" s="42"/>
      <c r="OTU53" s="42"/>
      <c r="OTV53" s="42"/>
      <c r="OTW53" s="42"/>
      <c r="OTX53" s="42"/>
      <c r="OTY53" s="42"/>
      <c r="OTZ53" s="42"/>
      <c r="OUA53" s="42"/>
      <c r="OUB53" s="42"/>
      <c r="OUC53" s="42"/>
      <c r="OUD53" s="42"/>
      <c r="OUE53" s="42"/>
      <c r="OUF53" s="42"/>
      <c r="OUG53" s="42"/>
      <c r="OUH53" s="42"/>
      <c r="OUI53" s="42"/>
      <c r="OUJ53" s="42"/>
      <c r="OUK53" s="42"/>
      <c r="OUL53" s="42"/>
      <c r="OUM53" s="42"/>
      <c r="OUN53" s="42"/>
      <c r="OUO53" s="42"/>
      <c r="OUP53" s="42"/>
      <c r="OUQ53" s="2"/>
      <c r="OUR53" s="15"/>
      <c r="OUS53" s="42"/>
      <c r="OUT53" s="2"/>
      <c r="OUU53" s="2"/>
      <c r="OUV53" s="2"/>
      <c r="OUW53" s="2"/>
      <c r="OUX53" s="42"/>
      <c r="OUY53" s="42"/>
      <c r="OUZ53" s="42"/>
      <c r="OVA53" s="42"/>
      <c r="OVB53" s="42"/>
      <c r="OVC53" s="42"/>
      <c r="OVD53" s="42"/>
      <c r="OVE53" s="42"/>
      <c r="OVF53" s="42"/>
      <c r="OVG53" s="42"/>
      <c r="OVH53" s="42"/>
      <c r="OVI53" s="42"/>
      <c r="OVJ53" s="42"/>
      <c r="OVK53" s="42"/>
      <c r="OVL53" s="42"/>
      <c r="OVM53" s="42"/>
      <c r="OVN53" s="42"/>
      <c r="OVO53" s="42"/>
      <c r="OVP53" s="42"/>
      <c r="OVQ53" s="42"/>
      <c r="OVR53" s="42"/>
      <c r="OVS53" s="42"/>
      <c r="OVT53" s="42"/>
      <c r="OVU53" s="2"/>
      <c r="OVV53" s="15"/>
      <c r="OVW53" s="42"/>
      <c r="OVX53" s="2"/>
      <c r="OVY53" s="2"/>
      <c r="OVZ53" s="2"/>
      <c r="OWA53" s="2"/>
      <c r="OWB53" s="42"/>
      <c r="OWC53" s="42"/>
      <c r="OWD53" s="42"/>
      <c r="OWE53" s="42"/>
      <c r="OWF53" s="42"/>
      <c r="OWG53" s="42"/>
      <c r="OWH53" s="42"/>
      <c r="OWI53" s="42"/>
      <c r="OWJ53" s="42"/>
      <c r="OWK53" s="42"/>
      <c r="OWL53" s="42"/>
      <c r="OWM53" s="42"/>
      <c r="OWN53" s="42"/>
      <c r="OWO53" s="42"/>
      <c r="OWP53" s="42"/>
      <c r="OWQ53" s="42"/>
      <c r="OWR53" s="42"/>
      <c r="OWS53" s="42"/>
      <c r="OWT53" s="42"/>
      <c r="OWU53" s="42"/>
      <c r="OWV53" s="42"/>
      <c r="OWW53" s="42"/>
      <c r="OWX53" s="42"/>
      <c r="OWY53" s="2"/>
      <c r="OWZ53" s="15"/>
      <c r="OXA53" s="42"/>
      <c r="OXB53" s="2"/>
      <c r="OXC53" s="2"/>
      <c r="OXD53" s="2"/>
      <c r="OXE53" s="2"/>
      <c r="OXF53" s="42"/>
      <c r="OXG53" s="42"/>
      <c r="OXH53" s="42"/>
      <c r="OXI53" s="42"/>
      <c r="OXJ53" s="42"/>
      <c r="OXK53" s="42"/>
      <c r="OXL53" s="42"/>
      <c r="OXM53" s="42"/>
      <c r="OXN53" s="42"/>
      <c r="OXO53" s="42"/>
      <c r="OXP53" s="42"/>
      <c r="OXQ53" s="42"/>
      <c r="OXR53" s="42"/>
      <c r="OXS53" s="42"/>
      <c r="OXT53" s="42"/>
      <c r="OXU53" s="42"/>
      <c r="OXV53" s="42"/>
      <c r="OXW53" s="42"/>
      <c r="OXX53" s="42"/>
      <c r="OXY53" s="42"/>
      <c r="OXZ53" s="42"/>
      <c r="OYA53" s="42"/>
      <c r="OYB53" s="42"/>
      <c r="OYC53" s="2"/>
      <c r="OYD53" s="15"/>
      <c r="OYE53" s="42"/>
      <c r="OYF53" s="2"/>
      <c r="OYG53" s="2"/>
      <c r="OYH53" s="2"/>
      <c r="OYI53" s="2"/>
      <c r="OYJ53" s="42"/>
      <c r="OYK53" s="42"/>
      <c r="OYL53" s="42"/>
      <c r="OYM53" s="42"/>
      <c r="OYN53" s="42"/>
      <c r="OYO53" s="42"/>
      <c r="OYP53" s="42"/>
      <c r="OYQ53" s="42"/>
      <c r="OYR53" s="42"/>
      <c r="OYS53" s="42"/>
      <c r="OYT53" s="42"/>
      <c r="OYU53" s="42"/>
      <c r="OYV53" s="42"/>
      <c r="OYW53" s="42"/>
      <c r="OYX53" s="42"/>
      <c r="OYY53" s="42"/>
      <c r="OYZ53" s="42"/>
      <c r="OZA53" s="42"/>
      <c r="OZB53" s="42"/>
      <c r="OZC53" s="42"/>
      <c r="OZD53" s="42"/>
      <c r="OZE53" s="42"/>
      <c r="OZF53" s="42"/>
      <c r="OZG53" s="2"/>
      <c r="OZH53" s="15"/>
      <c r="OZI53" s="42"/>
      <c r="OZJ53" s="2"/>
      <c r="OZK53" s="2"/>
      <c r="OZL53" s="2"/>
      <c r="OZM53" s="2"/>
      <c r="OZN53" s="42"/>
      <c r="OZO53" s="42"/>
      <c r="OZP53" s="42"/>
      <c r="OZQ53" s="42"/>
      <c r="OZR53" s="42"/>
      <c r="OZS53" s="42"/>
      <c r="OZT53" s="42"/>
      <c r="OZU53" s="42"/>
      <c r="OZV53" s="42"/>
      <c r="OZW53" s="42"/>
      <c r="OZX53" s="42"/>
      <c r="OZY53" s="42"/>
      <c r="OZZ53" s="42"/>
      <c r="PAA53" s="42"/>
      <c r="PAB53" s="42"/>
      <c r="PAC53" s="42"/>
      <c r="PAD53" s="42"/>
      <c r="PAE53" s="42"/>
      <c r="PAF53" s="42"/>
      <c r="PAG53" s="42"/>
      <c r="PAH53" s="42"/>
      <c r="PAI53" s="42"/>
      <c r="PAJ53" s="42"/>
      <c r="PAK53" s="2"/>
      <c r="PAL53" s="15"/>
      <c r="PAM53" s="42"/>
      <c r="PAN53" s="2"/>
      <c r="PAO53" s="2"/>
      <c r="PAP53" s="2"/>
      <c r="PAQ53" s="2"/>
      <c r="PAR53" s="42"/>
      <c r="PAS53" s="42"/>
      <c r="PAT53" s="42"/>
      <c r="PAU53" s="42"/>
      <c r="PAV53" s="42"/>
      <c r="PAW53" s="42"/>
      <c r="PAX53" s="42"/>
      <c r="PAY53" s="42"/>
      <c r="PAZ53" s="42"/>
      <c r="PBA53" s="42"/>
      <c r="PBB53" s="42"/>
      <c r="PBC53" s="42"/>
      <c r="PBD53" s="42"/>
      <c r="PBE53" s="42"/>
      <c r="PBF53" s="42"/>
      <c r="PBG53" s="42"/>
      <c r="PBH53" s="42"/>
      <c r="PBI53" s="42"/>
      <c r="PBJ53" s="42"/>
      <c r="PBK53" s="42"/>
      <c r="PBL53" s="42"/>
      <c r="PBM53" s="42"/>
      <c r="PBN53" s="42"/>
      <c r="PBO53" s="2"/>
      <c r="PBP53" s="15"/>
      <c r="PBQ53" s="42"/>
      <c r="PBR53" s="2"/>
      <c r="PBS53" s="2"/>
      <c r="PBT53" s="2"/>
      <c r="PBU53" s="2"/>
      <c r="PBV53" s="42"/>
      <c r="PBW53" s="42"/>
      <c r="PBX53" s="42"/>
      <c r="PBY53" s="42"/>
      <c r="PBZ53" s="42"/>
      <c r="PCA53" s="42"/>
      <c r="PCB53" s="42"/>
      <c r="PCC53" s="42"/>
      <c r="PCD53" s="42"/>
      <c r="PCE53" s="42"/>
      <c r="PCF53" s="42"/>
      <c r="PCG53" s="42"/>
      <c r="PCH53" s="42"/>
      <c r="PCI53" s="42"/>
      <c r="PCJ53" s="42"/>
      <c r="PCK53" s="42"/>
      <c r="PCL53" s="42"/>
      <c r="PCM53" s="42"/>
      <c r="PCN53" s="42"/>
      <c r="PCO53" s="42"/>
      <c r="PCP53" s="42"/>
      <c r="PCQ53" s="42"/>
      <c r="PCR53" s="42"/>
      <c r="PCS53" s="2"/>
      <c r="PCT53" s="15"/>
      <c r="PCU53" s="42"/>
      <c r="PCV53" s="2"/>
      <c r="PCW53" s="2"/>
      <c r="PCX53" s="2"/>
      <c r="PCY53" s="2"/>
      <c r="PCZ53" s="42"/>
      <c r="PDA53" s="42"/>
      <c r="PDB53" s="42"/>
      <c r="PDC53" s="42"/>
      <c r="PDD53" s="42"/>
      <c r="PDE53" s="42"/>
      <c r="PDF53" s="42"/>
      <c r="PDG53" s="42"/>
      <c r="PDH53" s="42"/>
      <c r="PDI53" s="42"/>
      <c r="PDJ53" s="42"/>
      <c r="PDK53" s="42"/>
      <c r="PDL53" s="42"/>
      <c r="PDM53" s="42"/>
      <c r="PDN53" s="42"/>
      <c r="PDO53" s="42"/>
      <c r="PDP53" s="42"/>
      <c r="PDQ53" s="42"/>
      <c r="PDR53" s="42"/>
      <c r="PDS53" s="42"/>
      <c r="PDT53" s="42"/>
      <c r="PDU53" s="42"/>
      <c r="PDV53" s="42"/>
      <c r="PDW53" s="2"/>
      <c r="PDX53" s="15"/>
      <c r="PDY53" s="42"/>
      <c r="PDZ53" s="2"/>
      <c r="PEA53" s="2"/>
      <c r="PEB53" s="2"/>
      <c r="PEC53" s="2"/>
      <c r="PED53" s="42"/>
      <c r="PEE53" s="42"/>
      <c r="PEF53" s="42"/>
      <c r="PEG53" s="42"/>
      <c r="PEH53" s="42"/>
      <c r="PEI53" s="42"/>
      <c r="PEJ53" s="42"/>
      <c r="PEK53" s="42"/>
      <c r="PEL53" s="42"/>
      <c r="PEM53" s="42"/>
      <c r="PEN53" s="42"/>
      <c r="PEO53" s="42"/>
      <c r="PEP53" s="42"/>
      <c r="PEQ53" s="42"/>
      <c r="PER53" s="42"/>
      <c r="PES53" s="42"/>
      <c r="PET53" s="42"/>
      <c r="PEU53" s="42"/>
      <c r="PEV53" s="42"/>
      <c r="PEW53" s="42"/>
      <c r="PEX53" s="42"/>
      <c r="PEY53" s="42"/>
      <c r="PEZ53" s="42"/>
      <c r="PFA53" s="2"/>
      <c r="PFB53" s="15"/>
      <c r="PFC53" s="42"/>
      <c r="PFD53" s="2"/>
      <c r="PFE53" s="2"/>
      <c r="PFF53" s="2"/>
      <c r="PFG53" s="2"/>
      <c r="PFH53" s="42"/>
      <c r="PFI53" s="42"/>
      <c r="PFJ53" s="42"/>
      <c r="PFK53" s="42"/>
      <c r="PFL53" s="42"/>
      <c r="PFM53" s="42"/>
      <c r="PFN53" s="42"/>
      <c r="PFO53" s="42"/>
      <c r="PFP53" s="42"/>
      <c r="PFQ53" s="42"/>
      <c r="PFR53" s="42"/>
      <c r="PFS53" s="42"/>
      <c r="PFT53" s="42"/>
      <c r="PFU53" s="42"/>
      <c r="PFV53" s="42"/>
      <c r="PFW53" s="42"/>
      <c r="PFX53" s="42"/>
      <c r="PFY53" s="42"/>
      <c r="PFZ53" s="42"/>
      <c r="PGA53" s="42"/>
      <c r="PGB53" s="42"/>
      <c r="PGC53" s="42"/>
      <c r="PGD53" s="42"/>
      <c r="PGE53" s="2"/>
      <c r="PGF53" s="15"/>
      <c r="PGG53" s="42"/>
      <c r="PGH53" s="2"/>
      <c r="PGI53" s="2"/>
      <c r="PGJ53" s="2"/>
      <c r="PGK53" s="2"/>
      <c r="PGL53" s="42"/>
      <c r="PGM53" s="42"/>
      <c r="PGN53" s="42"/>
      <c r="PGO53" s="42"/>
      <c r="PGP53" s="42"/>
      <c r="PGQ53" s="42"/>
      <c r="PGR53" s="42"/>
      <c r="PGS53" s="42"/>
      <c r="PGT53" s="42"/>
      <c r="PGU53" s="42"/>
      <c r="PGV53" s="42"/>
      <c r="PGW53" s="42"/>
      <c r="PGX53" s="42"/>
      <c r="PGY53" s="42"/>
      <c r="PGZ53" s="42"/>
      <c r="PHA53" s="42"/>
      <c r="PHB53" s="42"/>
      <c r="PHC53" s="42"/>
      <c r="PHD53" s="42"/>
      <c r="PHE53" s="42"/>
      <c r="PHF53" s="42"/>
      <c r="PHG53" s="42"/>
      <c r="PHH53" s="42"/>
      <c r="PHI53" s="2"/>
      <c r="PHJ53" s="15"/>
      <c r="PHK53" s="42"/>
      <c r="PHL53" s="2"/>
      <c r="PHM53" s="2"/>
      <c r="PHN53" s="2"/>
      <c r="PHO53" s="2"/>
      <c r="PHP53" s="42"/>
      <c r="PHQ53" s="42"/>
      <c r="PHR53" s="42"/>
      <c r="PHS53" s="42"/>
      <c r="PHT53" s="42"/>
      <c r="PHU53" s="42"/>
      <c r="PHV53" s="42"/>
      <c r="PHW53" s="42"/>
      <c r="PHX53" s="42"/>
      <c r="PHY53" s="42"/>
      <c r="PHZ53" s="42"/>
      <c r="PIA53" s="42"/>
      <c r="PIB53" s="42"/>
      <c r="PIC53" s="42"/>
      <c r="PID53" s="42"/>
      <c r="PIE53" s="42"/>
      <c r="PIF53" s="42"/>
      <c r="PIG53" s="42"/>
      <c r="PIH53" s="42"/>
      <c r="PII53" s="42"/>
      <c r="PIJ53" s="42"/>
      <c r="PIK53" s="42"/>
      <c r="PIL53" s="42"/>
      <c r="PIM53" s="2"/>
      <c r="PIN53" s="15"/>
      <c r="PIO53" s="42"/>
      <c r="PIP53" s="2"/>
      <c r="PIQ53" s="2"/>
      <c r="PIR53" s="2"/>
      <c r="PIS53" s="2"/>
      <c r="PIT53" s="42"/>
      <c r="PIU53" s="42"/>
      <c r="PIV53" s="42"/>
      <c r="PIW53" s="42"/>
      <c r="PIX53" s="42"/>
      <c r="PIY53" s="42"/>
      <c r="PIZ53" s="42"/>
      <c r="PJA53" s="42"/>
      <c r="PJB53" s="42"/>
      <c r="PJC53" s="42"/>
      <c r="PJD53" s="42"/>
      <c r="PJE53" s="42"/>
      <c r="PJF53" s="42"/>
      <c r="PJG53" s="42"/>
      <c r="PJH53" s="42"/>
      <c r="PJI53" s="42"/>
      <c r="PJJ53" s="42"/>
      <c r="PJK53" s="42"/>
      <c r="PJL53" s="42"/>
      <c r="PJM53" s="42"/>
      <c r="PJN53" s="42"/>
      <c r="PJO53" s="42"/>
      <c r="PJP53" s="42"/>
      <c r="PJQ53" s="2"/>
      <c r="PJR53" s="15"/>
      <c r="PJS53" s="42"/>
      <c r="PJT53" s="2"/>
      <c r="PJU53" s="2"/>
      <c r="PJV53" s="2"/>
      <c r="PJW53" s="2"/>
      <c r="PJX53" s="42"/>
      <c r="PJY53" s="42"/>
      <c r="PJZ53" s="42"/>
      <c r="PKA53" s="42"/>
      <c r="PKB53" s="42"/>
      <c r="PKC53" s="42"/>
      <c r="PKD53" s="42"/>
      <c r="PKE53" s="42"/>
      <c r="PKF53" s="42"/>
      <c r="PKG53" s="42"/>
      <c r="PKH53" s="42"/>
      <c r="PKI53" s="42"/>
      <c r="PKJ53" s="42"/>
      <c r="PKK53" s="42"/>
      <c r="PKL53" s="42"/>
      <c r="PKM53" s="42"/>
      <c r="PKN53" s="42"/>
      <c r="PKO53" s="42"/>
      <c r="PKP53" s="42"/>
      <c r="PKQ53" s="42"/>
      <c r="PKR53" s="42"/>
      <c r="PKS53" s="42"/>
      <c r="PKT53" s="42"/>
      <c r="PKU53" s="2"/>
      <c r="PKV53" s="15"/>
      <c r="PKW53" s="42"/>
      <c r="PKX53" s="2"/>
      <c r="PKY53" s="2"/>
      <c r="PKZ53" s="2"/>
      <c r="PLA53" s="2"/>
      <c r="PLB53" s="42"/>
      <c r="PLC53" s="42"/>
      <c r="PLD53" s="42"/>
      <c r="PLE53" s="42"/>
      <c r="PLF53" s="42"/>
      <c r="PLG53" s="42"/>
      <c r="PLH53" s="42"/>
      <c r="PLI53" s="42"/>
      <c r="PLJ53" s="42"/>
      <c r="PLK53" s="42"/>
      <c r="PLL53" s="42"/>
      <c r="PLM53" s="42"/>
      <c r="PLN53" s="42"/>
      <c r="PLO53" s="42"/>
      <c r="PLP53" s="42"/>
      <c r="PLQ53" s="42"/>
      <c r="PLR53" s="42"/>
      <c r="PLS53" s="42"/>
      <c r="PLT53" s="42"/>
      <c r="PLU53" s="42"/>
      <c r="PLV53" s="42"/>
      <c r="PLW53" s="42"/>
      <c r="PLX53" s="42"/>
      <c r="PLY53" s="2"/>
      <c r="PLZ53" s="15"/>
      <c r="PMA53" s="42"/>
      <c r="PMB53" s="2"/>
      <c r="PMC53" s="2"/>
      <c r="PMD53" s="2"/>
      <c r="PME53" s="2"/>
      <c r="PMF53" s="42"/>
      <c r="PMG53" s="42"/>
      <c r="PMH53" s="42"/>
      <c r="PMI53" s="42"/>
      <c r="PMJ53" s="42"/>
      <c r="PMK53" s="42"/>
      <c r="PML53" s="42"/>
      <c r="PMM53" s="42"/>
      <c r="PMN53" s="42"/>
      <c r="PMO53" s="42"/>
      <c r="PMP53" s="42"/>
      <c r="PMQ53" s="42"/>
      <c r="PMR53" s="42"/>
      <c r="PMS53" s="42"/>
      <c r="PMT53" s="42"/>
      <c r="PMU53" s="42"/>
      <c r="PMV53" s="42"/>
      <c r="PMW53" s="42"/>
      <c r="PMX53" s="42"/>
      <c r="PMY53" s="42"/>
      <c r="PMZ53" s="42"/>
      <c r="PNA53" s="42"/>
      <c r="PNB53" s="42"/>
      <c r="PNC53" s="2"/>
      <c r="PND53" s="15"/>
      <c r="PNE53" s="42"/>
      <c r="PNF53" s="2"/>
      <c r="PNG53" s="2"/>
      <c r="PNH53" s="2"/>
      <c r="PNI53" s="2"/>
      <c r="PNJ53" s="42"/>
      <c r="PNK53" s="42"/>
      <c r="PNL53" s="42"/>
      <c r="PNM53" s="42"/>
      <c r="PNN53" s="42"/>
      <c r="PNO53" s="42"/>
      <c r="PNP53" s="42"/>
      <c r="PNQ53" s="42"/>
      <c r="PNR53" s="42"/>
      <c r="PNS53" s="42"/>
      <c r="PNT53" s="42"/>
      <c r="PNU53" s="42"/>
      <c r="PNV53" s="42"/>
      <c r="PNW53" s="42"/>
      <c r="PNX53" s="42"/>
      <c r="PNY53" s="42"/>
      <c r="PNZ53" s="42"/>
      <c r="POA53" s="42"/>
      <c r="POB53" s="42"/>
      <c r="POC53" s="42"/>
      <c r="POD53" s="42"/>
      <c r="POE53" s="42"/>
      <c r="POF53" s="42"/>
      <c r="POG53" s="2"/>
      <c r="POH53" s="15"/>
      <c r="POI53" s="42"/>
      <c r="POJ53" s="2"/>
      <c r="POK53" s="2"/>
      <c r="POL53" s="2"/>
      <c r="POM53" s="2"/>
      <c r="PON53" s="42"/>
      <c r="POO53" s="42"/>
      <c r="POP53" s="42"/>
      <c r="POQ53" s="42"/>
      <c r="POR53" s="42"/>
      <c r="POS53" s="42"/>
      <c r="POT53" s="42"/>
      <c r="POU53" s="42"/>
      <c r="POV53" s="42"/>
      <c r="POW53" s="42"/>
      <c r="POX53" s="42"/>
      <c r="POY53" s="42"/>
      <c r="POZ53" s="42"/>
      <c r="PPA53" s="42"/>
      <c r="PPB53" s="42"/>
      <c r="PPC53" s="42"/>
      <c r="PPD53" s="42"/>
      <c r="PPE53" s="42"/>
      <c r="PPF53" s="42"/>
      <c r="PPG53" s="42"/>
      <c r="PPH53" s="42"/>
      <c r="PPI53" s="42"/>
      <c r="PPJ53" s="42"/>
      <c r="PPK53" s="2"/>
      <c r="PPL53" s="15"/>
      <c r="PPM53" s="42"/>
      <c r="PPN53" s="2"/>
      <c r="PPO53" s="2"/>
      <c r="PPP53" s="2"/>
      <c r="PPQ53" s="2"/>
      <c r="PPR53" s="42"/>
      <c r="PPS53" s="42"/>
      <c r="PPT53" s="42"/>
      <c r="PPU53" s="42"/>
      <c r="PPV53" s="42"/>
      <c r="PPW53" s="42"/>
      <c r="PPX53" s="42"/>
      <c r="PPY53" s="42"/>
      <c r="PPZ53" s="42"/>
      <c r="PQA53" s="42"/>
      <c r="PQB53" s="42"/>
      <c r="PQC53" s="42"/>
      <c r="PQD53" s="42"/>
      <c r="PQE53" s="42"/>
      <c r="PQF53" s="42"/>
      <c r="PQG53" s="42"/>
      <c r="PQH53" s="42"/>
      <c r="PQI53" s="42"/>
      <c r="PQJ53" s="42"/>
      <c r="PQK53" s="42"/>
      <c r="PQL53" s="42"/>
      <c r="PQM53" s="42"/>
      <c r="PQN53" s="42"/>
      <c r="PQO53" s="2"/>
      <c r="PQP53" s="15"/>
      <c r="PQQ53" s="42"/>
      <c r="PQR53" s="2"/>
      <c r="PQS53" s="2"/>
      <c r="PQT53" s="2"/>
      <c r="PQU53" s="2"/>
      <c r="PQV53" s="42"/>
      <c r="PQW53" s="42"/>
      <c r="PQX53" s="42"/>
      <c r="PQY53" s="42"/>
      <c r="PQZ53" s="42"/>
      <c r="PRA53" s="42"/>
      <c r="PRB53" s="42"/>
      <c r="PRC53" s="42"/>
      <c r="PRD53" s="42"/>
      <c r="PRE53" s="42"/>
      <c r="PRF53" s="42"/>
      <c r="PRG53" s="42"/>
      <c r="PRH53" s="42"/>
      <c r="PRI53" s="42"/>
      <c r="PRJ53" s="42"/>
      <c r="PRK53" s="42"/>
      <c r="PRL53" s="42"/>
      <c r="PRM53" s="42"/>
      <c r="PRN53" s="42"/>
      <c r="PRO53" s="42"/>
      <c r="PRP53" s="42"/>
      <c r="PRQ53" s="42"/>
      <c r="PRR53" s="42"/>
      <c r="PRS53" s="2"/>
      <c r="PRT53" s="15"/>
      <c r="PRU53" s="42"/>
      <c r="PRV53" s="2"/>
      <c r="PRW53" s="2"/>
      <c r="PRX53" s="2"/>
      <c r="PRY53" s="2"/>
      <c r="PRZ53" s="42"/>
      <c r="PSA53" s="42"/>
      <c r="PSB53" s="42"/>
      <c r="PSC53" s="42"/>
      <c r="PSD53" s="42"/>
      <c r="PSE53" s="42"/>
      <c r="PSF53" s="42"/>
      <c r="PSG53" s="42"/>
      <c r="PSH53" s="42"/>
      <c r="PSI53" s="42"/>
      <c r="PSJ53" s="42"/>
      <c r="PSK53" s="42"/>
      <c r="PSL53" s="42"/>
      <c r="PSM53" s="42"/>
      <c r="PSN53" s="42"/>
      <c r="PSO53" s="42"/>
      <c r="PSP53" s="42"/>
      <c r="PSQ53" s="42"/>
      <c r="PSR53" s="42"/>
      <c r="PSS53" s="42"/>
      <c r="PST53" s="42"/>
      <c r="PSU53" s="42"/>
      <c r="PSV53" s="42"/>
      <c r="PSW53" s="2"/>
      <c r="PSX53" s="15"/>
      <c r="PSY53" s="42"/>
      <c r="PSZ53" s="2"/>
      <c r="PTA53" s="2"/>
      <c r="PTB53" s="2"/>
      <c r="PTC53" s="2"/>
      <c r="PTD53" s="42"/>
      <c r="PTE53" s="42"/>
      <c r="PTF53" s="42"/>
      <c r="PTG53" s="42"/>
      <c r="PTH53" s="42"/>
      <c r="PTI53" s="42"/>
      <c r="PTJ53" s="42"/>
      <c r="PTK53" s="42"/>
      <c r="PTL53" s="42"/>
      <c r="PTM53" s="42"/>
      <c r="PTN53" s="42"/>
      <c r="PTO53" s="42"/>
      <c r="PTP53" s="42"/>
      <c r="PTQ53" s="42"/>
      <c r="PTR53" s="42"/>
      <c r="PTS53" s="42"/>
      <c r="PTT53" s="42"/>
      <c r="PTU53" s="42"/>
      <c r="PTV53" s="42"/>
      <c r="PTW53" s="42"/>
      <c r="PTX53" s="42"/>
      <c r="PTY53" s="42"/>
      <c r="PTZ53" s="42"/>
      <c r="PUA53" s="2"/>
      <c r="PUB53" s="15"/>
      <c r="PUC53" s="42"/>
      <c r="PUD53" s="2"/>
      <c r="PUE53" s="2"/>
      <c r="PUF53" s="2"/>
      <c r="PUG53" s="2"/>
      <c r="PUH53" s="42"/>
      <c r="PUI53" s="42"/>
      <c r="PUJ53" s="42"/>
      <c r="PUK53" s="42"/>
      <c r="PUL53" s="42"/>
      <c r="PUM53" s="42"/>
      <c r="PUN53" s="42"/>
      <c r="PUO53" s="42"/>
      <c r="PUP53" s="42"/>
      <c r="PUQ53" s="42"/>
      <c r="PUR53" s="42"/>
      <c r="PUS53" s="42"/>
      <c r="PUT53" s="42"/>
      <c r="PUU53" s="42"/>
      <c r="PUV53" s="42"/>
      <c r="PUW53" s="42"/>
      <c r="PUX53" s="42"/>
      <c r="PUY53" s="42"/>
      <c r="PUZ53" s="42"/>
      <c r="PVA53" s="42"/>
      <c r="PVB53" s="42"/>
      <c r="PVC53" s="42"/>
      <c r="PVD53" s="42"/>
      <c r="PVE53" s="2"/>
      <c r="PVF53" s="15"/>
      <c r="PVG53" s="42"/>
      <c r="PVH53" s="2"/>
      <c r="PVI53" s="2"/>
      <c r="PVJ53" s="2"/>
      <c r="PVK53" s="2"/>
      <c r="PVL53" s="42"/>
      <c r="PVM53" s="42"/>
      <c r="PVN53" s="42"/>
      <c r="PVO53" s="42"/>
      <c r="PVP53" s="42"/>
      <c r="PVQ53" s="42"/>
      <c r="PVR53" s="42"/>
      <c r="PVS53" s="42"/>
      <c r="PVT53" s="42"/>
      <c r="PVU53" s="42"/>
      <c r="PVV53" s="42"/>
      <c r="PVW53" s="42"/>
      <c r="PVX53" s="42"/>
      <c r="PVY53" s="42"/>
      <c r="PVZ53" s="42"/>
      <c r="PWA53" s="42"/>
      <c r="PWB53" s="42"/>
      <c r="PWC53" s="42"/>
      <c r="PWD53" s="42"/>
      <c r="PWE53" s="42"/>
      <c r="PWF53" s="42"/>
      <c r="PWG53" s="42"/>
      <c r="PWH53" s="42"/>
      <c r="PWI53" s="2"/>
      <c r="PWJ53" s="15"/>
      <c r="PWK53" s="42"/>
      <c r="PWL53" s="2"/>
      <c r="PWM53" s="2"/>
      <c r="PWN53" s="2"/>
      <c r="PWO53" s="2"/>
      <c r="PWP53" s="42"/>
      <c r="PWQ53" s="42"/>
      <c r="PWR53" s="42"/>
      <c r="PWS53" s="42"/>
      <c r="PWT53" s="42"/>
      <c r="PWU53" s="42"/>
      <c r="PWV53" s="42"/>
      <c r="PWW53" s="42"/>
      <c r="PWX53" s="42"/>
      <c r="PWY53" s="42"/>
      <c r="PWZ53" s="42"/>
      <c r="PXA53" s="42"/>
      <c r="PXB53" s="42"/>
      <c r="PXC53" s="42"/>
      <c r="PXD53" s="42"/>
      <c r="PXE53" s="42"/>
      <c r="PXF53" s="42"/>
      <c r="PXG53" s="42"/>
      <c r="PXH53" s="42"/>
      <c r="PXI53" s="42"/>
      <c r="PXJ53" s="42"/>
      <c r="PXK53" s="42"/>
      <c r="PXL53" s="42"/>
      <c r="PXM53" s="2"/>
      <c r="PXN53" s="15"/>
      <c r="PXO53" s="42"/>
      <c r="PXP53" s="2"/>
      <c r="PXQ53" s="2"/>
      <c r="PXR53" s="2"/>
      <c r="PXS53" s="2"/>
      <c r="PXT53" s="42"/>
      <c r="PXU53" s="42"/>
      <c r="PXV53" s="42"/>
      <c r="PXW53" s="42"/>
      <c r="PXX53" s="42"/>
      <c r="PXY53" s="42"/>
      <c r="PXZ53" s="42"/>
      <c r="PYA53" s="42"/>
      <c r="PYB53" s="42"/>
      <c r="PYC53" s="42"/>
      <c r="PYD53" s="42"/>
      <c r="PYE53" s="42"/>
      <c r="PYF53" s="42"/>
      <c r="PYG53" s="42"/>
      <c r="PYH53" s="42"/>
      <c r="PYI53" s="42"/>
      <c r="PYJ53" s="42"/>
      <c r="PYK53" s="42"/>
      <c r="PYL53" s="42"/>
      <c r="PYM53" s="42"/>
      <c r="PYN53" s="42"/>
      <c r="PYO53" s="42"/>
      <c r="PYP53" s="42"/>
      <c r="PYQ53" s="2"/>
      <c r="PYR53" s="15"/>
      <c r="PYS53" s="42"/>
      <c r="PYT53" s="2"/>
      <c r="PYU53" s="2"/>
      <c r="PYV53" s="2"/>
      <c r="PYW53" s="2"/>
      <c r="PYX53" s="42"/>
      <c r="PYY53" s="42"/>
      <c r="PYZ53" s="42"/>
      <c r="PZA53" s="42"/>
      <c r="PZB53" s="42"/>
      <c r="PZC53" s="42"/>
      <c r="PZD53" s="42"/>
      <c r="PZE53" s="42"/>
      <c r="PZF53" s="42"/>
      <c r="PZG53" s="42"/>
      <c r="PZH53" s="42"/>
      <c r="PZI53" s="42"/>
      <c r="PZJ53" s="42"/>
      <c r="PZK53" s="42"/>
      <c r="PZL53" s="42"/>
      <c r="PZM53" s="42"/>
      <c r="PZN53" s="42"/>
      <c r="PZO53" s="42"/>
      <c r="PZP53" s="42"/>
      <c r="PZQ53" s="42"/>
      <c r="PZR53" s="42"/>
      <c r="PZS53" s="42"/>
      <c r="PZT53" s="42"/>
      <c r="PZU53" s="2"/>
      <c r="PZV53" s="15"/>
      <c r="PZW53" s="42"/>
      <c r="PZX53" s="2"/>
      <c r="PZY53" s="2"/>
      <c r="PZZ53" s="2"/>
      <c r="QAA53" s="2"/>
      <c r="QAB53" s="42"/>
      <c r="QAC53" s="42"/>
      <c r="QAD53" s="42"/>
      <c r="QAE53" s="42"/>
      <c r="QAF53" s="42"/>
      <c r="QAG53" s="42"/>
      <c r="QAH53" s="42"/>
      <c r="QAI53" s="42"/>
      <c r="QAJ53" s="42"/>
      <c r="QAK53" s="42"/>
      <c r="QAL53" s="42"/>
      <c r="QAM53" s="42"/>
      <c r="QAN53" s="42"/>
      <c r="QAO53" s="42"/>
      <c r="QAP53" s="42"/>
      <c r="QAQ53" s="42"/>
      <c r="QAR53" s="42"/>
      <c r="QAS53" s="42"/>
      <c r="QAT53" s="42"/>
      <c r="QAU53" s="42"/>
      <c r="QAV53" s="42"/>
      <c r="QAW53" s="42"/>
      <c r="QAX53" s="42"/>
      <c r="QAY53" s="2"/>
      <c r="QAZ53" s="15"/>
      <c r="QBA53" s="42"/>
      <c r="QBB53" s="2"/>
      <c r="QBC53" s="2"/>
      <c r="QBD53" s="2"/>
      <c r="QBE53" s="2"/>
      <c r="QBF53" s="42"/>
      <c r="QBG53" s="42"/>
      <c r="QBH53" s="42"/>
      <c r="QBI53" s="42"/>
      <c r="QBJ53" s="42"/>
      <c r="QBK53" s="42"/>
      <c r="QBL53" s="42"/>
      <c r="QBM53" s="42"/>
      <c r="QBN53" s="42"/>
      <c r="QBO53" s="42"/>
      <c r="QBP53" s="42"/>
      <c r="QBQ53" s="42"/>
      <c r="QBR53" s="42"/>
      <c r="QBS53" s="42"/>
      <c r="QBT53" s="42"/>
      <c r="QBU53" s="42"/>
      <c r="QBV53" s="42"/>
      <c r="QBW53" s="42"/>
      <c r="QBX53" s="42"/>
      <c r="QBY53" s="42"/>
      <c r="QBZ53" s="42"/>
      <c r="QCA53" s="42"/>
      <c r="QCB53" s="42"/>
      <c r="QCC53" s="2"/>
      <c r="QCD53" s="15"/>
      <c r="QCE53" s="42"/>
      <c r="QCF53" s="2"/>
      <c r="QCG53" s="2"/>
      <c r="QCH53" s="2"/>
      <c r="QCI53" s="2"/>
      <c r="QCJ53" s="42"/>
      <c r="QCK53" s="42"/>
      <c r="QCL53" s="42"/>
      <c r="QCM53" s="42"/>
      <c r="QCN53" s="42"/>
      <c r="QCO53" s="42"/>
      <c r="QCP53" s="42"/>
      <c r="QCQ53" s="42"/>
      <c r="QCR53" s="42"/>
      <c r="QCS53" s="42"/>
      <c r="QCT53" s="42"/>
      <c r="QCU53" s="42"/>
      <c r="QCV53" s="42"/>
      <c r="QCW53" s="42"/>
      <c r="QCX53" s="42"/>
      <c r="QCY53" s="42"/>
      <c r="QCZ53" s="42"/>
      <c r="QDA53" s="42"/>
      <c r="QDB53" s="42"/>
      <c r="QDC53" s="42"/>
      <c r="QDD53" s="42"/>
      <c r="QDE53" s="42"/>
      <c r="QDF53" s="42"/>
      <c r="QDG53" s="2"/>
      <c r="QDH53" s="15"/>
      <c r="QDI53" s="42"/>
      <c r="QDJ53" s="2"/>
      <c r="QDK53" s="2"/>
      <c r="QDL53" s="2"/>
      <c r="QDM53" s="2"/>
      <c r="QDN53" s="42"/>
      <c r="QDO53" s="42"/>
      <c r="QDP53" s="42"/>
      <c r="QDQ53" s="42"/>
      <c r="QDR53" s="42"/>
      <c r="QDS53" s="42"/>
      <c r="QDT53" s="42"/>
      <c r="QDU53" s="42"/>
      <c r="QDV53" s="42"/>
      <c r="QDW53" s="42"/>
      <c r="QDX53" s="42"/>
      <c r="QDY53" s="42"/>
      <c r="QDZ53" s="42"/>
      <c r="QEA53" s="42"/>
      <c r="QEB53" s="42"/>
      <c r="QEC53" s="42"/>
      <c r="QED53" s="42"/>
      <c r="QEE53" s="42"/>
      <c r="QEF53" s="42"/>
      <c r="QEG53" s="42"/>
      <c r="QEH53" s="42"/>
      <c r="QEI53" s="42"/>
      <c r="QEJ53" s="42"/>
      <c r="QEK53" s="2"/>
      <c r="QEL53" s="15"/>
      <c r="QEM53" s="42"/>
      <c r="QEN53" s="2"/>
      <c r="QEO53" s="2"/>
      <c r="QEP53" s="2"/>
      <c r="QEQ53" s="2"/>
      <c r="QER53" s="42"/>
      <c r="QES53" s="42"/>
      <c r="QET53" s="42"/>
      <c r="QEU53" s="42"/>
      <c r="QEV53" s="42"/>
      <c r="QEW53" s="42"/>
      <c r="QEX53" s="42"/>
      <c r="QEY53" s="42"/>
      <c r="QEZ53" s="42"/>
      <c r="QFA53" s="42"/>
      <c r="QFB53" s="42"/>
      <c r="QFC53" s="42"/>
      <c r="QFD53" s="42"/>
      <c r="QFE53" s="42"/>
      <c r="QFF53" s="42"/>
      <c r="QFG53" s="42"/>
      <c r="QFH53" s="42"/>
      <c r="QFI53" s="42"/>
      <c r="QFJ53" s="42"/>
      <c r="QFK53" s="42"/>
      <c r="QFL53" s="42"/>
      <c r="QFM53" s="42"/>
      <c r="QFN53" s="42"/>
      <c r="QFO53" s="2"/>
      <c r="QFP53" s="15"/>
      <c r="QFQ53" s="42"/>
      <c r="QFR53" s="2"/>
      <c r="QFS53" s="2"/>
      <c r="QFT53" s="2"/>
      <c r="QFU53" s="2"/>
      <c r="QFV53" s="42"/>
      <c r="QFW53" s="42"/>
      <c r="QFX53" s="42"/>
      <c r="QFY53" s="42"/>
      <c r="QFZ53" s="42"/>
      <c r="QGA53" s="42"/>
      <c r="QGB53" s="42"/>
      <c r="QGC53" s="42"/>
      <c r="QGD53" s="42"/>
      <c r="QGE53" s="42"/>
      <c r="QGF53" s="42"/>
      <c r="QGG53" s="42"/>
      <c r="QGH53" s="42"/>
      <c r="QGI53" s="42"/>
      <c r="QGJ53" s="42"/>
      <c r="QGK53" s="42"/>
      <c r="QGL53" s="42"/>
      <c r="QGM53" s="42"/>
      <c r="QGN53" s="42"/>
      <c r="QGO53" s="42"/>
      <c r="QGP53" s="42"/>
      <c r="QGQ53" s="42"/>
      <c r="QGR53" s="42"/>
      <c r="QGS53" s="2"/>
      <c r="QGT53" s="15"/>
      <c r="QGU53" s="42"/>
      <c r="QGV53" s="2"/>
      <c r="QGW53" s="2"/>
      <c r="QGX53" s="2"/>
      <c r="QGY53" s="2"/>
      <c r="QGZ53" s="42"/>
      <c r="QHA53" s="42"/>
      <c r="QHB53" s="42"/>
      <c r="QHC53" s="42"/>
      <c r="QHD53" s="42"/>
      <c r="QHE53" s="42"/>
      <c r="QHF53" s="42"/>
      <c r="QHG53" s="42"/>
      <c r="QHH53" s="42"/>
      <c r="QHI53" s="42"/>
      <c r="QHJ53" s="42"/>
      <c r="QHK53" s="42"/>
      <c r="QHL53" s="42"/>
      <c r="QHM53" s="42"/>
      <c r="QHN53" s="42"/>
      <c r="QHO53" s="42"/>
      <c r="QHP53" s="42"/>
      <c r="QHQ53" s="42"/>
      <c r="QHR53" s="42"/>
      <c r="QHS53" s="42"/>
      <c r="QHT53" s="42"/>
      <c r="QHU53" s="42"/>
      <c r="QHV53" s="42"/>
      <c r="QHW53" s="2"/>
      <c r="QHX53" s="15"/>
      <c r="QHY53" s="42"/>
      <c r="QHZ53" s="2"/>
      <c r="QIA53" s="2"/>
      <c r="QIB53" s="2"/>
      <c r="QIC53" s="2"/>
      <c r="QID53" s="42"/>
      <c r="QIE53" s="42"/>
      <c r="QIF53" s="42"/>
      <c r="QIG53" s="42"/>
      <c r="QIH53" s="42"/>
      <c r="QII53" s="42"/>
      <c r="QIJ53" s="42"/>
      <c r="QIK53" s="42"/>
      <c r="QIL53" s="42"/>
      <c r="QIM53" s="42"/>
      <c r="QIN53" s="42"/>
      <c r="QIO53" s="42"/>
      <c r="QIP53" s="42"/>
      <c r="QIQ53" s="42"/>
      <c r="QIR53" s="42"/>
      <c r="QIS53" s="42"/>
      <c r="QIT53" s="42"/>
      <c r="QIU53" s="42"/>
      <c r="QIV53" s="42"/>
      <c r="QIW53" s="42"/>
      <c r="QIX53" s="42"/>
      <c r="QIY53" s="42"/>
      <c r="QIZ53" s="42"/>
      <c r="QJA53" s="2"/>
      <c r="QJB53" s="15"/>
      <c r="QJC53" s="42"/>
      <c r="QJD53" s="2"/>
      <c r="QJE53" s="2"/>
      <c r="QJF53" s="2"/>
      <c r="QJG53" s="2"/>
      <c r="QJH53" s="42"/>
      <c r="QJI53" s="42"/>
      <c r="QJJ53" s="42"/>
      <c r="QJK53" s="42"/>
      <c r="QJL53" s="42"/>
      <c r="QJM53" s="42"/>
      <c r="QJN53" s="42"/>
      <c r="QJO53" s="42"/>
      <c r="QJP53" s="42"/>
      <c r="QJQ53" s="42"/>
      <c r="QJR53" s="42"/>
      <c r="QJS53" s="42"/>
      <c r="QJT53" s="42"/>
      <c r="QJU53" s="42"/>
      <c r="QJV53" s="42"/>
      <c r="QJW53" s="42"/>
      <c r="QJX53" s="42"/>
      <c r="QJY53" s="42"/>
      <c r="QJZ53" s="42"/>
      <c r="QKA53" s="42"/>
      <c r="QKB53" s="42"/>
      <c r="QKC53" s="42"/>
      <c r="QKD53" s="42"/>
      <c r="QKE53" s="2"/>
      <c r="QKF53" s="15"/>
      <c r="QKG53" s="42"/>
      <c r="QKH53" s="2"/>
      <c r="QKI53" s="2"/>
      <c r="QKJ53" s="2"/>
      <c r="QKK53" s="2"/>
      <c r="QKL53" s="42"/>
      <c r="QKM53" s="42"/>
      <c r="QKN53" s="42"/>
      <c r="QKO53" s="42"/>
      <c r="QKP53" s="42"/>
      <c r="QKQ53" s="42"/>
      <c r="QKR53" s="42"/>
      <c r="QKS53" s="42"/>
      <c r="QKT53" s="42"/>
      <c r="QKU53" s="42"/>
      <c r="QKV53" s="42"/>
      <c r="QKW53" s="42"/>
      <c r="QKX53" s="42"/>
      <c r="QKY53" s="42"/>
      <c r="QKZ53" s="42"/>
      <c r="QLA53" s="42"/>
      <c r="QLB53" s="42"/>
      <c r="QLC53" s="42"/>
      <c r="QLD53" s="42"/>
      <c r="QLE53" s="42"/>
      <c r="QLF53" s="42"/>
      <c r="QLG53" s="42"/>
      <c r="QLH53" s="42"/>
      <c r="QLI53" s="2"/>
      <c r="QLJ53" s="15"/>
      <c r="QLK53" s="42"/>
      <c r="QLL53" s="2"/>
      <c r="QLM53" s="2"/>
      <c r="QLN53" s="2"/>
      <c r="QLO53" s="2"/>
      <c r="QLP53" s="42"/>
      <c r="QLQ53" s="42"/>
      <c r="QLR53" s="42"/>
      <c r="QLS53" s="42"/>
      <c r="QLT53" s="42"/>
      <c r="QLU53" s="42"/>
      <c r="QLV53" s="42"/>
      <c r="QLW53" s="42"/>
      <c r="QLX53" s="42"/>
      <c r="QLY53" s="42"/>
      <c r="QLZ53" s="42"/>
      <c r="QMA53" s="42"/>
      <c r="QMB53" s="42"/>
      <c r="QMC53" s="42"/>
      <c r="QMD53" s="42"/>
      <c r="QME53" s="42"/>
      <c r="QMF53" s="42"/>
      <c r="QMG53" s="42"/>
      <c r="QMH53" s="42"/>
      <c r="QMI53" s="42"/>
      <c r="QMJ53" s="42"/>
      <c r="QMK53" s="42"/>
      <c r="QML53" s="42"/>
      <c r="QMM53" s="2"/>
      <c r="QMN53" s="15"/>
      <c r="QMO53" s="42"/>
      <c r="QMP53" s="2"/>
      <c r="QMQ53" s="2"/>
      <c r="QMR53" s="2"/>
      <c r="QMS53" s="2"/>
      <c r="QMT53" s="42"/>
      <c r="QMU53" s="42"/>
      <c r="QMV53" s="42"/>
      <c r="QMW53" s="42"/>
      <c r="QMX53" s="42"/>
      <c r="QMY53" s="42"/>
      <c r="QMZ53" s="42"/>
      <c r="QNA53" s="42"/>
      <c r="QNB53" s="42"/>
      <c r="QNC53" s="42"/>
      <c r="QND53" s="42"/>
      <c r="QNE53" s="42"/>
      <c r="QNF53" s="42"/>
      <c r="QNG53" s="42"/>
      <c r="QNH53" s="42"/>
      <c r="QNI53" s="42"/>
      <c r="QNJ53" s="42"/>
      <c r="QNK53" s="42"/>
      <c r="QNL53" s="42"/>
      <c r="QNM53" s="42"/>
      <c r="QNN53" s="42"/>
      <c r="QNO53" s="42"/>
      <c r="QNP53" s="42"/>
      <c r="QNQ53" s="2"/>
      <c r="QNR53" s="15"/>
      <c r="QNS53" s="42"/>
      <c r="QNT53" s="2"/>
      <c r="QNU53" s="2"/>
      <c r="QNV53" s="2"/>
      <c r="QNW53" s="2"/>
      <c r="QNX53" s="42"/>
      <c r="QNY53" s="42"/>
      <c r="QNZ53" s="42"/>
      <c r="QOA53" s="42"/>
      <c r="QOB53" s="42"/>
      <c r="QOC53" s="42"/>
      <c r="QOD53" s="42"/>
      <c r="QOE53" s="42"/>
      <c r="QOF53" s="42"/>
      <c r="QOG53" s="42"/>
      <c r="QOH53" s="42"/>
      <c r="QOI53" s="42"/>
      <c r="QOJ53" s="42"/>
      <c r="QOK53" s="42"/>
      <c r="QOL53" s="42"/>
      <c r="QOM53" s="42"/>
      <c r="QON53" s="42"/>
      <c r="QOO53" s="42"/>
      <c r="QOP53" s="42"/>
      <c r="QOQ53" s="42"/>
      <c r="QOR53" s="42"/>
      <c r="QOS53" s="42"/>
      <c r="QOT53" s="42"/>
      <c r="QOU53" s="2"/>
      <c r="QOV53" s="15"/>
      <c r="QOW53" s="42"/>
      <c r="QOX53" s="2"/>
      <c r="QOY53" s="2"/>
      <c r="QOZ53" s="2"/>
      <c r="QPA53" s="2"/>
      <c r="QPB53" s="42"/>
      <c r="QPC53" s="42"/>
      <c r="QPD53" s="42"/>
      <c r="QPE53" s="42"/>
      <c r="QPF53" s="42"/>
      <c r="QPG53" s="42"/>
      <c r="QPH53" s="42"/>
      <c r="QPI53" s="42"/>
      <c r="QPJ53" s="42"/>
      <c r="QPK53" s="42"/>
      <c r="QPL53" s="42"/>
      <c r="QPM53" s="42"/>
      <c r="QPN53" s="42"/>
      <c r="QPO53" s="42"/>
      <c r="QPP53" s="42"/>
      <c r="QPQ53" s="42"/>
      <c r="QPR53" s="42"/>
      <c r="QPS53" s="42"/>
      <c r="QPT53" s="42"/>
      <c r="QPU53" s="42"/>
      <c r="QPV53" s="42"/>
      <c r="QPW53" s="42"/>
      <c r="QPX53" s="42"/>
      <c r="QPY53" s="2"/>
      <c r="QPZ53" s="15"/>
      <c r="QQA53" s="42"/>
      <c r="QQB53" s="2"/>
      <c r="QQC53" s="2"/>
      <c r="QQD53" s="2"/>
      <c r="QQE53" s="2"/>
      <c r="QQF53" s="42"/>
      <c r="QQG53" s="42"/>
      <c r="QQH53" s="42"/>
      <c r="QQI53" s="42"/>
      <c r="QQJ53" s="42"/>
      <c r="QQK53" s="42"/>
      <c r="QQL53" s="42"/>
      <c r="QQM53" s="42"/>
      <c r="QQN53" s="42"/>
      <c r="QQO53" s="42"/>
      <c r="QQP53" s="42"/>
      <c r="QQQ53" s="42"/>
      <c r="QQR53" s="42"/>
      <c r="QQS53" s="42"/>
      <c r="QQT53" s="42"/>
      <c r="QQU53" s="42"/>
      <c r="QQV53" s="42"/>
      <c r="QQW53" s="42"/>
      <c r="QQX53" s="42"/>
      <c r="QQY53" s="42"/>
      <c r="QQZ53" s="42"/>
      <c r="QRA53" s="42"/>
      <c r="QRB53" s="42"/>
      <c r="QRC53" s="2"/>
      <c r="QRD53" s="15"/>
      <c r="QRE53" s="42"/>
      <c r="QRF53" s="2"/>
      <c r="QRG53" s="2"/>
      <c r="QRH53" s="2"/>
      <c r="QRI53" s="2"/>
      <c r="QRJ53" s="42"/>
      <c r="QRK53" s="42"/>
      <c r="QRL53" s="42"/>
      <c r="QRM53" s="42"/>
      <c r="QRN53" s="42"/>
      <c r="QRO53" s="42"/>
      <c r="QRP53" s="42"/>
      <c r="QRQ53" s="42"/>
      <c r="QRR53" s="42"/>
      <c r="QRS53" s="42"/>
      <c r="QRT53" s="42"/>
      <c r="QRU53" s="42"/>
      <c r="QRV53" s="42"/>
      <c r="QRW53" s="42"/>
      <c r="QRX53" s="42"/>
      <c r="QRY53" s="42"/>
      <c r="QRZ53" s="42"/>
      <c r="QSA53" s="42"/>
      <c r="QSB53" s="42"/>
      <c r="QSC53" s="42"/>
      <c r="QSD53" s="42"/>
      <c r="QSE53" s="42"/>
      <c r="QSF53" s="42"/>
      <c r="QSG53" s="2"/>
      <c r="QSH53" s="15"/>
      <c r="QSI53" s="42"/>
      <c r="QSJ53" s="2"/>
      <c r="QSK53" s="2"/>
      <c r="QSL53" s="2"/>
      <c r="QSM53" s="2"/>
      <c r="QSN53" s="42"/>
      <c r="QSO53" s="42"/>
      <c r="QSP53" s="42"/>
      <c r="QSQ53" s="42"/>
      <c r="QSR53" s="42"/>
      <c r="QSS53" s="42"/>
      <c r="QST53" s="42"/>
      <c r="QSU53" s="42"/>
      <c r="QSV53" s="42"/>
      <c r="QSW53" s="42"/>
      <c r="QSX53" s="42"/>
      <c r="QSY53" s="42"/>
      <c r="QSZ53" s="42"/>
      <c r="QTA53" s="42"/>
      <c r="QTB53" s="42"/>
      <c r="QTC53" s="42"/>
      <c r="QTD53" s="42"/>
      <c r="QTE53" s="42"/>
      <c r="QTF53" s="42"/>
      <c r="QTG53" s="42"/>
      <c r="QTH53" s="42"/>
      <c r="QTI53" s="42"/>
      <c r="QTJ53" s="42"/>
      <c r="QTK53" s="2"/>
      <c r="QTL53" s="15"/>
      <c r="QTM53" s="42"/>
      <c r="QTN53" s="2"/>
      <c r="QTO53" s="2"/>
      <c r="QTP53" s="2"/>
      <c r="QTQ53" s="2"/>
      <c r="QTR53" s="42"/>
      <c r="QTS53" s="42"/>
      <c r="QTT53" s="42"/>
      <c r="QTU53" s="42"/>
      <c r="QTV53" s="42"/>
      <c r="QTW53" s="42"/>
      <c r="QTX53" s="42"/>
      <c r="QTY53" s="42"/>
      <c r="QTZ53" s="42"/>
      <c r="QUA53" s="42"/>
      <c r="QUB53" s="42"/>
      <c r="QUC53" s="42"/>
      <c r="QUD53" s="42"/>
      <c r="QUE53" s="42"/>
      <c r="QUF53" s="42"/>
      <c r="QUG53" s="42"/>
      <c r="QUH53" s="42"/>
      <c r="QUI53" s="42"/>
      <c r="QUJ53" s="42"/>
      <c r="QUK53" s="42"/>
      <c r="QUL53" s="42"/>
      <c r="QUM53" s="42"/>
      <c r="QUN53" s="42"/>
      <c r="QUO53" s="2"/>
      <c r="QUP53" s="15"/>
      <c r="QUQ53" s="42"/>
      <c r="QUR53" s="2"/>
      <c r="QUS53" s="2"/>
      <c r="QUT53" s="2"/>
      <c r="QUU53" s="2"/>
      <c r="QUV53" s="42"/>
      <c r="QUW53" s="42"/>
      <c r="QUX53" s="42"/>
      <c r="QUY53" s="42"/>
      <c r="QUZ53" s="42"/>
      <c r="QVA53" s="42"/>
      <c r="QVB53" s="42"/>
      <c r="QVC53" s="42"/>
      <c r="QVD53" s="42"/>
      <c r="QVE53" s="42"/>
      <c r="QVF53" s="42"/>
      <c r="QVG53" s="42"/>
      <c r="QVH53" s="42"/>
      <c r="QVI53" s="42"/>
      <c r="QVJ53" s="42"/>
      <c r="QVK53" s="42"/>
      <c r="QVL53" s="42"/>
      <c r="QVM53" s="42"/>
      <c r="QVN53" s="42"/>
      <c r="QVO53" s="42"/>
      <c r="QVP53" s="42"/>
      <c r="QVQ53" s="42"/>
      <c r="QVR53" s="42"/>
      <c r="QVS53" s="2"/>
      <c r="QVT53" s="15"/>
      <c r="QVU53" s="42"/>
      <c r="QVV53" s="2"/>
      <c r="QVW53" s="2"/>
      <c r="QVX53" s="2"/>
      <c r="QVY53" s="2"/>
      <c r="QVZ53" s="42"/>
      <c r="QWA53" s="42"/>
      <c r="QWB53" s="42"/>
      <c r="QWC53" s="42"/>
      <c r="QWD53" s="42"/>
      <c r="QWE53" s="42"/>
      <c r="QWF53" s="42"/>
      <c r="QWG53" s="42"/>
      <c r="QWH53" s="42"/>
      <c r="QWI53" s="42"/>
      <c r="QWJ53" s="42"/>
      <c r="QWK53" s="42"/>
      <c r="QWL53" s="42"/>
      <c r="QWM53" s="42"/>
      <c r="QWN53" s="42"/>
      <c r="QWO53" s="42"/>
      <c r="QWP53" s="42"/>
      <c r="QWQ53" s="42"/>
      <c r="QWR53" s="42"/>
      <c r="QWS53" s="42"/>
      <c r="QWT53" s="42"/>
      <c r="QWU53" s="42"/>
      <c r="QWV53" s="42"/>
      <c r="QWW53" s="2"/>
      <c r="QWX53" s="15"/>
      <c r="QWY53" s="42"/>
      <c r="QWZ53" s="2"/>
      <c r="QXA53" s="2"/>
      <c r="QXB53" s="2"/>
      <c r="QXC53" s="2"/>
      <c r="QXD53" s="42"/>
      <c r="QXE53" s="42"/>
      <c r="QXF53" s="42"/>
      <c r="QXG53" s="42"/>
      <c r="QXH53" s="42"/>
      <c r="QXI53" s="42"/>
      <c r="QXJ53" s="42"/>
      <c r="QXK53" s="42"/>
      <c r="QXL53" s="42"/>
      <c r="QXM53" s="42"/>
      <c r="QXN53" s="42"/>
      <c r="QXO53" s="42"/>
      <c r="QXP53" s="42"/>
      <c r="QXQ53" s="42"/>
      <c r="QXR53" s="42"/>
      <c r="QXS53" s="42"/>
      <c r="QXT53" s="42"/>
      <c r="QXU53" s="42"/>
      <c r="QXV53" s="42"/>
      <c r="QXW53" s="42"/>
      <c r="QXX53" s="42"/>
      <c r="QXY53" s="42"/>
      <c r="QXZ53" s="42"/>
      <c r="QYA53" s="2"/>
      <c r="QYB53" s="15"/>
      <c r="QYC53" s="42"/>
      <c r="QYD53" s="2"/>
      <c r="QYE53" s="2"/>
      <c r="QYF53" s="2"/>
      <c r="QYG53" s="2"/>
      <c r="QYH53" s="42"/>
      <c r="QYI53" s="42"/>
      <c r="QYJ53" s="42"/>
      <c r="QYK53" s="42"/>
      <c r="QYL53" s="42"/>
      <c r="QYM53" s="42"/>
      <c r="QYN53" s="42"/>
      <c r="QYO53" s="42"/>
      <c r="QYP53" s="42"/>
      <c r="QYQ53" s="42"/>
      <c r="QYR53" s="42"/>
      <c r="QYS53" s="42"/>
      <c r="QYT53" s="42"/>
      <c r="QYU53" s="42"/>
      <c r="QYV53" s="42"/>
      <c r="QYW53" s="42"/>
      <c r="QYX53" s="42"/>
      <c r="QYY53" s="42"/>
      <c r="QYZ53" s="42"/>
      <c r="QZA53" s="42"/>
      <c r="QZB53" s="42"/>
      <c r="QZC53" s="42"/>
      <c r="QZD53" s="42"/>
      <c r="QZE53" s="2"/>
      <c r="QZF53" s="15"/>
      <c r="QZG53" s="42"/>
      <c r="QZH53" s="2"/>
      <c r="QZI53" s="2"/>
      <c r="QZJ53" s="2"/>
      <c r="QZK53" s="2"/>
      <c r="QZL53" s="42"/>
      <c r="QZM53" s="42"/>
      <c r="QZN53" s="42"/>
      <c r="QZO53" s="42"/>
      <c r="QZP53" s="42"/>
      <c r="QZQ53" s="42"/>
      <c r="QZR53" s="42"/>
      <c r="QZS53" s="42"/>
      <c r="QZT53" s="42"/>
      <c r="QZU53" s="42"/>
      <c r="QZV53" s="42"/>
      <c r="QZW53" s="42"/>
      <c r="QZX53" s="42"/>
      <c r="QZY53" s="42"/>
      <c r="QZZ53" s="42"/>
      <c r="RAA53" s="42"/>
      <c r="RAB53" s="42"/>
      <c r="RAC53" s="42"/>
      <c r="RAD53" s="42"/>
      <c r="RAE53" s="42"/>
      <c r="RAF53" s="42"/>
      <c r="RAG53" s="42"/>
      <c r="RAH53" s="42"/>
      <c r="RAI53" s="2"/>
      <c r="RAJ53" s="15"/>
      <c r="RAK53" s="42"/>
      <c r="RAL53" s="2"/>
      <c r="RAM53" s="2"/>
      <c r="RAN53" s="2"/>
      <c r="RAO53" s="2"/>
      <c r="RAP53" s="42"/>
      <c r="RAQ53" s="42"/>
      <c r="RAR53" s="42"/>
      <c r="RAS53" s="42"/>
      <c r="RAT53" s="42"/>
      <c r="RAU53" s="42"/>
      <c r="RAV53" s="42"/>
      <c r="RAW53" s="42"/>
      <c r="RAX53" s="42"/>
      <c r="RAY53" s="42"/>
      <c r="RAZ53" s="42"/>
      <c r="RBA53" s="42"/>
      <c r="RBB53" s="42"/>
      <c r="RBC53" s="42"/>
      <c r="RBD53" s="42"/>
      <c r="RBE53" s="42"/>
      <c r="RBF53" s="42"/>
      <c r="RBG53" s="42"/>
      <c r="RBH53" s="42"/>
      <c r="RBI53" s="42"/>
      <c r="RBJ53" s="42"/>
      <c r="RBK53" s="42"/>
      <c r="RBL53" s="42"/>
      <c r="RBM53" s="2"/>
      <c r="RBN53" s="15"/>
      <c r="RBO53" s="42"/>
      <c r="RBP53" s="2"/>
      <c r="RBQ53" s="2"/>
      <c r="RBR53" s="2"/>
      <c r="RBS53" s="2"/>
      <c r="RBT53" s="42"/>
      <c r="RBU53" s="42"/>
      <c r="RBV53" s="42"/>
      <c r="RBW53" s="42"/>
      <c r="RBX53" s="42"/>
      <c r="RBY53" s="42"/>
      <c r="RBZ53" s="42"/>
      <c r="RCA53" s="42"/>
      <c r="RCB53" s="42"/>
      <c r="RCC53" s="42"/>
      <c r="RCD53" s="42"/>
      <c r="RCE53" s="42"/>
      <c r="RCF53" s="42"/>
      <c r="RCG53" s="42"/>
      <c r="RCH53" s="42"/>
      <c r="RCI53" s="42"/>
      <c r="RCJ53" s="42"/>
      <c r="RCK53" s="42"/>
      <c r="RCL53" s="42"/>
      <c r="RCM53" s="42"/>
      <c r="RCN53" s="42"/>
      <c r="RCO53" s="42"/>
      <c r="RCP53" s="42"/>
      <c r="RCQ53" s="2"/>
      <c r="RCR53" s="15"/>
      <c r="RCS53" s="42"/>
      <c r="RCT53" s="2"/>
      <c r="RCU53" s="2"/>
      <c r="RCV53" s="2"/>
      <c r="RCW53" s="2"/>
      <c r="RCX53" s="42"/>
      <c r="RCY53" s="42"/>
      <c r="RCZ53" s="42"/>
      <c r="RDA53" s="42"/>
      <c r="RDB53" s="42"/>
      <c r="RDC53" s="42"/>
      <c r="RDD53" s="42"/>
      <c r="RDE53" s="42"/>
      <c r="RDF53" s="42"/>
      <c r="RDG53" s="42"/>
      <c r="RDH53" s="42"/>
      <c r="RDI53" s="42"/>
      <c r="RDJ53" s="42"/>
      <c r="RDK53" s="42"/>
      <c r="RDL53" s="42"/>
      <c r="RDM53" s="42"/>
      <c r="RDN53" s="42"/>
      <c r="RDO53" s="42"/>
      <c r="RDP53" s="42"/>
      <c r="RDQ53" s="42"/>
      <c r="RDR53" s="42"/>
      <c r="RDS53" s="42"/>
      <c r="RDT53" s="42"/>
      <c r="RDU53" s="2"/>
      <c r="RDV53" s="15"/>
      <c r="RDW53" s="42"/>
      <c r="RDX53" s="2"/>
      <c r="RDY53" s="2"/>
      <c r="RDZ53" s="2"/>
      <c r="REA53" s="2"/>
      <c r="REB53" s="42"/>
      <c r="REC53" s="42"/>
      <c r="RED53" s="42"/>
      <c r="REE53" s="42"/>
      <c r="REF53" s="42"/>
      <c r="REG53" s="42"/>
      <c r="REH53" s="42"/>
      <c r="REI53" s="42"/>
      <c r="REJ53" s="42"/>
      <c r="REK53" s="42"/>
      <c r="REL53" s="42"/>
      <c r="REM53" s="42"/>
      <c r="REN53" s="42"/>
      <c r="REO53" s="42"/>
      <c r="REP53" s="42"/>
      <c r="REQ53" s="42"/>
      <c r="RER53" s="42"/>
      <c r="RES53" s="42"/>
      <c r="RET53" s="42"/>
      <c r="REU53" s="42"/>
      <c r="REV53" s="42"/>
      <c r="REW53" s="42"/>
      <c r="REX53" s="42"/>
      <c r="REY53" s="2"/>
      <c r="REZ53" s="15"/>
      <c r="RFA53" s="42"/>
      <c r="RFB53" s="2"/>
      <c r="RFC53" s="2"/>
      <c r="RFD53" s="2"/>
      <c r="RFE53" s="2"/>
      <c r="RFF53" s="42"/>
      <c r="RFG53" s="42"/>
      <c r="RFH53" s="42"/>
      <c r="RFI53" s="42"/>
      <c r="RFJ53" s="42"/>
      <c r="RFK53" s="42"/>
      <c r="RFL53" s="42"/>
      <c r="RFM53" s="42"/>
      <c r="RFN53" s="42"/>
      <c r="RFO53" s="42"/>
      <c r="RFP53" s="42"/>
      <c r="RFQ53" s="42"/>
      <c r="RFR53" s="42"/>
      <c r="RFS53" s="42"/>
      <c r="RFT53" s="42"/>
      <c r="RFU53" s="42"/>
      <c r="RFV53" s="42"/>
      <c r="RFW53" s="42"/>
      <c r="RFX53" s="42"/>
      <c r="RFY53" s="42"/>
      <c r="RFZ53" s="42"/>
      <c r="RGA53" s="42"/>
      <c r="RGB53" s="42"/>
      <c r="RGC53" s="2"/>
      <c r="RGD53" s="15"/>
      <c r="RGE53" s="42"/>
      <c r="RGF53" s="2"/>
      <c r="RGG53" s="2"/>
      <c r="RGH53" s="2"/>
      <c r="RGI53" s="2"/>
      <c r="RGJ53" s="42"/>
      <c r="RGK53" s="42"/>
      <c r="RGL53" s="42"/>
      <c r="RGM53" s="42"/>
      <c r="RGN53" s="42"/>
      <c r="RGO53" s="42"/>
      <c r="RGP53" s="42"/>
      <c r="RGQ53" s="42"/>
      <c r="RGR53" s="42"/>
      <c r="RGS53" s="42"/>
      <c r="RGT53" s="42"/>
      <c r="RGU53" s="42"/>
      <c r="RGV53" s="42"/>
      <c r="RGW53" s="42"/>
      <c r="RGX53" s="42"/>
      <c r="RGY53" s="42"/>
      <c r="RGZ53" s="42"/>
      <c r="RHA53" s="42"/>
      <c r="RHB53" s="42"/>
      <c r="RHC53" s="42"/>
      <c r="RHD53" s="42"/>
      <c r="RHE53" s="42"/>
      <c r="RHF53" s="42"/>
      <c r="RHG53" s="2"/>
      <c r="RHH53" s="15"/>
      <c r="RHI53" s="42"/>
      <c r="RHJ53" s="2"/>
      <c r="RHK53" s="2"/>
      <c r="RHL53" s="2"/>
      <c r="RHM53" s="2"/>
      <c r="RHN53" s="42"/>
      <c r="RHO53" s="42"/>
      <c r="RHP53" s="42"/>
      <c r="RHQ53" s="42"/>
      <c r="RHR53" s="42"/>
      <c r="RHS53" s="42"/>
      <c r="RHT53" s="42"/>
      <c r="RHU53" s="42"/>
      <c r="RHV53" s="42"/>
      <c r="RHW53" s="42"/>
      <c r="RHX53" s="42"/>
      <c r="RHY53" s="42"/>
      <c r="RHZ53" s="42"/>
      <c r="RIA53" s="42"/>
      <c r="RIB53" s="42"/>
      <c r="RIC53" s="42"/>
      <c r="RID53" s="42"/>
      <c r="RIE53" s="42"/>
      <c r="RIF53" s="42"/>
      <c r="RIG53" s="42"/>
      <c r="RIH53" s="42"/>
      <c r="RII53" s="42"/>
      <c r="RIJ53" s="42"/>
      <c r="RIK53" s="2"/>
      <c r="RIL53" s="15"/>
      <c r="RIM53" s="42"/>
      <c r="RIN53" s="2"/>
      <c r="RIO53" s="2"/>
      <c r="RIP53" s="2"/>
      <c r="RIQ53" s="2"/>
      <c r="RIR53" s="42"/>
      <c r="RIS53" s="42"/>
      <c r="RIT53" s="42"/>
      <c r="RIU53" s="42"/>
      <c r="RIV53" s="42"/>
      <c r="RIW53" s="42"/>
      <c r="RIX53" s="42"/>
      <c r="RIY53" s="42"/>
      <c r="RIZ53" s="42"/>
      <c r="RJA53" s="42"/>
      <c r="RJB53" s="42"/>
      <c r="RJC53" s="42"/>
      <c r="RJD53" s="42"/>
      <c r="RJE53" s="42"/>
      <c r="RJF53" s="42"/>
      <c r="RJG53" s="42"/>
      <c r="RJH53" s="42"/>
      <c r="RJI53" s="42"/>
      <c r="RJJ53" s="42"/>
      <c r="RJK53" s="42"/>
      <c r="RJL53" s="42"/>
      <c r="RJM53" s="42"/>
      <c r="RJN53" s="42"/>
      <c r="RJO53" s="2"/>
      <c r="RJP53" s="15"/>
      <c r="RJQ53" s="42"/>
      <c r="RJR53" s="2"/>
      <c r="RJS53" s="2"/>
      <c r="RJT53" s="2"/>
      <c r="RJU53" s="2"/>
      <c r="RJV53" s="42"/>
      <c r="RJW53" s="42"/>
      <c r="RJX53" s="42"/>
      <c r="RJY53" s="42"/>
      <c r="RJZ53" s="42"/>
      <c r="RKA53" s="42"/>
      <c r="RKB53" s="42"/>
      <c r="RKC53" s="42"/>
      <c r="RKD53" s="42"/>
      <c r="RKE53" s="42"/>
      <c r="RKF53" s="42"/>
      <c r="RKG53" s="42"/>
      <c r="RKH53" s="42"/>
      <c r="RKI53" s="42"/>
      <c r="RKJ53" s="42"/>
      <c r="RKK53" s="42"/>
      <c r="RKL53" s="42"/>
      <c r="RKM53" s="42"/>
      <c r="RKN53" s="42"/>
      <c r="RKO53" s="42"/>
      <c r="RKP53" s="42"/>
      <c r="RKQ53" s="42"/>
      <c r="RKR53" s="42"/>
      <c r="RKS53" s="2"/>
      <c r="RKT53" s="15"/>
      <c r="RKU53" s="42"/>
      <c r="RKV53" s="2"/>
      <c r="RKW53" s="2"/>
      <c r="RKX53" s="2"/>
      <c r="RKY53" s="2"/>
      <c r="RKZ53" s="42"/>
      <c r="RLA53" s="42"/>
      <c r="RLB53" s="42"/>
      <c r="RLC53" s="42"/>
      <c r="RLD53" s="42"/>
      <c r="RLE53" s="42"/>
      <c r="RLF53" s="42"/>
      <c r="RLG53" s="42"/>
      <c r="RLH53" s="42"/>
      <c r="RLI53" s="42"/>
      <c r="RLJ53" s="42"/>
      <c r="RLK53" s="42"/>
      <c r="RLL53" s="42"/>
      <c r="RLM53" s="42"/>
      <c r="RLN53" s="42"/>
      <c r="RLO53" s="42"/>
      <c r="RLP53" s="42"/>
      <c r="RLQ53" s="42"/>
      <c r="RLR53" s="42"/>
      <c r="RLS53" s="42"/>
      <c r="RLT53" s="42"/>
      <c r="RLU53" s="42"/>
      <c r="RLV53" s="42"/>
      <c r="RLW53" s="2"/>
      <c r="RLX53" s="15"/>
      <c r="RLY53" s="42"/>
      <c r="RLZ53" s="2"/>
      <c r="RMA53" s="2"/>
      <c r="RMB53" s="2"/>
      <c r="RMC53" s="2"/>
      <c r="RMD53" s="42"/>
      <c r="RME53" s="42"/>
      <c r="RMF53" s="42"/>
      <c r="RMG53" s="42"/>
      <c r="RMH53" s="42"/>
      <c r="RMI53" s="42"/>
      <c r="RMJ53" s="42"/>
      <c r="RMK53" s="42"/>
      <c r="RML53" s="42"/>
      <c r="RMM53" s="42"/>
      <c r="RMN53" s="42"/>
      <c r="RMO53" s="42"/>
      <c r="RMP53" s="42"/>
      <c r="RMQ53" s="42"/>
      <c r="RMR53" s="42"/>
      <c r="RMS53" s="42"/>
      <c r="RMT53" s="42"/>
      <c r="RMU53" s="42"/>
      <c r="RMV53" s="42"/>
      <c r="RMW53" s="42"/>
      <c r="RMX53" s="42"/>
      <c r="RMY53" s="42"/>
      <c r="RMZ53" s="42"/>
      <c r="RNA53" s="2"/>
      <c r="RNB53" s="15"/>
      <c r="RNC53" s="42"/>
      <c r="RND53" s="2"/>
      <c r="RNE53" s="2"/>
      <c r="RNF53" s="2"/>
      <c r="RNG53" s="2"/>
      <c r="RNH53" s="42"/>
      <c r="RNI53" s="42"/>
      <c r="RNJ53" s="42"/>
      <c r="RNK53" s="42"/>
      <c r="RNL53" s="42"/>
      <c r="RNM53" s="42"/>
      <c r="RNN53" s="42"/>
      <c r="RNO53" s="42"/>
      <c r="RNP53" s="42"/>
      <c r="RNQ53" s="42"/>
      <c r="RNR53" s="42"/>
      <c r="RNS53" s="42"/>
      <c r="RNT53" s="42"/>
      <c r="RNU53" s="42"/>
      <c r="RNV53" s="42"/>
      <c r="RNW53" s="42"/>
      <c r="RNX53" s="42"/>
      <c r="RNY53" s="42"/>
      <c r="RNZ53" s="42"/>
      <c r="ROA53" s="42"/>
      <c r="ROB53" s="42"/>
      <c r="ROC53" s="42"/>
      <c r="ROD53" s="42"/>
      <c r="ROE53" s="2"/>
      <c r="ROF53" s="15"/>
      <c r="ROG53" s="42"/>
      <c r="ROH53" s="2"/>
      <c r="ROI53" s="2"/>
      <c r="ROJ53" s="2"/>
      <c r="ROK53" s="2"/>
      <c r="ROL53" s="42"/>
      <c r="ROM53" s="42"/>
      <c r="RON53" s="42"/>
      <c r="ROO53" s="42"/>
      <c r="ROP53" s="42"/>
      <c r="ROQ53" s="42"/>
      <c r="ROR53" s="42"/>
      <c r="ROS53" s="42"/>
      <c r="ROT53" s="42"/>
      <c r="ROU53" s="42"/>
      <c r="ROV53" s="42"/>
      <c r="ROW53" s="42"/>
      <c r="ROX53" s="42"/>
      <c r="ROY53" s="42"/>
      <c r="ROZ53" s="42"/>
      <c r="RPA53" s="42"/>
      <c r="RPB53" s="42"/>
      <c r="RPC53" s="42"/>
      <c r="RPD53" s="42"/>
      <c r="RPE53" s="42"/>
      <c r="RPF53" s="42"/>
      <c r="RPG53" s="42"/>
      <c r="RPH53" s="42"/>
      <c r="RPI53" s="2"/>
      <c r="RPJ53" s="15"/>
      <c r="RPK53" s="42"/>
      <c r="RPL53" s="2"/>
      <c r="RPM53" s="2"/>
      <c r="RPN53" s="2"/>
      <c r="RPO53" s="2"/>
      <c r="RPP53" s="42"/>
      <c r="RPQ53" s="42"/>
      <c r="RPR53" s="42"/>
      <c r="RPS53" s="42"/>
      <c r="RPT53" s="42"/>
      <c r="RPU53" s="42"/>
      <c r="RPV53" s="42"/>
      <c r="RPW53" s="42"/>
      <c r="RPX53" s="42"/>
      <c r="RPY53" s="42"/>
      <c r="RPZ53" s="42"/>
      <c r="RQA53" s="42"/>
      <c r="RQB53" s="42"/>
      <c r="RQC53" s="42"/>
      <c r="RQD53" s="42"/>
      <c r="RQE53" s="42"/>
      <c r="RQF53" s="42"/>
      <c r="RQG53" s="42"/>
      <c r="RQH53" s="42"/>
      <c r="RQI53" s="42"/>
      <c r="RQJ53" s="42"/>
      <c r="RQK53" s="42"/>
      <c r="RQL53" s="42"/>
      <c r="RQM53" s="2"/>
      <c r="RQN53" s="15"/>
      <c r="RQO53" s="42"/>
      <c r="RQP53" s="2"/>
      <c r="RQQ53" s="2"/>
      <c r="RQR53" s="2"/>
      <c r="RQS53" s="2"/>
      <c r="RQT53" s="42"/>
      <c r="RQU53" s="42"/>
      <c r="RQV53" s="42"/>
      <c r="RQW53" s="42"/>
      <c r="RQX53" s="42"/>
      <c r="RQY53" s="42"/>
      <c r="RQZ53" s="42"/>
      <c r="RRA53" s="42"/>
      <c r="RRB53" s="42"/>
      <c r="RRC53" s="42"/>
      <c r="RRD53" s="42"/>
      <c r="RRE53" s="42"/>
      <c r="RRF53" s="42"/>
      <c r="RRG53" s="42"/>
      <c r="RRH53" s="42"/>
      <c r="RRI53" s="42"/>
      <c r="RRJ53" s="42"/>
      <c r="RRK53" s="42"/>
      <c r="RRL53" s="42"/>
      <c r="RRM53" s="42"/>
      <c r="RRN53" s="42"/>
      <c r="RRO53" s="42"/>
      <c r="RRP53" s="42"/>
      <c r="RRQ53" s="2"/>
      <c r="RRR53" s="15"/>
      <c r="RRS53" s="42"/>
      <c r="RRT53" s="2"/>
      <c r="RRU53" s="2"/>
      <c r="RRV53" s="2"/>
      <c r="RRW53" s="2"/>
      <c r="RRX53" s="42"/>
      <c r="RRY53" s="42"/>
      <c r="RRZ53" s="42"/>
      <c r="RSA53" s="42"/>
      <c r="RSB53" s="42"/>
      <c r="RSC53" s="42"/>
      <c r="RSD53" s="42"/>
      <c r="RSE53" s="42"/>
      <c r="RSF53" s="42"/>
      <c r="RSG53" s="42"/>
      <c r="RSH53" s="42"/>
      <c r="RSI53" s="42"/>
      <c r="RSJ53" s="42"/>
      <c r="RSK53" s="42"/>
      <c r="RSL53" s="42"/>
      <c r="RSM53" s="42"/>
      <c r="RSN53" s="42"/>
      <c r="RSO53" s="42"/>
      <c r="RSP53" s="42"/>
      <c r="RSQ53" s="42"/>
      <c r="RSR53" s="42"/>
      <c r="RSS53" s="42"/>
      <c r="RST53" s="42"/>
      <c r="RSU53" s="2"/>
      <c r="RSV53" s="15"/>
      <c r="RSW53" s="42"/>
      <c r="RSX53" s="2"/>
      <c r="RSY53" s="2"/>
      <c r="RSZ53" s="2"/>
      <c r="RTA53" s="2"/>
      <c r="RTB53" s="42"/>
      <c r="RTC53" s="42"/>
      <c r="RTD53" s="42"/>
      <c r="RTE53" s="42"/>
      <c r="RTF53" s="42"/>
      <c r="RTG53" s="42"/>
      <c r="RTH53" s="42"/>
      <c r="RTI53" s="42"/>
      <c r="RTJ53" s="42"/>
      <c r="RTK53" s="42"/>
      <c r="RTL53" s="42"/>
      <c r="RTM53" s="42"/>
      <c r="RTN53" s="42"/>
      <c r="RTO53" s="42"/>
      <c r="RTP53" s="42"/>
      <c r="RTQ53" s="42"/>
      <c r="RTR53" s="42"/>
      <c r="RTS53" s="42"/>
      <c r="RTT53" s="42"/>
      <c r="RTU53" s="42"/>
      <c r="RTV53" s="42"/>
      <c r="RTW53" s="42"/>
      <c r="RTX53" s="42"/>
      <c r="RTY53" s="2"/>
      <c r="RTZ53" s="15"/>
      <c r="RUA53" s="42"/>
      <c r="RUB53" s="2"/>
      <c r="RUC53" s="2"/>
      <c r="RUD53" s="2"/>
      <c r="RUE53" s="2"/>
      <c r="RUF53" s="42"/>
      <c r="RUG53" s="42"/>
      <c r="RUH53" s="42"/>
      <c r="RUI53" s="42"/>
      <c r="RUJ53" s="42"/>
      <c r="RUK53" s="42"/>
      <c r="RUL53" s="42"/>
      <c r="RUM53" s="42"/>
      <c r="RUN53" s="42"/>
      <c r="RUO53" s="42"/>
      <c r="RUP53" s="42"/>
      <c r="RUQ53" s="42"/>
      <c r="RUR53" s="42"/>
      <c r="RUS53" s="42"/>
      <c r="RUT53" s="42"/>
      <c r="RUU53" s="42"/>
      <c r="RUV53" s="42"/>
      <c r="RUW53" s="42"/>
      <c r="RUX53" s="42"/>
      <c r="RUY53" s="42"/>
      <c r="RUZ53" s="42"/>
      <c r="RVA53" s="42"/>
      <c r="RVB53" s="42"/>
      <c r="RVC53" s="2"/>
      <c r="RVD53" s="15"/>
      <c r="RVE53" s="42"/>
      <c r="RVF53" s="2"/>
      <c r="RVG53" s="2"/>
      <c r="RVH53" s="2"/>
      <c r="RVI53" s="2"/>
      <c r="RVJ53" s="42"/>
      <c r="RVK53" s="42"/>
      <c r="RVL53" s="42"/>
      <c r="RVM53" s="42"/>
      <c r="RVN53" s="42"/>
      <c r="RVO53" s="42"/>
      <c r="RVP53" s="42"/>
      <c r="RVQ53" s="42"/>
      <c r="RVR53" s="42"/>
      <c r="RVS53" s="42"/>
      <c r="RVT53" s="42"/>
      <c r="RVU53" s="42"/>
      <c r="RVV53" s="42"/>
      <c r="RVW53" s="42"/>
      <c r="RVX53" s="42"/>
      <c r="RVY53" s="42"/>
      <c r="RVZ53" s="42"/>
      <c r="RWA53" s="42"/>
      <c r="RWB53" s="42"/>
      <c r="RWC53" s="42"/>
      <c r="RWD53" s="42"/>
      <c r="RWE53" s="42"/>
      <c r="RWF53" s="42"/>
      <c r="RWG53" s="2"/>
      <c r="RWH53" s="15"/>
      <c r="RWI53" s="42"/>
      <c r="RWJ53" s="2"/>
      <c r="RWK53" s="2"/>
      <c r="RWL53" s="2"/>
      <c r="RWM53" s="2"/>
      <c r="RWN53" s="42"/>
      <c r="RWO53" s="42"/>
      <c r="RWP53" s="42"/>
      <c r="RWQ53" s="42"/>
      <c r="RWR53" s="42"/>
      <c r="RWS53" s="42"/>
      <c r="RWT53" s="42"/>
      <c r="RWU53" s="42"/>
      <c r="RWV53" s="42"/>
      <c r="RWW53" s="42"/>
      <c r="RWX53" s="42"/>
      <c r="RWY53" s="42"/>
      <c r="RWZ53" s="42"/>
      <c r="RXA53" s="42"/>
      <c r="RXB53" s="42"/>
      <c r="RXC53" s="42"/>
      <c r="RXD53" s="42"/>
      <c r="RXE53" s="42"/>
      <c r="RXF53" s="42"/>
      <c r="RXG53" s="42"/>
      <c r="RXH53" s="42"/>
      <c r="RXI53" s="42"/>
      <c r="RXJ53" s="42"/>
      <c r="RXK53" s="2"/>
      <c r="RXL53" s="15"/>
      <c r="RXM53" s="42"/>
      <c r="RXN53" s="2"/>
      <c r="RXO53" s="2"/>
      <c r="RXP53" s="2"/>
      <c r="RXQ53" s="2"/>
      <c r="RXR53" s="42"/>
      <c r="RXS53" s="42"/>
      <c r="RXT53" s="42"/>
      <c r="RXU53" s="42"/>
      <c r="RXV53" s="42"/>
      <c r="RXW53" s="42"/>
      <c r="RXX53" s="42"/>
      <c r="RXY53" s="42"/>
      <c r="RXZ53" s="42"/>
      <c r="RYA53" s="42"/>
      <c r="RYB53" s="42"/>
      <c r="RYC53" s="42"/>
      <c r="RYD53" s="42"/>
      <c r="RYE53" s="42"/>
      <c r="RYF53" s="42"/>
      <c r="RYG53" s="42"/>
      <c r="RYH53" s="42"/>
      <c r="RYI53" s="42"/>
      <c r="RYJ53" s="42"/>
      <c r="RYK53" s="42"/>
      <c r="RYL53" s="42"/>
      <c r="RYM53" s="42"/>
      <c r="RYN53" s="42"/>
      <c r="RYO53" s="2"/>
      <c r="RYP53" s="15"/>
      <c r="RYQ53" s="42"/>
      <c r="RYR53" s="2"/>
      <c r="RYS53" s="2"/>
      <c r="RYT53" s="2"/>
      <c r="RYU53" s="2"/>
      <c r="RYV53" s="42"/>
      <c r="RYW53" s="42"/>
      <c r="RYX53" s="42"/>
      <c r="RYY53" s="42"/>
      <c r="RYZ53" s="42"/>
      <c r="RZA53" s="42"/>
      <c r="RZB53" s="42"/>
      <c r="RZC53" s="42"/>
      <c r="RZD53" s="42"/>
      <c r="RZE53" s="42"/>
      <c r="RZF53" s="42"/>
      <c r="RZG53" s="42"/>
      <c r="RZH53" s="42"/>
      <c r="RZI53" s="42"/>
      <c r="RZJ53" s="42"/>
      <c r="RZK53" s="42"/>
      <c r="RZL53" s="42"/>
      <c r="RZM53" s="42"/>
      <c r="RZN53" s="42"/>
      <c r="RZO53" s="42"/>
      <c r="RZP53" s="42"/>
      <c r="RZQ53" s="42"/>
      <c r="RZR53" s="42"/>
      <c r="RZS53" s="2"/>
      <c r="RZT53" s="15"/>
      <c r="RZU53" s="42"/>
      <c r="RZV53" s="2"/>
      <c r="RZW53" s="2"/>
      <c r="RZX53" s="2"/>
      <c r="RZY53" s="2"/>
      <c r="RZZ53" s="42"/>
      <c r="SAA53" s="42"/>
      <c r="SAB53" s="42"/>
      <c r="SAC53" s="42"/>
      <c r="SAD53" s="42"/>
      <c r="SAE53" s="42"/>
      <c r="SAF53" s="42"/>
      <c r="SAG53" s="42"/>
      <c r="SAH53" s="42"/>
      <c r="SAI53" s="42"/>
      <c r="SAJ53" s="42"/>
      <c r="SAK53" s="42"/>
      <c r="SAL53" s="42"/>
      <c r="SAM53" s="42"/>
      <c r="SAN53" s="42"/>
      <c r="SAO53" s="42"/>
      <c r="SAP53" s="42"/>
      <c r="SAQ53" s="42"/>
      <c r="SAR53" s="42"/>
      <c r="SAS53" s="42"/>
      <c r="SAT53" s="42"/>
      <c r="SAU53" s="42"/>
      <c r="SAV53" s="42"/>
      <c r="SAW53" s="2"/>
      <c r="SAX53" s="15"/>
      <c r="SAY53" s="42"/>
      <c r="SAZ53" s="2"/>
      <c r="SBA53" s="2"/>
      <c r="SBB53" s="2"/>
      <c r="SBC53" s="2"/>
      <c r="SBD53" s="42"/>
      <c r="SBE53" s="42"/>
      <c r="SBF53" s="42"/>
      <c r="SBG53" s="42"/>
      <c r="SBH53" s="42"/>
      <c r="SBI53" s="42"/>
      <c r="SBJ53" s="42"/>
      <c r="SBK53" s="42"/>
      <c r="SBL53" s="42"/>
      <c r="SBM53" s="42"/>
      <c r="SBN53" s="42"/>
      <c r="SBO53" s="42"/>
      <c r="SBP53" s="42"/>
      <c r="SBQ53" s="42"/>
      <c r="SBR53" s="42"/>
      <c r="SBS53" s="42"/>
      <c r="SBT53" s="42"/>
      <c r="SBU53" s="42"/>
      <c r="SBV53" s="42"/>
      <c r="SBW53" s="42"/>
      <c r="SBX53" s="42"/>
      <c r="SBY53" s="42"/>
      <c r="SBZ53" s="42"/>
      <c r="SCA53" s="2"/>
      <c r="SCB53" s="15"/>
      <c r="SCC53" s="42"/>
      <c r="SCD53" s="2"/>
      <c r="SCE53" s="2"/>
      <c r="SCF53" s="2"/>
      <c r="SCG53" s="2"/>
      <c r="SCH53" s="42"/>
      <c r="SCI53" s="42"/>
      <c r="SCJ53" s="42"/>
      <c r="SCK53" s="42"/>
      <c r="SCL53" s="42"/>
      <c r="SCM53" s="42"/>
      <c r="SCN53" s="42"/>
      <c r="SCO53" s="42"/>
      <c r="SCP53" s="42"/>
      <c r="SCQ53" s="42"/>
      <c r="SCR53" s="42"/>
      <c r="SCS53" s="42"/>
      <c r="SCT53" s="42"/>
      <c r="SCU53" s="42"/>
      <c r="SCV53" s="42"/>
      <c r="SCW53" s="42"/>
      <c r="SCX53" s="42"/>
      <c r="SCY53" s="42"/>
      <c r="SCZ53" s="42"/>
      <c r="SDA53" s="42"/>
      <c r="SDB53" s="42"/>
      <c r="SDC53" s="42"/>
      <c r="SDD53" s="42"/>
      <c r="SDE53" s="2"/>
      <c r="SDF53" s="15"/>
      <c r="SDG53" s="42"/>
      <c r="SDH53" s="2"/>
      <c r="SDI53" s="2"/>
      <c r="SDJ53" s="2"/>
      <c r="SDK53" s="2"/>
      <c r="SDL53" s="42"/>
      <c r="SDM53" s="42"/>
      <c r="SDN53" s="42"/>
      <c r="SDO53" s="42"/>
      <c r="SDP53" s="42"/>
      <c r="SDQ53" s="42"/>
      <c r="SDR53" s="42"/>
      <c r="SDS53" s="42"/>
      <c r="SDT53" s="42"/>
      <c r="SDU53" s="42"/>
      <c r="SDV53" s="42"/>
      <c r="SDW53" s="42"/>
      <c r="SDX53" s="42"/>
      <c r="SDY53" s="42"/>
      <c r="SDZ53" s="42"/>
      <c r="SEA53" s="42"/>
      <c r="SEB53" s="42"/>
      <c r="SEC53" s="42"/>
      <c r="SED53" s="42"/>
      <c r="SEE53" s="42"/>
      <c r="SEF53" s="42"/>
      <c r="SEG53" s="42"/>
      <c r="SEH53" s="42"/>
      <c r="SEI53" s="2"/>
      <c r="SEJ53" s="15"/>
      <c r="SEK53" s="42"/>
      <c r="SEL53" s="2"/>
      <c r="SEM53" s="2"/>
      <c r="SEN53" s="2"/>
      <c r="SEO53" s="2"/>
      <c r="SEP53" s="42"/>
      <c r="SEQ53" s="42"/>
      <c r="SER53" s="42"/>
      <c r="SES53" s="42"/>
      <c r="SET53" s="42"/>
      <c r="SEU53" s="42"/>
      <c r="SEV53" s="42"/>
      <c r="SEW53" s="42"/>
      <c r="SEX53" s="42"/>
      <c r="SEY53" s="42"/>
      <c r="SEZ53" s="42"/>
      <c r="SFA53" s="42"/>
      <c r="SFB53" s="42"/>
      <c r="SFC53" s="42"/>
      <c r="SFD53" s="42"/>
      <c r="SFE53" s="42"/>
      <c r="SFF53" s="42"/>
      <c r="SFG53" s="42"/>
      <c r="SFH53" s="42"/>
      <c r="SFI53" s="42"/>
      <c r="SFJ53" s="42"/>
      <c r="SFK53" s="42"/>
      <c r="SFL53" s="42"/>
      <c r="SFM53" s="2"/>
      <c r="SFN53" s="15"/>
      <c r="SFO53" s="42"/>
      <c r="SFP53" s="2"/>
      <c r="SFQ53" s="2"/>
      <c r="SFR53" s="2"/>
      <c r="SFS53" s="2"/>
      <c r="SFT53" s="42"/>
      <c r="SFU53" s="42"/>
      <c r="SFV53" s="42"/>
      <c r="SFW53" s="42"/>
      <c r="SFX53" s="42"/>
      <c r="SFY53" s="42"/>
      <c r="SFZ53" s="42"/>
      <c r="SGA53" s="42"/>
      <c r="SGB53" s="42"/>
      <c r="SGC53" s="42"/>
      <c r="SGD53" s="42"/>
      <c r="SGE53" s="42"/>
      <c r="SGF53" s="42"/>
      <c r="SGG53" s="42"/>
      <c r="SGH53" s="42"/>
      <c r="SGI53" s="42"/>
      <c r="SGJ53" s="42"/>
      <c r="SGK53" s="42"/>
      <c r="SGL53" s="42"/>
      <c r="SGM53" s="42"/>
      <c r="SGN53" s="42"/>
      <c r="SGO53" s="42"/>
      <c r="SGP53" s="42"/>
      <c r="SGQ53" s="2"/>
      <c r="SGR53" s="15"/>
      <c r="SGS53" s="42"/>
      <c r="SGT53" s="2"/>
      <c r="SGU53" s="2"/>
      <c r="SGV53" s="2"/>
      <c r="SGW53" s="2"/>
      <c r="SGX53" s="42"/>
      <c r="SGY53" s="42"/>
      <c r="SGZ53" s="42"/>
      <c r="SHA53" s="42"/>
      <c r="SHB53" s="42"/>
      <c r="SHC53" s="42"/>
      <c r="SHD53" s="42"/>
      <c r="SHE53" s="42"/>
      <c r="SHF53" s="42"/>
      <c r="SHG53" s="42"/>
      <c r="SHH53" s="42"/>
      <c r="SHI53" s="42"/>
      <c r="SHJ53" s="42"/>
      <c r="SHK53" s="42"/>
      <c r="SHL53" s="42"/>
      <c r="SHM53" s="42"/>
      <c r="SHN53" s="42"/>
      <c r="SHO53" s="42"/>
      <c r="SHP53" s="42"/>
      <c r="SHQ53" s="42"/>
      <c r="SHR53" s="42"/>
      <c r="SHS53" s="42"/>
      <c r="SHT53" s="42"/>
      <c r="SHU53" s="2"/>
      <c r="SHV53" s="15"/>
      <c r="SHW53" s="42"/>
      <c r="SHX53" s="2"/>
      <c r="SHY53" s="2"/>
      <c r="SHZ53" s="2"/>
      <c r="SIA53" s="2"/>
      <c r="SIB53" s="42"/>
      <c r="SIC53" s="42"/>
      <c r="SID53" s="42"/>
      <c r="SIE53" s="42"/>
      <c r="SIF53" s="42"/>
      <c r="SIG53" s="42"/>
      <c r="SIH53" s="42"/>
      <c r="SII53" s="42"/>
      <c r="SIJ53" s="42"/>
      <c r="SIK53" s="42"/>
      <c r="SIL53" s="42"/>
      <c r="SIM53" s="42"/>
      <c r="SIN53" s="42"/>
      <c r="SIO53" s="42"/>
      <c r="SIP53" s="42"/>
      <c r="SIQ53" s="42"/>
      <c r="SIR53" s="42"/>
      <c r="SIS53" s="42"/>
      <c r="SIT53" s="42"/>
      <c r="SIU53" s="42"/>
      <c r="SIV53" s="42"/>
      <c r="SIW53" s="42"/>
      <c r="SIX53" s="42"/>
      <c r="SIY53" s="2"/>
      <c r="SIZ53" s="15"/>
      <c r="SJA53" s="42"/>
      <c r="SJB53" s="2"/>
      <c r="SJC53" s="2"/>
      <c r="SJD53" s="2"/>
      <c r="SJE53" s="2"/>
      <c r="SJF53" s="42"/>
      <c r="SJG53" s="42"/>
      <c r="SJH53" s="42"/>
      <c r="SJI53" s="42"/>
      <c r="SJJ53" s="42"/>
      <c r="SJK53" s="42"/>
      <c r="SJL53" s="42"/>
      <c r="SJM53" s="42"/>
      <c r="SJN53" s="42"/>
      <c r="SJO53" s="42"/>
      <c r="SJP53" s="42"/>
      <c r="SJQ53" s="42"/>
      <c r="SJR53" s="42"/>
      <c r="SJS53" s="42"/>
      <c r="SJT53" s="42"/>
      <c r="SJU53" s="42"/>
      <c r="SJV53" s="42"/>
      <c r="SJW53" s="42"/>
      <c r="SJX53" s="42"/>
      <c r="SJY53" s="42"/>
      <c r="SJZ53" s="42"/>
      <c r="SKA53" s="42"/>
      <c r="SKB53" s="42"/>
      <c r="SKC53" s="2"/>
      <c r="SKD53" s="15"/>
      <c r="SKE53" s="42"/>
      <c r="SKF53" s="2"/>
      <c r="SKG53" s="2"/>
      <c r="SKH53" s="2"/>
      <c r="SKI53" s="2"/>
      <c r="SKJ53" s="42"/>
      <c r="SKK53" s="42"/>
      <c r="SKL53" s="42"/>
      <c r="SKM53" s="42"/>
      <c r="SKN53" s="42"/>
      <c r="SKO53" s="42"/>
      <c r="SKP53" s="42"/>
      <c r="SKQ53" s="42"/>
      <c r="SKR53" s="42"/>
      <c r="SKS53" s="42"/>
      <c r="SKT53" s="42"/>
      <c r="SKU53" s="42"/>
      <c r="SKV53" s="42"/>
      <c r="SKW53" s="42"/>
      <c r="SKX53" s="42"/>
      <c r="SKY53" s="42"/>
      <c r="SKZ53" s="42"/>
      <c r="SLA53" s="42"/>
      <c r="SLB53" s="42"/>
      <c r="SLC53" s="42"/>
      <c r="SLD53" s="42"/>
      <c r="SLE53" s="42"/>
      <c r="SLF53" s="42"/>
      <c r="SLG53" s="2"/>
      <c r="SLH53" s="15"/>
      <c r="SLI53" s="42"/>
      <c r="SLJ53" s="2"/>
      <c r="SLK53" s="2"/>
      <c r="SLL53" s="2"/>
      <c r="SLM53" s="2"/>
      <c r="SLN53" s="42"/>
      <c r="SLO53" s="42"/>
      <c r="SLP53" s="42"/>
      <c r="SLQ53" s="42"/>
      <c r="SLR53" s="42"/>
      <c r="SLS53" s="42"/>
      <c r="SLT53" s="42"/>
      <c r="SLU53" s="42"/>
      <c r="SLV53" s="42"/>
      <c r="SLW53" s="42"/>
      <c r="SLX53" s="42"/>
      <c r="SLY53" s="42"/>
      <c r="SLZ53" s="42"/>
      <c r="SMA53" s="42"/>
      <c r="SMB53" s="42"/>
      <c r="SMC53" s="42"/>
      <c r="SMD53" s="42"/>
      <c r="SME53" s="42"/>
      <c r="SMF53" s="42"/>
      <c r="SMG53" s="42"/>
      <c r="SMH53" s="42"/>
      <c r="SMI53" s="42"/>
      <c r="SMJ53" s="42"/>
      <c r="SMK53" s="2"/>
      <c r="SML53" s="15"/>
      <c r="SMM53" s="42"/>
      <c r="SMN53" s="2"/>
      <c r="SMO53" s="2"/>
      <c r="SMP53" s="2"/>
      <c r="SMQ53" s="2"/>
      <c r="SMR53" s="42"/>
      <c r="SMS53" s="42"/>
      <c r="SMT53" s="42"/>
      <c r="SMU53" s="42"/>
      <c r="SMV53" s="42"/>
      <c r="SMW53" s="42"/>
      <c r="SMX53" s="42"/>
      <c r="SMY53" s="42"/>
      <c r="SMZ53" s="42"/>
      <c r="SNA53" s="42"/>
      <c r="SNB53" s="42"/>
      <c r="SNC53" s="42"/>
      <c r="SND53" s="42"/>
      <c r="SNE53" s="42"/>
      <c r="SNF53" s="42"/>
      <c r="SNG53" s="42"/>
      <c r="SNH53" s="42"/>
      <c r="SNI53" s="42"/>
      <c r="SNJ53" s="42"/>
      <c r="SNK53" s="42"/>
      <c r="SNL53" s="42"/>
      <c r="SNM53" s="42"/>
      <c r="SNN53" s="42"/>
      <c r="SNO53" s="2"/>
      <c r="SNP53" s="15"/>
      <c r="SNQ53" s="42"/>
      <c r="SNR53" s="2"/>
      <c r="SNS53" s="2"/>
      <c r="SNT53" s="2"/>
      <c r="SNU53" s="2"/>
      <c r="SNV53" s="42"/>
      <c r="SNW53" s="42"/>
      <c r="SNX53" s="42"/>
      <c r="SNY53" s="42"/>
      <c r="SNZ53" s="42"/>
      <c r="SOA53" s="42"/>
      <c r="SOB53" s="42"/>
      <c r="SOC53" s="42"/>
      <c r="SOD53" s="42"/>
      <c r="SOE53" s="42"/>
      <c r="SOF53" s="42"/>
      <c r="SOG53" s="42"/>
      <c r="SOH53" s="42"/>
      <c r="SOI53" s="42"/>
      <c r="SOJ53" s="42"/>
      <c r="SOK53" s="42"/>
      <c r="SOL53" s="42"/>
      <c r="SOM53" s="42"/>
      <c r="SON53" s="42"/>
      <c r="SOO53" s="42"/>
      <c r="SOP53" s="42"/>
      <c r="SOQ53" s="42"/>
      <c r="SOR53" s="42"/>
      <c r="SOS53" s="2"/>
      <c r="SOT53" s="15"/>
      <c r="SOU53" s="42"/>
      <c r="SOV53" s="2"/>
      <c r="SOW53" s="2"/>
      <c r="SOX53" s="2"/>
      <c r="SOY53" s="2"/>
      <c r="SOZ53" s="42"/>
      <c r="SPA53" s="42"/>
      <c r="SPB53" s="42"/>
      <c r="SPC53" s="42"/>
      <c r="SPD53" s="42"/>
      <c r="SPE53" s="42"/>
      <c r="SPF53" s="42"/>
      <c r="SPG53" s="42"/>
      <c r="SPH53" s="42"/>
      <c r="SPI53" s="42"/>
      <c r="SPJ53" s="42"/>
      <c r="SPK53" s="42"/>
      <c r="SPL53" s="42"/>
      <c r="SPM53" s="42"/>
      <c r="SPN53" s="42"/>
      <c r="SPO53" s="42"/>
      <c r="SPP53" s="42"/>
      <c r="SPQ53" s="42"/>
      <c r="SPR53" s="42"/>
      <c r="SPS53" s="42"/>
      <c r="SPT53" s="42"/>
      <c r="SPU53" s="42"/>
      <c r="SPV53" s="42"/>
      <c r="SPW53" s="2"/>
      <c r="SPX53" s="15"/>
      <c r="SPY53" s="42"/>
      <c r="SPZ53" s="2"/>
      <c r="SQA53" s="2"/>
      <c r="SQB53" s="2"/>
      <c r="SQC53" s="2"/>
      <c r="SQD53" s="42"/>
      <c r="SQE53" s="42"/>
      <c r="SQF53" s="42"/>
      <c r="SQG53" s="42"/>
      <c r="SQH53" s="42"/>
      <c r="SQI53" s="42"/>
      <c r="SQJ53" s="42"/>
      <c r="SQK53" s="42"/>
      <c r="SQL53" s="42"/>
      <c r="SQM53" s="42"/>
      <c r="SQN53" s="42"/>
      <c r="SQO53" s="42"/>
      <c r="SQP53" s="42"/>
      <c r="SQQ53" s="42"/>
      <c r="SQR53" s="42"/>
      <c r="SQS53" s="42"/>
      <c r="SQT53" s="42"/>
      <c r="SQU53" s="42"/>
      <c r="SQV53" s="42"/>
      <c r="SQW53" s="42"/>
      <c r="SQX53" s="42"/>
      <c r="SQY53" s="42"/>
      <c r="SQZ53" s="42"/>
      <c r="SRA53" s="2"/>
      <c r="SRB53" s="15"/>
      <c r="SRC53" s="42"/>
      <c r="SRD53" s="2"/>
      <c r="SRE53" s="2"/>
      <c r="SRF53" s="2"/>
      <c r="SRG53" s="2"/>
      <c r="SRH53" s="42"/>
      <c r="SRI53" s="42"/>
      <c r="SRJ53" s="42"/>
      <c r="SRK53" s="42"/>
      <c r="SRL53" s="42"/>
      <c r="SRM53" s="42"/>
      <c r="SRN53" s="42"/>
      <c r="SRO53" s="42"/>
      <c r="SRP53" s="42"/>
      <c r="SRQ53" s="42"/>
      <c r="SRR53" s="42"/>
      <c r="SRS53" s="42"/>
      <c r="SRT53" s="42"/>
      <c r="SRU53" s="42"/>
      <c r="SRV53" s="42"/>
      <c r="SRW53" s="42"/>
      <c r="SRX53" s="42"/>
      <c r="SRY53" s="42"/>
      <c r="SRZ53" s="42"/>
      <c r="SSA53" s="42"/>
      <c r="SSB53" s="42"/>
      <c r="SSC53" s="42"/>
      <c r="SSD53" s="42"/>
      <c r="SSE53" s="2"/>
      <c r="SSF53" s="15"/>
      <c r="SSG53" s="42"/>
      <c r="SSH53" s="2"/>
      <c r="SSI53" s="2"/>
      <c r="SSJ53" s="2"/>
      <c r="SSK53" s="2"/>
      <c r="SSL53" s="42"/>
      <c r="SSM53" s="42"/>
      <c r="SSN53" s="42"/>
      <c r="SSO53" s="42"/>
      <c r="SSP53" s="42"/>
      <c r="SSQ53" s="42"/>
      <c r="SSR53" s="42"/>
      <c r="SSS53" s="42"/>
      <c r="SST53" s="42"/>
      <c r="SSU53" s="42"/>
      <c r="SSV53" s="42"/>
      <c r="SSW53" s="42"/>
      <c r="SSX53" s="42"/>
      <c r="SSY53" s="42"/>
      <c r="SSZ53" s="42"/>
      <c r="STA53" s="42"/>
      <c r="STB53" s="42"/>
      <c r="STC53" s="42"/>
      <c r="STD53" s="42"/>
      <c r="STE53" s="42"/>
      <c r="STF53" s="42"/>
      <c r="STG53" s="42"/>
      <c r="STH53" s="42"/>
      <c r="STI53" s="2"/>
      <c r="STJ53" s="15"/>
      <c r="STK53" s="42"/>
      <c r="STL53" s="2"/>
      <c r="STM53" s="2"/>
      <c r="STN53" s="2"/>
      <c r="STO53" s="2"/>
      <c r="STP53" s="42"/>
      <c r="STQ53" s="42"/>
      <c r="STR53" s="42"/>
      <c r="STS53" s="42"/>
      <c r="STT53" s="42"/>
      <c r="STU53" s="42"/>
      <c r="STV53" s="42"/>
      <c r="STW53" s="42"/>
      <c r="STX53" s="42"/>
      <c r="STY53" s="42"/>
      <c r="STZ53" s="42"/>
      <c r="SUA53" s="42"/>
      <c r="SUB53" s="42"/>
      <c r="SUC53" s="42"/>
      <c r="SUD53" s="42"/>
      <c r="SUE53" s="42"/>
      <c r="SUF53" s="42"/>
      <c r="SUG53" s="42"/>
      <c r="SUH53" s="42"/>
      <c r="SUI53" s="42"/>
      <c r="SUJ53" s="42"/>
      <c r="SUK53" s="42"/>
      <c r="SUL53" s="42"/>
      <c r="SUM53" s="2"/>
      <c r="SUN53" s="15"/>
      <c r="SUO53" s="42"/>
      <c r="SUP53" s="2"/>
      <c r="SUQ53" s="2"/>
      <c r="SUR53" s="2"/>
      <c r="SUS53" s="2"/>
      <c r="SUT53" s="42"/>
      <c r="SUU53" s="42"/>
      <c r="SUV53" s="42"/>
      <c r="SUW53" s="42"/>
      <c r="SUX53" s="42"/>
      <c r="SUY53" s="42"/>
      <c r="SUZ53" s="42"/>
      <c r="SVA53" s="42"/>
      <c r="SVB53" s="42"/>
      <c r="SVC53" s="42"/>
      <c r="SVD53" s="42"/>
      <c r="SVE53" s="42"/>
      <c r="SVF53" s="42"/>
      <c r="SVG53" s="42"/>
      <c r="SVH53" s="42"/>
      <c r="SVI53" s="42"/>
      <c r="SVJ53" s="42"/>
      <c r="SVK53" s="42"/>
      <c r="SVL53" s="42"/>
      <c r="SVM53" s="42"/>
      <c r="SVN53" s="42"/>
      <c r="SVO53" s="42"/>
      <c r="SVP53" s="42"/>
      <c r="SVQ53" s="2"/>
      <c r="SVR53" s="15"/>
      <c r="SVS53" s="42"/>
      <c r="SVT53" s="2"/>
      <c r="SVU53" s="2"/>
      <c r="SVV53" s="2"/>
      <c r="SVW53" s="2"/>
      <c r="SVX53" s="42"/>
      <c r="SVY53" s="42"/>
      <c r="SVZ53" s="42"/>
      <c r="SWA53" s="42"/>
      <c r="SWB53" s="42"/>
      <c r="SWC53" s="42"/>
      <c r="SWD53" s="42"/>
      <c r="SWE53" s="42"/>
      <c r="SWF53" s="42"/>
      <c r="SWG53" s="42"/>
      <c r="SWH53" s="42"/>
      <c r="SWI53" s="42"/>
      <c r="SWJ53" s="42"/>
      <c r="SWK53" s="42"/>
      <c r="SWL53" s="42"/>
      <c r="SWM53" s="42"/>
      <c r="SWN53" s="42"/>
      <c r="SWO53" s="42"/>
      <c r="SWP53" s="42"/>
      <c r="SWQ53" s="42"/>
      <c r="SWR53" s="42"/>
      <c r="SWS53" s="42"/>
      <c r="SWT53" s="42"/>
      <c r="SWU53" s="2"/>
      <c r="SWV53" s="15"/>
      <c r="SWW53" s="42"/>
      <c r="SWX53" s="2"/>
      <c r="SWY53" s="2"/>
      <c r="SWZ53" s="2"/>
      <c r="SXA53" s="2"/>
      <c r="SXB53" s="42"/>
      <c r="SXC53" s="42"/>
      <c r="SXD53" s="42"/>
      <c r="SXE53" s="42"/>
      <c r="SXF53" s="42"/>
      <c r="SXG53" s="42"/>
      <c r="SXH53" s="42"/>
      <c r="SXI53" s="42"/>
      <c r="SXJ53" s="42"/>
      <c r="SXK53" s="42"/>
      <c r="SXL53" s="42"/>
      <c r="SXM53" s="42"/>
      <c r="SXN53" s="42"/>
      <c r="SXO53" s="42"/>
      <c r="SXP53" s="42"/>
      <c r="SXQ53" s="42"/>
      <c r="SXR53" s="42"/>
      <c r="SXS53" s="42"/>
      <c r="SXT53" s="42"/>
      <c r="SXU53" s="42"/>
      <c r="SXV53" s="42"/>
      <c r="SXW53" s="42"/>
      <c r="SXX53" s="42"/>
      <c r="SXY53" s="2"/>
      <c r="SXZ53" s="15"/>
      <c r="SYA53" s="42"/>
      <c r="SYB53" s="2"/>
      <c r="SYC53" s="2"/>
      <c r="SYD53" s="2"/>
      <c r="SYE53" s="2"/>
      <c r="SYF53" s="42"/>
      <c r="SYG53" s="42"/>
      <c r="SYH53" s="42"/>
      <c r="SYI53" s="42"/>
      <c r="SYJ53" s="42"/>
      <c r="SYK53" s="42"/>
      <c r="SYL53" s="42"/>
      <c r="SYM53" s="42"/>
      <c r="SYN53" s="42"/>
      <c r="SYO53" s="42"/>
      <c r="SYP53" s="42"/>
      <c r="SYQ53" s="42"/>
      <c r="SYR53" s="42"/>
      <c r="SYS53" s="42"/>
      <c r="SYT53" s="42"/>
      <c r="SYU53" s="42"/>
      <c r="SYV53" s="42"/>
      <c r="SYW53" s="42"/>
      <c r="SYX53" s="42"/>
      <c r="SYY53" s="42"/>
      <c r="SYZ53" s="42"/>
      <c r="SZA53" s="42"/>
      <c r="SZB53" s="42"/>
      <c r="SZC53" s="2"/>
      <c r="SZD53" s="15"/>
      <c r="SZE53" s="42"/>
      <c r="SZF53" s="2"/>
      <c r="SZG53" s="2"/>
      <c r="SZH53" s="2"/>
      <c r="SZI53" s="2"/>
      <c r="SZJ53" s="42"/>
      <c r="SZK53" s="42"/>
      <c r="SZL53" s="42"/>
      <c r="SZM53" s="42"/>
      <c r="SZN53" s="42"/>
      <c r="SZO53" s="42"/>
      <c r="SZP53" s="42"/>
      <c r="SZQ53" s="42"/>
      <c r="SZR53" s="42"/>
      <c r="SZS53" s="42"/>
      <c r="SZT53" s="42"/>
      <c r="SZU53" s="42"/>
      <c r="SZV53" s="42"/>
      <c r="SZW53" s="42"/>
      <c r="SZX53" s="42"/>
      <c r="SZY53" s="42"/>
      <c r="SZZ53" s="42"/>
      <c r="TAA53" s="42"/>
      <c r="TAB53" s="42"/>
      <c r="TAC53" s="42"/>
      <c r="TAD53" s="42"/>
      <c r="TAE53" s="42"/>
      <c r="TAF53" s="42"/>
      <c r="TAG53" s="2"/>
      <c r="TAH53" s="15"/>
      <c r="TAI53" s="42"/>
      <c r="TAJ53" s="2"/>
      <c r="TAK53" s="2"/>
      <c r="TAL53" s="2"/>
      <c r="TAM53" s="2"/>
      <c r="TAN53" s="42"/>
      <c r="TAO53" s="42"/>
      <c r="TAP53" s="42"/>
      <c r="TAQ53" s="42"/>
      <c r="TAR53" s="42"/>
      <c r="TAS53" s="42"/>
      <c r="TAT53" s="42"/>
      <c r="TAU53" s="42"/>
      <c r="TAV53" s="42"/>
      <c r="TAW53" s="42"/>
      <c r="TAX53" s="42"/>
      <c r="TAY53" s="42"/>
      <c r="TAZ53" s="42"/>
      <c r="TBA53" s="42"/>
      <c r="TBB53" s="42"/>
      <c r="TBC53" s="42"/>
      <c r="TBD53" s="42"/>
      <c r="TBE53" s="42"/>
      <c r="TBF53" s="42"/>
      <c r="TBG53" s="42"/>
      <c r="TBH53" s="42"/>
      <c r="TBI53" s="42"/>
      <c r="TBJ53" s="42"/>
      <c r="TBK53" s="2"/>
      <c r="TBL53" s="15"/>
      <c r="TBM53" s="42"/>
      <c r="TBN53" s="2"/>
      <c r="TBO53" s="2"/>
      <c r="TBP53" s="2"/>
      <c r="TBQ53" s="2"/>
      <c r="TBR53" s="42"/>
      <c r="TBS53" s="42"/>
      <c r="TBT53" s="42"/>
      <c r="TBU53" s="42"/>
      <c r="TBV53" s="42"/>
      <c r="TBW53" s="42"/>
      <c r="TBX53" s="42"/>
      <c r="TBY53" s="42"/>
      <c r="TBZ53" s="42"/>
      <c r="TCA53" s="42"/>
      <c r="TCB53" s="42"/>
      <c r="TCC53" s="42"/>
      <c r="TCD53" s="42"/>
      <c r="TCE53" s="42"/>
      <c r="TCF53" s="42"/>
      <c r="TCG53" s="42"/>
      <c r="TCH53" s="42"/>
      <c r="TCI53" s="42"/>
      <c r="TCJ53" s="42"/>
      <c r="TCK53" s="42"/>
      <c r="TCL53" s="42"/>
      <c r="TCM53" s="42"/>
      <c r="TCN53" s="42"/>
      <c r="TCO53" s="2"/>
      <c r="TCP53" s="15"/>
      <c r="TCQ53" s="42"/>
      <c r="TCR53" s="2"/>
      <c r="TCS53" s="2"/>
      <c r="TCT53" s="2"/>
      <c r="TCU53" s="2"/>
      <c r="TCV53" s="42"/>
      <c r="TCW53" s="42"/>
      <c r="TCX53" s="42"/>
      <c r="TCY53" s="42"/>
      <c r="TCZ53" s="42"/>
      <c r="TDA53" s="42"/>
      <c r="TDB53" s="42"/>
      <c r="TDC53" s="42"/>
      <c r="TDD53" s="42"/>
      <c r="TDE53" s="42"/>
      <c r="TDF53" s="42"/>
      <c r="TDG53" s="42"/>
      <c r="TDH53" s="42"/>
      <c r="TDI53" s="42"/>
      <c r="TDJ53" s="42"/>
      <c r="TDK53" s="42"/>
      <c r="TDL53" s="42"/>
      <c r="TDM53" s="42"/>
      <c r="TDN53" s="42"/>
      <c r="TDO53" s="42"/>
      <c r="TDP53" s="42"/>
      <c r="TDQ53" s="42"/>
      <c r="TDR53" s="42"/>
      <c r="TDS53" s="2"/>
      <c r="TDT53" s="15"/>
      <c r="TDU53" s="42"/>
      <c r="TDV53" s="2"/>
      <c r="TDW53" s="2"/>
      <c r="TDX53" s="2"/>
      <c r="TDY53" s="2"/>
      <c r="TDZ53" s="42"/>
      <c r="TEA53" s="42"/>
      <c r="TEB53" s="42"/>
      <c r="TEC53" s="42"/>
      <c r="TED53" s="42"/>
      <c r="TEE53" s="42"/>
      <c r="TEF53" s="42"/>
      <c r="TEG53" s="42"/>
      <c r="TEH53" s="42"/>
      <c r="TEI53" s="42"/>
      <c r="TEJ53" s="42"/>
      <c r="TEK53" s="42"/>
      <c r="TEL53" s="42"/>
      <c r="TEM53" s="42"/>
      <c r="TEN53" s="42"/>
      <c r="TEO53" s="42"/>
      <c r="TEP53" s="42"/>
      <c r="TEQ53" s="42"/>
      <c r="TER53" s="42"/>
      <c r="TES53" s="42"/>
      <c r="TET53" s="42"/>
      <c r="TEU53" s="42"/>
      <c r="TEV53" s="42"/>
      <c r="TEW53" s="2"/>
      <c r="TEX53" s="15"/>
      <c r="TEY53" s="42"/>
      <c r="TEZ53" s="2"/>
      <c r="TFA53" s="2"/>
      <c r="TFB53" s="2"/>
      <c r="TFC53" s="2"/>
      <c r="TFD53" s="42"/>
      <c r="TFE53" s="42"/>
      <c r="TFF53" s="42"/>
      <c r="TFG53" s="42"/>
      <c r="TFH53" s="42"/>
      <c r="TFI53" s="42"/>
      <c r="TFJ53" s="42"/>
      <c r="TFK53" s="42"/>
      <c r="TFL53" s="42"/>
      <c r="TFM53" s="42"/>
      <c r="TFN53" s="42"/>
      <c r="TFO53" s="42"/>
      <c r="TFP53" s="42"/>
      <c r="TFQ53" s="42"/>
      <c r="TFR53" s="42"/>
      <c r="TFS53" s="42"/>
      <c r="TFT53" s="42"/>
      <c r="TFU53" s="42"/>
      <c r="TFV53" s="42"/>
      <c r="TFW53" s="42"/>
      <c r="TFX53" s="42"/>
      <c r="TFY53" s="42"/>
      <c r="TFZ53" s="42"/>
      <c r="TGA53" s="2"/>
      <c r="TGB53" s="15"/>
      <c r="TGC53" s="42"/>
      <c r="TGD53" s="2"/>
      <c r="TGE53" s="2"/>
      <c r="TGF53" s="2"/>
      <c r="TGG53" s="2"/>
      <c r="TGH53" s="42"/>
      <c r="TGI53" s="42"/>
      <c r="TGJ53" s="42"/>
      <c r="TGK53" s="42"/>
      <c r="TGL53" s="42"/>
      <c r="TGM53" s="42"/>
      <c r="TGN53" s="42"/>
      <c r="TGO53" s="42"/>
      <c r="TGP53" s="42"/>
      <c r="TGQ53" s="42"/>
      <c r="TGR53" s="42"/>
      <c r="TGS53" s="42"/>
      <c r="TGT53" s="42"/>
      <c r="TGU53" s="42"/>
      <c r="TGV53" s="42"/>
      <c r="TGW53" s="42"/>
      <c r="TGX53" s="42"/>
      <c r="TGY53" s="42"/>
      <c r="TGZ53" s="42"/>
      <c r="THA53" s="42"/>
      <c r="THB53" s="42"/>
      <c r="THC53" s="42"/>
      <c r="THD53" s="42"/>
      <c r="THE53" s="2"/>
      <c r="THF53" s="15"/>
      <c r="THG53" s="42"/>
      <c r="THH53" s="2"/>
      <c r="THI53" s="2"/>
      <c r="THJ53" s="2"/>
      <c r="THK53" s="2"/>
      <c r="THL53" s="42"/>
      <c r="THM53" s="42"/>
      <c r="THN53" s="42"/>
      <c r="THO53" s="42"/>
      <c r="THP53" s="42"/>
      <c r="THQ53" s="42"/>
      <c r="THR53" s="42"/>
      <c r="THS53" s="42"/>
      <c r="THT53" s="42"/>
      <c r="THU53" s="42"/>
      <c r="THV53" s="42"/>
      <c r="THW53" s="42"/>
      <c r="THX53" s="42"/>
      <c r="THY53" s="42"/>
      <c r="THZ53" s="42"/>
      <c r="TIA53" s="42"/>
      <c r="TIB53" s="42"/>
      <c r="TIC53" s="42"/>
      <c r="TID53" s="42"/>
      <c r="TIE53" s="42"/>
      <c r="TIF53" s="42"/>
      <c r="TIG53" s="42"/>
      <c r="TIH53" s="42"/>
      <c r="TII53" s="2"/>
      <c r="TIJ53" s="15"/>
      <c r="TIK53" s="42"/>
      <c r="TIL53" s="2"/>
      <c r="TIM53" s="2"/>
      <c r="TIN53" s="2"/>
      <c r="TIO53" s="2"/>
      <c r="TIP53" s="42"/>
      <c r="TIQ53" s="42"/>
      <c r="TIR53" s="42"/>
      <c r="TIS53" s="42"/>
      <c r="TIT53" s="42"/>
      <c r="TIU53" s="42"/>
      <c r="TIV53" s="42"/>
      <c r="TIW53" s="42"/>
      <c r="TIX53" s="42"/>
      <c r="TIY53" s="42"/>
      <c r="TIZ53" s="42"/>
      <c r="TJA53" s="42"/>
      <c r="TJB53" s="42"/>
      <c r="TJC53" s="42"/>
      <c r="TJD53" s="42"/>
      <c r="TJE53" s="42"/>
      <c r="TJF53" s="42"/>
      <c r="TJG53" s="42"/>
      <c r="TJH53" s="42"/>
      <c r="TJI53" s="42"/>
      <c r="TJJ53" s="42"/>
      <c r="TJK53" s="42"/>
      <c r="TJL53" s="42"/>
      <c r="TJM53" s="2"/>
      <c r="TJN53" s="15"/>
      <c r="TJO53" s="42"/>
      <c r="TJP53" s="2"/>
      <c r="TJQ53" s="2"/>
      <c r="TJR53" s="2"/>
      <c r="TJS53" s="2"/>
      <c r="TJT53" s="42"/>
      <c r="TJU53" s="42"/>
      <c r="TJV53" s="42"/>
      <c r="TJW53" s="42"/>
      <c r="TJX53" s="42"/>
      <c r="TJY53" s="42"/>
      <c r="TJZ53" s="42"/>
      <c r="TKA53" s="42"/>
      <c r="TKB53" s="42"/>
      <c r="TKC53" s="42"/>
      <c r="TKD53" s="42"/>
      <c r="TKE53" s="42"/>
      <c r="TKF53" s="42"/>
      <c r="TKG53" s="42"/>
      <c r="TKH53" s="42"/>
      <c r="TKI53" s="42"/>
      <c r="TKJ53" s="42"/>
      <c r="TKK53" s="42"/>
      <c r="TKL53" s="42"/>
      <c r="TKM53" s="42"/>
      <c r="TKN53" s="42"/>
      <c r="TKO53" s="42"/>
      <c r="TKP53" s="42"/>
      <c r="TKQ53" s="2"/>
      <c r="TKR53" s="15"/>
      <c r="TKS53" s="42"/>
      <c r="TKT53" s="2"/>
      <c r="TKU53" s="2"/>
      <c r="TKV53" s="2"/>
      <c r="TKW53" s="2"/>
      <c r="TKX53" s="42"/>
      <c r="TKY53" s="42"/>
      <c r="TKZ53" s="42"/>
      <c r="TLA53" s="42"/>
      <c r="TLB53" s="42"/>
      <c r="TLC53" s="42"/>
      <c r="TLD53" s="42"/>
      <c r="TLE53" s="42"/>
      <c r="TLF53" s="42"/>
      <c r="TLG53" s="42"/>
      <c r="TLH53" s="42"/>
      <c r="TLI53" s="42"/>
      <c r="TLJ53" s="42"/>
      <c r="TLK53" s="42"/>
      <c r="TLL53" s="42"/>
      <c r="TLM53" s="42"/>
      <c r="TLN53" s="42"/>
      <c r="TLO53" s="42"/>
      <c r="TLP53" s="42"/>
      <c r="TLQ53" s="42"/>
      <c r="TLR53" s="42"/>
      <c r="TLS53" s="42"/>
      <c r="TLT53" s="42"/>
      <c r="TLU53" s="2"/>
      <c r="TLV53" s="15"/>
      <c r="TLW53" s="42"/>
      <c r="TLX53" s="2"/>
      <c r="TLY53" s="2"/>
      <c r="TLZ53" s="2"/>
      <c r="TMA53" s="2"/>
      <c r="TMB53" s="42"/>
      <c r="TMC53" s="42"/>
      <c r="TMD53" s="42"/>
      <c r="TME53" s="42"/>
      <c r="TMF53" s="42"/>
      <c r="TMG53" s="42"/>
      <c r="TMH53" s="42"/>
      <c r="TMI53" s="42"/>
      <c r="TMJ53" s="42"/>
      <c r="TMK53" s="42"/>
      <c r="TML53" s="42"/>
      <c r="TMM53" s="42"/>
      <c r="TMN53" s="42"/>
      <c r="TMO53" s="42"/>
      <c r="TMP53" s="42"/>
      <c r="TMQ53" s="42"/>
      <c r="TMR53" s="42"/>
      <c r="TMS53" s="42"/>
      <c r="TMT53" s="42"/>
      <c r="TMU53" s="42"/>
      <c r="TMV53" s="42"/>
      <c r="TMW53" s="42"/>
      <c r="TMX53" s="42"/>
      <c r="TMY53" s="2"/>
      <c r="TMZ53" s="15"/>
      <c r="TNA53" s="42"/>
      <c r="TNB53" s="2"/>
      <c r="TNC53" s="2"/>
      <c r="TND53" s="2"/>
      <c r="TNE53" s="2"/>
      <c r="TNF53" s="42"/>
      <c r="TNG53" s="42"/>
      <c r="TNH53" s="42"/>
      <c r="TNI53" s="42"/>
      <c r="TNJ53" s="42"/>
      <c r="TNK53" s="42"/>
      <c r="TNL53" s="42"/>
      <c r="TNM53" s="42"/>
      <c r="TNN53" s="42"/>
      <c r="TNO53" s="42"/>
      <c r="TNP53" s="42"/>
      <c r="TNQ53" s="42"/>
      <c r="TNR53" s="42"/>
      <c r="TNS53" s="42"/>
      <c r="TNT53" s="42"/>
      <c r="TNU53" s="42"/>
      <c r="TNV53" s="42"/>
      <c r="TNW53" s="42"/>
      <c r="TNX53" s="42"/>
      <c r="TNY53" s="42"/>
      <c r="TNZ53" s="42"/>
      <c r="TOA53" s="42"/>
      <c r="TOB53" s="42"/>
      <c r="TOC53" s="2"/>
      <c r="TOD53" s="15"/>
      <c r="TOE53" s="42"/>
      <c r="TOF53" s="2"/>
      <c r="TOG53" s="2"/>
      <c r="TOH53" s="2"/>
      <c r="TOI53" s="2"/>
      <c r="TOJ53" s="42"/>
      <c r="TOK53" s="42"/>
      <c r="TOL53" s="42"/>
      <c r="TOM53" s="42"/>
      <c r="TON53" s="42"/>
      <c r="TOO53" s="42"/>
      <c r="TOP53" s="42"/>
      <c r="TOQ53" s="42"/>
      <c r="TOR53" s="42"/>
      <c r="TOS53" s="42"/>
      <c r="TOT53" s="42"/>
      <c r="TOU53" s="42"/>
      <c r="TOV53" s="42"/>
      <c r="TOW53" s="42"/>
      <c r="TOX53" s="42"/>
      <c r="TOY53" s="42"/>
      <c r="TOZ53" s="42"/>
      <c r="TPA53" s="42"/>
      <c r="TPB53" s="42"/>
      <c r="TPC53" s="42"/>
      <c r="TPD53" s="42"/>
      <c r="TPE53" s="42"/>
      <c r="TPF53" s="42"/>
      <c r="TPG53" s="2"/>
      <c r="TPH53" s="15"/>
      <c r="TPI53" s="42"/>
      <c r="TPJ53" s="2"/>
      <c r="TPK53" s="2"/>
      <c r="TPL53" s="2"/>
      <c r="TPM53" s="2"/>
      <c r="TPN53" s="42"/>
      <c r="TPO53" s="42"/>
      <c r="TPP53" s="42"/>
      <c r="TPQ53" s="42"/>
      <c r="TPR53" s="42"/>
      <c r="TPS53" s="42"/>
      <c r="TPT53" s="42"/>
      <c r="TPU53" s="42"/>
      <c r="TPV53" s="42"/>
      <c r="TPW53" s="42"/>
      <c r="TPX53" s="42"/>
      <c r="TPY53" s="42"/>
      <c r="TPZ53" s="42"/>
      <c r="TQA53" s="42"/>
      <c r="TQB53" s="42"/>
      <c r="TQC53" s="42"/>
      <c r="TQD53" s="42"/>
      <c r="TQE53" s="42"/>
      <c r="TQF53" s="42"/>
      <c r="TQG53" s="42"/>
      <c r="TQH53" s="42"/>
      <c r="TQI53" s="42"/>
      <c r="TQJ53" s="42"/>
      <c r="TQK53" s="2"/>
      <c r="TQL53" s="15"/>
      <c r="TQM53" s="42"/>
      <c r="TQN53" s="2"/>
      <c r="TQO53" s="2"/>
      <c r="TQP53" s="2"/>
      <c r="TQQ53" s="2"/>
      <c r="TQR53" s="42"/>
      <c r="TQS53" s="42"/>
      <c r="TQT53" s="42"/>
      <c r="TQU53" s="42"/>
      <c r="TQV53" s="42"/>
      <c r="TQW53" s="42"/>
      <c r="TQX53" s="42"/>
      <c r="TQY53" s="42"/>
      <c r="TQZ53" s="42"/>
      <c r="TRA53" s="42"/>
      <c r="TRB53" s="42"/>
      <c r="TRC53" s="42"/>
      <c r="TRD53" s="42"/>
      <c r="TRE53" s="42"/>
      <c r="TRF53" s="42"/>
      <c r="TRG53" s="42"/>
      <c r="TRH53" s="42"/>
      <c r="TRI53" s="42"/>
      <c r="TRJ53" s="42"/>
      <c r="TRK53" s="42"/>
      <c r="TRL53" s="42"/>
      <c r="TRM53" s="42"/>
      <c r="TRN53" s="42"/>
      <c r="TRO53" s="2"/>
      <c r="TRP53" s="15"/>
      <c r="TRQ53" s="42"/>
      <c r="TRR53" s="2"/>
      <c r="TRS53" s="2"/>
      <c r="TRT53" s="2"/>
      <c r="TRU53" s="2"/>
      <c r="TRV53" s="42"/>
      <c r="TRW53" s="42"/>
      <c r="TRX53" s="42"/>
      <c r="TRY53" s="42"/>
      <c r="TRZ53" s="42"/>
      <c r="TSA53" s="42"/>
      <c r="TSB53" s="42"/>
      <c r="TSC53" s="42"/>
      <c r="TSD53" s="42"/>
      <c r="TSE53" s="42"/>
      <c r="TSF53" s="42"/>
      <c r="TSG53" s="42"/>
      <c r="TSH53" s="42"/>
      <c r="TSI53" s="42"/>
      <c r="TSJ53" s="42"/>
      <c r="TSK53" s="42"/>
      <c r="TSL53" s="42"/>
      <c r="TSM53" s="42"/>
      <c r="TSN53" s="42"/>
      <c r="TSO53" s="42"/>
      <c r="TSP53" s="42"/>
      <c r="TSQ53" s="42"/>
      <c r="TSR53" s="42"/>
      <c r="TSS53" s="2"/>
      <c r="TST53" s="15"/>
      <c r="TSU53" s="42"/>
      <c r="TSV53" s="2"/>
      <c r="TSW53" s="2"/>
      <c r="TSX53" s="2"/>
      <c r="TSY53" s="2"/>
      <c r="TSZ53" s="42"/>
      <c r="TTA53" s="42"/>
      <c r="TTB53" s="42"/>
      <c r="TTC53" s="42"/>
      <c r="TTD53" s="42"/>
      <c r="TTE53" s="42"/>
      <c r="TTF53" s="42"/>
      <c r="TTG53" s="42"/>
      <c r="TTH53" s="42"/>
      <c r="TTI53" s="42"/>
      <c r="TTJ53" s="42"/>
      <c r="TTK53" s="42"/>
      <c r="TTL53" s="42"/>
      <c r="TTM53" s="42"/>
      <c r="TTN53" s="42"/>
      <c r="TTO53" s="42"/>
      <c r="TTP53" s="42"/>
      <c r="TTQ53" s="42"/>
      <c r="TTR53" s="42"/>
      <c r="TTS53" s="42"/>
      <c r="TTT53" s="42"/>
      <c r="TTU53" s="42"/>
      <c r="TTV53" s="42"/>
      <c r="TTW53" s="2"/>
      <c r="TTX53" s="15"/>
      <c r="TTY53" s="42"/>
      <c r="TTZ53" s="2"/>
      <c r="TUA53" s="2"/>
      <c r="TUB53" s="2"/>
      <c r="TUC53" s="2"/>
      <c r="TUD53" s="42"/>
      <c r="TUE53" s="42"/>
      <c r="TUF53" s="42"/>
      <c r="TUG53" s="42"/>
      <c r="TUH53" s="42"/>
      <c r="TUI53" s="42"/>
      <c r="TUJ53" s="42"/>
      <c r="TUK53" s="42"/>
      <c r="TUL53" s="42"/>
      <c r="TUM53" s="42"/>
      <c r="TUN53" s="42"/>
      <c r="TUO53" s="42"/>
      <c r="TUP53" s="42"/>
      <c r="TUQ53" s="42"/>
      <c r="TUR53" s="42"/>
      <c r="TUS53" s="42"/>
      <c r="TUT53" s="42"/>
      <c r="TUU53" s="42"/>
      <c r="TUV53" s="42"/>
      <c r="TUW53" s="42"/>
      <c r="TUX53" s="42"/>
      <c r="TUY53" s="42"/>
      <c r="TUZ53" s="42"/>
      <c r="TVA53" s="2"/>
      <c r="TVB53" s="15"/>
      <c r="TVC53" s="42"/>
      <c r="TVD53" s="2"/>
      <c r="TVE53" s="2"/>
      <c r="TVF53" s="2"/>
      <c r="TVG53" s="2"/>
      <c r="TVH53" s="42"/>
      <c r="TVI53" s="42"/>
      <c r="TVJ53" s="42"/>
      <c r="TVK53" s="42"/>
      <c r="TVL53" s="42"/>
      <c r="TVM53" s="42"/>
      <c r="TVN53" s="42"/>
      <c r="TVO53" s="42"/>
      <c r="TVP53" s="42"/>
      <c r="TVQ53" s="42"/>
      <c r="TVR53" s="42"/>
      <c r="TVS53" s="42"/>
      <c r="TVT53" s="42"/>
      <c r="TVU53" s="42"/>
      <c r="TVV53" s="42"/>
      <c r="TVW53" s="42"/>
      <c r="TVX53" s="42"/>
      <c r="TVY53" s="42"/>
      <c r="TVZ53" s="42"/>
      <c r="TWA53" s="42"/>
      <c r="TWB53" s="42"/>
      <c r="TWC53" s="42"/>
      <c r="TWD53" s="42"/>
      <c r="TWE53" s="2"/>
      <c r="TWF53" s="15"/>
      <c r="TWG53" s="42"/>
      <c r="TWH53" s="2"/>
      <c r="TWI53" s="2"/>
      <c r="TWJ53" s="2"/>
      <c r="TWK53" s="2"/>
      <c r="TWL53" s="42"/>
      <c r="TWM53" s="42"/>
      <c r="TWN53" s="42"/>
      <c r="TWO53" s="42"/>
      <c r="TWP53" s="42"/>
      <c r="TWQ53" s="42"/>
      <c r="TWR53" s="42"/>
      <c r="TWS53" s="42"/>
      <c r="TWT53" s="42"/>
      <c r="TWU53" s="42"/>
      <c r="TWV53" s="42"/>
      <c r="TWW53" s="42"/>
      <c r="TWX53" s="42"/>
      <c r="TWY53" s="42"/>
      <c r="TWZ53" s="42"/>
      <c r="TXA53" s="42"/>
      <c r="TXB53" s="42"/>
      <c r="TXC53" s="42"/>
      <c r="TXD53" s="42"/>
      <c r="TXE53" s="42"/>
      <c r="TXF53" s="42"/>
      <c r="TXG53" s="42"/>
      <c r="TXH53" s="42"/>
      <c r="TXI53" s="2"/>
      <c r="TXJ53" s="15"/>
      <c r="TXK53" s="42"/>
      <c r="TXL53" s="2"/>
      <c r="TXM53" s="2"/>
      <c r="TXN53" s="2"/>
      <c r="TXO53" s="2"/>
      <c r="TXP53" s="42"/>
      <c r="TXQ53" s="42"/>
      <c r="TXR53" s="42"/>
      <c r="TXS53" s="42"/>
      <c r="TXT53" s="42"/>
      <c r="TXU53" s="42"/>
      <c r="TXV53" s="42"/>
      <c r="TXW53" s="42"/>
      <c r="TXX53" s="42"/>
      <c r="TXY53" s="42"/>
      <c r="TXZ53" s="42"/>
      <c r="TYA53" s="42"/>
      <c r="TYB53" s="42"/>
      <c r="TYC53" s="42"/>
      <c r="TYD53" s="42"/>
      <c r="TYE53" s="42"/>
      <c r="TYF53" s="42"/>
      <c r="TYG53" s="42"/>
      <c r="TYH53" s="42"/>
      <c r="TYI53" s="42"/>
      <c r="TYJ53" s="42"/>
      <c r="TYK53" s="42"/>
      <c r="TYL53" s="42"/>
      <c r="TYM53" s="2"/>
      <c r="TYN53" s="15"/>
      <c r="TYO53" s="42"/>
      <c r="TYP53" s="2"/>
      <c r="TYQ53" s="2"/>
      <c r="TYR53" s="2"/>
      <c r="TYS53" s="2"/>
      <c r="TYT53" s="42"/>
      <c r="TYU53" s="42"/>
      <c r="TYV53" s="42"/>
      <c r="TYW53" s="42"/>
      <c r="TYX53" s="42"/>
      <c r="TYY53" s="42"/>
      <c r="TYZ53" s="42"/>
      <c r="TZA53" s="42"/>
      <c r="TZB53" s="42"/>
      <c r="TZC53" s="42"/>
      <c r="TZD53" s="42"/>
      <c r="TZE53" s="42"/>
      <c r="TZF53" s="42"/>
      <c r="TZG53" s="42"/>
      <c r="TZH53" s="42"/>
      <c r="TZI53" s="42"/>
      <c r="TZJ53" s="42"/>
      <c r="TZK53" s="42"/>
      <c r="TZL53" s="42"/>
      <c r="TZM53" s="42"/>
      <c r="TZN53" s="42"/>
      <c r="TZO53" s="42"/>
      <c r="TZP53" s="42"/>
      <c r="TZQ53" s="2"/>
      <c r="TZR53" s="15"/>
      <c r="TZS53" s="42"/>
      <c r="TZT53" s="2"/>
      <c r="TZU53" s="2"/>
      <c r="TZV53" s="2"/>
      <c r="TZW53" s="2"/>
      <c r="TZX53" s="42"/>
      <c r="TZY53" s="42"/>
      <c r="TZZ53" s="42"/>
      <c r="UAA53" s="42"/>
      <c r="UAB53" s="42"/>
      <c r="UAC53" s="42"/>
      <c r="UAD53" s="42"/>
      <c r="UAE53" s="42"/>
      <c r="UAF53" s="42"/>
      <c r="UAG53" s="42"/>
      <c r="UAH53" s="42"/>
      <c r="UAI53" s="42"/>
      <c r="UAJ53" s="42"/>
      <c r="UAK53" s="42"/>
      <c r="UAL53" s="42"/>
      <c r="UAM53" s="42"/>
      <c r="UAN53" s="42"/>
      <c r="UAO53" s="42"/>
      <c r="UAP53" s="42"/>
      <c r="UAQ53" s="42"/>
      <c r="UAR53" s="42"/>
      <c r="UAS53" s="42"/>
      <c r="UAT53" s="42"/>
      <c r="UAU53" s="2"/>
      <c r="UAV53" s="15"/>
      <c r="UAW53" s="42"/>
      <c r="UAX53" s="2"/>
      <c r="UAY53" s="2"/>
      <c r="UAZ53" s="2"/>
      <c r="UBA53" s="2"/>
      <c r="UBB53" s="42"/>
      <c r="UBC53" s="42"/>
      <c r="UBD53" s="42"/>
      <c r="UBE53" s="42"/>
      <c r="UBF53" s="42"/>
      <c r="UBG53" s="42"/>
      <c r="UBH53" s="42"/>
      <c r="UBI53" s="42"/>
      <c r="UBJ53" s="42"/>
      <c r="UBK53" s="42"/>
      <c r="UBL53" s="42"/>
      <c r="UBM53" s="42"/>
      <c r="UBN53" s="42"/>
      <c r="UBO53" s="42"/>
      <c r="UBP53" s="42"/>
      <c r="UBQ53" s="42"/>
      <c r="UBR53" s="42"/>
      <c r="UBS53" s="42"/>
      <c r="UBT53" s="42"/>
      <c r="UBU53" s="42"/>
      <c r="UBV53" s="42"/>
      <c r="UBW53" s="42"/>
      <c r="UBX53" s="42"/>
      <c r="UBY53" s="2"/>
      <c r="UBZ53" s="15"/>
      <c r="UCA53" s="42"/>
      <c r="UCB53" s="2"/>
      <c r="UCC53" s="2"/>
      <c r="UCD53" s="2"/>
      <c r="UCE53" s="2"/>
      <c r="UCF53" s="42"/>
      <c r="UCG53" s="42"/>
      <c r="UCH53" s="42"/>
      <c r="UCI53" s="42"/>
      <c r="UCJ53" s="42"/>
      <c r="UCK53" s="42"/>
      <c r="UCL53" s="42"/>
      <c r="UCM53" s="42"/>
      <c r="UCN53" s="42"/>
      <c r="UCO53" s="42"/>
      <c r="UCP53" s="42"/>
      <c r="UCQ53" s="42"/>
      <c r="UCR53" s="42"/>
      <c r="UCS53" s="42"/>
      <c r="UCT53" s="42"/>
      <c r="UCU53" s="42"/>
      <c r="UCV53" s="42"/>
      <c r="UCW53" s="42"/>
      <c r="UCX53" s="42"/>
      <c r="UCY53" s="42"/>
      <c r="UCZ53" s="42"/>
      <c r="UDA53" s="42"/>
      <c r="UDB53" s="42"/>
      <c r="UDC53" s="2"/>
      <c r="UDD53" s="15"/>
      <c r="UDE53" s="42"/>
      <c r="UDF53" s="2"/>
      <c r="UDG53" s="2"/>
      <c r="UDH53" s="2"/>
      <c r="UDI53" s="2"/>
      <c r="UDJ53" s="42"/>
      <c r="UDK53" s="42"/>
      <c r="UDL53" s="42"/>
      <c r="UDM53" s="42"/>
      <c r="UDN53" s="42"/>
      <c r="UDO53" s="42"/>
      <c r="UDP53" s="42"/>
      <c r="UDQ53" s="42"/>
      <c r="UDR53" s="42"/>
      <c r="UDS53" s="42"/>
      <c r="UDT53" s="42"/>
      <c r="UDU53" s="42"/>
      <c r="UDV53" s="42"/>
      <c r="UDW53" s="42"/>
      <c r="UDX53" s="42"/>
      <c r="UDY53" s="42"/>
      <c r="UDZ53" s="42"/>
      <c r="UEA53" s="42"/>
      <c r="UEB53" s="42"/>
      <c r="UEC53" s="42"/>
      <c r="UED53" s="42"/>
      <c r="UEE53" s="42"/>
      <c r="UEF53" s="42"/>
      <c r="UEG53" s="2"/>
      <c r="UEH53" s="15"/>
      <c r="UEI53" s="42"/>
      <c r="UEJ53" s="2"/>
      <c r="UEK53" s="2"/>
      <c r="UEL53" s="2"/>
      <c r="UEM53" s="2"/>
      <c r="UEN53" s="42"/>
      <c r="UEO53" s="42"/>
      <c r="UEP53" s="42"/>
      <c r="UEQ53" s="42"/>
      <c r="UER53" s="42"/>
      <c r="UES53" s="42"/>
      <c r="UET53" s="42"/>
      <c r="UEU53" s="42"/>
      <c r="UEV53" s="42"/>
      <c r="UEW53" s="42"/>
      <c r="UEX53" s="42"/>
      <c r="UEY53" s="42"/>
      <c r="UEZ53" s="42"/>
      <c r="UFA53" s="42"/>
      <c r="UFB53" s="42"/>
      <c r="UFC53" s="42"/>
      <c r="UFD53" s="42"/>
      <c r="UFE53" s="42"/>
      <c r="UFF53" s="42"/>
      <c r="UFG53" s="42"/>
      <c r="UFH53" s="42"/>
      <c r="UFI53" s="42"/>
      <c r="UFJ53" s="42"/>
      <c r="UFK53" s="2"/>
      <c r="UFL53" s="15"/>
      <c r="UFM53" s="42"/>
      <c r="UFN53" s="2"/>
      <c r="UFO53" s="2"/>
      <c r="UFP53" s="2"/>
      <c r="UFQ53" s="2"/>
      <c r="UFR53" s="42"/>
      <c r="UFS53" s="42"/>
      <c r="UFT53" s="42"/>
      <c r="UFU53" s="42"/>
      <c r="UFV53" s="42"/>
      <c r="UFW53" s="42"/>
      <c r="UFX53" s="42"/>
      <c r="UFY53" s="42"/>
      <c r="UFZ53" s="42"/>
      <c r="UGA53" s="42"/>
      <c r="UGB53" s="42"/>
      <c r="UGC53" s="42"/>
      <c r="UGD53" s="42"/>
      <c r="UGE53" s="42"/>
      <c r="UGF53" s="42"/>
      <c r="UGG53" s="42"/>
      <c r="UGH53" s="42"/>
      <c r="UGI53" s="42"/>
      <c r="UGJ53" s="42"/>
      <c r="UGK53" s="42"/>
      <c r="UGL53" s="42"/>
      <c r="UGM53" s="42"/>
      <c r="UGN53" s="42"/>
      <c r="UGO53" s="2"/>
      <c r="UGP53" s="15"/>
      <c r="UGQ53" s="42"/>
      <c r="UGR53" s="2"/>
      <c r="UGS53" s="2"/>
      <c r="UGT53" s="2"/>
      <c r="UGU53" s="2"/>
      <c r="UGV53" s="42"/>
      <c r="UGW53" s="42"/>
      <c r="UGX53" s="42"/>
      <c r="UGY53" s="42"/>
      <c r="UGZ53" s="42"/>
      <c r="UHA53" s="42"/>
      <c r="UHB53" s="42"/>
      <c r="UHC53" s="42"/>
      <c r="UHD53" s="42"/>
      <c r="UHE53" s="42"/>
      <c r="UHF53" s="42"/>
      <c r="UHG53" s="42"/>
      <c r="UHH53" s="42"/>
      <c r="UHI53" s="42"/>
      <c r="UHJ53" s="42"/>
      <c r="UHK53" s="42"/>
      <c r="UHL53" s="42"/>
      <c r="UHM53" s="42"/>
      <c r="UHN53" s="42"/>
      <c r="UHO53" s="42"/>
      <c r="UHP53" s="42"/>
      <c r="UHQ53" s="42"/>
      <c r="UHR53" s="42"/>
      <c r="UHS53" s="2"/>
      <c r="UHT53" s="15"/>
      <c r="UHU53" s="42"/>
      <c r="UHV53" s="2"/>
      <c r="UHW53" s="2"/>
      <c r="UHX53" s="2"/>
      <c r="UHY53" s="2"/>
      <c r="UHZ53" s="42"/>
      <c r="UIA53" s="42"/>
      <c r="UIB53" s="42"/>
      <c r="UIC53" s="42"/>
      <c r="UID53" s="42"/>
      <c r="UIE53" s="42"/>
      <c r="UIF53" s="42"/>
      <c r="UIG53" s="42"/>
      <c r="UIH53" s="42"/>
      <c r="UII53" s="42"/>
      <c r="UIJ53" s="42"/>
      <c r="UIK53" s="42"/>
      <c r="UIL53" s="42"/>
      <c r="UIM53" s="42"/>
      <c r="UIN53" s="42"/>
      <c r="UIO53" s="42"/>
      <c r="UIP53" s="42"/>
      <c r="UIQ53" s="42"/>
      <c r="UIR53" s="42"/>
      <c r="UIS53" s="42"/>
      <c r="UIT53" s="42"/>
      <c r="UIU53" s="42"/>
      <c r="UIV53" s="42"/>
      <c r="UIW53" s="2"/>
      <c r="UIX53" s="15"/>
      <c r="UIY53" s="42"/>
      <c r="UIZ53" s="2"/>
      <c r="UJA53" s="2"/>
      <c r="UJB53" s="2"/>
      <c r="UJC53" s="2"/>
      <c r="UJD53" s="42"/>
      <c r="UJE53" s="42"/>
      <c r="UJF53" s="42"/>
      <c r="UJG53" s="42"/>
      <c r="UJH53" s="42"/>
      <c r="UJI53" s="42"/>
      <c r="UJJ53" s="42"/>
      <c r="UJK53" s="42"/>
      <c r="UJL53" s="42"/>
      <c r="UJM53" s="42"/>
      <c r="UJN53" s="42"/>
      <c r="UJO53" s="42"/>
      <c r="UJP53" s="42"/>
      <c r="UJQ53" s="42"/>
      <c r="UJR53" s="42"/>
      <c r="UJS53" s="42"/>
      <c r="UJT53" s="42"/>
      <c r="UJU53" s="42"/>
      <c r="UJV53" s="42"/>
      <c r="UJW53" s="42"/>
      <c r="UJX53" s="42"/>
      <c r="UJY53" s="42"/>
      <c r="UJZ53" s="42"/>
      <c r="UKA53" s="2"/>
      <c r="UKB53" s="15"/>
      <c r="UKC53" s="42"/>
      <c r="UKD53" s="2"/>
      <c r="UKE53" s="2"/>
      <c r="UKF53" s="2"/>
      <c r="UKG53" s="2"/>
      <c r="UKH53" s="42"/>
      <c r="UKI53" s="42"/>
      <c r="UKJ53" s="42"/>
      <c r="UKK53" s="42"/>
      <c r="UKL53" s="42"/>
      <c r="UKM53" s="42"/>
      <c r="UKN53" s="42"/>
      <c r="UKO53" s="42"/>
      <c r="UKP53" s="42"/>
      <c r="UKQ53" s="42"/>
      <c r="UKR53" s="42"/>
      <c r="UKS53" s="42"/>
      <c r="UKT53" s="42"/>
      <c r="UKU53" s="42"/>
      <c r="UKV53" s="42"/>
      <c r="UKW53" s="42"/>
      <c r="UKX53" s="42"/>
      <c r="UKY53" s="42"/>
      <c r="UKZ53" s="42"/>
      <c r="ULA53" s="42"/>
      <c r="ULB53" s="42"/>
      <c r="ULC53" s="42"/>
      <c r="ULD53" s="42"/>
      <c r="ULE53" s="2"/>
      <c r="ULF53" s="15"/>
      <c r="ULG53" s="42"/>
      <c r="ULH53" s="2"/>
      <c r="ULI53" s="2"/>
      <c r="ULJ53" s="2"/>
      <c r="ULK53" s="2"/>
      <c r="ULL53" s="42"/>
      <c r="ULM53" s="42"/>
      <c r="ULN53" s="42"/>
      <c r="ULO53" s="42"/>
      <c r="ULP53" s="42"/>
      <c r="ULQ53" s="42"/>
      <c r="ULR53" s="42"/>
      <c r="ULS53" s="42"/>
      <c r="ULT53" s="42"/>
      <c r="ULU53" s="42"/>
      <c r="ULV53" s="42"/>
      <c r="ULW53" s="42"/>
      <c r="ULX53" s="42"/>
      <c r="ULY53" s="42"/>
      <c r="ULZ53" s="42"/>
      <c r="UMA53" s="42"/>
      <c r="UMB53" s="42"/>
      <c r="UMC53" s="42"/>
      <c r="UMD53" s="42"/>
      <c r="UME53" s="42"/>
      <c r="UMF53" s="42"/>
      <c r="UMG53" s="42"/>
      <c r="UMH53" s="42"/>
      <c r="UMI53" s="2"/>
      <c r="UMJ53" s="15"/>
      <c r="UMK53" s="42"/>
      <c r="UML53" s="2"/>
      <c r="UMM53" s="2"/>
      <c r="UMN53" s="2"/>
      <c r="UMO53" s="2"/>
      <c r="UMP53" s="42"/>
      <c r="UMQ53" s="42"/>
      <c r="UMR53" s="42"/>
      <c r="UMS53" s="42"/>
      <c r="UMT53" s="42"/>
      <c r="UMU53" s="42"/>
      <c r="UMV53" s="42"/>
      <c r="UMW53" s="42"/>
      <c r="UMX53" s="42"/>
      <c r="UMY53" s="42"/>
      <c r="UMZ53" s="42"/>
      <c r="UNA53" s="42"/>
      <c r="UNB53" s="42"/>
      <c r="UNC53" s="42"/>
      <c r="UND53" s="42"/>
      <c r="UNE53" s="42"/>
      <c r="UNF53" s="42"/>
      <c r="UNG53" s="42"/>
      <c r="UNH53" s="42"/>
      <c r="UNI53" s="42"/>
      <c r="UNJ53" s="42"/>
      <c r="UNK53" s="42"/>
      <c r="UNL53" s="42"/>
      <c r="UNM53" s="2"/>
      <c r="UNN53" s="15"/>
      <c r="UNO53" s="42"/>
      <c r="UNP53" s="2"/>
      <c r="UNQ53" s="2"/>
      <c r="UNR53" s="2"/>
      <c r="UNS53" s="2"/>
      <c r="UNT53" s="42"/>
      <c r="UNU53" s="42"/>
      <c r="UNV53" s="42"/>
      <c r="UNW53" s="42"/>
      <c r="UNX53" s="42"/>
      <c r="UNY53" s="42"/>
      <c r="UNZ53" s="42"/>
      <c r="UOA53" s="42"/>
      <c r="UOB53" s="42"/>
      <c r="UOC53" s="42"/>
      <c r="UOD53" s="42"/>
      <c r="UOE53" s="42"/>
      <c r="UOF53" s="42"/>
      <c r="UOG53" s="42"/>
      <c r="UOH53" s="42"/>
      <c r="UOI53" s="42"/>
      <c r="UOJ53" s="42"/>
      <c r="UOK53" s="42"/>
      <c r="UOL53" s="42"/>
      <c r="UOM53" s="42"/>
      <c r="UON53" s="42"/>
      <c r="UOO53" s="42"/>
      <c r="UOP53" s="42"/>
      <c r="UOQ53" s="2"/>
      <c r="UOR53" s="15"/>
      <c r="UOS53" s="42"/>
      <c r="UOT53" s="2"/>
      <c r="UOU53" s="2"/>
      <c r="UOV53" s="2"/>
      <c r="UOW53" s="2"/>
      <c r="UOX53" s="42"/>
      <c r="UOY53" s="42"/>
      <c r="UOZ53" s="42"/>
      <c r="UPA53" s="42"/>
      <c r="UPB53" s="42"/>
      <c r="UPC53" s="42"/>
      <c r="UPD53" s="42"/>
      <c r="UPE53" s="42"/>
      <c r="UPF53" s="42"/>
      <c r="UPG53" s="42"/>
      <c r="UPH53" s="42"/>
      <c r="UPI53" s="42"/>
      <c r="UPJ53" s="42"/>
      <c r="UPK53" s="42"/>
      <c r="UPL53" s="42"/>
      <c r="UPM53" s="42"/>
      <c r="UPN53" s="42"/>
      <c r="UPO53" s="42"/>
      <c r="UPP53" s="42"/>
      <c r="UPQ53" s="42"/>
      <c r="UPR53" s="42"/>
      <c r="UPS53" s="42"/>
      <c r="UPT53" s="42"/>
      <c r="UPU53" s="2"/>
      <c r="UPV53" s="15"/>
      <c r="UPW53" s="42"/>
      <c r="UPX53" s="2"/>
      <c r="UPY53" s="2"/>
      <c r="UPZ53" s="2"/>
      <c r="UQA53" s="2"/>
      <c r="UQB53" s="42"/>
      <c r="UQC53" s="42"/>
      <c r="UQD53" s="42"/>
      <c r="UQE53" s="42"/>
      <c r="UQF53" s="42"/>
      <c r="UQG53" s="42"/>
      <c r="UQH53" s="42"/>
      <c r="UQI53" s="42"/>
      <c r="UQJ53" s="42"/>
      <c r="UQK53" s="42"/>
      <c r="UQL53" s="42"/>
      <c r="UQM53" s="42"/>
      <c r="UQN53" s="42"/>
      <c r="UQO53" s="42"/>
      <c r="UQP53" s="42"/>
      <c r="UQQ53" s="42"/>
      <c r="UQR53" s="42"/>
      <c r="UQS53" s="42"/>
      <c r="UQT53" s="42"/>
      <c r="UQU53" s="42"/>
      <c r="UQV53" s="42"/>
      <c r="UQW53" s="42"/>
      <c r="UQX53" s="42"/>
      <c r="UQY53" s="2"/>
      <c r="UQZ53" s="15"/>
      <c r="URA53" s="42"/>
      <c r="URB53" s="2"/>
      <c r="URC53" s="2"/>
      <c r="URD53" s="2"/>
      <c r="URE53" s="2"/>
      <c r="URF53" s="42"/>
      <c r="URG53" s="42"/>
      <c r="URH53" s="42"/>
      <c r="URI53" s="42"/>
      <c r="URJ53" s="42"/>
      <c r="URK53" s="42"/>
      <c r="URL53" s="42"/>
      <c r="URM53" s="42"/>
      <c r="URN53" s="42"/>
      <c r="URO53" s="42"/>
      <c r="URP53" s="42"/>
      <c r="URQ53" s="42"/>
      <c r="URR53" s="42"/>
      <c r="URS53" s="42"/>
      <c r="URT53" s="42"/>
      <c r="URU53" s="42"/>
      <c r="URV53" s="42"/>
      <c r="URW53" s="42"/>
      <c r="URX53" s="42"/>
      <c r="URY53" s="42"/>
      <c r="URZ53" s="42"/>
      <c r="USA53" s="42"/>
      <c r="USB53" s="42"/>
      <c r="USC53" s="2"/>
      <c r="USD53" s="15"/>
      <c r="USE53" s="42"/>
      <c r="USF53" s="2"/>
      <c r="USG53" s="2"/>
      <c r="USH53" s="2"/>
      <c r="USI53" s="2"/>
      <c r="USJ53" s="42"/>
      <c r="USK53" s="42"/>
      <c r="USL53" s="42"/>
      <c r="USM53" s="42"/>
      <c r="USN53" s="42"/>
      <c r="USO53" s="42"/>
      <c r="USP53" s="42"/>
      <c r="USQ53" s="42"/>
      <c r="USR53" s="42"/>
      <c r="USS53" s="42"/>
      <c r="UST53" s="42"/>
      <c r="USU53" s="42"/>
      <c r="USV53" s="42"/>
      <c r="USW53" s="42"/>
      <c r="USX53" s="42"/>
      <c r="USY53" s="42"/>
      <c r="USZ53" s="42"/>
      <c r="UTA53" s="42"/>
      <c r="UTB53" s="42"/>
      <c r="UTC53" s="42"/>
      <c r="UTD53" s="42"/>
      <c r="UTE53" s="42"/>
      <c r="UTF53" s="42"/>
      <c r="UTG53" s="2"/>
      <c r="UTH53" s="15"/>
      <c r="UTI53" s="42"/>
      <c r="UTJ53" s="2"/>
      <c r="UTK53" s="2"/>
      <c r="UTL53" s="2"/>
      <c r="UTM53" s="2"/>
      <c r="UTN53" s="42"/>
      <c r="UTO53" s="42"/>
      <c r="UTP53" s="42"/>
      <c r="UTQ53" s="42"/>
      <c r="UTR53" s="42"/>
      <c r="UTS53" s="42"/>
      <c r="UTT53" s="42"/>
      <c r="UTU53" s="42"/>
      <c r="UTV53" s="42"/>
      <c r="UTW53" s="42"/>
      <c r="UTX53" s="42"/>
      <c r="UTY53" s="42"/>
      <c r="UTZ53" s="42"/>
      <c r="UUA53" s="42"/>
      <c r="UUB53" s="42"/>
      <c r="UUC53" s="42"/>
      <c r="UUD53" s="42"/>
      <c r="UUE53" s="42"/>
      <c r="UUF53" s="42"/>
      <c r="UUG53" s="42"/>
      <c r="UUH53" s="42"/>
      <c r="UUI53" s="42"/>
      <c r="UUJ53" s="42"/>
      <c r="UUK53" s="2"/>
      <c r="UUL53" s="15"/>
      <c r="UUM53" s="42"/>
      <c r="UUN53" s="2"/>
      <c r="UUO53" s="2"/>
      <c r="UUP53" s="2"/>
      <c r="UUQ53" s="2"/>
      <c r="UUR53" s="42"/>
      <c r="UUS53" s="42"/>
      <c r="UUT53" s="42"/>
      <c r="UUU53" s="42"/>
      <c r="UUV53" s="42"/>
      <c r="UUW53" s="42"/>
      <c r="UUX53" s="42"/>
      <c r="UUY53" s="42"/>
      <c r="UUZ53" s="42"/>
      <c r="UVA53" s="42"/>
      <c r="UVB53" s="42"/>
      <c r="UVC53" s="42"/>
      <c r="UVD53" s="42"/>
      <c r="UVE53" s="42"/>
      <c r="UVF53" s="42"/>
      <c r="UVG53" s="42"/>
      <c r="UVH53" s="42"/>
      <c r="UVI53" s="42"/>
      <c r="UVJ53" s="42"/>
      <c r="UVK53" s="42"/>
      <c r="UVL53" s="42"/>
      <c r="UVM53" s="42"/>
      <c r="UVN53" s="42"/>
      <c r="UVO53" s="2"/>
      <c r="UVP53" s="15"/>
      <c r="UVQ53" s="42"/>
      <c r="UVR53" s="2"/>
      <c r="UVS53" s="2"/>
      <c r="UVT53" s="2"/>
      <c r="UVU53" s="2"/>
      <c r="UVV53" s="42"/>
      <c r="UVW53" s="42"/>
      <c r="UVX53" s="42"/>
      <c r="UVY53" s="42"/>
      <c r="UVZ53" s="42"/>
      <c r="UWA53" s="42"/>
      <c r="UWB53" s="42"/>
      <c r="UWC53" s="42"/>
      <c r="UWD53" s="42"/>
      <c r="UWE53" s="42"/>
      <c r="UWF53" s="42"/>
      <c r="UWG53" s="42"/>
      <c r="UWH53" s="42"/>
      <c r="UWI53" s="42"/>
      <c r="UWJ53" s="42"/>
      <c r="UWK53" s="42"/>
      <c r="UWL53" s="42"/>
      <c r="UWM53" s="42"/>
      <c r="UWN53" s="42"/>
      <c r="UWO53" s="42"/>
      <c r="UWP53" s="42"/>
      <c r="UWQ53" s="42"/>
      <c r="UWR53" s="42"/>
      <c r="UWS53" s="2"/>
      <c r="UWT53" s="15"/>
      <c r="UWU53" s="42"/>
      <c r="UWV53" s="2"/>
      <c r="UWW53" s="2"/>
      <c r="UWX53" s="2"/>
      <c r="UWY53" s="2"/>
      <c r="UWZ53" s="42"/>
      <c r="UXA53" s="42"/>
      <c r="UXB53" s="42"/>
      <c r="UXC53" s="42"/>
      <c r="UXD53" s="42"/>
      <c r="UXE53" s="42"/>
      <c r="UXF53" s="42"/>
      <c r="UXG53" s="42"/>
      <c r="UXH53" s="42"/>
      <c r="UXI53" s="42"/>
      <c r="UXJ53" s="42"/>
      <c r="UXK53" s="42"/>
      <c r="UXL53" s="42"/>
      <c r="UXM53" s="42"/>
      <c r="UXN53" s="42"/>
      <c r="UXO53" s="42"/>
      <c r="UXP53" s="42"/>
      <c r="UXQ53" s="42"/>
      <c r="UXR53" s="42"/>
      <c r="UXS53" s="42"/>
      <c r="UXT53" s="42"/>
      <c r="UXU53" s="42"/>
      <c r="UXV53" s="42"/>
      <c r="UXW53" s="2"/>
      <c r="UXX53" s="15"/>
      <c r="UXY53" s="42"/>
      <c r="UXZ53" s="2"/>
      <c r="UYA53" s="2"/>
      <c r="UYB53" s="2"/>
      <c r="UYC53" s="2"/>
      <c r="UYD53" s="42"/>
      <c r="UYE53" s="42"/>
      <c r="UYF53" s="42"/>
      <c r="UYG53" s="42"/>
      <c r="UYH53" s="42"/>
      <c r="UYI53" s="42"/>
      <c r="UYJ53" s="42"/>
      <c r="UYK53" s="42"/>
      <c r="UYL53" s="42"/>
      <c r="UYM53" s="42"/>
      <c r="UYN53" s="42"/>
      <c r="UYO53" s="42"/>
      <c r="UYP53" s="42"/>
      <c r="UYQ53" s="42"/>
      <c r="UYR53" s="42"/>
      <c r="UYS53" s="42"/>
      <c r="UYT53" s="42"/>
      <c r="UYU53" s="42"/>
      <c r="UYV53" s="42"/>
      <c r="UYW53" s="42"/>
      <c r="UYX53" s="42"/>
      <c r="UYY53" s="42"/>
      <c r="UYZ53" s="42"/>
      <c r="UZA53" s="2"/>
      <c r="UZB53" s="15"/>
      <c r="UZC53" s="42"/>
      <c r="UZD53" s="2"/>
      <c r="UZE53" s="2"/>
      <c r="UZF53" s="2"/>
      <c r="UZG53" s="2"/>
      <c r="UZH53" s="42"/>
      <c r="UZI53" s="42"/>
      <c r="UZJ53" s="42"/>
      <c r="UZK53" s="42"/>
      <c r="UZL53" s="42"/>
      <c r="UZM53" s="42"/>
      <c r="UZN53" s="42"/>
      <c r="UZO53" s="42"/>
      <c r="UZP53" s="42"/>
      <c r="UZQ53" s="42"/>
      <c r="UZR53" s="42"/>
      <c r="UZS53" s="42"/>
      <c r="UZT53" s="42"/>
      <c r="UZU53" s="42"/>
      <c r="UZV53" s="42"/>
      <c r="UZW53" s="42"/>
      <c r="UZX53" s="42"/>
      <c r="UZY53" s="42"/>
      <c r="UZZ53" s="42"/>
      <c r="VAA53" s="42"/>
      <c r="VAB53" s="42"/>
      <c r="VAC53" s="42"/>
      <c r="VAD53" s="42"/>
      <c r="VAE53" s="2"/>
      <c r="VAF53" s="15"/>
      <c r="VAG53" s="42"/>
      <c r="VAH53" s="2"/>
      <c r="VAI53" s="2"/>
      <c r="VAJ53" s="2"/>
      <c r="VAK53" s="2"/>
      <c r="VAL53" s="42"/>
      <c r="VAM53" s="42"/>
      <c r="VAN53" s="42"/>
      <c r="VAO53" s="42"/>
      <c r="VAP53" s="42"/>
      <c r="VAQ53" s="42"/>
      <c r="VAR53" s="42"/>
      <c r="VAS53" s="42"/>
      <c r="VAT53" s="42"/>
      <c r="VAU53" s="42"/>
      <c r="VAV53" s="42"/>
      <c r="VAW53" s="42"/>
      <c r="VAX53" s="42"/>
      <c r="VAY53" s="42"/>
      <c r="VAZ53" s="42"/>
      <c r="VBA53" s="42"/>
      <c r="VBB53" s="42"/>
      <c r="VBC53" s="42"/>
      <c r="VBD53" s="42"/>
      <c r="VBE53" s="42"/>
      <c r="VBF53" s="42"/>
      <c r="VBG53" s="42"/>
      <c r="VBH53" s="42"/>
      <c r="VBI53" s="2"/>
      <c r="VBJ53" s="15"/>
      <c r="VBK53" s="42"/>
      <c r="VBL53" s="2"/>
      <c r="VBM53" s="2"/>
      <c r="VBN53" s="2"/>
      <c r="VBO53" s="2"/>
      <c r="VBP53" s="42"/>
      <c r="VBQ53" s="42"/>
      <c r="VBR53" s="42"/>
      <c r="VBS53" s="42"/>
      <c r="VBT53" s="42"/>
      <c r="VBU53" s="42"/>
      <c r="VBV53" s="42"/>
      <c r="VBW53" s="42"/>
      <c r="VBX53" s="42"/>
      <c r="VBY53" s="42"/>
      <c r="VBZ53" s="42"/>
      <c r="VCA53" s="42"/>
      <c r="VCB53" s="42"/>
      <c r="VCC53" s="42"/>
      <c r="VCD53" s="42"/>
      <c r="VCE53" s="42"/>
      <c r="VCF53" s="42"/>
      <c r="VCG53" s="42"/>
      <c r="VCH53" s="42"/>
      <c r="VCI53" s="42"/>
      <c r="VCJ53" s="42"/>
      <c r="VCK53" s="42"/>
      <c r="VCL53" s="42"/>
      <c r="VCM53" s="2"/>
      <c r="VCN53" s="15"/>
      <c r="VCO53" s="42"/>
      <c r="VCP53" s="2"/>
      <c r="VCQ53" s="2"/>
      <c r="VCR53" s="2"/>
      <c r="VCS53" s="2"/>
      <c r="VCT53" s="42"/>
      <c r="VCU53" s="42"/>
      <c r="VCV53" s="42"/>
      <c r="VCW53" s="42"/>
      <c r="VCX53" s="42"/>
      <c r="VCY53" s="42"/>
      <c r="VCZ53" s="42"/>
      <c r="VDA53" s="42"/>
      <c r="VDB53" s="42"/>
      <c r="VDC53" s="42"/>
      <c r="VDD53" s="42"/>
      <c r="VDE53" s="42"/>
      <c r="VDF53" s="42"/>
      <c r="VDG53" s="42"/>
      <c r="VDH53" s="42"/>
      <c r="VDI53" s="42"/>
      <c r="VDJ53" s="42"/>
      <c r="VDK53" s="42"/>
      <c r="VDL53" s="42"/>
      <c r="VDM53" s="42"/>
      <c r="VDN53" s="42"/>
      <c r="VDO53" s="42"/>
      <c r="VDP53" s="42"/>
      <c r="VDQ53" s="2"/>
      <c r="VDR53" s="15"/>
      <c r="VDS53" s="42"/>
      <c r="VDT53" s="2"/>
      <c r="VDU53" s="2"/>
      <c r="VDV53" s="2"/>
      <c r="VDW53" s="2"/>
      <c r="VDX53" s="42"/>
      <c r="VDY53" s="42"/>
      <c r="VDZ53" s="42"/>
      <c r="VEA53" s="42"/>
      <c r="VEB53" s="42"/>
      <c r="VEC53" s="42"/>
      <c r="VED53" s="42"/>
      <c r="VEE53" s="42"/>
      <c r="VEF53" s="42"/>
      <c r="VEG53" s="42"/>
      <c r="VEH53" s="42"/>
      <c r="VEI53" s="42"/>
      <c r="VEJ53" s="42"/>
      <c r="VEK53" s="42"/>
      <c r="VEL53" s="42"/>
      <c r="VEM53" s="42"/>
      <c r="VEN53" s="42"/>
      <c r="VEO53" s="42"/>
      <c r="VEP53" s="42"/>
      <c r="VEQ53" s="42"/>
      <c r="VER53" s="42"/>
      <c r="VES53" s="42"/>
      <c r="VET53" s="42"/>
      <c r="VEU53" s="2"/>
      <c r="VEV53" s="15"/>
      <c r="VEW53" s="42"/>
      <c r="VEX53" s="2"/>
      <c r="VEY53" s="2"/>
      <c r="VEZ53" s="2"/>
      <c r="VFA53" s="2"/>
      <c r="VFB53" s="42"/>
      <c r="VFC53" s="42"/>
      <c r="VFD53" s="42"/>
      <c r="VFE53" s="42"/>
      <c r="VFF53" s="42"/>
      <c r="VFG53" s="42"/>
      <c r="VFH53" s="42"/>
      <c r="VFI53" s="42"/>
      <c r="VFJ53" s="42"/>
      <c r="VFK53" s="42"/>
      <c r="VFL53" s="42"/>
      <c r="VFM53" s="42"/>
      <c r="VFN53" s="42"/>
      <c r="VFO53" s="42"/>
      <c r="VFP53" s="42"/>
      <c r="VFQ53" s="42"/>
      <c r="VFR53" s="42"/>
      <c r="VFS53" s="42"/>
      <c r="VFT53" s="42"/>
      <c r="VFU53" s="42"/>
      <c r="VFV53" s="42"/>
      <c r="VFW53" s="42"/>
      <c r="VFX53" s="42"/>
      <c r="VFY53" s="2"/>
      <c r="VFZ53" s="15"/>
      <c r="VGA53" s="42"/>
      <c r="VGB53" s="2"/>
      <c r="VGC53" s="2"/>
      <c r="VGD53" s="2"/>
      <c r="VGE53" s="2"/>
      <c r="VGF53" s="42"/>
      <c r="VGG53" s="42"/>
      <c r="VGH53" s="42"/>
      <c r="VGI53" s="42"/>
      <c r="VGJ53" s="42"/>
      <c r="VGK53" s="42"/>
      <c r="VGL53" s="42"/>
      <c r="VGM53" s="42"/>
      <c r="VGN53" s="42"/>
      <c r="VGO53" s="42"/>
      <c r="VGP53" s="42"/>
      <c r="VGQ53" s="42"/>
      <c r="VGR53" s="42"/>
      <c r="VGS53" s="42"/>
      <c r="VGT53" s="42"/>
      <c r="VGU53" s="42"/>
      <c r="VGV53" s="42"/>
      <c r="VGW53" s="42"/>
      <c r="VGX53" s="42"/>
      <c r="VGY53" s="42"/>
      <c r="VGZ53" s="42"/>
      <c r="VHA53" s="42"/>
      <c r="VHB53" s="42"/>
      <c r="VHC53" s="2"/>
      <c r="VHD53" s="15"/>
      <c r="VHE53" s="42"/>
      <c r="VHF53" s="2"/>
      <c r="VHG53" s="2"/>
      <c r="VHH53" s="2"/>
      <c r="VHI53" s="2"/>
      <c r="VHJ53" s="42"/>
      <c r="VHK53" s="42"/>
      <c r="VHL53" s="42"/>
      <c r="VHM53" s="42"/>
      <c r="VHN53" s="42"/>
      <c r="VHO53" s="42"/>
      <c r="VHP53" s="42"/>
      <c r="VHQ53" s="42"/>
      <c r="VHR53" s="42"/>
      <c r="VHS53" s="42"/>
      <c r="VHT53" s="42"/>
      <c r="VHU53" s="42"/>
      <c r="VHV53" s="42"/>
      <c r="VHW53" s="42"/>
      <c r="VHX53" s="42"/>
      <c r="VHY53" s="42"/>
      <c r="VHZ53" s="42"/>
      <c r="VIA53" s="42"/>
      <c r="VIB53" s="42"/>
      <c r="VIC53" s="42"/>
      <c r="VID53" s="42"/>
      <c r="VIE53" s="42"/>
      <c r="VIF53" s="42"/>
      <c r="VIG53" s="2"/>
      <c r="VIH53" s="15"/>
      <c r="VII53" s="42"/>
      <c r="VIJ53" s="2"/>
      <c r="VIK53" s="2"/>
      <c r="VIL53" s="2"/>
      <c r="VIM53" s="2"/>
      <c r="VIN53" s="42"/>
      <c r="VIO53" s="42"/>
      <c r="VIP53" s="42"/>
      <c r="VIQ53" s="42"/>
      <c r="VIR53" s="42"/>
      <c r="VIS53" s="42"/>
      <c r="VIT53" s="42"/>
      <c r="VIU53" s="42"/>
      <c r="VIV53" s="42"/>
      <c r="VIW53" s="42"/>
      <c r="VIX53" s="42"/>
      <c r="VIY53" s="42"/>
      <c r="VIZ53" s="42"/>
      <c r="VJA53" s="42"/>
      <c r="VJB53" s="42"/>
      <c r="VJC53" s="42"/>
      <c r="VJD53" s="42"/>
      <c r="VJE53" s="42"/>
      <c r="VJF53" s="42"/>
      <c r="VJG53" s="42"/>
      <c r="VJH53" s="42"/>
      <c r="VJI53" s="42"/>
      <c r="VJJ53" s="42"/>
      <c r="VJK53" s="2"/>
      <c r="VJL53" s="15"/>
      <c r="VJM53" s="42"/>
      <c r="VJN53" s="2"/>
      <c r="VJO53" s="2"/>
      <c r="VJP53" s="2"/>
      <c r="VJQ53" s="2"/>
      <c r="VJR53" s="42"/>
      <c r="VJS53" s="42"/>
      <c r="VJT53" s="42"/>
      <c r="VJU53" s="42"/>
      <c r="VJV53" s="42"/>
      <c r="VJW53" s="42"/>
      <c r="VJX53" s="42"/>
      <c r="VJY53" s="42"/>
      <c r="VJZ53" s="42"/>
      <c r="VKA53" s="42"/>
      <c r="VKB53" s="42"/>
      <c r="VKC53" s="42"/>
      <c r="VKD53" s="42"/>
      <c r="VKE53" s="42"/>
      <c r="VKF53" s="42"/>
      <c r="VKG53" s="42"/>
      <c r="VKH53" s="42"/>
      <c r="VKI53" s="42"/>
      <c r="VKJ53" s="42"/>
      <c r="VKK53" s="42"/>
      <c r="VKL53" s="42"/>
      <c r="VKM53" s="42"/>
      <c r="VKN53" s="42"/>
      <c r="VKO53" s="2"/>
      <c r="VKP53" s="15"/>
      <c r="VKQ53" s="42"/>
      <c r="VKR53" s="2"/>
      <c r="VKS53" s="2"/>
      <c r="VKT53" s="2"/>
      <c r="VKU53" s="2"/>
      <c r="VKV53" s="42"/>
      <c r="VKW53" s="42"/>
      <c r="VKX53" s="42"/>
      <c r="VKY53" s="42"/>
      <c r="VKZ53" s="42"/>
      <c r="VLA53" s="42"/>
      <c r="VLB53" s="42"/>
      <c r="VLC53" s="42"/>
      <c r="VLD53" s="42"/>
      <c r="VLE53" s="42"/>
      <c r="VLF53" s="42"/>
      <c r="VLG53" s="42"/>
      <c r="VLH53" s="42"/>
      <c r="VLI53" s="42"/>
      <c r="VLJ53" s="42"/>
      <c r="VLK53" s="42"/>
      <c r="VLL53" s="42"/>
      <c r="VLM53" s="42"/>
      <c r="VLN53" s="42"/>
      <c r="VLO53" s="42"/>
      <c r="VLP53" s="42"/>
      <c r="VLQ53" s="42"/>
      <c r="VLR53" s="42"/>
      <c r="VLS53" s="2"/>
      <c r="VLT53" s="15"/>
      <c r="VLU53" s="42"/>
      <c r="VLV53" s="2"/>
      <c r="VLW53" s="2"/>
      <c r="VLX53" s="2"/>
      <c r="VLY53" s="2"/>
      <c r="VLZ53" s="42"/>
      <c r="VMA53" s="42"/>
      <c r="VMB53" s="42"/>
      <c r="VMC53" s="42"/>
      <c r="VMD53" s="42"/>
      <c r="VME53" s="42"/>
      <c r="VMF53" s="42"/>
      <c r="VMG53" s="42"/>
      <c r="VMH53" s="42"/>
      <c r="VMI53" s="42"/>
      <c r="VMJ53" s="42"/>
      <c r="VMK53" s="42"/>
      <c r="VML53" s="42"/>
      <c r="VMM53" s="42"/>
      <c r="VMN53" s="42"/>
      <c r="VMO53" s="42"/>
      <c r="VMP53" s="42"/>
      <c r="VMQ53" s="42"/>
      <c r="VMR53" s="42"/>
      <c r="VMS53" s="42"/>
      <c r="VMT53" s="42"/>
      <c r="VMU53" s="42"/>
      <c r="VMV53" s="42"/>
      <c r="VMW53" s="2"/>
      <c r="VMX53" s="15"/>
      <c r="VMY53" s="42"/>
      <c r="VMZ53" s="2"/>
      <c r="VNA53" s="2"/>
      <c r="VNB53" s="2"/>
      <c r="VNC53" s="2"/>
      <c r="VND53" s="42"/>
      <c r="VNE53" s="42"/>
      <c r="VNF53" s="42"/>
      <c r="VNG53" s="42"/>
      <c r="VNH53" s="42"/>
      <c r="VNI53" s="42"/>
      <c r="VNJ53" s="42"/>
      <c r="VNK53" s="42"/>
      <c r="VNL53" s="42"/>
      <c r="VNM53" s="42"/>
      <c r="VNN53" s="42"/>
      <c r="VNO53" s="42"/>
      <c r="VNP53" s="42"/>
      <c r="VNQ53" s="42"/>
      <c r="VNR53" s="42"/>
      <c r="VNS53" s="42"/>
      <c r="VNT53" s="42"/>
      <c r="VNU53" s="42"/>
      <c r="VNV53" s="42"/>
      <c r="VNW53" s="42"/>
      <c r="VNX53" s="42"/>
      <c r="VNY53" s="42"/>
      <c r="VNZ53" s="42"/>
      <c r="VOA53" s="2"/>
      <c r="VOB53" s="15"/>
      <c r="VOC53" s="42"/>
      <c r="VOD53" s="2"/>
      <c r="VOE53" s="2"/>
      <c r="VOF53" s="2"/>
      <c r="VOG53" s="2"/>
      <c r="VOH53" s="42"/>
      <c r="VOI53" s="42"/>
      <c r="VOJ53" s="42"/>
      <c r="VOK53" s="42"/>
      <c r="VOL53" s="42"/>
      <c r="VOM53" s="42"/>
      <c r="VON53" s="42"/>
      <c r="VOO53" s="42"/>
      <c r="VOP53" s="42"/>
      <c r="VOQ53" s="42"/>
      <c r="VOR53" s="42"/>
      <c r="VOS53" s="42"/>
      <c r="VOT53" s="42"/>
      <c r="VOU53" s="42"/>
      <c r="VOV53" s="42"/>
      <c r="VOW53" s="42"/>
      <c r="VOX53" s="42"/>
      <c r="VOY53" s="42"/>
      <c r="VOZ53" s="42"/>
      <c r="VPA53" s="42"/>
      <c r="VPB53" s="42"/>
      <c r="VPC53" s="42"/>
      <c r="VPD53" s="42"/>
      <c r="VPE53" s="2"/>
      <c r="VPF53" s="15"/>
      <c r="VPG53" s="42"/>
      <c r="VPH53" s="2"/>
      <c r="VPI53" s="2"/>
      <c r="VPJ53" s="2"/>
      <c r="VPK53" s="2"/>
      <c r="VPL53" s="42"/>
      <c r="VPM53" s="42"/>
      <c r="VPN53" s="42"/>
      <c r="VPO53" s="42"/>
      <c r="VPP53" s="42"/>
      <c r="VPQ53" s="42"/>
      <c r="VPR53" s="42"/>
      <c r="VPS53" s="42"/>
      <c r="VPT53" s="42"/>
      <c r="VPU53" s="42"/>
      <c r="VPV53" s="42"/>
      <c r="VPW53" s="42"/>
      <c r="VPX53" s="42"/>
      <c r="VPY53" s="42"/>
      <c r="VPZ53" s="42"/>
      <c r="VQA53" s="42"/>
      <c r="VQB53" s="42"/>
      <c r="VQC53" s="42"/>
      <c r="VQD53" s="42"/>
      <c r="VQE53" s="42"/>
      <c r="VQF53" s="42"/>
      <c r="VQG53" s="42"/>
      <c r="VQH53" s="42"/>
      <c r="VQI53" s="2"/>
      <c r="VQJ53" s="15"/>
      <c r="VQK53" s="42"/>
      <c r="VQL53" s="2"/>
      <c r="VQM53" s="2"/>
      <c r="VQN53" s="2"/>
      <c r="VQO53" s="2"/>
      <c r="VQP53" s="42"/>
      <c r="VQQ53" s="42"/>
      <c r="VQR53" s="42"/>
      <c r="VQS53" s="42"/>
      <c r="VQT53" s="42"/>
      <c r="VQU53" s="42"/>
      <c r="VQV53" s="42"/>
      <c r="VQW53" s="42"/>
      <c r="VQX53" s="42"/>
      <c r="VQY53" s="42"/>
      <c r="VQZ53" s="42"/>
      <c r="VRA53" s="42"/>
      <c r="VRB53" s="42"/>
      <c r="VRC53" s="42"/>
      <c r="VRD53" s="42"/>
      <c r="VRE53" s="42"/>
      <c r="VRF53" s="42"/>
      <c r="VRG53" s="42"/>
      <c r="VRH53" s="42"/>
      <c r="VRI53" s="42"/>
      <c r="VRJ53" s="42"/>
      <c r="VRK53" s="42"/>
      <c r="VRL53" s="42"/>
      <c r="VRM53" s="2"/>
      <c r="VRN53" s="15"/>
      <c r="VRO53" s="42"/>
      <c r="VRP53" s="2"/>
      <c r="VRQ53" s="2"/>
      <c r="VRR53" s="2"/>
      <c r="VRS53" s="2"/>
      <c r="VRT53" s="42"/>
      <c r="VRU53" s="42"/>
      <c r="VRV53" s="42"/>
      <c r="VRW53" s="42"/>
      <c r="VRX53" s="42"/>
      <c r="VRY53" s="42"/>
      <c r="VRZ53" s="42"/>
      <c r="VSA53" s="42"/>
      <c r="VSB53" s="42"/>
      <c r="VSC53" s="42"/>
      <c r="VSD53" s="42"/>
      <c r="VSE53" s="42"/>
      <c r="VSF53" s="42"/>
      <c r="VSG53" s="42"/>
      <c r="VSH53" s="42"/>
      <c r="VSI53" s="42"/>
      <c r="VSJ53" s="42"/>
      <c r="VSK53" s="42"/>
      <c r="VSL53" s="42"/>
      <c r="VSM53" s="42"/>
      <c r="VSN53" s="42"/>
      <c r="VSO53" s="42"/>
      <c r="VSP53" s="42"/>
      <c r="VSQ53" s="2"/>
      <c r="VSR53" s="15"/>
      <c r="VSS53" s="42"/>
      <c r="VST53" s="2"/>
      <c r="VSU53" s="2"/>
      <c r="VSV53" s="2"/>
      <c r="VSW53" s="2"/>
      <c r="VSX53" s="42"/>
      <c r="VSY53" s="42"/>
      <c r="VSZ53" s="42"/>
      <c r="VTA53" s="42"/>
      <c r="VTB53" s="42"/>
      <c r="VTC53" s="42"/>
      <c r="VTD53" s="42"/>
      <c r="VTE53" s="42"/>
      <c r="VTF53" s="42"/>
      <c r="VTG53" s="42"/>
      <c r="VTH53" s="42"/>
      <c r="VTI53" s="42"/>
      <c r="VTJ53" s="42"/>
      <c r="VTK53" s="42"/>
      <c r="VTL53" s="42"/>
      <c r="VTM53" s="42"/>
      <c r="VTN53" s="42"/>
      <c r="VTO53" s="42"/>
      <c r="VTP53" s="42"/>
      <c r="VTQ53" s="42"/>
      <c r="VTR53" s="42"/>
      <c r="VTS53" s="42"/>
      <c r="VTT53" s="42"/>
      <c r="VTU53" s="2"/>
      <c r="VTV53" s="15"/>
      <c r="VTW53" s="42"/>
      <c r="VTX53" s="2"/>
      <c r="VTY53" s="2"/>
      <c r="VTZ53" s="2"/>
      <c r="VUA53" s="2"/>
      <c r="VUB53" s="42"/>
      <c r="VUC53" s="42"/>
      <c r="VUD53" s="42"/>
      <c r="VUE53" s="42"/>
      <c r="VUF53" s="42"/>
      <c r="VUG53" s="42"/>
      <c r="VUH53" s="42"/>
      <c r="VUI53" s="42"/>
      <c r="VUJ53" s="42"/>
      <c r="VUK53" s="42"/>
      <c r="VUL53" s="42"/>
      <c r="VUM53" s="42"/>
      <c r="VUN53" s="42"/>
      <c r="VUO53" s="42"/>
      <c r="VUP53" s="42"/>
      <c r="VUQ53" s="42"/>
      <c r="VUR53" s="42"/>
      <c r="VUS53" s="42"/>
      <c r="VUT53" s="42"/>
      <c r="VUU53" s="42"/>
      <c r="VUV53" s="42"/>
      <c r="VUW53" s="42"/>
      <c r="VUX53" s="42"/>
      <c r="VUY53" s="2"/>
      <c r="VUZ53" s="15"/>
      <c r="VVA53" s="42"/>
      <c r="VVB53" s="2"/>
      <c r="VVC53" s="2"/>
      <c r="VVD53" s="2"/>
      <c r="VVE53" s="2"/>
      <c r="VVF53" s="42"/>
      <c r="VVG53" s="42"/>
      <c r="VVH53" s="42"/>
      <c r="VVI53" s="42"/>
      <c r="VVJ53" s="42"/>
      <c r="VVK53" s="42"/>
      <c r="VVL53" s="42"/>
      <c r="VVM53" s="42"/>
      <c r="VVN53" s="42"/>
      <c r="VVO53" s="42"/>
      <c r="VVP53" s="42"/>
      <c r="VVQ53" s="42"/>
      <c r="VVR53" s="42"/>
      <c r="VVS53" s="42"/>
      <c r="VVT53" s="42"/>
      <c r="VVU53" s="42"/>
      <c r="VVV53" s="42"/>
      <c r="VVW53" s="42"/>
      <c r="VVX53" s="42"/>
      <c r="VVY53" s="42"/>
      <c r="VVZ53" s="42"/>
      <c r="VWA53" s="42"/>
      <c r="VWB53" s="42"/>
      <c r="VWC53" s="2"/>
      <c r="VWD53" s="15"/>
      <c r="VWE53" s="42"/>
      <c r="VWF53" s="2"/>
      <c r="VWG53" s="2"/>
      <c r="VWH53" s="2"/>
      <c r="VWI53" s="2"/>
      <c r="VWJ53" s="42"/>
      <c r="VWK53" s="42"/>
      <c r="VWL53" s="42"/>
      <c r="VWM53" s="42"/>
      <c r="VWN53" s="42"/>
      <c r="VWO53" s="42"/>
      <c r="VWP53" s="42"/>
      <c r="VWQ53" s="42"/>
      <c r="VWR53" s="42"/>
      <c r="VWS53" s="42"/>
      <c r="VWT53" s="42"/>
      <c r="VWU53" s="42"/>
      <c r="VWV53" s="42"/>
      <c r="VWW53" s="42"/>
      <c r="VWX53" s="42"/>
      <c r="VWY53" s="42"/>
      <c r="VWZ53" s="42"/>
      <c r="VXA53" s="42"/>
      <c r="VXB53" s="42"/>
      <c r="VXC53" s="42"/>
      <c r="VXD53" s="42"/>
      <c r="VXE53" s="42"/>
      <c r="VXF53" s="42"/>
      <c r="VXG53" s="2"/>
      <c r="VXH53" s="15"/>
      <c r="VXI53" s="42"/>
      <c r="VXJ53" s="2"/>
      <c r="VXK53" s="2"/>
      <c r="VXL53" s="2"/>
      <c r="VXM53" s="2"/>
      <c r="VXN53" s="42"/>
      <c r="VXO53" s="42"/>
      <c r="VXP53" s="42"/>
      <c r="VXQ53" s="42"/>
      <c r="VXR53" s="42"/>
      <c r="VXS53" s="42"/>
      <c r="VXT53" s="42"/>
      <c r="VXU53" s="42"/>
      <c r="VXV53" s="42"/>
      <c r="VXW53" s="42"/>
      <c r="VXX53" s="42"/>
      <c r="VXY53" s="42"/>
      <c r="VXZ53" s="42"/>
      <c r="VYA53" s="42"/>
      <c r="VYB53" s="42"/>
      <c r="VYC53" s="42"/>
      <c r="VYD53" s="42"/>
      <c r="VYE53" s="42"/>
      <c r="VYF53" s="42"/>
      <c r="VYG53" s="42"/>
      <c r="VYH53" s="42"/>
      <c r="VYI53" s="42"/>
      <c r="VYJ53" s="42"/>
      <c r="VYK53" s="2"/>
      <c r="VYL53" s="15"/>
      <c r="VYM53" s="42"/>
      <c r="VYN53" s="2"/>
      <c r="VYO53" s="2"/>
      <c r="VYP53" s="2"/>
      <c r="VYQ53" s="2"/>
      <c r="VYR53" s="42"/>
      <c r="VYS53" s="42"/>
      <c r="VYT53" s="42"/>
      <c r="VYU53" s="42"/>
      <c r="VYV53" s="42"/>
      <c r="VYW53" s="42"/>
      <c r="VYX53" s="42"/>
      <c r="VYY53" s="42"/>
      <c r="VYZ53" s="42"/>
      <c r="VZA53" s="42"/>
      <c r="VZB53" s="42"/>
      <c r="VZC53" s="42"/>
      <c r="VZD53" s="42"/>
      <c r="VZE53" s="42"/>
      <c r="VZF53" s="42"/>
      <c r="VZG53" s="42"/>
      <c r="VZH53" s="42"/>
      <c r="VZI53" s="42"/>
      <c r="VZJ53" s="42"/>
      <c r="VZK53" s="42"/>
      <c r="VZL53" s="42"/>
      <c r="VZM53" s="42"/>
      <c r="VZN53" s="42"/>
      <c r="VZO53" s="2"/>
      <c r="VZP53" s="15"/>
      <c r="VZQ53" s="42"/>
      <c r="VZR53" s="2"/>
      <c r="VZS53" s="2"/>
      <c r="VZT53" s="2"/>
      <c r="VZU53" s="2"/>
      <c r="VZV53" s="42"/>
      <c r="VZW53" s="42"/>
      <c r="VZX53" s="42"/>
      <c r="VZY53" s="42"/>
      <c r="VZZ53" s="42"/>
      <c r="WAA53" s="42"/>
      <c r="WAB53" s="42"/>
      <c r="WAC53" s="42"/>
      <c r="WAD53" s="42"/>
      <c r="WAE53" s="42"/>
      <c r="WAF53" s="42"/>
      <c r="WAG53" s="42"/>
      <c r="WAH53" s="42"/>
      <c r="WAI53" s="42"/>
      <c r="WAJ53" s="42"/>
      <c r="WAK53" s="42"/>
      <c r="WAL53" s="42"/>
      <c r="WAM53" s="42"/>
      <c r="WAN53" s="42"/>
      <c r="WAO53" s="42"/>
      <c r="WAP53" s="42"/>
      <c r="WAQ53" s="42"/>
      <c r="WAR53" s="42"/>
      <c r="WAS53" s="2"/>
      <c r="WAT53" s="15"/>
      <c r="WAU53" s="42"/>
      <c r="WAV53" s="2"/>
      <c r="WAW53" s="2"/>
      <c r="WAX53" s="2"/>
      <c r="WAY53" s="2"/>
      <c r="WAZ53" s="42"/>
      <c r="WBA53" s="42"/>
      <c r="WBB53" s="42"/>
      <c r="WBC53" s="42"/>
      <c r="WBD53" s="42"/>
      <c r="WBE53" s="42"/>
      <c r="WBF53" s="42"/>
      <c r="WBG53" s="42"/>
      <c r="WBH53" s="42"/>
      <c r="WBI53" s="42"/>
      <c r="WBJ53" s="42"/>
      <c r="WBK53" s="42"/>
      <c r="WBL53" s="42"/>
      <c r="WBM53" s="42"/>
      <c r="WBN53" s="42"/>
      <c r="WBO53" s="42"/>
      <c r="WBP53" s="42"/>
      <c r="WBQ53" s="42"/>
      <c r="WBR53" s="42"/>
      <c r="WBS53" s="42"/>
      <c r="WBT53" s="42"/>
      <c r="WBU53" s="42"/>
      <c r="WBV53" s="42"/>
      <c r="WBW53" s="2"/>
      <c r="WBX53" s="15"/>
      <c r="WBY53" s="42"/>
      <c r="WBZ53" s="2"/>
      <c r="WCA53" s="2"/>
      <c r="WCB53" s="2"/>
      <c r="WCC53" s="2"/>
      <c r="WCD53" s="42"/>
      <c r="WCE53" s="42"/>
      <c r="WCF53" s="42"/>
      <c r="WCG53" s="42"/>
      <c r="WCH53" s="42"/>
      <c r="WCI53" s="42"/>
      <c r="WCJ53" s="42"/>
      <c r="WCK53" s="42"/>
      <c r="WCL53" s="42"/>
      <c r="WCM53" s="42"/>
      <c r="WCN53" s="42"/>
      <c r="WCO53" s="42"/>
      <c r="WCP53" s="42"/>
      <c r="WCQ53" s="42"/>
      <c r="WCR53" s="42"/>
      <c r="WCS53" s="42"/>
      <c r="WCT53" s="42"/>
      <c r="WCU53" s="42"/>
      <c r="WCV53" s="42"/>
      <c r="WCW53" s="42"/>
      <c r="WCX53" s="42"/>
      <c r="WCY53" s="42"/>
      <c r="WCZ53" s="42"/>
      <c r="WDA53" s="2"/>
      <c r="WDB53" s="15"/>
      <c r="WDC53" s="42"/>
      <c r="WDD53" s="2"/>
      <c r="WDE53" s="2"/>
      <c r="WDF53" s="2"/>
      <c r="WDG53" s="2"/>
      <c r="WDH53" s="42"/>
      <c r="WDI53" s="42"/>
      <c r="WDJ53" s="42"/>
      <c r="WDK53" s="42"/>
      <c r="WDL53" s="42"/>
      <c r="WDM53" s="42"/>
      <c r="WDN53" s="42"/>
      <c r="WDO53" s="42"/>
      <c r="WDP53" s="42"/>
      <c r="WDQ53" s="42"/>
      <c r="WDR53" s="42"/>
      <c r="WDS53" s="42"/>
      <c r="WDT53" s="42"/>
      <c r="WDU53" s="42"/>
      <c r="WDV53" s="42"/>
      <c r="WDW53" s="42"/>
      <c r="WDX53" s="42"/>
      <c r="WDY53" s="42"/>
      <c r="WDZ53" s="42"/>
      <c r="WEA53" s="42"/>
      <c r="WEB53" s="42"/>
      <c r="WEC53" s="42"/>
      <c r="WED53" s="42"/>
      <c r="WEE53" s="2"/>
      <c r="WEF53" s="15"/>
      <c r="WEG53" s="42"/>
      <c r="WEH53" s="2"/>
      <c r="WEI53" s="2"/>
      <c r="WEJ53" s="2"/>
      <c r="WEK53" s="2"/>
      <c r="WEL53" s="42"/>
      <c r="WEM53" s="42"/>
      <c r="WEN53" s="42"/>
      <c r="WEO53" s="42"/>
      <c r="WEP53" s="42"/>
      <c r="WEQ53" s="42"/>
      <c r="WER53" s="42"/>
      <c r="WES53" s="42"/>
      <c r="WET53" s="42"/>
      <c r="WEU53" s="42"/>
      <c r="WEV53" s="42"/>
      <c r="WEW53" s="42"/>
      <c r="WEX53" s="42"/>
      <c r="WEY53" s="42"/>
      <c r="WEZ53" s="42"/>
      <c r="WFA53" s="42"/>
      <c r="WFB53" s="42"/>
      <c r="WFC53" s="42"/>
      <c r="WFD53" s="42"/>
      <c r="WFE53" s="42"/>
      <c r="WFF53" s="42"/>
      <c r="WFG53" s="42"/>
      <c r="WFH53" s="42"/>
      <c r="WFI53" s="2"/>
      <c r="WFJ53" s="15"/>
      <c r="WFK53" s="42"/>
      <c r="WFL53" s="2"/>
      <c r="WFM53" s="2"/>
      <c r="WFN53" s="2"/>
      <c r="WFO53" s="2"/>
      <c r="WFP53" s="42"/>
      <c r="WFQ53" s="42"/>
      <c r="WFR53" s="42"/>
      <c r="WFS53" s="42"/>
      <c r="WFT53" s="42"/>
      <c r="WFU53" s="42"/>
      <c r="WFV53" s="42"/>
      <c r="WFW53" s="42"/>
      <c r="WFX53" s="42"/>
      <c r="WFY53" s="42"/>
      <c r="WFZ53" s="42"/>
      <c r="WGA53" s="42"/>
      <c r="WGB53" s="42"/>
      <c r="WGC53" s="42"/>
      <c r="WGD53" s="42"/>
      <c r="WGE53" s="42"/>
      <c r="WGF53" s="42"/>
      <c r="WGG53" s="42"/>
      <c r="WGH53" s="42"/>
      <c r="WGI53" s="42"/>
      <c r="WGJ53" s="42"/>
      <c r="WGK53" s="42"/>
      <c r="WGL53" s="42"/>
      <c r="WGM53" s="2"/>
      <c r="WGN53" s="15"/>
      <c r="WGO53" s="42"/>
      <c r="WGP53" s="2"/>
      <c r="WGQ53" s="2"/>
      <c r="WGR53" s="2"/>
      <c r="WGS53" s="2"/>
      <c r="WGT53" s="42"/>
      <c r="WGU53" s="42"/>
      <c r="WGV53" s="42"/>
      <c r="WGW53" s="42"/>
      <c r="WGX53" s="42"/>
      <c r="WGY53" s="42"/>
      <c r="WGZ53" s="42"/>
      <c r="WHA53" s="42"/>
      <c r="WHB53" s="42"/>
      <c r="WHC53" s="42"/>
      <c r="WHD53" s="42"/>
      <c r="WHE53" s="42"/>
      <c r="WHF53" s="42"/>
      <c r="WHG53" s="42"/>
      <c r="WHH53" s="42"/>
      <c r="WHI53" s="42"/>
      <c r="WHJ53" s="42"/>
      <c r="WHK53" s="42"/>
      <c r="WHL53" s="42"/>
      <c r="WHM53" s="42"/>
      <c r="WHN53" s="42"/>
      <c r="WHO53" s="42"/>
      <c r="WHP53" s="42"/>
      <c r="WHQ53" s="2"/>
      <c r="WHR53" s="15"/>
      <c r="WHS53" s="42"/>
      <c r="WHT53" s="2"/>
      <c r="WHU53" s="2"/>
      <c r="WHV53" s="2"/>
      <c r="WHW53" s="2"/>
      <c r="WHX53" s="42"/>
      <c r="WHY53" s="42"/>
      <c r="WHZ53" s="42"/>
      <c r="WIA53" s="42"/>
      <c r="WIB53" s="42"/>
      <c r="WIC53" s="42"/>
      <c r="WID53" s="42"/>
      <c r="WIE53" s="42"/>
      <c r="WIF53" s="42"/>
      <c r="WIG53" s="42"/>
      <c r="WIH53" s="42"/>
      <c r="WII53" s="42"/>
      <c r="WIJ53" s="42"/>
      <c r="WIK53" s="42"/>
      <c r="WIL53" s="42"/>
      <c r="WIM53" s="42"/>
      <c r="WIN53" s="42"/>
      <c r="WIO53" s="42"/>
      <c r="WIP53" s="42"/>
      <c r="WIQ53" s="42"/>
      <c r="WIR53" s="42"/>
      <c r="WIS53" s="42"/>
      <c r="WIT53" s="42"/>
      <c r="WIU53" s="2"/>
      <c r="WIV53" s="15"/>
      <c r="WIW53" s="42"/>
      <c r="WIX53" s="2"/>
      <c r="WIY53" s="2"/>
      <c r="WIZ53" s="2"/>
      <c r="WJA53" s="2"/>
      <c r="WJB53" s="42"/>
      <c r="WJC53" s="42"/>
      <c r="WJD53" s="42"/>
      <c r="WJE53" s="42"/>
      <c r="WJF53" s="42"/>
      <c r="WJG53" s="42"/>
      <c r="WJH53" s="42"/>
      <c r="WJI53" s="42"/>
      <c r="WJJ53" s="42"/>
      <c r="WJK53" s="42"/>
      <c r="WJL53" s="42"/>
      <c r="WJM53" s="42"/>
      <c r="WJN53" s="42"/>
      <c r="WJO53" s="42"/>
      <c r="WJP53" s="42"/>
      <c r="WJQ53" s="42"/>
      <c r="WJR53" s="42"/>
      <c r="WJS53" s="42"/>
      <c r="WJT53" s="42"/>
      <c r="WJU53" s="42"/>
      <c r="WJV53" s="42"/>
      <c r="WJW53" s="42"/>
      <c r="WJX53" s="42"/>
      <c r="WJY53" s="2"/>
      <c r="WJZ53" s="15"/>
      <c r="WKA53" s="42"/>
      <c r="WKB53" s="2"/>
      <c r="WKC53" s="2"/>
      <c r="WKD53" s="2"/>
      <c r="WKE53" s="2"/>
      <c r="WKF53" s="42"/>
      <c r="WKG53" s="42"/>
      <c r="WKH53" s="42"/>
      <c r="WKI53" s="42"/>
      <c r="WKJ53" s="42"/>
      <c r="WKK53" s="42"/>
      <c r="WKL53" s="42"/>
      <c r="WKM53" s="42"/>
      <c r="WKN53" s="42"/>
      <c r="WKO53" s="42"/>
      <c r="WKP53" s="42"/>
      <c r="WKQ53" s="42"/>
      <c r="WKR53" s="42"/>
      <c r="WKS53" s="42"/>
      <c r="WKT53" s="42"/>
      <c r="WKU53" s="42"/>
      <c r="WKV53" s="42"/>
      <c r="WKW53" s="42"/>
      <c r="WKX53" s="42"/>
      <c r="WKY53" s="42"/>
      <c r="WKZ53" s="42"/>
      <c r="WLA53" s="42"/>
      <c r="WLB53" s="42"/>
      <c r="WLC53" s="2"/>
      <c r="WLD53" s="15"/>
      <c r="WLE53" s="42"/>
      <c r="WLF53" s="2"/>
      <c r="WLG53" s="2"/>
      <c r="WLH53" s="2"/>
      <c r="WLI53" s="2"/>
      <c r="WLJ53" s="42"/>
      <c r="WLK53" s="42"/>
      <c r="WLL53" s="42"/>
      <c r="WLM53" s="42"/>
      <c r="WLN53" s="42"/>
      <c r="WLO53" s="42"/>
      <c r="WLP53" s="42"/>
      <c r="WLQ53" s="42"/>
      <c r="WLR53" s="42"/>
      <c r="WLS53" s="42"/>
      <c r="WLT53" s="42"/>
      <c r="WLU53" s="42"/>
      <c r="WLV53" s="42"/>
      <c r="WLW53" s="42"/>
      <c r="WLX53" s="42"/>
      <c r="WLY53" s="42"/>
      <c r="WLZ53" s="42"/>
      <c r="WMA53" s="42"/>
      <c r="WMB53" s="42"/>
      <c r="WMC53" s="42"/>
      <c r="WMD53" s="42"/>
      <c r="WME53" s="42"/>
      <c r="WMF53" s="42"/>
      <c r="WMG53" s="2"/>
      <c r="WMH53" s="15"/>
      <c r="WMI53" s="42"/>
      <c r="WMJ53" s="2"/>
      <c r="WMK53" s="2"/>
      <c r="WML53" s="2"/>
      <c r="WMM53" s="2"/>
      <c r="WMN53" s="42"/>
      <c r="WMO53" s="42"/>
      <c r="WMP53" s="42"/>
      <c r="WMQ53" s="42"/>
      <c r="WMR53" s="42"/>
      <c r="WMS53" s="42"/>
      <c r="WMT53" s="42"/>
      <c r="WMU53" s="42"/>
      <c r="WMV53" s="42"/>
      <c r="WMW53" s="42"/>
      <c r="WMX53" s="42"/>
      <c r="WMY53" s="42"/>
      <c r="WMZ53" s="42"/>
      <c r="WNA53" s="42"/>
      <c r="WNB53" s="42"/>
      <c r="WNC53" s="42"/>
      <c r="WND53" s="42"/>
      <c r="WNE53" s="42"/>
      <c r="WNF53" s="42"/>
      <c r="WNG53" s="42"/>
      <c r="WNH53" s="42"/>
      <c r="WNI53" s="42"/>
      <c r="WNJ53" s="42"/>
      <c r="WNK53" s="2"/>
      <c r="WNL53" s="15"/>
      <c r="WNM53" s="42"/>
      <c r="WNN53" s="2"/>
      <c r="WNO53" s="2"/>
      <c r="WNP53" s="2"/>
      <c r="WNQ53" s="2"/>
      <c r="WNR53" s="42"/>
      <c r="WNS53" s="42"/>
      <c r="WNT53" s="42"/>
      <c r="WNU53" s="42"/>
      <c r="WNV53" s="42"/>
      <c r="WNW53" s="42"/>
      <c r="WNX53" s="42"/>
      <c r="WNY53" s="42"/>
      <c r="WNZ53" s="42"/>
      <c r="WOA53" s="42"/>
      <c r="WOB53" s="42"/>
      <c r="WOC53" s="42"/>
      <c r="WOD53" s="42"/>
      <c r="WOE53" s="42"/>
      <c r="WOF53" s="42"/>
      <c r="WOG53" s="42"/>
      <c r="WOH53" s="42"/>
      <c r="WOI53" s="42"/>
      <c r="WOJ53" s="42"/>
      <c r="WOK53" s="42"/>
      <c r="WOL53" s="42"/>
      <c r="WOM53" s="42"/>
      <c r="WON53" s="42"/>
      <c r="WOO53" s="2"/>
      <c r="WOP53" s="15"/>
      <c r="WOQ53" s="42"/>
      <c r="WOR53" s="2"/>
      <c r="WOS53" s="2"/>
      <c r="WOT53" s="2"/>
      <c r="WOU53" s="2"/>
      <c r="WOV53" s="42"/>
      <c r="WOW53" s="42"/>
      <c r="WOX53" s="42"/>
      <c r="WOY53" s="42"/>
      <c r="WOZ53" s="42"/>
      <c r="WPA53" s="42"/>
      <c r="WPB53" s="42"/>
      <c r="WPC53" s="42"/>
      <c r="WPD53" s="42"/>
      <c r="WPE53" s="42"/>
      <c r="WPF53" s="42"/>
      <c r="WPG53" s="42"/>
      <c r="WPH53" s="42"/>
      <c r="WPI53" s="42"/>
      <c r="WPJ53" s="42"/>
      <c r="WPK53" s="42"/>
      <c r="WPL53" s="42"/>
      <c r="WPM53" s="42"/>
      <c r="WPN53" s="42"/>
      <c r="WPO53" s="42"/>
      <c r="WPP53" s="42"/>
      <c r="WPQ53" s="42"/>
      <c r="WPR53" s="42"/>
      <c r="WPS53" s="2"/>
      <c r="WPT53" s="15"/>
      <c r="WPU53" s="42"/>
      <c r="WPV53" s="2"/>
      <c r="WPW53" s="2"/>
      <c r="WPX53" s="2"/>
      <c r="WPY53" s="2"/>
      <c r="WPZ53" s="42"/>
      <c r="WQA53" s="42"/>
      <c r="WQB53" s="42"/>
      <c r="WQC53" s="42"/>
      <c r="WQD53" s="42"/>
      <c r="WQE53" s="42"/>
      <c r="WQF53" s="42"/>
      <c r="WQG53" s="42"/>
      <c r="WQH53" s="42"/>
      <c r="WQI53" s="42"/>
      <c r="WQJ53" s="42"/>
      <c r="WQK53" s="42"/>
      <c r="WQL53" s="42"/>
      <c r="WQM53" s="42"/>
      <c r="WQN53" s="42"/>
      <c r="WQO53" s="42"/>
      <c r="WQP53" s="42"/>
      <c r="WQQ53" s="42"/>
      <c r="WQR53" s="42"/>
      <c r="WQS53" s="42"/>
      <c r="WQT53" s="42"/>
      <c r="WQU53" s="42"/>
      <c r="WQV53" s="42"/>
      <c r="WQW53" s="2"/>
      <c r="WQX53" s="15"/>
      <c r="WQY53" s="42"/>
      <c r="WQZ53" s="2"/>
      <c r="WRA53" s="2"/>
      <c r="WRB53" s="2"/>
      <c r="WRC53" s="2"/>
      <c r="WRD53" s="42"/>
      <c r="WRE53" s="42"/>
      <c r="WRF53" s="42"/>
      <c r="WRG53" s="42"/>
      <c r="WRH53" s="42"/>
      <c r="WRI53" s="42"/>
      <c r="WRJ53" s="42"/>
      <c r="WRK53" s="42"/>
      <c r="WRL53" s="42"/>
      <c r="WRM53" s="42"/>
      <c r="WRN53" s="42"/>
      <c r="WRO53" s="42"/>
      <c r="WRP53" s="42"/>
      <c r="WRQ53" s="42"/>
      <c r="WRR53" s="42"/>
      <c r="WRS53" s="42"/>
      <c r="WRT53" s="42"/>
      <c r="WRU53" s="42"/>
      <c r="WRV53" s="42"/>
      <c r="WRW53" s="42"/>
      <c r="WRX53" s="42"/>
      <c r="WRY53" s="42"/>
      <c r="WRZ53" s="42"/>
      <c r="WSA53" s="2"/>
      <c r="WSB53" s="15"/>
      <c r="WSC53" s="42"/>
      <c r="WSD53" s="2"/>
      <c r="WSE53" s="2"/>
      <c r="WSF53" s="2"/>
      <c r="WSG53" s="2"/>
      <c r="WSH53" s="42"/>
      <c r="WSI53" s="42"/>
      <c r="WSJ53" s="42"/>
      <c r="WSK53" s="42"/>
      <c r="WSL53" s="42"/>
      <c r="WSM53" s="42"/>
      <c r="WSN53" s="42"/>
      <c r="WSO53" s="42"/>
      <c r="WSP53" s="42"/>
      <c r="WSQ53" s="42"/>
      <c r="WSR53" s="42"/>
      <c r="WSS53" s="42"/>
      <c r="WST53" s="42"/>
      <c r="WSU53" s="42"/>
      <c r="WSV53" s="42"/>
      <c r="WSW53" s="42"/>
      <c r="WSX53" s="42"/>
      <c r="WSY53" s="42"/>
      <c r="WSZ53" s="42"/>
      <c r="WTA53" s="42"/>
      <c r="WTB53" s="42"/>
      <c r="WTC53" s="42"/>
      <c r="WTD53" s="42"/>
      <c r="WTE53" s="2"/>
      <c r="WTF53" s="15"/>
      <c r="WTG53" s="42"/>
      <c r="WTH53" s="2"/>
      <c r="WTI53" s="2"/>
      <c r="WTJ53" s="2"/>
      <c r="WTK53" s="2"/>
      <c r="WTL53" s="42"/>
      <c r="WTM53" s="42"/>
      <c r="WTN53" s="42"/>
      <c r="WTO53" s="42"/>
      <c r="WTP53" s="42"/>
      <c r="WTQ53" s="42"/>
      <c r="WTR53" s="42"/>
      <c r="WTS53" s="42"/>
      <c r="WTT53" s="42"/>
      <c r="WTU53" s="42"/>
      <c r="WTV53" s="42"/>
      <c r="WTW53" s="42"/>
      <c r="WTX53" s="42"/>
      <c r="WTY53" s="42"/>
      <c r="WTZ53" s="42"/>
      <c r="WUA53" s="42"/>
      <c r="WUB53" s="42"/>
      <c r="WUC53" s="42"/>
      <c r="WUD53" s="42"/>
      <c r="WUE53" s="42"/>
      <c r="WUF53" s="42"/>
      <c r="WUG53" s="42"/>
      <c r="WUH53" s="42"/>
      <c r="WUI53" s="2"/>
      <c r="WUJ53" s="15"/>
      <c r="WUK53" s="42"/>
      <c r="WUL53" s="2"/>
      <c r="WUM53" s="2"/>
      <c r="WUN53" s="2"/>
      <c r="WUO53" s="2"/>
      <c r="WUP53" s="42"/>
      <c r="WUQ53" s="42"/>
      <c r="WUR53" s="42"/>
      <c r="WUS53" s="42"/>
      <c r="WUT53" s="42"/>
      <c r="WUU53" s="42"/>
      <c r="WUV53" s="42"/>
      <c r="WUW53" s="42"/>
      <c r="WUX53" s="42"/>
      <c r="WUY53" s="42"/>
      <c r="WUZ53" s="42"/>
      <c r="WVA53" s="42"/>
      <c r="WVB53" s="42"/>
      <c r="WVC53" s="42"/>
      <c r="WVD53" s="42"/>
      <c r="WVE53" s="42"/>
      <c r="WVF53" s="42"/>
      <c r="WVG53" s="42"/>
      <c r="WVH53" s="42"/>
      <c r="WVI53" s="42"/>
      <c r="WVJ53" s="42"/>
      <c r="WVK53" s="42"/>
      <c r="WVL53" s="42"/>
      <c r="WVM53" s="2"/>
      <c r="WVN53" s="15"/>
      <c r="WVO53" s="42"/>
      <c r="WVP53" s="2"/>
      <c r="WVQ53" s="2"/>
      <c r="WVR53" s="2"/>
      <c r="WVS53" s="2"/>
      <c r="WVT53" s="42"/>
      <c r="WVU53" s="42"/>
      <c r="WVV53" s="42"/>
      <c r="WVW53" s="42"/>
      <c r="WVX53" s="42"/>
      <c r="WVY53" s="42"/>
      <c r="WVZ53" s="42"/>
      <c r="WWA53" s="42"/>
      <c r="WWB53" s="42"/>
      <c r="WWC53" s="42"/>
      <c r="WWD53" s="42"/>
      <c r="WWE53" s="42"/>
      <c r="WWF53" s="42"/>
      <c r="WWG53" s="42"/>
      <c r="WWH53" s="42"/>
      <c r="WWI53" s="42"/>
      <c r="WWJ53" s="42"/>
      <c r="WWK53" s="42"/>
      <c r="WWL53" s="42"/>
      <c r="WWM53" s="42"/>
      <c r="WWN53" s="42"/>
      <c r="WWO53" s="42"/>
      <c r="WWP53" s="42"/>
      <c r="WWQ53" s="2"/>
      <c r="WWR53" s="15"/>
      <c r="WWS53" s="42"/>
      <c r="WWT53" s="2"/>
      <c r="WWU53" s="2"/>
      <c r="WWV53" s="2"/>
      <c r="WWW53" s="2"/>
      <c r="WWX53" s="42"/>
      <c r="WWY53" s="42"/>
      <c r="WWZ53" s="42"/>
      <c r="WXA53" s="42"/>
      <c r="WXB53" s="42"/>
      <c r="WXC53" s="42"/>
      <c r="WXD53" s="42"/>
      <c r="WXE53" s="42"/>
      <c r="WXF53" s="42"/>
      <c r="WXG53" s="42"/>
      <c r="WXH53" s="42"/>
      <c r="WXI53" s="42"/>
      <c r="WXJ53" s="42"/>
      <c r="WXK53" s="42"/>
      <c r="WXL53" s="42"/>
      <c r="WXM53" s="42"/>
      <c r="WXN53" s="42"/>
      <c r="WXO53" s="42"/>
      <c r="WXP53" s="42"/>
      <c r="WXQ53" s="42"/>
      <c r="WXR53" s="42"/>
      <c r="WXS53" s="42"/>
      <c r="WXT53" s="42"/>
      <c r="WXU53" s="2"/>
      <c r="WXV53" s="15"/>
      <c r="WXW53" s="42"/>
      <c r="WXX53" s="2"/>
      <c r="WXY53" s="2"/>
      <c r="WXZ53" s="2"/>
      <c r="WYA53" s="2"/>
      <c r="WYB53" s="42"/>
      <c r="WYC53" s="42"/>
      <c r="WYD53" s="42"/>
      <c r="WYE53" s="42"/>
      <c r="WYF53" s="42"/>
      <c r="WYG53" s="42"/>
      <c r="WYH53" s="42"/>
      <c r="WYI53" s="42"/>
      <c r="WYJ53" s="42"/>
      <c r="WYK53" s="42"/>
      <c r="WYL53" s="42"/>
      <c r="WYM53" s="42"/>
      <c r="WYN53" s="42"/>
      <c r="WYO53" s="42"/>
      <c r="WYP53" s="42"/>
      <c r="WYQ53" s="42"/>
      <c r="WYR53" s="42"/>
      <c r="WYS53" s="42"/>
      <c r="WYT53" s="42"/>
      <c r="WYU53" s="42"/>
      <c r="WYV53" s="42"/>
      <c r="WYW53" s="42"/>
      <c r="WYX53" s="42"/>
      <c r="WYY53" s="2"/>
      <c r="WYZ53" s="15"/>
      <c r="WZA53" s="42"/>
      <c r="WZB53" s="2"/>
      <c r="WZC53" s="2"/>
      <c r="WZD53" s="2"/>
      <c r="WZE53" s="2"/>
      <c r="WZF53" s="42"/>
      <c r="WZG53" s="42"/>
      <c r="WZH53" s="42"/>
      <c r="WZI53" s="42"/>
      <c r="WZJ53" s="42"/>
      <c r="WZK53" s="42"/>
      <c r="WZL53" s="42"/>
      <c r="WZM53" s="42"/>
      <c r="WZN53" s="42"/>
      <c r="WZO53" s="42"/>
      <c r="WZP53" s="42"/>
      <c r="WZQ53" s="42"/>
      <c r="WZR53" s="42"/>
      <c r="WZS53" s="42"/>
      <c r="WZT53" s="42"/>
      <c r="WZU53" s="42"/>
      <c r="WZV53" s="42"/>
      <c r="WZW53" s="42"/>
      <c r="WZX53" s="42"/>
      <c r="WZY53" s="42"/>
      <c r="WZZ53" s="42"/>
      <c r="XAA53" s="42"/>
      <c r="XAB53" s="42"/>
      <c r="XAC53" s="2"/>
      <c r="XAD53" s="15"/>
      <c r="XAE53" s="42"/>
      <c r="XAF53" s="2"/>
      <c r="XAG53" s="2"/>
      <c r="XAH53" s="2"/>
      <c r="XAI53" s="2"/>
      <c r="XAJ53" s="42"/>
      <c r="XAK53" s="42"/>
      <c r="XAL53" s="42"/>
      <c r="XAM53" s="42"/>
      <c r="XAN53" s="42"/>
      <c r="XAO53" s="42"/>
      <c r="XAP53" s="42"/>
      <c r="XAQ53" s="42"/>
      <c r="XAR53" s="42"/>
      <c r="XAS53" s="42"/>
      <c r="XAT53" s="42"/>
      <c r="XAU53" s="42"/>
      <c r="XAV53" s="42"/>
      <c r="XAW53" s="42"/>
      <c r="XAX53" s="42"/>
      <c r="XAY53" s="42"/>
      <c r="XAZ53" s="42"/>
      <c r="XBA53" s="42"/>
      <c r="XBB53" s="42"/>
      <c r="XBC53" s="42"/>
      <c r="XBD53" s="42"/>
      <c r="XBE53" s="42"/>
      <c r="XBF53" s="42"/>
      <c r="XBG53" s="2"/>
      <c r="XBH53" s="15"/>
      <c r="XBI53" s="42"/>
      <c r="XBJ53" s="2"/>
      <c r="XBK53" s="2"/>
      <c r="XBL53" s="2"/>
      <c r="XBM53" s="2"/>
      <c r="XBN53" s="42"/>
      <c r="XBO53" s="42"/>
      <c r="XBP53" s="42"/>
      <c r="XBQ53" s="42"/>
      <c r="XBR53" s="42"/>
      <c r="XBS53" s="42"/>
      <c r="XBT53" s="42"/>
      <c r="XBU53" s="42"/>
      <c r="XBV53" s="42"/>
      <c r="XBW53" s="42"/>
      <c r="XBX53" s="42"/>
      <c r="XBY53" s="42"/>
      <c r="XBZ53" s="42"/>
      <c r="XCA53" s="42"/>
      <c r="XCB53" s="42"/>
      <c r="XCC53" s="42"/>
      <c r="XCD53" s="42"/>
      <c r="XCE53" s="42"/>
      <c r="XCF53" s="42"/>
      <c r="XCG53" s="42"/>
      <c r="XCH53" s="42"/>
      <c r="XCI53" s="42"/>
      <c r="XCJ53" s="42"/>
      <c r="XCK53" s="2"/>
      <c r="XCL53" s="15"/>
      <c r="XCM53" s="42"/>
      <c r="XCN53" s="2"/>
      <c r="XCO53" s="2"/>
      <c r="XCP53" s="2"/>
      <c r="XCQ53" s="2"/>
      <c r="XCR53" s="42"/>
      <c r="XCS53" s="42"/>
      <c r="XCT53" s="42"/>
      <c r="XCU53" s="42"/>
      <c r="XCV53" s="42"/>
      <c r="XCW53" s="42"/>
      <c r="XCX53" s="42"/>
      <c r="XCY53" s="42"/>
      <c r="XCZ53" s="42"/>
      <c r="XDA53" s="42"/>
      <c r="XDB53" s="42"/>
      <c r="XDC53" s="42"/>
      <c r="XDD53" s="42"/>
      <c r="XDE53" s="42"/>
      <c r="XDF53" s="42"/>
      <c r="XDG53" s="42"/>
      <c r="XDH53" s="42"/>
      <c r="XDI53" s="42"/>
      <c r="XDJ53" s="42"/>
      <c r="XDK53" s="42"/>
      <c r="XDL53" s="42"/>
      <c r="XDM53" s="42"/>
      <c r="XDN53" s="42"/>
      <c r="XDO53" s="2"/>
      <c r="XDP53" s="15"/>
      <c r="XDQ53" s="42"/>
      <c r="XDR53" s="2"/>
      <c r="XDS53" s="2"/>
      <c r="XDT53" s="2"/>
      <c r="XDU53" s="2"/>
      <c r="XDV53" s="42"/>
      <c r="XDW53" s="42"/>
      <c r="XDX53" s="42"/>
      <c r="XDY53" s="42"/>
      <c r="XDZ53" s="42"/>
      <c r="XEA53" s="42"/>
      <c r="XEB53" s="42"/>
      <c r="XEC53" s="42"/>
      <c r="XED53" s="42"/>
      <c r="XEE53" s="42"/>
      <c r="XEF53" s="42"/>
      <c r="XEG53" s="42"/>
      <c r="XEH53" s="42"/>
      <c r="XEI53" s="42"/>
      <c r="XEJ53" s="42"/>
      <c r="XEK53" s="42"/>
      <c r="XEL53" s="42"/>
      <c r="XEM53" s="42"/>
      <c r="XEN53" s="42"/>
      <c r="XEO53" s="42"/>
      <c r="XEP53" s="42"/>
      <c r="XEQ53" s="42"/>
      <c r="XER53" s="42"/>
      <c r="XES53" s="2"/>
      <c r="XET53" s="15"/>
      <c r="XEU53" s="42"/>
      <c r="XEV53" s="2"/>
    </row>
    <row r="54" spans="1:16376" s="590" customFormat="1" ht="13.15" customHeight="1">
      <c r="A54" s="2"/>
      <c r="B54" s="2" t="s">
        <v>1596</v>
      </c>
      <c r="C54" s="42"/>
      <c r="D54" s="2"/>
      <c r="E54" s="2"/>
      <c r="F54" s="2"/>
      <c r="G54" s="2"/>
      <c r="H54" s="42"/>
      <c r="I54" s="42">
        <f>I48</f>
        <v>32700172.39489796</v>
      </c>
      <c r="J54" s="42">
        <f t="shared" ref="J54:AZ54" si="30">J48</f>
        <v>32700172.39489796</v>
      </c>
      <c r="K54" s="42">
        <f t="shared" si="30"/>
        <v>32700172.39489796</v>
      </c>
      <c r="L54" s="42">
        <f t="shared" si="30"/>
        <v>32700172.39489796</v>
      </c>
      <c r="M54" s="42">
        <f t="shared" si="30"/>
        <v>32700172.39489796</v>
      </c>
      <c r="N54" s="42">
        <f t="shared" si="30"/>
        <v>32700172.39489796</v>
      </c>
      <c r="O54" s="42">
        <f t="shared" si="30"/>
        <v>32700172.39489796</v>
      </c>
      <c r="P54" s="42">
        <f t="shared" si="30"/>
        <v>32700172.39489796</v>
      </c>
      <c r="Q54" s="42">
        <f t="shared" si="30"/>
        <v>32700172.39489796</v>
      </c>
      <c r="R54" s="42">
        <f t="shared" si="30"/>
        <v>32700172.39489796</v>
      </c>
      <c r="S54" s="42">
        <f t="shared" si="30"/>
        <v>32700172.39489796</v>
      </c>
      <c r="T54" s="42">
        <f t="shared" si="30"/>
        <v>32700172.39489796</v>
      </c>
      <c r="U54" s="42">
        <f t="shared" si="30"/>
        <v>81750430.987244904</v>
      </c>
      <c r="V54" s="42">
        <f t="shared" si="30"/>
        <v>81750430.987244904</v>
      </c>
      <c r="W54" s="42">
        <f t="shared" si="30"/>
        <v>81750430.987244904</v>
      </c>
      <c r="X54" s="42">
        <f t="shared" si="30"/>
        <v>81750430.987244904</v>
      </c>
      <c r="Y54" s="42">
        <f t="shared" si="30"/>
        <v>81750430.987244904</v>
      </c>
      <c r="Z54" s="42">
        <f t="shared" si="30"/>
        <v>81750430.987244904</v>
      </c>
      <c r="AA54" s="42">
        <f t="shared" si="30"/>
        <v>81750430.987244904</v>
      </c>
      <c r="AB54" s="42">
        <f t="shared" si="30"/>
        <v>81750430.987244904</v>
      </c>
      <c r="AC54" s="42">
        <f t="shared" si="30"/>
        <v>81750430.987244904</v>
      </c>
      <c r="AD54" s="42">
        <f t="shared" si="30"/>
        <v>163500861.97448981</v>
      </c>
      <c r="AE54" s="42">
        <f t="shared" si="30"/>
        <v>163500861.97448981</v>
      </c>
      <c r="AF54" s="42">
        <f t="shared" si="30"/>
        <v>179850948.17193878</v>
      </c>
      <c r="AG54" s="42">
        <f t="shared" si="30"/>
        <v>0</v>
      </c>
      <c r="AH54" s="42">
        <f t="shared" si="30"/>
        <v>0</v>
      </c>
      <c r="AI54" s="42">
        <f t="shared" si="30"/>
        <v>0</v>
      </c>
      <c r="AJ54" s="42">
        <f t="shared" si="30"/>
        <v>0</v>
      </c>
      <c r="AK54" s="42">
        <f t="shared" si="30"/>
        <v>0</v>
      </c>
      <c r="AL54" s="42">
        <f t="shared" si="30"/>
        <v>0</v>
      </c>
      <c r="AM54" s="42">
        <f t="shared" si="30"/>
        <v>0</v>
      </c>
      <c r="AN54" s="42">
        <f t="shared" si="30"/>
        <v>0</v>
      </c>
      <c r="AO54" s="42">
        <f t="shared" si="30"/>
        <v>0</v>
      </c>
      <c r="AP54" s="42">
        <f t="shared" si="30"/>
        <v>0</v>
      </c>
      <c r="AQ54" s="42">
        <f t="shared" si="30"/>
        <v>0</v>
      </c>
      <c r="AR54" s="42">
        <f t="shared" si="30"/>
        <v>0</v>
      </c>
      <c r="AS54" s="42">
        <f t="shared" si="30"/>
        <v>0</v>
      </c>
      <c r="AT54" s="42">
        <f t="shared" si="30"/>
        <v>0</v>
      </c>
      <c r="AU54" s="42">
        <f t="shared" si="30"/>
        <v>0</v>
      </c>
      <c r="AV54" s="42">
        <f t="shared" si="30"/>
        <v>0</v>
      </c>
      <c r="AW54" s="42">
        <f t="shared" si="30"/>
        <v>0</v>
      </c>
      <c r="AX54" s="42">
        <f t="shared" si="30"/>
        <v>0</v>
      </c>
      <c r="AY54" s="42">
        <f t="shared" si="30"/>
        <v>0</v>
      </c>
      <c r="AZ54" s="42">
        <f t="shared" si="30"/>
        <v>0</v>
      </c>
      <c r="BA54" s="42"/>
      <c r="BB54" s="42"/>
      <c r="BC54" s="42"/>
      <c r="BD54" s="42"/>
      <c r="BE54" s="42"/>
      <c r="BF54" s="42"/>
      <c r="BG54" s="42"/>
      <c r="BH54" s="42"/>
      <c r="BI54" s="2"/>
      <c r="BJ54" s="15"/>
      <c r="BK54" s="42"/>
      <c r="BL54" s="2"/>
      <c r="BM54" s="2"/>
      <c r="BN54" s="2"/>
      <c r="BO54" s="2"/>
      <c r="BP54" s="42"/>
      <c r="BQ54" s="42"/>
      <c r="BR54" s="42"/>
      <c r="BS54" s="42"/>
      <c r="BT54" s="42"/>
      <c r="BU54" s="42"/>
      <c r="BV54" s="42"/>
      <c r="BW54" s="42"/>
      <c r="BX54" s="42"/>
      <c r="BY54" s="42"/>
      <c r="BZ54" s="42"/>
      <c r="CA54" s="42"/>
      <c r="CB54" s="42"/>
      <c r="CC54" s="42"/>
      <c r="CD54" s="42"/>
      <c r="CE54" s="2"/>
      <c r="CF54" s="15"/>
      <c r="CG54" s="42"/>
      <c r="CH54" s="2"/>
      <c r="CI54" s="2"/>
      <c r="CJ54" s="2"/>
      <c r="CK54" s="2"/>
      <c r="CL54" s="42"/>
      <c r="CM54" s="42"/>
      <c r="CN54" s="42"/>
      <c r="CO54" s="42"/>
      <c r="CP54" s="42"/>
      <c r="CQ54" s="42"/>
      <c r="CR54" s="42"/>
      <c r="CS54" s="42"/>
      <c r="CT54" s="42"/>
      <c r="CU54" s="42"/>
      <c r="CV54" s="42"/>
      <c r="CW54" s="42"/>
      <c r="CX54" s="42"/>
      <c r="CY54" s="42"/>
      <c r="CZ54" s="42"/>
      <c r="DA54" s="42"/>
      <c r="DB54" s="42"/>
      <c r="DC54" s="42"/>
      <c r="DD54" s="42"/>
      <c r="DE54" s="42"/>
      <c r="DF54" s="42"/>
      <c r="DG54" s="42"/>
      <c r="DH54" s="42"/>
      <c r="DI54" s="2"/>
      <c r="DJ54" s="15"/>
      <c r="DK54" s="42"/>
      <c r="DL54" s="2"/>
      <c r="DM54" s="2"/>
      <c r="DN54" s="2"/>
      <c r="DO54" s="2"/>
      <c r="DP54" s="42"/>
      <c r="DQ54" s="42"/>
      <c r="DR54" s="42"/>
      <c r="DS54" s="42"/>
      <c r="DT54" s="42"/>
      <c r="DU54" s="42"/>
      <c r="DV54" s="42"/>
      <c r="DW54" s="42"/>
      <c r="DX54" s="42"/>
      <c r="DY54" s="42"/>
      <c r="DZ54" s="42"/>
      <c r="EA54" s="42"/>
      <c r="EB54" s="42"/>
      <c r="EC54" s="42"/>
      <c r="ED54" s="42"/>
      <c r="EE54" s="42"/>
      <c r="EF54" s="42"/>
      <c r="EG54" s="42"/>
      <c r="EH54" s="42"/>
      <c r="EI54" s="42"/>
      <c r="EJ54" s="42"/>
      <c r="EK54" s="42"/>
      <c r="EL54" s="42"/>
      <c r="EM54" s="2"/>
      <c r="EN54" s="15"/>
      <c r="EO54" s="42"/>
      <c r="EP54" s="2"/>
      <c r="EQ54" s="2"/>
      <c r="ER54" s="2"/>
      <c r="ES54" s="2"/>
      <c r="ET54" s="42"/>
      <c r="EU54" s="42"/>
      <c r="EV54" s="42"/>
      <c r="EW54" s="42"/>
      <c r="EX54" s="42"/>
      <c r="EY54" s="42"/>
      <c r="EZ54" s="42"/>
      <c r="FA54" s="42"/>
      <c r="FB54" s="42"/>
      <c r="FC54" s="42"/>
      <c r="FD54" s="42"/>
      <c r="FE54" s="42"/>
      <c r="FF54" s="42"/>
      <c r="FG54" s="42"/>
      <c r="FH54" s="42"/>
      <c r="FI54" s="42"/>
      <c r="FJ54" s="42"/>
      <c r="FK54" s="42"/>
      <c r="FL54" s="42"/>
      <c r="FM54" s="42"/>
      <c r="FN54" s="42"/>
      <c r="FO54" s="42"/>
      <c r="FP54" s="42"/>
      <c r="FQ54" s="2"/>
      <c r="FR54" s="15"/>
      <c r="FS54" s="42"/>
      <c r="FT54" s="2"/>
      <c r="FU54" s="2"/>
      <c r="FV54" s="2"/>
      <c r="FW54" s="2"/>
      <c r="FX54" s="42"/>
      <c r="FY54" s="42"/>
      <c r="FZ54" s="42"/>
      <c r="GA54" s="42"/>
      <c r="GB54" s="42"/>
      <c r="GC54" s="42"/>
      <c r="GD54" s="42"/>
      <c r="GE54" s="42"/>
      <c r="GF54" s="42"/>
      <c r="GG54" s="42"/>
      <c r="GH54" s="42"/>
      <c r="GI54" s="42"/>
      <c r="GJ54" s="42"/>
      <c r="GK54" s="42"/>
      <c r="GL54" s="42"/>
      <c r="GM54" s="42"/>
      <c r="GN54" s="42"/>
      <c r="GO54" s="42"/>
      <c r="GP54" s="42"/>
      <c r="GQ54" s="42"/>
      <c r="GR54" s="42"/>
      <c r="GS54" s="42"/>
      <c r="GT54" s="42"/>
      <c r="GU54" s="2"/>
      <c r="GV54" s="15"/>
      <c r="GW54" s="42"/>
      <c r="GX54" s="2"/>
      <c r="GY54" s="2"/>
      <c r="GZ54" s="2"/>
      <c r="HA54" s="2"/>
      <c r="HB54" s="42"/>
      <c r="HC54" s="42"/>
      <c r="HD54" s="42"/>
      <c r="HE54" s="42"/>
      <c r="HF54" s="42"/>
      <c r="HG54" s="42"/>
      <c r="HH54" s="42"/>
      <c r="HI54" s="42"/>
      <c r="HJ54" s="42"/>
      <c r="HK54" s="42"/>
      <c r="HL54" s="42"/>
      <c r="HM54" s="42"/>
      <c r="HN54" s="42"/>
      <c r="HO54" s="42"/>
      <c r="HP54" s="42"/>
      <c r="HQ54" s="42"/>
      <c r="HR54" s="42"/>
      <c r="HS54" s="42"/>
      <c r="HT54" s="42"/>
      <c r="HU54" s="42"/>
      <c r="HV54" s="42"/>
      <c r="HW54" s="42"/>
      <c r="HX54" s="42"/>
      <c r="HY54" s="2"/>
      <c r="HZ54" s="15"/>
      <c r="IA54" s="42"/>
      <c r="IB54" s="2"/>
      <c r="IC54" s="2"/>
      <c r="ID54" s="2"/>
      <c r="IE54" s="2"/>
      <c r="IF54" s="42"/>
      <c r="IG54" s="42"/>
      <c r="IH54" s="42"/>
      <c r="II54" s="42"/>
      <c r="IJ54" s="42"/>
      <c r="IK54" s="42"/>
      <c r="IL54" s="42"/>
      <c r="IM54" s="42"/>
      <c r="IN54" s="42"/>
      <c r="IO54" s="42"/>
      <c r="IP54" s="42"/>
      <c r="IQ54" s="42"/>
      <c r="IR54" s="42"/>
      <c r="IS54" s="42"/>
      <c r="IT54" s="42"/>
      <c r="IU54" s="42"/>
      <c r="IV54" s="42"/>
      <c r="IW54" s="42"/>
      <c r="IX54" s="42"/>
      <c r="IY54" s="42"/>
      <c r="IZ54" s="42"/>
      <c r="JA54" s="42"/>
      <c r="JB54" s="42"/>
      <c r="JC54" s="2"/>
      <c r="JD54" s="15"/>
      <c r="JE54" s="42"/>
      <c r="JF54" s="2"/>
      <c r="JG54" s="2"/>
      <c r="JH54" s="2"/>
      <c r="JI54" s="2"/>
      <c r="JJ54" s="42"/>
      <c r="JK54" s="42"/>
      <c r="JL54" s="42"/>
      <c r="JM54" s="42"/>
      <c r="JN54" s="42"/>
      <c r="JO54" s="42"/>
      <c r="JP54" s="42"/>
      <c r="JQ54" s="42"/>
      <c r="JR54" s="42"/>
      <c r="JS54" s="42"/>
      <c r="JT54" s="42"/>
      <c r="JU54" s="42"/>
      <c r="JV54" s="42"/>
      <c r="JW54" s="42"/>
      <c r="JX54" s="42"/>
      <c r="JY54" s="42"/>
      <c r="JZ54" s="42"/>
      <c r="KA54" s="42"/>
      <c r="KB54" s="42"/>
      <c r="KC54" s="42"/>
      <c r="KD54" s="42"/>
      <c r="KE54" s="42"/>
      <c r="KF54" s="42"/>
      <c r="KG54" s="2"/>
      <c r="KH54" s="15"/>
      <c r="KI54" s="42"/>
      <c r="KJ54" s="2"/>
      <c r="KK54" s="2"/>
      <c r="KL54" s="2"/>
      <c r="KM54" s="2"/>
      <c r="KN54" s="42"/>
      <c r="KO54" s="42"/>
      <c r="KP54" s="42"/>
      <c r="KQ54" s="42"/>
      <c r="KR54" s="42"/>
      <c r="KS54" s="42"/>
      <c r="KT54" s="42"/>
      <c r="KU54" s="42"/>
      <c r="KV54" s="42"/>
      <c r="KW54" s="42"/>
      <c r="KX54" s="42"/>
      <c r="KY54" s="42"/>
      <c r="KZ54" s="42"/>
      <c r="LA54" s="42"/>
      <c r="LB54" s="42"/>
      <c r="LC54" s="42"/>
      <c r="LD54" s="42"/>
      <c r="LE54" s="42"/>
      <c r="LF54" s="42"/>
      <c r="LG54" s="42"/>
      <c r="LH54" s="42"/>
      <c r="LI54" s="42"/>
      <c r="LJ54" s="42"/>
      <c r="LK54" s="2"/>
      <c r="LL54" s="15"/>
      <c r="LM54" s="42"/>
      <c r="LN54" s="2"/>
      <c r="LO54" s="2"/>
      <c r="LP54" s="2"/>
      <c r="LQ54" s="2"/>
      <c r="LR54" s="42"/>
      <c r="LS54" s="42"/>
      <c r="LT54" s="42"/>
      <c r="LU54" s="42"/>
      <c r="LV54" s="42"/>
      <c r="LW54" s="42"/>
      <c r="LX54" s="42"/>
      <c r="LY54" s="42"/>
      <c r="LZ54" s="42"/>
      <c r="MA54" s="42"/>
      <c r="MB54" s="42"/>
      <c r="MC54" s="42"/>
      <c r="MD54" s="42"/>
      <c r="ME54" s="42"/>
      <c r="MF54" s="42"/>
      <c r="MG54" s="42"/>
      <c r="MH54" s="42"/>
      <c r="MI54" s="42"/>
      <c r="MJ54" s="42"/>
      <c r="MK54" s="42"/>
      <c r="ML54" s="42"/>
      <c r="MM54" s="42"/>
      <c r="MN54" s="42"/>
      <c r="MO54" s="2"/>
      <c r="MP54" s="15"/>
      <c r="MQ54" s="42"/>
      <c r="MR54" s="2"/>
      <c r="MS54" s="2"/>
      <c r="MT54" s="2"/>
      <c r="MU54" s="2"/>
      <c r="MV54" s="42"/>
      <c r="MW54" s="42"/>
      <c r="MX54" s="42"/>
      <c r="MY54" s="42"/>
      <c r="MZ54" s="42"/>
      <c r="NA54" s="42"/>
      <c r="NB54" s="42"/>
      <c r="NC54" s="42"/>
      <c r="ND54" s="42"/>
      <c r="NE54" s="42"/>
      <c r="NF54" s="42"/>
      <c r="NG54" s="42"/>
      <c r="NH54" s="42"/>
      <c r="NI54" s="42"/>
      <c r="NJ54" s="42"/>
      <c r="NK54" s="42"/>
      <c r="NL54" s="42"/>
      <c r="NM54" s="42"/>
      <c r="NN54" s="42"/>
      <c r="NO54" s="42"/>
      <c r="NP54" s="42"/>
      <c r="NQ54" s="42"/>
      <c r="NR54" s="42"/>
      <c r="NS54" s="2"/>
      <c r="NT54" s="15"/>
      <c r="NU54" s="42"/>
      <c r="NV54" s="2"/>
      <c r="NW54" s="2"/>
      <c r="NX54" s="2"/>
      <c r="NY54" s="2"/>
      <c r="NZ54" s="42"/>
      <c r="OA54" s="42"/>
      <c r="OB54" s="42"/>
      <c r="OC54" s="42"/>
      <c r="OD54" s="42"/>
      <c r="OE54" s="42"/>
      <c r="OF54" s="42"/>
      <c r="OG54" s="42"/>
      <c r="OH54" s="42"/>
      <c r="OI54" s="42"/>
      <c r="OJ54" s="42"/>
      <c r="OK54" s="42"/>
      <c r="OL54" s="42"/>
      <c r="OM54" s="42"/>
      <c r="ON54" s="42"/>
      <c r="OO54" s="42"/>
      <c r="OP54" s="42"/>
      <c r="OQ54" s="42"/>
      <c r="OR54" s="42"/>
      <c r="OS54" s="42"/>
      <c r="OT54" s="42"/>
      <c r="OU54" s="42"/>
      <c r="OV54" s="42"/>
      <c r="OW54" s="2"/>
      <c r="OX54" s="15"/>
      <c r="OY54" s="42"/>
      <c r="OZ54" s="2"/>
      <c r="PA54" s="2"/>
      <c r="PB54" s="2"/>
      <c r="PC54" s="2"/>
      <c r="PD54" s="42"/>
      <c r="PE54" s="42"/>
      <c r="PF54" s="42"/>
      <c r="PG54" s="42"/>
      <c r="PH54" s="42"/>
      <c r="PI54" s="42"/>
      <c r="PJ54" s="42"/>
      <c r="PK54" s="42"/>
      <c r="PL54" s="42"/>
      <c r="PM54" s="42"/>
      <c r="PN54" s="42"/>
      <c r="PO54" s="42"/>
      <c r="PP54" s="42"/>
      <c r="PQ54" s="42"/>
      <c r="PR54" s="42"/>
      <c r="PS54" s="42"/>
      <c r="PT54" s="42"/>
      <c r="PU54" s="42"/>
      <c r="PV54" s="42"/>
      <c r="PW54" s="42"/>
      <c r="PX54" s="42"/>
      <c r="PY54" s="42"/>
      <c r="PZ54" s="42"/>
      <c r="QA54" s="2"/>
      <c r="QB54" s="15"/>
      <c r="QC54" s="42"/>
      <c r="QD54" s="2"/>
      <c r="QE54" s="2"/>
      <c r="QF54" s="2"/>
      <c r="QG54" s="2"/>
      <c r="QH54" s="42"/>
      <c r="QI54" s="42"/>
      <c r="QJ54" s="42"/>
      <c r="QK54" s="42"/>
      <c r="QL54" s="42"/>
      <c r="QM54" s="42"/>
      <c r="QN54" s="42"/>
      <c r="QO54" s="42"/>
      <c r="QP54" s="42"/>
      <c r="QQ54" s="42"/>
      <c r="QR54" s="42"/>
      <c r="QS54" s="42"/>
      <c r="QT54" s="42"/>
      <c r="QU54" s="42"/>
      <c r="QV54" s="42"/>
      <c r="QW54" s="42"/>
      <c r="QX54" s="42"/>
      <c r="QY54" s="42"/>
      <c r="QZ54" s="42"/>
      <c r="RA54" s="42"/>
      <c r="RB54" s="42"/>
      <c r="RC54" s="42"/>
      <c r="RD54" s="42"/>
      <c r="RE54" s="2"/>
      <c r="RF54" s="15"/>
      <c r="RG54" s="42"/>
      <c r="RH54" s="2"/>
      <c r="RI54" s="2"/>
      <c r="RJ54" s="2"/>
      <c r="RK54" s="2"/>
      <c r="RL54" s="42"/>
      <c r="RM54" s="42"/>
      <c r="RN54" s="42"/>
      <c r="RO54" s="42"/>
      <c r="RP54" s="42"/>
      <c r="RQ54" s="42"/>
      <c r="RR54" s="42"/>
      <c r="RS54" s="42"/>
      <c r="RT54" s="42"/>
      <c r="RU54" s="42"/>
      <c r="RV54" s="42"/>
      <c r="RW54" s="42"/>
      <c r="RX54" s="42"/>
      <c r="RY54" s="42"/>
      <c r="RZ54" s="42"/>
      <c r="SA54" s="42"/>
      <c r="SB54" s="42"/>
      <c r="SC54" s="42"/>
      <c r="SD54" s="42"/>
      <c r="SE54" s="42"/>
      <c r="SF54" s="42"/>
      <c r="SG54" s="42"/>
      <c r="SH54" s="42"/>
      <c r="SI54" s="2"/>
      <c r="SJ54" s="15"/>
      <c r="SK54" s="42"/>
      <c r="SL54" s="2"/>
      <c r="SM54" s="2"/>
      <c r="SN54" s="2"/>
      <c r="SO54" s="2"/>
      <c r="SP54" s="42"/>
      <c r="SQ54" s="42"/>
      <c r="SR54" s="42"/>
      <c r="SS54" s="42"/>
      <c r="ST54" s="42"/>
      <c r="SU54" s="42"/>
      <c r="SV54" s="42"/>
      <c r="SW54" s="42"/>
      <c r="SX54" s="42"/>
      <c r="SY54" s="42"/>
      <c r="SZ54" s="42"/>
      <c r="TA54" s="42"/>
      <c r="TB54" s="42"/>
      <c r="TC54" s="42"/>
      <c r="TD54" s="42"/>
      <c r="TE54" s="42"/>
      <c r="TF54" s="42"/>
      <c r="TG54" s="42"/>
      <c r="TH54" s="42"/>
      <c r="TI54" s="42"/>
      <c r="TJ54" s="42"/>
      <c r="TK54" s="42"/>
      <c r="TL54" s="42"/>
      <c r="TM54" s="2"/>
      <c r="TN54" s="15"/>
      <c r="TO54" s="42"/>
      <c r="TP54" s="2"/>
      <c r="TQ54" s="2"/>
      <c r="TR54" s="2"/>
      <c r="TS54" s="2"/>
      <c r="TT54" s="42"/>
      <c r="TU54" s="42"/>
      <c r="TV54" s="42"/>
      <c r="TW54" s="42"/>
      <c r="TX54" s="42"/>
      <c r="TY54" s="42"/>
      <c r="TZ54" s="42"/>
      <c r="UA54" s="42"/>
      <c r="UB54" s="42"/>
      <c r="UC54" s="42"/>
      <c r="UD54" s="42"/>
      <c r="UE54" s="42"/>
      <c r="UF54" s="42"/>
      <c r="UG54" s="42"/>
      <c r="UH54" s="42"/>
      <c r="UI54" s="42"/>
      <c r="UJ54" s="42"/>
      <c r="UK54" s="42"/>
      <c r="UL54" s="42"/>
      <c r="UM54" s="42"/>
      <c r="UN54" s="42"/>
      <c r="UO54" s="42"/>
      <c r="UP54" s="42"/>
      <c r="UQ54" s="2"/>
      <c r="UR54" s="15"/>
      <c r="US54" s="42"/>
      <c r="UT54" s="2"/>
      <c r="UU54" s="2"/>
      <c r="UV54" s="2"/>
      <c r="UW54" s="2"/>
      <c r="UX54" s="42"/>
      <c r="UY54" s="42"/>
      <c r="UZ54" s="42"/>
      <c r="VA54" s="42"/>
      <c r="VB54" s="42"/>
      <c r="VC54" s="42"/>
      <c r="VD54" s="42"/>
      <c r="VE54" s="42"/>
      <c r="VF54" s="42"/>
      <c r="VG54" s="42"/>
      <c r="VH54" s="42"/>
      <c r="VI54" s="42"/>
      <c r="VJ54" s="42"/>
      <c r="VK54" s="42"/>
      <c r="VL54" s="42"/>
      <c r="VM54" s="42"/>
      <c r="VN54" s="42"/>
      <c r="VO54" s="42"/>
      <c r="VP54" s="42"/>
      <c r="VQ54" s="42"/>
      <c r="VR54" s="42"/>
      <c r="VS54" s="42"/>
      <c r="VT54" s="42"/>
      <c r="VU54" s="2"/>
      <c r="VV54" s="15"/>
      <c r="VW54" s="42"/>
      <c r="VX54" s="2"/>
      <c r="VY54" s="2"/>
      <c r="VZ54" s="2"/>
      <c r="WA54" s="2"/>
      <c r="WB54" s="42"/>
      <c r="WC54" s="42"/>
      <c r="WD54" s="42"/>
      <c r="WE54" s="42"/>
      <c r="WF54" s="42"/>
      <c r="WG54" s="42"/>
      <c r="WH54" s="42"/>
      <c r="WI54" s="42"/>
      <c r="WJ54" s="42"/>
      <c r="WK54" s="42"/>
      <c r="WL54" s="42"/>
      <c r="WM54" s="42"/>
      <c r="WN54" s="42"/>
      <c r="WO54" s="42"/>
      <c r="WP54" s="42"/>
      <c r="WQ54" s="42"/>
      <c r="WR54" s="42"/>
      <c r="WS54" s="42"/>
      <c r="WT54" s="42"/>
      <c r="WU54" s="42"/>
      <c r="WV54" s="42"/>
      <c r="WW54" s="42"/>
      <c r="WX54" s="42"/>
      <c r="WY54" s="2"/>
      <c r="WZ54" s="15"/>
      <c r="XA54" s="42"/>
      <c r="XB54" s="2"/>
      <c r="XC54" s="2"/>
      <c r="XD54" s="2"/>
      <c r="XE54" s="2"/>
      <c r="XF54" s="42"/>
      <c r="XG54" s="42"/>
      <c r="XH54" s="42"/>
      <c r="XI54" s="42"/>
      <c r="XJ54" s="42"/>
      <c r="XK54" s="42"/>
      <c r="XL54" s="42"/>
      <c r="XM54" s="42"/>
      <c r="XN54" s="42"/>
      <c r="XO54" s="42"/>
      <c r="XP54" s="42"/>
      <c r="XQ54" s="42"/>
      <c r="XR54" s="42"/>
      <c r="XS54" s="42"/>
      <c r="XT54" s="42"/>
      <c r="XU54" s="42"/>
      <c r="XV54" s="42"/>
      <c r="XW54" s="42"/>
      <c r="XX54" s="42"/>
      <c r="XY54" s="42"/>
      <c r="XZ54" s="42"/>
      <c r="YA54" s="42"/>
      <c r="YB54" s="42"/>
      <c r="YC54" s="2"/>
      <c r="YD54" s="15"/>
      <c r="YE54" s="42"/>
      <c r="YF54" s="2"/>
      <c r="YG54" s="2"/>
      <c r="YH54" s="2"/>
      <c r="YI54" s="2"/>
      <c r="YJ54" s="42"/>
      <c r="YK54" s="42"/>
      <c r="YL54" s="42"/>
      <c r="YM54" s="42"/>
      <c r="YN54" s="42"/>
      <c r="YO54" s="42"/>
      <c r="YP54" s="42"/>
      <c r="YQ54" s="42"/>
      <c r="YR54" s="42"/>
      <c r="YS54" s="42"/>
      <c r="YT54" s="42"/>
      <c r="YU54" s="42"/>
      <c r="YV54" s="42"/>
      <c r="YW54" s="42"/>
      <c r="YX54" s="42"/>
      <c r="YY54" s="42"/>
      <c r="YZ54" s="42"/>
      <c r="ZA54" s="42"/>
      <c r="ZB54" s="42"/>
      <c r="ZC54" s="42"/>
      <c r="ZD54" s="42"/>
      <c r="ZE54" s="42"/>
      <c r="ZF54" s="42"/>
      <c r="ZG54" s="2"/>
      <c r="ZH54" s="15"/>
      <c r="ZI54" s="42"/>
      <c r="ZJ54" s="2"/>
      <c r="ZK54" s="2"/>
      <c r="ZL54" s="2"/>
      <c r="ZM54" s="2"/>
      <c r="ZN54" s="42"/>
      <c r="ZO54" s="42"/>
      <c r="ZP54" s="42"/>
      <c r="ZQ54" s="42"/>
      <c r="ZR54" s="42"/>
      <c r="ZS54" s="42"/>
      <c r="ZT54" s="42"/>
      <c r="ZU54" s="42"/>
      <c r="ZV54" s="42"/>
      <c r="ZW54" s="42"/>
      <c r="ZX54" s="42"/>
      <c r="ZY54" s="42"/>
      <c r="ZZ54" s="42"/>
      <c r="AAA54" s="42"/>
      <c r="AAB54" s="42"/>
      <c r="AAC54" s="42"/>
      <c r="AAD54" s="42"/>
      <c r="AAE54" s="42"/>
      <c r="AAF54" s="42"/>
      <c r="AAG54" s="42"/>
      <c r="AAH54" s="42"/>
      <c r="AAI54" s="42"/>
      <c r="AAJ54" s="42"/>
      <c r="AAK54" s="2"/>
      <c r="AAL54" s="15"/>
      <c r="AAM54" s="42"/>
      <c r="AAN54" s="2"/>
      <c r="AAO54" s="2"/>
      <c r="AAP54" s="2"/>
      <c r="AAQ54" s="2"/>
      <c r="AAR54" s="42"/>
      <c r="AAS54" s="42"/>
      <c r="AAT54" s="42"/>
      <c r="AAU54" s="42"/>
      <c r="AAV54" s="42"/>
      <c r="AAW54" s="42"/>
      <c r="AAX54" s="42"/>
      <c r="AAY54" s="42"/>
      <c r="AAZ54" s="42"/>
      <c r="ABA54" s="42"/>
      <c r="ABB54" s="42"/>
      <c r="ABC54" s="42"/>
      <c r="ABD54" s="42"/>
      <c r="ABE54" s="42"/>
      <c r="ABF54" s="42"/>
      <c r="ABG54" s="42"/>
      <c r="ABH54" s="42"/>
      <c r="ABI54" s="42"/>
      <c r="ABJ54" s="42"/>
      <c r="ABK54" s="42"/>
      <c r="ABL54" s="42"/>
      <c r="ABM54" s="42"/>
      <c r="ABN54" s="42"/>
      <c r="ABO54" s="2"/>
      <c r="ABP54" s="15"/>
      <c r="ABQ54" s="42"/>
      <c r="ABR54" s="2"/>
      <c r="ABS54" s="2"/>
      <c r="ABT54" s="2"/>
      <c r="ABU54" s="2"/>
      <c r="ABV54" s="42"/>
      <c r="ABW54" s="42"/>
      <c r="ABX54" s="42"/>
      <c r="ABY54" s="42"/>
      <c r="ABZ54" s="42"/>
      <c r="ACA54" s="42"/>
      <c r="ACB54" s="42"/>
      <c r="ACC54" s="42"/>
      <c r="ACD54" s="42"/>
      <c r="ACE54" s="42"/>
      <c r="ACF54" s="42"/>
      <c r="ACG54" s="42"/>
      <c r="ACH54" s="42"/>
      <c r="ACI54" s="42"/>
      <c r="ACJ54" s="42"/>
      <c r="ACK54" s="42"/>
      <c r="ACL54" s="42"/>
      <c r="ACM54" s="42"/>
      <c r="ACN54" s="42"/>
      <c r="ACO54" s="42"/>
      <c r="ACP54" s="42"/>
      <c r="ACQ54" s="42"/>
      <c r="ACR54" s="42"/>
      <c r="ACS54" s="2"/>
      <c r="ACT54" s="15"/>
      <c r="ACU54" s="42"/>
      <c r="ACV54" s="2"/>
      <c r="ACW54" s="2"/>
      <c r="ACX54" s="2"/>
      <c r="ACY54" s="2"/>
      <c r="ACZ54" s="42"/>
      <c r="ADA54" s="42"/>
      <c r="ADB54" s="42"/>
      <c r="ADC54" s="42"/>
      <c r="ADD54" s="42"/>
      <c r="ADE54" s="42"/>
      <c r="ADF54" s="42"/>
      <c r="ADG54" s="42"/>
      <c r="ADH54" s="42"/>
      <c r="ADI54" s="42"/>
      <c r="ADJ54" s="42"/>
      <c r="ADK54" s="42"/>
      <c r="ADL54" s="42"/>
      <c r="ADM54" s="42"/>
      <c r="ADN54" s="42"/>
      <c r="ADO54" s="42"/>
      <c r="ADP54" s="42"/>
      <c r="ADQ54" s="42"/>
      <c r="ADR54" s="42"/>
      <c r="ADS54" s="42"/>
      <c r="ADT54" s="42"/>
      <c r="ADU54" s="42"/>
      <c r="ADV54" s="42"/>
      <c r="ADW54" s="2"/>
      <c r="ADX54" s="15"/>
      <c r="ADY54" s="42"/>
      <c r="ADZ54" s="2"/>
      <c r="AEA54" s="2"/>
      <c r="AEB54" s="2"/>
      <c r="AEC54" s="2"/>
      <c r="AED54" s="42"/>
      <c r="AEE54" s="42"/>
      <c r="AEF54" s="42"/>
      <c r="AEG54" s="42"/>
      <c r="AEH54" s="42"/>
      <c r="AEI54" s="42"/>
      <c r="AEJ54" s="42"/>
      <c r="AEK54" s="42"/>
      <c r="AEL54" s="42"/>
      <c r="AEM54" s="42"/>
      <c r="AEN54" s="42"/>
      <c r="AEO54" s="42"/>
      <c r="AEP54" s="42"/>
      <c r="AEQ54" s="42"/>
      <c r="AER54" s="42"/>
      <c r="AES54" s="42"/>
      <c r="AET54" s="42"/>
      <c r="AEU54" s="42"/>
      <c r="AEV54" s="42"/>
      <c r="AEW54" s="42"/>
      <c r="AEX54" s="42"/>
      <c r="AEY54" s="42"/>
      <c r="AEZ54" s="42"/>
      <c r="AFA54" s="2"/>
      <c r="AFB54" s="15"/>
      <c r="AFC54" s="42"/>
      <c r="AFD54" s="2"/>
      <c r="AFE54" s="2"/>
      <c r="AFF54" s="2"/>
      <c r="AFG54" s="2"/>
      <c r="AFH54" s="42"/>
      <c r="AFI54" s="42"/>
      <c r="AFJ54" s="42"/>
      <c r="AFK54" s="42"/>
      <c r="AFL54" s="42"/>
      <c r="AFM54" s="42"/>
      <c r="AFN54" s="42"/>
      <c r="AFO54" s="42"/>
      <c r="AFP54" s="42"/>
      <c r="AFQ54" s="42"/>
      <c r="AFR54" s="42"/>
      <c r="AFS54" s="42"/>
      <c r="AFT54" s="42"/>
      <c r="AFU54" s="42"/>
      <c r="AFV54" s="42"/>
      <c r="AFW54" s="42"/>
      <c r="AFX54" s="42"/>
      <c r="AFY54" s="42"/>
      <c r="AFZ54" s="42"/>
      <c r="AGA54" s="42"/>
      <c r="AGB54" s="42"/>
      <c r="AGC54" s="42"/>
      <c r="AGD54" s="42"/>
      <c r="AGE54" s="2"/>
      <c r="AGF54" s="15"/>
      <c r="AGG54" s="42"/>
      <c r="AGH54" s="2"/>
      <c r="AGI54" s="2"/>
      <c r="AGJ54" s="2"/>
      <c r="AGK54" s="2"/>
      <c r="AGL54" s="42"/>
      <c r="AGM54" s="42"/>
      <c r="AGN54" s="42"/>
      <c r="AGO54" s="42"/>
      <c r="AGP54" s="42"/>
      <c r="AGQ54" s="42"/>
      <c r="AGR54" s="42"/>
      <c r="AGS54" s="42"/>
      <c r="AGT54" s="42"/>
      <c r="AGU54" s="42"/>
      <c r="AGV54" s="42"/>
      <c r="AGW54" s="42"/>
      <c r="AGX54" s="42"/>
      <c r="AGY54" s="42"/>
      <c r="AGZ54" s="42"/>
      <c r="AHA54" s="42"/>
      <c r="AHB54" s="42"/>
      <c r="AHC54" s="42"/>
      <c r="AHD54" s="42"/>
      <c r="AHE54" s="42"/>
      <c r="AHF54" s="42"/>
      <c r="AHG54" s="42"/>
      <c r="AHH54" s="42"/>
      <c r="AHI54" s="2"/>
      <c r="AHJ54" s="15"/>
      <c r="AHK54" s="42"/>
      <c r="AHL54" s="2"/>
      <c r="AHM54" s="2"/>
      <c r="AHN54" s="2"/>
      <c r="AHO54" s="2"/>
      <c r="AHP54" s="42"/>
      <c r="AHQ54" s="42"/>
      <c r="AHR54" s="42"/>
      <c r="AHS54" s="42"/>
      <c r="AHT54" s="42"/>
      <c r="AHU54" s="42"/>
      <c r="AHV54" s="42"/>
      <c r="AHW54" s="42"/>
      <c r="AHX54" s="42"/>
      <c r="AHY54" s="42"/>
      <c r="AHZ54" s="42"/>
      <c r="AIA54" s="42"/>
      <c r="AIB54" s="42"/>
      <c r="AIC54" s="42"/>
      <c r="AID54" s="42"/>
      <c r="AIE54" s="42"/>
      <c r="AIF54" s="42"/>
      <c r="AIG54" s="42"/>
      <c r="AIH54" s="42"/>
      <c r="AII54" s="42"/>
      <c r="AIJ54" s="42"/>
      <c r="AIK54" s="42"/>
      <c r="AIL54" s="42"/>
      <c r="AIM54" s="2"/>
      <c r="AIN54" s="15"/>
      <c r="AIO54" s="42"/>
      <c r="AIP54" s="2"/>
      <c r="AIQ54" s="2"/>
      <c r="AIR54" s="2"/>
      <c r="AIS54" s="2"/>
      <c r="AIT54" s="42"/>
      <c r="AIU54" s="42"/>
      <c r="AIV54" s="42"/>
      <c r="AIW54" s="42"/>
      <c r="AIX54" s="42"/>
      <c r="AIY54" s="42"/>
      <c r="AIZ54" s="42"/>
      <c r="AJA54" s="42"/>
      <c r="AJB54" s="42"/>
      <c r="AJC54" s="42"/>
      <c r="AJD54" s="42"/>
      <c r="AJE54" s="42"/>
      <c r="AJF54" s="42"/>
      <c r="AJG54" s="42"/>
      <c r="AJH54" s="42"/>
      <c r="AJI54" s="42"/>
      <c r="AJJ54" s="42"/>
      <c r="AJK54" s="42"/>
      <c r="AJL54" s="42"/>
      <c r="AJM54" s="42"/>
      <c r="AJN54" s="42"/>
      <c r="AJO54" s="42"/>
      <c r="AJP54" s="42"/>
      <c r="AJQ54" s="2"/>
      <c r="AJR54" s="15"/>
      <c r="AJS54" s="42"/>
      <c r="AJT54" s="2"/>
      <c r="AJU54" s="2"/>
      <c r="AJV54" s="2"/>
      <c r="AJW54" s="2"/>
      <c r="AJX54" s="42"/>
      <c r="AJY54" s="42"/>
      <c r="AJZ54" s="42"/>
      <c r="AKA54" s="42"/>
      <c r="AKB54" s="42"/>
      <c r="AKC54" s="42"/>
      <c r="AKD54" s="42"/>
      <c r="AKE54" s="42"/>
      <c r="AKF54" s="42"/>
      <c r="AKG54" s="42"/>
      <c r="AKH54" s="42"/>
      <c r="AKI54" s="42"/>
      <c r="AKJ54" s="42"/>
      <c r="AKK54" s="42"/>
      <c r="AKL54" s="42"/>
      <c r="AKM54" s="42"/>
      <c r="AKN54" s="42"/>
      <c r="AKO54" s="42"/>
      <c r="AKP54" s="42"/>
      <c r="AKQ54" s="42"/>
      <c r="AKR54" s="42"/>
      <c r="AKS54" s="42"/>
      <c r="AKT54" s="42"/>
      <c r="AKU54" s="2"/>
      <c r="AKV54" s="15"/>
      <c r="AKW54" s="42"/>
      <c r="AKX54" s="2"/>
      <c r="AKY54" s="2"/>
      <c r="AKZ54" s="2"/>
      <c r="ALA54" s="2"/>
      <c r="ALB54" s="42"/>
      <c r="ALC54" s="42"/>
      <c r="ALD54" s="42"/>
      <c r="ALE54" s="42"/>
      <c r="ALF54" s="42"/>
      <c r="ALG54" s="42"/>
      <c r="ALH54" s="42"/>
      <c r="ALI54" s="42"/>
      <c r="ALJ54" s="42"/>
      <c r="ALK54" s="42"/>
      <c r="ALL54" s="42"/>
      <c r="ALM54" s="42"/>
      <c r="ALN54" s="42"/>
      <c r="ALO54" s="42"/>
      <c r="ALP54" s="42"/>
      <c r="ALQ54" s="42"/>
      <c r="ALR54" s="42"/>
      <c r="ALS54" s="42"/>
      <c r="ALT54" s="42"/>
      <c r="ALU54" s="42"/>
      <c r="ALV54" s="42"/>
      <c r="ALW54" s="42"/>
      <c r="ALX54" s="42"/>
      <c r="ALY54" s="2"/>
      <c r="ALZ54" s="15"/>
      <c r="AMA54" s="42"/>
      <c r="AMB54" s="2"/>
      <c r="AMC54" s="2"/>
      <c r="AMD54" s="2"/>
      <c r="AME54" s="2"/>
      <c r="AMF54" s="42"/>
      <c r="AMG54" s="42"/>
      <c r="AMH54" s="42"/>
      <c r="AMI54" s="42"/>
      <c r="AMJ54" s="42"/>
      <c r="AMK54" s="42"/>
      <c r="AML54" s="42"/>
      <c r="AMM54" s="42"/>
      <c r="AMN54" s="42"/>
      <c r="AMO54" s="42"/>
      <c r="AMP54" s="42"/>
      <c r="AMQ54" s="42"/>
      <c r="AMR54" s="42"/>
      <c r="AMS54" s="42"/>
      <c r="AMT54" s="42"/>
      <c r="AMU54" s="42"/>
      <c r="AMV54" s="42"/>
      <c r="AMW54" s="42"/>
      <c r="AMX54" s="42"/>
      <c r="AMY54" s="42"/>
      <c r="AMZ54" s="42"/>
      <c r="ANA54" s="42"/>
      <c r="ANB54" s="42"/>
      <c r="ANC54" s="2"/>
      <c r="AND54" s="15"/>
      <c r="ANE54" s="42"/>
      <c r="ANF54" s="2"/>
      <c r="ANG54" s="2"/>
      <c r="ANH54" s="2"/>
      <c r="ANI54" s="2"/>
      <c r="ANJ54" s="42"/>
      <c r="ANK54" s="42"/>
      <c r="ANL54" s="42"/>
      <c r="ANM54" s="42"/>
      <c r="ANN54" s="42"/>
      <c r="ANO54" s="42"/>
      <c r="ANP54" s="42"/>
      <c r="ANQ54" s="42"/>
      <c r="ANR54" s="42"/>
      <c r="ANS54" s="42"/>
      <c r="ANT54" s="42"/>
      <c r="ANU54" s="42"/>
      <c r="ANV54" s="42"/>
      <c r="ANW54" s="42"/>
      <c r="ANX54" s="42"/>
      <c r="ANY54" s="42"/>
      <c r="ANZ54" s="42"/>
      <c r="AOA54" s="42"/>
      <c r="AOB54" s="42"/>
      <c r="AOC54" s="42"/>
      <c r="AOD54" s="42"/>
      <c r="AOE54" s="42"/>
      <c r="AOF54" s="42"/>
      <c r="AOG54" s="2"/>
      <c r="AOH54" s="15"/>
      <c r="AOI54" s="42"/>
      <c r="AOJ54" s="2"/>
      <c r="AOK54" s="2"/>
      <c r="AOL54" s="2"/>
      <c r="AOM54" s="2"/>
      <c r="AON54" s="42"/>
      <c r="AOO54" s="42"/>
      <c r="AOP54" s="42"/>
      <c r="AOQ54" s="42"/>
      <c r="AOR54" s="42"/>
      <c r="AOS54" s="42"/>
      <c r="AOT54" s="42"/>
      <c r="AOU54" s="42"/>
      <c r="AOV54" s="42"/>
      <c r="AOW54" s="42"/>
      <c r="AOX54" s="42"/>
      <c r="AOY54" s="42"/>
      <c r="AOZ54" s="42"/>
      <c r="APA54" s="42"/>
      <c r="APB54" s="42"/>
      <c r="APC54" s="42"/>
      <c r="APD54" s="42"/>
      <c r="APE54" s="42"/>
      <c r="APF54" s="42"/>
      <c r="APG54" s="42"/>
      <c r="APH54" s="42"/>
      <c r="API54" s="42"/>
      <c r="APJ54" s="42"/>
      <c r="APK54" s="2"/>
      <c r="APL54" s="15"/>
      <c r="APM54" s="42"/>
      <c r="APN54" s="2"/>
      <c r="APO54" s="2"/>
      <c r="APP54" s="2"/>
      <c r="APQ54" s="2"/>
      <c r="APR54" s="42"/>
      <c r="APS54" s="42"/>
      <c r="APT54" s="42"/>
      <c r="APU54" s="42"/>
      <c r="APV54" s="42"/>
      <c r="APW54" s="42"/>
      <c r="APX54" s="42"/>
      <c r="APY54" s="42"/>
      <c r="APZ54" s="42"/>
      <c r="AQA54" s="42"/>
      <c r="AQB54" s="42"/>
      <c r="AQC54" s="42"/>
      <c r="AQD54" s="42"/>
      <c r="AQE54" s="42"/>
      <c r="AQF54" s="42"/>
      <c r="AQG54" s="42"/>
      <c r="AQH54" s="42"/>
      <c r="AQI54" s="42"/>
      <c r="AQJ54" s="42"/>
      <c r="AQK54" s="42"/>
      <c r="AQL54" s="42"/>
      <c r="AQM54" s="42"/>
      <c r="AQN54" s="42"/>
      <c r="AQO54" s="2"/>
      <c r="AQP54" s="15"/>
      <c r="AQQ54" s="42"/>
      <c r="AQR54" s="2"/>
      <c r="AQS54" s="2"/>
      <c r="AQT54" s="2"/>
      <c r="AQU54" s="2"/>
      <c r="AQV54" s="42"/>
      <c r="AQW54" s="42"/>
      <c r="AQX54" s="42"/>
      <c r="AQY54" s="42"/>
      <c r="AQZ54" s="42"/>
      <c r="ARA54" s="42"/>
      <c r="ARB54" s="42"/>
      <c r="ARC54" s="42"/>
      <c r="ARD54" s="42"/>
      <c r="ARE54" s="42"/>
      <c r="ARF54" s="42"/>
      <c r="ARG54" s="42"/>
      <c r="ARH54" s="42"/>
      <c r="ARI54" s="42"/>
      <c r="ARJ54" s="42"/>
      <c r="ARK54" s="42"/>
      <c r="ARL54" s="42"/>
      <c r="ARM54" s="42"/>
      <c r="ARN54" s="42"/>
      <c r="ARO54" s="42"/>
      <c r="ARP54" s="42"/>
      <c r="ARQ54" s="42"/>
      <c r="ARR54" s="42"/>
      <c r="ARS54" s="2"/>
      <c r="ART54" s="15"/>
      <c r="ARU54" s="42"/>
      <c r="ARV54" s="2"/>
      <c r="ARW54" s="2"/>
      <c r="ARX54" s="2"/>
      <c r="ARY54" s="2"/>
      <c r="ARZ54" s="42"/>
      <c r="ASA54" s="42"/>
      <c r="ASB54" s="42"/>
      <c r="ASC54" s="42"/>
      <c r="ASD54" s="42"/>
      <c r="ASE54" s="42"/>
      <c r="ASF54" s="42"/>
      <c r="ASG54" s="42"/>
      <c r="ASH54" s="42"/>
      <c r="ASI54" s="42"/>
      <c r="ASJ54" s="42"/>
      <c r="ASK54" s="42"/>
      <c r="ASL54" s="42"/>
      <c r="ASM54" s="42"/>
      <c r="ASN54" s="42"/>
      <c r="ASO54" s="42"/>
      <c r="ASP54" s="42"/>
      <c r="ASQ54" s="42"/>
      <c r="ASR54" s="42"/>
      <c r="ASS54" s="42"/>
      <c r="AST54" s="42"/>
      <c r="ASU54" s="42"/>
      <c r="ASV54" s="42"/>
      <c r="ASW54" s="2"/>
      <c r="ASX54" s="15"/>
      <c r="ASY54" s="42"/>
      <c r="ASZ54" s="2"/>
      <c r="ATA54" s="2"/>
      <c r="ATB54" s="2"/>
      <c r="ATC54" s="2"/>
      <c r="ATD54" s="42"/>
      <c r="ATE54" s="42"/>
      <c r="ATF54" s="42"/>
      <c r="ATG54" s="42"/>
      <c r="ATH54" s="42"/>
      <c r="ATI54" s="42"/>
      <c r="ATJ54" s="42"/>
      <c r="ATK54" s="42"/>
      <c r="ATL54" s="42"/>
      <c r="ATM54" s="42"/>
      <c r="ATN54" s="42"/>
      <c r="ATO54" s="42"/>
      <c r="ATP54" s="42"/>
      <c r="ATQ54" s="42"/>
      <c r="ATR54" s="42"/>
      <c r="ATS54" s="42"/>
      <c r="ATT54" s="42"/>
      <c r="ATU54" s="42"/>
      <c r="ATV54" s="42"/>
      <c r="ATW54" s="42"/>
      <c r="ATX54" s="42"/>
      <c r="ATY54" s="42"/>
      <c r="ATZ54" s="42"/>
      <c r="AUA54" s="2"/>
      <c r="AUB54" s="15"/>
      <c r="AUC54" s="42"/>
      <c r="AUD54" s="2"/>
      <c r="AUE54" s="2"/>
      <c r="AUF54" s="2"/>
      <c r="AUG54" s="2"/>
      <c r="AUH54" s="42"/>
      <c r="AUI54" s="42"/>
      <c r="AUJ54" s="42"/>
      <c r="AUK54" s="42"/>
      <c r="AUL54" s="42"/>
      <c r="AUM54" s="42"/>
      <c r="AUN54" s="42"/>
      <c r="AUO54" s="42"/>
      <c r="AUP54" s="42"/>
      <c r="AUQ54" s="42"/>
      <c r="AUR54" s="42"/>
      <c r="AUS54" s="42"/>
      <c r="AUT54" s="42"/>
      <c r="AUU54" s="42"/>
      <c r="AUV54" s="42"/>
      <c r="AUW54" s="42"/>
      <c r="AUX54" s="42"/>
      <c r="AUY54" s="42"/>
      <c r="AUZ54" s="42"/>
      <c r="AVA54" s="42"/>
      <c r="AVB54" s="42"/>
      <c r="AVC54" s="42"/>
      <c r="AVD54" s="42"/>
      <c r="AVE54" s="2"/>
      <c r="AVF54" s="15"/>
      <c r="AVG54" s="42"/>
      <c r="AVH54" s="2"/>
      <c r="AVI54" s="2"/>
      <c r="AVJ54" s="2"/>
      <c r="AVK54" s="2"/>
      <c r="AVL54" s="42"/>
      <c r="AVM54" s="42"/>
      <c r="AVN54" s="42"/>
      <c r="AVO54" s="42"/>
      <c r="AVP54" s="42"/>
      <c r="AVQ54" s="42"/>
      <c r="AVR54" s="42"/>
      <c r="AVS54" s="42"/>
      <c r="AVT54" s="42"/>
      <c r="AVU54" s="42"/>
      <c r="AVV54" s="42"/>
      <c r="AVW54" s="42"/>
      <c r="AVX54" s="42"/>
      <c r="AVY54" s="42"/>
      <c r="AVZ54" s="42"/>
      <c r="AWA54" s="42"/>
      <c r="AWB54" s="42"/>
      <c r="AWC54" s="42"/>
      <c r="AWD54" s="42"/>
      <c r="AWE54" s="42"/>
      <c r="AWF54" s="42"/>
      <c r="AWG54" s="42"/>
      <c r="AWH54" s="42"/>
      <c r="AWI54" s="2"/>
      <c r="AWJ54" s="15"/>
      <c r="AWK54" s="42"/>
      <c r="AWL54" s="2"/>
      <c r="AWM54" s="2"/>
      <c r="AWN54" s="2"/>
      <c r="AWO54" s="2"/>
      <c r="AWP54" s="42"/>
      <c r="AWQ54" s="42"/>
      <c r="AWR54" s="42"/>
      <c r="AWS54" s="42"/>
      <c r="AWT54" s="42"/>
      <c r="AWU54" s="42"/>
      <c r="AWV54" s="42"/>
      <c r="AWW54" s="42"/>
      <c r="AWX54" s="42"/>
      <c r="AWY54" s="42"/>
      <c r="AWZ54" s="42"/>
      <c r="AXA54" s="42"/>
      <c r="AXB54" s="42"/>
      <c r="AXC54" s="42"/>
      <c r="AXD54" s="42"/>
      <c r="AXE54" s="42"/>
      <c r="AXF54" s="42"/>
      <c r="AXG54" s="42"/>
      <c r="AXH54" s="42"/>
      <c r="AXI54" s="42"/>
      <c r="AXJ54" s="42"/>
      <c r="AXK54" s="42"/>
      <c r="AXL54" s="42"/>
      <c r="AXM54" s="2"/>
      <c r="AXN54" s="15"/>
      <c r="AXO54" s="42"/>
      <c r="AXP54" s="2"/>
      <c r="AXQ54" s="2"/>
      <c r="AXR54" s="2"/>
      <c r="AXS54" s="2"/>
      <c r="AXT54" s="42"/>
      <c r="AXU54" s="42"/>
      <c r="AXV54" s="42"/>
      <c r="AXW54" s="42"/>
      <c r="AXX54" s="42"/>
      <c r="AXY54" s="42"/>
      <c r="AXZ54" s="42"/>
      <c r="AYA54" s="42"/>
      <c r="AYB54" s="42"/>
      <c r="AYC54" s="42"/>
      <c r="AYD54" s="42"/>
      <c r="AYE54" s="42"/>
      <c r="AYF54" s="42"/>
      <c r="AYG54" s="42"/>
      <c r="AYH54" s="42"/>
      <c r="AYI54" s="42"/>
      <c r="AYJ54" s="42"/>
      <c r="AYK54" s="42"/>
      <c r="AYL54" s="42"/>
      <c r="AYM54" s="42"/>
      <c r="AYN54" s="42"/>
      <c r="AYO54" s="42"/>
      <c r="AYP54" s="42"/>
      <c r="AYQ54" s="2"/>
      <c r="AYR54" s="15"/>
      <c r="AYS54" s="42"/>
      <c r="AYT54" s="2"/>
      <c r="AYU54" s="2"/>
      <c r="AYV54" s="2"/>
      <c r="AYW54" s="2"/>
      <c r="AYX54" s="42"/>
      <c r="AYY54" s="42"/>
      <c r="AYZ54" s="42"/>
      <c r="AZA54" s="42"/>
      <c r="AZB54" s="42"/>
      <c r="AZC54" s="42"/>
      <c r="AZD54" s="42"/>
      <c r="AZE54" s="42"/>
      <c r="AZF54" s="42"/>
      <c r="AZG54" s="42"/>
      <c r="AZH54" s="42"/>
      <c r="AZI54" s="42"/>
      <c r="AZJ54" s="42"/>
      <c r="AZK54" s="42"/>
      <c r="AZL54" s="42"/>
      <c r="AZM54" s="42"/>
      <c r="AZN54" s="42"/>
      <c r="AZO54" s="42"/>
      <c r="AZP54" s="42"/>
      <c r="AZQ54" s="42"/>
      <c r="AZR54" s="42"/>
      <c r="AZS54" s="42"/>
      <c r="AZT54" s="42"/>
      <c r="AZU54" s="2"/>
      <c r="AZV54" s="15"/>
      <c r="AZW54" s="42"/>
      <c r="AZX54" s="2"/>
      <c r="AZY54" s="2"/>
      <c r="AZZ54" s="2"/>
      <c r="BAA54" s="2"/>
      <c r="BAB54" s="42"/>
      <c r="BAC54" s="42"/>
      <c r="BAD54" s="42"/>
      <c r="BAE54" s="42"/>
      <c r="BAF54" s="42"/>
      <c r="BAG54" s="42"/>
      <c r="BAH54" s="42"/>
      <c r="BAI54" s="42"/>
      <c r="BAJ54" s="42"/>
      <c r="BAK54" s="42"/>
      <c r="BAL54" s="42"/>
      <c r="BAM54" s="42"/>
      <c r="BAN54" s="42"/>
      <c r="BAO54" s="42"/>
      <c r="BAP54" s="42"/>
      <c r="BAQ54" s="42"/>
      <c r="BAR54" s="42"/>
      <c r="BAS54" s="42"/>
      <c r="BAT54" s="42"/>
      <c r="BAU54" s="42"/>
      <c r="BAV54" s="42"/>
      <c r="BAW54" s="42"/>
      <c r="BAX54" s="42"/>
      <c r="BAY54" s="2"/>
      <c r="BAZ54" s="15"/>
      <c r="BBA54" s="42"/>
      <c r="BBB54" s="2"/>
      <c r="BBC54" s="2"/>
      <c r="BBD54" s="2"/>
      <c r="BBE54" s="2"/>
      <c r="BBF54" s="42"/>
      <c r="BBG54" s="42"/>
      <c r="BBH54" s="42"/>
      <c r="BBI54" s="42"/>
      <c r="BBJ54" s="42"/>
      <c r="BBK54" s="42"/>
      <c r="BBL54" s="42"/>
      <c r="BBM54" s="42"/>
      <c r="BBN54" s="42"/>
      <c r="BBO54" s="42"/>
      <c r="BBP54" s="42"/>
      <c r="BBQ54" s="42"/>
      <c r="BBR54" s="42"/>
      <c r="BBS54" s="42"/>
      <c r="BBT54" s="42"/>
      <c r="BBU54" s="42"/>
      <c r="BBV54" s="42"/>
      <c r="BBW54" s="42"/>
      <c r="BBX54" s="42"/>
      <c r="BBY54" s="42"/>
      <c r="BBZ54" s="42"/>
      <c r="BCA54" s="42"/>
      <c r="BCB54" s="42"/>
      <c r="BCC54" s="2"/>
      <c r="BCD54" s="15"/>
      <c r="BCE54" s="42"/>
      <c r="BCF54" s="2"/>
      <c r="BCG54" s="2"/>
      <c r="BCH54" s="2"/>
      <c r="BCI54" s="2"/>
      <c r="BCJ54" s="42"/>
      <c r="BCK54" s="42"/>
      <c r="BCL54" s="42"/>
      <c r="BCM54" s="42"/>
      <c r="BCN54" s="42"/>
      <c r="BCO54" s="42"/>
      <c r="BCP54" s="42"/>
      <c r="BCQ54" s="42"/>
      <c r="BCR54" s="42"/>
      <c r="BCS54" s="42"/>
      <c r="BCT54" s="42"/>
      <c r="BCU54" s="42"/>
      <c r="BCV54" s="42"/>
      <c r="BCW54" s="42"/>
      <c r="BCX54" s="42"/>
      <c r="BCY54" s="42"/>
      <c r="BCZ54" s="42"/>
      <c r="BDA54" s="42"/>
      <c r="BDB54" s="42"/>
      <c r="BDC54" s="42"/>
      <c r="BDD54" s="42"/>
      <c r="BDE54" s="42"/>
      <c r="BDF54" s="42"/>
      <c r="BDG54" s="2"/>
      <c r="BDH54" s="15"/>
      <c r="BDI54" s="42"/>
      <c r="BDJ54" s="2"/>
      <c r="BDK54" s="2"/>
      <c r="BDL54" s="2"/>
      <c r="BDM54" s="2"/>
      <c r="BDN54" s="42"/>
      <c r="BDO54" s="42"/>
      <c r="BDP54" s="42"/>
      <c r="BDQ54" s="42"/>
      <c r="BDR54" s="42"/>
      <c r="BDS54" s="42"/>
      <c r="BDT54" s="42"/>
      <c r="BDU54" s="42"/>
      <c r="BDV54" s="42"/>
      <c r="BDW54" s="42"/>
      <c r="BDX54" s="42"/>
      <c r="BDY54" s="42"/>
      <c r="BDZ54" s="42"/>
      <c r="BEA54" s="42"/>
      <c r="BEB54" s="42"/>
      <c r="BEC54" s="42"/>
      <c r="BED54" s="42"/>
      <c r="BEE54" s="42"/>
      <c r="BEF54" s="42"/>
      <c r="BEG54" s="42"/>
      <c r="BEH54" s="42"/>
      <c r="BEI54" s="42"/>
      <c r="BEJ54" s="42"/>
      <c r="BEK54" s="2"/>
      <c r="BEL54" s="15"/>
      <c r="BEM54" s="42"/>
      <c r="BEN54" s="2"/>
      <c r="BEO54" s="2"/>
      <c r="BEP54" s="2"/>
      <c r="BEQ54" s="2"/>
      <c r="BER54" s="42"/>
      <c r="BES54" s="42"/>
      <c r="BET54" s="42"/>
      <c r="BEU54" s="42"/>
      <c r="BEV54" s="42"/>
      <c r="BEW54" s="42"/>
      <c r="BEX54" s="42"/>
      <c r="BEY54" s="42"/>
      <c r="BEZ54" s="42"/>
      <c r="BFA54" s="42"/>
      <c r="BFB54" s="42"/>
      <c r="BFC54" s="42"/>
      <c r="BFD54" s="42"/>
      <c r="BFE54" s="42"/>
      <c r="BFF54" s="42"/>
      <c r="BFG54" s="42"/>
      <c r="BFH54" s="42"/>
      <c r="BFI54" s="42"/>
      <c r="BFJ54" s="42"/>
      <c r="BFK54" s="42"/>
      <c r="BFL54" s="42"/>
      <c r="BFM54" s="42"/>
      <c r="BFN54" s="42"/>
      <c r="BFO54" s="2"/>
      <c r="BFP54" s="15"/>
      <c r="BFQ54" s="42"/>
      <c r="BFR54" s="2"/>
      <c r="BFS54" s="2"/>
      <c r="BFT54" s="2"/>
      <c r="BFU54" s="2"/>
      <c r="BFV54" s="42"/>
      <c r="BFW54" s="42"/>
      <c r="BFX54" s="42"/>
      <c r="BFY54" s="42"/>
      <c r="BFZ54" s="42"/>
      <c r="BGA54" s="42"/>
      <c r="BGB54" s="42"/>
      <c r="BGC54" s="42"/>
      <c r="BGD54" s="42"/>
      <c r="BGE54" s="42"/>
      <c r="BGF54" s="42"/>
      <c r="BGG54" s="42"/>
      <c r="BGH54" s="42"/>
      <c r="BGI54" s="42"/>
      <c r="BGJ54" s="42"/>
      <c r="BGK54" s="42"/>
      <c r="BGL54" s="42"/>
      <c r="BGM54" s="42"/>
      <c r="BGN54" s="42"/>
      <c r="BGO54" s="42"/>
      <c r="BGP54" s="42"/>
      <c r="BGQ54" s="42"/>
      <c r="BGR54" s="42"/>
      <c r="BGS54" s="2"/>
      <c r="BGT54" s="15"/>
      <c r="BGU54" s="42"/>
      <c r="BGV54" s="2"/>
      <c r="BGW54" s="2"/>
      <c r="BGX54" s="2"/>
      <c r="BGY54" s="2"/>
      <c r="BGZ54" s="42"/>
      <c r="BHA54" s="42"/>
      <c r="BHB54" s="42"/>
      <c r="BHC54" s="42"/>
      <c r="BHD54" s="42"/>
      <c r="BHE54" s="42"/>
      <c r="BHF54" s="42"/>
      <c r="BHG54" s="42"/>
      <c r="BHH54" s="42"/>
      <c r="BHI54" s="42"/>
      <c r="BHJ54" s="42"/>
      <c r="BHK54" s="42"/>
      <c r="BHL54" s="42"/>
      <c r="BHM54" s="42"/>
      <c r="BHN54" s="42"/>
      <c r="BHO54" s="42"/>
      <c r="BHP54" s="42"/>
      <c r="BHQ54" s="42"/>
      <c r="BHR54" s="42"/>
      <c r="BHS54" s="42"/>
      <c r="BHT54" s="42"/>
      <c r="BHU54" s="42"/>
      <c r="BHV54" s="42"/>
      <c r="BHW54" s="2"/>
      <c r="BHX54" s="15"/>
      <c r="BHY54" s="42"/>
      <c r="BHZ54" s="2"/>
      <c r="BIA54" s="2"/>
      <c r="BIB54" s="2"/>
      <c r="BIC54" s="2"/>
      <c r="BID54" s="42"/>
      <c r="BIE54" s="42"/>
      <c r="BIF54" s="42"/>
      <c r="BIG54" s="42"/>
      <c r="BIH54" s="42"/>
      <c r="BII54" s="42"/>
      <c r="BIJ54" s="42"/>
      <c r="BIK54" s="42"/>
      <c r="BIL54" s="42"/>
      <c r="BIM54" s="42"/>
      <c r="BIN54" s="42"/>
      <c r="BIO54" s="42"/>
      <c r="BIP54" s="42"/>
      <c r="BIQ54" s="42"/>
      <c r="BIR54" s="42"/>
      <c r="BIS54" s="42"/>
      <c r="BIT54" s="42"/>
      <c r="BIU54" s="42"/>
      <c r="BIV54" s="42"/>
      <c r="BIW54" s="42"/>
      <c r="BIX54" s="42"/>
      <c r="BIY54" s="42"/>
      <c r="BIZ54" s="42"/>
      <c r="BJA54" s="2"/>
      <c r="BJB54" s="15"/>
      <c r="BJC54" s="42"/>
      <c r="BJD54" s="2"/>
      <c r="BJE54" s="2"/>
      <c r="BJF54" s="2"/>
      <c r="BJG54" s="2"/>
      <c r="BJH54" s="42"/>
      <c r="BJI54" s="42"/>
      <c r="BJJ54" s="42"/>
      <c r="BJK54" s="42"/>
      <c r="BJL54" s="42"/>
      <c r="BJM54" s="42"/>
      <c r="BJN54" s="42"/>
      <c r="BJO54" s="42"/>
      <c r="BJP54" s="42"/>
      <c r="BJQ54" s="42"/>
      <c r="BJR54" s="42"/>
      <c r="BJS54" s="42"/>
      <c r="BJT54" s="42"/>
      <c r="BJU54" s="42"/>
      <c r="BJV54" s="42"/>
      <c r="BJW54" s="42"/>
      <c r="BJX54" s="42"/>
      <c r="BJY54" s="42"/>
      <c r="BJZ54" s="42"/>
      <c r="BKA54" s="42"/>
      <c r="BKB54" s="42"/>
      <c r="BKC54" s="42"/>
      <c r="BKD54" s="42"/>
      <c r="BKE54" s="2"/>
      <c r="BKF54" s="15"/>
      <c r="BKG54" s="42"/>
      <c r="BKH54" s="2"/>
      <c r="BKI54" s="2"/>
      <c r="BKJ54" s="2"/>
      <c r="BKK54" s="2"/>
      <c r="BKL54" s="42"/>
      <c r="BKM54" s="42"/>
      <c r="BKN54" s="42"/>
      <c r="BKO54" s="42"/>
      <c r="BKP54" s="42"/>
      <c r="BKQ54" s="42"/>
      <c r="BKR54" s="42"/>
      <c r="BKS54" s="42"/>
      <c r="BKT54" s="42"/>
      <c r="BKU54" s="42"/>
      <c r="BKV54" s="42"/>
      <c r="BKW54" s="42"/>
      <c r="BKX54" s="42"/>
      <c r="BKY54" s="42"/>
      <c r="BKZ54" s="42"/>
      <c r="BLA54" s="42"/>
      <c r="BLB54" s="42"/>
      <c r="BLC54" s="42"/>
      <c r="BLD54" s="42"/>
      <c r="BLE54" s="42"/>
      <c r="BLF54" s="42"/>
      <c r="BLG54" s="42"/>
      <c r="BLH54" s="42"/>
      <c r="BLI54" s="2"/>
      <c r="BLJ54" s="15"/>
      <c r="BLK54" s="42"/>
      <c r="BLL54" s="2"/>
      <c r="BLM54" s="2"/>
      <c r="BLN54" s="2"/>
      <c r="BLO54" s="2"/>
      <c r="BLP54" s="42"/>
      <c r="BLQ54" s="42"/>
      <c r="BLR54" s="42"/>
      <c r="BLS54" s="42"/>
      <c r="BLT54" s="42"/>
      <c r="BLU54" s="42"/>
      <c r="BLV54" s="42"/>
      <c r="BLW54" s="42"/>
      <c r="BLX54" s="42"/>
      <c r="BLY54" s="42"/>
      <c r="BLZ54" s="42"/>
      <c r="BMA54" s="42"/>
      <c r="BMB54" s="42"/>
      <c r="BMC54" s="42"/>
      <c r="BMD54" s="42"/>
      <c r="BME54" s="42"/>
      <c r="BMF54" s="42"/>
      <c r="BMG54" s="42"/>
      <c r="BMH54" s="42"/>
      <c r="BMI54" s="42"/>
      <c r="BMJ54" s="42"/>
      <c r="BMK54" s="42"/>
      <c r="BML54" s="42"/>
      <c r="BMM54" s="2"/>
      <c r="BMN54" s="15"/>
      <c r="BMO54" s="42"/>
      <c r="BMP54" s="2"/>
      <c r="BMQ54" s="2"/>
      <c r="BMR54" s="2"/>
      <c r="BMS54" s="2"/>
      <c r="BMT54" s="42"/>
      <c r="BMU54" s="42"/>
      <c r="BMV54" s="42"/>
      <c r="BMW54" s="42"/>
      <c r="BMX54" s="42"/>
      <c r="BMY54" s="42"/>
      <c r="BMZ54" s="42"/>
      <c r="BNA54" s="42"/>
      <c r="BNB54" s="42"/>
      <c r="BNC54" s="42"/>
      <c r="BND54" s="42"/>
      <c r="BNE54" s="42"/>
      <c r="BNF54" s="42"/>
      <c r="BNG54" s="42"/>
      <c r="BNH54" s="42"/>
      <c r="BNI54" s="42"/>
      <c r="BNJ54" s="42"/>
      <c r="BNK54" s="42"/>
      <c r="BNL54" s="42"/>
      <c r="BNM54" s="42"/>
      <c r="BNN54" s="42"/>
      <c r="BNO54" s="42"/>
      <c r="BNP54" s="42"/>
      <c r="BNQ54" s="2"/>
      <c r="BNR54" s="15"/>
      <c r="BNS54" s="42"/>
      <c r="BNT54" s="2"/>
      <c r="BNU54" s="2"/>
      <c r="BNV54" s="2"/>
      <c r="BNW54" s="2"/>
      <c r="BNX54" s="42"/>
      <c r="BNY54" s="42"/>
      <c r="BNZ54" s="42"/>
      <c r="BOA54" s="42"/>
      <c r="BOB54" s="42"/>
      <c r="BOC54" s="42"/>
      <c r="BOD54" s="42"/>
      <c r="BOE54" s="42"/>
      <c r="BOF54" s="42"/>
      <c r="BOG54" s="42"/>
      <c r="BOH54" s="42"/>
      <c r="BOI54" s="42"/>
      <c r="BOJ54" s="42"/>
      <c r="BOK54" s="42"/>
      <c r="BOL54" s="42"/>
      <c r="BOM54" s="42"/>
      <c r="BON54" s="42"/>
      <c r="BOO54" s="42"/>
      <c r="BOP54" s="42"/>
      <c r="BOQ54" s="42"/>
      <c r="BOR54" s="42"/>
      <c r="BOS54" s="42"/>
      <c r="BOT54" s="42"/>
      <c r="BOU54" s="2"/>
      <c r="BOV54" s="15"/>
      <c r="BOW54" s="42"/>
      <c r="BOX54" s="2"/>
      <c r="BOY54" s="2"/>
      <c r="BOZ54" s="2"/>
      <c r="BPA54" s="2"/>
      <c r="BPB54" s="42"/>
      <c r="BPC54" s="42"/>
      <c r="BPD54" s="42"/>
      <c r="BPE54" s="42"/>
      <c r="BPF54" s="42"/>
      <c r="BPG54" s="42"/>
      <c r="BPH54" s="42"/>
      <c r="BPI54" s="42"/>
      <c r="BPJ54" s="42"/>
      <c r="BPK54" s="42"/>
      <c r="BPL54" s="42"/>
      <c r="BPM54" s="42"/>
      <c r="BPN54" s="42"/>
      <c r="BPO54" s="42"/>
      <c r="BPP54" s="42"/>
      <c r="BPQ54" s="42"/>
      <c r="BPR54" s="42"/>
      <c r="BPS54" s="42"/>
      <c r="BPT54" s="42"/>
      <c r="BPU54" s="42"/>
      <c r="BPV54" s="42"/>
      <c r="BPW54" s="42"/>
      <c r="BPX54" s="42"/>
      <c r="BPY54" s="2"/>
      <c r="BPZ54" s="15"/>
      <c r="BQA54" s="42"/>
      <c r="BQB54" s="2"/>
      <c r="BQC54" s="2"/>
      <c r="BQD54" s="2"/>
      <c r="BQE54" s="2"/>
      <c r="BQF54" s="42"/>
      <c r="BQG54" s="42"/>
      <c r="BQH54" s="42"/>
      <c r="BQI54" s="42"/>
      <c r="BQJ54" s="42"/>
      <c r="BQK54" s="42"/>
      <c r="BQL54" s="42"/>
      <c r="BQM54" s="42"/>
      <c r="BQN54" s="42"/>
      <c r="BQO54" s="42"/>
      <c r="BQP54" s="42"/>
      <c r="BQQ54" s="42"/>
      <c r="BQR54" s="42"/>
      <c r="BQS54" s="42"/>
      <c r="BQT54" s="42"/>
      <c r="BQU54" s="42"/>
      <c r="BQV54" s="42"/>
      <c r="BQW54" s="42"/>
      <c r="BQX54" s="42"/>
      <c r="BQY54" s="42"/>
      <c r="BQZ54" s="42"/>
      <c r="BRA54" s="42"/>
      <c r="BRB54" s="42"/>
      <c r="BRC54" s="2"/>
      <c r="BRD54" s="15"/>
      <c r="BRE54" s="42"/>
      <c r="BRF54" s="2"/>
      <c r="BRG54" s="2"/>
      <c r="BRH54" s="2"/>
      <c r="BRI54" s="2"/>
      <c r="BRJ54" s="42"/>
      <c r="BRK54" s="42"/>
      <c r="BRL54" s="42"/>
      <c r="BRM54" s="42"/>
      <c r="BRN54" s="42"/>
      <c r="BRO54" s="42"/>
      <c r="BRP54" s="42"/>
      <c r="BRQ54" s="42"/>
      <c r="BRR54" s="42"/>
      <c r="BRS54" s="42"/>
      <c r="BRT54" s="42"/>
      <c r="BRU54" s="42"/>
      <c r="BRV54" s="42"/>
      <c r="BRW54" s="42"/>
      <c r="BRX54" s="42"/>
      <c r="BRY54" s="42"/>
      <c r="BRZ54" s="42"/>
      <c r="BSA54" s="42"/>
      <c r="BSB54" s="42"/>
      <c r="BSC54" s="42"/>
      <c r="BSD54" s="42"/>
      <c r="BSE54" s="42"/>
      <c r="BSF54" s="42"/>
      <c r="BSG54" s="2"/>
      <c r="BSH54" s="15"/>
      <c r="BSI54" s="42"/>
      <c r="BSJ54" s="2"/>
      <c r="BSK54" s="2"/>
      <c r="BSL54" s="2"/>
      <c r="BSM54" s="2"/>
      <c r="BSN54" s="42"/>
      <c r="BSO54" s="42"/>
      <c r="BSP54" s="42"/>
      <c r="BSQ54" s="42"/>
      <c r="BSR54" s="42"/>
      <c r="BSS54" s="42"/>
      <c r="BST54" s="42"/>
      <c r="BSU54" s="42"/>
      <c r="BSV54" s="42"/>
      <c r="BSW54" s="42"/>
      <c r="BSX54" s="42"/>
      <c r="BSY54" s="42"/>
      <c r="BSZ54" s="42"/>
      <c r="BTA54" s="42"/>
      <c r="BTB54" s="42"/>
      <c r="BTC54" s="42"/>
      <c r="BTD54" s="42"/>
      <c r="BTE54" s="42"/>
      <c r="BTF54" s="42"/>
      <c r="BTG54" s="42"/>
      <c r="BTH54" s="42"/>
      <c r="BTI54" s="42"/>
      <c r="BTJ54" s="42"/>
      <c r="BTK54" s="2"/>
      <c r="BTL54" s="15"/>
      <c r="BTM54" s="42"/>
      <c r="BTN54" s="2"/>
      <c r="BTO54" s="2"/>
      <c r="BTP54" s="2"/>
      <c r="BTQ54" s="2"/>
      <c r="BTR54" s="42"/>
      <c r="BTS54" s="42"/>
      <c r="BTT54" s="42"/>
      <c r="BTU54" s="42"/>
      <c r="BTV54" s="42"/>
      <c r="BTW54" s="42"/>
      <c r="BTX54" s="42"/>
      <c r="BTY54" s="42"/>
      <c r="BTZ54" s="42"/>
      <c r="BUA54" s="42"/>
      <c r="BUB54" s="42"/>
      <c r="BUC54" s="42"/>
      <c r="BUD54" s="42"/>
      <c r="BUE54" s="42"/>
      <c r="BUF54" s="42"/>
      <c r="BUG54" s="42"/>
      <c r="BUH54" s="42"/>
      <c r="BUI54" s="42"/>
      <c r="BUJ54" s="42"/>
      <c r="BUK54" s="42"/>
      <c r="BUL54" s="42"/>
      <c r="BUM54" s="42"/>
      <c r="BUN54" s="42"/>
      <c r="BUO54" s="2"/>
      <c r="BUP54" s="15"/>
      <c r="BUQ54" s="42"/>
      <c r="BUR54" s="2"/>
      <c r="BUS54" s="2"/>
      <c r="BUT54" s="2"/>
      <c r="BUU54" s="2"/>
      <c r="BUV54" s="42"/>
      <c r="BUW54" s="42"/>
      <c r="BUX54" s="42"/>
      <c r="BUY54" s="42"/>
      <c r="BUZ54" s="42"/>
      <c r="BVA54" s="42"/>
      <c r="BVB54" s="42"/>
      <c r="BVC54" s="42"/>
      <c r="BVD54" s="42"/>
      <c r="BVE54" s="42"/>
      <c r="BVF54" s="42"/>
      <c r="BVG54" s="42"/>
      <c r="BVH54" s="42"/>
      <c r="BVI54" s="42"/>
      <c r="BVJ54" s="42"/>
      <c r="BVK54" s="42"/>
      <c r="BVL54" s="42"/>
      <c r="BVM54" s="42"/>
      <c r="BVN54" s="42"/>
      <c r="BVO54" s="42"/>
      <c r="BVP54" s="42"/>
      <c r="BVQ54" s="42"/>
      <c r="BVR54" s="42"/>
      <c r="BVS54" s="2"/>
      <c r="BVT54" s="15"/>
      <c r="BVU54" s="42"/>
      <c r="BVV54" s="2"/>
      <c r="BVW54" s="2"/>
      <c r="BVX54" s="2"/>
      <c r="BVY54" s="2"/>
      <c r="BVZ54" s="42"/>
      <c r="BWA54" s="42"/>
      <c r="BWB54" s="42"/>
      <c r="BWC54" s="42"/>
      <c r="BWD54" s="42"/>
      <c r="BWE54" s="42"/>
      <c r="BWF54" s="42"/>
      <c r="BWG54" s="42"/>
      <c r="BWH54" s="42"/>
      <c r="BWI54" s="42"/>
      <c r="BWJ54" s="42"/>
      <c r="BWK54" s="42"/>
      <c r="BWL54" s="42"/>
      <c r="BWM54" s="42"/>
      <c r="BWN54" s="42"/>
      <c r="BWO54" s="42"/>
      <c r="BWP54" s="42"/>
      <c r="BWQ54" s="42"/>
      <c r="BWR54" s="42"/>
      <c r="BWS54" s="42"/>
      <c r="BWT54" s="42"/>
      <c r="BWU54" s="42"/>
      <c r="BWV54" s="42"/>
      <c r="BWW54" s="2"/>
      <c r="BWX54" s="15"/>
      <c r="BWY54" s="42"/>
      <c r="BWZ54" s="2"/>
      <c r="BXA54" s="2"/>
      <c r="BXB54" s="2"/>
      <c r="BXC54" s="2"/>
      <c r="BXD54" s="42"/>
      <c r="BXE54" s="42"/>
      <c r="BXF54" s="42"/>
      <c r="BXG54" s="42"/>
      <c r="BXH54" s="42"/>
      <c r="BXI54" s="42"/>
      <c r="BXJ54" s="42"/>
      <c r="BXK54" s="42"/>
      <c r="BXL54" s="42"/>
      <c r="BXM54" s="42"/>
      <c r="BXN54" s="42"/>
      <c r="BXO54" s="42"/>
      <c r="BXP54" s="42"/>
      <c r="BXQ54" s="42"/>
      <c r="BXR54" s="42"/>
      <c r="BXS54" s="42"/>
      <c r="BXT54" s="42"/>
      <c r="BXU54" s="42"/>
      <c r="BXV54" s="42"/>
      <c r="BXW54" s="42"/>
      <c r="BXX54" s="42"/>
      <c r="BXY54" s="42"/>
      <c r="BXZ54" s="42"/>
      <c r="BYA54" s="2"/>
      <c r="BYB54" s="15"/>
      <c r="BYC54" s="42"/>
      <c r="BYD54" s="2"/>
      <c r="BYE54" s="2"/>
      <c r="BYF54" s="2"/>
      <c r="BYG54" s="2"/>
      <c r="BYH54" s="42"/>
      <c r="BYI54" s="42"/>
      <c r="BYJ54" s="42"/>
      <c r="BYK54" s="42"/>
      <c r="BYL54" s="42"/>
      <c r="BYM54" s="42"/>
      <c r="BYN54" s="42"/>
      <c r="BYO54" s="42"/>
      <c r="BYP54" s="42"/>
      <c r="BYQ54" s="42"/>
      <c r="BYR54" s="42"/>
      <c r="BYS54" s="42"/>
      <c r="BYT54" s="42"/>
      <c r="BYU54" s="42"/>
      <c r="BYV54" s="42"/>
      <c r="BYW54" s="42"/>
      <c r="BYX54" s="42"/>
      <c r="BYY54" s="42"/>
      <c r="BYZ54" s="42"/>
      <c r="BZA54" s="42"/>
      <c r="BZB54" s="42"/>
      <c r="BZC54" s="42"/>
      <c r="BZD54" s="42"/>
      <c r="BZE54" s="2"/>
      <c r="BZF54" s="15"/>
      <c r="BZG54" s="42"/>
      <c r="BZH54" s="2"/>
      <c r="BZI54" s="2"/>
      <c r="BZJ54" s="2"/>
      <c r="BZK54" s="2"/>
      <c r="BZL54" s="42"/>
      <c r="BZM54" s="42"/>
      <c r="BZN54" s="42"/>
      <c r="BZO54" s="42"/>
      <c r="BZP54" s="42"/>
      <c r="BZQ54" s="42"/>
      <c r="BZR54" s="42"/>
      <c r="BZS54" s="42"/>
      <c r="BZT54" s="42"/>
      <c r="BZU54" s="42"/>
      <c r="BZV54" s="42"/>
      <c r="BZW54" s="42"/>
      <c r="BZX54" s="42"/>
      <c r="BZY54" s="42"/>
      <c r="BZZ54" s="42"/>
      <c r="CAA54" s="42"/>
      <c r="CAB54" s="42"/>
      <c r="CAC54" s="42"/>
      <c r="CAD54" s="42"/>
      <c r="CAE54" s="42"/>
      <c r="CAF54" s="42"/>
      <c r="CAG54" s="42"/>
      <c r="CAH54" s="42"/>
      <c r="CAI54" s="2"/>
      <c r="CAJ54" s="15"/>
      <c r="CAK54" s="42"/>
      <c r="CAL54" s="2"/>
      <c r="CAM54" s="2"/>
      <c r="CAN54" s="2"/>
      <c r="CAO54" s="2"/>
      <c r="CAP54" s="42"/>
      <c r="CAQ54" s="42"/>
      <c r="CAR54" s="42"/>
      <c r="CAS54" s="42"/>
      <c r="CAT54" s="42"/>
      <c r="CAU54" s="42"/>
      <c r="CAV54" s="42"/>
      <c r="CAW54" s="42"/>
      <c r="CAX54" s="42"/>
      <c r="CAY54" s="42"/>
      <c r="CAZ54" s="42"/>
      <c r="CBA54" s="42"/>
      <c r="CBB54" s="42"/>
      <c r="CBC54" s="42"/>
      <c r="CBD54" s="42"/>
      <c r="CBE54" s="42"/>
      <c r="CBF54" s="42"/>
      <c r="CBG54" s="42"/>
      <c r="CBH54" s="42"/>
      <c r="CBI54" s="42"/>
      <c r="CBJ54" s="42"/>
      <c r="CBK54" s="42"/>
      <c r="CBL54" s="42"/>
      <c r="CBM54" s="2"/>
      <c r="CBN54" s="15"/>
      <c r="CBO54" s="42"/>
      <c r="CBP54" s="2"/>
      <c r="CBQ54" s="2"/>
      <c r="CBR54" s="2"/>
      <c r="CBS54" s="2"/>
      <c r="CBT54" s="42"/>
      <c r="CBU54" s="42"/>
      <c r="CBV54" s="42"/>
      <c r="CBW54" s="42"/>
      <c r="CBX54" s="42"/>
      <c r="CBY54" s="42"/>
      <c r="CBZ54" s="42"/>
      <c r="CCA54" s="42"/>
      <c r="CCB54" s="42"/>
      <c r="CCC54" s="42"/>
      <c r="CCD54" s="42"/>
      <c r="CCE54" s="42"/>
      <c r="CCF54" s="42"/>
      <c r="CCG54" s="42"/>
      <c r="CCH54" s="42"/>
      <c r="CCI54" s="42"/>
      <c r="CCJ54" s="42"/>
      <c r="CCK54" s="42"/>
      <c r="CCL54" s="42"/>
      <c r="CCM54" s="42"/>
      <c r="CCN54" s="42"/>
      <c r="CCO54" s="42"/>
      <c r="CCP54" s="42"/>
      <c r="CCQ54" s="2"/>
      <c r="CCR54" s="15"/>
      <c r="CCS54" s="42"/>
      <c r="CCT54" s="2"/>
      <c r="CCU54" s="2"/>
      <c r="CCV54" s="2"/>
      <c r="CCW54" s="2"/>
      <c r="CCX54" s="42"/>
      <c r="CCY54" s="42"/>
      <c r="CCZ54" s="42"/>
      <c r="CDA54" s="42"/>
      <c r="CDB54" s="42"/>
      <c r="CDC54" s="42"/>
      <c r="CDD54" s="42"/>
      <c r="CDE54" s="42"/>
      <c r="CDF54" s="42"/>
      <c r="CDG54" s="42"/>
      <c r="CDH54" s="42"/>
      <c r="CDI54" s="42"/>
      <c r="CDJ54" s="42"/>
      <c r="CDK54" s="42"/>
      <c r="CDL54" s="42"/>
      <c r="CDM54" s="42"/>
      <c r="CDN54" s="42"/>
      <c r="CDO54" s="42"/>
      <c r="CDP54" s="42"/>
      <c r="CDQ54" s="42"/>
      <c r="CDR54" s="42"/>
      <c r="CDS54" s="42"/>
      <c r="CDT54" s="42"/>
      <c r="CDU54" s="2"/>
      <c r="CDV54" s="15"/>
      <c r="CDW54" s="42"/>
      <c r="CDX54" s="2"/>
      <c r="CDY54" s="2"/>
      <c r="CDZ54" s="2"/>
      <c r="CEA54" s="2"/>
      <c r="CEB54" s="42"/>
      <c r="CEC54" s="42"/>
      <c r="CED54" s="42"/>
      <c r="CEE54" s="42"/>
      <c r="CEF54" s="42"/>
      <c r="CEG54" s="42"/>
      <c r="CEH54" s="42"/>
      <c r="CEI54" s="42"/>
      <c r="CEJ54" s="42"/>
      <c r="CEK54" s="42"/>
      <c r="CEL54" s="42"/>
      <c r="CEM54" s="42"/>
      <c r="CEN54" s="42"/>
      <c r="CEO54" s="42"/>
      <c r="CEP54" s="42"/>
      <c r="CEQ54" s="42"/>
      <c r="CER54" s="42"/>
      <c r="CES54" s="42"/>
      <c r="CET54" s="42"/>
      <c r="CEU54" s="42"/>
      <c r="CEV54" s="42"/>
      <c r="CEW54" s="42"/>
      <c r="CEX54" s="42"/>
      <c r="CEY54" s="2"/>
      <c r="CEZ54" s="15"/>
      <c r="CFA54" s="42"/>
      <c r="CFB54" s="2"/>
      <c r="CFC54" s="2"/>
      <c r="CFD54" s="2"/>
      <c r="CFE54" s="2"/>
      <c r="CFF54" s="42"/>
      <c r="CFG54" s="42"/>
      <c r="CFH54" s="42"/>
      <c r="CFI54" s="42"/>
      <c r="CFJ54" s="42"/>
      <c r="CFK54" s="42"/>
      <c r="CFL54" s="42"/>
      <c r="CFM54" s="42"/>
      <c r="CFN54" s="42"/>
      <c r="CFO54" s="42"/>
      <c r="CFP54" s="42"/>
      <c r="CFQ54" s="42"/>
      <c r="CFR54" s="42"/>
      <c r="CFS54" s="42"/>
      <c r="CFT54" s="42"/>
      <c r="CFU54" s="42"/>
      <c r="CFV54" s="42"/>
      <c r="CFW54" s="42"/>
      <c r="CFX54" s="42"/>
      <c r="CFY54" s="42"/>
      <c r="CFZ54" s="42"/>
      <c r="CGA54" s="42"/>
      <c r="CGB54" s="42"/>
      <c r="CGC54" s="2"/>
      <c r="CGD54" s="15"/>
      <c r="CGE54" s="42"/>
      <c r="CGF54" s="2"/>
      <c r="CGG54" s="2"/>
      <c r="CGH54" s="2"/>
      <c r="CGI54" s="2"/>
      <c r="CGJ54" s="42"/>
      <c r="CGK54" s="42"/>
      <c r="CGL54" s="42"/>
      <c r="CGM54" s="42"/>
      <c r="CGN54" s="42"/>
      <c r="CGO54" s="42"/>
      <c r="CGP54" s="42"/>
      <c r="CGQ54" s="42"/>
      <c r="CGR54" s="42"/>
      <c r="CGS54" s="42"/>
      <c r="CGT54" s="42"/>
      <c r="CGU54" s="42"/>
      <c r="CGV54" s="42"/>
      <c r="CGW54" s="42"/>
      <c r="CGX54" s="42"/>
      <c r="CGY54" s="42"/>
      <c r="CGZ54" s="42"/>
      <c r="CHA54" s="42"/>
      <c r="CHB54" s="42"/>
      <c r="CHC54" s="42"/>
      <c r="CHD54" s="42"/>
      <c r="CHE54" s="42"/>
      <c r="CHF54" s="42"/>
      <c r="CHG54" s="2"/>
      <c r="CHH54" s="15"/>
      <c r="CHI54" s="42"/>
      <c r="CHJ54" s="2"/>
      <c r="CHK54" s="2"/>
      <c r="CHL54" s="2"/>
      <c r="CHM54" s="2"/>
      <c r="CHN54" s="42"/>
      <c r="CHO54" s="42"/>
      <c r="CHP54" s="42"/>
      <c r="CHQ54" s="42"/>
      <c r="CHR54" s="42"/>
      <c r="CHS54" s="42"/>
      <c r="CHT54" s="42"/>
      <c r="CHU54" s="42"/>
      <c r="CHV54" s="42"/>
      <c r="CHW54" s="42"/>
      <c r="CHX54" s="42"/>
      <c r="CHY54" s="42"/>
      <c r="CHZ54" s="42"/>
      <c r="CIA54" s="42"/>
      <c r="CIB54" s="42"/>
      <c r="CIC54" s="42"/>
      <c r="CID54" s="42"/>
      <c r="CIE54" s="42"/>
      <c r="CIF54" s="42"/>
      <c r="CIG54" s="42"/>
      <c r="CIH54" s="42"/>
      <c r="CII54" s="42"/>
      <c r="CIJ54" s="42"/>
      <c r="CIK54" s="2"/>
      <c r="CIL54" s="15"/>
      <c r="CIM54" s="42"/>
      <c r="CIN54" s="2"/>
      <c r="CIO54" s="2"/>
      <c r="CIP54" s="2"/>
      <c r="CIQ54" s="2"/>
      <c r="CIR54" s="42"/>
      <c r="CIS54" s="42"/>
      <c r="CIT54" s="42"/>
      <c r="CIU54" s="42"/>
      <c r="CIV54" s="42"/>
      <c r="CIW54" s="42"/>
      <c r="CIX54" s="42"/>
      <c r="CIY54" s="42"/>
      <c r="CIZ54" s="42"/>
      <c r="CJA54" s="42"/>
      <c r="CJB54" s="42"/>
      <c r="CJC54" s="42"/>
      <c r="CJD54" s="42"/>
      <c r="CJE54" s="42"/>
      <c r="CJF54" s="42"/>
      <c r="CJG54" s="42"/>
      <c r="CJH54" s="42"/>
      <c r="CJI54" s="42"/>
      <c r="CJJ54" s="42"/>
      <c r="CJK54" s="42"/>
      <c r="CJL54" s="42"/>
      <c r="CJM54" s="42"/>
      <c r="CJN54" s="42"/>
      <c r="CJO54" s="2"/>
      <c r="CJP54" s="15"/>
      <c r="CJQ54" s="42"/>
      <c r="CJR54" s="2"/>
      <c r="CJS54" s="2"/>
      <c r="CJT54" s="2"/>
      <c r="CJU54" s="2"/>
      <c r="CJV54" s="42"/>
      <c r="CJW54" s="42"/>
      <c r="CJX54" s="42"/>
      <c r="CJY54" s="42"/>
      <c r="CJZ54" s="42"/>
      <c r="CKA54" s="42"/>
      <c r="CKB54" s="42"/>
      <c r="CKC54" s="42"/>
      <c r="CKD54" s="42"/>
      <c r="CKE54" s="42"/>
      <c r="CKF54" s="42"/>
      <c r="CKG54" s="42"/>
      <c r="CKH54" s="42"/>
      <c r="CKI54" s="42"/>
      <c r="CKJ54" s="42"/>
      <c r="CKK54" s="42"/>
      <c r="CKL54" s="42"/>
      <c r="CKM54" s="42"/>
      <c r="CKN54" s="42"/>
      <c r="CKO54" s="42"/>
      <c r="CKP54" s="42"/>
      <c r="CKQ54" s="42"/>
      <c r="CKR54" s="42"/>
      <c r="CKS54" s="2"/>
      <c r="CKT54" s="15"/>
      <c r="CKU54" s="42"/>
      <c r="CKV54" s="2"/>
      <c r="CKW54" s="2"/>
      <c r="CKX54" s="2"/>
      <c r="CKY54" s="2"/>
      <c r="CKZ54" s="42"/>
      <c r="CLA54" s="42"/>
      <c r="CLB54" s="42"/>
      <c r="CLC54" s="42"/>
      <c r="CLD54" s="42"/>
      <c r="CLE54" s="42"/>
      <c r="CLF54" s="42"/>
      <c r="CLG54" s="42"/>
      <c r="CLH54" s="42"/>
      <c r="CLI54" s="42"/>
      <c r="CLJ54" s="42"/>
      <c r="CLK54" s="42"/>
      <c r="CLL54" s="42"/>
      <c r="CLM54" s="42"/>
      <c r="CLN54" s="42"/>
      <c r="CLO54" s="42"/>
      <c r="CLP54" s="42"/>
      <c r="CLQ54" s="42"/>
      <c r="CLR54" s="42"/>
      <c r="CLS54" s="42"/>
      <c r="CLT54" s="42"/>
      <c r="CLU54" s="42"/>
      <c r="CLV54" s="42"/>
      <c r="CLW54" s="2"/>
      <c r="CLX54" s="15"/>
      <c r="CLY54" s="42"/>
      <c r="CLZ54" s="2"/>
      <c r="CMA54" s="2"/>
      <c r="CMB54" s="2"/>
      <c r="CMC54" s="2"/>
      <c r="CMD54" s="42"/>
      <c r="CME54" s="42"/>
      <c r="CMF54" s="42"/>
      <c r="CMG54" s="42"/>
      <c r="CMH54" s="42"/>
      <c r="CMI54" s="42"/>
      <c r="CMJ54" s="42"/>
      <c r="CMK54" s="42"/>
      <c r="CML54" s="42"/>
      <c r="CMM54" s="42"/>
      <c r="CMN54" s="42"/>
      <c r="CMO54" s="42"/>
      <c r="CMP54" s="42"/>
      <c r="CMQ54" s="42"/>
      <c r="CMR54" s="42"/>
      <c r="CMS54" s="42"/>
      <c r="CMT54" s="42"/>
      <c r="CMU54" s="42"/>
      <c r="CMV54" s="42"/>
      <c r="CMW54" s="42"/>
      <c r="CMX54" s="42"/>
      <c r="CMY54" s="42"/>
      <c r="CMZ54" s="42"/>
      <c r="CNA54" s="2"/>
      <c r="CNB54" s="15"/>
      <c r="CNC54" s="42"/>
      <c r="CND54" s="2"/>
      <c r="CNE54" s="2"/>
      <c r="CNF54" s="2"/>
      <c r="CNG54" s="2"/>
      <c r="CNH54" s="42"/>
      <c r="CNI54" s="42"/>
      <c r="CNJ54" s="42"/>
      <c r="CNK54" s="42"/>
      <c r="CNL54" s="42"/>
      <c r="CNM54" s="42"/>
      <c r="CNN54" s="42"/>
      <c r="CNO54" s="42"/>
      <c r="CNP54" s="42"/>
      <c r="CNQ54" s="42"/>
      <c r="CNR54" s="42"/>
      <c r="CNS54" s="42"/>
      <c r="CNT54" s="42"/>
      <c r="CNU54" s="42"/>
      <c r="CNV54" s="42"/>
      <c r="CNW54" s="42"/>
      <c r="CNX54" s="42"/>
      <c r="CNY54" s="42"/>
      <c r="CNZ54" s="42"/>
      <c r="COA54" s="42"/>
      <c r="COB54" s="42"/>
      <c r="COC54" s="42"/>
      <c r="COD54" s="42"/>
      <c r="COE54" s="2"/>
      <c r="COF54" s="15"/>
      <c r="COG54" s="42"/>
      <c r="COH54" s="2"/>
      <c r="COI54" s="2"/>
      <c r="COJ54" s="2"/>
      <c r="COK54" s="2"/>
      <c r="COL54" s="42"/>
      <c r="COM54" s="42"/>
      <c r="CON54" s="42"/>
      <c r="COO54" s="42"/>
      <c r="COP54" s="42"/>
      <c r="COQ54" s="42"/>
      <c r="COR54" s="42"/>
      <c r="COS54" s="42"/>
      <c r="COT54" s="42"/>
      <c r="COU54" s="42"/>
      <c r="COV54" s="42"/>
      <c r="COW54" s="42"/>
      <c r="COX54" s="42"/>
      <c r="COY54" s="42"/>
      <c r="COZ54" s="42"/>
      <c r="CPA54" s="42"/>
      <c r="CPB54" s="42"/>
      <c r="CPC54" s="42"/>
      <c r="CPD54" s="42"/>
      <c r="CPE54" s="42"/>
      <c r="CPF54" s="42"/>
      <c r="CPG54" s="42"/>
      <c r="CPH54" s="42"/>
      <c r="CPI54" s="2"/>
      <c r="CPJ54" s="15"/>
      <c r="CPK54" s="42"/>
      <c r="CPL54" s="2"/>
      <c r="CPM54" s="2"/>
      <c r="CPN54" s="2"/>
      <c r="CPO54" s="2"/>
      <c r="CPP54" s="42"/>
      <c r="CPQ54" s="42"/>
      <c r="CPR54" s="42"/>
      <c r="CPS54" s="42"/>
      <c r="CPT54" s="42"/>
      <c r="CPU54" s="42"/>
      <c r="CPV54" s="42"/>
      <c r="CPW54" s="42"/>
      <c r="CPX54" s="42"/>
      <c r="CPY54" s="42"/>
      <c r="CPZ54" s="42"/>
      <c r="CQA54" s="42"/>
      <c r="CQB54" s="42"/>
      <c r="CQC54" s="42"/>
      <c r="CQD54" s="42"/>
      <c r="CQE54" s="42"/>
      <c r="CQF54" s="42"/>
      <c r="CQG54" s="42"/>
      <c r="CQH54" s="42"/>
      <c r="CQI54" s="42"/>
      <c r="CQJ54" s="42"/>
      <c r="CQK54" s="42"/>
      <c r="CQL54" s="42"/>
      <c r="CQM54" s="2"/>
      <c r="CQN54" s="15"/>
      <c r="CQO54" s="42"/>
      <c r="CQP54" s="2"/>
      <c r="CQQ54" s="2"/>
      <c r="CQR54" s="2"/>
      <c r="CQS54" s="2"/>
      <c r="CQT54" s="42"/>
      <c r="CQU54" s="42"/>
      <c r="CQV54" s="42"/>
      <c r="CQW54" s="42"/>
      <c r="CQX54" s="42"/>
      <c r="CQY54" s="42"/>
      <c r="CQZ54" s="42"/>
      <c r="CRA54" s="42"/>
      <c r="CRB54" s="42"/>
      <c r="CRC54" s="42"/>
      <c r="CRD54" s="42"/>
      <c r="CRE54" s="42"/>
      <c r="CRF54" s="42"/>
      <c r="CRG54" s="42"/>
      <c r="CRH54" s="42"/>
      <c r="CRI54" s="42"/>
      <c r="CRJ54" s="42"/>
      <c r="CRK54" s="42"/>
      <c r="CRL54" s="42"/>
      <c r="CRM54" s="42"/>
      <c r="CRN54" s="42"/>
      <c r="CRO54" s="42"/>
      <c r="CRP54" s="42"/>
      <c r="CRQ54" s="2"/>
      <c r="CRR54" s="15"/>
      <c r="CRS54" s="42"/>
      <c r="CRT54" s="2"/>
      <c r="CRU54" s="2"/>
      <c r="CRV54" s="2"/>
      <c r="CRW54" s="2"/>
      <c r="CRX54" s="42"/>
      <c r="CRY54" s="42"/>
      <c r="CRZ54" s="42"/>
      <c r="CSA54" s="42"/>
      <c r="CSB54" s="42"/>
      <c r="CSC54" s="42"/>
      <c r="CSD54" s="42"/>
      <c r="CSE54" s="42"/>
      <c r="CSF54" s="42"/>
      <c r="CSG54" s="42"/>
      <c r="CSH54" s="42"/>
      <c r="CSI54" s="42"/>
      <c r="CSJ54" s="42"/>
      <c r="CSK54" s="42"/>
      <c r="CSL54" s="42"/>
      <c r="CSM54" s="42"/>
      <c r="CSN54" s="42"/>
      <c r="CSO54" s="42"/>
      <c r="CSP54" s="42"/>
      <c r="CSQ54" s="42"/>
      <c r="CSR54" s="42"/>
      <c r="CSS54" s="42"/>
      <c r="CST54" s="42"/>
      <c r="CSU54" s="2"/>
      <c r="CSV54" s="15"/>
      <c r="CSW54" s="42"/>
      <c r="CSX54" s="2"/>
      <c r="CSY54" s="2"/>
      <c r="CSZ54" s="2"/>
      <c r="CTA54" s="2"/>
      <c r="CTB54" s="42"/>
      <c r="CTC54" s="42"/>
      <c r="CTD54" s="42"/>
      <c r="CTE54" s="42"/>
      <c r="CTF54" s="42"/>
      <c r="CTG54" s="42"/>
      <c r="CTH54" s="42"/>
      <c r="CTI54" s="42"/>
      <c r="CTJ54" s="42"/>
      <c r="CTK54" s="42"/>
      <c r="CTL54" s="42"/>
      <c r="CTM54" s="42"/>
      <c r="CTN54" s="42"/>
      <c r="CTO54" s="42"/>
      <c r="CTP54" s="42"/>
      <c r="CTQ54" s="42"/>
      <c r="CTR54" s="42"/>
      <c r="CTS54" s="42"/>
      <c r="CTT54" s="42"/>
      <c r="CTU54" s="42"/>
      <c r="CTV54" s="42"/>
      <c r="CTW54" s="42"/>
      <c r="CTX54" s="42"/>
      <c r="CTY54" s="2"/>
      <c r="CTZ54" s="15"/>
      <c r="CUA54" s="42"/>
      <c r="CUB54" s="2"/>
      <c r="CUC54" s="2"/>
      <c r="CUD54" s="2"/>
      <c r="CUE54" s="2"/>
      <c r="CUF54" s="42"/>
      <c r="CUG54" s="42"/>
      <c r="CUH54" s="42"/>
      <c r="CUI54" s="42"/>
      <c r="CUJ54" s="42"/>
      <c r="CUK54" s="42"/>
      <c r="CUL54" s="42"/>
      <c r="CUM54" s="42"/>
      <c r="CUN54" s="42"/>
      <c r="CUO54" s="42"/>
      <c r="CUP54" s="42"/>
      <c r="CUQ54" s="42"/>
      <c r="CUR54" s="42"/>
      <c r="CUS54" s="42"/>
      <c r="CUT54" s="42"/>
      <c r="CUU54" s="42"/>
      <c r="CUV54" s="42"/>
      <c r="CUW54" s="42"/>
      <c r="CUX54" s="42"/>
      <c r="CUY54" s="42"/>
      <c r="CUZ54" s="42"/>
      <c r="CVA54" s="42"/>
      <c r="CVB54" s="42"/>
      <c r="CVC54" s="2"/>
      <c r="CVD54" s="15"/>
      <c r="CVE54" s="42"/>
      <c r="CVF54" s="2"/>
      <c r="CVG54" s="2"/>
      <c r="CVH54" s="2"/>
      <c r="CVI54" s="2"/>
      <c r="CVJ54" s="42"/>
      <c r="CVK54" s="42"/>
      <c r="CVL54" s="42"/>
      <c r="CVM54" s="42"/>
      <c r="CVN54" s="42"/>
      <c r="CVO54" s="42"/>
      <c r="CVP54" s="42"/>
      <c r="CVQ54" s="42"/>
      <c r="CVR54" s="42"/>
      <c r="CVS54" s="42"/>
      <c r="CVT54" s="42"/>
      <c r="CVU54" s="42"/>
      <c r="CVV54" s="42"/>
      <c r="CVW54" s="42"/>
      <c r="CVX54" s="42"/>
      <c r="CVY54" s="42"/>
      <c r="CVZ54" s="42"/>
      <c r="CWA54" s="42"/>
      <c r="CWB54" s="42"/>
      <c r="CWC54" s="42"/>
      <c r="CWD54" s="42"/>
      <c r="CWE54" s="42"/>
      <c r="CWF54" s="42"/>
      <c r="CWG54" s="2"/>
      <c r="CWH54" s="15"/>
      <c r="CWI54" s="42"/>
      <c r="CWJ54" s="2"/>
      <c r="CWK54" s="2"/>
      <c r="CWL54" s="2"/>
      <c r="CWM54" s="2"/>
      <c r="CWN54" s="42"/>
      <c r="CWO54" s="42"/>
      <c r="CWP54" s="42"/>
      <c r="CWQ54" s="42"/>
      <c r="CWR54" s="42"/>
      <c r="CWS54" s="42"/>
      <c r="CWT54" s="42"/>
      <c r="CWU54" s="42"/>
      <c r="CWV54" s="42"/>
      <c r="CWW54" s="42"/>
      <c r="CWX54" s="42"/>
      <c r="CWY54" s="42"/>
      <c r="CWZ54" s="42"/>
      <c r="CXA54" s="42"/>
      <c r="CXB54" s="42"/>
      <c r="CXC54" s="42"/>
      <c r="CXD54" s="42"/>
      <c r="CXE54" s="42"/>
      <c r="CXF54" s="42"/>
      <c r="CXG54" s="42"/>
      <c r="CXH54" s="42"/>
      <c r="CXI54" s="42"/>
      <c r="CXJ54" s="42"/>
      <c r="CXK54" s="2"/>
      <c r="CXL54" s="15"/>
      <c r="CXM54" s="42"/>
      <c r="CXN54" s="2"/>
      <c r="CXO54" s="2"/>
      <c r="CXP54" s="2"/>
      <c r="CXQ54" s="2"/>
      <c r="CXR54" s="42"/>
      <c r="CXS54" s="42"/>
      <c r="CXT54" s="42"/>
      <c r="CXU54" s="42"/>
      <c r="CXV54" s="42"/>
      <c r="CXW54" s="42"/>
      <c r="CXX54" s="42"/>
      <c r="CXY54" s="42"/>
      <c r="CXZ54" s="42"/>
      <c r="CYA54" s="42"/>
      <c r="CYB54" s="42"/>
      <c r="CYC54" s="42"/>
      <c r="CYD54" s="42"/>
      <c r="CYE54" s="42"/>
      <c r="CYF54" s="42"/>
      <c r="CYG54" s="42"/>
      <c r="CYH54" s="42"/>
      <c r="CYI54" s="42"/>
      <c r="CYJ54" s="42"/>
      <c r="CYK54" s="42"/>
      <c r="CYL54" s="42"/>
      <c r="CYM54" s="42"/>
      <c r="CYN54" s="42"/>
      <c r="CYO54" s="2"/>
      <c r="CYP54" s="15"/>
      <c r="CYQ54" s="42"/>
      <c r="CYR54" s="2"/>
      <c r="CYS54" s="2"/>
      <c r="CYT54" s="2"/>
      <c r="CYU54" s="2"/>
      <c r="CYV54" s="42"/>
      <c r="CYW54" s="42"/>
      <c r="CYX54" s="42"/>
      <c r="CYY54" s="42"/>
      <c r="CYZ54" s="42"/>
      <c r="CZA54" s="42"/>
      <c r="CZB54" s="42"/>
      <c r="CZC54" s="42"/>
      <c r="CZD54" s="42"/>
      <c r="CZE54" s="42"/>
      <c r="CZF54" s="42"/>
      <c r="CZG54" s="42"/>
      <c r="CZH54" s="42"/>
      <c r="CZI54" s="42"/>
      <c r="CZJ54" s="42"/>
      <c r="CZK54" s="42"/>
      <c r="CZL54" s="42"/>
      <c r="CZM54" s="42"/>
      <c r="CZN54" s="42"/>
      <c r="CZO54" s="42"/>
      <c r="CZP54" s="42"/>
      <c r="CZQ54" s="42"/>
      <c r="CZR54" s="42"/>
      <c r="CZS54" s="2"/>
      <c r="CZT54" s="15"/>
      <c r="CZU54" s="42"/>
      <c r="CZV54" s="2"/>
      <c r="CZW54" s="2"/>
      <c r="CZX54" s="2"/>
      <c r="CZY54" s="2"/>
      <c r="CZZ54" s="42"/>
      <c r="DAA54" s="42"/>
      <c r="DAB54" s="42"/>
      <c r="DAC54" s="42"/>
      <c r="DAD54" s="42"/>
      <c r="DAE54" s="42"/>
      <c r="DAF54" s="42"/>
      <c r="DAG54" s="42"/>
      <c r="DAH54" s="42"/>
      <c r="DAI54" s="42"/>
      <c r="DAJ54" s="42"/>
      <c r="DAK54" s="42"/>
      <c r="DAL54" s="42"/>
      <c r="DAM54" s="42"/>
      <c r="DAN54" s="42"/>
      <c r="DAO54" s="42"/>
      <c r="DAP54" s="42"/>
      <c r="DAQ54" s="42"/>
      <c r="DAR54" s="42"/>
      <c r="DAS54" s="42"/>
      <c r="DAT54" s="42"/>
      <c r="DAU54" s="42"/>
      <c r="DAV54" s="42"/>
      <c r="DAW54" s="2"/>
      <c r="DAX54" s="15"/>
      <c r="DAY54" s="42"/>
      <c r="DAZ54" s="2"/>
      <c r="DBA54" s="2"/>
      <c r="DBB54" s="2"/>
      <c r="DBC54" s="2"/>
      <c r="DBD54" s="42"/>
      <c r="DBE54" s="42"/>
      <c r="DBF54" s="42"/>
      <c r="DBG54" s="42"/>
      <c r="DBH54" s="42"/>
      <c r="DBI54" s="42"/>
      <c r="DBJ54" s="42"/>
      <c r="DBK54" s="42"/>
      <c r="DBL54" s="42"/>
      <c r="DBM54" s="42"/>
      <c r="DBN54" s="42"/>
      <c r="DBO54" s="42"/>
      <c r="DBP54" s="42"/>
      <c r="DBQ54" s="42"/>
      <c r="DBR54" s="42"/>
      <c r="DBS54" s="42"/>
      <c r="DBT54" s="42"/>
      <c r="DBU54" s="42"/>
      <c r="DBV54" s="42"/>
      <c r="DBW54" s="42"/>
      <c r="DBX54" s="42"/>
      <c r="DBY54" s="42"/>
      <c r="DBZ54" s="42"/>
      <c r="DCA54" s="2"/>
      <c r="DCB54" s="15"/>
      <c r="DCC54" s="42"/>
      <c r="DCD54" s="2"/>
      <c r="DCE54" s="2"/>
      <c r="DCF54" s="2"/>
      <c r="DCG54" s="2"/>
      <c r="DCH54" s="42"/>
      <c r="DCI54" s="42"/>
      <c r="DCJ54" s="42"/>
      <c r="DCK54" s="42"/>
      <c r="DCL54" s="42"/>
      <c r="DCM54" s="42"/>
      <c r="DCN54" s="42"/>
      <c r="DCO54" s="42"/>
      <c r="DCP54" s="42"/>
      <c r="DCQ54" s="42"/>
      <c r="DCR54" s="42"/>
      <c r="DCS54" s="42"/>
      <c r="DCT54" s="42"/>
      <c r="DCU54" s="42"/>
      <c r="DCV54" s="42"/>
      <c r="DCW54" s="42"/>
      <c r="DCX54" s="42"/>
      <c r="DCY54" s="42"/>
      <c r="DCZ54" s="42"/>
      <c r="DDA54" s="42"/>
      <c r="DDB54" s="42"/>
      <c r="DDC54" s="42"/>
      <c r="DDD54" s="42"/>
      <c r="DDE54" s="2"/>
      <c r="DDF54" s="15"/>
      <c r="DDG54" s="42"/>
      <c r="DDH54" s="2"/>
      <c r="DDI54" s="2"/>
      <c r="DDJ54" s="2"/>
      <c r="DDK54" s="2"/>
      <c r="DDL54" s="42"/>
      <c r="DDM54" s="42"/>
      <c r="DDN54" s="42"/>
      <c r="DDO54" s="42"/>
      <c r="DDP54" s="42"/>
      <c r="DDQ54" s="42"/>
      <c r="DDR54" s="42"/>
      <c r="DDS54" s="42"/>
      <c r="DDT54" s="42"/>
      <c r="DDU54" s="42"/>
      <c r="DDV54" s="42"/>
      <c r="DDW54" s="42"/>
      <c r="DDX54" s="42"/>
      <c r="DDY54" s="42"/>
      <c r="DDZ54" s="42"/>
      <c r="DEA54" s="42"/>
      <c r="DEB54" s="42"/>
      <c r="DEC54" s="42"/>
      <c r="DED54" s="42"/>
      <c r="DEE54" s="42"/>
      <c r="DEF54" s="42"/>
      <c r="DEG54" s="42"/>
      <c r="DEH54" s="42"/>
      <c r="DEI54" s="2"/>
      <c r="DEJ54" s="15"/>
      <c r="DEK54" s="42"/>
      <c r="DEL54" s="2"/>
      <c r="DEM54" s="2"/>
      <c r="DEN54" s="2"/>
      <c r="DEO54" s="2"/>
      <c r="DEP54" s="42"/>
      <c r="DEQ54" s="42"/>
      <c r="DER54" s="42"/>
      <c r="DES54" s="42"/>
      <c r="DET54" s="42"/>
      <c r="DEU54" s="42"/>
      <c r="DEV54" s="42"/>
      <c r="DEW54" s="42"/>
      <c r="DEX54" s="42"/>
      <c r="DEY54" s="42"/>
      <c r="DEZ54" s="42"/>
      <c r="DFA54" s="42"/>
      <c r="DFB54" s="42"/>
      <c r="DFC54" s="42"/>
      <c r="DFD54" s="42"/>
      <c r="DFE54" s="42"/>
      <c r="DFF54" s="42"/>
      <c r="DFG54" s="42"/>
      <c r="DFH54" s="42"/>
      <c r="DFI54" s="42"/>
      <c r="DFJ54" s="42"/>
      <c r="DFK54" s="42"/>
      <c r="DFL54" s="42"/>
      <c r="DFM54" s="2"/>
      <c r="DFN54" s="15"/>
      <c r="DFO54" s="42"/>
      <c r="DFP54" s="2"/>
      <c r="DFQ54" s="2"/>
      <c r="DFR54" s="2"/>
      <c r="DFS54" s="2"/>
      <c r="DFT54" s="42"/>
      <c r="DFU54" s="42"/>
      <c r="DFV54" s="42"/>
      <c r="DFW54" s="42"/>
      <c r="DFX54" s="42"/>
      <c r="DFY54" s="42"/>
      <c r="DFZ54" s="42"/>
      <c r="DGA54" s="42"/>
      <c r="DGB54" s="42"/>
      <c r="DGC54" s="42"/>
      <c r="DGD54" s="42"/>
      <c r="DGE54" s="42"/>
      <c r="DGF54" s="42"/>
      <c r="DGG54" s="42"/>
      <c r="DGH54" s="42"/>
      <c r="DGI54" s="42"/>
      <c r="DGJ54" s="42"/>
      <c r="DGK54" s="42"/>
      <c r="DGL54" s="42"/>
      <c r="DGM54" s="42"/>
      <c r="DGN54" s="42"/>
      <c r="DGO54" s="42"/>
      <c r="DGP54" s="42"/>
      <c r="DGQ54" s="2"/>
      <c r="DGR54" s="15"/>
      <c r="DGS54" s="42"/>
      <c r="DGT54" s="2"/>
      <c r="DGU54" s="2"/>
      <c r="DGV54" s="2"/>
      <c r="DGW54" s="2"/>
      <c r="DGX54" s="42"/>
      <c r="DGY54" s="42"/>
      <c r="DGZ54" s="42"/>
      <c r="DHA54" s="42"/>
      <c r="DHB54" s="42"/>
      <c r="DHC54" s="42"/>
      <c r="DHD54" s="42"/>
      <c r="DHE54" s="42"/>
      <c r="DHF54" s="42"/>
      <c r="DHG54" s="42"/>
      <c r="DHH54" s="42"/>
      <c r="DHI54" s="42"/>
      <c r="DHJ54" s="42"/>
      <c r="DHK54" s="42"/>
      <c r="DHL54" s="42"/>
      <c r="DHM54" s="42"/>
      <c r="DHN54" s="42"/>
      <c r="DHO54" s="42"/>
      <c r="DHP54" s="42"/>
      <c r="DHQ54" s="42"/>
      <c r="DHR54" s="42"/>
      <c r="DHS54" s="42"/>
      <c r="DHT54" s="42"/>
      <c r="DHU54" s="2"/>
      <c r="DHV54" s="15"/>
      <c r="DHW54" s="42"/>
      <c r="DHX54" s="2"/>
      <c r="DHY54" s="2"/>
      <c r="DHZ54" s="2"/>
      <c r="DIA54" s="2"/>
      <c r="DIB54" s="42"/>
      <c r="DIC54" s="42"/>
      <c r="DID54" s="42"/>
      <c r="DIE54" s="42"/>
      <c r="DIF54" s="42"/>
      <c r="DIG54" s="42"/>
      <c r="DIH54" s="42"/>
      <c r="DII54" s="42"/>
      <c r="DIJ54" s="42"/>
      <c r="DIK54" s="42"/>
      <c r="DIL54" s="42"/>
      <c r="DIM54" s="42"/>
      <c r="DIN54" s="42"/>
      <c r="DIO54" s="42"/>
      <c r="DIP54" s="42"/>
      <c r="DIQ54" s="42"/>
      <c r="DIR54" s="42"/>
      <c r="DIS54" s="42"/>
      <c r="DIT54" s="42"/>
      <c r="DIU54" s="42"/>
      <c r="DIV54" s="42"/>
      <c r="DIW54" s="42"/>
      <c r="DIX54" s="42"/>
      <c r="DIY54" s="2"/>
      <c r="DIZ54" s="15"/>
      <c r="DJA54" s="42"/>
      <c r="DJB54" s="2"/>
      <c r="DJC54" s="2"/>
      <c r="DJD54" s="2"/>
      <c r="DJE54" s="2"/>
      <c r="DJF54" s="42"/>
      <c r="DJG54" s="42"/>
      <c r="DJH54" s="42"/>
      <c r="DJI54" s="42"/>
      <c r="DJJ54" s="42"/>
      <c r="DJK54" s="42"/>
      <c r="DJL54" s="42"/>
      <c r="DJM54" s="42"/>
      <c r="DJN54" s="42"/>
      <c r="DJO54" s="42"/>
      <c r="DJP54" s="42"/>
      <c r="DJQ54" s="42"/>
      <c r="DJR54" s="42"/>
      <c r="DJS54" s="42"/>
      <c r="DJT54" s="42"/>
      <c r="DJU54" s="42"/>
      <c r="DJV54" s="42"/>
      <c r="DJW54" s="42"/>
      <c r="DJX54" s="42"/>
      <c r="DJY54" s="42"/>
      <c r="DJZ54" s="42"/>
      <c r="DKA54" s="42"/>
      <c r="DKB54" s="42"/>
      <c r="DKC54" s="2"/>
      <c r="DKD54" s="15"/>
      <c r="DKE54" s="42"/>
      <c r="DKF54" s="2"/>
      <c r="DKG54" s="2"/>
      <c r="DKH54" s="2"/>
      <c r="DKI54" s="2"/>
      <c r="DKJ54" s="42"/>
      <c r="DKK54" s="42"/>
      <c r="DKL54" s="42"/>
      <c r="DKM54" s="42"/>
      <c r="DKN54" s="42"/>
      <c r="DKO54" s="42"/>
      <c r="DKP54" s="42"/>
      <c r="DKQ54" s="42"/>
      <c r="DKR54" s="42"/>
      <c r="DKS54" s="42"/>
      <c r="DKT54" s="42"/>
      <c r="DKU54" s="42"/>
      <c r="DKV54" s="42"/>
      <c r="DKW54" s="42"/>
      <c r="DKX54" s="42"/>
      <c r="DKY54" s="42"/>
      <c r="DKZ54" s="42"/>
      <c r="DLA54" s="42"/>
      <c r="DLB54" s="42"/>
      <c r="DLC54" s="42"/>
      <c r="DLD54" s="42"/>
      <c r="DLE54" s="42"/>
      <c r="DLF54" s="42"/>
      <c r="DLG54" s="2"/>
      <c r="DLH54" s="15"/>
      <c r="DLI54" s="42"/>
      <c r="DLJ54" s="2"/>
      <c r="DLK54" s="2"/>
      <c r="DLL54" s="2"/>
      <c r="DLM54" s="2"/>
      <c r="DLN54" s="42"/>
      <c r="DLO54" s="42"/>
      <c r="DLP54" s="42"/>
      <c r="DLQ54" s="42"/>
      <c r="DLR54" s="42"/>
      <c r="DLS54" s="42"/>
      <c r="DLT54" s="42"/>
      <c r="DLU54" s="42"/>
      <c r="DLV54" s="42"/>
      <c r="DLW54" s="42"/>
      <c r="DLX54" s="42"/>
      <c r="DLY54" s="42"/>
      <c r="DLZ54" s="42"/>
      <c r="DMA54" s="42"/>
      <c r="DMB54" s="42"/>
      <c r="DMC54" s="42"/>
      <c r="DMD54" s="42"/>
      <c r="DME54" s="42"/>
      <c r="DMF54" s="42"/>
      <c r="DMG54" s="42"/>
      <c r="DMH54" s="42"/>
      <c r="DMI54" s="42"/>
      <c r="DMJ54" s="42"/>
      <c r="DMK54" s="2"/>
      <c r="DML54" s="15"/>
      <c r="DMM54" s="42"/>
      <c r="DMN54" s="2"/>
      <c r="DMO54" s="2"/>
      <c r="DMP54" s="2"/>
      <c r="DMQ54" s="2"/>
      <c r="DMR54" s="42"/>
      <c r="DMS54" s="42"/>
      <c r="DMT54" s="42"/>
      <c r="DMU54" s="42"/>
      <c r="DMV54" s="42"/>
      <c r="DMW54" s="42"/>
      <c r="DMX54" s="42"/>
      <c r="DMY54" s="42"/>
      <c r="DMZ54" s="42"/>
      <c r="DNA54" s="42"/>
      <c r="DNB54" s="42"/>
      <c r="DNC54" s="42"/>
      <c r="DND54" s="42"/>
      <c r="DNE54" s="42"/>
      <c r="DNF54" s="42"/>
      <c r="DNG54" s="42"/>
      <c r="DNH54" s="42"/>
      <c r="DNI54" s="42"/>
      <c r="DNJ54" s="42"/>
      <c r="DNK54" s="42"/>
      <c r="DNL54" s="42"/>
      <c r="DNM54" s="42"/>
      <c r="DNN54" s="42"/>
      <c r="DNO54" s="2"/>
      <c r="DNP54" s="15"/>
      <c r="DNQ54" s="42"/>
      <c r="DNR54" s="2"/>
      <c r="DNS54" s="2"/>
      <c r="DNT54" s="2"/>
      <c r="DNU54" s="2"/>
      <c r="DNV54" s="42"/>
      <c r="DNW54" s="42"/>
      <c r="DNX54" s="42"/>
      <c r="DNY54" s="42"/>
      <c r="DNZ54" s="42"/>
      <c r="DOA54" s="42"/>
      <c r="DOB54" s="42"/>
      <c r="DOC54" s="42"/>
      <c r="DOD54" s="42"/>
      <c r="DOE54" s="42"/>
      <c r="DOF54" s="42"/>
      <c r="DOG54" s="42"/>
      <c r="DOH54" s="42"/>
      <c r="DOI54" s="42"/>
      <c r="DOJ54" s="42"/>
      <c r="DOK54" s="42"/>
      <c r="DOL54" s="42"/>
      <c r="DOM54" s="42"/>
      <c r="DON54" s="42"/>
      <c r="DOO54" s="42"/>
      <c r="DOP54" s="42"/>
      <c r="DOQ54" s="42"/>
      <c r="DOR54" s="42"/>
      <c r="DOS54" s="2"/>
      <c r="DOT54" s="15"/>
      <c r="DOU54" s="42"/>
      <c r="DOV54" s="2"/>
      <c r="DOW54" s="2"/>
      <c r="DOX54" s="2"/>
      <c r="DOY54" s="2"/>
      <c r="DOZ54" s="42"/>
      <c r="DPA54" s="42"/>
      <c r="DPB54" s="42"/>
      <c r="DPC54" s="42"/>
      <c r="DPD54" s="42"/>
      <c r="DPE54" s="42"/>
      <c r="DPF54" s="42"/>
      <c r="DPG54" s="42"/>
      <c r="DPH54" s="42"/>
      <c r="DPI54" s="42"/>
      <c r="DPJ54" s="42"/>
      <c r="DPK54" s="42"/>
      <c r="DPL54" s="42"/>
      <c r="DPM54" s="42"/>
      <c r="DPN54" s="42"/>
      <c r="DPO54" s="42"/>
      <c r="DPP54" s="42"/>
      <c r="DPQ54" s="42"/>
      <c r="DPR54" s="42"/>
      <c r="DPS54" s="42"/>
      <c r="DPT54" s="42"/>
      <c r="DPU54" s="42"/>
      <c r="DPV54" s="42"/>
      <c r="DPW54" s="2"/>
      <c r="DPX54" s="15"/>
      <c r="DPY54" s="42"/>
      <c r="DPZ54" s="2"/>
      <c r="DQA54" s="2"/>
      <c r="DQB54" s="2"/>
      <c r="DQC54" s="2"/>
      <c r="DQD54" s="42"/>
      <c r="DQE54" s="42"/>
      <c r="DQF54" s="42"/>
      <c r="DQG54" s="42"/>
      <c r="DQH54" s="42"/>
      <c r="DQI54" s="42"/>
      <c r="DQJ54" s="42"/>
      <c r="DQK54" s="42"/>
      <c r="DQL54" s="42"/>
      <c r="DQM54" s="42"/>
      <c r="DQN54" s="42"/>
      <c r="DQO54" s="42"/>
      <c r="DQP54" s="42"/>
      <c r="DQQ54" s="42"/>
      <c r="DQR54" s="42"/>
      <c r="DQS54" s="42"/>
      <c r="DQT54" s="42"/>
      <c r="DQU54" s="42"/>
      <c r="DQV54" s="42"/>
      <c r="DQW54" s="42"/>
      <c r="DQX54" s="42"/>
      <c r="DQY54" s="42"/>
      <c r="DQZ54" s="42"/>
      <c r="DRA54" s="2"/>
      <c r="DRB54" s="15"/>
      <c r="DRC54" s="42"/>
      <c r="DRD54" s="2"/>
      <c r="DRE54" s="2"/>
      <c r="DRF54" s="2"/>
      <c r="DRG54" s="2"/>
      <c r="DRH54" s="42"/>
      <c r="DRI54" s="42"/>
      <c r="DRJ54" s="42"/>
      <c r="DRK54" s="42"/>
      <c r="DRL54" s="42"/>
      <c r="DRM54" s="42"/>
      <c r="DRN54" s="42"/>
      <c r="DRO54" s="42"/>
      <c r="DRP54" s="42"/>
      <c r="DRQ54" s="42"/>
      <c r="DRR54" s="42"/>
      <c r="DRS54" s="42"/>
      <c r="DRT54" s="42"/>
      <c r="DRU54" s="42"/>
      <c r="DRV54" s="42"/>
      <c r="DRW54" s="42"/>
      <c r="DRX54" s="42"/>
      <c r="DRY54" s="42"/>
      <c r="DRZ54" s="42"/>
      <c r="DSA54" s="42"/>
      <c r="DSB54" s="42"/>
      <c r="DSC54" s="42"/>
      <c r="DSD54" s="42"/>
      <c r="DSE54" s="2"/>
      <c r="DSF54" s="15"/>
      <c r="DSG54" s="42"/>
      <c r="DSH54" s="2"/>
      <c r="DSI54" s="2"/>
      <c r="DSJ54" s="2"/>
      <c r="DSK54" s="2"/>
      <c r="DSL54" s="42"/>
      <c r="DSM54" s="42"/>
      <c r="DSN54" s="42"/>
      <c r="DSO54" s="42"/>
      <c r="DSP54" s="42"/>
      <c r="DSQ54" s="42"/>
      <c r="DSR54" s="42"/>
      <c r="DSS54" s="42"/>
      <c r="DST54" s="42"/>
      <c r="DSU54" s="42"/>
      <c r="DSV54" s="42"/>
      <c r="DSW54" s="42"/>
      <c r="DSX54" s="42"/>
      <c r="DSY54" s="42"/>
      <c r="DSZ54" s="42"/>
      <c r="DTA54" s="42"/>
      <c r="DTB54" s="42"/>
      <c r="DTC54" s="42"/>
      <c r="DTD54" s="42"/>
      <c r="DTE54" s="42"/>
      <c r="DTF54" s="42"/>
      <c r="DTG54" s="42"/>
      <c r="DTH54" s="42"/>
      <c r="DTI54" s="2"/>
      <c r="DTJ54" s="15"/>
      <c r="DTK54" s="42"/>
      <c r="DTL54" s="2"/>
      <c r="DTM54" s="2"/>
      <c r="DTN54" s="2"/>
      <c r="DTO54" s="2"/>
      <c r="DTP54" s="42"/>
      <c r="DTQ54" s="42"/>
      <c r="DTR54" s="42"/>
      <c r="DTS54" s="42"/>
      <c r="DTT54" s="42"/>
      <c r="DTU54" s="42"/>
      <c r="DTV54" s="42"/>
      <c r="DTW54" s="42"/>
      <c r="DTX54" s="42"/>
      <c r="DTY54" s="42"/>
      <c r="DTZ54" s="42"/>
      <c r="DUA54" s="42"/>
      <c r="DUB54" s="42"/>
      <c r="DUC54" s="42"/>
      <c r="DUD54" s="42"/>
      <c r="DUE54" s="42"/>
      <c r="DUF54" s="42"/>
      <c r="DUG54" s="42"/>
      <c r="DUH54" s="42"/>
      <c r="DUI54" s="42"/>
      <c r="DUJ54" s="42"/>
      <c r="DUK54" s="42"/>
      <c r="DUL54" s="42"/>
      <c r="DUM54" s="2"/>
      <c r="DUN54" s="15"/>
      <c r="DUO54" s="42"/>
      <c r="DUP54" s="2"/>
      <c r="DUQ54" s="2"/>
      <c r="DUR54" s="2"/>
      <c r="DUS54" s="2"/>
      <c r="DUT54" s="42"/>
      <c r="DUU54" s="42"/>
      <c r="DUV54" s="42"/>
      <c r="DUW54" s="42"/>
      <c r="DUX54" s="42"/>
      <c r="DUY54" s="42"/>
      <c r="DUZ54" s="42"/>
      <c r="DVA54" s="42"/>
      <c r="DVB54" s="42"/>
      <c r="DVC54" s="42"/>
      <c r="DVD54" s="42"/>
      <c r="DVE54" s="42"/>
      <c r="DVF54" s="42"/>
      <c r="DVG54" s="42"/>
      <c r="DVH54" s="42"/>
      <c r="DVI54" s="42"/>
      <c r="DVJ54" s="42"/>
      <c r="DVK54" s="42"/>
      <c r="DVL54" s="42"/>
      <c r="DVM54" s="42"/>
      <c r="DVN54" s="42"/>
      <c r="DVO54" s="42"/>
      <c r="DVP54" s="42"/>
      <c r="DVQ54" s="2"/>
      <c r="DVR54" s="15"/>
      <c r="DVS54" s="42"/>
      <c r="DVT54" s="2"/>
      <c r="DVU54" s="2"/>
      <c r="DVV54" s="2"/>
      <c r="DVW54" s="2"/>
      <c r="DVX54" s="42"/>
      <c r="DVY54" s="42"/>
      <c r="DVZ54" s="42"/>
      <c r="DWA54" s="42"/>
      <c r="DWB54" s="42"/>
      <c r="DWC54" s="42"/>
      <c r="DWD54" s="42"/>
      <c r="DWE54" s="42"/>
      <c r="DWF54" s="42"/>
      <c r="DWG54" s="42"/>
      <c r="DWH54" s="42"/>
      <c r="DWI54" s="42"/>
      <c r="DWJ54" s="42"/>
      <c r="DWK54" s="42"/>
      <c r="DWL54" s="42"/>
      <c r="DWM54" s="42"/>
      <c r="DWN54" s="42"/>
      <c r="DWO54" s="42"/>
      <c r="DWP54" s="42"/>
      <c r="DWQ54" s="42"/>
      <c r="DWR54" s="42"/>
      <c r="DWS54" s="42"/>
      <c r="DWT54" s="42"/>
      <c r="DWU54" s="2"/>
      <c r="DWV54" s="15"/>
      <c r="DWW54" s="42"/>
      <c r="DWX54" s="2"/>
      <c r="DWY54" s="2"/>
      <c r="DWZ54" s="2"/>
      <c r="DXA54" s="2"/>
      <c r="DXB54" s="42"/>
      <c r="DXC54" s="42"/>
      <c r="DXD54" s="42"/>
      <c r="DXE54" s="42"/>
      <c r="DXF54" s="42"/>
      <c r="DXG54" s="42"/>
      <c r="DXH54" s="42"/>
      <c r="DXI54" s="42"/>
      <c r="DXJ54" s="42"/>
      <c r="DXK54" s="42"/>
      <c r="DXL54" s="42"/>
      <c r="DXM54" s="42"/>
      <c r="DXN54" s="42"/>
      <c r="DXO54" s="42"/>
      <c r="DXP54" s="42"/>
      <c r="DXQ54" s="42"/>
      <c r="DXR54" s="42"/>
      <c r="DXS54" s="42"/>
      <c r="DXT54" s="42"/>
      <c r="DXU54" s="42"/>
      <c r="DXV54" s="42"/>
      <c r="DXW54" s="42"/>
      <c r="DXX54" s="42"/>
      <c r="DXY54" s="2"/>
      <c r="DXZ54" s="15"/>
      <c r="DYA54" s="42"/>
      <c r="DYB54" s="2"/>
      <c r="DYC54" s="2"/>
      <c r="DYD54" s="2"/>
      <c r="DYE54" s="2"/>
      <c r="DYF54" s="42"/>
      <c r="DYG54" s="42"/>
      <c r="DYH54" s="42"/>
      <c r="DYI54" s="42"/>
      <c r="DYJ54" s="42"/>
      <c r="DYK54" s="42"/>
      <c r="DYL54" s="42"/>
      <c r="DYM54" s="42"/>
      <c r="DYN54" s="42"/>
      <c r="DYO54" s="42"/>
      <c r="DYP54" s="42"/>
      <c r="DYQ54" s="42"/>
      <c r="DYR54" s="42"/>
      <c r="DYS54" s="42"/>
      <c r="DYT54" s="42"/>
      <c r="DYU54" s="42"/>
      <c r="DYV54" s="42"/>
      <c r="DYW54" s="42"/>
      <c r="DYX54" s="42"/>
      <c r="DYY54" s="42"/>
      <c r="DYZ54" s="42"/>
      <c r="DZA54" s="42"/>
      <c r="DZB54" s="42"/>
      <c r="DZC54" s="2"/>
      <c r="DZD54" s="15"/>
      <c r="DZE54" s="42"/>
      <c r="DZF54" s="2"/>
      <c r="DZG54" s="2"/>
      <c r="DZH54" s="2"/>
      <c r="DZI54" s="2"/>
      <c r="DZJ54" s="42"/>
      <c r="DZK54" s="42"/>
      <c r="DZL54" s="42"/>
      <c r="DZM54" s="42"/>
      <c r="DZN54" s="42"/>
      <c r="DZO54" s="42"/>
      <c r="DZP54" s="42"/>
      <c r="DZQ54" s="42"/>
      <c r="DZR54" s="42"/>
      <c r="DZS54" s="42"/>
      <c r="DZT54" s="42"/>
      <c r="DZU54" s="42"/>
      <c r="DZV54" s="42"/>
      <c r="DZW54" s="42"/>
      <c r="DZX54" s="42"/>
      <c r="DZY54" s="42"/>
      <c r="DZZ54" s="42"/>
      <c r="EAA54" s="42"/>
      <c r="EAB54" s="42"/>
      <c r="EAC54" s="42"/>
      <c r="EAD54" s="42"/>
      <c r="EAE54" s="42"/>
      <c r="EAF54" s="42"/>
      <c r="EAG54" s="2"/>
      <c r="EAH54" s="15"/>
      <c r="EAI54" s="42"/>
      <c r="EAJ54" s="2"/>
      <c r="EAK54" s="2"/>
      <c r="EAL54" s="2"/>
      <c r="EAM54" s="2"/>
      <c r="EAN54" s="42"/>
      <c r="EAO54" s="42"/>
      <c r="EAP54" s="42"/>
      <c r="EAQ54" s="42"/>
      <c r="EAR54" s="42"/>
      <c r="EAS54" s="42"/>
      <c r="EAT54" s="42"/>
      <c r="EAU54" s="42"/>
      <c r="EAV54" s="42"/>
      <c r="EAW54" s="42"/>
      <c r="EAX54" s="42"/>
      <c r="EAY54" s="42"/>
      <c r="EAZ54" s="42"/>
      <c r="EBA54" s="42"/>
      <c r="EBB54" s="42"/>
      <c r="EBC54" s="42"/>
      <c r="EBD54" s="42"/>
      <c r="EBE54" s="42"/>
      <c r="EBF54" s="42"/>
      <c r="EBG54" s="42"/>
      <c r="EBH54" s="42"/>
      <c r="EBI54" s="42"/>
      <c r="EBJ54" s="42"/>
      <c r="EBK54" s="2"/>
      <c r="EBL54" s="15"/>
      <c r="EBM54" s="42"/>
      <c r="EBN54" s="2"/>
      <c r="EBO54" s="2"/>
      <c r="EBP54" s="2"/>
      <c r="EBQ54" s="2"/>
      <c r="EBR54" s="42"/>
      <c r="EBS54" s="42"/>
      <c r="EBT54" s="42"/>
      <c r="EBU54" s="42"/>
      <c r="EBV54" s="42"/>
      <c r="EBW54" s="42"/>
      <c r="EBX54" s="42"/>
      <c r="EBY54" s="42"/>
      <c r="EBZ54" s="42"/>
      <c r="ECA54" s="42"/>
      <c r="ECB54" s="42"/>
      <c r="ECC54" s="42"/>
      <c r="ECD54" s="42"/>
      <c r="ECE54" s="42"/>
      <c r="ECF54" s="42"/>
      <c r="ECG54" s="42"/>
      <c r="ECH54" s="42"/>
      <c r="ECI54" s="42"/>
      <c r="ECJ54" s="42"/>
      <c r="ECK54" s="42"/>
      <c r="ECL54" s="42"/>
      <c r="ECM54" s="42"/>
      <c r="ECN54" s="42"/>
      <c r="ECO54" s="2"/>
      <c r="ECP54" s="15"/>
      <c r="ECQ54" s="42"/>
      <c r="ECR54" s="2"/>
      <c r="ECS54" s="2"/>
      <c r="ECT54" s="2"/>
      <c r="ECU54" s="2"/>
      <c r="ECV54" s="42"/>
      <c r="ECW54" s="42"/>
      <c r="ECX54" s="42"/>
      <c r="ECY54" s="42"/>
      <c r="ECZ54" s="42"/>
      <c r="EDA54" s="42"/>
      <c r="EDB54" s="42"/>
      <c r="EDC54" s="42"/>
      <c r="EDD54" s="42"/>
      <c r="EDE54" s="42"/>
      <c r="EDF54" s="42"/>
      <c r="EDG54" s="42"/>
      <c r="EDH54" s="42"/>
      <c r="EDI54" s="42"/>
      <c r="EDJ54" s="42"/>
      <c r="EDK54" s="42"/>
      <c r="EDL54" s="42"/>
      <c r="EDM54" s="42"/>
      <c r="EDN54" s="42"/>
      <c r="EDO54" s="42"/>
      <c r="EDP54" s="42"/>
      <c r="EDQ54" s="42"/>
      <c r="EDR54" s="42"/>
      <c r="EDS54" s="2"/>
      <c r="EDT54" s="15"/>
      <c r="EDU54" s="42"/>
      <c r="EDV54" s="2"/>
      <c r="EDW54" s="2"/>
      <c r="EDX54" s="2"/>
      <c r="EDY54" s="2"/>
      <c r="EDZ54" s="42"/>
      <c r="EEA54" s="42"/>
      <c r="EEB54" s="42"/>
      <c r="EEC54" s="42"/>
      <c r="EED54" s="42"/>
      <c r="EEE54" s="42"/>
      <c r="EEF54" s="42"/>
      <c r="EEG54" s="42"/>
      <c r="EEH54" s="42"/>
      <c r="EEI54" s="42"/>
      <c r="EEJ54" s="42"/>
      <c r="EEK54" s="42"/>
      <c r="EEL54" s="42"/>
      <c r="EEM54" s="42"/>
      <c r="EEN54" s="42"/>
      <c r="EEO54" s="42"/>
      <c r="EEP54" s="42"/>
      <c r="EEQ54" s="42"/>
      <c r="EER54" s="42"/>
      <c r="EES54" s="42"/>
      <c r="EET54" s="42"/>
      <c r="EEU54" s="42"/>
      <c r="EEV54" s="42"/>
      <c r="EEW54" s="2"/>
      <c r="EEX54" s="15"/>
      <c r="EEY54" s="42"/>
      <c r="EEZ54" s="2"/>
      <c r="EFA54" s="2"/>
      <c r="EFB54" s="2"/>
      <c r="EFC54" s="2"/>
      <c r="EFD54" s="42"/>
      <c r="EFE54" s="42"/>
      <c r="EFF54" s="42"/>
      <c r="EFG54" s="42"/>
      <c r="EFH54" s="42"/>
      <c r="EFI54" s="42"/>
      <c r="EFJ54" s="42"/>
      <c r="EFK54" s="42"/>
      <c r="EFL54" s="42"/>
      <c r="EFM54" s="42"/>
      <c r="EFN54" s="42"/>
      <c r="EFO54" s="42"/>
      <c r="EFP54" s="42"/>
      <c r="EFQ54" s="42"/>
      <c r="EFR54" s="42"/>
      <c r="EFS54" s="42"/>
      <c r="EFT54" s="42"/>
      <c r="EFU54" s="42"/>
      <c r="EFV54" s="42"/>
      <c r="EFW54" s="42"/>
      <c r="EFX54" s="42"/>
      <c r="EFY54" s="42"/>
      <c r="EFZ54" s="42"/>
      <c r="EGA54" s="2"/>
      <c r="EGB54" s="15"/>
      <c r="EGC54" s="42"/>
      <c r="EGD54" s="2"/>
      <c r="EGE54" s="2"/>
      <c r="EGF54" s="2"/>
      <c r="EGG54" s="2"/>
      <c r="EGH54" s="42"/>
      <c r="EGI54" s="42"/>
      <c r="EGJ54" s="42"/>
      <c r="EGK54" s="42"/>
      <c r="EGL54" s="42"/>
      <c r="EGM54" s="42"/>
      <c r="EGN54" s="42"/>
      <c r="EGO54" s="42"/>
      <c r="EGP54" s="42"/>
      <c r="EGQ54" s="42"/>
      <c r="EGR54" s="42"/>
      <c r="EGS54" s="42"/>
      <c r="EGT54" s="42"/>
      <c r="EGU54" s="42"/>
      <c r="EGV54" s="42"/>
      <c r="EGW54" s="42"/>
      <c r="EGX54" s="42"/>
      <c r="EGY54" s="42"/>
      <c r="EGZ54" s="42"/>
      <c r="EHA54" s="42"/>
      <c r="EHB54" s="42"/>
      <c r="EHC54" s="42"/>
      <c r="EHD54" s="42"/>
      <c r="EHE54" s="2"/>
      <c r="EHF54" s="15"/>
      <c r="EHG54" s="42"/>
      <c r="EHH54" s="2"/>
      <c r="EHI54" s="2"/>
      <c r="EHJ54" s="2"/>
      <c r="EHK54" s="2"/>
      <c r="EHL54" s="42"/>
      <c r="EHM54" s="42"/>
      <c r="EHN54" s="42"/>
      <c r="EHO54" s="42"/>
      <c r="EHP54" s="42"/>
      <c r="EHQ54" s="42"/>
      <c r="EHR54" s="42"/>
      <c r="EHS54" s="42"/>
      <c r="EHT54" s="42"/>
      <c r="EHU54" s="42"/>
      <c r="EHV54" s="42"/>
      <c r="EHW54" s="42"/>
      <c r="EHX54" s="42"/>
      <c r="EHY54" s="42"/>
      <c r="EHZ54" s="42"/>
      <c r="EIA54" s="42"/>
      <c r="EIB54" s="42"/>
      <c r="EIC54" s="42"/>
      <c r="EID54" s="42"/>
      <c r="EIE54" s="42"/>
      <c r="EIF54" s="42"/>
      <c r="EIG54" s="42"/>
      <c r="EIH54" s="42"/>
      <c r="EII54" s="2"/>
      <c r="EIJ54" s="15"/>
      <c r="EIK54" s="42"/>
      <c r="EIL54" s="2"/>
      <c r="EIM54" s="2"/>
      <c r="EIN54" s="2"/>
      <c r="EIO54" s="2"/>
      <c r="EIP54" s="42"/>
      <c r="EIQ54" s="42"/>
      <c r="EIR54" s="42"/>
      <c r="EIS54" s="42"/>
      <c r="EIT54" s="42"/>
      <c r="EIU54" s="42"/>
      <c r="EIV54" s="42"/>
      <c r="EIW54" s="42"/>
      <c r="EIX54" s="42"/>
      <c r="EIY54" s="42"/>
      <c r="EIZ54" s="42"/>
      <c r="EJA54" s="42"/>
      <c r="EJB54" s="42"/>
      <c r="EJC54" s="42"/>
      <c r="EJD54" s="42"/>
      <c r="EJE54" s="42"/>
      <c r="EJF54" s="42"/>
      <c r="EJG54" s="42"/>
      <c r="EJH54" s="42"/>
      <c r="EJI54" s="42"/>
      <c r="EJJ54" s="42"/>
      <c r="EJK54" s="42"/>
      <c r="EJL54" s="42"/>
      <c r="EJM54" s="2"/>
      <c r="EJN54" s="15"/>
      <c r="EJO54" s="42"/>
      <c r="EJP54" s="2"/>
      <c r="EJQ54" s="2"/>
      <c r="EJR54" s="2"/>
      <c r="EJS54" s="2"/>
      <c r="EJT54" s="42"/>
      <c r="EJU54" s="42"/>
      <c r="EJV54" s="42"/>
      <c r="EJW54" s="42"/>
      <c r="EJX54" s="42"/>
      <c r="EJY54" s="42"/>
      <c r="EJZ54" s="42"/>
      <c r="EKA54" s="42"/>
      <c r="EKB54" s="42"/>
      <c r="EKC54" s="42"/>
      <c r="EKD54" s="42"/>
      <c r="EKE54" s="42"/>
      <c r="EKF54" s="42"/>
      <c r="EKG54" s="42"/>
      <c r="EKH54" s="42"/>
      <c r="EKI54" s="42"/>
      <c r="EKJ54" s="42"/>
      <c r="EKK54" s="42"/>
      <c r="EKL54" s="42"/>
      <c r="EKM54" s="42"/>
      <c r="EKN54" s="42"/>
      <c r="EKO54" s="42"/>
      <c r="EKP54" s="42"/>
      <c r="EKQ54" s="2"/>
      <c r="EKR54" s="15"/>
      <c r="EKS54" s="42"/>
      <c r="EKT54" s="2"/>
      <c r="EKU54" s="2"/>
      <c r="EKV54" s="2"/>
      <c r="EKW54" s="2"/>
      <c r="EKX54" s="42"/>
      <c r="EKY54" s="42"/>
      <c r="EKZ54" s="42"/>
      <c r="ELA54" s="42"/>
      <c r="ELB54" s="42"/>
      <c r="ELC54" s="42"/>
      <c r="ELD54" s="42"/>
      <c r="ELE54" s="42"/>
      <c r="ELF54" s="42"/>
      <c r="ELG54" s="42"/>
      <c r="ELH54" s="42"/>
      <c r="ELI54" s="42"/>
      <c r="ELJ54" s="42"/>
      <c r="ELK54" s="42"/>
      <c r="ELL54" s="42"/>
      <c r="ELM54" s="42"/>
      <c r="ELN54" s="42"/>
      <c r="ELO54" s="42"/>
      <c r="ELP54" s="42"/>
      <c r="ELQ54" s="42"/>
      <c r="ELR54" s="42"/>
      <c r="ELS54" s="42"/>
      <c r="ELT54" s="42"/>
      <c r="ELU54" s="2"/>
      <c r="ELV54" s="15"/>
      <c r="ELW54" s="42"/>
      <c r="ELX54" s="2"/>
      <c r="ELY54" s="2"/>
      <c r="ELZ54" s="2"/>
      <c r="EMA54" s="2"/>
      <c r="EMB54" s="42"/>
      <c r="EMC54" s="42"/>
      <c r="EMD54" s="42"/>
      <c r="EME54" s="42"/>
      <c r="EMF54" s="42"/>
      <c r="EMG54" s="42"/>
      <c r="EMH54" s="42"/>
      <c r="EMI54" s="42"/>
      <c r="EMJ54" s="42"/>
      <c r="EMK54" s="42"/>
      <c r="EML54" s="42"/>
      <c r="EMM54" s="42"/>
      <c r="EMN54" s="42"/>
      <c r="EMO54" s="42"/>
      <c r="EMP54" s="42"/>
      <c r="EMQ54" s="42"/>
      <c r="EMR54" s="42"/>
      <c r="EMS54" s="42"/>
      <c r="EMT54" s="42"/>
      <c r="EMU54" s="42"/>
      <c r="EMV54" s="42"/>
      <c r="EMW54" s="42"/>
      <c r="EMX54" s="42"/>
      <c r="EMY54" s="2"/>
      <c r="EMZ54" s="15"/>
      <c r="ENA54" s="42"/>
      <c r="ENB54" s="2"/>
      <c r="ENC54" s="2"/>
      <c r="END54" s="2"/>
      <c r="ENE54" s="2"/>
      <c r="ENF54" s="42"/>
      <c r="ENG54" s="42"/>
      <c r="ENH54" s="42"/>
      <c r="ENI54" s="42"/>
      <c r="ENJ54" s="42"/>
      <c r="ENK54" s="42"/>
      <c r="ENL54" s="42"/>
      <c r="ENM54" s="42"/>
      <c r="ENN54" s="42"/>
      <c r="ENO54" s="42"/>
      <c r="ENP54" s="42"/>
      <c r="ENQ54" s="42"/>
      <c r="ENR54" s="42"/>
      <c r="ENS54" s="42"/>
      <c r="ENT54" s="42"/>
      <c r="ENU54" s="42"/>
      <c r="ENV54" s="42"/>
      <c r="ENW54" s="42"/>
      <c r="ENX54" s="42"/>
      <c r="ENY54" s="42"/>
      <c r="ENZ54" s="42"/>
      <c r="EOA54" s="42"/>
      <c r="EOB54" s="42"/>
      <c r="EOC54" s="2"/>
      <c r="EOD54" s="15"/>
      <c r="EOE54" s="42"/>
      <c r="EOF54" s="2"/>
      <c r="EOG54" s="2"/>
      <c r="EOH54" s="2"/>
      <c r="EOI54" s="2"/>
      <c r="EOJ54" s="42"/>
      <c r="EOK54" s="42"/>
      <c r="EOL54" s="42"/>
      <c r="EOM54" s="42"/>
      <c r="EON54" s="42"/>
      <c r="EOO54" s="42"/>
      <c r="EOP54" s="42"/>
      <c r="EOQ54" s="42"/>
      <c r="EOR54" s="42"/>
      <c r="EOS54" s="42"/>
      <c r="EOT54" s="42"/>
      <c r="EOU54" s="42"/>
      <c r="EOV54" s="42"/>
      <c r="EOW54" s="42"/>
      <c r="EOX54" s="42"/>
      <c r="EOY54" s="42"/>
      <c r="EOZ54" s="42"/>
      <c r="EPA54" s="42"/>
      <c r="EPB54" s="42"/>
      <c r="EPC54" s="42"/>
      <c r="EPD54" s="42"/>
      <c r="EPE54" s="42"/>
      <c r="EPF54" s="42"/>
      <c r="EPG54" s="2"/>
      <c r="EPH54" s="15"/>
      <c r="EPI54" s="42"/>
      <c r="EPJ54" s="2"/>
      <c r="EPK54" s="2"/>
      <c r="EPL54" s="2"/>
      <c r="EPM54" s="2"/>
      <c r="EPN54" s="42"/>
      <c r="EPO54" s="42"/>
      <c r="EPP54" s="42"/>
      <c r="EPQ54" s="42"/>
      <c r="EPR54" s="42"/>
      <c r="EPS54" s="42"/>
      <c r="EPT54" s="42"/>
      <c r="EPU54" s="42"/>
      <c r="EPV54" s="42"/>
      <c r="EPW54" s="42"/>
      <c r="EPX54" s="42"/>
      <c r="EPY54" s="42"/>
      <c r="EPZ54" s="42"/>
      <c r="EQA54" s="42"/>
      <c r="EQB54" s="42"/>
      <c r="EQC54" s="42"/>
      <c r="EQD54" s="42"/>
      <c r="EQE54" s="42"/>
      <c r="EQF54" s="42"/>
      <c r="EQG54" s="42"/>
      <c r="EQH54" s="42"/>
      <c r="EQI54" s="42"/>
      <c r="EQJ54" s="42"/>
      <c r="EQK54" s="2"/>
      <c r="EQL54" s="15"/>
      <c r="EQM54" s="42"/>
      <c r="EQN54" s="2"/>
      <c r="EQO54" s="2"/>
      <c r="EQP54" s="2"/>
      <c r="EQQ54" s="2"/>
      <c r="EQR54" s="42"/>
      <c r="EQS54" s="42"/>
      <c r="EQT54" s="42"/>
      <c r="EQU54" s="42"/>
      <c r="EQV54" s="42"/>
      <c r="EQW54" s="42"/>
      <c r="EQX54" s="42"/>
      <c r="EQY54" s="42"/>
      <c r="EQZ54" s="42"/>
      <c r="ERA54" s="42"/>
      <c r="ERB54" s="42"/>
      <c r="ERC54" s="42"/>
      <c r="ERD54" s="42"/>
      <c r="ERE54" s="42"/>
      <c r="ERF54" s="42"/>
      <c r="ERG54" s="42"/>
      <c r="ERH54" s="42"/>
      <c r="ERI54" s="42"/>
      <c r="ERJ54" s="42"/>
      <c r="ERK54" s="42"/>
      <c r="ERL54" s="42"/>
      <c r="ERM54" s="42"/>
      <c r="ERN54" s="42"/>
      <c r="ERO54" s="2"/>
      <c r="ERP54" s="15"/>
      <c r="ERQ54" s="42"/>
      <c r="ERR54" s="2"/>
      <c r="ERS54" s="2"/>
      <c r="ERT54" s="2"/>
      <c r="ERU54" s="2"/>
      <c r="ERV54" s="42"/>
      <c r="ERW54" s="42"/>
      <c r="ERX54" s="42"/>
      <c r="ERY54" s="42"/>
      <c r="ERZ54" s="42"/>
      <c r="ESA54" s="42"/>
      <c r="ESB54" s="42"/>
      <c r="ESC54" s="42"/>
      <c r="ESD54" s="42"/>
      <c r="ESE54" s="42"/>
      <c r="ESF54" s="42"/>
      <c r="ESG54" s="42"/>
      <c r="ESH54" s="42"/>
      <c r="ESI54" s="42"/>
      <c r="ESJ54" s="42"/>
      <c r="ESK54" s="42"/>
      <c r="ESL54" s="42"/>
      <c r="ESM54" s="42"/>
      <c r="ESN54" s="42"/>
      <c r="ESO54" s="42"/>
      <c r="ESP54" s="42"/>
      <c r="ESQ54" s="42"/>
      <c r="ESR54" s="42"/>
      <c r="ESS54" s="2"/>
      <c r="EST54" s="15"/>
      <c r="ESU54" s="42"/>
      <c r="ESV54" s="2"/>
      <c r="ESW54" s="2"/>
      <c r="ESX54" s="2"/>
      <c r="ESY54" s="2"/>
      <c r="ESZ54" s="42"/>
      <c r="ETA54" s="42"/>
      <c r="ETB54" s="42"/>
      <c r="ETC54" s="42"/>
      <c r="ETD54" s="42"/>
      <c r="ETE54" s="42"/>
      <c r="ETF54" s="42"/>
      <c r="ETG54" s="42"/>
      <c r="ETH54" s="42"/>
      <c r="ETI54" s="42"/>
      <c r="ETJ54" s="42"/>
      <c r="ETK54" s="42"/>
      <c r="ETL54" s="42"/>
      <c r="ETM54" s="42"/>
      <c r="ETN54" s="42"/>
      <c r="ETO54" s="42"/>
      <c r="ETP54" s="42"/>
      <c r="ETQ54" s="42"/>
      <c r="ETR54" s="42"/>
      <c r="ETS54" s="42"/>
      <c r="ETT54" s="42"/>
      <c r="ETU54" s="42"/>
      <c r="ETV54" s="42"/>
      <c r="ETW54" s="2"/>
      <c r="ETX54" s="15"/>
      <c r="ETY54" s="42"/>
      <c r="ETZ54" s="2"/>
      <c r="EUA54" s="2"/>
      <c r="EUB54" s="2"/>
      <c r="EUC54" s="2"/>
      <c r="EUD54" s="42"/>
      <c r="EUE54" s="42"/>
      <c r="EUF54" s="42"/>
      <c r="EUG54" s="42"/>
      <c r="EUH54" s="42"/>
      <c r="EUI54" s="42"/>
      <c r="EUJ54" s="42"/>
      <c r="EUK54" s="42"/>
      <c r="EUL54" s="42"/>
      <c r="EUM54" s="42"/>
      <c r="EUN54" s="42"/>
      <c r="EUO54" s="42"/>
      <c r="EUP54" s="42"/>
      <c r="EUQ54" s="42"/>
      <c r="EUR54" s="42"/>
      <c r="EUS54" s="42"/>
      <c r="EUT54" s="42"/>
      <c r="EUU54" s="42"/>
      <c r="EUV54" s="42"/>
      <c r="EUW54" s="42"/>
      <c r="EUX54" s="42"/>
      <c r="EUY54" s="42"/>
      <c r="EUZ54" s="42"/>
      <c r="EVA54" s="2"/>
      <c r="EVB54" s="15"/>
      <c r="EVC54" s="42"/>
      <c r="EVD54" s="2"/>
      <c r="EVE54" s="2"/>
      <c r="EVF54" s="2"/>
      <c r="EVG54" s="2"/>
      <c r="EVH54" s="42"/>
      <c r="EVI54" s="42"/>
      <c r="EVJ54" s="42"/>
      <c r="EVK54" s="42"/>
      <c r="EVL54" s="42"/>
      <c r="EVM54" s="42"/>
      <c r="EVN54" s="42"/>
      <c r="EVO54" s="42"/>
      <c r="EVP54" s="42"/>
      <c r="EVQ54" s="42"/>
      <c r="EVR54" s="42"/>
      <c r="EVS54" s="42"/>
      <c r="EVT54" s="42"/>
      <c r="EVU54" s="42"/>
      <c r="EVV54" s="42"/>
      <c r="EVW54" s="42"/>
      <c r="EVX54" s="42"/>
      <c r="EVY54" s="42"/>
      <c r="EVZ54" s="42"/>
      <c r="EWA54" s="42"/>
      <c r="EWB54" s="42"/>
      <c r="EWC54" s="42"/>
      <c r="EWD54" s="42"/>
      <c r="EWE54" s="2"/>
      <c r="EWF54" s="15"/>
      <c r="EWG54" s="42"/>
      <c r="EWH54" s="2"/>
      <c r="EWI54" s="2"/>
      <c r="EWJ54" s="2"/>
      <c r="EWK54" s="2"/>
      <c r="EWL54" s="42"/>
      <c r="EWM54" s="42"/>
      <c r="EWN54" s="42"/>
      <c r="EWO54" s="42"/>
      <c r="EWP54" s="42"/>
      <c r="EWQ54" s="42"/>
      <c r="EWR54" s="42"/>
      <c r="EWS54" s="42"/>
      <c r="EWT54" s="42"/>
      <c r="EWU54" s="42"/>
      <c r="EWV54" s="42"/>
      <c r="EWW54" s="42"/>
      <c r="EWX54" s="42"/>
      <c r="EWY54" s="42"/>
      <c r="EWZ54" s="42"/>
      <c r="EXA54" s="42"/>
      <c r="EXB54" s="42"/>
      <c r="EXC54" s="42"/>
      <c r="EXD54" s="42"/>
      <c r="EXE54" s="42"/>
      <c r="EXF54" s="42"/>
      <c r="EXG54" s="42"/>
      <c r="EXH54" s="42"/>
      <c r="EXI54" s="2"/>
      <c r="EXJ54" s="15"/>
      <c r="EXK54" s="42"/>
      <c r="EXL54" s="2"/>
      <c r="EXM54" s="2"/>
      <c r="EXN54" s="2"/>
      <c r="EXO54" s="2"/>
      <c r="EXP54" s="42"/>
      <c r="EXQ54" s="42"/>
      <c r="EXR54" s="42"/>
      <c r="EXS54" s="42"/>
      <c r="EXT54" s="42"/>
      <c r="EXU54" s="42"/>
      <c r="EXV54" s="42"/>
      <c r="EXW54" s="42"/>
      <c r="EXX54" s="42"/>
      <c r="EXY54" s="42"/>
      <c r="EXZ54" s="42"/>
      <c r="EYA54" s="42"/>
      <c r="EYB54" s="42"/>
      <c r="EYC54" s="42"/>
      <c r="EYD54" s="42"/>
      <c r="EYE54" s="42"/>
      <c r="EYF54" s="42"/>
      <c r="EYG54" s="42"/>
      <c r="EYH54" s="42"/>
      <c r="EYI54" s="42"/>
      <c r="EYJ54" s="42"/>
      <c r="EYK54" s="42"/>
      <c r="EYL54" s="42"/>
      <c r="EYM54" s="2"/>
      <c r="EYN54" s="15"/>
      <c r="EYO54" s="42"/>
      <c r="EYP54" s="2"/>
      <c r="EYQ54" s="2"/>
      <c r="EYR54" s="2"/>
      <c r="EYS54" s="2"/>
      <c r="EYT54" s="42"/>
      <c r="EYU54" s="42"/>
      <c r="EYV54" s="42"/>
      <c r="EYW54" s="42"/>
      <c r="EYX54" s="42"/>
      <c r="EYY54" s="42"/>
      <c r="EYZ54" s="42"/>
      <c r="EZA54" s="42"/>
      <c r="EZB54" s="42"/>
      <c r="EZC54" s="42"/>
      <c r="EZD54" s="42"/>
      <c r="EZE54" s="42"/>
      <c r="EZF54" s="42"/>
      <c r="EZG54" s="42"/>
      <c r="EZH54" s="42"/>
      <c r="EZI54" s="42"/>
      <c r="EZJ54" s="42"/>
      <c r="EZK54" s="42"/>
      <c r="EZL54" s="42"/>
      <c r="EZM54" s="42"/>
      <c r="EZN54" s="42"/>
      <c r="EZO54" s="42"/>
      <c r="EZP54" s="42"/>
      <c r="EZQ54" s="2"/>
      <c r="EZR54" s="15"/>
      <c r="EZS54" s="42"/>
      <c r="EZT54" s="2"/>
      <c r="EZU54" s="2"/>
      <c r="EZV54" s="2"/>
      <c r="EZW54" s="2"/>
      <c r="EZX54" s="42"/>
      <c r="EZY54" s="42"/>
      <c r="EZZ54" s="42"/>
      <c r="FAA54" s="42"/>
      <c r="FAB54" s="42"/>
      <c r="FAC54" s="42"/>
      <c r="FAD54" s="42"/>
      <c r="FAE54" s="42"/>
      <c r="FAF54" s="42"/>
      <c r="FAG54" s="42"/>
      <c r="FAH54" s="42"/>
      <c r="FAI54" s="42"/>
      <c r="FAJ54" s="42"/>
      <c r="FAK54" s="42"/>
      <c r="FAL54" s="42"/>
      <c r="FAM54" s="42"/>
      <c r="FAN54" s="42"/>
      <c r="FAO54" s="42"/>
      <c r="FAP54" s="42"/>
      <c r="FAQ54" s="42"/>
      <c r="FAR54" s="42"/>
      <c r="FAS54" s="42"/>
      <c r="FAT54" s="42"/>
      <c r="FAU54" s="2"/>
      <c r="FAV54" s="15"/>
      <c r="FAW54" s="42"/>
      <c r="FAX54" s="2"/>
      <c r="FAY54" s="2"/>
      <c r="FAZ54" s="2"/>
      <c r="FBA54" s="2"/>
      <c r="FBB54" s="42"/>
      <c r="FBC54" s="42"/>
      <c r="FBD54" s="42"/>
      <c r="FBE54" s="42"/>
      <c r="FBF54" s="42"/>
      <c r="FBG54" s="42"/>
      <c r="FBH54" s="42"/>
      <c r="FBI54" s="42"/>
      <c r="FBJ54" s="42"/>
      <c r="FBK54" s="42"/>
      <c r="FBL54" s="42"/>
      <c r="FBM54" s="42"/>
      <c r="FBN54" s="42"/>
      <c r="FBO54" s="42"/>
      <c r="FBP54" s="42"/>
      <c r="FBQ54" s="42"/>
      <c r="FBR54" s="42"/>
      <c r="FBS54" s="42"/>
      <c r="FBT54" s="42"/>
      <c r="FBU54" s="42"/>
      <c r="FBV54" s="42"/>
      <c r="FBW54" s="42"/>
      <c r="FBX54" s="42"/>
      <c r="FBY54" s="2"/>
      <c r="FBZ54" s="15"/>
      <c r="FCA54" s="42"/>
      <c r="FCB54" s="2"/>
      <c r="FCC54" s="2"/>
      <c r="FCD54" s="2"/>
      <c r="FCE54" s="2"/>
      <c r="FCF54" s="42"/>
      <c r="FCG54" s="42"/>
      <c r="FCH54" s="42"/>
      <c r="FCI54" s="42"/>
      <c r="FCJ54" s="42"/>
      <c r="FCK54" s="42"/>
      <c r="FCL54" s="42"/>
      <c r="FCM54" s="42"/>
      <c r="FCN54" s="42"/>
      <c r="FCO54" s="42"/>
      <c r="FCP54" s="42"/>
      <c r="FCQ54" s="42"/>
      <c r="FCR54" s="42"/>
      <c r="FCS54" s="42"/>
      <c r="FCT54" s="42"/>
      <c r="FCU54" s="42"/>
      <c r="FCV54" s="42"/>
      <c r="FCW54" s="42"/>
      <c r="FCX54" s="42"/>
      <c r="FCY54" s="42"/>
      <c r="FCZ54" s="42"/>
      <c r="FDA54" s="42"/>
      <c r="FDB54" s="42"/>
      <c r="FDC54" s="2"/>
      <c r="FDD54" s="15"/>
      <c r="FDE54" s="42"/>
      <c r="FDF54" s="2"/>
      <c r="FDG54" s="2"/>
      <c r="FDH54" s="2"/>
      <c r="FDI54" s="2"/>
      <c r="FDJ54" s="42"/>
      <c r="FDK54" s="42"/>
      <c r="FDL54" s="42"/>
      <c r="FDM54" s="42"/>
      <c r="FDN54" s="42"/>
      <c r="FDO54" s="42"/>
      <c r="FDP54" s="42"/>
      <c r="FDQ54" s="42"/>
      <c r="FDR54" s="42"/>
      <c r="FDS54" s="42"/>
      <c r="FDT54" s="42"/>
      <c r="FDU54" s="42"/>
      <c r="FDV54" s="42"/>
      <c r="FDW54" s="42"/>
      <c r="FDX54" s="42"/>
      <c r="FDY54" s="42"/>
      <c r="FDZ54" s="42"/>
      <c r="FEA54" s="42"/>
      <c r="FEB54" s="42"/>
      <c r="FEC54" s="42"/>
      <c r="FED54" s="42"/>
      <c r="FEE54" s="42"/>
      <c r="FEF54" s="42"/>
      <c r="FEG54" s="2"/>
      <c r="FEH54" s="15"/>
      <c r="FEI54" s="42"/>
      <c r="FEJ54" s="2"/>
      <c r="FEK54" s="2"/>
      <c r="FEL54" s="2"/>
      <c r="FEM54" s="2"/>
      <c r="FEN54" s="42"/>
      <c r="FEO54" s="42"/>
      <c r="FEP54" s="42"/>
      <c r="FEQ54" s="42"/>
      <c r="FER54" s="42"/>
      <c r="FES54" s="42"/>
      <c r="FET54" s="42"/>
      <c r="FEU54" s="42"/>
      <c r="FEV54" s="42"/>
      <c r="FEW54" s="42"/>
      <c r="FEX54" s="42"/>
      <c r="FEY54" s="42"/>
      <c r="FEZ54" s="42"/>
      <c r="FFA54" s="42"/>
      <c r="FFB54" s="42"/>
      <c r="FFC54" s="42"/>
      <c r="FFD54" s="42"/>
      <c r="FFE54" s="42"/>
      <c r="FFF54" s="42"/>
      <c r="FFG54" s="42"/>
      <c r="FFH54" s="42"/>
      <c r="FFI54" s="42"/>
      <c r="FFJ54" s="42"/>
      <c r="FFK54" s="2"/>
      <c r="FFL54" s="15"/>
      <c r="FFM54" s="42"/>
      <c r="FFN54" s="2"/>
      <c r="FFO54" s="2"/>
      <c r="FFP54" s="2"/>
      <c r="FFQ54" s="2"/>
      <c r="FFR54" s="42"/>
      <c r="FFS54" s="42"/>
      <c r="FFT54" s="42"/>
      <c r="FFU54" s="42"/>
      <c r="FFV54" s="42"/>
      <c r="FFW54" s="42"/>
      <c r="FFX54" s="42"/>
      <c r="FFY54" s="42"/>
      <c r="FFZ54" s="42"/>
      <c r="FGA54" s="42"/>
      <c r="FGB54" s="42"/>
      <c r="FGC54" s="42"/>
      <c r="FGD54" s="42"/>
      <c r="FGE54" s="42"/>
      <c r="FGF54" s="42"/>
      <c r="FGG54" s="42"/>
      <c r="FGH54" s="42"/>
      <c r="FGI54" s="42"/>
      <c r="FGJ54" s="42"/>
      <c r="FGK54" s="42"/>
      <c r="FGL54" s="42"/>
      <c r="FGM54" s="42"/>
      <c r="FGN54" s="42"/>
      <c r="FGO54" s="2"/>
      <c r="FGP54" s="15"/>
      <c r="FGQ54" s="42"/>
      <c r="FGR54" s="2"/>
      <c r="FGS54" s="2"/>
      <c r="FGT54" s="2"/>
      <c r="FGU54" s="2"/>
      <c r="FGV54" s="42"/>
      <c r="FGW54" s="42"/>
      <c r="FGX54" s="42"/>
      <c r="FGY54" s="42"/>
      <c r="FGZ54" s="42"/>
      <c r="FHA54" s="42"/>
      <c r="FHB54" s="42"/>
      <c r="FHC54" s="42"/>
      <c r="FHD54" s="42"/>
      <c r="FHE54" s="42"/>
      <c r="FHF54" s="42"/>
      <c r="FHG54" s="42"/>
      <c r="FHH54" s="42"/>
      <c r="FHI54" s="42"/>
      <c r="FHJ54" s="42"/>
      <c r="FHK54" s="42"/>
      <c r="FHL54" s="42"/>
      <c r="FHM54" s="42"/>
      <c r="FHN54" s="42"/>
      <c r="FHO54" s="42"/>
      <c r="FHP54" s="42"/>
      <c r="FHQ54" s="42"/>
      <c r="FHR54" s="42"/>
      <c r="FHS54" s="2"/>
      <c r="FHT54" s="15"/>
      <c r="FHU54" s="42"/>
      <c r="FHV54" s="2"/>
      <c r="FHW54" s="2"/>
      <c r="FHX54" s="2"/>
      <c r="FHY54" s="2"/>
      <c r="FHZ54" s="42"/>
      <c r="FIA54" s="42"/>
      <c r="FIB54" s="42"/>
      <c r="FIC54" s="42"/>
      <c r="FID54" s="42"/>
      <c r="FIE54" s="42"/>
      <c r="FIF54" s="42"/>
      <c r="FIG54" s="42"/>
      <c r="FIH54" s="42"/>
      <c r="FII54" s="42"/>
      <c r="FIJ54" s="42"/>
      <c r="FIK54" s="42"/>
      <c r="FIL54" s="42"/>
      <c r="FIM54" s="42"/>
      <c r="FIN54" s="42"/>
      <c r="FIO54" s="42"/>
      <c r="FIP54" s="42"/>
      <c r="FIQ54" s="42"/>
      <c r="FIR54" s="42"/>
      <c r="FIS54" s="42"/>
      <c r="FIT54" s="42"/>
      <c r="FIU54" s="42"/>
      <c r="FIV54" s="42"/>
      <c r="FIW54" s="2"/>
      <c r="FIX54" s="15"/>
      <c r="FIY54" s="42"/>
      <c r="FIZ54" s="2"/>
      <c r="FJA54" s="2"/>
      <c r="FJB54" s="2"/>
      <c r="FJC54" s="2"/>
      <c r="FJD54" s="42"/>
      <c r="FJE54" s="42"/>
      <c r="FJF54" s="42"/>
      <c r="FJG54" s="42"/>
      <c r="FJH54" s="42"/>
      <c r="FJI54" s="42"/>
      <c r="FJJ54" s="42"/>
      <c r="FJK54" s="42"/>
      <c r="FJL54" s="42"/>
      <c r="FJM54" s="42"/>
      <c r="FJN54" s="42"/>
      <c r="FJO54" s="42"/>
      <c r="FJP54" s="42"/>
      <c r="FJQ54" s="42"/>
      <c r="FJR54" s="42"/>
      <c r="FJS54" s="42"/>
      <c r="FJT54" s="42"/>
      <c r="FJU54" s="42"/>
      <c r="FJV54" s="42"/>
      <c r="FJW54" s="42"/>
      <c r="FJX54" s="42"/>
      <c r="FJY54" s="42"/>
      <c r="FJZ54" s="42"/>
      <c r="FKA54" s="2"/>
      <c r="FKB54" s="15"/>
      <c r="FKC54" s="42"/>
      <c r="FKD54" s="2"/>
      <c r="FKE54" s="2"/>
      <c r="FKF54" s="2"/>
      <c r="FKG54" s="2"/>
      <c r="FKH54" s="42"/>
      <c r="FKI54" s="42"/>
      <c r="FKJ54" s="42"/>
      <c r="FKK54" s="42"/>
      <c r="FKL54" s="42"/>
      <c r="FKM54" s="42"/>
      <c r="FKN54" s="42"/>
      <c r="FKO54" s="42"/>
      <c r="FKP54" s="42"/>
      <c r="FKQ54" s="42"/>
      <c r="FKR54" s="42"/>
      <c r="FKS54" s="42"/>
      <c r="FKT54" s="42"/>
      <c r="FKU54" s="42"/>
      <c r="FKV54" s="42"/>
      <c r="FKW54" s="42"/>
      <c r="FKX54" s="42"/>
      <c r="FKY54" s="42"/>
      <c r="FKZ54" s="42"/>
      <c r="FLA54" s="42"/>
      <c r="FLB54" s="42"/>
      <c r="FLC54" s="42"/>
      <c r="FLD54" s="42"/>
      <c r="FLE54" s="2"/>
      <c r="FLF54" s="15"/>
      <c r="FLG54" s="42"/>
      <c r="FLH54" s="2"/>
      <c r="FLI54" s="2"/>
      <c r="FLJ54" s="2"/>
      <c r="FLK54" s="2"/>
      <c r="FLL54" s="42"/>
      <c r="FLM54" s="42"/>
      <c r="FLN54" s="42"/>
      <c r="FLO54" s="42"/>
      <c r="FLP54" s="42"/>
      <c r="FLQ54" s="42"/>
      <c r="FLR54" s="42"/>
      <c r="FLS54" s="42"/>
      <c r="FLT54" s="42"/>
      <c r="FLU54" s="42"/>
      <c r="FLV54" s="42"/>
      <c r="FLW54" s="42"/>
      <c r="FLX54" s="42"/>
      <c r="FLY54" s="42"/>
      <c r="FLZ54" s="42"/>
      <c r="FMA54" s="42"/>
      <c r="FMB54" s="42"/>
      <c r="FMC54" s="42"/>
      <c r="FMD54" s="42"/>
      <c r="FME54" s="42"/>
      <c r="FMF54" s="42"/>
      <c r="FMG54" s="42"/>
      <c r="FMH54" s="42"/>
      <c r="FMI54" s="2"/>
      <c r="FMJ54" s="15"/>
      <c r="FMK54" s="42"/>
      <c r="FML54" s="2"/>
      <c r="FMM54" s="2"/>
      <c r="FMN54" s="2"/>
      <c r="FMO54" s="2"/>
      <c r="FMP54" s="42"/>
      <c r="FMQ54" s="42"/>
      <c r="FMR54" s="42"/>
      <c r="FMS54" s="42"/>
      <c r="FMT54" s="42"/>
      <c r="FMU54" s="42"/>
      <c r="FMV54" s="42"/>
      <c r="FMW54" s="42"/>
      <c r="FMX54" s="42"/>
      <c r="FMY54" s="42"/>
      <c r="FMZ54" s="42"/>
      <c r="FNA54" s="42"/>
      <c r="FNB54" s="42"/>
      <c r="FNC54" s="42"/>
      <c r="FND54" s="42"/>
      <c r="FNE54" s="42"/>
      <c r="FNF54" s="42"/>
      <c r="FNG54" s="42"/>
      <c r="FNH54" s="42"/>
      <c r="FNI54" s="42"/>
      <c r="FNJ54" s="42"/>
      <c r="FNK54" s="42"/>
      <c r="FNL54" s="42"/>
      <c r="FNM54" s="2"/>
      <c r="FNN54" s="15"/>
      <c r="FNO54" s="42"/>
      <c r="FNP54" s="2"/>
      <c r="FNQ54" s="2"/>
      <c r="FNR54" s="2"/>
      <c r="FNS54" s="2"/>
      <c r="FNT54" s="42"/>
      <c r="FNU54" s="42"/>
      <c r="FNV54" s="42"/>
      <c r="FNW54" s="42"/>
      <c r="FNX54" s="42"/>
      <c r="FNY54" s="42"/>
      <c r="FNZ54" s="42"/>
      <c r="FOA54" s="42"/>
      <c r="FOB54" s="42"/>
      <c r="FOC54" s="42"/>
      <c r="FOD54" s="42"/>
      <c r="FOE54" s="42"/>
      <c r="FOF54" s="42"/>
      <c r="FOG54" s="42"/>
      <c r="FOH54" s="42"/>
      <c r="FOI54" s="42"/>
      <c r="FOJ54" s="42"/>
      <c r="FOK54" s="42"/>
      <c r="FOL54" s="42"/>
      <c r="FOM54" s="42"/>
      <c r="FON54" s="42"/>
      <c r="FOO54" s="42"/>
      <c r="FOP54" s="42"/>
      <c r="FOQ54" s="2"/>
      <c r="FOR54" s="15"/>
      <c r="FOS54" s="42"/>
      <c r="FOT54" s="2"/>
      <c r="FOU54" s="2"/>
      <c r="FOV54" s="2"/>
      <c r="FOW54" s="2"/>
      <c r="FOX54" s="42"/>
      <c r="FOY54" s="42"/>
      <c r="FOZ54" s="42"/>
      <c r="FPA54" s="42"/>
      <c r="FPB54" s="42"/>
      <c r="FPC54" s="42"/>
      <c r="FPD54" s="42"/>
      <c r="FPE54" s="42"/>
      <c r="FPF54" s="42"/>
      <c r="FPG54" s="42"/>
      <c r="FPH54" s="42"/>
      <c r="FPI54" s="42"/>
      <c r="FPJ54" s="42"/>
      <c r="FPK54" s="42"/>
      <c r="FPL54" s="42"/>
      <c r="FPM54" s="42"/>
      <c r="FPN54" s="42"/>
      <c r="FPO54" s="42"/>
      <c r="FPP54" s="42"/>
      <c r="FPQ54" s="42"/>
      <c r="FPR54" s="42"/>
      <c r="FPS54" s="42"/>
      <c r="FPT54" s="42"/>
      <c r="FPU54" s="2"/>
      <c r="FPV54" s="15"/>
      <c r="FPW54" s="42"/>
      <c r="FPX54" s="2"/>
      <c r="FPY54" s="2"/>
      <c r="FPZ54" s="2"/>
      <c r="FQA54" s="2"/>
      <c r="FQB54" s="42"/>
      <c r="FQC54" s="42"/>
      <c r="FQD54" s="42"/>
      <c r="FQE54" s="42"/>
      <c r="FQF54" s="42"/>
      <c r="FQG54" s="42"/>
      <c r="FQH54" s="42"/>
      <c r="FQI54" s="42"/>
      <c r="FQJ54" s="42"/>
      <c r="FQK54" s="42"/>
      <c r="FQL54" s="42"/>
      <c r="FQM54" s="42"/>
      <c r="FQN54" s="42"/>
      <c r="FQO54" s="42"/>
      <c r="FQP54" s="42"/>
      <c r="FQQ54" s="42"/>
      <c r="FQR54" s="42"/>
      <c r="FQS54" s="42"/>
      <c r="FQT54" s="42"/>
      <c r="FQU54" s="42"/>
      <c r="FQV54" s="42"/>
      <c r="FQW54" s="42"/>
      <c r="FQX54" s="42"/>
      <c r="FQY54" s="2"/>
      <c r="FQZ54" s="15"/>
      <c r="FRA54" s="42"/>
      <c r="FRB54" s="2"/>
      <c r="FRC54" s="2"/>
      <c r="FRD54" s="2"/>
      <c r="FRE54" s="2"/>
      <c r="FRF54" s="42"/>
      <c r="FRG54" s="42"/>
      <c r="FRH54" s="42"/>
      <c r="FRI54" s="42"/>
      <c r="FRJ54" s="42"/>
      <c r="FRK54" s="42"/>
      <c r="FRL54" s="42"/>
      <c r="FRM54" s="42"/>
      <c r="FRN54" s="42"/>
      <c r="FRO54" s="42"/>
      <c r="FRP54" s="42"/>
      <c r="FRQ54" s="42"/>
      <c r="FRR54" s="42"/>
      <c r="FRS54" s="42"/>
      <c r="FRT54" s="42"/>
      <c r="FRU54" s="42"/>
      <c r="FRV54" s="42"/>
      <c r="FRW54" s="42"/>
      <c r="FRX54" s="42"/>
      <c r="FRY54" s="42"/>
      <c r="FRZ54" s="42"/>
      <c r="FSA54" s="42"/>
      <c r="FSB54" s="42"/>
      <c r="FSC54" s="2"/>
      <c r="FSD54" s="15"/>
      <c r="FSE54" s="42"/>
      <c r="FSF54" s="2"/>
      <c r="FSG54" s="2"/>
      <c r="FSH54" s="2"/>
      <c r="FSI54" s="2"/>
      <c r="FSJ54" s="42"/>
      <c r="FSK54" s="42"/>
      <c r="FSL54" s="42"/>
      <c r="FSM54" s="42"/>
      <c r="FSN54" s="42"/>
      <c r="FSO54" s="42"/>
      <c r="FSP54" s="42"/>
      <c r="FSQ54" s="42"/>
      <c r="FSR54" s="42"/>
      <c r="FSS54" s="42"/>
      <c r="FST54" s="42"/>
      <c r="FSU54" s="42"/>
      <c r="FSV54" s="42"/>
      <c r="FSW54" s="42"/>
      <c r="FSX54" s="42"/>
      <c r="FSY54" s="42"/>
      <c r="FSZ54" s="42"/>
      <c r="FTA54" s="42"/>
      <c r="FTB54" s="42"/>
      <c r="FTC54" s="42"/>
      <c r="FTD54" s="42"/>
      <c r="FTE54" s="42"/>
      <c r="FTF54" s="42"/>
      <c r="FTG54" s="2"/>
      <c r="FTH54" s="15"/>
      <c r="FTI54" s="42"/>
      <c r="FTJ54" s="2"/>
      <c r="FTK54" s="2"/>
      <c r="FTL54" s="2"/>
      <c r="FTM54" s="2"/>
      <c r="FTN54" s="42"/>
      <c r="FTO54" s="42"/>
      <c r="FTP54" s="42"/>
      <c r="FTQ54" s="42"/>
      <c r="FTR54" s="42"/>
      <c r="FTS54" s="42"/>
      <c r="FTT54" s="42"/>
      <c r="FTU54" s="42"/>
      <c r="FTV54" s="42"/>
      <c r="FTW54" s="42"/>
      <c r="FTX54" s="42"/>
      <c r="FTY54" s="42"/>
      <c r="FTZ54" s="42"/>
      <c r="FUA54" s="42"/>
      <c r="FUB54" s="42"/>
      <c r="FUC54" s="42"/>
      <c r="FUD54" s="42"/>
      <c r="FUE54" s="42"/>
      <c r="FUF54" s="42"/>
      <c r="FUG54" s="42"/>
      <c r="FUH54" s="42"/>
      <c r="FUI54" s="42"/>
      <c r="FUJ54" s="42"/>
      <c r="FUK54" s="2"/>
      <c r="FUL54" s="15"/>
      <c r="FUM54" s="42"/>
      <c r="FUN54" s="2"/>
      <c r="FUO54" s="2"/>
      <c r="FUP54" s="2"/>
      <c r="FUQ54" s="2"/>
      <c r="FUR54" s="42"/>
      <c r="FUS54" s="42"/>
      <c r="FUT54" s="42"/>
      <c r="FUU54" s="42"/>
      <c r="FUV54" s="42"/>
      <c r="FUW54" s="42"/>
      <c r="FUX54" s="42"/>
      <c r="FUY54" s="42"/>
      <c r="FUZ54" s="42"/>
      <c r="FVA54" s="42"/>
      <c r="FVB54" s="42"/>
      <c r="FVC54" s="42"/>
      <c r="FVD54" s="42"/>
      <c r="FVE54" s="42"/>
      <c r="FVF54" s="42"/>
      <c r="FVG54" s="42"/>
      <c r="FVH54" s="42"/>
      <c r="FVI54" s="42"/>
      <c r="FVJ54" s="42"/>
      <c r="FVK54" s="42"/>
      <c r="FVL54" s="42"/>
      <c r="FVM54" s="42"/>
      <c r="FVN54" s="42"/>
      <c r="FVO54" s="2"/>
      <c r="FVP54" s="15"/>
      <c r="FVQ54" s="42"/>
      <c r="FVR54" s="2"/>
      <c r="FVS54" s="2"/>
      <c r="FVT54" s="2"/>
      <c r="FVU54" s="2"/>
      <c r="FVV54" s="42"/>
      <c r="FVW54" s="42"/>
      <c r="FVX54" s="42"/>
      <c r="FVY54" s="42"/>
      <c r="FVZ54" s="42"/>
      <c r="FWA54" s="42"/>
      <c r="FWB54" s="42"/>
      <c r="FWC54" s="42"/>
      <c r="FWD54" s="42"/>
      <c r="FWE54" s="42"/>
      <c r="FWF54" s="42"/>
      <c r="FWG54" s="42"/>
      <c r="FWH54" s="42"/>
      <c r="FWI54" s="42"/>
      <c r="FWJ54" s="42"/>
      <c r="FWK54" s="42"/>
      <c r="FWL54" s="42"/>
      <c r="FWM54" s="42"/>
      <c r="FWN54" s="42"/>
      <c r="FWO54" s="42"/>
      <c r="FWP54" s="42"/>
      <c r="FWQ54" s="42"/>
      <c r="FWR54" s="42"/>
      <c r="FWS54" s="2"/>
      <c r="FWT54" s="15"/>
      <c r="FWU54" s="42"/>
      <c r="FWV54" s="2"/>
      <c r="FWW54" s="2"/>
      <c r="FWX54" s="2"/>
      <c r="FWY54" s="2"/>
      <c r="FWZ54" s="42"/>
      <c r="FXA54" s="42"/>
      <c r="FXB54" s="42"/>
      <c r="FXC54" s="42"/>
      <c r="FXD54" s="42"/>
      <c r="FXE54" s="42"/>
      <c r="FXF54" s="42"/>
      <c r="FXG54" s="42"/>
      <c r="FXH54" s="42"/>
      <c r="FXI54" s="42"/>
      <c r="FXJ54" s="42"/>
      <c r="FXK54" s="42"/>
      <c r="FXL54" s="42"/>
      <c r="FXM54" s="42"/>
      <c r="FXN54" s="42"/>
      <c r="FXO54" s="42"/>
      <c r="FXP54" s="42"/>
      <c r="FXQ54" s="42"/>
      <c r="FXR54" s="42"/>
      <c r="FXS54" s="42"/>
      <c r="FXT54" s="42"/>
      <c r="FXU54" s="42"/>
      <c r="FXV54" s="42"/>
      <c r="FXW54" s="2"/>
      <c r="FXX54" s="15"/>
      <c r="FXY54" s="42"/>
      <c r="FXZ54" s="2"/>
      <c r="FYA54" s="2"/>
      <c r="FYB54" s="2"/>
      <c r="FYC54" s="2"/>
      <c r="FYD54" s="42"/>
      <c r="FYE54" s="42"/>
      <c r="FYF54" s="42"/>
      <c r="FYG54" s="42"/>
      <c r="FYH54" s="42"/>
      <c r="FYI54" s="42"/>
      <c r="FYJ54" s="42"/>
      <c r="FYK54" s="42"/>
      <c r="FYL54" s="42"/>
      <c r="FYM54" s="42"/>
      <c r="FYN54" s="42"/>
      <c r="FYO54" s="42"/>
      <c r="FYP54" s="42"/>
      <c r="FYQ54" s="42"/>
      <c r="FYR54" s="42"/>
      <c r="FYS54" s="42"/>
      <c r="FYT54" s="42"/>
      <c r="FYU54" s="42"/>
      <c r="FYV54" s="42"/>
      <c r="FYW54" s="42"/>
      <c r="FYX54" s="42"/>
      <c r="FYY54" s="42"/>
      <c r="FYZ54" s="42"/>
      <c r="FZA54" s="2"/>
      <c r="FZB54" s="15"/>
      <c r="FZC54" s="42"/>
      <c r="FZD54" s="2"/>
      <c r="FZE54" s="2"/>
      <c r="FZF54" s="2"/>
      <c r="FZG54" s="2"/>
      <c r="FZH54" s="42"/>
      <c r="FZI54" s="42"/>
      <c r="FZJ54" s="42"/>
      <c r="FZK54" s="42"/>
      <c r="FZL54" s="42"/>
      <c r="FZM54" s="42"/>
      <c r="FZN54" s="42"/>
      <c r="FZO54" s="42"/>
      <c r="FZP54" s="42"/>
      <c r="FZQ54" s="42"/>
      <c r="FZR54" s="42"/>
      <c r="FZS54" s="42"/>
      <c r="FZT54" s="42"/>
      <c r="FZU54" s="42"/>
      <c r="FZV54" s="42"/>
      <c r="FZW54" s="42"/>
      <c r="FZX54" s="42"/>
      <c r="FZY54" s="42"/>
      <c r="FZZ54" s="42"/>
      <c r="GAA54" s="42"/>
      <c r="GAB54" s="42"/>
      <c r="GAC54" s="42"/>
      <c r="GAD54" s="42"/>
      <c r="GAE54" s="2"/>
      <c r="GAF54" s="15"/>
      <c r="GAG54" s="42"/>
      <c r="GAH54" s="2"/>
      <c r="GAI54" s="2"/>
      <c r="GAJ54" s="2"/>
      <c r="GAK54" s="2"/>
      <c r="GAL54" s="42"/>
      <c r="GAM54" s="42"/>
      <c r="GAN54" s="42"/>
      <c r="GAO54" s="42"/>
      <c r="GAP54" s="42"/>
      <c r="GAQ54" s="42"/>
      <c r="GAR54" s="42"/>
      <c r="GAS54" s="42"/>
      <c r="GAT54" s="42"/>
      <c r="GAU54" s="42"/>
      <c r="GAV54" s="42"/>
      <c r="GAW54" s="42"/>
      <c r="GAX54" s="42"/>
      <c r="GAY54" s="42"/>
      <c r="GAZ54" s="42"/>
      <c r="GBA54" s="42"/>
      <c r="GBB54" s="42"/>
      <c r="GBC54" s="42"/>
      <c r="GBD54" s="42"/>
      <c r="GBE54" s="42"/>
      <c r="GBF54" s="42"/>
      <c r="GBG54" s="42"/>
      <c r="GBH54" s="42"/>
      <c r="GBI54" s="2"/>
      <c r="GBJ54" s="15"/>
      <c r="GBK54" s="42"/>
      <c r="GBL54" s="2"/>
      <c r="GBM54" s="2"/>
      <c r="GBN54" s="2"/>
      <c r="GBO54" s="2"/>
      <c r="GBP54" s="42"/>
      <c r="GBQ54" s="42"/>
      <c r="GBR54" s="42"/>
      <c r="GBS54" s="42"/>
      <c r="GBT54" s="42"/>
      <c r="GBU54" s="42"/>
      <c r="GBV54" s="42"/>
      <c r="GBW54" s="42"/>
      <c r="GBX54" s="42"/>
      <c r="GBY54" s="42"/>
      <c r="GBZ54" s="42"/>
      <c r="GCA54" s="42"/>
      <c r="GCB54" s="42"/>
      <c r="GCC54" s="42"/>
      <c r="GCD54" s="42"/>
      <c r="GCE54" s="42"/>
      <c r="GCF54" s="42"/>
      <c r="GCG54" s="42"/>
      <c r="GCH54" s="42"/>
      <c r="GCI54" s="42"/>
      <c r="GCJ54" s="42"/>
      <c r="GCK54" s="42"/>
      <c r="GCL54" s="42"/>
      <c r="GCM54" s="2"/>
      <c r="GCN54" s="15"/>
      <c r="GCO54" s="42"/>
      <c r="GCP54" s="2"/>
      <c r="GCQ54" s="2"/>
      <c r="GCR54" s="2"/>
      <c r="GCS54" s="2"/>
      <c r="GCT54" s="42"/>
      <c r="GCU54" s="42"/>
      <c r="GCV54" s="42"/>
      <c r="GCW54" s="42"/>
      <c r="GCX54" s="42"/>
      <c r="GCY54" s="42"/>
      <c r="GCZ54" s="42"/>
      <c r="GDA54" s="42"/>
      <c r="GDB54" s="42"/>
      <c r="GDC54" s="42"/>
      <c r="GDD54" s="42"/>
      <c r="GDE54" s="42"/>
      <c r="GDF54" s="42"/>
      <c r="GDG54" s="42"/>
      <c r="GDH54" s="42"/>
      <c r="GDI54" s="42"/>
      <c r="GDJ54" s="42"/>
      <c r="GDK54" s="42"/>
      <c r="GDL54" s="42"/>
      <c r="GDM54" s="42"/>
      <c r="GDN54" s="42"/>
      <c r="GDO54" s="42"/>
      <c r="GDP54" s="42"/>
      <c r="GDQ54" s="2"/>
      <c r="GDR54" s="15"/>
      <c r="GDS54" s="42"/>
      <c r="GDT54" s="2"/>
      <c r="GDU54" s="2"/>
      <c r="GDV54" s="2"/>
      <c r="GDW54" s="2"/>
      <c r="GDX54" s="42"/>
      <c r="GDY54" s="42"/>
      <c r="GDZ54" s="42"/>
      <c r="GEA54" s="42"/>
      <c r="GEB54" s="42"/>
      <c r="GEC54" s="42"/>
      <c r="GED54" s="42"/>
      <c r="GEE54" s="42"/>
      <c r="GEF54" s="42"/>
      <c r="GEG54" s="42"/>
      <c r="GEH54" s="42"/>
      <c r="GEI54" s="42"/>
      <c r="GEJ54" s="42"/>
      <c r="GEK54" s="42"/>
      <c r="GEL54" s="42"/>
      <c r="GEM54" s="42"/>
      <c r="GEN54" s="42"/>
      <c r="GEO54" s="42"/>
      <c r="GEP54" s="42"/>
      <c r="GEQ54" s="42"/>
      <c r="GER54" s="42"/>
      <c r="GES54" s="42"/>
      <c r="GET54" s="42"/>
      <c r="GEU54" s="2"/>
      <c r="GEV54" s="15"/>
      <c r="GEW54" s="42"/>
      <c r="GEX54" s="2"/>
      <c r="GEY54" s="2"/>
      <c r="GEZ54" s="2"/>
      <c r="GFA54" s="2"/>
      <c r="GFB54" s="42"/>
      <c r="GFC54" s="42"/>
      <c r="GFD54" s="42"/>
      <c r="GFE54" s="42"/>
      <c r="GFF54" s="42"/>
      <c r="GFG54" s="42"/>
      <c r="GFH54" s="42"/>
      <c r="GFI54" s="42"/>
      <c r="GFJ54" s="42"/>
      <c r="GFK54" s="42"/>
      <c r="GFL54" s="42"/>
      <c r="GFM54" s="42"/>
      <c r="GFN54" s="42"/>
      <c r="GFO54" s="42"/>
      <c r="GFP54" s="42"/>
      <c r="GFQ54" s="42"/>
      <c r="GFR54" s="42"/>
      <c r="GFS54" s="42"/>
      <c r="GFT54" s="42"/>
      <c r="GFU54" s="42"/>
      <c r="GFV54" s="42"/>
      <c r="GFW54" s="42"/>
      <c r="GFX54" s="42"/>
      <c r="GFY54" s="2"/>
      <c r="GFZ54" s="15"/>
      <c r="GGA54" s="42"/>
      <c r="GGB54" s="2"/>
      <c r="GGC54" s="2"/>
      <c r="GGD54" s="2"/>
      <c r="GGE54" s="2"/>
      <c r="GGF54" s="42"/>
      <c r="GGG54" s="42"/>
      <c r="GGH54" s="42"/>
      <c r="GGI54" s="42"/>
      <c r="GGJ54" s="42"/>
      <c r="GGK54" s="42"/>
      <c r="GGL54" s="42"/>
      <c r="GGM54" s="42"/>
      <c r="GGN54" s="42"/>
      <c r="GGO54" s="42"/>
      <c r="GGP54" s="42"/>
      <c r="GGQ54" s="42"/>
      <c r="GGR54" s="42"/>
      <c r="GGS54" s="42"/>
      <c r="GGT54" s="42"/>
      <c r="GGU54" s="42"/>
      <c r="GGV54" s="42"/>
      <c r="GGW54" s="42"/>
      <c r="GGX54" s="42"/>
      <c r="GGY54" s="42"/>
      <c r="GGZ54" s="42"/>
      <c r="GHA54" s="42"/>
      <c r="GHB54" s="42"/>
      <c r="GHC54" s="2"/>
      <c r="GHD54" s="15"/>
      <c r="GHE54" s="42"/>
      <c r="GHF54" s="2"/>
      <c r="GHG54" s="2"/>
      <c r="GHH54" s="2"/>
      <c r="GHI54" s="2"/>
      <c r="GHJ54" s="42"/>
      <c r="GHK54" s="42"/>
      <c r="GHL54" s="42"/>
      <c r="GHM54" s="42"/>
      <c r="GHN54" s="42"/>
      <c r="GHO54" s="42"/>
      <c r="GHP54" s="42"/>
      <c r="GHQ54" s="42"/>
      <c r="GHR54" s="42"/>
      <c r="GHS54" s="42"/>
      <c r="GHT54" s="42"/>
      <c r="GHU54" s="42"/>
      <c r="GHV54" s="42"/>
      <c r="GHW54" s="42"/>
      <c r="GHX54" s="42"/>
      <c r="GHY54" s="42"/>
      <c r="GHZ54" s="42"/>
      <c r="GIA54" s="42"/>
      <c r="GIB54" s="42"/>
      <c r="GIC54" s="42"/>
      <c r="GID54" s="42"/>
      <c r="GIE54" s="42"/>
      <c r="GIF54" s="42"/>
      <c r="GIG54" s="2"/>
      <c r="GIH54" s="15"/>
      <c r="GII54" s="42"/>
      <c r="GIJ54" s="2"/>
      <c r="GIK54" s="2"/>
      <c r="GIL54" s="2"/>
      <c r="GIM54" s="2"/>
      <c r="GIN54" s="42"/>
      <c r="GIO54" s="42"/>
      <c r="GIP54" s="42"/>
      <c r="GIQ54" s="42"/>
      <c r="GIR54" s="42"/>
      <c r="GIS54" s="42"/>
      <c r="GIT54" s="42"/>
      <c r="GIU54" s="42"/>
      <c r="GIV54" s="42"/>
      <c r="GIW54" s="42"/>
      <c r="GIX54" s="42"/>
      <c r="GIY54" s="42"/>
      <c r="GIZ54" s="42"/>
      <c r="GJA54" s="42"/>
      <c r="GJB54" s="42"/>
      <c r="GJC54" s="42"/>
      <c r="GJD54" s="42"/>
      <c r="GJE54" s="42"/>
      <c r="GJF54" s="42"/>
      <c r="GJG54" s="42"/>
      <c r="GJH54" s="42"/>
      <c r="GJI54" s="42"/>
      <c r="GJJ54" s="42"/>
      <c r="GJK54" s="2"/>
      <c r="GJL54" s="15"/>
      <c r="GJM54" s="42"/>
      <c r="GJN54" s="2"/>
      <c r="GJO54" s="2"/>
      <c r="GJP54" s="2"/>
      <c r="GJQ54" s="2"/>
      <c r="GJR54" s="42"/>
      <c r="GJS54" s="42"/>
      <c r="GJT54" s="42"/>
      <c r="GJU54" s="42"/>
      <c r="GJV54" s="42"/>
      <c r="GJW54" s="42"/>
      <c r="GJX54" s="42"/>
      <c r="GJY54" s="42"/>
      <c r="GJZ54" s="42"/>
      <c r="GKA54" s="42"/>
      <c r="GKB54" s="42"/>
      <c r="GKC54" s="42"/>
      <c r="GKD54" s="42"/>
      <c r="GKE54" s="42"/>
      <c r="GKF54" s="42"/>
      <c r="GKG54" s="42"/>
      <c r="GKH54" s="42"/>
      <c r="GKI54" s="42"/>
      <c r="GKJ54" s="42"/>
      <c r="GKK54" s="42"/>
      <c r="GKL54" s="42"/>
      <c r="GKM54" s="42"/>
      <c r="GKN54" s="42"/>
      <c r="GKO54" s="2"/>
      <c r="GKP54" s="15"/>
      <c r="GKQ54" s="42"/>
      <c r="GKR54" s="2"/>
      <c r="GKS54" s="2"/>
      <c r="GKT54" s="2"/>
      <c r="GKU54" s="2"/>
      <c r="GKV54" s="42"/>
      <c r="GKW54" s="42"/>
      <c r="GKX54" s="42"/>
      <c r="GKY54" s="42"/>
      <c r="GKZ54" s="42"/>
      <c r="GLA54" s="42"/>
      <c r="GLB54" s="42"/>
      <c r="GLC54" s="42"/>
      <c r="GLD54" s="42"/>
      <c r="GLE54" s="42"/>
      <c r="GLF54" s="42"/>
      <c r="GLG54" s="42"/>
      <c r="GLH54" s="42"/>
      <c r="GLI54" s="42"/>
      <c r="GLJ54" s="42"/>
      <c r="GLK54" s="42"/>
      <c r="GLL54" s="42"/>
      <c r="GLM54" s="42"/>
      <c r="GLN54" s="42"/>
      <c r="GLO54" s="42"/>
      <c r="GLP54" s="42"/>
      <c r="GLQ54" s="42"/>
      <c r="GLR54" s="42"/>
      <c r="GLS54" s="2"/>
      <c r="GLT54" s="15"/>
      <c r="GLU54" s="42"/>
      <c r="GLV54" s="2"/>
      <c r="GLW54" s="2"/>
      <c r="GLX54" s="2"/>
      <c r="GLY54" s="2"/>
      <c r="GLZ54" s="42"/>
      <c r="GMA54" s="42"/>
      <c r="GMB54" s="42"/>
      <c r="GMC54" s="42"/>
      <c r="GMD54" s="42"/>
      <c r="GME54" s="42"/>
      <c r="GMF54" s="42"/>
      <c r="GMG54" s="42"/>
      <c r="GMH54" s="42"/>
      <c r="GMI54" s="42"/>
      <c r="GMJ54" s="42"/>
      <c r="GMK54" s="42"/>
      <c r="GML54" s="42"/>
      <c r="GMM54" s="42"/>
      <c r="GMN54" s="42"/>
      <c r="GMO54" s="42"/>
      <c r="GMP54" s="42"/>
      <c r="GMQ54" s="42"/>
      <c r="GMR54" s="42"/>
      <c r="GMS54" s="42"/>
      <c r="GMT54" s="42"/>
      <c r="GMU54" s="42"/>
      <c r="GMV54" s="42"/>
      <c r="GMW54" s="2"/>
      <c r="GMX54" s="15"/>
      <c r="GMY54" s="42"/>
      <c r="GMZ54" s="2"/>
      <c r="GNA54" s="2"/>
      <c r="GNB54" s="2"/>
      <c r="GNC54" s="2"/>
      <c r="GND54" s="42"/>
      <c r="GNE54" s="42"/>
      <c r="GNF54" s="42"/>
      <c r="GNG54" s="42"/>
      <c r="GNH54" s="42"/>
      <c r="GNI54" s="42"/>
      <c r="GNJ54" s="42"/>
      <c r="GNK54" s="42"/>
      <c r="GNL54" s="42"/>
      <c r="GNM54" s="42"/>
      <c r="GNN54" s="42"/>
      <c r="GNO54" s="42"/>
      <c r="GNP54" s="42"/>
      <c r="GNQ54" s="42"/>
      <c r="GNR54" s="42"/>
      <c r="GNS54" s="42"/>
      <c r="GNT54" s="42"/>
      <c r="GNU54" s="42"/>
      <c r="GNV54" s="42"/>
      <c r="GNW54" s="42"/>
      <c r="GNX54" s="42"/>
      <c r="GNY54" s="42"/>
      <c r="GNZ54" s="42"/>
      <c r="GOA54" s="2"/>
      <c r="GOB54" s="15"/>
      <c r="GOC54" s="42"/>
      <c r="GOD54" s="2"/>
      <c r="GOE54" s="2"/>
      <c r="GOF54" s="2"/>
      <c r="GOG54" s="2"/>
      <c r="GOH54" s="42"/>
      <c r="GOI54" s="42"/>
      <c r="GOJ54" s="42"/>
      <c r="GOK54" s="42"/>
      <c r="GOL54" s="42"/>
      <c r="GOM54" s="42"/>
      <c r="GON54" s="42"/>
      <c r="GOO54" s="42"/>
      <c r="GOP54" s="42"/>
      <c r="GOQ54" s="42"/>
      <c r="GOR54" s="42"/>
      <c r="GOS54" s="42"/>
      <c r="GOT54" s="42"/>
      <c r="GOU54" s="42"/>
      <c r="GOV54" s="42"/>
      <c r="GOW54" s="42"/>
      <c r="GOX54" s="42"/>
      <c r="GOY54" s="42"/>
      <c r="GOZ54" s="42"/>
      <c r="GPA54" s="42"/>
      <c r="GPB54" s="42"/>
      <c r="GPC54" s="42"/>
      <c r="GPD54" s="42"/>
      <c r="GPE54" s="2"/>
      <c r="GPF54" s="15"/>
      <c r="GPG54" s="42"/>
      <c r="GPH54" s="2"/>
      <c r="GPI54" s="2"/>
      <c r="GPJ54" s="2"/>
      <c r="GPK54" s="2"/>
      <c r="GPL54" s="42"/>
      <c r="GPM54" s="42"/>
      <c r="GPN54" s="42"/>
      <c r="GPO54" s="42"/>
      <c r="GPP54" s="42"/>
      <c r="GPQ54" s="42"/>
      <c r="GPR54" s="42"/>
      <c r="GPS54" s="42"/>
      <c r="GPT54" s="42"/>
      <c r="GPU54" s="42"/>
      <c r="GPV54" s="42"/>
      <c r="GPW54" s="42"/>
      <c r="GPX54" s="42"/>
      <c r="GPY54" s="42"/>
      <c r="GPZ54" s="42"/>
      <c r="GQA54" s="42"/>
      <c r="GQB54" s="42"/>
      <c r="GQC54" s="42"/>
      <c r="GQD54" s="42"/>
      <c r="GQE54" s="42"/>
      <c r="GQF54" s="42"/>
      <c r="GQG54" s="42"/>
      <c r="GQH54" s="42"/>
      <c r="GQI54" s="2"/>
      <c r="GQJ54" s="15"/>
      <c r="GQK54" s="42"/>
      <c r="GQL54" s="2"/>
      <c r="GQM54" s="2"/>
      <c r="GQN54" s="2"/>
      <c r="GQO54" s="2"/>
      <c r="GQP54" s="42"/>
      <c r="GQQ54" s="42"/>
      <c r="GQR54" s="42"/>
      <c r="GQS54" s="42"/>
      <c r="GQT54" s="42"/>
      <c r="GQU54" s="42"/>
      <c r="GQV54" s="42"/>
      <c r="GQW54" s="42"/>
      <c r="GQX54" s="42"/>
      <c r="GQY54" s="42"/>
      <c r="GQZ54" s="42"/>
      <c r="GRA54" s="42"/>
      <c r="GRB54" s="42"/>
      <c r="GRC54" s="42"/>
      <c r="GRD54" s="42"/>
      <c r="GRE54" s="42"/>
      <c r="GRF54" s="42"/>
      <c r="GRG54" s="42"/>
      <c r="GRH54" s="42"/>
      <c r="GRI54" s="42"/>
      <c r="GRJ54" s="42"/>
      <c r="GRK54" s="42"/>
      <c r="GRL54" s="42"/>
      <c r="GRM54" s="2"/>
      <c r="GRN54" s="15"/>
      <c r="GRO54" s="42"/>
      <c r="GRP54" s="2"/>
      <c r="GRQ54" s="2"/>
      <c r="GRR54" s="2"/>
      <c r="GRS54" s="2"/>
      <c r="GRT54" s="42"/>
      <c r="GRU54" s="42"/>
      <c r="GRV54" s="42"/>
      <c r="GRW54" s="42"/>
      <c r="GRX54" s="42"/>
      <c r="GRY54" s="42"/>
      <c r="GRZ54" s="42"/>
      <c r="GSA54" s="42"/>
      <c r="GSB54" s="42"/>
      <c r="GSC54" s="42"/>
      <c r="GSD54" s="42"/>
      <c r="GSE54" s="42"/>
      <c r="GSF54" s="42"/>
      <c r="GSG54" s="42"/>
      <c r="GSH54" s="42"/>
      <c r="GSI54" s="42"/>
      <c r="GSJ54" s="42"/>
      <c r="GSK54" s="42"/>
      <c r="GSL54" s="42"/>
      <c r="GSM54" s="42"/>
      <c r="GSN54" s="42"/>
      <c r="GSO54" s="42"/>
      <c r="GSP54" s="42"/>
      <c r="GSQ54" s="2"/>
      <c r="GSR54" s="15"/>
      <c r="GSS54" s="42"/>
      <c r="GST54" s="2"/>
      <c r="GSU54" s="2"/>
      <c r="GSV54" s="2"/>
      <c r="GSW54" s="2"/>
      <c r="GSX54" s="42"/>
      <c r="GSY54" s="42"/>
      <c r="GSZ54" s="42"/>
      <c r="GTA54" s="42"/>
      <c r="GTB54" s="42"/>
      <c r="GTC54" s="42"/>
      <c r="GTD54" s="42"/>
      <c r="GTE54" s="42"/>
      <c r="GTF54" s="42"/>
      <c r="GTG54" s="42"/>
      <c r="GTH54" s="42"/>
      <c r="GTI54" s="42"/>
      <c r="GTJ54" s="42"/>
      <c r="GTK54" s="42"/>
      <c r="GTL54" s="42"/>
      <c r="GTM54" s="42"/>
      <c r="GTN54" s="42"/>
      <c r="GTO54" s="42"/>
      <c r="GTP54" s="42"/>
      <c r="GTQ54" s="42"/>
      <c r="GTR54" s="42"/>
      <c r="GTS54" s="42"/>
      <c r="GTT54" s="42"/>
      <c r="GTU54" s="2"/>
      <c r="GTV54" s="15"/>
      <c r="GTW54" s="42"/>
      <c r="GTX54" s="2"/>
      <c r="GTY54" s="2"/>
      <c r="GTZ54" s="2"/>
      <c r="GUA54" s="2"/>
      <c r="GUB54" s="42"/>
      <c r="GUC54" s="42"/>
      <c r="GUD54" s="42"/>
      <c r="GUE54" s="42"/>
      <c r="GUF54" s="42"/>
      <c r="GUG54" s="42"/>
      <c r="GUH54" s="42"/>
      <c r="GUI54" s="42"/>
      <c r="GUJ54" s="42"/>
      <c r="GUK54" s="42"/>
      <c r="GUL54" s="42"/>
      <c r="GUM54" s="42"/>
      <c r="GUN54" s="42"/>
      <c r="GUO54" s="42"/>
      <c r="GUP54" s="42"/>
      <c r="GUQ54" s="42"/>
      <c r="GUR54" s="42"/>
      <c r="GUS54" s="42"/>
      <c r="GUT54" s="42"/>
      <c r="GUU54" s="42"/>
      <c r="GUV54" s="42"/>
      <c r="GUW54" s="42"/>
      <c r="GUX54" s="42"/>
      <c r="GUY54" s="2"/>
      <c r="GUZ54" s="15"/>
      <c r="GVA54" s="42"/>
      <c r="GVB54" s="2"/>
      <c r="GVC54" s="2"/>
      <c r="GVD54" s="2"/>
      <c r="GVE54" s="2"/>
      <c r="GVF54" s="42"/>
      <c r="GVG54" s="42"/>
      <c r="GVH54" s="42"/>
      <c r="GVI54" s="42"/>
      <c r="GVJ54" s="42"/>
      <c r="GVK54" s="42"/>
      <c r="GVL54" s="42"/>
      <c r="GVM54" s="42"/>
      <c r="GVN54" s="42"/>
      <c r="GVO54" s="42"/>
      <c r="GVP54" s="42"/>
      <c r="GVQ54" s="42"/>
      <c r="GVR54" s="42"/>
      <c r="GVS54" s="42"/>
      <c r="GVT54" s="42"/>
      <c r="GVU54" s="42"/>
      <c r="GVV54" s="42"/>
      <c r="GVW54" s="42"/>
      <c r="GVX54" s="42"/>
      <c r="GVY54" s="42"/>
      <c r="GVZ54" s="42"/>
      <c r="GWA54" s="42"/>
      <c r="GWB54" s="42"/>
      <c r="GWC54" s="2"/>
      <c r="GWD54" s="15"/>
      <c r="GWE54" s="42"/>
      <c r="GWF54" s="2"/>
      <c r="GWG54" s="2"/>
      <c r="GWH54" s="2"/>
      <c r="GWI54" s="2"/>
      <c r="GWJ54" s="42"/>
      <c r="GWK54" s="42"/>
      <c r="GWL54" s="42"/>
      <c r="GWM54" s="42"/>
      <c r="GWN54" s="42"/>
      <c r="GWO54" s="42"/>
      <c r="GWP54" s="42"/>
      <c r="GWQ54" s="42"/>
      <c r="GWR54" s="42"/>
      <c r="GWS54" s="42"/>
      <c r="GWT54" s="42"/>
      <c r="GWU54" s="42"/>
      <c r="GWV54" s="42"/>
      <c r="GWW54" s="42"/>
      <c r="GWX54" s="42"/>
      <c r="GWY54" s="42"/>
      <c r="GWZ54" s="42"/>
      <c r="GXA54" s="42"/>
      <c r="GXB54" s="42"/>
      <c r="GXC54" s="42"/>
      <c r="GXD54" s="42"/>
      <c r="GXE54" s="42"/>
      <c r="GXF54" s="42"/>
      <c r="GXG54" s="2"/>
      <c r="GXH54" s="15"/>
      <c r="GXI54" s="42"/>
      <c r="GXJ54" s="2"/>
      <c r="GXK54" s="2"/>
      <c r="GXL54" s="2"/>
      <c r="GXM54" s="2"/>
      <c r="GXN54" s="42"/>
      <c r="GXO54" s="42"/>
      <c r="GXP54" s="42"/>
      <c r="GXQ54" s="42"/>
      <c r="GXR54" s="42"/>
      <c r="GXS54" s="42"/>
      <c r="GXT54" s="42"/>
      <c r="GXU54" s="42"/>
      <c r="GXV54" s="42"/>
      <c r="GXW54" s="42"/>
      <c r="GXX54" s="42"/>
      <c r="GXY54" s="42"/>
      <c r="GXZ54" s="42"/>
      <c r="GYA54" s="42"/>
      <c r="GYB54" s="42"/>
      <c r="GYC54" s="42"/>
      <c r="GYD54" s="42"/>
      <c r="GYE54" s="42"/>
      <c r="GYF54" s="42"/>
      <c r="GYG54" s="42"/>
      <c r="GYH54" s="42"/>
      <c r="GYI54" s="42"/>
      <c r="GYJ54" s="42"/>
      <c r="GYK54" s="2"/>
      <c r="GYL54" s="15"/>
      <c r="GYM54" s="42"/>
      <c r="GYN54" s="2"/>
      <c r="GYO54" s="2"/>
      <c r="GYP54" s="2"/>
      <c r="GYQ54" s="2"/>
      <c r="GYR54" s="42"/>
      <c r="GYS54" s="42"/>
      <c r="GYT54" s="42"/>
      <c r="GYU54" s="42"/>
      <c r="GYV54" s="42"/>
      <c r="GYW54" s="42"/>
      <c r="GYX54" s="42"/>
      <c r="GYY54" s="42"/>
      <c r="GYZ54" s="42"/>
      <c r="GZA54" s="42"/>
      <c r="GZB54" s="42"/>
      <c r="GZC54" s="42"/>
      <c r="GZD54" s="42"/>
      <c r="GZE54" s="42"/>
      <c r="GZF54" s="42"/>
      <c r="GZG54" s="42"/>
      <c r="GZH54" s="42"/>
      <c r="GZI54" s="42"/>
      <c r="GZJ54" s="42"/>
      <c r="GZK54" s="42"/>
      <c r="GZL54" s="42"/>
      <c r="GZM54" s="42"/>
      <c r="GZN54" s="42"/>
      <c r="GZO54" s="2"/>
      <c r="GZP54" s="15"/>
      <c r="GZQ54" s="42"/>
      <c r="GZR54" s="2"/>
      <c r="GZS54" s="2"/>
      <c r="GZT54" s="2"/>
      <c r="GZU54" s="2"/>
      <c r="GZV54" s="42"/>
      <c r="GZW54" s="42"/>
      <c r="GZX54" s="42"/>
      <c r="GZY54" s="42"/>
      <c r="GZZ54" s="42"/>
      <c r="HAA54" s="42"/>
      <c r="HAB54" s="42"/>
      <c r="HAC54" s="42"/>
      <c r="HAD54" s="42"/>
      <c r="HAE54" s="42"/>
      <c r="HAF54" s="42"/>
      <c r="HAG54" s="42"/>
      <c r="HAH54" s="42"/>
      <c r="HAI54" s="42"/>
      <c r="HAJ54" s="42"/>
      <c r="HAK54" s="42"/>
      <c r="HAL54" s="42"/>
      <c r="HAM54" s="42"/>
      <c r="HAN54" s="42"/>
      <c r="HAO54" s="42"/>
      <c r="HAP54" s="42"/>
      <c r="HAQ54" s="42"/>
      <c r="HAR54" s="42"/>
      <c r="HAS54" s="2"/>
      <c r="HAT54" s="15"/>
      <c r="HAU54" s="42"/>
      <c r="HAV54" s="2"/>
      <c r="HAW54" s="2"/>
      <c r="HAX54" s="2"/>
      <c r="HAY54" s="2"/>
      <c r="HAZ54" s="42"/>
      <c r="HBA54" s="42"/>
      <c r="HBB54" s="42"/>
      <c r="HBC54" s="42"/>
      <c r="HBD54" s="42"/>
      <c r="HBE54" s="42"/>
      <c r="HBF54" s="42"/>
      <c r="HBG54" s="42"/>
      <c r="HBH54" s="42"/>
      <c r="HBI54" s="42"/>
      <c r="HBJ54" s="42"/>
      <c r="HBK54" s="42"/>
      <c r="HBL54" s="42"/>
      <c r="HBM54" s="42"/>
      <c r="HBN54" s="42"/>
      <c r="HBO54" s="42"/>
      <c r="HBP54" s="42"/>
      <c r="HBQ54" s="42"/>
      <c r="HBR54" s="42"/>
      <c r="HBS54" s="42"/>
      <c r="HBT54" s="42"/>
      <c r="HBU54" s="42"/>
      <c r="HBV54" s="42"/>
      <c r="HBW54" s="2"/>
      <c r="HBX54" s="15"/>
      <c r="HBY54" s="42"/>
      <c r="HBZ54" s="2"/>
      <c r="HCA54" s="2"/>
      <c r="HCB54" s="2"/>
      <c r="HCC54" s="2"/>
      <c r="HCD54" s="42"/>
      <c r="HCE54" s="42"/>
      <c r="HCF54" s="42"/>
      <c r="HCG54" s="42"/>
      <c r="HCH54" s="42"/>
      <c r="HCI54" s="42"/>
      <c r="HCJ54" s="42"/>
      <c r="HCK54" s="42"/>
      <c r="HCL54" s="42"/>
      <c r="HCM54" s="42"/>
      <c r="HCN54" s="42"/>
      <c r="HCO54" s="42"/>
      <c r="HCP54" s="42"/>
      <c r="HCQ54" s="42"/>
      <c r="HCR54" s="42"/>
      <c r="HCS54" s="42"/>
      <c r="HCT54" s="42"/>
      <c r="HCU54" s="42"/>
      <c r="HCV54" s="42"/>
      <c r="HCW54" s="42"/>
      <c r="HCX54" s="42"/>
      <c r="HCY54" s="42"/>
      <c r="HCZ54" s="42"/>
      <c r="HDA54" s="2"/>
      <c r="HDB54" s="15"/>
      <c r="HDC54" s="42"/>
      <c r="HDD54" s="2"/>
      <c r="HDE54" s="2"/>
      <c r="HDF54" s="2"/>
      <c r="HDG54" s="2"/>
      <c r="HDH54" s="42"/>
      <c r="HDI54" s="42"/>
      <c r="HDJ54" s="42"/>
      <c r="HDK54" s="42"/>
      <c r="HDL54" s="42"/>
      <c r="HDM54" s="42"/>
      <c r="HDN54" s="42"/>
      <c r="HDO54" s="42"/>
      <c r="HDP54" s="42"/>
      <c r="HDQ54" s="42"/>
      <c r="HDR54" s="42"/>
      <c r="HDS54" s="42"/>
      <c r="HDT54" s="42"/>
      <c r="HDU54" s="42"/>
      <c r="HDV54" s="42"/>
      <c r="HDW54" s="42"/>
      <c r="HDX54" s="42"/>
      <c r="HDY54" s="42"/>
      <c r="HDZ54" s="42"/>
      <c r="HEA54" s="42"/>
      <c r="HEB54" s="42"/>
      <c r="HEC54" s="42"/>
      <c r="HED54" s="42"/>
      <c r="HEE54" s="2"/>
      <c r="HEF54" s="15"/>
      <c r="HEG54" s="42"/>
      <c r="HEH54" s="2"/>
      <c r="HEI54" s="2"/>
      <c r="HEJ54" s="2"/>
      <c r="HEK54" s="2"/>
      <c r="HEL54" s="42"/>
      <c r="HEM54" s="42"/>
      <c r="HEN54" s="42"/>
      <c r="HEO54" s="42"/>
      <c r="HEP54" s="42"/>
      <c r="HEQ54" s="42"/>
      <c r="HER54" s="42"/>
      <c r="HES54" s="42"/>
      <c r="HET54" s="42"/>
      <c r="HEU54" s="42"/>
      <c r="HEV54" s="42"/>
      <c r="HEW54" s="42"/>
      <c r="HEX54" s="42"/>
      <c r="HEY54" s="42"/>
      <c r="HEZ54" s="42"/>
      <c r="HFA54" s="42"/>
      <c r="HFB54" s="42"/>
      <c r="HFC54" s="42"/>
      <c r="HFD54" s="42"/>
      <c r="HFE54" s="42"/>
      <c r="HFF54" s="42"/>
      <c r="HFG54" s="42"/>
      <c r="HFH54" s="42"/>
      <c r="HFI54" s="2"/>
      <c r="HFJ54" s="15"/>
      <c r="HFK54" s="42"/>
      <c r="HFL54" s="2"/>
      <c r="HFM54" s="2"/>
      <c r="HFN54" s="2"/>
      <c r="HFO54" s="2"/>
      <c r="HFP54" s="42"/>
      <c r="HFQ54" s="42"/>
      <c r="HFR54" s="42"/>
      <c r="HFS54" s="42"/>
      <c r="HFT54" s="42"/>
      <c r="HFU54" s="42"/>
      <c r="HFV54" s="42"/>
      <c r="HFW54" s="42"/>
      <c r="HFX54" s="42"/>
      <c r="HFY54" s="42"/>
      <c r="HFZ54" s="42"/>
      <c r="HGA54" s="42"/>
      <c r="HGB54" s="42"/>
      <c r="HGC54" s="42"/>
      <c r="HGD54" s="42"/>
      <c r="HGE54" s="42"/>
      <c r="HGF54" s="42"/>
      <c r="HGG54" s="42"/>
      <c r="HGH54" s="42"/>
      <c r="HGI54" s="42"/>
      <c r="HGJ54" s="42"/>
      <c r="HGK54" s="42"/>
      <c r="HGL54" s="42"/>
      <c r="HGM54" s="2"/>
      <c r="HGN54" s="15"/>
      <c r="HGO54" s="42"/>
      <c r="HGP54" s="2"/>
      <c r="HGQ54" s="2"/>
      <c r="HGR54" s="2"/>
      <c r="HGS54" s="2"/>
      <c r="HGT54" s="42"/>
      <c r="HGU54" s="42"/>
      <c r="HGV54" s="42"/>
      <c r="HGW54" s="42"/>
      <c r="HGX54" s="42"/>
      <c r="HGY54" s="42"/>
      <c r="HGZ54" s="42"/>
      <c r="HHA54" s="42"/>
      <c r="HHB54" s="42"/>
      <c r="HHC54" s="42"/>
      <c r="HHD54" s="42"/>
      <c r="HHE54" s="42"/>
      <c r="HHF54" s="42"/>
      <c r="HHG54" s="42"/>
      <c r="HHH54" s="42"/>
      <c r="HHI54" s="42"/>
      <c r="HHJ54" s="42"/>
      <c r="HHK54" s="42"/>
      <c r="HHL54" s="42"/>
      <c r="HHM54" s="42"/>
      <c r="HHN54" s="42"/>
      <c r="HHO54" s="42"/>
      <c r="HHP54" s="42"/>
      <c r="HHQ54" s="2"/>
      <c r="HHR54" s="15"/>
      <c r="HHS54" s="42"/>
      <c r="HHT54" s="2"/>
      <c r="HHU54" s="2"/>
      <c r="HHV54" s="2"/>
      <c r="HHW54" s="2"/>
      <c r="HHX54" s="42"/>
      <c r="HHY54" s="42"/>
      <c r="HHZ54" s="42"/>
      <c r="HIA54" s="42"/>
      <c r="HIB54" s="42"/>
      <c r="HIC54" s="42"/>
      <c r="HID54" s="42"/>
      <c r="HIE54" s="42"/>
      <c r="HIF54" s="42"/>
      <c r="HIG54" s="42"/>
      <c r="HIH54" s="42"/>
      <c r="HII54" s="42"/>
      <c r="HIJ54" s="42"/>
      <c r="HIK54" s="42"/>
      <c r="HIL54" s="42"/>
      <c r="HIM54" s="42"/>
      <c r="HIN54" s="42"/>
      <c r="HIO54" s="42"/>
      <c r="HIP54" s="42"/>
      <c r="HIQ54" s="42"/>
      <c r="HIR54" s="42"/>
      <c r="HIS54" s="42"/>
      <c r="HIT54" s="42"/>
      <c r="HIU54" s="2"/>
      <c r="HIV54" s="15"/>
      <c r="HIW54" s="42"/>
      <c r="HIX54" s="2"/>
      <c r="HIY54" s="2"/>
      <c r="HIZ54" s="2"/>
      <c r="HJA54" s="2"/>
      <c r="HJB54" s="42"/>
      <c r="HJC54" s="42"/>
      <c r="HJD54" s="42"/>
      <c r="HJE54" s="42"/>
      <c r="HJF54" s="42"/>
      <c r="HJG54" s="42"/>
      <c r="HJH54" s="42"/>
      <c r="HJI54" s="42"/>
      <c r="HJJ54" s="42"/>
      <c r="HJK54" s="42"/>
      <c r="HJL54" s="42"/>
      <c r="HJM54" s="42"/>
      <c r="HJN54" s="42"/>
      <c r="HJO54" s="42"/>
      <c r="HJP54" s="42"/>
      <c r="HJQ54" s="42"/>
      <c r="HJR54" s="42"/>
      <c r="HJS54" s="42"/>
      <c r="HJT54" s="42"/>
      <c r="HJU54" s="42"/>
      <c r="HJV54" s="42"/>
      <c r="HJW54" s="42"/>
      <c r="HJX54" s="42"/>
      <c r="HJY54" s="2"/>
      <c r="HJZ54" s="15"/>
      <c r="HKA54" s="42"/>
      <c r="HKB54" s="2"/>
      <c r="HKC54" s="2"/>
      <c r="HKD54" s="2"/>
      <c r="HKE54" s="2"/>
      <c r="HKF54" s="42"/>
      <c r="HKG54" s="42"/>
      <c r="HKH54" s="42"/>
      <c r="HKI54" s="42"/>
      <c r="HKJ54" s="42"/>
      <c r="HKK54" s="42"/>
      <c r="HKL54" s="42"/>
      <c r="HKM54" s="42"/>
      <c r="HKN54" s="42"/>
      <c r="HKO54" s="42"/>
      <c r="HKP54" s="42"/>
      <c r="HKQ54" s="42"/>
      <c r="HKR54" s="42"/>
      <c r="HKS54" s="42"/>
      <c r="HKT54" s="42"/>
      <c r="HKU54" s="42"/>
      <c r="HKV54" s="42"/>
      <c r="HKW54" s="42"/>
      <c r="HKX54" s="42"/>
      <c r="HKY54" s="42"/>
      <c r="HKZ54" s="42"/>
      <c r="HLA54" s="42"/>
      <c r="HLB54" s="42"/>
      <c r="HLC54" s="2"/>
      <c r="HLD54" s="15"/>
      <c r="HLE54" s="42"/>
      <c r="HLF54" s="2"/>
      <c r="HLG54" s="2"/>
      <c r="HLH54" s="2"/>
      <c r="HLI54" s="2"/>
      <c r="HLJ54" s="42"/>
      <c r="HLK54" s="42"/>
      <c r="HLL54" s="42"/>
      <c r="HLM54" s="42"/>
      <c r="HLN54" s="42"/>
      <c r="HLO54" s="42"/>
      <c r="HLP54" s="42"/>
      <c r="HLQ54" s="42"/>
      <c r="HLR54" s="42"/>
      <c r="HLS54" s="42"/>
      <c r="HLT54" s="42"/>
      <c r="HLU54" s="42"/>
      <c r="HLV54" s="42"/>
      <c r="HLW54" s="42"/>
      <c r="HLX54" s="42"/>
      <c r="HLY54" s="42"/>
      <c r="HLZ54" s="42"/>
      <c r="HMA54" s="42"/>
      <c r="HMB54" s="42"/>
      <c r="HMC54" s="42"/>
      <c r="HMD54" s="42"/>
      <c r="HME54" s="42"/>
      <c r="HMF54" s="42"/>
      <c r="HMG54" s="2"/>
      <c r="HMH54" s="15"/>
      <c r="HMI54" s="42"/>
      <c r="HMJ54" s="2"/>
      <c r="HMK54" s="2"/>
      <c r="HML54" s="2"/>
      <c r="HMM54" s="2"/>
      <c r="HMN54" s="42"/>
      <c r="HMO54" s="42"/>
      <c r="HMP54" s="42"/>
      <c r="HMQ54" s="42"/>
      <c r="HMR54" s="42"/>
      <c r="HMS54" s="42"/>
      <c r="HMT54" s="42"/>
      <c r="HMU54" s="42"/>
      <c r="HMV54" s="42"/>
      <c r="HMW54" s="42"/>
      <c r="HMX54" s="42"/>
      <c r="HMY54" s="42"/>
      <c r="HMZ54" s="42"/>
      <c r="HNA54" s="42"/>
      <c r="HNB54" s="42"/>
      <c r="HNC54" s="42"/>
      <c r="HND54" s="42"/>
      <c r="HNE54" s="42"/>
      <c r="HNF54" s="42"/>
      <c r="HNG54" s="42"/>
      <c r="HNH54" s="42"/>
      <c r="HNI54" s="42"/>
      <c r="HNJ54" s="42"/>
      <c r="HNK54" s="2"/>
      <c r="HNL54" s="15"/>
      <c r="HNM54" s="42"/>
      <c r="HNN54" s="2"/>
      <c r="HNO54" s="2"/>
      <c r="HNP54" s="2"/>
      <c r="HNQ54" s="2"/>
      <c r="HNR54" s="42"/>
      <c r="HNS54" s="42"/>
      <c r="HNT54" s="42"/>
      <c r="HNU54" s="42"/>
      <c r="HNV54" s="42"/>
      <c r="HNW54" s="42"/>
      <c r="HNX54" s="42"/>
      <c r="HNY54" s="42"/>
      <c r="HNZ54" s="42"/>
      <c r="HOA54" s="42"/>
      <c r="HOB54" s="42"/>
      <c r="HOC54" s="42"/>
      <c r="HOD54" s="42"/>
      <c r="HOE54" s="42"/>
      <c r="HOF54" s="42"/>
      <c r="HOG54" s="42"/>
      <c r="HOH54" s="42"/>
      <c r="HOI54" s="42"/>
      <c r="HOJ54" s="42"/>
      <c r="HOK54" s="42"/>
      <c r="HOL54" s="42"/>
      <c r="HOM54" s="42"/>
      <c r="HON54" s="42"/>
      <c r="HOO54" s="2"/>
      <c r="HOP54" s="15"/>
      <c r="HOQ54" s="42"/>
      <c r="HOR54" s="2"/>
      <c r="HOS54" s="2"/>
      <c r="HOT54" s="2"/>
      <c r="HOU54" s="2"/>
      <c r="HOV54" s="42"/>
      <c r="HOW54" s="42"/>
      <c r="HOX54" s="42"/>
      <c r="HOY54" s="42"/>
      <c r="HOZ54" s="42"/>
      <c r="HPA54" s="42"/>
      <c r="HPB54" s="42"/>
      <c r="HPC54" s="42"/>
      <c r="HPD54" s="42"/>
      <c r="HPE54" s="42"/>
      <c r="HPF54" s="42"/>
      <c r="HPG54" s="42"/>
      <c r="HPH54" s="42"/>
      <c r="HPI54" s="42"/>
      <c r="HPJ54" s="42"/>
      <c r="HPK54" s="42"/>
      <c r="HPL54" s="42"/>
      <c r="HPM54" s="42"/>
      <c r="HPN54" s="42"/>
      <c r="HPO54" s="42"/>
      <c r="HPP54" s="42"/>
      <c r="HPQ54" s="42"/>
      <c r="HPR54" s="42"/>
      <c r="HPS54" s="2"/>
      <c r="HPT54" s="15"/>
      <c r="HPU54" s="42"/>
      <c r="HPV54" s="2"/>
      <c r="HPW54" s="2"/>
      <c r="HPX54" s="2"/>
      <c r="HPY54" s="2"/>
      <c r="HPZ54" s="42"/>
      <c r="HQA54" s="42"/>
      <c r="HQB54" s="42"/>
      <c r="HQC54" s="42"/>
      <c r="HQD54" s="42"/>
      <c r="HQE54" s="42"/>
      <c r="HQF54" s="42"/>
      <c r="HQG54" s="42"/>
      <c r="HQH54" s="42"/>
      <c r="HQI54" s="42"/>
      <c r="HQJ54" s="42"/>
      <c r="HQK54" s="42"/>
      <c r="HQL54" s="42"/>
      <c r="HQM54" s="42"/>
      <c r="HQN54" s="42"/>
      <c r="HQO54" s="42"/>
      <c r="HQP54" s="42"/>
      <c r="HQQ54" s="42"/>
      <c r="HQR54" s="42"/>
      <c r="HQS54" s="42"/>
      <c r="HQT54" s="42"/>
      <c r="HQU54" s="42"/>
      <c r="HQV54" s="42"/>
      <c r="HQW54" s="2"/>
      <c r="HQX54" s="15"/>
      <c r="HQY54" s="42"/>
      <c r="HQZ54" s="2"/>
      <c r="HRA54" s="2"/>
      <c r="HRB54" s="2"/>
      <c r="HRC54" s="2"/>
      <c r="HRD54" s="42"/>
      <c r="HRE54" s="42"/>
      <c r="HRF54" s="42"/>
      <c r="HRG54" s="42"/>
      <c r="HRH54" s="42"/>
      <c r="HRI54" s="42"/>
      <c r="HRJ54" s="42"/>
      <c r="HRK54" s="42"/>
      <c r="HRL54" s="42"/>
      <c r="HRM54" s="42"/>
      <c r="HRN54" s="42"/>
      <c r="HRO54" s="42"/>
      <c r="HRP54" s="42"/>
      <c r="HRQ54" s="42"/>
      <c r="HRR54" s="42"/>
      <c r="HRS54" s="42"/>
      <c r="HRT54" s="42"/>
      <c r="HRU54" s="42"/>
      <c r="HRV54" s="42"/>
      <c r="HRW54" s="42"/>
      <c r="HRX54" s="42"/>
      <c r="HRY54" s="42"/>
      <c r="HRZ54" s="42"/>
      <c r="HSA54" s="2"/>
      <c r="HSB54" s="15"/>
      <c r="HSC54" s="42"/>
      <c r="HSD54" s="2"/>
      <c r="HSE54" s="2"/>
      <c r="HSF54" s="2"/>
      <c r="HSG54" s="2"/>
      <c r="HSH54" s="42"/>
      <c r="HSI54" s="42"/>
      <c r="HSJ54" s="42"/>
      <c r="HSK54" s="42"/>
      <c r="HSL54" s="42"/>
      <c r="HSM54" s="42"/>
      <c r="HSN54" s="42"/>
      <c r="HSO54" s="42"/>
      <c r="HSP54" s="42"/>
      <c r="HSQ54" s="42"/>
      <c r="HSR54" s="42"/>
      <c r="HSS54" s="42"/>
      <c r="HST54" s="42"/>
      <c r="HSU54" s="42"/>
      <c r="HSV54" s="42"/>
      <c r="HSW54" s="42"/>
      <c r="HSX54" s="42"/>
      <c r="HSY54" s="42"/>
      <c r="HSZ54" s="42"/>
      <c r="HTA54" s="42"/>
      <c r="HTB54" s="42"/>
      <c r="HTC54" s="42"/>
      <c r="HTD54" s="42"/>
      <c r="HTE54" s="2"/>
      <c r="HTF54" s="15"/>
      <c r="HTG54" s="42"/>
      <c r="HTH54" s="2"/>
      <c r="HTI54" s="2"/>
      <c r="HTJ54" s="2"/>
      <c r="HTK54" s="2"/>
      <c r="HTL54" s="42"/>
      <c r="HTM54" s="42"/>
      <c r="HTN54" s="42"/>
      <c r="HTO54" s="42"/>
      <c r="HTP54" s="42"/>
      <c r="HTQ54" s="42"/>
      <c r="HTR54" s="42"/>
      <c r="HTS54" s="42"/>
      <c r="HTT54" s="42"/>
      <c r="HTU54" s="42"/>
      <c r="HTV54" s="42"/>
      <c r="HTW54" s="42"/>
      <c r="HTX54" s="42"/>
      <c r="HTY54" s="42"/>
      <c r="HTZ54" s="42"/>
      <c r="HUA54" s="42"/>
      <c r="HUB54" s="42"/>
      <c r="HUC54" s="42"/>
      <c r="HUD54" s="42"/>
      <c r="HUE54" s="42"/>
      <c r="HUF54" s="42"/>
      <c r="HUG54" s="42"/>
      <c r="HUH54" s="42"/>
      <c r="HUI54" s="2"/>
      <c r="HUJ54" s="15"/>
      <c r="HUK54" s="42"/>
      <c r="HUL54" s="2"/>
      <c r="HUM54" s="2"/>
      <c r="HUN54" s="2"/>
      <c r="HUO54" s="2"/>
      <c r="HUP54" s="42"/>
      <c r="HUQ54" s="42"/>
      <c r="HUR54" s="42"/>
      <c r="HUS54" s="42"/>
      <c r="HUT54" s="42"/>
      <c r="HUU54" s="42"/>
      <c r="HUV54" s="42"/>
      <c r="HUW54" s="42"/>
      <c r="HUX54" s="42"/>
      <c r="HUY54" s="42"/>
      <c r="HUZ54" s="42"/>
      <c r="HVA54" s="42"/>
      <c r="HVB54" s="42"/>
      <c r="HVC54" s="42"/>
      <c r="HVD54" s="42"/>
      <c r="HVE54" s="42"/>
      <c r="HVF54" s="42"/>
      <c r="HVG54" s="42"/>
      <c r="HVH54" s="42"/>
      <c r="HVI54" s="42"/>
      <c r="HVJ54" s="42"/>
      <c r="HVK54" s="42"/>
      <c r="HVL54" s="42"/>
      <c r="HVM54" s="2"/>
      <c r="HVN54" s="15"/>
      <c r="HVO54" s="42"/>
      <c r="HVP54" s="2"/>
      <c r="HVQ54" s="2"/>
      <c r="HVR54" s="2"/>
      <c r="HVS54" s="2"/>
      <c r="HVT54" s="42"/>
      <c r="HVU54" s="42"/>
      <c r="HVV54" s="42"/>
      <c r="HVW54" s="42"/>
      <c r="HVX54" s="42"/>
      <c r="HVY54" s="42"/>
      <c r="HVZ54" s="42"/>
      <c r="HWA54" s="42"/>
      <c r="HWB54" s="42"/>
      <c r="HWC54" s="42"/>
      <c r="HWD54" s="42"/>
      <c r="HWE54" s="42"/>
      <c r="HWF54" s="42"/>
      <c r="HWG54" s="42"/>
      <c r="HWH54" s="42"/>
      <c r="HWI54" s="42"/>
      <c r="HWJ54" s="42"/>
      <c r="HWK54" s="42"/>
      <c r="HWL54" s="42"/>
      <c r="HWM54" s="42"/>
      <c r="HWN54" s="42"/>
      <c r="HWO54" s="42"/>
      <c r="HWP54" s="42"/>
      <c r="HWQ54" s="2"/>
      <c r="HWR54" s="15"/>
      <c r="HWS54" s="42"/>
      <c r="HWT54" s="2"/>
      <c r="HWU54" s="2"/>
      <c r="HWV54" s="2"/>
      <c r="HWW54" s="2"/>
      <c r="HWX54" s="42"/>
      <c r="HWY54" s="42"/>
      <c r="HWZ54" s="42"/>
      <c r="HXA54" s="42"/>
      <c r="HXB54" s="42"/>
      <c r="HXC54" s="42"/>
      <c r="HXD54" s="42"/>
      <c r="HXE54" s="42"/>
      <c r="HXF54" s="42"/>
      <c r="HXG54" s="42"/>
      <c r="HXH54" s="42"/>
      <c r="HXI54" s="42"/>
      <c r="HXJ54" s="42"/>
      <c r="HXK54" s="42"/>
      <c r="HXL54" s="42"/>
      <c r="HXM54" s="42"/>
      <c r="HXN54" s="42"/>
      <c r="HXO54" s="42"/>
      <c r="HXP54" s="42"/>
      <c r="HXQ54" s="42"/>
      <c r="HXR54" s="42"/>
      <c r="HXS54" s="42"/>
      <c r="HXT54" s="42"/>
      <c r="HXU54" s="2"/>
      <c r="HXV54" s="15"/>
      <c r="HXW54" s="42"/>
      <c r="HXX54" s="2"/>
      <c r="HXY54" s="2"/>
      <c r="HXZ54" s="2"/>
      <c r="HYA54" s="2"/>
      <c r="HYB54" s="42"/>
      <c r="HYC54" s="42"/>
      <c r="HYD54" s="42"/>
      <c r="HYE54" s="42"/>
      <c r="HYF54" s="42"/>
      <c r="HYG54" s="42"/>
      <c r="HYH54" s="42"/>
      <c r="HYI54" s="42"/>
      <c r="HYJ54" s="42"/>
      <c r="HYK54" s="42"/>
      <c r="HYL54" s="42"/>
      <c r="HYM54" s="42"/>
      <c r="HYN54" s="42"/>
      <c r="HYO54" s="42"/>
      <c r="HYP54" s="42"/>
      <c r="HYQ54" s="42"/>
      <c r="HYR54" s="42"/>
      <c r="HYS54" s="42"/>
      <c r="HYT54" s="42"/>
      <c r="HYU54" s="42"/>
      <c r="HYV54" s="42"/>
      <c r="HYW54" s="42"/>
      <c r="HYX54" s="42"/>
      <c r="HYY54" s="2"/>
      <c r="HYZ54" s="15"/>
      <c r="HZA54" s="42"/>
      <c r="HZB54" s="2"/>
      <c r="HZC54" s="2"/>
      <c r="HZD54" s="2"/>
      <c r="HZE54" s="2"/>
      <c r="HZF54" s="42"/>
      <c r="HZG54" s="42"/>
      <c r="HZH54" s="42"/>
      <c r="HZI54" s="42"/>
      <c r="HZJ54" s="42"/>
      <c r="HZK54" s="42"/>
      <c r="HZL54" s="42"/>
      <c r="HZM54" s="42"/>
      <c r="HZN54" s="42"/>
      <c r="HZO54" s="42"/>
      <c r="HZP54" s="42"/>
      <c r="HZQ54" s="42"/>
      <c r="HZR54" s="42"/>
      <c r="HZS54" s="42"/>
      <c r="HZT54" s="42"/>
      <c r="HZU54" s="42"/>
      <c r="HZV54" s="42"/>
      <c r="HZW54" s="42"/>
      <c r="HZX54" s="42"/>
      <c r="HZY54" s="42"/>
      <c r="HZZ54" s="42"/>
      <c r="IAA54" s="42"/>
      <c r="IAB54" s="42"/>
      <c r="IAC54" s="2"/>
      <c r="IAD54" s="15"/>
      <c r="IAE54" s="42"/>
      <c r="IAF54" s="2"/>
      <c r="IAG54" s="2"/>
      <c r="IAH54" s="2"/>
      <c r="IAI54" s="2"/>
      <c r="IAJ54" s="42"/>
      <c r="IAK54" s="42"/>
      <c r="IAL54" s="42"/>
      <c r="IAM54" s="42"/>
      <c r="IAN54" s="42"/>
      <c r="IAO54" s="42"/>
      <c r="IAP54" s="42"/>
      <c r="IAQ54" s="42"/>
      <c r="IAR54" s="42"/>
      <c r="IAS54" s="42"/>
      <c r="IAT54" s="42"/>
      <c r="IAU54" s="42"/>
      <c r="IAV54" s="42"/>
      <c r="IAW54" s="42"/>
      <c r="IAX54" s="42"/>
      <c r="IAY54" s="42"/>
      <c r="IAZ54" s="42"/>
      <c r="IBA54" s="42"/>
      <c r="IBB54" s="42"/>
      <c r="IBC54" s="42"/>
      <c r="IBD54" s="42"/>
      <c r="IBE54" s="42"/>
      <c r="IBF54" s="42"/>
      <c r="IBG54" s="2"/>
      <c r="IBH54" s="15"/>
      <c r="IBI54" s="42"/>
      <c r="IBJ54" s="2"/>
      <c r="IBK54" s="2"/>
      <c r="IBL54" s="2"/>
      <c r="IBM54" s="2"/>
      <c r="IBN54" s="42"/>
      <c r="IBO54" s="42"/>
      <c r="IBP54" s="42"/>
      <c r="IBQ54" s="42"/>
      <c r="IBR54" s="42"/>
      <c r="IBS54" s="42"/>
      <c r="IBT54" s="42"/>
      <c r="IBU54" s="42"/>
      <c r="IBV54" s="42"/>
      <c r="IBW54" s="42"/>
      <c r="IBX54" s="42"/>
      <c r="IBY54" s="42"/>
      <c r="IBZ54" s="42"/>
      <c r="ICA54" s="42"/>
      <c r="ICB54" s="42"/>
      <c r="ICC54" s="42"/>
      <c r="ICD54" s="42"/>
      <c r="ICE54" s="42"/>
      <c r="ICF54" s="42"/>
      <c r="ICG54" s="42"/>
      <c r="ICH54" s="42"/>
      <c r="ICI54" s="42"/>
      <c r="ICJ54" s="42"/>
      <c r="ICK54" s="2"/>
      <c r="ICL54" s="15"/>
      <c r="ICM54" s="42"/>
      <c r="ICN54" s="2"/>
      <c r="ICO54" s="2"/>
      <c r="ICP54" s="2"/>
      <c r="ICQ54" s="2"/>
      <c r="ICR54" s="42"/>
      <c r="ICS54" s="42"/>
      <c r="ICT54" s="42"/>
      <c r="ICU54" s="42"/>
      <c r="ICV54" s="42"/>
      <c r="ICW54" s="42"/>
      <c r="ICX54" s="42"/>
      <c r="ICY54" s="42"/>
      <c r="ICZ54" s="42"/>
      <c r="IDA54" s="42"/>
      <c r="IDB54" s="42"/>
      <c r="IDC54" s="42"/>
      <c r="IDD54" s="42"/>
      <c r="IDE54" s="42"/>
      <c r="IDF54" s="42"/>
      <c r="IDG54" s="42"/>
      <c r="IDH54" s="42"/>
      <c r="IDI54" s="42"/>
      <c r="IDJ54" s="42"/>
      <c r="IDK54" s="42"/>
      <c r="IDL54" s="42"/>
      <c r="IDM54" s="42"/>
      <c r="IDN54" s="42"/>
      <c r="IDO54" s="2"/>
      <c r="IDP54" s="15"/>
      <c r="IDQ54" s="42"/>
      <c r="IDR54" s="2"/>
      <c r="IDS54" s="2"/>
      <c r="IDT54" s="2"/>
      <c r="IDU54" s="2"/>
      <c r="IDV54" s="42"/>
      <c r="IDW54" s="42"/>
      <c r="IDX54" s="42"/>
      <c r="IDY54" s="42"/>
      <c r="IDZ54" s="42"/>
      <c r="IEA54" s="42"/>
      <c r="IEB54" s="42"/>
      <c r="IEC54" s="42"/>
      <c r="IED54" s="42"/>
      <c r="IEE54" s="42"/>
      <c r="IEF54" s="42"/>
      <c r="IEG54" s="42"/>
      <c r="IEH54" s="42"/>
      <c r="IEI54" s="42"/>
      <c r="IEJ54" s="42"/>
      <c r="IEK54" s="42"/>
      <c r="IEL54" s="42"/>
      <c r="IEM54" s="42"/>
      <c r="IEN54" s="42"/>
      <c r="IEO54" s="42"/>
      <c r="IEP54" s="42"/>
      <c r="IEQ54" s="42"/>
      <c r="IER54" s="42"/>
      <c r="IES54" s="2"/>
      <c r="IET54" s="15"/>
      <c r="IEU54" s="42"/>
      <c r="IEV54" s="2"/>
      <c r="IEW54" s="2"/>
      <c r="IEX54" s="2"/>
      <c r="IEY54" s="2"/>
      <c r="IEZ54" s="42"/>
      <c r="IFA54" s="42"/>
      <c r="IFB54" s="42"/>
      <c r="IFC54" s="42"/>
      <c r="IFD54" s="42"/>
      <c r="IFE54" s="42"/>
      <c r="IFF54" s="42"/>
      <c r="IFG54" s="42"/>
      <c r="IFH54" s="42"/>
      <c r="IFI54" s="42"/>
      <c r="IFJ54" s="42"/>
      <c r="IFK54" s="42"/>
      <c r="IFL54" s="42"/>
      <c r="IFM54" s="42"/>
      <c r="IFN54" s="42"/>
      <c r="IFO54" s="42"/>
      <c r="IFP54" s="42"/>
      <c r="IFQ54" s="42"/>
      <c r="IFR54" s="42"/>
      <c r="IFS54" s="42"/>
      <c r="IFT54" s="42"/>
      <c r="IFU54" s="42"/>
      <c r="IFV54" s="42"/>
      <c r="IFW54" s="2"/>
      <c r="IFX54" s="15"/>
      <c r="IFY54" s="42"/>
      <c r="IFZ54" s="2"/>
      <c r="IGA54" s="2"/>
      <c r="IGB54" s="2"/>
      <c r="IGC54" s="2"/>
      <c r="IGD54" s="42"/>
      <c r="IGE54" s="42"/>
      <c r="IGF54" s="42"/>
      <c r="IGG54" s="42"/>
      <c r="IGH54" s="42"/>
      <c r="IGI54" s="42"/>
      <c r="IGJ54" s="42"/>
      <c r="IGK54" s="42"/>
      <c r="IGL54" s="42"/>
      <c r="IGM54" s="42"/>
      <c r="IGN54" s="42"/>
      <c r="IGO54" s="42"/>
      <c r="IGP54" s="42"/>
      <c r="IGQ54" s="42"/>
      <c r="IGR54" s="42"/>
      <c r="IGS54" s="42"/>
      <c r="IGT54" s="42"/>
      <c r="IGU54" s="42"/>
      <c r="IGV54" s="42"/>
      <c r="IGW54" s="42"/>
      <c r="IGX54" s="42"/>
      <c r="IGY54" s="42"/>
      <c r="IGZ54" s="42"/>
      <c r="IHA54" s="2"/>
      <c r="IHB54" s="15"/>
      <c r="IHC54" s="42"/>
      <c r="IHD54" s="2"/>
      <c r="IHE54" s="2"/>
      <c r="IHF54" s="2"/>
      <c r="IHG54" s="2"/>
      <c r="IHH54" s="42"/>
      <c r="IHI54" s="42"/>
      <c r="IHJ54" s="42"/>
      <c r="IHK54" s="42"/>
      <c r="IHL54" s="42"/>
      <c r="IHM54" s="42"/>
      <c r="IHN54" s="42"/>
      <c r="IHO54" s="42"/>
      <c r="IHP54" s="42"/>
      <c r="IHQ54" s="42"/>
      <c r="IHR54" s="42"/>
      <c r="IHS54" s="42"/>
      <c r="IHT54" s="42"/>
      <c r="IHU54" s="42"/>
      <c r="IHV54" s="42"/>
      <c r="IHW54" s="42"/>
      <c r="IHX54" s="42"/>
      <c r="IHY54" s="42"/>
      <c r="IHZ54" s="42"/>
      <c r="IIA54" s="42"/>
      <c r="IIB54" s="42"/>
      <c r="IIC54" s="42"/>
      <c r="IID54" s="42"/>
      <c r="IIE54" s="2"/>
      <c r="IIF54" s="15"/>
      <c r="IIG54" s="42"/>
      <c r="IIH54" s="2"/>
      <c r="III54" s="2"/>
      <c r="IIJ54" s="2"/>
      <c r="IIK54" s="2"/>
      <c r="IIL54" s="42"/>
      <c r="IIM54" s="42"/>
      <c r="IIN54" s="42"/>
      <c r="IIO54" s="42"/>
      <c r="IIP54" s="42"/>
      <c r="IIQ54" s="42"/>
      <c r="IIR54" s="42"/>
      <c r="IIS54" s="42"/>
      <c r="IIT54" s="42"/>
      <c r="IIU54" s="42"/>
      <c r="IIV54" s="42"/>
      <c r="IIW54" s="42"/>
      <c r="IIX54" s="42"/>
      <c r="IIY54" s="42"/>
      <c r="IIZ54" s="42"/>
      <c r="IJA54" s="42"/>
      <c r="IJB54" s="42"/>
      <c r="IJC54" s="42"/>
      <c r="IJD54" s="42"/>
      <c r="IJE54" s="42"/>
      <c r="IJF54" s="42"/>
      <c r="IJG54" s="42"/>
      <c r="IJH54" s="42"/>
      <c r="IJI54" s="2"/>
      <c r="IJJ54" s="15"/>
      <c r="IJK54" s="42"/>
      <c r="IJL54" s="2"/>
      <c r="IJM54" s="2"/>
      <c r="IJN54" s="2"/>
      <c r="IJO54" s="2"/>
      <c r="IJP54" s="42"/>
      <c r="IJQ54" s="42"/>
      <c r="IJR54" s="42"/>
      <c r="IJS54" s="42"/>
      <c r="IJT54" s="42"/>
      <c r="IJU54" s="42"/>
      <c r="IJV54" s="42"/>
      <c r="IJW54" s="42"/>
      <c r="IJX54" s="42"/>
      <c r="IJY54" s="42"/>
      <c r="IJZ54" s="42"/>
      <c r="IKA54" s="42"/>
      <c r="IKB54" s="42"/>
      <c r="IKC54" s="42"/>
      <c r="IKD54" s="42"/>
      <c r="IKE54" s="42"/>
      <c r="IKF54" s="42"/>
      <c r="IKG54" s="42"/>
      <c r="IKH54" s="42"/>
      <c r="IKI54" s="42"/>
      <c r="IKJ54" s="42"/>
      <c r="IKK54" s="42"/>
      <c r="IKL54" s="42"/>
      <c r="IKM54" s="2"/>
      <c r="IKN54" s="15"/>
      <c r="IKO54" s="42"/>
      <c r="IKP54" s="2"/>
      <c r="IKQ54" s="2"/>
      <c r="IKR54" s="2"/>
      <c r="IKS54" s="2"/>
      <c r="IKT54" s="42"/>
      <c r="IKU54" s="42"/>
      <c r="IKV54" s="42"/>
      <c r="IKW54" s="42"/>
      <c r="IKX54" s="42"/>
      <c r="IKY54" s="42"/>
      <c r="IKZ54" s="42"/>
      <c r="ILA54" s="42"/>
      <c r="ILB54" s="42"/>
      <c r="ILC54" s="42"/>
      <c r="ILD54" s="42"/>
      <c r="ILE54" s="42"/>
      <c r="ILF54" s="42"/>
      <c r="ILG54" s="42"/>
      <c r="ILH54" s="42"/>
      <c r="ILI54" s="42"/>
      <c r="ILJ54" s="42"/>
      <c r="ILK54" s="42"/>
      <c r="ILL54" s="42"/>
      <c r="ILM54" s="42"/>
      <c r="ILN54" s="42"/>
      <c r="ILO54" s="42"/>
      <c r="ILP54" s="42"/>
      <c r="ILQ54" s="2"/>
      <c r="ILR54" s="15"/>
      <c r="ILS54" s="42"/>
      <c r="ILT54" s="2"/>
      <c r="ILU54" s="2"/>
      <c r="ILV54" s="2"/>
      <c r="ILW54" s="2"/>
      <c r="ILX54" s="42"/>
      <c r="ILY54" s="42"/>
      <c r="ILZ54" s="42"/>
      <c r="IMA54" s="42"/>
      <c r="IMB54" s="42"/>
      <c r="IMC54" s="42"/>
      <c r="IMD54" s="42"/>
      <c r="IME54" s="42"/>
      <c r="IMF54" s="42"/>
      <c r="IMG54" s="42"/>
      <c r="IMH54" s="42"/>
      <c r="IMI54" s="42"/>
      <c r="IMJ54" s="42"/>
      <c r="IMK54" s="42"/>
      <c r="IML54" s="42"/>
      <c r="IMM54" s="42"/>
      <c r="IMN54" s="42"/>
      <c r="IMO54" s="42"/>
      <c r="IMP54" s="42"/>
      <c r="IMQ54" s="42"/>
      <c r="IMR54" s="42"/>
      <c r="IMS54" s="42"/>
      <c r="IMT54" s="42"/>
      <c r="IMU54" s="2"/>
      <c r="IMV54" s="15"/>
      <c r="IMW54" s="42"/>
      <c r="IMX54" s="2"/>
      <c r="IMY54" s="2"/>
      <c r="IMZ54" s="2"/>
      <c r="INA54" s="2"/>
      <c r="INB54" s="42"/>
      <c r="INC54" s="42"/>
      <c r="IND54" s="42"/>
      <c r="INE54" s="42"/>
      <c r="INF54" s="42"/>
      <c r="ING54" s="42"/>
      <c r="INH54" s="42"/>
      <c r="INI54" s="42"/>
      <c r="INJ54" s="42"/>
      <c r="INK54" s="42"/>
      <c r="INL54" s="42"/>
      <c r="INM54" s="42"/>
      <c r="INN54" s="42"/>
      <c r="INO54" s="42"/>
      <c r="INP54" s="42"/>
      <c r="INQ54" s="42"/>
      <c r="INR54" s="42"/>
      <c r="INS54" s="42"/>
      <c r="INT54" s="42"/>
      <c r="INU54" s="42"/>
      <c r="INV54" s="42"/>
      <c r="INW54" s="42"/>
      <c r="INX54" s="42"/>
      <c r="INY54" s="2"/>
      <c r="INZ54" s="15"/>
      <c r="IOA54" s="42"/>
      <c r="IOB54" s="2"/>
      <c r="IOC54" s="2"/>
      <c r="IOD54" s="2"/>
      <c r="IOE54" s="2"/>
      <c r="IOF54" s="42"/>
      <c r="IOG54" s="42"/>
      <c r="IOH54" s="42"/>
      <c r="IOI54" s="42"/>
      <c r="IOJ54" s="42"/>
      <c r="IOK54" s="42"/>
      <c r="IOL54" s="42"/>
      <c r="IOM54" s="42"/>
      <c r="ION54" s="42"/>
      <c r="IOO54" s="42"/>
      <c r="IOP54" s="42"/>
      <c r="IOQ54" s="42"/>
      <c r="IOR54" s="42"/>
      <c r="IOS54" s="42"/>
      <c r="IOT54" s="42"/>
      <c r="IOU54" s="42"/>
      <c r="IOV54" s="42"/>
      <c r="IOW54" s="42"/>
      <c r="IOX54" s="42"/>
      <c r="IOY54" s="42"/>
      <c r="IOZ54" s="42"/>
      <c r="IPA54" s="42"/>
      <c r="IPB54" s="42"/>
      <c r="IPC54" s="2"/>
      <c r="IPD54" s="15"/>
      <c r="IPE54" s="42"/>
      <c r="IPF54" s="2"/>
      <c r="IPG54" s="2"/>
      <c r="IPH54" s="2"/>
      <c r="IPI54" s="2"/>
      <c r="IPJ54" s="42"/>
      <c r="IPK54" s="42"/>
      <c r="IPL54" s="42"/>
      <c r="IPM54" s="42"/>
      <c r="IPN54" s="42"/>
      <c r="IPO54" s="42"/>
      <c r="IPP54" s="42"/>
      <c r="IPQ54" s="42"/>
      <c r="IPR54" s="42"/>
      <c r="IPS54" s="42"/>
      <c r="IPT54" s="42"/>
      <c r="IPU54" s="42"/>
      <c r="IPV54" s="42"/>
      <c r="IPW54" s="42"/>
      <c r="IPX54" s="42"/>
      <c r="IPY54" s="42"/>
      <c r="IPZ54" s="42"/>
      <c r="IQA54" s="42"/>
      <c r="IQB54" s="42"/>
      <c r="IQC54" s="42"/>
      <c r="IQD54" s="42"/>
      <c r="IQE54" s="42"/>
      <c r="IQF54" s="42"/>
      <c r="IQG54" s="2"/>
      <c r="IQH54" s="15"/>
      <c r="IQI54" s="42"/>
      <c r="IQJ54" s="2"/>
      <c r="IQK54" s="2"/>
      <c r="IQL54" s="2"/>
      <c r="IQM54" s="2"/>
      <c r="IQN54" s="42"/>
      <c r="IQO54" s="42"/>
      <c r="IQP54" s="42"/>
      <c r="IQQ54" s="42"/>
      <c r="IQR54" s="42"/>
      <c r="IQS54" s="42"/>
      <c r="IQT54" s="42"/>
      <c r="IQU54" s="42"/>
      <c r="IQV54" s="42"/>
      <c r="IQW54" s="42"/>
      <c r="IQX54" s="42"/>
      <c r="IQY54" s="42"/>
      <c r="IQZ54" s="42"/>
      <c r="IRA54" s="42"/>
      <c r="IRB54" s="42"/>
      <c r="IRC54" s="42"/>
      <c r="IRD54" s="42"/>
      <c r="IRE54" s="42"/>
      <c r="IRF54" s="42"/>
      <c r="IRG54" s="42"/>
      <c r="IRH54" s="42"/>
      <c r="IRI54" s="42"/>
      <c r="IRJ54" s="42"/>
      <c r="IRK54" s="2"/>
      <c r="IRL54" s="15"/>
      <c r="IRM54" s="42"/>
      <c r="IRN54" s="2"/>
      <c r="IRO54" s="2"/>
      <c r="IRP54" s="2"/>
      <c r="IRQ54" s="2"/>
      <c r="IRR54" s="42"/>
      <c r="IRS54" s="42"/>
      <c r="IRT54" s="42"/>
      <c r="IRU54" s="42"/>
      <c r="IRV54" s="42"/>
      <c r="IRW54" s="42"/>
      <c r="IRX54" s="42"/>
      <c r="IRY54" s="42"/>
      <c r="IRZ54" s="42"/>
      <c r="ISA54" s="42"/>
      <c r="ISB54" s="42"/>
      <c r="ISC54" s="42"/>
      <c r="ISD54" s="42"/>
      <c r="ISE54" s="42"/>
      <c r="ISF54" s="42"/>
      <c r="ISG54" s="42"/>
      <c r="ISH54" s="42"/>
      <c r="ISI54" s="42"/>
      <c r="ISJ54" s="42"/>
      <c r="ISK54" s="42"/>
      <c r="ISL54" s="42"/>
      <c r="ISM54" s="42"/>
      <c r="ISN54" s="42"/>
      <c r="ISO54" s="2"/>
      <c r="ISP54" s="15"/>
      <c r="ISQ54" s="42"/>
      <c r="ISR54" s="2"/>
      <c r="ISS54" s="2"/>
      <c r="IST54" s="2"/>
      <c r="ISU54" s="2"/>
      <c r="ISV54" s="42"/>
      <c r="ISW54" s="42"/>
      <c r="ISX54" s="42"/>
      <c r="ISY54" s="42"/>
      <c r="ISZ54" s="42"/>
      <c r="ITA54" s="42"/>
      <c r="ITB54" s="42"/>
      <c r="ITC54" s="42"/>
      <c r="ITD54" s="42"/>
      <c r="ITE54" s="42"/>
      <c r="ITF54" s="42"/>
      <c r="ITG54" s="42"/>
      <c r="ITH54" s="42"/>
      <c r="ITI54" s="42"/>
      <c r="ITJ54" s="42"/>
      <c r="ITK54" s="42"/>
      <c r="ITL54" s="42"/>
      <c r="ITM54" s="42"/>
      <c r="ITN54" s="42"/>
      <c r="ITO54" s="42"/>
      <c r="ITP54" s="42"/>
      <c r="ITQ54" s="42"/>
      <c r="ITR54" s="42"/>
      <c r="ITS54" s="2"/>
      <c r="ITT54" s="15"/>
      <c r="ITU54" s="42"/>
      <c r="ITV54" s="2"/>
      <c r="ITW54" s="2"/>
      <c r="ITX54" s="2"/>
      <c r="ITY54" s="2"/>
      <c r="ITZ54" s="42"/>
      <c r="IUA54" s="42"/>
      <c r="IUB54" s="42"/>
      <c r="IUC54" s="42"/>
      <c r="IUD54" s="42"/>
      <c r="IUE54" s="42"/>
      <c r="IUF54" s="42"/>
      <c r="IUG54" s="42"/>
      <c r="IUH54" s="42"/>
      <c r="IUI54" s="42"/>
      <c r="IUJ54" s="42"/>
      <c r="IUK54" s="42"/>
      <c r="IUL54" s="42"/>
      <c r="IUM54" s="42"/>
      <c r="IUN54" s="42"/>
      <c r="IUO54" s="42"/>
      <c r="IUP54" s="42"/>
      <c r="IUQ54" s="42"/>
      <c r="IUR54" s="42"/>
      <c r="IUS54" s="42"/>
      <c r="IUT54" s="42"/>
      <c r="IUU54" s="42"/>
      <c r="IUV54" s="42"/>
      <c r="IUW54" s="2"/>
      <c r="IUX54" s="15"/>
      <c r="IUY54" s="42"/>
      <c r="IUZ54" s="2"/>
      <c r="IVA54" s="2"/>
      <c r="IVB54" s="2"/>
      <c r="IVC54" s="2"/>
      <c r="IVD54" s="42"/>
      <c r="IVE54" s="42"/>
      <c r="IVF54" s="42"/>
      <c r="IVG54" s="42"/>
      <c r="IVH54" s="42"/>
      <c r="IVI54" s="42"/>
      <c r="IVJ54" s="42"/>
      <c r="IVK54" s="42"/>
      <c r="IVL54" s="42"/>
      <c r="IVM54" s="42"/>
      <c r="IVN54" s="42"/>
      <c r="IVO54" s="42"/>
      <c r="IVP54" s="42"/>
      <c r="IVQ54" s="42"/>
      <c r="IVR54" s="42"/>
      <c r="IVS54" s="42"/>
      <c r="IVT54" s="42"/>
      <c r="IVU54" s="42"/>
      <c r="IVV54" s="42"/>
      <c r="IVW54" s="42"/>
      <c r="IVX54" s="42"/>
      <c r="IVY54" s="42"/>
      <c r="IVZ54" s="42"/>
      <c r="IWA54" s="2"/>
      <c r="IWB54" s="15"/>
      <c r="IWC54" s="42"/>
      <c r="IWD54" s="2"/>
      <c r="IWE54" s="2"/>
      <c r="IWF54" s="2"/>
      <c r="IWG54" s="2"/>
      <c r="IWH54" s="42"/>
      <c r="IWI54" s="42"/>
      <c r="IWJ54" s="42"/>
      <c r="IWK54" s="42"/>
      <c r="IWL54" s="42"/>
      <c r="IWM54" s="42"/>
      <c r="IWN54" s="42"/>
      <c r="IWO54" s="42"/>
      <c r="IWP54" s="42"/>
      <c r="IWQ54" s="42"/>
      <c r="IWR54" s="42"/>
      <c r="IWS54" s="42"/>
      <c r="IWT54" s="42"/>
      <c r="IWU54" s="42"/>
      <c r="IWV54" s="42"/>
      <c r="IWW54" s="42"/>
      <c r="IWX54" s="42"/>
      <c r="IWY54" s="42"/>
      <c r="IWZ54" s="42"/>
      <c r="IXA54" s="42"/>
      <c r="IXB54" s="42"/>
      <c r="IXC54" s="42"/>
      <c r="IXD54" s="42"/>
      <c r="IXE54" s="2"/>
      <c r="IXF54" s="15"/>
      <c r="IXG54" s="42"/>
      <c r="IXH54" s="2"/>
      <c r="IXI54" s="2"/>
      <c r="IXJ54" s="2"/>
      <c r="IXK54" s="2"/>
      <c r="IXL54" s="42"/>
      <c r="IXM54" s="42"/>
      <c r="IXN54" s="42"/>
      <c r="IXO54" s="42"/>
      <c r="IXP54" s="42"/>
      <c r="IXQ54" s="42"/>
      <c r="IXR54" s="42"/>
      <c r="IXS54" s="42"/>
      <c r="IXT54" s="42"/>
      <c r="IXU54" s="42"/>
      <c r="IXV54" s="42"/>
      <c r="IXW54" s="42"/>
      <c r="IXX54" s="42"/>
      <c r="IXY54" s="42"/>
      <c r="IXZ54" s="42"/>
      <c r="IYA54" s="42"/>
      <c r="IYB54" s="42"/>
      <c r="IYC54" s="42"/>
      <c r="IYD54" s="42"/>
      <c r="IYE54" s="42"/>
      <c r="IYF54" s="42"/>
      <c r="IYG54" s="42"/>
      <c r="IYH54" s="42"/>
      <c r="IYI54" s="2"/>
      <c r="IYJ54" s="15"/>
      <c r="IYK54" s="42"/>
      <c r="IYL54" s="2"/>
      <c r="IYM54" s="2"/>
      <c r="IYN54" s="2"/>
      <c r="IYO54" s="2"/>
      <c r="IYP54" s="42"/>
      <c r="IYQ54" s="42"/>
      <c r="IYR54" s="42"/>
      <c r="IYS54" s="42"/>
      <c r="IYT54" s="42"/>
      <c r="IYU54" s="42"/>
      <c r="IYV54" s="42"/>
      <c r="IYW54" s="42"/>
      <c r="IYX54" s="42"/>
      <c r="IYY54" s="42"/>
      <c r="IYZ54" s="42"/>
      <c r="IZA54" s="42"/>
      <c r="IZB54" s="42"/>
      <c r="IZC54" s="42"/>
      <c r="IZD54" s="42"/>
      <c r="IZE54" s="42"/>
      <c r="IZF54" s="42"/>
      <c r="IZG54" s="42"/>
      <c r="IZH54" s="42"/>
      <c r="IZI54" s="42"/>
      <c r="IZJ54" s="42"/>
      <c r="IZK54" s="42"/>
      <c r="IZL54" s="42"/>
      <c r="IZM54" s="2"/>
      <c r="IZN54" s="15"/>
      <c r="IZO54" s="42"/>
      <c r="IZP54" s="2"/>
      <c r="IZQ54" s="2"/>
      <c r="IZR54" s="2"/>
      <c r="IZS54" s="2"/>
      <c r="IZT54" s="42"/>
      <c r="IZU54" s="42"/>
      <c r="IZV54" s="42"/>
      <c r="IZW54" s="42"/>
      <c r="IZX54" s="42"/>
      <c r="IZY54" s="42"/>
      <c r="IZZ54" s="42"/>
      <c r="JAA54" s="42"/>
      <c r="JAB54" s="42"/>
      <c r="JAC54" s="42"/>
      <c r="JAD54" s="42"/>
      <c r="JAE54" s="42"/>
      <c r="JAF54" s="42"/>
      <c r="JAG54" s="42"/>
      <c r="JAH54" s="42"/>
      <c r="JAI54" s="42"/>
      <c r="JAJ54" s="42"/>
      <c r="JAK54" s="42"/>
      <c r="JAL54" s="42"/>
      <c r="JAM54" s="42"/>
      <c r="JAN54" s="42"/>
      <c r="JAO54" s="42"/>
      <c r="JAP54" s="42"/>
      <c r="JAQ54" s="2"/>
      <c r="JAR54" s="15"/>
      <c r="JAS54" s="42"/>
      <c r="JAT54" s="2"/>
      <c r="JAU54" s="2"/>
      <c r="JAV54" s="2"/>
      <c r="JAW54" s="2"/>
      <c r="JAX54" s="42"/>
      <c r="JAY54" s="42"/>
      <c r="JAZ54" s="42"/>
      <c r="JBA54" s="42"/>
      <c r="JBB54" s="42"/>
      <c r="JBC54" s="42"/>
      <c r="JBD54" s="42"/>
      <c r="JBE54" s="42"/>
      <c r="JBF54" s="42"/>
      <c r="JBG54" s="42"/>
      <c r="JBH54" s="42"/>
      <c r="JBI54" s="42"/>
      <c r="JBJ54" s="42"/>
      <c r="JBK54" s="42"/>
      <c r="JBL54" s="42"/>
      <c r="JBM54" s="42"/>
      <c r="JBN54" s="42"/>
      <c r="JBO54" s="42"/>
      <c r="JBP54" s="42"/>
      <c r="JBQ54" s="42"/>
      <c r="JBR54" s="42"/>
      <c r="JBS54" s="42"/>
      <c r="JBT54" s="42"/>
      <c r="JBU54" s="2"/>
      <c r="JBV54" s="15"/>
      <c r="JBW54" s="42"/>
      <c r="JBX54" s="2"/>
      <c r="JBY54" s="2"/>
      <c r="JBZ54" s="2"/>
      <c r="JCA54" s="2"/>
      <c r="JCB54" s="42"/>
      <c r="JCC54" s="42"/>
      <c r="JCD54" s="42"/>
      <c r="JCE54" s="42"/>
      <c r="JCF54" s="42"/>
      <c r="JCG54" s="42"/>
      <c r="JCH54" s="42"/>
      <c r="JCI54" s="42"/>
      <c r="JCJ54" s="42"/>
      <c r="JCK54" s="42"/>
      <c r="JCL54" s="42"/>
      <c r="JCM54" s="42"/>
      <c r="JCN54" s="42"/>
      <c r="JCO54" s="42"/>
      <c r="JCP54" s="42"/>
      <c r="JCQ54" s="42"/>
      <c r="JCR54" s="42"/>
      <c r="JCS54" s="42"/>
      <c r="JCT54" s="42"/>
      <c r="JCU54" s="42"/>
      <c r="JCV54" s="42"/>
      <c r="JCW54" s="42"/>
      <c r="JCX54" s="42"/>
      <c r="JCY54" s="2"/>
      <c r="JCZ54" s="15"/>
      <c r="JDA54" s="42"/>
      <c r="JDB54" s="2"/>
      <c r="JDC54" s="2"/>
      <c r="JDD54" s="2"/>
      <c r="JDE54" s="2"/>
      <c r="JDF54" s="42"/>
      <c r="JDG54" s="42"/>
      <c r="JDH54" s="42"/>
      <c r="JDI54" s="42"/>
      <c r="JDJ54" s="42"/>
      <c r="JDK54" s="42"/>
      <c r="JDL54" s="42"/>
      <c r="JDM54" s="42"/>
      <c r="JDN54" s="42"/>
      <c r="JDO54" s="42"/>
      <c r="JDP54" s="42"/>
      <c r="JDQ54" s="42"/>
      <c r="JDR54" s="42"/>
      <c r="JDS54" s="42"/>
      <c r="JDT54" s="42"/>
      <c r="JDU54" s="42"/>
      <c r="JDV54" s="42"/>
      <c r="JDW54" s="42"/>
      <c r="JDX54" s="42"/>
      <c r="JDY54" s="42"/>
      <c r="JDZ54" s="42"/>
      <c r="JEA54" s="42"/>
      <c r="JEB54" s="42"/>
      <c r="JEC54" s="2"/>
      <c r="JED54" s="15"/>
      <c r="JEE54" s="42"/>
      <c r="JEF54" s="2"/>
      <c r="JEG54" s="2"/>
      <c r="JEH54" s="2"/>
      <c r="JEI54" s="2"/>
      <c r="JEJ54" s="42"/>
      <c r="JEK54" s="42"/>
      <c r="JEL54" s="42"/>
      <c r="JEM54" s="42"/>
      <c r="JEN54" s="42"/>
      <c r="JEO54" s="42"/>
      <c r="JEP54" s="42"/>
      <c r="JEQ54" s="42"/>
      <c r="JER54" s="42"/>
      <c r="JES54" s="42"/>
      <c r="JET54" s="42"/>
      <c r="JEU54" s="42"/>
      <c r="JEV54" s="42"/>
      <c r="JEW54" s="42"/>
      <c r="JEX54" s="42"/>
      <c r="JEY54" s="42"/>
      <c r="JEZ54" s="42"/>
      <c r="JFA54" s="42"/>
      <c r="JFB54" s="42"/>
      <c r="JFC54" s="42"/>
      <c r="JFD54" s="42"/>
      <c r="JFE54" s="42"/>
      <c r="JFF54" s="42"/>
      <c r="JFG54" s="2"/>
      <c r="JFH54" s="15"/>
      <c r="JFI54" s="42"/>
      <c r="JFJ54" s="2"/>
      <c r="JFK54" s="2"/>
      <c r="JFL54" s="2"/>
      <c r="JFM54" s="2"/>
      <c r="JFN54" s="42"/>
      <c r="JFO54" s="42"/>
      <c r="JFP54" s="42"/>
      <c r="JFQ54" s="42"/>
      <c r="JFR54" s="42"/>
      <c r="JFS54" s="42"/>
      <c r="JFT54" s="42"/>
      <c r="JFU54" s="42"/>
      <c r="JFV54" s="42"/>
      <c r="JFW54" s="42"/>
      <c r="JFX54" s="42"/>
      <c r="JFY54" s="42"/>
      <c r="JFZ54" s="42"/>
      <c r="JGA54" s="42"/>
      <c r="JGB54" s="42"/>
      <c r="JGC54" s="42"/>
      <c r="JGD54" s="42"/>
      <c r="JGE54" s="42"/>
      <c r="JGF54" s="42"/>
      <c r="JGG54" s="42"/>
      <c r="JGH54" s="42"/>
      <c r="JGI54" s="42"/>
      <c r="JGJ54" s="42"/>
      <c r="JGK54" s="2"/>
      <c r="JGL54" s="15"/>
      <c r="JGM54" s="42"/>
      <c r="JGN54" s="2"/>
      <c r="JGO54" s="2"/>
      <c r="JGP54" s="2"/>
      <c r="JGQ54" s="2"/>
      <c r="JGR54" s="42"/>
      <c r="JGS54" s="42"/>
      <c r="JGT54" s="42"/>
      <c r="JGU54" s="42"/>
      <c r="JGV54" s="42"/>
      <c r="JGW54" s="42"/>
      <c r="JGX54" s="42"/>
      <c r="JGY54" s="42"/>
      <c r="JGZ54" s="42"/>
      <c r="JHA54" s="42"/>
      <c r="JHB54" s="42"/>
      <c r="JHC54" s="42"/>
      <c r="JHD54" s="42"/>
      <c r="JHE54" s="42"/>
      <c r="JHF54" s="42"/>
      <c r="JHG54" s="42"/>
      <c r="JHH54" s="42"/>
      <c r="JHI54" s="42"/>
      <c r="JHJ54" s="42"/>
      <c r="JHK54" s="42"/>
      <c r="JHL54" s="42"/>
      <c r="JHM54" s="42"/>
      <c r="JHN54" s="42"/>
      <c r="JHO54" s="2"/>
      <c r="JHP54" s="15"/>
      <c r="JHQ54" s="42"/>
      <c r="JHR54" s="2"/>
      <c r="JHS54" s="2"/>
      <c r="JHT54" s="2"/>
      <c r="JHU54" s="2"/>
      <c r="JHV54" s="42"/>
      <c r="JHW54" s="42"/>
      <c r="JHX54" s="42"/>
      <c r="JHY54" s="42"/>
      <c r="JHZ54" s="42"/>
      <c r="JIA54" s="42"/>
      <c r="JIB54" s="42"/>
      <c r="JIC54" s="42"/>
      <c r="JID54" s="42"/>
      <c r="JIE54" s="42"/>
      <c r="JIF54" s="42"/>
      <c r="JIG54" s="42"/>
      <c r="JIH54" s="42"/>
      <c r="JII54" s="42"/>
      <c r="JIJ54" s="42"/>
      <c r="JIK54" s="42"/>
      <c r="JIL54" s="42"/>
      <c r="JIM54" s="42"/>
      <c r="JIN54" s="42"/>
      <c r="JIO54" s="42"/>
      <c r="JIP54" s="42"/>
      <c r="JIQ54" s="42"/>
      <c r="JIR54" s="42"/>
      <c r="JIS54" s="2"/>
      <c r="JIT54" s="15"/>
      <c r="JIU54" s="42"/>
      <c r="JIV54" s="2"/>
      <c r="JIW54" s="2"/>
      <c r="JIX54" s="2"/>
      <c r="JIY54" s="2"/>
      <c r="JIZ54" s="42"/>
      <c r="JJA54" s="42"/>
      <c r="JJB54" s="42"/>
      <c r="JJC54" s="42"/>
      <c r="JJD54" s="42"/>
      <c r="JJE54" s="42"/>
      <c r="JJF54" s="42"/>
      <c r="JJG54" s="42"/>
      <c r="JJH54" s="42"/>
      <c r="JJI54" s="42"/>
      <c r="JJJ54" s="42"/>
      <c r="JJK54" s="42"/>
      <c r="JJL54" s="42"/>
      <c r="JJM54" s="42"/>
      <c r="JJN54" s="42"/>
      <c r="JJO54" s="42"/>
      <c r="JJP54" s="42"/>
      <c r="JJQ54" s="42"/>
      <c r="JJR54" s="42"/>
      <c r="JJS54" s="42"/>
      <c r="JJT54" s="42"/>
      <c r="JJU54" s="42"/>
      <c r="JJV54" s="42"/>
      <c r="JJW54" s="2"/>
      <c r="JJX54" s="15"/>
      <c r="JJY54" s="42"/>
      <c r="JJZ54" s="2"/>
      <c r="JKA54" s="2"/>
      <c r="JKB54" s="2"/>
      <c r="JKC54" s="2"/>
      <c r="JKD54" s="42"/>
      <c r="JKE54" s="42"/>
      <c r="JKF54" s="42"/>
      <c r="JKG54" s="42"/>
      <c r="JKH54" s="42"/>
      <c r="JKI54" s="42"/>
      <c r="JKJ54" s="42"/>
      <c r="JKK54" s="42"/>
      <c r="JKL54" s="42"/>
      <c r="JKM54" s="42"/>
      <c r="JKN54" s="42"/>
      <c r="JKO54" s="42"/>
      <c r="JKP54" s="42"/>
      <c r="JKQ54" s="42"/>
      <c r="JKR54" s="42"/>
      <c r="JKS54" s="42"/>
      <c r="JKT54" s="42"/>
      <c r="JKU54" s="42"/>
      <c r="JKV54" s="42"/>
      <c r="JKW54" s="42"/>
      <c r="JKX54" s="42"/>
      <c r="JKY54" s="42"/>
      <c r="JKZ54" s="42"/>
      <c r="JLA54" s="2"/>
      <c r="JLB54" s="15"/>
      <c r="JLC54" s="42"/>
      <c r="JLD54" s="2"/>
      <c r="JLE54" s="2"/>
      <c r="JLF54" s="2"/>
      <c r="JLG54" s="2"/>
      <c r="JLH54" s="42"/>
      <c r="JLI54" s="42"/>
      <c r="JLJ54" s="42"/>
      <c r="JLK54" s="42"/>
      <c r="JLL54" s="42"/>
      <c r="JLM54" s="42"/>
      <c r="JLN54" s="42"/>
      <c r="JLO54" s="42"/>
      <c r="JLP54" s="42"/>
      <c r="JLQ54" s="42"/>
      <c r="JLR54" s="42"/>
      <c r="JLS54" s="42"/>
      <c r="JLT54" s="42"/>
      <c r="JLU54" s="42"/>
      <c r="JLV54" s="42"/>
      <c r="JLW54" s="42"/>
      <c r="JLX54" s="42"/>
      <c r="JLY54" s="42"/>
      <c r="JLZ54" s="42"/>
      <c r="JMA54" s="42"/>
      <c r="JMB54" s="42"/>
      <c r="JMC54" s="42"/>
      <c r="JMD54" s="42"/>
      <c r="JME54" s="2"/>
      <c r="JMF54" s="15"/>
      <c r="JMG54" s="42"/>
      <c r="JMH54" s="2"/>
      <c r="JMI54" s="2"/>
      <c r="JMJ54" s="2"/>
      <c r="JMK54" s="2"/>
      <c r="JML54" s="42"/>
      <c r="JMM54" s="42"/>
      <c r="JMN54" s="42"/>
      <c r="JMO54" s="42"/>
      <c r="JMP54" s="42"/>
      <c r="JMQ54" s="42"/>
      <c r="JMR54" s="42"/>
      <c r="JMS54" s="42"/>
      <c r="JMT54" s="42"/>
      <c r="JMU54" s="42"/>
      <c r="JMV54" s="42"/>
      <c r="JMW54" s="42"/>
      <c r="JMX54" s="42"/>
      <c r="JMY54" s="42"/>
      <c r="JMZ54" s="42"/>
      <c r="JNA54" s="42"/>
      <c r="JNB54" s="42"/>
      <c r="JNC54" s="42"/>
      <c r="JND54" s="42"/>
      <c r="JNE54" s="42"/>
      <c r="JNF54" s="42"/>
      <c r="JNG54" s="42"/>
      <c r="JNH54" s="42"/>
      <c r="JNI54" s="2"/>
      <c r="JNJ54" s="15"/>
      <c r="JNK54" s="42"/>
      <c r="JNL54" s="2"/>
      <c r="JNM54" s="2"/>
      <c r="JNN54" s="2"/>
      <c r="JNO54" s="2"/>
      <c r="JNP54" s="42"/>
      <c r="JNQ54" s="42"/>
      <c r="JNR54" s="42"/>
      <c r="JNS54" s="42"/>
      <c r="JNT54" s="42"/>
      <c r="JNU54" s="42"/>
      <c r="JNV54" s="42"/>
      <c r="JNW54" s="42"/>
      <c r="JNX54" s="42"/>
      <c r="JNY54" s="42"/>
      <c r="JNZ54" s="42"/>
      <c r="JOA54" s="42"/>
      <c r="JOB54" s="42"/>
      <c r="JOC54" s="42"/>
      <c r="JOD54" s="42"/>
      <c r="JOE54" s="42"/>
      <c r="JOF54" s="42"/>
      <c r="JOG54" s="42"/>
      <c r="JOH54" s="42"/>
      <c r="JOI54" s="42"/>
      <c r="JOJ54" s="42"/>
      <c r="JOK54" s="42"/>
      <c r="JOL54" s="42"/>
      <c r="JOM54" s="2"/>
      <c r="JON54" s="15"/>
      <c r="JOO54" s="42"/>
      <c r="JOP54" s="2"/>
      <c r="JOQ54" s="2"/>
      <c r="JOR54" s="2"/>
      <c r="JOS54" s="2"/>
      <c r="JOT54" s="42"/>
      <c r="JOU54" s="42"/>
      <c r="JOV54" s="42"/>
      <c r="JOW54" s="42"/>
      <c r="JOX54" s="42"/>
      <c r="JOY54" s="42"/>
      <c r="JOZ54" s="42"/>
      <c r="JPA54" s="42"/>
      <c r="JPB54" s="42"/>
      <c r="JPC54" s="42"/>
      <c r="JPD54" s="42"/>
      <c r="JPE54" s="42"/>
      <c r="JPF54" s="42"/>
      <c r="JPG54" s="42"/>
      <c r="JPH54" s="42"/>
      <c r="JPI54" s="42"/>
      <c r="JPJ54" s="42"/>
      <c r="JPK54" s="42"/>
      <c r="JPL54" s="42"/>
      <c r="JPM54" s="42"/>
      <c r="JPN54" s="42"/>
      <c r="JPO54" s="42"/>
      <c r="JPP54" s="42"/>
      <c r="JPQ54" s="2"/>
      <c r="JPR54" s="15"/>
      <c r="JPS54" s="42"/>
      <c r="JPT54" s="2"/>
      <c r="JPU54" s="2"/>
      <c r="JPV54" s="2"/>
      <c r="JPW54" s="2"/>
      <c r="JPX54" s="42"/>
      <c r="JPY54" s="42"/>
      <c r="JPZ54" s="42"/>
      <c r="JQA54" s="42"/>
      <c r="JQB54" s="42"/>
      <c r="JQC54" s="42"/>
      <c r="JQD54" s="42"/>
      <c r="JQE54" s="42"/>
      <c r="JQF54" s="42"/>
      <c r="JQG54" s="42"/>
      <c r="JQH54" s="42"/>
      <c r="JQI54" s="42"/>
      <c r="JQJ54" s="42"/>
      <c r="JQK54" s="42"/>
      <c r="JQL54" s="42"/>
      <c r="JQM54" s="42"/>
      <c r="JQN54" s="42"/>
      <c r="JQO54" s="42"/>
      <c r="JQP54" s="42"/>
      <c r="JQQ54" s="42"/>
      <c r="JQR54" s="42"/>
      <c r="JQS54" s="42"/>
      <c r="JQT54" s="42"/>
      <c r="JQU54" s="2"/>
      <c r="JQV54" s="15"/>
      <c r="JQW54" s="42"/>
      <c r="JQX54" s="2"/>
      <c r="JQY54" s="2"/>
      <c r="JQZ54" s="2"/>
      <c r="JRA54" s="2"/>
      <c r="JRB54" s="42"/>
      <c r="JRC54" s="42"/>
      <c r="JRD54" s="42"/>
      <c r="JRE54" s="42"/>
      <c r="JRF54" s="42"/>
      <c r="JRG54" s="42"/>
      <c r="JRH54" s="42"/>
      <c r="JRI54" s="42"/>
      <c r="JRJ54" s="42"/>
      <c r="JRK54" s="42"/>
      <c r="JRL54" s="42"/>
      <c r="JRM54" s="42"/>
      <c r="JRN54" s="42"/>
      <c r="JRO54" s="42"/>
      <c r="JRP54" s="42"/>
      <c r="JRQ54" s="42"/>
      <c r="JRR54" s="42"/>
      <c r="JRS54" s="42"/>
      <c r="JRT54" s="42"/>
      <c r="JRU54" s="42"/>
      <c r="JRV54" s="42"/>
      <c r="JRW54" s="42"/>
      <c r="JRX54" s="42"/>
      <c r="JRY54" s="2"/>
      <c r="JRZ54" s="15"/>
      <c r="JSA54" s="42"/>
      <c r="JSB54" s="2"/>
      <c r="JSC54" s="2"/>
      <c r="JSD54" s="2"/>
      <c r="JSE54" s="2"/>
      <c r="JSF54" s="42"/>
      <c r="JSG54" s="42"/>
      <c r="JSH54" s="42"/>
      <c r="JSI54" s="42"/>
      <c r="JSJ54" s="42"/>
      <c r="JSK54" s="42"/>
      <c r="JSL54" s="42"/>
      <c r="JSM54" s="42"/>
      <c r="JSN54" s="42"/>
      <c r="JSO54" s="42"/>
      <c r="JSP54" s="42"/>
      <c r="JSQ54" s="42"/>
      <c r="JSR54" s="42"/>
      <c r="JSS54" s="42"/>
      <c r="JST54" s="42"/>
      <c r="JSU54" s="42"/>
      <c r="JSV54" s="42"/>
      <c r="JSW54" s="42"/>
      <c r="JSX54" s="42"/>
      <c r="JSY54" s="42"/>
      <c r="JSZ54" s="42"/>
      <c r="JTA54" s="42"/>
      <c r="JTB54" s="42"/>
      <c r="JTC54" s="2"/>
      <c r="JTD54" s="15"/>
      <c r="JTE54" s="42"/>
      <c r="JTF54" s="2"/>
      <c r="JTG54" s="2"/>
      <c r="JTH54" s="2"/>
      <c r="JTI54" s="2"/>
      <c r="JTJ54" s="42"/>
      <c r="JTK54" s="42"/>
      <c r="JTL54" s="42"/>
      <c r="JTM54" s="42"/>
      <c r="JTN54" s="42"/>
      <c r="JTO54" s="42"/>
      <c r="JTP54" s="42"/>
      <c r="JTQ54" s="42"/>
      <c r="JTR54" s="42"/>
      <c r="JTS54" s="42"/>
      <c r="JTT54" s="42"/>
      <c r="JTU54" s="42"/>
      <c r="JTV54" s="42"/>
      <c r="JTW54" s="42"/>
      <c r="JTX54" s="42"/>
      <c r="JTY54" s="42"/>
      <c r="JTZ54" s="42"/>
      <c r="JUA54" s="42"/>
      <c r="JUB54" s="42"/>
      <c r="JUC54" s="42"/>
      <c r="JUD54" s="42"/>
      <c r="JUE54" s="42"/>
      <c r="JUF54" s="42"/>
      <c r="JUG54" s="2"/>
      <c r="JUH54" s="15"/>
      <c r="JUI54" s="42"/>
      <c r="JUJ54" s="2"/>
      <c r="JUK54" s="2"/>
      <c r="JUL54" s="2"/>
      <c r="JUM54" s="2"/>
      <c r="JUN54" s="42"/>
      <c r="JUO54" s="42"/>
      <c r="JUP54" s="42"/>
      <c r="JUQ54" s="42"/>
      <c r="JUR54" s="42"/>
      <c r="JUS54" s="42"/>
      <c r="JUT54" s="42"/>
      <c r="JUU54" s="42"/>
      <c r="JUV54" s="42"/>
      <c r="JUW54" s="42"/>
      <c r="JUX54" s="42"/>
      <c r="JUY54" s="42"/>
      <c r="JUZ54" s="42"/>
      <c r="JVA54" s="42"/>
      <c r="JVB54" s="42"/>
      <c r="JVC54" s="42"/>
      <c r="JVD54" s="42"/>
      <c r="JVE54" s="42"/>
      <c r="JVF54" s="42"/>
      <c r="JVG54" s="42"/>
      <c r="JVH54" s="42"/>
      <c r="JVI54" s="42"/>
      <c r="JVJ54" s="42"/>
      <c r="JVK54" s="2"/>
      <c r="JVL54" s="15"/>
      <c r="JVM54" s="42"/>
      <c r="JVN54" s="2"/>
      <c r="JVO54" s="2"/>
      <c r="JVP54" s="2"/>
      <c r="JVQ54" s="2"/>
      <c r="JVR54" s="42"/>
      <c r="JVS54" s="42"/>
      <c r="JVT54" s="42"/>
      <c r="JVU54" s="42"/>
      <c r="JVV54" s="42"/>
      <c r="JVW54" s="42"/>
      <c r="JVX54" s="42"/>
      <c r="JVY54" s="42"/>
      <c r="JVZ54" s="42"/>
      <c r="JWA54" s="42"/>
      <c r="JWB54" s="42"/>
      <c r="JWC54" s="42"/>
      <c r="JWD54" s="42"/>
      <c r="JWE54" s="42"/>
      <c r="JWF54" s="42"/>
      <c r="JWG54" s="42"/>
      <c r="JWH54" s="42"/>
      <c r="JWI54" s="42"/>
      <c r="JWJ54" s="42"/>
      <c r="JWK54" s="42"/>
      <c r="JWL54" s="42"/>
      <c r="JWM54" s="42"/>
      <c r="JWN54" s="42"/>
      <c r="JWO54" s="2"/>
      <c r="JWP54" s="15"/>
      <c r="JWQ54" s="42"/>
      <c r="JWR54" s="2"/>
      <c r="JWS54" s="2"/>
      <c r="JWT54" s="2"/>
      <c r="JWU54" s="2"/>
      <c r="JWV54" s="42"/>
      <c r="JWW54" s="42"/>
      <c r="JWX54" s="42"/>
      <c r="JWY54" s="42"/>
      <c r="JWZ54" s="42"/>
      <c r="JXA54" s="42"/>
      <c r="JXB54" s="42"/>
      <c r="JXC54" s="42"/>
      <c r="JXD54" s="42"/>
      <c r="JXE54" s="42"/>
      <c r="JXF54" s="42"/>
      <c r="JXG54" s="42"/>
      <c r="JXH54" s="42"/>
      <c r="JXI54" s="42"/>
      <c r="JXJ54" s="42"/>
      <c r="JXK54" s="42"/>
      <c r="JXL54" s="42"/>
      <c r="JXM54" s="42"/>
      <c r="JXN54" s="42"/>
      <c r="JXO54" s="42"/>
      <c r="JXP54" s="42"/>
      <c r="JXQ54" s="42"/>
      <c r="JXR54" s="42"/>
      <c r="JXS54" s="2"/>
      <c r="JXT54" s="15"/>
      <c r="JXU54" s="42"/>
      <c r="JXV54" s="2"/>
      <c r="JXW54" s="2"/>
      <c r="JXX54" s="2"/>
      <c r="JXY54" s="2"/>
      <c r="JXZ54" s="42"/>
      <c r="JYA54" s="42"/>
      <c r="JYB54" s="42"/>
      <c r="JYC54" s="42"/>
      <c r="JYD54" s="42"/>
      <c r="JYE54" s="42"/>
      <c r="JYF54" s="42"/>
      <c r="JYG54" s="42"/>
      <c r="JYH54" s="42"/>
      <c r="JYI54" s="42"/>
      <c r="JYJ54" s="42"/>
      <c r="JYK54" s="42"/>
      <c r="JYL54" s="42"/>
      <c r="JYM54" s="42"/>
      <c r="JYN54" s="42"/>
      <c r="JYO54" s="42"/>
      <c r="JYP54" s="42"/>
      <c r="JYQ54" s="42"/>
      <c r="JYR54" s="42"/>
      <c r="JYS54" s="42"/>
      <c r="JYT54" s="42"/>
      <c r="JYU54" s="42"/>
      <c r="JYV54" s="42"/>
      <c r="JYW54" s="2"/>
      <c r="JYX54" s="15"/>
      <c r="JYY54" s="42"/>
      <c r="JYZ54" s="2"/>
      <c r="JZA54" s="2"/>
      <c r="JZB54" s="2"/>
      <c r="JZC54" s="2"/>
      <c r="JZD54" s="42"/>
      <c r="JZE54" s="42"/>
      <c r="JZF54" s="42"/>
      <c r="JZG54" s="42"/>
      <c r="JZH54" s="42"/>
      <c r="JZI54" s="42"/>
      <c r="JZJ54" s="42"/>
      <c r="JZK54" s="42"/>
      <c r="JZL54" s="42"/>
      <c r="JZM54" s="42"/>
      <c r="JZN54" s="42"/>
      <c r="JZO54" s="42"/>
      <c r="JZP54" s="42"/>
      <c r="JZQ54" s="42"/>
      <c r="JZR54" s="42"/>
      <c r="JZS54" s="42"/>
      <c r="JZT54" s="42"/>
      <c r="JZU54" s="42"/>
      <c r="JZV54" s="42"/>
      <c r="JZW54" s="42"/>
      <c r="JZX54" s="42"/>
      <c r="JZY54" s="42"/>
      <c r="JZZ54" s="42"/>
      <c r="KAA54" s="2"/>
      <c r="KAB54" s="15"/>
      <c r="KAC54" s="42"/>
      <c r="KAD54" s="2"/>
      <c r="KAE54" s="2"/>
      <c r="KAF54" s="2"/>
      <c r="KAG54" s="2"/>
      <c r="KAH54" s="42"/>
      <c r="KAI54" s="42"/>
      <c r="KAJ54" s="42"/>
      <c r="KAK54" s="42"/>
      <c r="KAL54" s="42"/>
      <c r="KAM54" s="42"/>
      <c r="KAN54" s="42"/>
      <c r="KAO54" s="42"/>
      <c r="KAP54" s="42"/>
      <c r="KAQ54" s="42"/>
      <c r="KAR54" s="42"/>
      <c r="KAS54" s="42"/>
      <c r="KAT54" s="42"/>
      <c r="KAU54" s="42"/>
      <c r="KAV54" s="42"/>
      <c r="KAW54" s="42"/>
      <c r="KAX54" s="42"/>
      <c r="KAY54" s="42"/>
      <c r="KAZ54" s="42"/>
      <c r="KBA54" s="42"/>
      <c r="KBB54" s="42"/>
      <c r="KBC54" s="42"/>
      <c r="KBD54" s="42"/>
      <c r="KBE54" s="2"/>
      <c r="KBF54" s="15"/>
      <c r="KBG54" s="42"/>
      <c r="KBH54" s="2"/>
      <c r="KBI54" s="2"/>
      <c r="KBJ54" s="2"/>
      <c r="KBK54" s="2"/>
      <c r="KBL54" s="42"/>
      <c r="KBM54" s="42"/>
      <c r="KBN54" s="42"/>
      <c r="KBO54" s="42"/>
      <c r="KBP54" s="42"/>
      <c r="KBQ54" s="42"/>
      <c r="KBR54" s="42"/>
      <c r="KBS54" s="42"/>
      <c r="KBT54" s="42"/>
      <c r="KBU54" s="42"/>
      <c r="KBV54" s="42"/>
      <c r="KBW54" s="42"/>
      <c r="KBX54" s="42"/>
      <c r="KBY54" s="42"/>
      <c r="KBZ54" s="42"/>
      <c r="KCA54" s="42"/>
      <c r="KCB54" s="42"/>
      <c r="KCC54" s="42"/>
      <c r="KCD54" s="42"/>
      <c r="KCE54" s="42"/>
      <c r="KCF54" s="42"/>
      <c r="KCG54" s="42"/>
      <c r="KCH54" s="42"/>
      <c r="KCI54" s="2"/>
      <c r="KCJ54" s="15"/>
      <c r="KCK54" s="42"/>
      <c r="KCL54" s="2"/>
      <c r="KCM54" s="2"/>
      <c r="KCN54" s="2"/>
      <c r="KCO54" s="2"/>
      <c r="KCP54" s="42"/>
      <c r="KCQ54" s="42"/>
      <c r="KCR54" s="42"/>
      <c r="KCS54" s="42"/>
      <c r="KCT54" s="42"/>
      <c r="KCU54" s="42"/>
      <c r="KCV54" s="42"/>
      <c r="KCW54" s="42"/>
      <c r="KCX54" s="42"/>
      <c r="KCY54" s="42"/>
      <c r="KCZ54" s="42"/>
      <c r="KDA54" s="42"/>
      <c r="KDB54" s="42"/>
      <c r="KDC54" s="42"/>
      <c r="KDD54" s="42"/>
      <c r="KDE54" s="42"/>
      <c r="KDF54" s="42"/>
      <c r="KDG54" s="42"/>
      <c r="KDH54" s="42"/>
      <c r="KDI54" s="42"/>
      <c r="KDJ54" s="42"/>
      <c r="KDK54" s="42"/>
      <c r="KDL54" s="42"/>
      <c r="KDM54" s="2"/>
      <c r="KDN54" s="15"/>
      <c r="KDO54" s="42"/>
      <c r="KDP54" s="2"/>
      <c r="KDQ54" s="2"/>
      <c r="KDR54" s="2"/>
      <c r="KDS54" s="2"/>
      <c r="KDT54" s="42"/>
      <c r="KDU54" s="42"/>
      <c r="KDV54" s="42"/>
      <c r="KDW54" s="42"/>
      <c r="KDX54" s="42"/>
      <c r="KDY54" s="42"/>
      <c r="KDZ54" s="42"/>
      <c r="KEA54" s="42"/>
      <c r="KEB54" s="42"/>
      <c r="KEC54" s="42"/>
      <c r="KED54" s="42"/>
      <c r="KEE54" s="42"/>
      <c r="KEF54" s="42"/>
      <c r="KEG54" s="42"/>
      <c r="KEH54" s="42"/>
      <c r="KEI54" s="42"/>
      <c r="KEJ54" s="42"/>
      <c r="KEK54" s="42"/>
      <c r="KEL54" s="42"/>
      <c r="KEM54" s="42"/>
      <c r="KEN54" s="42"/>
      <c r="KEO54" s="42"/>
      <c r="KEP54" s="42"/>
      <c r="KEQ54" s="2"/>
      <c r="KER54" s="15"/>
      <c r="KES54" s="42"/>
      <c r="KET54" s="2"/>
      <c r="KEU54" s="2"/>
      <c r="KEV54" s="2"/>
      <c r="KEW54" s="2"/>
      <c r="KEX54" s="42"/>
      <c r="KEY54" s="42"/>
      <c r="KEZ54" s="42"/>
      <c r="KFA54" s="42"/>
      <c r="KFB54" s="42"/>
      <c r="KFC54" s="42"/>
      <c r="KFD54" s="42"/>
      <c r="KFE54" s="42"/>
      <c r="KFF54" s="42"/>
      <c r="KFG54" s="42"/>
      <c r="KFH54" s="42"/>
      <c r="KFI54" s="42"/>
      <c r="KFJ54" s="42"/>
      <c r="KFK54" s="42"/>
      <c r="KFL54" s="42"/>
      <c r="KFM54" s="42"/>
      <c r="KFN54" s="42"/>
      <c r="KFO54" s="42"/>
      <c r="KFP54" s="42"/>
      <c r="KFQ54" s="42"/>
      <c r="KFR54" s="42"/>
      <c r="KFS54" s="42"/>
      <c r="KFT54" s="42"/>
      <c r="KFU54" s="2"/>
      <c r="KFV54" s="15"/>
      <c r="KFW54" s="42"/>
      <c r="KFX54" s="2"/>
      <c r="KFY54" s="2"/>
      <c r="KFZ54" s="2"/>
      <c r="KGA54" s="2"/>
      <c r="KGB54" s="42"/>
      <c r="KGC54" s="42"/>
      <c r="KGD54" s="42"/>
      <c r="KGE54" s="42"/>
      <c r="KGF54" s="42"/>
      <c r="KGG54" s="42"/>
      <c r="KGH54" s="42"/>
      <c r="KGI54" s="42"/>
      <c r="KGJ54" s="42"/>
      <c r="KGK54" s="42"/>
      <c r="KGL54" s="42"/>
      <c r="KGM54" s="42"/>
      <c r="KGN54" s="42"/>
      <c r="KGO54" s="42"/>
      <c r="KGP54" s="42"/>
      <c r="KGQ54" s="42"/>
      <c r="KGR54" s="42"/>
      <c r="KGS54" s="42"/>
      <c r="KGT54" s="42"/>
      <c r="KGU54" s="42"/>
      <c r="KGV54" s="42"/>
      <c r="KGW54" s="42"/>
      <c r="KGX54" s="42"/>
      <c r="KGY54" s="2"/>
      <c r="KGZ54" s="15"/>
      <c r="KHA54" s="42"/>
      <c r="KHB54" s="2"/>
      <c r="KHC54" s="2"/>
      <c r="KHD54" s="2"/>
      <c r="KHE54" s="2"/>
      <c r="KHF54" s="42"/>
      <c r="KHG54" s="42"/>
      <c r="KHH54" s="42"/>
      <c r="KHI54" s="42"/>
      <c r="KHJ54" s="42"/>
      <c r="KHK54" s="42"/>
      <c r="KHL54" s="42"/>
      <c r="KHM54" s="42"/>
      <c r="KHN54" s="42"/>
      <c r="KHO54" s="42"/>
      <c r="KHP54" s="42"/>
      <c r="KHQ54" s="42"/>
      <c r="KHR54" s="42"/>
      <c r="KHS54" s="42"/>
      <c r="KHT54" s="42"/>
      <c r="KHU54" s="42"/>
      <c r="KHV54" s="42"/>
      <c r="KHW54" s="42"/>
      <c r="KHX54" s="42"/>
      <c r="KHY54" s="42"/>
      <c r="KHZ54" s="42"/>
      <c r="KIA54" s="42"/>
      <c r="KIB54" s="42"/>
      <c r="KIC54" s="2"/>
      <c r="KID54" s="15"/>
      <c r="KIE54" s="42"/>
      <c r="KIF54" s="2"/>
      <c r="KIG54" s="2"/>
      <c r="KIH54" s="2"/>
      <c r="KII54" s="2"/>
      <c r="KIJ54" s="42"/>
      <c r="KIK54" s="42"/>
      <c r="KIL54" s="42"/>
      <c r="KIM54" s="42"/>
      <c r="KIN54" s="42"/>
      <c r="KIO54" s="42"/>
      <c r="KIP54" s="42"/>
      <c r="KIQ54" s="42"/>
      <c r="KIR54" s="42"/>
      <c r="KIS54" s="42"/>
      <c r="KIT54" s="42"/>
      <c r="KIU54" s="42"/>
      <c r="KIV54" s="42"/>
      <c r="KIW54" s="42"/>
      <c r="KIX54" s="42"/>
      <c r="KIY54" s="42"/>
      <c r="KIZ54" s="42"/>
      <c r="KJA54" s="42"/>
      <c r="KJB54" s="42"/>
      <c r="KJC54" s="42"/>
      <c r="KJD54" s="42"/>
      <c r="KJE54" s="42"/>
      <c r="KJF54" s="42"/>
      <c r="KJG54" s="2"/>
      <c r="KJH54" s="15"/>
      <c r="KJI54" s="42"/>
      <c r="KJJ54" s="2"/>
      <c r="KJK54" s="2"/>
      <c r="KJL54" s="2"/>
      <c r="KJM54" s="2"/>
      <c r="KJN54" s="42"/>
      <c r="KJO54" s="42"/>
      <c r="KJP54" s="42"/>
      <c r="KJQ54" s="42"/>
      <c r="KJR54" s="42"/>
      <c r="KJS54" s="42"/>
      <c r="KJT54" s="42"/>
      <c r="KJU54" s="42"/>
      <c r="KJV54" s="42"/>
      <c r="KJW54" s="42"/>
      <c r="KJX54" s="42"/>
      <c r="KJY54" s="42"/>
      <c r="KJZ54" s="42"/>
      <c r="KKA54" s="42"/>
      <c r="KKB54" s="42"/>
      <c r="KKC54" s="42"/>
      <c r="KKD54" s="42"/>
      <c r="KKE54" s="42"/>
      <c r="KKF54" s="42"/>
      <c r="KKG54" s="42"/>
      <c r="KKH54" s="42"/>
      <c r="KKI54" s="42"/>
      <c r="KKJ54" s="42"/>
      <c r="KKK54" s="2"/>
      <c r="KKL54" s="15"/>
      <c r="KKM54" s="42"/>
      <c r="KKN54" s="2"/>
      <c r="KKO54" s="2"/>
      <c r="KKP54" s="2"/>
      <c r="KKQ54" s="2"/>
      <c r="KKR54" s="42"/>
      <c r="KKS54" s="42"/>
      <c r="KKT54" s="42"/>
      <c r="KKU54" s="42"/>
      <c r="KKV54" s="42"/>
      <c r="KKW54" s="42"/>
      <c r="KKX54" s="42"/>
      <c r="KKY54" s="42"/>
      <c r="KKZ54" s="42"/>
      <c r="KLA54" s="42"/>
      <c r="KLB54" s="42"/>
      <c r="KLC54" s="42"/>
      <c r="KLD54" s="42"/>
      <c r="KLE54" s="42"/>
      <c r="KLF54" s="42"/>
      <c r="KLG54" s="42"/>
      <c r="KLH54" s="42"/>
      <c r="KLI54" s="42"/>
      <c r="KLJ54" s="42"/>
      <c r="KLK54" s="42"/>
      <c r="KLL54" s="42"/>
      <c r="KLM54" s="42"/>
      <c r="KLN54" s="42"/>
      <c r="KLO54" s="2"/>
      <c r="KLP54" s="15"/>
      <c r="KLQ54" s="42"/>
      <c r="KLR54" s="2"/>
      <c r="KLS54" s="2"/>
      <c r="KLT54" s="2"/>
      <c r="KLU54" s="2"/>
      <c r="KLV54" s="42"/>
      <c r="KLW54" s="42"/>
      <c r="KLX54" s="42"/>
      <c r="KLY54" s="42"/>
      <c r="KLZ54" s="42"/>
      <c r="KMA54" s="42"/>
      <c r="KMB54" s="42"/>
      <c r="KMC54" s="42"/>
      <c r="KMD54" s="42"/>
      <c r="KME54" s="42"/>
      <c r="KMF54" s="42"/>
      <c r="KMG54" s="42"/>
      <c r="KMH54" s="42"/>
      <c r="KMI54" s="42"/>
      <c r="KMJ54" s="42"/>
      <c r="KMK54" s="42"/>
      <c r="KML54" s="42"/>
      <c r="KMM54" s="42"/>
      <c r="KMN54" s="42"/>
      <c r="KMO54" s="42"/>
      <c r="KMP54" s="42"/>
      <c r="KMQ54" s="42"/>
      <c r="KMR54" s="42"/>
      <c r="KMS54" s="2"/>
      <c r="KMT54" s="15"/>
      <c r="KMU54" s="42"/>
      <c r="KMV54" s="2"/>
      <c r="KMW54" s="2"/>
      <c r="KMX54" s="2"/>
      <c r="KMY54" s="2"/>
      <c r="KMZ54" s="42"/>
      <c r="KNA54" s="42"/>
      <c r="KNB54" s="42"/>
      <c r="KNC54" s="42"/>
      <c r="KND54" s="42"/>
      <c r="KNE54" s="42"/>
      <c r="KNF54" s="42"/>
      <c r="KNG54" s="42"/>
      <c r="KNH54" s="42"/>
      <c r="KNI54" s="42"/>
      <c r="KNJ54" s="42"/>
      <c r="KNK54" s="42"/>
      <c r="KNL54" s="42"/>
      <c r="KNM54" s="42"/>
      <c r="KNN54" s="42"/>
      <c r="KNO54" s="42"/>
      <c r="KNP54" s="42"/>
      <c r="KNQ54" s="42"/>
      <c r="KNR54" s="42"/>
      <c r="KNS54" s="42"/>
      <c r="KNT54" s="42"/>
      <c r="KNU54" s="42"/>
      <c r="KNV54" s="42"/>
      <c r="KNW54" s="2"/>
      <c r="KNX54" s="15"/>
      <c r="KNY54" s="42"/>
      <c r="KNZ54" s="2"/>
      <c r="KOA54" s="2"/>
      <c r="KOB54" s="2"/>
      <c r="KOC54" s="2"/>
      <c r="KOD54" s="42"/>
      <c r="KOE54" s="42"/>
      <c r="KOF54" s="42"/>
      <c r="KOG54" s="42"/>
      <c r="KOH54" s="42"/>
      <c r="KOI54" s="42"/>
      <c r="KOJ54" s="42"/>
      <c r="KOK54" s="42"/>
      <c r="KOL54" s="42"/>
      <c r="KOM54" s="42"/>
      <c r="KON54" s="42"/>
      <c r="KOO54" s="42"/>
      <c r="KOP54" s="42"/>
      <c r="KOQ54" s="42"/>
      <c r="KOR54" s="42"/>
      <c r="KOS54" s="42"/>
      <c r="KOT54" s="42"/>
      <c r="KOU54" s="42"/>
      <c r="KOV54" s="42"/>
      <c r="KOW54" s="42"/>
      <c r="KOX54" s="42"/>
      <c r="KOY54" s="42"/>
      <c r="KOZ54" s="42"/>
      <c r="KPA54" s="2"/>
      <c r="KPB54" s="15"/>
      <c r="KPC54" s="42"/>
      <c r="KPD54" s="2"/>
      <c r="KPE54" s="2"/>
      <c r="KPF54" s="2"/>
      <c r="KPG54" s="2"/>
      <c r="KPH54" s="42"/>
      <c r="KPI54" s="42"/>
      <c r="KPJ54" s="42"/>
      <c r="KPK54" s="42"/>
      <c r="KPL54" s="42"/>
      <c r="KPM54" s="42"/>
      <c r="KPN54" s="42"/>
      <c r="KPO54" s="42"/>
      <c r="KPP54" s="42"/>
      <c r="KPQ54" s="42"/>
      <c r="KPR54" s="42"/>
      <c r="KPS54" s="42"/>
      <c r="KPT54" s="42"/>
      <c r="KPU54" s="42"/>
      <c r="KPV54" s="42"/>
      <c r="KPW54" s="42"/>
      <c r="KPX54" s="42"/>
      <c r="KPY54" s="42"/>
      <c r="KPZ54" s="42"/>
      <c r="KQA54" s="42"/>
      <c r="KQB54" s="42"/>
      <c r="KQC54" s="42"/>
      <c r="KQD54" s="42"/>
      <c r="KQE54" s="2"/>
      <c r="KQF54" s="15"/>
      <c r="KQG54" s="42"/>
      <c r="KQH54" s="2"/>
      <c r="KQI54" s="2"/>
      <c r="KQJ54" s="2"/>
      <c r="KQK54" s="2"/>
      <c r="KQL54" s="42"/>
      <c r="KQM54" s="42"/>
      <c r="KQN54" s="42"/>
      <c r="KQO54" s="42"/>
      <c r="KQP54" s="42"/>
      <c r="KQQ54" s="42"/>
      <c r="KQR54" s="42"/>
      <c r="KQS54" s="42"/>
      <c r="KQT54" s="42"/>
      <c r="KQU54" s="42"/>
      <c r="KQV54" s="42"/>
      <c r="KQW54" s="42"/>
      <c r="KQX54" s="42"/>
      <c r="KQY54" s="42"/>
      <c r="KQZ54" s="42"/>
      <c r="KRA54" s="42"/>
      <c r="KRB54" s="42"/>
      <c r="KRC54" s="42"/>
      <c r="KRD54" s="42"/>
      <c r="KRE54" s="42"/>
      <c r="KRF54" s="42"/>
      <c r="KRG54" s="42"/>
      <c r="KRH54" s="42"/>
      <c r="KRI54" s="2"/>
      <c r="KRJ54" s="15"/>
      <c r="KRK54" s="42"/>
      <c r="KRL54" s="2"/>
      <c r="KRM54" s="2"/>
      <c r="KRN54" s="2"/>
      <c r="KRO54" s="2"/>
      <c r="KRP54" s="42"/>
      <c r="KRQ54" s="42"/>
      <c r="KRR54" s="42"/>
      <c r="KRS54" s="42"/>
      <c r="KRT54" s="42"/>
      <c r="KRU54" s="42"/>
      <c r="KRV54" s="42"/>
      <c r="KRW54" s="42"/>
      <c r="KRX54" s="42"/>
      <c r="KRY54" s="42"/>
      <c r="KRZ54" s="42"/>
      <c r="KSA54" s="42"/>
      <c r="KSB54" s="42"/>
      <c r="KSC54" s="42"/>
      <c r="KSD54" s="42"/>
      <c r="KSE54" s="42"/>
      <c r="KSF54" s="42"/>
      <c r="KSG54" s="42"/>
      <c r="KSH54" s="42"/>
      <c r="KSI54" s="42"/>
      <c r="KSJ54" s="42"/>
      <c r="KSK54" s="42"/>
      <c r="KSL54" s="42"/>
      <c r="KSM54" s="2"/>
      <c r="KSN54" s="15"/>
      <c r="KSO54" s="42"/>
      <c r="KSP54" s="2"/>
      <c r="KSQ54" s="2"/>
      <c r="KSR54" s="2"/>
      <c r="KSS54" s="2"/>
      <c r="KST54" s="42"/>
      <c r="KSU54" s="42"/>
      <c r="KSV54" s="42"/>
      <c r="KSW54" s="42"/>
      <c r="KSX54" s="42"/>
      <c r="KSY54" s="42"/>
      <c r="KSZ54" s="42"/>
      <c r="KTA54" s="42"/>
      <c r="KTB54" s="42"/>
      <c r="KTC54" s="42"/>
      <c r="KTD54" s="42"/>
      <c r="KTE54" s="42"/>
      <c r="KTF54" s="42"/>
      <c r="KTG54" s="42"/>
      <c r="KTH54" s="42"/>
      <c r="KTI54" s="42"/>
      <c r="KTJ54" s="42"/>
      <c r="KTK54" s="42"/>
      <c r="KTL54" s="42"/>
      <c r="KTM54" s="42"/>
      <c r="KTN54" s="42"/>
      <c r="KTO54" s="42"/>
      <c r="KTP54" s="42"/>
      <c r="KTQ54" s="2"/>
      <c r="KTR54" s="15"/>
      <c r="KTS54" s="42"/>
      <c r="KTT54" s="2"/>
      <c r="KTU54" s="2"/>
      <c r="KTV54" s="2"/>
      <c r="KTW54" s="2"/>
      <c r="KTX54" s="42"/>
      <c r="KTY54" s="42"/>
      <c r="KTZ54" s="42"/>
      <c r="KUA54" s="42"/>
      <c r="KUB54" s="42"/>
      <c r="KUC54" s="42"/>
      <c r="KUD54" s="42"/>
      <c r="KUE54" s="42"/>
      <c r="KUF54" s="42"/>
      <c r="KUG54" s="42"/>
      <c r="KUH54" s="42"/>
      <c r="KUI54" s="42"/>
      <c r="KUJ54" s="42"/>
      <c r="KUK54" s="42"/>
      <c r="KUL54" s="42"/>
      <c r="KUM54" s="42"/>
      <c r="KUN54" s="42"/>
      <c r="KUO54" s="42"/>
      <c r="KUP54" s="42"/>
      <c r="KUQ54" s="42"/>
      <c r="KUR54" s="42"/>
      <c r="KUS54" s="42"/>
      <c r="KUT54" s="42"/>
      <c r="KUU54" s="2"/>
      <c r="KUV54" s="15"/>
      <c r="KUW54" s="42"/>
      <c r="KUX54" s="2"/>
      <c r="KUY54" s="2"/>
      <c r="KUZ54" s="2"/>
      <c r="KVA54" s="2"/>
      <c r="KVB54" s="42"/>
      <c r="KVC54" s="42"/>
      <c r="KVD54" s="42"/>
      <c r="KVE54" s="42"/>
      <c r="KVF54" s="42"/>
      <c r="KVG54" s="42"/>
      <c r="KVH54" s="42"/>
      <c r="KVI54" s="42"/>
      <c r="KVJ54" s="42"/>
      <c r="KVK54" s="42"/>
      <c r="KVL54" s="42"/>
      <c r="KVM54" s="42"/>
      <c r="KVN54" s="42"/>
      <c r="KVO54" s="42"/>
      <c r="KVP54" s="42"/>
      <c r="KVQ54" s="42"/>
      <c r="KVR54" s="42"/>
      <c r="KVS54" s="42"/>
      <c r="KVT54" s="42"/>
      <c r="KVU54" s="42"/>
      <c r="KVV54" s="42"/>
      <c r="KVW54" s="42"/>
      <c r="KVX54" s="42"/>
      <c r="KVY54" s="2"/>
      <c r="KVZ54" s="15"/>
      <c r="KWA54" s="42"/>
      <c r="KWB54" s="2"/>
      <c r="KWC54" s="2"/>
      <c r="KWD54" s="2"/>
      <c r="KWE54" s="2"/>
      <c r="KWF54" s="42"/>
      <c r="KWG54" s="42"/>
      <c r="KWH54" s="42"/>
      <c r="KWI54" s="42"/>
      <c r="KWJ54" s="42"/>
      <c r="KWK54" s="42"/>
      <c r="KWL54" s="42"/>
      <c r="KWM54" s="42"/>
      <c r="KWN54" s="42"/>
      <c r="KWO54" s="42"/>
      <c r="KWP54" s="42"/>
      <c r="KWQ54" s="42"/>
      <c r="KWR54" s="42"/>
      <c r="KWS54" s="42"/>
      <c r="KWT54" s="42"/>
      <c r="KWU54" s="42"/>
      <c r="KWV54" s="42"/>
      <c r="KWW54" s="42"/>
      <c r="KWX54" s="42"/>
      <c r="KWY54" s="42"/>
      <c r="KWZ54" s="42"/>
      <c r="KXA54" s="42"/>
      <c r="KXB54" s="42"/>
      <c r="KXC54" s="2"/>
      <c r="KXD54" s="15"/>
      <c r="KXE54" s="42"/>
      <c r="KXF54" s="2"/>
      <c r="KXG54" s="2"/>
      <c r="KXH54" s="2"/>
      <c r="KXI54" s="2"/>
      <c r="KXJ54" s="42"/>
      <c r="KXK54" s="42"/>
      <c r="KXL54" s="42"/>
      <c r="KXM54" s="42"/>
      <c r="KXN54" s="42"/>
      <c r="KXO54" s="42"/>
      <c r="KXP54" s="42"/>
      <c r="KXQ54" s="42"/>
      <c r="KXR54" s="42"/>
      <c r="KXS54" s="42"/>
      <c r="KXT54" s="42"/>
      <c r="KXU54" s="42"/>
      <c r="KXV54" s="42"/>
      <c r="KXW54" s="42"/>
      <c r="KXX54" s="42"/>
      <c r="KXY54" s="42"/>
      <c r="KXZ54" s="42"/>
      <c r="KYA54" s="42"/>
      <c r="KYB54" s="42"/>
      <c r="KYC54" s="42"/>
      <c r="KYD54" s="42"/>
      <c r="KYE54" s="42"/>
      <c r="KYF54" s="42"/>
      <c r="KYG54" s="2"/>
      <c r="KYH54" s="15"/>
      <c r="KYI54" s="42"/>
      <c r="KYJ54" s="2"/>
      <c r="KYK54" s="2"/>
      <c r="KYL54" s="2"/>
      <c r="KYM54" s="2"/>
      <c r="KYN54" s="42"/>
      <c r="KYO54" s="42"/>
      <c r="KYP54" s="42"/>
      <c r="KYQ54" s="42"/>
      <c r="KYR54" s="42"/>
      <c r="KYS54" s="42"/>
      <c r="KYT54" s="42"/>
      <c r="KYU54" s="42"/>
      <c r="KYV54" s="42"/>
      <c r="KYW54" s="42"/>
      <c r="KYX54" s="42"/>
      <c r="KYY54" s="42"/>
      <c r="KYZ54" s="42"/>
      <c r="KZA54" s="42"/>
      <c r="KZB54" s="42"/>
      <c r="KZC54" s="42"/>
      <c r="KZD54" s="42"/>
      <c r="KZE54" s="42"/>
      <c r="KZF54" s="42"/>
      <c r="KZG54" s="42"/>
      <c r="KZH54" s="42"/>
      <c r="KZI54" s="42"/>
      <c r="KZJ54" s="42"/>
      <c r="KZK54" s="2"/>
      <c r="KZL54" s="15"/>
      <c r="KZM54" s="42"/>
      <c r="KZN54" s="2"/>
      <c r="KZO54" s="2"/>
      <c r="KZP54" s="2"/>
      <c r="KZQ54" s="2"/>
      <c r="KZR54" s="42"/>
      <c r="KZS54" s="42"/>
      <c r="KZT54" s="42"/>
      <c r="KZU54" s="42"/>
      <c r="KZV54" s="42"/>
      <c r="KZW54" s="42"/>
      <c r="KZX54" s="42"/>
      <c r="KZY54" s="42"/>
      <c r="KZZ54" s="42"/>
      <c r="LAA54" s="42"/>
      <c r="LAB54" s="42"/>
      <c r="LAC54" s="42"/>
      <c r="LAD54" s="42"/>
      <c r="LAE54" s="42"/>
      <c r="LAF54" s="42"/>
      <c r="LAG54" s="42"/>
      <c r="LAH54" s="42"/>
      <c r="LAI54" s="42"/>
      <c r="LAJ54" s="42"/>
      <c r="LAK54" s="42"/>
      <c r="LAL54" s="42"/>
      <c r="LAM54" s="42"/>
      <c r="LAN54" s="42"/>
      <c r="LAO54" s="2"/>
      <c r="LAP54" s="15"/>
      <c r="LAQ54" s="42"/>
      <c r="LAR54" s="2"/>
      <c r="LAS54" s="2"/>
      <c r="LAT54" s="2"/>
      <c r="LAU54" s="2"/>
      <c r="LAV54" s="42"/>
      <c r="LAW54" s="42"/>
      <c r="LAX54" s="42"/>
      <c r="LAY54" s="42"/>
      <c r="LAZ54" s="42"/>
      <c r="LBA54" s="42"/>
      <c r="LBB54" s="42"/>
      <c r="LBC54" s="42"/>
      <c r="LBD54" s="42"/>
      <c r="LBE54" s="42"/>
      <c r="LBF54" s="42"/>
      <c r="LBG54" s="42"/>
      <c r="LBH54" s="42"/>
      <c r="LBI54" s="42"/>
      <c r="LBJ54" s="42"/>
      <c r="LBK54" s="42"/>
      <c r="LBL54" s="42"/>
      <c r="LBM54" s="42"/>
      <c r="LBN54" s="42"/>
      <c r="LBO54" s="42"/>
      <c r="LBP54" s="42"/>
      <c r="LBQ54" s="42"/>
      <c r="LBR54" s="42"/>
      <c r="LBS54" s="2"/>
      <c r="LBT54" s="15"/>
      <c r="LBU54" s="42"/>
      <c r="LBV54" s="2"/>
      <c r="LBW54" s="2"/>
      <c r="LBX54" s="2"/>
      <c r="LBY54" s="2"/>
      <c r="LBZ54" s="42"/>
      <c r="LCA54" s="42"/>
      <c r="LCB54" s="42"/>
      <c r="LCC54" s="42"/>
      <c r="LCD54" s="42"/>
      <c r="LCE54" s="42"/>
      <c r="LCF54" s="42"/>
      <c r="LCG54" s="42"/>
      <c r="LCH54" s="42"/>
      <c r="LCI54" s="42"/>
      <c r="LCJ54" s="42"/>
      <c r="LCK54" s="42"/>
      <c r="LCL54" s="42"/>
      <c r="LCM54" s="42"/>
      <c r="LCN54" s="42"/>
      <c r="LCO54" s="42"/>
      <c r="LCP54" s="42"/>
      <c r="LCQ54" s="42"/>
      <c r="LCR54" s="42"/>
      <c r="LCS54" s="42"/>
      <c r="LCT54" s="42"/>
      <c r="LCU54" s="42"/>
      <c r="LCV54" s="42"/>
      <c r="LCW54" s="2"/>
      <c r="LCX54" s="15"/>
      <c r="LCY54" s="42"/>
      <c r="LCZ54" s="2"/>
      <c r="LDA54" s="2"/>
      <c r="LDB54" s="2"/>
      <c r="LDC54" s="2"/>
      <c r="LDD54" s="42"/>
      <c r="LDE54" s="42"/>
      <c r="LDF54" s="42"/>
      <c r="LDG54" s="42"/>
      <c r="LDH54" s="42"/>
      <c r="LDI54" s="42"/>
      <c r="LDJ54" s="42"/>
      <c r="LDK54" s="42"/>
      <c r="LDL54" s="42"/>
      <c r="LDM54" s="42"/>
      <c r="LDN54" s="42"/>
      <c r="LDO54" s="42"/>
      <c r="LDP54" s="42"/>
      <c r="LDQ54" s="42"/>
      <c r="LDR54" s="42"/>
      <c r="LDS54" s="42"/>
      <c r="LDT54" s="42"/>
      <c r="LDU54" s="42"/>
      <c r="LDV54" s="42"/>
      <c r="LDW54" s="42"/>
      <c r="LDX54" s="42"/>
      <c r="LDY54" s="42"/>
      <c r="LDZ54" s="42"/>
      <c r="LEA54" s="2"/>
      <c r="LEB54" s="15"/>
      <c r="LEC54" s="42"/>
      <c r="LED54" s="2"/>
      <c r="LEE54" s="2"/>
      <c r="LEF54" s="2"/>
      <c r="LEG54" s="2"/>
      <c r="LEH54" s="42"/>
      <c r="LEI54" s="42"/>
      <c r="LEJ54" s="42"/>
      <c r="LEK54" s="42"/>
      <c r="LEL54" s="42"/>
      <c r="LEM54" s="42"/>
      <c r="LEN54" s="42"/>
      <c r="LEO54" s="42"/>
      <c r="LEP54" s="42"/>
      <c r="LEQ54" s="42"/>
      <c r="LER54" s="42"/>
      <c r="LES54" s="42"/>
      <c r="LET54" s="42"/>
      <c r="LEU54" s="42"/>
      <c r="LEV54" s="42"/>
      <c r="LEW54" s="42"/>
      <c r="LEX54" s="42"/>
      <c r="LEY54" s="42"/>
      <c r="LEZ54" s="42"/>
      <c r="LFA54" s="42"/>
      <c r="LFB54" s="42"/>
      <c r="LFC54" s="42"/>
      <c r="LFD54" s="42"/>
      <c r="LFE54" s="2"/>
      <c r="LFF54" s="15"/>
      <c r="LFG54" s="42"/>
      <c r="LFH54" s="2"/>
      <c r="LFI54" s="2"/>
      <c r="LFJ54" s="2"/>
      <c r="LFK54" s="2"/>
      <c r="LFL54" s="42"/>
      <c r="LFM54" s="42"/>
      <c r="LFN54" s="42"/>
      <c r="LFO54" s="42"/>
      <c r="LFP54" s="42"/>
      <c r="LFQ54" s="42"/>
      <c r="LFR54" s="42"/>
      <c r="LFS54" s="42"/>
      <c r="LFT54" s="42"/>
      <c r="LFU54" s="42"/>
      <c r="LFV54" s="42"/>
      <c r="LFW54" s="42"/>
      <c r="LFX54" s="42"/>
      <c r="LFY54" s="42"/>
      <c r="LFZ54" s="42"/>
      <c r="LGA54" s="42"/>
      <c r="LGB54" s="42"/>
      <c r="LGC54" s="42"/>
      <c r="LGD54" s="42"/>
      <c r="LGE54" s="42"/>
      <c r="LGF54" s="42"/>
      <c r="LGG54" s="42"/>
      <c r="LGH54" s="42"/>
      <c r="LGI54" s="2"/>
      <c r="LGJ54" s="15"/>
      <c r="LGK54" s="42"/>
      <c r="LGL54" s="2"/>
      <c r="LGM54" s="2"/>
      <c r="LGN54" s="2"/>
      <c r="LGO54" s="2"/>
      <c r="LGP54" s="42"/>
      <c r="LGQ54" s="42"/>
      <c r="LGR54" s="42"/>
      <c r="LGS54" s="42"/>
      <c r="LGT54" s="42"/>
      <c r="LGU54" s="42"/>
      <c r="LGV54" s="42"/>
      <c r="LGW54" s="42"/>
      <c r="LGX54" s="42"/>
      <c r="LGY54" s="42"/>
      <c r="LGZ54" s="42"/>
      <c r="LHA54" s="42"/>
      <c r="LHB54" s="42"/>
      <c r="LHC54" s="42"/>
      <c r="LHD54" s="42"/>
      <c r="LHE54" s="42"/>
      <c r="LHF54" s="42"/>
      <c r="LHG54" s="42"/>
      <c r="LHH54" s="42"/>
      <c r="LHI54" s="42"/>
      <c r="LHJ54" s="42"/>
      <c r="LHK54" s="42"/>
      <c r="LHL54" s="42"/>
      <c r="LHM54" s="2"/>
      <c r="LHN54" s="15"/>
      <c r="LHO54" s="42"/>
      <c r="LHP54" s="2"/>
      <c r="LHQ54" s="2"/>
      <c r="LHR54" s="2"/>
      <c r="LHS54" s="2"/>
      <c r="LHT54" s="42"/>
      <c r="LHU54" s="42"/>
      <c r="LHV54" s="42"/>
      <c r="LHW54" s="42"/>
      <c r="LHX54" s="42"/>
      <c r="LHY54" s="42"/>
      <c r="LHZ54" s="42"/>
      <c r="LIA54" s="42"/>
      <c r="LIB54" s="42"/>
      <c r="LIC54" s="42"/>
      <c r="LID54" s="42"/>
      <c r="LIE54" s="42"/>
      <c r="LIF54" s="42"/>
      <c r="LIG54" s="42"/>
      <c r="LIH54" s="42"/>
      <c r="LII54" s="42"/>
      <c r="LIJ54" s="42"/>
      <c r="LIK54" s="42"/>
      <c r="LIL54" s="42"/>
      <c r="LIM54" s="42"/>
      <c r="LIN54" s="42"/>
      <c r="LIO54" s="42"/>
      <c r="LIP54" s="42"/>
      <c r="LIQ54" s="2"/>
      <c r="LIR54" s="15"/>
      <c r="LIS54" s="42"/>
      <c r="LIT54" s="2"/>
      <c r="LIU54" s="2"/>
      <c r="LIV54" s="2"/>
      <c r="LIW54" s="2"/>
      <c r="LIX54" s="42"/>
      <c r="LIY54" s="42"/>
      <c r="LIZ54" s="42"/>
      <c r="LJA54" s="42"/>
      <c r="LJB54" s="42"/>
      <c r="LJC54" s="42"/>
      <c r="LJD54" s="42"/>
      <c r="LJE54" s="42"/>
      <c r="LJF54" s="42"/>
      <c r="LJG54" s="42"/>
      <c r="LJH54" s="42"/>
      <c r="LJI54" s="42"/>
      <c r="LJJ54" s="42"/>
      <c r="LJK54" s="42"/>
      <c r="LJL54" s="42"/>
      <c r="LJM54" s="42"/>
      <c r="LJN54" s="42"/>
      <c r="LJO54" s="42"/>
      <c r="LJP54" s="42"/>
      <c r="LJQ54" s="42"/>
      <c r="LJR54" s="42"/>
      <c r="LJS54" s="42"/>
      <c r="LJT54" s="42"/>
      <c r="LJU54" s="2"/>
      <c r="LJV54" s="15"/>
      <c r="LJW54" s="42"/>
      <c r="LJX54" s="2"/>
      <c r="LJY54" s="2"/>
      <c r="LJZ54" s="2"/>
      <c r="LKA54" s="2"/>
      <c r="LKB54" s="42"/>
      <c r="LKC54" s="42"/>
      <c r="LKD54" s="42"/>
      <c r="LKE54" s="42"/>
      <c r="LKF54" s="42"/>
      <c r="LKG54" s="42"/>
      <c r="LKH54" s="42"/>
      <c r="LKI54" s="42"/>
      <c r="LKJ54" s="42"/>
      <c r="LKK54" s="42"/>
      <c r="LKL54" s="42"/>
      <c r="LKM54" s="42"/>
      <c r="LKN54" s="42"/>
      <c r="LKO54" s="42"/>
      <c r="LKP54" s="42"/>
      <c r="LKQ54" s="42"/>
      <c r="LKR54" s="42"/>
      <c r="LKS54" s="42"/>
      <c r="LKT54" s="42"/>
      <c r="LKU54" s="42"/>
      <c r="LKV54" s="42"/>
      <c r="LKW54" s="42"/>
      <c r="LKX54" s="42"/>
      <c r="LKY54" s="2"/>
      <c r="LKZ54" s="15"/>
      <c r="LLA54" s="42"/>
      <c r="LLB54" s="2"/>
      <c r="LLC54" s="2"/>
      <c r="LLD54" s="2"/>
      <c r="LLE54" s="2"/>
      <c r="LLF54" s="42"/>
      <c r="LLG54" s="42"/>
      <c r="LLH54" s="42"/>
      <c r="LLI54" s="42"/>
      <c r="LLJ54" s="42"/>
      <c r="LLK54" s="42"/>
      <c r="LLL54" s="42"/>
      <c r="LLM54" s="42"/>
      <c r="LLN54" s="42"/>
      <c r="LLO54" s="42"/>
      <c r="LLP54" s="42"/>
      <c r="LLQ54" s="42"/>
      <c r="LLR54" s="42"/>
      <c r="LLS54" s="42"/>
      <c r="LLT54" s="42"/>
      <c r="LLU54" s="42"/>
      <c r="LLV54" s="42"/>
      <c r="LLW54" s="42"/>
      <c r="LLX54" s="42"/>
      <c r="LLY54" s="42"/>
      <c r="LLZ54" s="42"/>
      <c r="LMA54" s="42"/>
      <c r="LMB54" s="42"/>
      <c r="LMC54" s="2"/>
      <c r="LMD54" s="15"/>
      <c r="LME54" s="42"/>
      <c r="LMF54" s="2"/>
      <c r="LMG54" s="2"/>
      <c r="LMH54" s="2"/>
      <c r="LMI54" s="2"/>
      <c r="LMJ54" s="42"/>
      <c r="LMK54" s="42"/>
      <c r="LML54" s="42"/>
      <c r="LMM54" s="42"/>
      <c r="LMN54" s="42"/>
      <c r="LMO54" s="42"/>
      <c r="LMP54" s="42"/>
      <c r="LMQ54" s="42"/>
      <c r="LMR54" s="42"/>
      <c r="LMS54" s="42"/>
      <c r="LMT54" s="42"/>
      <c r="LMU54" s="42"/>
      <c r="LMV54" s="42"/>
      <c r="LMW54" s="42"/>
      <c r="LMX54" s="42"/>
      <c r="LMY54" s="42"/>
      <c r="LMZ54" s="42"/>
      <c r="LNA54" s="42"/>
      <c r="LNB54" s="42"/>
      <c r="LNC54" s="42"/>
      <c r="LND54" s="42"/>
      <c r="LNE54" s="42"/>
      <c r="LNF54" s="42"/>
      <c r="LNG54" s="2"/>
      <c r="LNH54" s="15"/>
      <c r="LNI54" s="42"/>
      <c r="LNJ54" s="2"/>
      <c r="LNK54" s="2"/>
      <c r="LNL54" s="2"/>
      <c r="LNM54" s="2"/>
      <c r="LNN54" s="42"/>
      <c r="LNO54" s="42"/>
      <c r="LNP54" s="42"/>
      <c r="LNQ54" s="42"/>
      <c r="LNR54" s="42"/>
      <c r="LNS54" s="42"/>
      <c r="LNT54" s="42"/>
      <c r="LNU54" s="42"/>
      <c r="LNV54" s="42"/>
      <c r="LNW54" s="42"/>
      <c r="LNX54" s="42"/>
      <c r="LNY54" s="42"/>
      <c r="LNZ54" s="42"/>
      <c r="LOA54" s="42"/>
      <c r="LOB54" s="42"/>
      <c r="LOC54" s="42"/>
      <c r="LOD54" s="42"/>
      <c r="LOE54" s="42"/>
      <c r="LOF54" s="42"/>
      <c r="LOG54" s="42"/>
      <c r="LOH54" s="42"/>
      <c r="LOI54" s="42"/>
      <c r="LOJ54" s="42"/>
      <c r="LOK54" s="2"/>
      <c r="LOL54" s="15"/>
      <c r="LOM54" s="42"/>
      <c r="LON54" s="2"/>
      <c r="LOO54" s="2"/>
      <c r="LOP54" s="2"/>
      <c r="LOQ54" s="2"/>
      <c r="LOR54" s="42"/>
      <c r="LOS54" s="42"/>
      <c r="LOT54" s="42"/>
      <c r="LOU54" s="42"/>
      <c r="LOV54" s="42"/>
      <c r="LOW54" s="42"/>
      <c r="LOX54" s="42"/>
      <c r="LOY54" s="42"/>
      <c r="LOZ54" s="42"/>
      <c r="LPA54" s="42"/>
      <c r="LPB54" s="42"/>
      <c r="LPC54" s="42"/>
      <c r="LPD54" s="42"/>
      <c r="LPE54" s="42"/>
      <c r="LPF54" s="42"/>
      <c r="LPG54" s="42"/>
      <c r="LPH54" s="42"/>
      <c r="LPI54" s="42"/>
      <c r="LPJ54" s="42"/>
      <c r="LPK54" s="42"/>
      <c r="LPL54" s="42"/>
      <c r="LPM54" s="42"/>
      <c r="LPN54" s="42"/>
      <c r="LPO54" s="2"/>
      <c r="LPP54" s="15"/>
      <c r="LPQ54" s="42"/>
      <c r="LPR54" s="2"/>
      <c r="LPS54" s="2"/>
      <c r="LPT54" s="2"/>
      <c r="LPU54" s="2"/>
      <c r="LPV54" s="42"/>
      <c r="LPW54" s="42"/>
      <c r="LPX54" s="42"/>
      <c r="LPY54" s="42"/>
      <c r="LPZ54" s="42"/>
      <c r="LQA54" s="42"/>
      <c r="LQB54" s="42"/>
      <c r="LQC54" s="42"/>
      <c r="LQD54" s="42"/>
      <c r="LQE54" s="42"/>
      <c r="LQF54" s="42"/>
      <c r="LQG54" s="42"/>
      <c r="LQH54" s="42"/>
      <c r="LQI54" s="42"/>
      <c r="LQJ54" s="42"/>
      <c r="LQK54" s="42"/>
      <c r="LQL54" s="42"/>
      <c r="LQM54" s="42"/>
      <c r="LQN54" s="42"/>
      <c r="LQO54" s="42"/>
      <c r="LQP54" s="42"/>
      <c r="LQQ54" s="42"/>
      <c r="LQR54" s="42"/>
      <c r="LQS54" s="2"/>
      <c r="LQT54" s="15"/>
      <c r="LQU54" s="42"/>
      <c r="LQV54" s="2"/>
      <c r="LQW54" s="2"/>
      <c r="LQX54" s="2"/>
      <c r="LQY54" s="2"/>
      <c r="LQZ54" s="42"/>
      <c r="LRA54" s="42"/>
      <c r="LRB54" s="42"/>
      <c r="LRC54" s="42"/>
      <c r="LRD54" s="42"/>
      <c r="LRE54" s="42"/>
      <c r="LRF54" s="42"/>
      <c r="LRG54" s="42"/>
      <c r="LRH54" s="42"/>
      <c r="LRI54" s="42"/>
      <c r="LRJ54" s="42"/>
      <c r="LRK54" s="42"/>
      <c r="LRL54" s="42"/>
      <c r="LRM54" s="42"/>
      <c r="LRN54" s="42"/>
      <c r="LRO54" s="42"/>
      <c r="LRP54" s="42"/>
      <c r="LRQ54" s="42"/>
      <c r="LRR54" s="42"/>
      <c r="LRS54" s="42"/>
      <c r="LRT54" s="42"/>
      <c r="LRU54" s="42"/>
      <c r="LRV54" s="42"/>
      <c r="LRW54" s="2"/>
      <c r="LRX54" s="15"/>
      <c r="LRY54" s="42"/>
      <c r="LRZ54" s="2"/>
      <c r="LSA54" s="2"/>
      <c r="LSB54" s="2"/>
      <c r="LSC54" s="2"/>
      <c r="LSD54" s="42"/>
      <c r="LSE54" s="42"/>
      <c r="LSF54" s="42"/>
      <c r="LSG54" s="42"/>
      <c r="LSH54" s="42"/>
      <c r="LSI54" s="42"/>
      <c r="LSJ54" s="42"/>
      <c r="LSK54" s="42"/>
      <c r="LSL54" s="42"/>
      <c r="LSM54" s="42"/>
      <c r="LSN54" s="42"/>
      <c r="LSO54" s="42"/>
      <c r="LSP54" s="42"/>
      <c r="LSQ54" s="42"/>
      <c r="LSR54" s="42"/>
      <c r="LSS54" s="42"/>
      <c r="LST54" s="42"/>
      <c r="LSU54" s="42"/>
      <c r="LSV54" s="42"/>
      <c r="LSW54" s="42"/>
      <c r="LSX54" s="42"/>
      <c r="LSY54" s="42"/>
      <c r="LSZ54" s="42"/>
      <c r="LTA54" s="2"/>
      <c r="LTB54" s="15"/>
      <c r="LTC54" s="42"/>
      <c r="LTD54" s="2"/>
      <c r="LTE54" s="2"/>
      <c r="LTF54" s="2"/>
      <c r="LTG54" s="2"/>
      <c r="LTH54" s="42"/>
      <c r="LTI54" s="42"/>
      <c r="LTJ54" s="42"/>
      <c r="LTK54" s="42"/>
      <c r="LTL54" s="42"/>
      <c r="LTM54" s="42"/>
      <c r="LTN54" s="42"/>
      <c r="LTO54" s="42"/>
      <c r="LTP54" s="42"/>
      <c r="LTQ54" s="42"/>
      <c r="LTR54" s="42"/>
      <c r="LTS54" s="42"/>
      <c r="LTT54" s="42"/>
      <c r="LTU54" s="42"/>
      <c r="LTV54" s="42"/>
      <c r="LTW54" s="42"/>
      <c r="LTX54" s="42"/>
      <c r="LTY54" s="42"/>
      <c r="LTZ54" s="42"/>
      <c r="LUA54" s="42"/>
      <c r="LUB54" s="42"/>
      <c r="LUC54" s="42"/>
      <c r="LUD54" s="42"/>
      <c r="LUE54" s="2"/>
      <c r="LUF54" s="15"/>
      <c r="LUG54" s="42"/>
      <c r="LUH54" s="2"/>
      <c r="LUI54" s="2"/>
      <c r="LUJ54" s="2"/>
      <c r="LUK54" s="2"/>
      <c r="LUL54" s="42"/>
      <c r="LUM54" s="42"/>
      <c r="LUN54" s="42"/>
      <c r="LUO54" s="42"/>
      <c r="LUP54" s="42"/>
      <c r="LUQ54" s="42"/>
      <c r="LUR54" s="42"/>
      <c r="LUS54" s="42"/>
      <c r="LUT54" s="42"/>
      <c r="LUU54" s="42"/>
      <c r="LUV54" s="42"/>
      <c r="LUW54" s="42"/>
      <c r="LUX54" s="42"/>
      <c r="LUY54" s="42"/>
      <c r="LUZ54" s="42"/>
      <c r="LVA54" s="42"/>
      <c r="LVB54" s="42"/>
      <c r="LVC54" s="42"/>
      <c r="LVD54" s="42"/>
      <c r="LVE54" s="42"/>
      <c r="LVF54" s="42"/>
      <c r="LVG54" s="42"/>
      <c r="LVH54" s="42"/>
      <c r="LVI54" s="2"/>
      <c r="LVJ54" s="15"/>
      <c r="LVK54" s="42"/>
      <c r="LVL54" s="2"/>
      <c r="LVM54" s="2"/>
      <c r="LVN54" s="2"/>
      <c r="LVO54" s="2"/>
      <c r="LVP54" s="42"/>
      <c r="LVQ54" s="42"/>
      <c r="LVR54" s="42"/>
      <c r="LVS54" s="42"/>
      <c r="LVT54" s="42"/>
      <c r="LVU54" s="42"/>
      <c r="LVV54" s="42"/>
      <c r="LVW54" s="42"/>
      <c r="LVX54" s="42"/>
      <c r="LVY54" s="42"/>
      <c r="LVZ54" s="42"/>
      <c r="LWA54" s="42"/>
      <c r="LWB54" s="42"/>
      <c r="LWC54" s="42"/>
      <c r="LWD54" s="42"/>
      <c r="LWE54" s="42"/>
      <c r="LWF54" s="42"/>
      <c r="LWG54" s="42"/>
      <c r="LWH54" s="42"/>
      <c r="LWI54" s="42"/>
      <c r="LWJ54" s="42"/>
      <c r="LWK54" s="42"/>
      <c r="LWL54" s="42"/>
      <c r="LWM54" s="2"/>
      <c r="LWN54" s="15"/>
      <c r="LWO54" s="42"/>
      <c r="LWP54" s="2"/>
      <c r="LWQ54" s="2"/>
      <c r="LWR54" s="2"/>
      <c r="LWS54" s="2"/>
      <c r="LWT54" s="42"/>
      <c r="LWU54" s="42"/>
      <c r="LWV54" s="42"/>
      <c r="LWW54" s="42"/>
      <c r="LWX54" s="42"/>
      <c r="LWY54" s="42"/>
      <c r="LWZ54" s="42"/>
      <c r="LXA54" s="42"/>
      <c r="LXB54" s="42"/>
      <c r="LXC54" s="42"/>
      <c r="LXD54" s="42"/>
      <c r="LXE54" s="42"/>
      <c r="LXF54" s="42"/>
      <c r="LXG54" s="42"/>
      <c r="LXH54" s="42"/>
      <c r="LXI54" s="42"/>
      <c r="LXJ54" s="42"/>
      <c r="LXK54" s="42"/>
      <c r="LXL54" s="42"/>
      <c r="LXM54" s="42"/>
      <c r="LXN54" s="42"/>
      <c r="LXO54" s="42"/>
      <c r="LXP54" s="42"/>
      <c r="LXQ54" s="2"/>
      <c r="LXR54" s="15"/>
      <c r="LXS54" s="42"/>
      <c r="LXT54" s="2"/>
      <c r="LXU54" s="2"/>
      <c r="LXV54" s="2"/>
      <c r="LXW54" s="2"/>
      <c r="LXX54" s="42"/>
      <c r="LXY54" s="42"/>
      <c r="LXZ54" s="42"/>
      <c r="LYA54" s="42"/>
      <c r="LYB54" s="42"/>
      <c r="LYC54" s="42"/>
      <c r="LYD54" s="42"/>
      <c r="LYE54" s="42"/>
      <c r="LYF54" s="42"/>
      <c r="LYG54" s="42"/>
      <c r="LYH54" s="42"/>
      <c r="LYI54" s="42"/>
      <c r="LYJ54" s="42"/>
      <c r="LYK54" s="42"/>
      <c r="LYL54" s="42"/>
      <c r="LYM54" s="42"/>
      <c r="LYN54" s="42"/>
      <c r="LYO54" s="42"/>
      <c r="LYP54" s="42"/>
      <c r="LYQ54" s="42"/>
      <c r="LYR54" s="42"/>
      <c r="LYS54" s="42"/>
      <c r="LYT54" s="42"/>
      <c r="LYU54" s="2"/>
      <c r="LYV54" s="15"/>
      <c r="LYW54" s="42"/>
      <c r="LYX54" s="2"/>
      <c r="LYY54" s="2"/>
      <c r="LYZ54" s="2"/>
      <c r="LZA54" s="2"/>
      <c r="LZB54" s="42"/>
      <c r="LZC54" s="42"/>
      <c r="LZD54" s="42"/>
      <c r="LZE54" s="42"/>
      <c r="LZF54" s="42"/>
      <c r="LZG54" s="42"/>
      <c r="LZH54" s="42"/>
      <c r="LZI54" s="42"/>
      <c r="LZJ54" s="42"/>
      <c r="LZK54" s="42"/>
      <c r="LZL54" s="42"/>
      <c r="LZM54" s="42"/>
      <c r="LZN54" s="42"/>
      <c r="LZO54" s="42"/>
      <c r="LZP54" s="42"/>
      <c r="LZQ54" s="42"/>
      <c r="LZR54" s="42"/>
      <c r="LZS54" s="42"/>
      <c r="LZT54" s="42"/>
      <c r="LZU54" s="42"/>
      <c r="LZV54" s="42"/>
      <c r="LZW54" s="42"/>
      <c r="LZX54" s="42"/>
      <c r="LZY54" s="2"/>
      <c r="LZZ54" s="15"/>
      <c r="MAA54" s="42"/>
      <c r="MAB54" s="2"/>
      <c r="MAC54" s="2"/>
      <c r="MAD54" s="2"/>
      <c r="MAE54" s="2"/>
      <c r="MAF54" s="42"/>
      <c r="MAG54" s="42"/>
      <c r="MAH54" s="42"/>
      <c r="MAI54" s="42"/>
      <c r="MAJ54" s="42"/>
      <c r="MAK54" s="42"/>
      <c r="MAL54" s="42"/>
      <c r="MAM54" s="42"/>
      <c r="MAN54" s="42"/>
      <c r="MAO54" s="42"/>
      <c r="MAP54" s="42"/>
      <c r="MAQ54" s="42"/>
      <c r="MAR54" s="42"/>
      <c r="MAS54" s="42"/>
      <c r="MAT54" s="42"/>
      <c r="MAU54" s="42"/>
      <c r="MAV54" s="42"/>
      <c r="MAW54" s="42"/>
      <c r="MAX54" s="42"/>
      <c r="MAY54" s="42"/>
      <c r="MAZ54" s="42"/>
      <c r="MBA54" s="42"/>
      <c r="MBB54" s="42"/>
      <c r="MBC54" s="2"/>
      <c r="MBD54" s="15"/>
      <c r="MBE54" s="42"/>
      <c r="MBF54" s="2"/>
      <c r="MBG54" s="2"/>
      <c r="MBH54" s="2"/>
      <c r="MBI54" s="2"/>
      <c r="MBJ54" s="42"/>
      <c r="MBK54" s="42"/>
      <c r="MBL54" s="42"/>
      <c r="MBM54" s="42"/>
      <c r="MBN54" s="42"/>
      <c r="MBO54" s="42"/>
      <c r="MBP54" s="42"/>
      <c r="MBQ54" s="42"/>
      <c r="MBR54" s="42"/>
      <c r="MBS54" s="42"/>
      <c r="MBT54" s="42"/>
      <c r="MBU54" s="42"/>
      <c r="MBV54" s="42"/>
      <c r="MBW54" s="42"/>
      <c r="MBX54" s="42"/>
      <c r="MBY54" s="42"/>
      <c r="MBZ54" s="42"/>
      <c r="MCA54" s="42"/>
      <c r="MCB54" s="42"/>
      <c r="MCC54" s="42"/>
      <c r="MCD54" s="42"/>
      <c r="MCE54" s="42"/>
      <c r="MCF54" s="42"/>
      <c r="MCG54" s="2"/>
      <c r="MCH54" s="15"/>
      <c r="MCI54" s="42"/>
      <c r="MCJ54" s="2"/>
      <c r="MCK54" s="2"/>
      <c r="MCL54" s="2"/>
      <c r="MCM54" s="2"/>
      <c r="MCN54" s="42"/>
      <c r="MCO54" s="42"/>
      <c r="MCP54" s="42"/>
      <c r="MCQ54" s="42"/>
      <c r="MCR54" s="42"/>
      <c r="MCS54" s="42"/>
      <c r="MCT54" s="42"/>
      <c r="MCU54" s="42"/>
      <c r="MCV54" s="42"/>
      <c r="MCW54" s="42"/>
      <c r="MCX54" s="42"/>
      <c r="MCY54" s="42"/>
      <c r="MCZ54" s="42"/>
      <c r="MDA54" s="42"/>
      <c r="MDB54" s="42"/>
      <c r="MDC54" s="42"/>
      <c r="MDD54" s="42"/>
      <c r="MDE54" s="42"/>
      <c r="MDF54" s="42"/>
      <c r="MDG54" s="42"/>
      <c r="MDH54" s="42"/>
      <c r="MDI54" s="42"/>
      <c r="MDJ54" s="42"/>
      <c r="MDK54" s="2"/>
      <c r="MDL54" s="15"/>
      <c r="MDM54" s="42"/>
      <c r="MDN54" s="2"/>
      <c r="MDO54" s="2"/>
      <c r="MDP54" s="2"/>
      <c r="MDQ54" s="2"/>
      <c r="MDR54" s="42"/>
      <c r="MDS54" s="42"/>
      <c r="MDT54" s="42"/>
      <c r="MDU54" s="42"/>
      <c r="MDV54" s="42"/>
      <c r="MDW54" s="42"/>
      <c r="MDX54" s="42"/>
      <c r="MDY54" s="42"/>
      <c r="MDZ54" s="42"/>
      <c r="MEA54" s="42"/>
      <c r="MEB54" s="42"/>
      <c r="MEC54" s="42"/>
      <c r="MED54" s="42"/>
      <c r="MEE54" s="42"/>
      <c r="MEF54" s="42"/>
      <c r="MEG54" s="42"/>
      <c r="MEH54" s="42"/>
      <c r="MEI54" s="42"/>
      <c r="MEJ54" s="42"/>
      <c r="MEK54" s="42"/>
      <c r="MEL54" s="42"/>
      <c r="MEM54" s="42"/>
      <c r="MEN54" s="42"/>
      <c r="MEO54" s="2"/>
      <c r="MEP54" s="15"/>
      <c r="MEQ54" s="42"/>
      <c r="MER54" s="2"/>
      <c r="MES54" s="2"/>
      <c r="MET54" s="2"/>
      <c r="MEU54" s="2"/>
      <c r="MEV54" s="42"/>
      <c r="MEW54" s="42"/>
      <c r="MEX54" s="42"/>
      <c r="MEY54" s="42"/>
      <c r="MEZ54" s="42"/>
      <c r="MFA54" s="42"/>
      <c r="MFB54" s="42"/>
      <c r="MFC54" s="42"/>
      <c r="MFD54" s="42"/>
      <c r="MFE54" s="42"/>
      <c r="MFF54" s="42"/>
      <c r="MFG54" s="42"/>
      <c r="MFH54" s="42"/>
      <c r="MFI54" s="42"/>
      <c r="MFJ54" s="42"/>
      <c r="MFK54" s="42"/>
      <c r="MFL54" s="42"/>
      <c r="MFM54" s="42"/>
      <c r="MFN54" s="42"/>
      <c r="MFO54" s="42"/>
      <c r="MFP54" s="42"/>
      <c r="MFQ54" s="42"/>
      <c r="MFR54" s="42"/>
      <c r="MFS54" s="2"/>
      <c r="MFT54" s="15"/>
      <c r="MFU54" s="42"/>
      <c r="MFV54" s="2"/>
      <c r="MFW54" s="2"/>
      <c r="MFX54" s="2"/>
      <c r="MFY54" s="2"/>
      <c r="MFZ54" s="42"/>
      <c r="MGA54" s="42"/>
      <c r="MGB54" s="42"/>
      <c r="MGC54" s="42"/>
      <c r="MGD54" s="42"/>
      <c r="MGE54" s="42"/>
      <c r="MGF54" s="42"/>
      <c r="MGG54" s="42"/>
      <c r="MGH54" s="42"/>
      <c r="MGI54" s="42"/>
      <c r="MGJ54" s="42"/>
      <c r="MGK54" s="42"/>
      <c r="MGL54" s="42"/>
      <c r="MGM54" s="42"/>
      <c r="MGN54" s="42"/>
      <c r="MGO54" s="42"/>
      <c r="MGP54" s="42"/>
      <c r="MGQ54" s="42"/>
      <c r="MGR54" s="42"/>
      <c r="MGS54" s="42"/>
      <c r="MGT54" s="42"/>
      <c r="MGU54" s="42"/>
      <c r="MGV54" s="42"/>
      <c r="MGW54" s="2"/>
      <c r="MGX54" s="15"/>
      <c r="MGY54" s="42"/>
      <c r="MGZ54" s="2"/>
      <c r="MHA54" s="2"/>
      <c r="MHB54" s="2"/>
      <c r="MHC54" s="2"/>
      <c r="MHD54" s="42"/>
      <c r="MHE54" s="42"/>
      <c r="MHF54" s="42"/>
      <c r="MHG54" s="42"/>
      <c r="MHH54" s="42"/>
      <c r="MHI54" s="42"/>
      <c r="MHJ54" s="42"/>
      <c r="MHK54" s="42"/>
      <c r="MHL54" s="42"/>
      <c r="MHM54" s="42"/>
      <c r="MHN54" s="42"/>
      <c r="MHO54" s="42"/>
      <c r="MHP54" s="42"/>
      <c r="MHQ54" s="42"/>
      <c r="MHR54" s="42"/>
      <c r="MHS54" s="42"/>
      <c r="MHT54" s="42"/>
      <c r="MHU54" s="42"/>
      <c r="MHV54" s="42"/>
      <c r="MHW54" s="42"/>
      <c r="MHX54" s="42"/>
      <c r="MHY54" s="42"/>
      <c r="MHZ54" s="42"/>
      <c r="MIA54" s="2"/>
      <c r="MIB54" s="15"/>
      <c r="MIC54" s="42"/>
      <c r="MID54" s="2"/>
      <c r="MIE54" s="2"/>
      <c r="MIF54" s="2"/>
      <c r="MIG54" s="2"/>
      <c r="MIH54" s="42"/>
      <c r="MII54" s="42"/>
      <c r="MIJ54" s="42"/>
      <c r="MIK54" s="42"/>
      <c r="MIL54" s="42"/>
      <c r="MIM54" s="42"/>
      <c r="MIN54" s="42"/>
      <c r="MIO54" s="42"/>
      <c r="MIP54" s="42"/>
      <c r="MIQ54" s="42"/>
      <c r="MIR54" s="42"/>
      <c r="MIS54" s="42"/>
      <c r="MIT54" s="42"/>
      <c r="MIU54" s="42"/>
      <c r="MIV54" s="42"/>
      <c r="MIW54" s="42"/>
      <c r="MIX54" s="42"/>
      <c r="MIY54" s="42"/>
      <c r="MIZ54" s="42"/>
      <c r="MJA54" s="42"/>
      <c r="MJB54" s="42"/>
      <c r="MJC54" s="42"/>
      <c r="MJD54" s="42"/>
      <c r="MJE54" s="2"/>
      <c r="MJF54" s="15"/>
      <c r="MJG54" s="42"/>
      <c r="MJH54" s="2"/>
      <c r="MJI54" s="2"/>
      <c r="MJJ54" s="2"/>
      <c r="MJK54" s="2"/>
      <c r="MJL54" s="42"/>
      <c r="MJM54" s="42"/>
      <c r="MJN54" s="42"/>
      <c r="MJO54" s="42"/>
      <c r="MJP54" s="42"/>
      <c r="MJQ54" s="42"/>
      <c r="MJR54" s="42"/>
      <c r="MJS54" s="42"/>
      <c r="MJT54" s="42"/>
      <c r="MJU54" s="42"/>
      <c r="MJV54" s="42"/>
      <c r="MJW54" s="42"/>
      <c r="MJX54" s="42"/>
      <c r="MJY54" s="42"/>
      <c r="MJZ54" s="42"/>
      <c r="MKA54" s="42"/>
      <c r="MKB54" s="42"/>
      <c r="MKC54" s="42"/>
      <c r="MKD54" s="42"/>
      <c r="MKE54" s="42"/>
      <c r="MKF54" s="42"/>
      <c r="MKG54" s="42"/>
      <c r="MKH54" s="42"/>
      <c r="MKI54" s="2"/>
      <c r="MKJ54" s="15"/>
      <c r="MKK54" s="42"/>
      <c r="MKL54" s="2"/>
      <c r="MKM54" s="2"/>
      <c r="MKN54" s="2"/>
      <c r="MKO54" s="2"/>
      <c r="MKP54" s="42"/>
      <c r="MKQ54" s="42"/>
      <c r="MKR54" s="42"/>
      <c r="MKS54" s="42"/>
      <c r="MKT54" s="42"/>
      <c r="MKU54" s="42"/>
      <c r="MKV54" s="42"/>
      <c r="MKW54" s="42"/>
      <c r="MKX54" s="42"/>
      <c r="MKY54" s="42"/>
      <c r="MKZ54" s="42"/>
      <c r="MLA54" s="42"/>
      <c r="MLB54" s="42"/>
      <c r="MLC54" s="42"/>
      <c r="MLD54" s="42"/>
      <c r="MLE54" s="42"/>
      <c r="MLF54" s="42"/>
      <c r="MLG54" s="42"/>
      <c r="MLH54" s="42"/>
      <c r="MLI54" s="42"/>
      <c r="MLJ54" s="42"/>
      <c r="MLK54" s="42"/>
      <c r="MLL54" s="42"/>
      <c r="MLM54" s="2"/>
      <c r="MLN54" s="15"/>
      <c r="MLO54" s="42"/>
      <c r="MLP54" s="2"/>
      <c r="MLQ54" s="2"/>
      <c r="MLR54" s="2"/>
      <c r="MLS54" s="2"/>
      <c r="MLT54" s="42"/>
      <c r="MLU54" s="42"/>
      <c r="MLV54" s="42"/>
      <c r="MLW54" s="42"/>
      <c r="MLX54" s="42"/>
      <c r="MLY54" s="42"/>
      <c r="MLZ54" s="42"/>
      <c r="MMA54" s="42"/>
      <c r="MMB54" s="42"/>
      <c r="MMC54" s="42"/>
      <c r="MMD54" s="42"/>
      <c r="MME54" s="42"/>
      <c r="MMF54" s="42"/>
      <c r="MMG54" s="42"/>
      <c r="MMH54" s="42"/>
      <c r="MMI54" s="42"/>
      <c r="MMJ54" s="42"/>
      <c r="MMK54" s="42"/>
      <c r="MML54" s="42"/>
      <c r="MMM54" s="42"/>
      <c r="MMN54" s="42"/>
      <c r="MMO54" s="42"/>
      <c r="MMP54" s="42"/>
      <c r="MMQ54" s="2"/>
      <c r="MMR54" s="15"/>
      <c r="MMS54" s="42"/>
      <c r="MMT54" s="2"/>
      <c r="MMU54" s="2"/>
      <c r="MMV54" s="2"/>
      <c r="MMW54" s="2"/>
      <c r="MMX54" s="42"/>
      <c r="MMY54" s="42"/>
      <c r="MMZ54" s="42"/>
      <c r="MNA54" s="42"/>
      <c r="MNB54" s="42"/>
      <c r="MNC54" s="42"/>
      <c r="MND54" s="42"/>
      <c r="MNE54" s="42"/>
      <c r="MNF54" s="42"/>
      <c r="MNG54" s="42"/>
      <c r="MNH54" s="42"/>
      <c r="MNI54" s="42"/>
      <c r="MNJ54" s="42"/>
      <c r="MNK54" s="42"/>
      <c r="MNL54" s="42"/>
      <c r="MNM54" s="42"/>
      <c r="MNN54" s="42"/>
      <c r="MNO54" s="42"/>
      <c r="MNP54" s="42"/>
      <c r="MNQ54" s="42"/>
      <c r="MNR54" s="42"/>
      <c r="MNS54" s="42"/>
      <c r="MNT54" s="42"/>
      <c r="MNU54" s="2"/>
      <c r="MNV54" s="15"/>
      <c r="MNW54" s="42"/>
      <c r="MNX54" s="2"/>
      <c r="MNY54" s="2"/>
      <c r="MNZ54" s="2"/>
      <c r="MOA54" s="2"/>
      <c r="MOB54" s="42"/>
      <c r="MOC54" s="42"/>
      <c r="MOD54" s="42"/>
      <c r="MOE54" s="42"/>
      <c r="MOF54" s="42"/>
      <c r="MOG54" s="42"/>
      <c r="MOH54" s="42"/>
      <c r="MOI54" s="42"/>
      <c r="MOJ54" s="42"/>
      <c r="MOK54" s="42"/>
      <c r="MOL54" s="42"/>
      <c r="MOM54" s="42"/>
      <c r="MON54" s="42"/>
      <c r="MOO54" s="42"/>
      <c r="MOP54" s="42"/>
      <c r="MOQ54" s="42"/>
      <c r="MOR54" s="42"/>
      <c r="MOS54" s="42"/>
      <c r="MOT54" s="42"/>
      <c r="MOU54" s="42"/>
      <c r="MOV54" s="42"/>
      <c r="MOW54" s="42"/>
      <c r="MOX54" s="42"/>
      <c r="MOY54" s="2"/>
      <c r="MOZ54" s="15"/>
      <c r="MPA54" s="42"/>
      <c r="MPB54" s="2"/>
      <c r="MPC54" s="2"/>
      <c r="MPD54" s="2"/>
      <c r="MPE54" s="2"/>
      <c r="MPF54" s="42"/>
      <c r="MPG54" s="42"/>
      <c r="MPH54" s="42"/>
      <c r="MPI54" s="42"/>
      <c r="MPJ54" s="42"/>
      <c r="MPK54" s="42"/>
      <c r="MPL54" s="42"/>
      <c r="MPM54" s="42"/>
      <c r="MPN54" s="42"/>
      <c r="MPO54" s="42"/>
      <c r="MPP54" s="42"/>
      <c r="MPQ54" s="42"/>
      <c r="MPR54" s="42"/>
      <c r="MPS54" s="42"/>
      <c r="MPT54" s="42"/>
      <c r="MPU54" s="42"/>
      <c r="MPV54" s="42"/>
      <c r="MPW54" s="42"/>
      <c r="MPX54" s="42"/>
      <c r="MPY54" s="42"/>
      <c r="MPZ54" s="42"/>
      <c r="MQA54" s="42"/>
      <c r="MQB54" s="42"/>
      <c r="MQC54" s="2"/>
      <c r="MQD54" s="15"/>
      <c r="MQE54" s="42"/>
      <c r="MQF54" s="2"/>
      <c r="MQG54" s="2"/>
      <c r="MQH54" s="2"/>
      <c r="MQI54" s="2"/>
      <c r="MQJ54" s="42"/>
      <c r="MQK54" s="42"/>
      <c r="MQL54" s="42"/>
      <c r="MQM54" s="42"/>
      <c r="MQN54" s="42"/>
      <c r="MQO54" s="42"/>
      <c r="MQP54" s="42"/>
      <c r="MQQ54" s="42"/>
      <c r="MQR54" s="42"/>
      <c r="MQS54" s="42"/>
      <c r="MQT54" s="42"/>
      <c r="MQU54" s="42"/>
      <c r="MQV54" s="42"/>
      <c r="MQW54" s="42"/>
      <c r="MQX54" s="42"/>
      <c r="MQY54" s="42"/>
      <c r="MQZ54" s="42"/>
      <c r="MRA54" s="42"/>
      <c r="MRB54" s="42"/>
      <c r="MRC54" s="42"/>
      <c r="MRD54" s="42"/>
      <c r="MRE54" s="42"/>
      <c r="MRF54" s="42"/>
      <c r="MRG54" s="2"/>
      <c r="MRH54" s="15"/>
      <c r="MRI54" s="42"/>
      <c r="MRJ54" s="2"/>
      <c r="MRK54" s="2"/>
      <c r="MRL54" s="2"/>
      <c r="MRM54" s="2"/>
      <c r="MRN54" s="42"/>
      <c r="MRO54" s="42"/>
      <c r="MRP54" s="42"/>
      <c r="MRQ54" s="42"/>
      <c r="MRR54" s="42"/>
      <c r="MRS54" s="42"/>
      <c r="MRT54" s="42"/>
      <c r="MRU54" s="42"/>
      <c r="MRV54" s="42"/>
      <c r="MRW54" s="42"/>
      <c r="MRX54" s="42"/>
      <c r="MRY54" s="42"/>
      <c r="MRZ54" s="42"/>
      <c r="MSA54" s="42"/>
      <c r="MSB54" s="42"/>
      <c r="MSC54" s="42"/>
      <c r="MSD54" s="42"/>
      <c r="MSE54" s="42"/>
      <c r="MSF54" s="42"/>
      <c r="MSG54" s="42"/>
      <c r="MSH54" s="42"/>
      <c r="MSI54" s="42"/>
      <c r="MSJ54" s="42"/>
      <c r="MSK54" s="2"/>
      <c r="MSL54" s="15"/>
      <c r="MSM54" s="42"/>
      <c r="MSN54" s="2"/>
      <c r="MSO54" s="2"/>
      <c r="MSP54" s="2"/>
      <c r="MSQ54" s="2"/>
      <c r="MSR54" s="42"/>
      <c r="MSS54" s="42"/>
      <c r="MST54" s="42"/>
      <c r="MSU54" s="42"/>
      <c r="MSV54" s="42"/>
      <c r="MSW54" s="42"/>
      <c r="MSX54" s="42"/>
      <c r="MSY54" s="42"/>
      <c r="MSZ54" s="42"/>
      <c r="MTA54" s="42"/>
      <c r="MTB54" s="42"/>
      <c r="MTC54" s="42"/>
      <c r="MTD54" s="42"/>
      <c r="MTE54" s="42"/>
      <c r="MTF54" s="42"/>
      <c r="MTG54" s="42"/>
      <c r="MTH54" s="42"/>
      <c r="MTI54" s="42"/>
      <c r="MTJ54" s="42"/>
      <c r="MTK54" s="42"/>
      <c r="MTL54" s="42"/>
      <c r="MTM54" s="42"/>
      <c r="MTN54" s="42"/>
      <c r="MTO54" s="2"/>
      <c r="MTP54" s="15"/>
      <c r="MTQ54" s="42"/>
      <c r="MTR54" s="2"/>
      <c r="MTS54" s="2"/>
      <c r="MTT54" s="2"/>
      <c r="MTU54" s="2"/>
      <c r="MTV54" s="42"/>
      <c r="MTW54" s="42"/>
      <c r="MTX54" s="42"/>
      <c r="MTY54" s="42"/>
      <c r="MTZ54" s="42"/>
      <c r="MUA54" s="42"/>
      <c r="MUB54" s="42"/>
      <c r="MUC54" s="42"/>
      <c r="MUD54" s="42"/>
      <c r="MUE54" s="42"/>
      <c r="MUF54" s="42"/>
      <c r="MUG54" s="42"/>
      <c r="MUH54" s="42"/>
      <c r="MUI54" s="42"/>
      <c r="MUJ54" s="42"/>
      <c r="MUK54" s="42"/>
      <c r="MUL54" s="42"/>
      <c r="MUM54" s="42"/>
      <c r="MUN54" s="42"/>
      <c r="MUO54" s="42"/>
      <c r="MUP54" s="42"/>
      <c r="MUQ54" s="42"/>
      <c r="MUR54" s="42"/>
      <c r="MUS54" s="2"/>
      <c r="MUT54" s="15"/>
      <c r="MUU54" s="42"/>
      <c r="MUV54" s="2"/>
      <c r="MUW54" s="2"/>
      <c r="MUX54" s="2"/>
      <c r="MUY54" s="2"/>
      <c r="MUZ54" s="42"/>
      <c r="MVA54" s="42"/>
      <c r="MVB54" s="42"/>
      <c r="MVC54" s="42"/>
      <c r="MVD54" s="42"/>
      <c r="MVE54" s="42"/>
      <c r="MVF54" s="42"/>
      <c r="MVG54" s="42"/>
      <c r="MVH54" s="42"/>
      <c r="MVI54" s="42"/>
      <c r="MVJ54" s="42"/>
      <c r="MVK54" s="42"/>
      <c r="MVL54" s="42"/>
      <c r="MVM54" s="42"/>
      <c r="MVN54" s="42"/>
      <c r="MVO54" s="42"/>
      <c r="MVP54" s="42"/>
      <c r="MVQ54" s="42"/>
      <c r="MVR54" s="42"/>
      <c r="MVS54" s="42"/>
      <c r="MVT54" s="42"/>
      <c r="MVU54" s="42"/>
      <c r="MVV54" s="42"/>
      <c r="MVW54" s="2"/>
      <c r="MVX54" s="15"/>
      <c r="MVY54" s="42"/>
      <c r="MVZ54" s="2"/>
      <c r="MWA54" s="2"/>
      <c r="MWB54" s="2"/>
      <c r="MWC54" s="2"/>
      <c r="MWD54" s="42"/>
      <c r="MWE54" s="42"/>
      <c r="MWF54" s="42"/>
      <c r="MWG54" s="42"/>
      <c r="MWH54" s="42"/>
      <c r="MWI54" s="42"/>
      <c r="MWJ54" s="42"/>
      <c r="MWK54" s="42"/>
      <c r="MWL54" s="42"/>
      <c r="MWM54" s="42"/>
      <c r="MWN54" s="42"/>
      <c r="MWO54" s="42"/>
      <c r="MWP54" s="42"/>
      <c r="MWQ54" s="42"/>
      <c r="MWR54" s="42"/>
      <c r="MWS54" s="42"/>
      <c r="MWT54" s="42"/>
      <c r="MWU54" s="42"/>
      <c r="MWV54" s="42"/>
      <c r="MWW54" s="42"/>
      <c r="MWX54" s="42"/>
      <c r="MWY54" s="42"/>
      <c r="MWZ54" s="42"/>
      <c r="MXA54" s="2"/>
      <c r="MXB54" s="15"/>
      <c r="MXC54" s="42"/>
      <c r="MXD54" s="2"/>
      <c r="MXE54" s="2"/>
      <c r="MXF54" s="2"/>
      <c r="MXG54" s="2"/>
      <c r="MXH54" s="42"/>
      <c r="MXI54" s="42"/>
      <c r="MXJ54" s="42"/>
      <c r="MXK54" s="42"/>
      <c r="MXL54" s="42"/>
      <c r="MXM54" s="42"/>
      <c r="MXN54" s="42"/>
      <c r="MXO54" s="42"/>
      <c r="MXP54" s="42"/>
      <c r="MXQ54" s="42"/>
      <c r="MXR54" s="42"/>
      <c r="MXS54" s="42"/>
      <c r="MXT54" s="42"/>
      <c r="MXU54" s="42"/>
      <c r="MXV54" s="42"/>
      <c r="MXW54" s="42"/>
      <c r="MXX54" s="42"/>
      <c r="MXY54" s="42"/>
      <c r="MXZ54" s="42"/>
      <c r="MYA54" s="42"/>
      <c r="MYB54" s="42"/>
      <c r="MYC54" s="42"/>
      <c r="MYD54" s="42"/>
      <c r="MYE54" s="2"/>
      <c r="MYF54" s="15"/>
      <c r="MYG54" s="42"/>
      <c r="MYH54" s="2"/>
      <c r="MYI54" s="2"/>
      <c r="MYJ54" s="2"/>
      <c r="MYK54" s="2"/>
      <c r="MYL54" s="42"/>
      <c r="MYM54" s="42"/>
      <c r="MYN54" s="42"/>
      <c r="MYO54" s="42"/>
      <c r="MYP54" s="42"/>
      <c r="MYQ54" s="42"/>
      <c r="MYR54" s="42"/>
      <c r="MYS54" s="42"/>
      <c r="MYT54" s="42"/>
      <c r="MYU54" s="42"/>
      <c r="MYV54" s="42"/>
      <c r="MYW54" s="42"/>
      <c r="MYX54" s="42"/>
      <c r="MYY54" s="42"/>
      <c r="MYZ54" s="42"/>
      <c r="MZA54" s="42"/>
      <c r="MZB54" s="42"/>
      <c r="MZC54" s="42"/>
      <c r="MZD54" s="42"/>
      <c r="MZE54" s="42"/>
      <c r="MZF54" s="42"/>
      <c r="MZG54" s="42"/>
      <c r="MZH54" s="42"/>
      <c r="MZI54" s="2"/>
      <c r="MZJ54" s="15"/>
      <c r="MZK54" s="42"/>
      <c r="MZL54" s="2"/>
      <c r="MZM54" s="2"/>
      <c r="MZN54" s="2"/>
      <c r="MZO54" s="2"/>
      <c r="MZP54" s="42"/>
      <c r="MZQ54" s="42"/>
      <c r="MZR54" s="42"/>
      <c r="MZS54" s="42"/>
      <c r="MZT54" s="42"/>
      <c r="MZU54" s="42"/>
      <c r="MZV54" s="42"/>
      <c r="MZW54" s="42"/>
      <c r="MZX54" s="42"/>
      <c r="MZY54" s="42"/>
      <c r="MZZ54" s="42"/>
      <c r="NAA54" s="42"/>
      <c r="NAB54" s="42"/>
      <c r="NAC54" s="42"/>
      <c r="NAD54" s="42"/>
      <c r="NAE54" s="42"/>
      <c r="NAF54" s="42"/>
      <c r="NAG54" s="42"/>
      <c r="NAH54" s="42"/>
      <c r="NAI54" s="42"/>
      <c r="NAJ54" s="42"/>
      <c r="NAK54" s="42"/>
      <c r="NAL54" s="42"/>
      <c r="NAM54" s="2"/>
      <c r="NAN54" s="15"/>
      <c r="NAO54" s="42"/>
      <c r="NAP54" s="2"/>
      <c r="NAQ54" s="2"/>
      <c r="NAR54" s="2"/>
      <c r="NAS54" s="2"/>
      <c r="NAT54" s="42"/>
      <c r="NAU54" s="42"/>
      <c r="NAV54" s="42"/>
      <c r="NAW54" s="42"/>
      <c r="NAX54" s="42"/>
      <c r="NAY54" s="42"/>
      <c r="NAZ54" s="42"/>
      <c r="NBA54" s="42"/>
      <c r="NBB54" s="42"/>
      <c r="NBC54" s="42"/>
      <c r="NBD54" s="42"/>
      <c r="NBE54" s="42"/>
      <c r="NBF54" s="42"/>
      <c r="NBG54" s="42"/>
      <c r="NBH54" s="42"/>
      <c r="NBI54" s="42"/>
      <c r="NBJ54" s="42"/>
      <c r="NBK54" s="42"/>
      <c r="NBL54" s="42"/>
      <c r="NBM54" s="42"/>
      <c r="NBN54" s="42"/>
      <c r="NBO54" s="42"/>
      <c r="NBP54" s="42"/>
      <c r="NBQ54" s="2"/>
      <c r="NBR54" s="15"/>
      <c r="NBS54" s="42"/>
      <c r="NBT54" s="2"/>
      <c r="NBU54" s="2"/>
      <c r="NBV54" s="2"/>
      <c r="NBW54" s="2"/>
      <c r="NBX54" s="42"/>
      <c r="NBY54" s="42"/>
      <c r="NBZ54" s="42"/>
      <c r="NCA54" s="42"/>
      <c r="NCB54" s="42"/>
      <c r="NCC54" s="42"/>
      <c r="NCD54" s="42"/>
      <c r="NCE54" s="42"/>
      <c r="NCF54" s="42"/>
      <c r="NCG54" s="42"/>
      <c r="NCH54" s="42"/>
      <c r="NCI54" s="42"/>
      <c r="NCJ54" s="42"/>
      <c r="NCK54" s="42"/>
      <c r="NCL54" s="42"/>
      <c r="NCM54" s="42"/>
      <c r="NCN54" s="42"/>
      <c r="NCO54" s="42"/>
      <c r="NCP54" s="42"/>
      <c r="NCQ54" s="42"/>
      <c r="NCR54" s="42"/>
      <c r="NCS54" s="42"/>
      <c r="NCT54" s="42"/>
      <c r="NCU54" s="2"/>
      <c r="NCV54" s="15"/>
      <c r="NCW54" s="42"/>
      <c r="NCX54" s="2"/>
      <c r="NCY54" s="2"/>
      <c r="NCZ54" s="2"/>
      <c r="NDA54" s="2"/>
      <c r="NDB54" s="42"/>
      <c r="NDC54" s="42"/>
      <c r="NDD54" s="42"/>
      <c r="NDE54" s="42"/>
      <c r="NDF54" s="42"/>
      <c r="NDG54" s="42"/>
      <c r="NDH54" s="42"/>
      <c r="NDI54" s="42"/>
      <c r="NDJ54" s="42"/>
      <c r="NDK54" s="42"/>
      <c r="NDL54" s="42"/>
      <c r="NDM54" s="42"/>
      <c r="NDN54" s="42"/>
      <c r="NDO54" s="42"/>
      <c r="NDP54" s="42"/>
      <c r="NDQ54" s="42"/>
      <c r="NDR54" s="42"/>
      <c r="NDS54" s="42"/>
      <c r="NDT54" s="42"/>
      <c r="NDU54" s="42"/>
      <c r="NDV54" s="42"/>
      <c r="NDW54" s="42"/>
      <c r="NDX54" s="42"/>
      <c r="NDY54" s="2"/>
      <c r="NDZ54" s="15"/>
      <c r="NEA54" s="42"/>
      <c r="NEB54" s="2"/>
      <c r="NEC54" s="2"/>
      <c r="NED54" s="2"/>
      <c r="NEE54" s="2"/>
      <c r="NEF54" s="42"/>
      <c r="NEG54" s="42"/>
      <c r="NEH54" s="42"/>
      <c r="NEI54" s="42"/>
      <c r="NEJ54" s="42"/>
      <c r="NEK54" s="42"/>
      <c r="NEL54" s="42"/>
      <c r="NEM54" s="42"/>
      <c r="NEN54" s="42"/>
      <c r="NEO54" s="42"/>
      <c r="NEP54" s="42"/>
      <c r="NEQ54" s="42"/>
      <c r="NER54" s="42"/>
      <c r="NES54" s="42"/>
      <c r="NET54" s="42"/>
      <c r="NEU54" s="42"/>
      <c r="NEV54" s="42"/>
      <c r="NEW54" s="42"/>
      <c r="NEX54" s="42"/>
      <c r="NEY54" s="42"/>
      <c r="NEZ54" s="42"/>
      <c r="NFA54" s="42"/>
      <c r="NFB54" s="42"/>
      <c r="NFC54" s="2"/>
      <c r="NFD54" s="15"/>
      <c r="NFE54" s="42"/>
      <c r="NFF54" s="2"/>
      <c r="NFG54" s="2"/>
      <c r="NFH54" s="2"/>
      <c r="NFI54" s="2"/>
      <c r="NFJ54" s="42"/>
      <c r="NFK54" s="42"/>
      <c r="NFL54" s="42"/>
      <c r="NFM54" s="42"/>
      <c r="NFN54" s="42"/>
      <c r="NFO54" s="42"/>
      <c r="NFP54" s="42"/>
      <c r="NFQ54" s="42"/>
      <c r="NFR54" s="42"/>
      <c r="NFS54" s="42"/>
      <c r="NFT54" s="42"/>
      <c r="NFU54" s="42"/>
      <c r="NFV54" s="42"/>
      <c r="NFW54" s="42"/>
      <c r="NFX54" s="42"/>
      <c r="NFY54" s="42"/>
      <c r="NFZ54" s="42"/>
      <c r="NGA54" s="42"/>
      <c r="NGB54" s="42"/>
      <c r="NGC54" s="42"/>
      <c r="NGD54" s="42"/>
      <c r="NGE54" s="42"/>
      <c r="NGF54" s="42"/>
      <c r="NGG54" s="2"/>
      <c r="NGH54" s="15"/>
      <c r="NGI54" s="42"/>
      <c r="NGJ54" s="2"/>
      <c r="NGK54" s="2"/>
      <c r="NGL54" s="2"/>
      <c r="NGM54" s="2"/>
      <c r="NGN54" s="42"/>
      <c r="NGO54" s="42"/>
      <c r="NGP54" s="42"/>
      <c r="NGQ54" s="42"/>
      <c r="NGR54" s="42"/>
      <c r="NGS54" s="42"/>
      <c r="NGT54" s="42"/>
      <c r="NGU54" s="42"/>
      <c r="NGV54" s="42"/>
      <c r="NGW54" s="42"/>
      <c r="NGX54" s="42"/>
      <c r="NGY54" s="42"/>
      <c r="NGZ54" s="42"/>
      <c r="NHA54" s="42"/>
      <c r="NHB54" s="42"/>
      <c r="NHC54" s="42"/>
      <c r="NHD54" s="42"/>
      <c r="NHE54" s="42"/>
      <c r="NHF54" s="42"/>
      <c r="NHG54" s="42"/>
      <c r="NHH54" s="42"/>
      <c r="NHI54" s="42"/>
      <c r="NHJ54" s="42"/>
      <c r="NHK54" s="2"/>
      <c r="NHL54" s="15"/>
      <c r="NHM54" s="42"/>
      <c r="NHN54" s="2"/>
      <c r="NHO54" s="2"/>
      <c r="NHP54" s="2"/>
      <c r="NHQ54" s="2"/>
      <c r="NHR54" s="42"/>
      <c r="NHS54" s="42"/>
      <c r="NHT54" s="42"/>
      <c r="NHU54" s="42"/>
      <c r="NHV54" s="42"/>
      <c r="NHW54" s="42"/>
      <c r="NHX54" s="42"/>
      <c r="NHY54" s="42"/>
      <c r="NHZ54" s="42"/>
      <c r="NIA54" s="42"/>
      <c r="NIB54" s="42"/>
      <c r="NIC54" s="42"/>
      <c r="NID54" s="42"/>
      <c r="NIE54" s="42"/>
      <c r="NIF54" s="42"/>
      <c r="NIG54" s="42"/>
      <c r="NIH54" s="42"/>
      <c r="NII54" s="42"/>
      <c r="NIJ54" s="42"/>
      <c r="NIK54" s="42"/>
      <c r="NIL54" s="42"/>
      <c r="NIM54" s="42"/>
      <c r="NIN54" s="42"/>
      <c r="NIO54" s="2"/>
      <c r="NIP54" s="15"/>
      <c r="NIQ54" s="42"/>
      <c r="NIR54" s="2"/>
      <c r="NIS54" s="2"/>
      <c r="NIT54" s="2"/>
      <c r="NIU54" s="2"/>
      <c r="NIV54" s="42"/>
      <c r="NIW54" s="42"/>
      <c r="NIX54" s="42"/>
      <c r="NIY54" s="42"/>
      <c r="NIZ54" s="42"/>
      <c r="NJA54" s="42"/>
      <c r="NJB54" s="42"/>
      <c r="NJC54" s="42"/>
      <c r="NJD54" s="42"/>
      <c r="NJE54" s="42"/>
      <c r="NJF54" s="42"/>
      <c r="NJG54" s="42"/>
      <c r="NJH54" s="42"/>
      <c r="NJI54" s="42"/>
      <c r="NJJ54" s="42"/>
      <c r="NJK54" s="42"/>
      <c r="NJL54" s="42"/>
      <c r="NJM54" s="42"/>
      <c r="NJN54" s="42"/>
      <c r="NJO54" s="42"/>
      <c r="NJP54" s="42"/>
      <c r="NJQ54" s="42"/>
      <c r="NJR54" s="42"/>
      <c r="NJS54" s="2"/>
      <c r="NJT54" s="15"/>
      <c r="NJU54" s="42"/>
      <c r="NJV54" s="2"/>
      <c r="NJW54" s="2"/>
      <c r="NJX54" s="2"/>
      <c r="NJY54" s="2"/>
      <c r="NJZ54" s="42"/>
      <c r="NKA54" s="42"/>
      <c r="NKB54" s="42"/>
      <c r="NKC54" s="42"/>
      <c r="NKD54" s="42"/>
      <c r="NKE54" s="42"/>
      <c r="NKF54" s="42"/>
      <c r="NKG54" s="42"/>
      <c r="NKH54" s="42"/>
      <c r="NKI54" s="42"/>
      <c r="NKJ54" s="42"/>
      <c r="NKK54" s="42"/>
      <c r="NKL54" s="42"/>
      <c r="NKM54" s="42"/>
      <c r="NKN54" s="42"/>
      <c r="NKO54" s="42"/>
      <c r="NKP54" s="42"/>
      <c r="NKQ54" s="42"/>
      <c r="NKR54" s="42"/>
      <c r="NKS54" s="42"/>
      <c r="NKT54" s="42"/>
      <c r="NKU54" s="42"/>
      <c r="NKV54" s="42"/>
      <c r="NKW54" s="2"/>
      <c r="NKX54" s="15"/>
      <c r="NKY54" s="42"/>
      <c r="NKZ54" s="2"/>
      <c r="NLA54" s="2"/>
      <c r="NLB54" s="2"/>
      <c r="NLC54" s="2"/>
      <c r="NLD54" s="42"/>
      <c r="NLE54" s="42"/>
      <c r="NLF54" s="42"/>
      <c r="NLG54" s="42"/>
      <c r="NLH54" s="42"/>
      <c r="NLI54" s="42"/>
      <c r="NLJ54" s="42"/>
      <c r="NLK54" s="42"/>
      <c r="NLL54" s="42"/>
      <c r="NLM54" s="42"/>
      <c r="NLN54" s="42"/>
      <c r="NLO54" s="42"/>
      <c r="NLP54" s="42"/>
      <c r="NLQ54" s="42"/>
      <c r="NLR54" s="42"/>
      <c r="NLS54" s="42"/>
      <c r="NLT54" s="42"/>
      <c r="NLU54" s="42"/>
      <c r="NLV54" s="42"/>
      <c r="NLW54" s="42"/>
      <c r="NLX54" s="42"/>
      <c r="NLY54" s="42"/>
      <c r="NLZ54" s="42"/>
      <c r="NMA54" s="2"/>
      <c r="NMB54" s="15"/>
      <c r="NMC54" s="42"/>
      <c r="NMD54" s="2"/>
      <c r="NME54" s="2"/>
      <c r="NMF54" s="2"/>
      <c r="NMG54" s="2"/>
      <c r="NMH54" s="42"/>
      <c r="NMI54" s="42"/>
      <c r="NMJ54" s="42"/>
      <c r="NMK54" s="42"/>
      <c r="NML54" s="42"/>
      <c r="NMM54" s="42"/>
      <c r="NMN54" s="42"/>
      <c r="NMO54" s="42"/>
      <c r="NMP54" s="42"/>
      <c r="NMQ54" s="42"/>
      <c r="NMR54" s="42"/>
      <c r="NMS54" s="42"/>
      <c r="NMT54" s="42"/>
      <c r="NMU54" s="42"/>
      <c r="NMV54" s="42"/>
      <c r="NMW54" s="42"/>
      <c r="NMX54" s="42"/>
      <c r="NMY54" s="42"/>
      <c r="NMZ54" s="42"/>
      <c r="NNA54" s="42"/>
      <c r="NNB54" s="42"/>
      <c r="NNC54" s="42"/>
      <c r="NND54" s="42"/>
      <c r="NNE54" s="2"/>
      <c r="NNF54" s="15"/>
      <c r="NNG54" s="42"/>
      <c r="NNH54" s="2"/>
      <c r="NNI54" s="2"/>
      <c r="NNJ54" s="2"/>
      <c r="NNK54" s="2"/>
      <c r="NNL54" s="42"/>
      <c r="NNM54" s="42"/>
      <c r="NNN54" s="42"/>
      <c r="NNO54" s="42"/>
      <c r="NNP54" s="42"/>
      <c r="NNQ54" s="42"/>
      <c r="NNR54" s="42"/>
      <c r="NNS54" s="42"/>
      <c r="NNT54" s="42"/>
      <c r="NNU54" s="42"/>
      <c r="NNV54" s="42"/>
      <c r="NNW54" s="42"/>
      <c r="NNX54" s="42"/>
      <c r="NNY54" s="42"/>
      <c r="NNZ54" s="42"/>
      <c r="NOA54" s="42"/>
      <c r="NOB54" s="42"/>
      <c r="NOC54" s="42"/>
      <c r="NOD54" s="42"/>
      <c r="NOE54" s="42"/>
      <c r="NOF54" s="42"/>
      <c r="NOG54" s="42"/>
      <c r="NOH54" s="42"/>
      <c r="NOI54" s="2"/>
      <c r="NOJ54" s="15"/>
      <c r="NOK54" s="42"/>
      <c r="NOL54" s="2"/>
      <c r="NOM54" s="2"/>
      <c r="NON54" s="2"/>
      <c r="NOO54" s="2"/>
      <c r="NOP54" s="42"/>
      <c r="NOQ54" s="42"/>
      <c r="NOR54" s="42"/>
      <c r="NOS54" s="42"/>
      <c r="NOT54" s="42"/>
      <c r="NOU54" s="42"/>
      <c r="NOV54" s="42"/>
      <c r="NOW54" s="42"/>
      <c r="NOX54" s="42"/>
      <c r="NOY54" s="42"/>
      <c r="NOZ54" s="42"/>
      <c r="NPA54" s="42"/>
      <c r="NPB54" s="42"/>
      <c r="NPC54" s="42"/>
      <c r="NPD54" s="42"/>
      <c r="NPE54" s="42"/>
      <c r="NPF54" s="42"/>
      <c r="NPG54" s="42"/>
      <c r="NPH54" s="42"/>
      <c r="NPI54" s="42"/>
      <c r="NPJ54" s="42"/>
      <c r="NPK54" s="42"/>
      <c r="NPL54" s="42"/>
      <c r="NPM54" s="2"/>
      <c r="NPN54" s="15"/>
      <c r="NPO54" s="42"/>
      <c r="NPP54" s="2"/>
      <c r="NPQ54" s="2"/>
      <c r="NPR54" s="2"/>
      <c r="NPS54" s="2"/>
      <c r="NPT54" s="42"/>
      <c r="NPU54" s="42"/>
      <c r="NPV54" s="42"/>
      <c r="NPW54" s="42"/>
      <c r="NPX54" s="42"/>
      <c r="NPY54" s="42"/>
      <c r="NPZ54" s="42"/>
      <c r="NQA54" s="42"/>
      <c r="NQB54" s="42"/>
      <c r="NQC54" s="42"/>
      <c r="NQD54" s="42"/>
      <c r="NQE54" s="42"/>
      <c r="NQF54" s="42"/>
      <c r="NQG54" s="42"/>
      <c r="NQH54" s="42"/>
      <c r="NQI54" s="42"/>
      <c r="NQJ54" s="42"/>
      <c r="NQK54" s="42"/>
      <c r="NQL54" s="42"/>
      <c r="NQM54" s="42"/>
      <c r="NQN54" s="42"/>
      <c r="NQO54" s="42"/>
      <c r="NQP54" s="42"/>
      <c r="NQQ54" s="2"/>
      <c r="NQR54" s="15"/>
      <c r="NQS54" s="42"/>
      <c r="NQT54" s="2"/>
      <c r="NQU54" s="2"/>
      <c r="NQV54" s="2"/>
      <c r="NQW54" s="2"/>
      <c r="NQX54" s="42"/>
      <c r="NQY54" s="42"/>
      <c r="NQZ54" s="42"/>
      <c r="NRA54" s="42"/>
      <c r="NRB54" s="42"/>
      <c r="NRC54" s="42"/>
      <c r="NRD54" s="42"/>
      <c r="NRE54" s="42"/>
      <c r="NRF54" s="42"/>
      <c r="NRG54" s="42"/>
      <c r="NRH54" s="42"/>
      <c r="NRI54" s="42"/>
      <c r="NRJ54" s="42"/>
      <c r="NRK54" s="42"/>
      <c r="NRL54" s="42"/>
      <c r="NRM54" s="42"/>
      <c r="NRN54" s="42"/>
      <c r="NRO54" s="42"/>
      <c r="NRP54" s="42"/>
      <c r="NRQ54" s="42"/>
      <c r="NRR54" s="42"/>
      <c r="NRS54" s="42"/>
      <c r="NRT54" s="42"/>
      <c r="NRU54" s="2"/>
      <c r="NRV54" s="15"/>
      <c r="NRW54" s="42"/>
      <c r="NRX54" s="2"/>
      <c r="NRY54" s="2"/>
      <c r="NRZ54" s="2"/>
      <c r="NSA54" s="2"/>
      <c r="NSB54" s="42"/>
      <c r="NSC54" s="42"/>
      <c r="NSD54" s="42"/>
      <c r="NSE54" s="42"/>
      <c r="NSF54" s="42"/>
      <c r="NSG54" s="42"/>
      <c r="NSH54" s="42"/>
      <c r="NSI54" s="42"/>
      <c r="NSJ54" s="42"/>
      <c r="NSK54" s="42"/>
      <c r="NSL54" s="42"/>
      <c r="NSM54" s="42"/>
      <c r="NSN54" s="42"/>
      <c r="NSO54" s="42"/>
      <c r="NSP54" s="42"/>
      <c r="NSQ54" s="42"/>
      <c r="NSR54" s="42"/>
      <c r="NSS54" s="42"/>
      <c r="NST54" s="42"/>
      <c r="NSU54" s="42"/>
      <c r="NSV54" s="42"/>
      <c r="NSW54" s="42"/>
      <c r="NSX54" s="42"/>
      <c r="NSY54" s="2"/>
      <c r="NSZ54" s="15"/>
      <c r="NTA54" s="42"/>
      <c r="NTB54" s="2"/>
      <c r="NTC54" s="2"/>
      <c r="NTD54" s="2"/>
      <c r="NTE54" s="2"/>
      <c r="NTF54" s="42"/>
      <c r="NTG54" s="42"/>
      <c r="NTH54" s="42"/>
      <c r="NTI54" s="42"/>
      <c r="NTJ54" s="42"/>
      <c r="NTK54" s="42"/>
      <c r="NTL54" s="42"/>
      <c r="NTM54" s="42"/>
      <c r="NTN54" s="42"/>
      <c r="NTO54" s="42"/>
      <c r="NTP54" s="42"/>
      <c r="NTQ54" s="42"/>
      <c r="NTR54" s="42"/>
      <c r="NTS54" s="42"/>
      <c r="NTT54" s="42"/>
      <c r="NTU54" s="42"/>
      <c r="NTV54" s="42"/>
      <c r="NTW54" s="42"/>
      <c r="NTX54" s="42"/>
      <c r="NTY54" s="42"/>
      <c r="NTZ54" s="42"/>
      <c r="NUA54" s="42"/>
      <c r="NUB54" s="42"/>
      <c r="NUC54" s="2"/>
      <c r="NUD54" s="15"/>
      <c r="NUE54" s="42"/>
      <c r="NUF54" s="2"/>
      <c r="NUG54" s="2"/>
      <c r="NUH54" s="2"/>
      <c r="NUI54" s="2"/>
      <c r="NUJ54" s="42"/>
      <c r="NUK54" s="42"/>
      <c r="NUL54" s="42"/>
      <c r="NUM54" s="42"/>
      <c r="NUN54" s="42"/>
      <c r="NUO54" s="42"/>
      <c r="NUP54" s="42"/>
      <c r="NUQ54" s="42"/>
      <c r="NUR54" s="42"/>
      <c r="NUS54" s="42"/>
      <c r="NUT54" s="42"/>
      <c r="NUU54" s="42"/>
      <c r="NUV54" s="42"/>
      <c r="NUW54" s="42"/>
      <c r="NUX54" s="42"/>
      <c r="NUY54" s="42"/>
      <c r="NUZ54" s="42"/>
      <c r="NVA54" s="42"/>
      <c r="NVB54" s="42"/>
      <c r="NVC54" s="42"/>
      <c r="NVD54" s="42"/>
      <c r="NVE54" s="42"/>
      <c r="NVF54" s="42"/>
      <c r="NVG54" s="2"/>
      <c r="NVH54" s="15"/>
      <c r="NVI54" s="42"/>
      <c r="NVJ54" s="2"/>
      <c r="NVK54" s="2"/>
      <c r="NVL54" s="2"/>
      <c r="NVM54" s="2"/>
      <c r="NVN54" s="42"/>
      <c r="NVO54" s="42"/>
      <c r="NVP54" s="42"/>
      <c r="NVQ54" s="42"/>
      <c r="NVR54" s="42"/>
      <c r="NVS54" s="42"/>
      <c r="NVT54" s="42"/>
      <c r="NVU54" s="42"/>
      <c r="NVV54" s="42"/>
      <c r="NVW54" s="42"/>
      <c r="NVX54" s="42"/>
      <c r="NVY54" s="42"/>
      <c r="NVZ54" s="42"/>
      <c r="NWA54" s="42"/>
      <c r="NWB54" s="42"/>
      <c r="NWC54" s="42"/>
      <c r="NWD54" s="42"/>
      <c r="NWE54" s="42"/>
      <c r="NWF54" s="42"/>
      <c r="NWG54" s="42"/>
      <c r="NWH54" s="42"/>
      <c r="NWI54" s="42"/>
      <c r="NWJ54" s="42"/>
      <c r="NWK54" s="2"/>
      <c r="NWL54" s="15"/>
      <c r="NWM54" s="42"/>
      <c r="NWN54" s="2"/>
      <c r="NWO54" s="2"/>
      <c r="NWP54" s="2"/>
      <c r="NWQ54" s="2"/>
      <c r="NWR54" s="42"/>
      <c r="NWS54" s="42"/>
      <c r="NWT54" s="42"/>
      <c r="NWU54" s="42"/>
      <c r="NWV54" s="42"/>
      <c r="NWW54" s="42"/>
      <c r="NWX54" s="42"/>
      <c r="NWY54" s="42"/>
      <c r="NWZ54" s="42"/>
      <c r="NXA54" s="42"/>
      <c r="NXB54" s="42"/>
      <c r="NXC54" s="42"/>
      <c r="NXD54" s="42"/>
      <c r="NXE54" s="42"/>
      <c r="NXF54" s="42"/>
      <c r="NXG54" s="42"/>
      <c r="NXH54" s="42"/>
      <c r="NXI54" s="42"/>
      <c r="NXJ54" s="42"/>
      <c r="NXK54" s="42"/>
      <c r="NXL54" s="42"/>
      <c r="NXM54" s="42"/>
      <c r="NXN54" s="42"/>
      <c r="NXO54" s="2"/>
      <c r="NXP54" s="15"/>
      <c r="NXQ54" s="42"/>
      <c r="NXR54" s="2"/>
      <c r="NXS54" s="2"/>
      <c r="NXT54" s="2"/>
      <c r="NXU54" s="2"/>
      <c r="NXV54" s="42"/>
      <c r="NXW54" s="42"/>
      <c r="NXX54" s="42"/>
      <c r="NXY54" s="42"/>
      <c r="NXZ54" s="42"/>
      <c r="NYA54" s="42"/>
      <c r="NYB54" s="42"/>
      <c r="NYC54" s="42"/>
      <c r="NYD54" s="42"/>
      <c r="NYE54" s="42"/>
      <c r="NYF54" s="42"/>
      <c r="NYG54" s="42"/>
      <c r="NYH54" s="42"/>
      <c r="NYI54" s="42"/>
      <c r="NYJ54" s="42"/>
      <c r="NYK54" s="42"/>
      <c r="NYL54" s="42"/>
      <c r="NYM54" s="42"/>
      <c r="NYN54" s="42"/>
      <c r="NYO54" s="42"/>
      <c r="NYP54" s="42"/>
      <c r="NYQ54" s="42"/>
      <c r="NYR54" s="42"/>
      <c r="NYS54" s="2"/>
      <c r="NYT54" s="15"/>
      <c r="NYU54" s="42"/>
      <c r="NYV54" s="2"/>
      <c r="NYW54" s="2"/>
      <c r="NYX54" s="2"/>
      <c r="NYY54" s="2"/>
      <c r="NYZ54" s="42"/>
      <c r="NZA54" s="42"/>
      <c r="NZB54" s="42"/>
      <c r="NZC54" s="42"/>
      <c r="NZD54" s="42"/>
      <c r="NZE54" s="42"/>
      <c r="NZF54" s="42"/>
      <c r="NZG54" s="42"/>
      <c r="NZH54" s="42"/>
      <c r="NZI54" s="42"/>
      <c r="NZJ54" s="42"/>
      <c r="NZK54" s="42"/>
      <c r="NZL54" s="42"/>
      <c r="NZM54" s="42"/>
      <c r="NZN54" s="42"/>
      <c r="NZO54" s="42"/>
      <c r="NZP54" s="42"/>
      <c r="NZQ54" s="42"/>
      <c r="NZR54" s="42"/>
      <c r="NZS54" s="42"/>
      <c r="NZT54" s="42"/>
      <c r="NZU54" s="42"/>
      <c r="NZV54" s="42"/>
      <c r="NZW54" s="2"/>
      <c r="NZX54" s="15"/>
      <c r="NZY54" s="42"/>
      <c r="NZZ54" s="2"/>
      <c r="OAA54" s="2"/>
      <c r="OAB54" s="2"/>
      <c r="OAC54" s="2"/>
      <c r="OAD54" s="42"/>
      <c r="OAE54" s="42"/>
      <c r="OAF54" s="42"/>
      <c r="OAG54" s="42"/>
      <c r="OAH54" s="42"/>
      <c r="OAI54" s="42"/>
      <c r="OAJ54" s="42"/>
      <c r="OAK54" s="42"/>
      <c r="OAL54" s="42"/>
      <c r="OAM54" s="42"/>
      <c r="OAN54" s="42"/>
      <c r="OAO54" s="42"/>
      <c r="OAP54" s="42"/>
      <c r="OAQ54" s="42"/>
      <c r="OAR54" s="42"/>
      <c r="OAS54" s="42"/>
      <c r="OAT54" s="42"/>
      <c r="OAU54" s="42"/>
      <c r="OAV54" s="42"/>
      <c r="OAW54" s="42"/>
      <c r="OAX54" s="42"/>
      <c r="OAY54" s="42"/>
      <c r="OAZ54" s="42"/>
      <c r="OBA54" s="2"/>
      <c r="OBB54" s="15"/>
      <c r="OBC54" s="42"/>
      <c r="OBD54" s="2"/>
      <c r="OBE54" s="2"/>
      <c r="OBF54" s="2"/>
      <c r="OBG54" s="2"/>
      <c r="OBH54" s="42"/>
      <c r="OBI54" s="42"/>
      <c r="OBJ54" s="42"/>
      <c r="OBK54" s="42"/>
      <c r="OBL54" s="42"/>
      <c r="OBM54" s="42"/>
      <c r="OBN54" s="42"/>
      <c r="OBO54" s="42"/>
      <c r="OBP54" s="42"/>
      <c r="OBQ54" s="42"/>
      <c r="OBR54" s="42"/>
      <c r="OBS54" s="42"/>
      <c r="OBT54" s="42"/>
      <c r="OBU54" s="42"/>
      <c r="OBV54" s="42"/>
      <c r="OBW54" s="42"/>
      <c r="OBX54" s="42"/>
      <c r="OBY54" s="42"/>
      <c r="OBZ54" s="42"/>
      <c r="OCA54" s="42"/>
      <c r="OCB54" s="42"/>
      <c r="OCC54" s="42"/>
      <c r="OCD54" s="42"/>
      <c r="OCE54" s="2"/>
      <c r="OCF54" s="15"/>
      <c r="OCG54" s="42"/>
      <c r="OCH54" s="2"/>
      <c r="OCI54" s="2"/>
      <c r="OCJ54" s="2"/>
      <c r="OCK54" s="2"/>
      <c r="OCL54" s="42"/>
      <c r="OCM54" s="42"/>
      <c r="OCN54" s="42"/>
      <c r="OCO54" s="42"/>
      <c r="OCP54" s="42"/>
      <c r="OCQ54" s="42"/>
      <c r="OCR54" s="42"/>
      <c r="OCS54" s="42"/>
      <c r="OCT54" s="42"/>
      <c r="OCU54" s="42"/>
      <c r="OCV54" s="42"/>
      <c r="OCW54" s="42"/>
      <c r="OCX54" s="42"/>
      <c r="OCY54" s="42"/>
      <c r="OCZ54" s="42"/>
      <c r="ODA54" s="42"/>
      <c r="ODB54" s="42"/>
      <c r="ODC54" s="42"/>
      <c r="ODD54" s="42"/>
      <c r="ODE54" s="42"/>
      <c r="ODF54" s="42"/>
      <c r="ODG54" s="42"/>
      <c r="ODH54" s="42"/>
      <c r="ODI54" s="2"/>
      <c r="ODJ54" s="15"/>
      <c r="ODK54" s="42"/>
      <c r="ODL54" s="2"/>
      <c r="ODM54" s="2"/>
      <c r="ODN54" s="2"/>
      <c r="ODO54" s="2"/>
      <c r="ODP54" s="42"/>
      <c r="ODQ54" s="42"/>
      <c r="ODR54" s="42"/>
      <c r="ODS54" s="42"/>
      <c r="ODT54" s="42"/>
      <c r="ODU54" s="42"/>
      <c r="ODV54" s="42"/>
      <c r="ODW54" s="42"/>
      <c r="ODX54" s="42"/>
      <c r="ODY54" s="42"/>
      <c r="ODZ54" s="42"/>
      <c r="OEA54" s="42"/>
      <c r="OEB54" s="42"/>
      <c r="OEC54" s="42"/>
      <c r="OED54" s="42"/>
      <c r="OEE54" s="42"/>
      <c r="OEF54" s="42"/>
      <c r="OEG54" s="42"/>
      <c r="OEH54" s="42"/>
      <c r="OEI54" s="42"/>
      <c r="OEJ54" s="42"/>
      <c r="OEK54" s="42"/>
      <c r="OEL54" s="42"/>
      <c r="OEM54" s="2"/>
      <c r="OEN54" s="15"/>
      <c r="OEO54" s="42"/>
      <c r="OEP54" s="2"/>
      <c r="OEQ54" s="2"/>
      <c r="OER54" s="2"/>
      <c r="OES54" s="2"/>
      <c r="OET54" s="42"/>
      <c r="OEU54" s="42"/>
      <c r="OEV54" s="42"/>
      <c r="OEW54" s="42"/>
      <c r="OEX54" s="42"/>
      <c r="OEY54" s="42"/>
      <c r="OEZ54" s="42"/>
      <c r="OFA54" s="42"/>
      <c r="OFB54" s="42"/>
      <c r="OFC54" s="42"/>
      <c r="OFD54" s="42"/>
      <c r="OFE54" s="42"/>
      <c r="OFF54" s="42"/>
      <c r="OFG54" s="42"/>
      <c r="OFH54" s="42"/>
      <c r="OFI54" s="42"/>
      <c r="OFJ54" s="42"/>
      <c r="OFK54" s="42"/>
      <c r="OFL54" s="42"/>
      <c r="OFM54" s="42"/>
      <c r="OFN54" s="42"/>
      <c r="OFO54" s="42"/>
      <c r="OFP54" s="42"/>
      <c r="OFQ54" s="2"/>
      <c r="OFR54" s="15"/>
      <c r="OFS54" s="42"/>
      <c r="OFT54" s="2"/>
      <c r="OFU54" s="2"/>
      <c r="OFV54" s="2"/>
      <c r="OFW54" s="2"/>
      <c r="OFX54" s="42"/>
      <c r="OFY54" s="42"/>
      <c r="OFZ54" s="42"/>
      <c r="OGA54" s="42"/>
      <c r="OGB54" s="42"/>
      <c r="OGC54" s="42"/>
      <c r="OGD54" s="42"/>
      <c r="OGE54" s="42"/>
      <c r="OGF54" s="42"/>
      <c r="OGG54" s="42"/>
      <c r="OGH54" s="42"/>
      <c r="OGI54" s="42"/>
      <c r="OGJ54" s="42"/>
      <c r="OGK54" s="42"/>
      <c r="OGL54" s="42"/>
      <c r="OGM54" s="42"/>
      <c r="OGN54" s="42"/>
      <c r="OGO54" s="42"/>
      <c r="OGP54" s="42"/>
      <c r="OGQ54" s="42"/>
      <c r="OGR54" s="42"/>
      <c r="OGS54" s="42"/>
      <c r="OGT54" s="42"/>
      <c r="OGU54" s="2"/>
      <c r="OGV54" s="15"/>
      <c r="OGW54" s="42"/>
      <c r="OGX54" s="2"/>
      <c r="OGY54" s="2"/>
      <c r="OGZ54" s="2"/>
      <c r="OHA54" s="2"/>
      <c r="OHB54" s="42"/>
      <c r="OHC54" s="42"/>
      <c r="OHD54" s="42"/>
      <c r="OHE54" s="42"/>
      <c r="OHF54" s="42"/>
      <c r="OHG54" s="42"/>
      <c r="OHH54" s="42"/>
      <c r="OHI54" s="42"/>
      <c r="OHJ54" s="42"/>
      <c r="OHK54" s="42"/>
      <c r="OHL54" s="42"/>
      <c r="OHM54" s="42"/>
      <c r="OHN54" s="42"/>
      <c r="OHO54" s="42"/>
      <c r="OHP54" s="42"/>
      <c r="OHQ54" s="42"/>
      <c r="OHR54" s="42"/>
      <c r="OHS54" s="42"/>
      <c r="OHT54" s="42"/>
      <c r="OHU54" s="42"/>
      <c r="OHV54" s="42"/>
      <c r="OHW54" s="42"/>
      <c r="OHX54" s="42"/>
      <c r="OHY54" s="2"/>
      <c r="OHZ54" s="15"/>
      <c r="OIA54" s="42"/>
      <c r="OIB54" s="2"/>
      <c r="OIC54" s="2"/>
      <c r="OID54" s="2"/>
      <c r="OIE54" s="2"/>
      <c r="OIF54" s="42"/>
      <c r="OIG54" s="42"/>
      <c r="OIH54" s="42"/>
      <c r="OII54" s="42"/>
      <c r="OIJ54" s="42"/>
      <c r="OIK54" s="42"/>
      <c r="OIL54" s="42"/>
      <c r="OIM54" s="42"/>
      <c r="OIN54" s="42"/>
      <c r="OIO54" s="42"/>
      <c r="OIP54" s="42"/>
      <c r="OIQ54" s="42"/>
      <c r="OIR54" s="42"/>
      <c r="OIS54" s="42"/>
      <c r="OIT54" s="42"/>
      <c r="OIU54" s="42"/>
      <c r="OIV54" s="42"/>
      <c r="OIW54" s="42"/>
      <c r="OIX54" s="42"/>
      <c r="OIY54" s="42"/>
      <c r="OIZ54" s="42"/>
      <c r="OJA54" s="42"/>
      <c r="OJB54" s="42"/>
      <c r="OJC54" s="2"/>
      <c r="OJD54" s="15"/>
      <c r="OJE54" s="42"/>
      <c r="OJF54" s="2"/>
      <c r="OJG54" s="2"/>
      <c r="OJH54" s="2"/>
      <c r="OJI54" s="2"/>
      <c r="OJJ54" s="42"/>
      <c r="OJK54" s="42"/>
      <c r="OJL54" s="42"/>
      <c r="OJM54" s="42"/>
      <c r="OJN54" s="42"/>
      <c r="OJO54" s="42"/>
      <c r="OJP54" s="42"/>
      <c r="OJQ54" s="42"/>
      <c r="OJR54" s="42"/>
      <c r="OJS54" s="42"/>
      <c r="OJT54" s="42"/>
      <c r="OJU54" s="42"/>
      <c r="OJV54" s="42"/>
      <c r="OJW54" s="42"/>
      <c r="OJX54" s="42"/>
      <c r="OJY54" s="42"/>
      <c r="OJZ54" s="42"/>
      <c r="OKA54" s="42"/>
      <c r="OKB54" s="42"/>
      <c r="OKC54" s="42"/>
      <c r="OKD54" s="42"/>
      <c r="OKE54" s="42"/>
      <c r="OKF54" s="42"/>
      <c r="OKG54" s="2"/>
      <c r="OKH54" s="15"/>
      <c r="OKI54" s="42"/>
      <c r="OKJ54" s="2"/>
      <c r="OKK54" s="2"/>
      <c r="OKL54" s="2"/>
      <c r="OKM54" s="2"/>
      <c r="OKN54" s="42"/>
      <c r="OKO54" s="42"/>
      <c r="OKP54" s="42"/>
      <c r="OKQ54" s="42"/>
      <c r="OKR54" s="42"/>
      <c r="OKS54" s="42"/>
      <c r="OKT54" s="42"/>
      <c r="OKU54" s="42"/>
      <c r="OKV54" s="42"/>
      <c r="OKW54" s="42"/>
      <c r="OKX54" s="42"/>
      <c r="OKY54" s="42"/>
      <c r="OKZ54" s="42"/>
      <c r="OLA54" s="42"/>
      <c r="OLB54" s="42"/>
      <c r="OLC54" s="42"/>
      <c r="OLD54" s="42"/>
      <c r="OLE54" s="42"/>
      <c r="OLF54" s="42"/>
      <c r="OLG54" s="42"/>
      <c r="OLH54" s="42"/>
      <c r="OLI54" s="42"/>
      <c r="OLJ54" s="42"/>
      <c r="OLK54" s="2"/>
      <c r="OLL54" s="15"/>
      <c r="OLM54" s="42"/>
      <c r="OLN54" s="2"/>
      <c r="OLO54" s="2"/>
      <c r="OLP54" s="2"/>
      <c r="OLQ54" s="2"/>
      <c r="OLR54" s="42"/>
      <c r="OLS54" s="42"/>
      <c r="OLT54" s="42"/>
      <c r="OLU54" s="42"/>
      <c r="OLV54" s="42"/>
      <c r="OLW54" s="42"/>
      <c r="OLX54" s="42"/>
      <c r="OLY54" s="42"/>
      <c r="OLZ54" s="42"/>
      <c r="OMA54" s="42"/>
      <c r="OMB54" s="42"/>
      <c r="OMC54" s="42"/>
      <c r="OMD54" s="42"/>
      <c r="OME54" s="42"/>
      <c r="OMF54" s="42"/>
      <c r="OMG54" s="42"/>
      <c r="OMH54" s="42"/>
      <c r="OMI54" s="42"/>
      <c r="OMJ54" s="42"/>
      <c r="OMK54" s="42"/>
      <c r="OML54" s="42"/>
      <c r="OMM54" s="42"/>
      <c r="OMN54" s="42"/>
      <c r="OMO54" s="2"/>
      <c r="OMP54" s="15"/>
      <c r="OMQ54" s="42"/>
      <c r="OMR54" s="2"/>
      <c r="OMS54" s="2"/>
      <c r="OMT54" s="2"/>
      <c r="OMU54" s="2"/>
      <c r="OMV54" s="42"/>
      <c r="OMW54" s="42"/>
      <c r="OMX54" s="42"/>
      <c r="OMY54" s="42"/>
      <c r="OMZ54" s="42"/>
      <c r="ONA54" s="42"/>
      <c r="ONB54" s="42"/>
      <c r="ONC54" s="42"/>
      <c r="OND54" s="42"/>
      <c r="ONE54" s="42"/>
      <c r="ONF54" s="42"/>
      <c r="ONG54" s="42"/>
      <c r="ONH54" s="42"/>
      <c r="ONI54" s="42"/>
      <c r="ONJ54" s="42"/>
      <c r="ONK54" s="42"/>
      <c r="ONL54" s="42"/>
      <c r="ONM54" s="42"/>
      <c r="ONN54" s="42"/>
      <c r="ONO54" s="42"/>
      <c r="ONP54" s="42"/>
      <c r="ONQ54" s="42"/>
      <c r="ONR54" s="42"/>
      <c r="ONS54" s="2"/>
      <c r="ONT54" s="15"/>
      <c r="ONU54" s="42"/>
      <c r="ONV54" s="2"/>
      <c r="ONW54" s="2"/>
      <c r="ONX54" s="2"/>
      <c r="ONY54" s="2"/>
      <c r="ONZ54" s="42"/>
      <c r="OOA54" s="42"/>
      <c r="OOB54" s="42"/>
      <c r="OOC54" s="42"/>
      <c r="OOD54" s="42"/>
      <c r="OOE54" s="42"/>
      <c r="OOF54" s="42"/>
      <c r="OOG54" s="42"/>
      <c r="OOH54" s="42"/>
      <c r="OOI54" s="42"/>
      <c r="OOJ54" s="42"/>
      <c r="OOK54" s="42"/>
      <c r="OOL54" s="42"/>
      <c r="OOM54" s="42"/>
      <c r="OON54" s="42"/>
      <c r="OOO54" s="42"/>
      <c r="OOP54" s="42"/>
      <c r="OOQ54" s="42"/>
      <c r="OOR54" s="42"/>
      <c r="OOS54" s="42"/>
      <c r="OOT54" s="42"/>
      <c r="OOU54" s="42"/>
      <c r="OOV54" s="42"/>
      <c r="OOW54" s="2"/>
      <c r="OOX54" s="15"/>
      <c r="OOY54" s="42"/>
      <c r="OOZ54" s="2"/>
      <c r="OPA54" s="2"/>
      <c r="OPB54" s="2"/>
      <c r="OPC54" s="2"/>
      <c r="OPD54" s="42"/>
      <c r="OPE54" s="42"/>
      <c r="OPF54" s="42"/>
      <c r="OPG54" s="42"/>
      <c r="OPH54" s="42"/>
      <c r="OPI54" s="42"/>
      <c r="OPJ54" s="42"/>
      <c r="OPK54" s="42"/>
      <c r="OPL54" s="42"/>
      <c r="OPM54" s="42"/>
      <c r="OPN54" s="42"/>
      <c r="OPO54" s="42"/>
      <c r="OPP54" s="42"/>
      <c r="OPQ54" s="42"/>
      <c r="OPR54" s="42"/>
      <c r="OPS54" s="42"/>
      <c r="OPT54" s="42"/>
      <c r="OPU54" s="42"/>
      <c r="OPV54" s="42"/>
      <c r="OPW54" s="42"/>
      <c r="OPX54" s="42"/>
      <c r="OPY54" s="42"/>
      <c r="OPZ54" s="42"/>
      <c r="OQA54" s="2"/>
      <c r="OQB54" s="15"/>
      <c r="OQC54" s="42"/>
      <c r="OQD54" s="2"/>
      <c r="OQE54" s="2"/>
      <c r="OQF54" s="2"/>
      <c r="OQG54" s="2"/>
      <c r="OQH54" s="42"/>
      <c r="OQI54" s="42"/>
      <c r="OQJ54" s="42"/>
      <c r="OQK54" s="42"/>
      <c r="OQL54" s="42"/>
      <c r="OQM54" s="42"/>
      <c r="OQN54" s="42"/>
      <c r="OQO54" s="42"/>
      <c r="OQP54" s="42"/>
      <c r="OQQ54" s="42"/>
      <c r="OQR54" s="42"/>
      <c r="OQS54" s="42"/>
      <c r="OQT54" s="42"/>
      <c r="OQU54" s="42"/>
      <c r="OQV54" s="42"/>
      <c r="OQW54" s="42"/>
      <c r="OQX54" s="42"/>
      <c r="OQY54" s="42"/>
      <c r="OQZ54" s="42"/>
      <c r="ORA54" s="42"/>
      <c r="ORB54" s="42"/>
      <c r="ORC54" s="42"/>
      <c r="ORD54" s="42"/>
      <c r="ORE54" s="2"/>
      <c r="ORF54" s="15"/>
      <c r="ORG54" s="42"/>
      <c r="ORH54" s="2"/>
      <c r="ORI54" s="2"/>
      <c r="ORJ54" s="2"/>
      <c r="ORK54" s="2"/>
      <c r="ORL54" s="42"/>
      <c r="ORM54" s="42"/>
      <c r="ORN54" s="42"/>
      <c r="ORO54" s="42"/>
      <c r="ORP54" s="42"/>
      <c r="ORQ54" s="42"/>
      <c r="ORR54" s="42"/>
      <c r="ORS54" s="42"/>
      <c r="ORT54" s="42"/>
      <c r="ORU54" s="42"/>
      <c r="ORV54" s="42"/>
      <c r="ORW54" s="42"/>
      <c r="ORX54" s="42"/>
      <c r="ORY54" s="42"/>
      <c r="ORZ54" s="42"/>
      <c r="OSA54" s="42"/>
      <c r="OSB54" s="42"/>
      <c r="OSC54" s="42"/>
      <c r="OSD54" s="42"/>
      <c r="OSE54" s="42"/>
      <c r="OSF54" s="42"/>
      <c r="OSG54" s="42"/>
      <c r="OSH54" s="42"/>
      <c r="OSI54" s="2"/>
      <c r="OSJ54" s="15"/>
      <c r="OSK54" s="42"/>
      <c r="OSL54" s="2"/>
      <c r="OSM54" s="2"/>
      <c r="OSN54" s="2"/>
      <c r="OSO54" s="2"/>
      <c r="OSP54" s="42"/>
      <c r="OSQ54" s="42"/>
      <c r="OSR54" s="42"/>
      <c r="OSS54" s="42"/>
      <c r="OST54" s="42"/>
      <c r="OSU54" s="42"/>
      <c r="OSV54" s="42"/>
      <c r="OSW54" s="42"/>
      <c r="OSX54" s="42"/>
      <c r="OSY54" s="42"/>
      <c r="OSZ54" s="42"/>
      <c r="OTA54" s="42"/>
      <c r="OTB54" s="42"/>
      <c r="OTC54" s="42"/>
      <c r="OTD54" s="42"/>
      <c r="OTE54" s="42"/>
      <c r="OTF54" s="42"/>
      <c r="OTG54" s="42"/>
      <c r="OTH54" s="42"/>
      <c r="OTI54" s="42"/>
      <c r="OTJ54" s="42"/>
      <c r="OTK54" s="42"/>
      <c r="OTL54" s="42"/>
      <c r="OTM54" s="2"/>
      <c r="OTN54" s="15"/>
      <c r="OTO54" s="42"/>
      <c r="OTP54" s="2"/>
      <c r="OTQ54" s="2"/>
      <c r="OTR54" s="2"/>
      <c r="OTS54" s="2"/>
      <c r="OTT54" s="42"/>
      <c r="OTU54" s="42"/>
      <c r="OTV54" s="42"/>
      <c r="OTW54" s="42"/>
      <c r="OTX54" s="42"/>
      <c r="OTY54" s="42"/>
      <c r="OTZ54" s="42"/>
      <c r="OUA54" s="42"/>
      <c r="OUB54" s="42"/>
      <c r="OUC54" s="42"/>
      <c r="OUD54" s="42"/>
      <c r="OUE54" s="42"/>
      <c r="OUF54" s="42"/>
      <c r="OUG54" s="42"/>
      <c r="OUH54" s="42"/>
      <c r="OUI54" s="42"/>
      <c r="OUJ54" s="42"/>
      <c r="OUK54" s="42"/>
      <c r="OUL54" s="42"/>
      <c r="OUM54" s="42"/>
      <c r="OUN54" s="42"/>
      <c r="OUO54" s="42"/>
      <c r="OUP54" s="42"/>
      <c r="OUQ54" s="2"/>
      <c r="OUR54" s="15"/>
      <c r="OUS54" s="42"/>
      <c r="OUT54" s="2"/>
      <c r="OUU54" s="2"/>
      <c r="OUV54" s="2"/>
      <c r="OUW54" s="2"/>
      <c r="OUX54" s="42"/>
      <c r="OUY54" s="42"/>
      <c r="OUZ54" s="42"/>
      <c r="OVA54" s="42"/>
      <c r="OVB54" s="42"/>
      <c r="OVC54" s="42"/>
      <c r="OVD54" s="42"/>
      <c r="OVE54" s="42"/>
      <c r="OVF54" s="42"/>
      <c r="OVG54" s="42"/>
      <c r="OVH54" s="42"/>
      <c r="OVI54" s="42"/>
      <c r="OVJ54" s="42"/>
      <c r="OVK54" s="42"/>
      <c r="OVL54" s="42"/>
      <c r="OVM54" s="42"/>
      <c r="OVN54" s="42"/>
      <c r="OVO54" s="42"/>
      <c r="OVP54" s="42"/>
      <c r="OVQ54" s="42"/>
      <c r="OVR54" s="42"/>
      <c r="OVS54" s="42"/>
      <c r="OVT54" s="42"/>
      <c r="OVU54" s="2"/>
      <c r="OVV54" s="15"/>
      <c r="OVW54" s="42"/>
      <c r="OVX54" s="2"/>
      <c r="OVY54" s="2"/>
      <c r="OVZ54" s="2"/>
      <c r="OWA54" s="2"/>
      <c r="OWB54" s="42"/>
      <c r="OWC54" s="42"/>
      <c r="OWD54" s="42"/>
      <c r="OWE54" s="42"/>
      <c r="OWF54" s="42"/>
      <c r="OWG54" s="42"/>
      <c r="OWH54" s="42"/>
      <c r="OWI54" s="42"/>
      <c r="OWJ54" s="42"/>
      <c r="OWK54" s="42"/>
      <c r="OWL54" s="42"/>
      <c r="OWM54" s="42"/>
      <c r="OWN54" s="42"/>
      <c r="OWO54" s="42"/>
      <c r="OWP54" s="42"/>
      <c r="OWQ54" s="42"/>
      <c r="OWR54" s="42"/>
      <c r="OWS54" s="42"/>
      <c r="OWT54" s="42"/>
      <c r="OWU54" s="42"/>
      <c r="OWV54" s="42"/>
      <c r="OWW54" s="42"/>
      <c r="OWX54" s="42"/>
      <c r="OWY54" s="2"/>
      <c r="OWZ54" s="15"/>
      <c r="OXA54" s="42"/>
      <c r="OXB54" s="2"/>
      <c r="OXC54" s="2"/>
      <c r="OXD54" s="2"/>
      <c r="OXE54" s="2"/>
      <c r="OXF54" s="42"/>
      <c r="OXG54" s="42"/>
      <c r="OXH54" s="42"/>
      <c r="OXI54" s="42"/>
      <c r="OXJ54" s="42"/>
      <c r="OXK54" s="42"/>
      <c r="OXL54" s="42"/>
      <c r="OXM54" s="42"/>
      <c r="OXN54" s="42"/>
      <c r="OXO54" s="42"/>
      <c r="OXP54" s="42"/>
      <c r="OXQ54" s="42"/>
      <c r="OXR54" s="42"/>
      <c r="OXS54" s="42"/>
      <c r="OXT54" s="42"/>
      <c r="OXU54" s="42"/>
      <c r="OXV54" s="42"/>
      <c r="OXW54" s="42"/>
      <c r="OXX54" s="42"/>
      <c r="OXY54" s="42"/>
      <c r="OXZ54" s="42"/>
      <c r="OYA54" s="42"/>
      <c r="OYB54" s="42"/>
      <c r="OYC54" s="2"/>
      <c r="OYD54" s="15"/>
      <c r="OYE54" s="42"/>
      <c r="OYF54" s="2"/>
      <c r="OYG54" s="2"/>
      <c r="OYH54" s="2"/>
      <c r="OYI54" s="2"/>
      <c r="OYJ54" s="42"/>
      <c r="OYK54" s="42"/>
      <c r="OYL54" s="42"/>
      <c r="OYM54" s="42"/>
      <c r="OYN54" s="42"/>
      <c r="OYO54" s="42"/>
      <c r="OYP54" s="42"/>
      <c r="OYQ54" s="42"/>
      <c r="OYR54" s="42"/>
      <c r="OYS54" s="42"/>
      <c r="OYT54" s="42"/>
      <c r="OYU54" s="42"/>
      <c r="OYV54" s="42"/>
      <c r="OYW54" s="42"/>
      <c r="OYX54" s="42"/>
      <c r="OYY54" s="42"/>
      <c r="OYZ54" s="42"/>
      <c r="OZA54" s="42"/>
      <c r="OZB54" s="42"/>
      <c r="OZC54" s="42"/>
      <c r="OZD54" s="42"/>
      <c r="OZE54" s="42"/>
      <c r="OZF54" s="42"/>
      <c r="OZG54" s="2"/>
      <c r="OZH54" s="15"/>
      <c r="OZI54" s="42"/>
      <c r="OZJ54" s="2"/>
      <c r="OZK54" s="2"/>
      <c r="OZL54" s="2"/>
      <c r="OZM54" s="2"/>
      <c r="OZN54" s="42"/>
      <c r="OZO54" s="42"/>
      <c r="OZP54" s="42"/>
      <c r="OZQ54" s="42"/>
      <c r="OZR54" s="42"/>
      <c r="OZS54" s="42"/>
      <c r="OZT54" s="42"/>
      <c r="OZU54" s="42"/>
      <c r="OZV54" s="42"/>
      <c r="OZW54" s="42"/>
      <c r="OZX54" s="42"/>
      <c r="OZY54" s="42"/>
      <c r="OZZ54" s="42"/>
      <c r="PAA54" s="42"/>
      <c r="PAB54" s="42"/>
      <c r="PAC54" s="42"/>
      <c r="PAD54" s="42"/>
      <c r="PAE54" s="42"/>
      <c r="PAF54" s="42"/>
      <c r="PAG54" s="42"/>
      <c r="PAH54" s="42"/>
      <c r="PAI54" s="42"/>
      <c r="PAJ54" s="42"/>
      <c r="PAK54" s="2"/>
      <c r="PAL54" s="15"/>
      <c r="PAM54" s="42"/>
      <c r="PAN54" s="2"/>
      <c r="PAO54" s="2"/>
      <c r="PAP54" s="2"/>
      <c r="PAQ54" s="2"/>
      <c r="PAR54" s="42"/>
      <c r="PAS54" s="42"/>
      <c r="PAT54" s="42"/>
      <c r="PAU54" s="42"/>
      <c r="PAV54" s="42"/>
      <c r="PAW54" s="42"/>
      <c r="PAX54" s="42"/>
      <c r="PAY54" s="42"/>
      <c r="PAZ54" s="42"/>
      <c r="PBA54" s="42"/>
      <c r="PBB54" s="42"/>
      <c r="PBC54" s="42"/>
      <c r="PBD54" s="42"/>
      <c r="PBE54" s="42"/>
      <c r="PBF54" s="42"/>
      <c r="PBG54" s="42"/>
      <c r="PBH54" s="42"/>
      <c r="PBI54" s="42"/>
      <c r="PBJ54" s="42"/>
      <c r="PBK54" s="42"/>
      <c r="PBL54" s="42"/>
      <c r="PBM54" s="42"/>
      <c r="PBN54" s="42"/>
      <c r="PBO54" s="2"/>
      <c r="PBP54" s="15"/>
      <c r="PBQ54" s="42"/>
      <c r="PBR54" s="2"/>
      <c r="PBS54" s="2"/>
      <c r="PBT54" s="2"/>
      <c r="PBU54" s="2"/>
      <c r="PBV54" s="42"/>
      <c r="PBW54" s="42"/>
      <c r="PBX54" s="42"/>
      <c r="PBY54" s="42"/>
      <c r="PBZ54" s="42"/>
      <c r="PCA54" s="42"/>
      <c r="PCB54" s="42"/>
      <c r="PCC54" s="42"/>
      <c r="PCD54" s="42"/>
      <c r="PCE54" s="42"/>
      <c r="PCF54" s="42"/>
      <c r="PCG54" s="42"/>
      <c r="PCH54" s="42"/>
      <c r="PCI54" s="42"/>
      <c r="PCJ54" s="42"/>
      <c r="PCK54" s="42"/>
      <c r="PCL54" s="42"/>
      <c r="PCM54" s="42"/>
      <c r="PCN54" s="42"/>
      <c r="PCO54" s="42"/>
      <c r="PCP54" s="42"/>
      <c r="PCQ54" s="42"/>
      <c r="PCR54" s="42"/>
      <c r="PCS54" s="2"/>
      <c r="PCT54" s="15"/>
      <c r="PCU54" s="42"/>
      <c r="PCV54" s="2"/>
      <c r="PCW54" s="2"/>
      <c r="PCX54" s="2"/>
      <c r="PCY54" s="2"/>
      <c r="PCZ54" s="42"/>
      <c r="PDA54" s="42"/>
      <c r="PDB54" s="42"/>
      <c r="PDC54" s="42"/>
      <c r="PDD54" s="42"/>
      <c r="PDE54" s="42"/>
      <c r="PDF54" s="42"/>
      <c r="PDG54" s="42"/>
      <c r="PDH54" s="42"/>
      <c r="PDI54" s="42"/>
      <c r="PDJ54" s="42"/>
      <c r="PDK54" s="42"/>
      <c r="PDL54" s="42"/>
      <c r="PDM54" s="42"/>
      <c r="PDN54" s="42"/>
      <c r="PDO54" s="42"/>
      <c r="PDP54" s="42"/>
      <c r="PDQ54" s="42"/>
      <c r="PDR54" s="42"/>
      <c r="PDS54" s="42"/>
      <c r="PDT54" s="42"/>
      <c r="PDU54" s="42"/>
      <c r="PDV54" s="42"/>
      <c r="PDW54" s="2"/>
      <c r="PDX54" s="15"/>
      <c r="PDY54" s="42"/>
      <c r="PDZ54" s="2"/>
      <c r="PEA54" s="2"/>
      <c r="PEB54" s="2"/>
      <c r="PEC54" s="2"/>
      <c r="PED54" s="42"/>
      <c r="PEE54" s="42"/>
      <c r="PEF54" s="42"/>
      <c r="PEG54" s="42"/>
      <c r="PEH54" s="42"/>
      <c r="PEI54" s="42"/>
      <c r="PEJ54" s="42"/>
      <c r="PEK54" s="42"/>
      <c r="PEL54" s="42"/>
      <c r="PEM54" s="42"/>
      <c r="PEN54" s="42"/>
      <c r="PEO54" s="42"/>
      <c r="PEP54" s="42"/>
      <c r="PEQ54" s="42"/>
      <c r="PER54" s="42"/>
      <c r="PES54" s="42"/>
      <c r="PET54" s="42"/>
      <c r="PEU54" s="42"/>
      <c r="PEV54" s="42"/>
      <c r="PEW54" s="42"/>
      <c r="PEX54" s="42"/>
      <c r="PEY54" s="42"/>
      <c r="PEZ54" s="42"/>
      <c r="PFA54" s="2"/>
      <c r="PFB54" s="15"/>
      <c r="PFC54" s="42"/>
      <c r="PFD54" s="2"/>
      <c r="PFE54" s="2"/>
      <c r="PFF54" s="2"/>
      <c r="PFG54" s="2"/>
      <c r="PFH54" s="42"/>
      <c r="PFI54" s="42"/>
      <c r="PFJ54" s="42"/>
      <c r="PFK54" s="42"/>
      <c r="PFL54" s="42"/>
      <c r="PFM54" s="42"/>
      <c r="PFN54" s="42"/>
      <c r="PFO54" s="42"/>
      <c r="PFP54" s="42"/>
      <c r="PFQ54" s="42"/>
      <c r="PFR54" s="42"/>
      <c r="PFS54" s="42"/>
      <c r="PFT54" s="42"/>
      <c r="PFU54" s="42"/>
      <c r="PFV54" s="42"/>
      <c r="PFW54" s="42"/>
      <c r="PFX54" s="42"/>
      <c r="PFY54" s="42"/>
      <c r="PFZ54" s="42"/>
      <c r="PGA54" s="42"/>
      <c r="PGB54" s="42"/>
      <c r="PGC54" s="42"/>
      <c r="PGD54" s="42"/>
      <c r="PGE54" s="2"/>
      <c r="PGF54" s="15"/>
      <c r="PGG54" s="42"/>
      <c r="PGH54" s="2"/>
      <c r="PGI54" s="2"/>
      <c r="PGJ54" s="2"/>
      <c r="PGK54" s="2"/>
      <c r="PGL54" s="42"/>
      <c r="PGM54" s="42"/>
      <c r="PGN54" s="42"/>
      <c r="PGO54" s="42"/>
      <c r="PGP54" s="42"/>
      <c r="PGQ54" s="42"/>
      <c r="PGR54" s="42"/>
      <c r="PGS54" s="42"/>
      <c r="PGT54" s="42"/>
      <c r="PGU54" s="42"/>
      <c r="PGV54" s="42"/>
      <c r="PGW54" s="42"/>
      <c r="PGX54" s="42"/>
      <c r="PGY54" s="42"/>
      <c r="PGZ54" s="42"/>
      <c r="PHA54" s="42"/>
      <c r="PHB54" s="42"/>
      <c r="PHC54" s="42"/>
      <c r="PHD54" s="42"/>
      <c r="PHE54" s="42"/>
      <c r="PHF54" s="42"/>
      <c r="PHG54" s="42"/>
      <c r="PHH54" s="42"/>
      <c r="PHI54" s="2"/>
      <c r="PHJ54" s="15"/>
      <c r="PHK54" s="42"/>
      <c r="PHL54" s="2"/>
      <c r="PHM54" s="2"/>
      <c r="PHN54" s="2"/>
      <c r="PHO54" s="2"/>
      <c r="PHP54" s="42"/>
      <c r="PHQ54" s="42"/>
      <c r="PHR54" s="42"/>
      <c r="PHS54" s="42"/>
      <c r="PHT54" s="42"/>
      <c r="PHU54" s="42"/>
      <c r="PHV54" s="42"/>
      <c r="PHW54" s="42"/>
      <c r="PHX54" s="42"/>
      <c r="PHY54" s="42"/>
      <c r="PHZ54" s="42"/>
      <c r="PIA54" s="42"/>
      <c r="PIB54" s="42"/>
      <c r="PIC54" s="42"/>
      <c r="PID54" s="42"/>
      <c r="PIE54" s="42"/>
      <c r="PIF54" s="42"/>
      <c r="PIG54" s="42"/>
      <c r="PIH54" s="42"/>
      <c r="PII54" s="42"/>
      <c r="PIJ54" s="42"/>
      <c r="PIK54" s="42"/>
      <c r="PIL54" s="42"/>
      <c r="PIM54" s="2"/>
      <c r="PIN54" s="15"/>
      <c r="PIO54" s="42"/>
      <c r="PIP54" s="2"/>
      <c r="PIQ54" s="2"/>
      <c r="PIR54" s="2"/>
      <c r="PIS54" s="2"/>
      <c r="PIT54" s="42"/>
      <c r="PIU54" s="42"/>
      <c r="PIV54" s="42"/>
      <c r="PIW54" s="42"/>
      <c r="PIX54" s="42"/>
      <c r="PIY54" s="42"/>
      <c r="PIZ54" s="42"/>
      <c r="PJA54" s="42"/>
      <c r="PJB54" s="42"/>
      <c r="PJC54" s="42"/>
      <c r="PJD54" s="42"/>
      <c r="PJE54" s="42"/>
      <c r="PJF54" s="42"/>
      <c r="PJG54" s="42"/>
      <c r="PJH54" s="42"/>
      <c r="PJI54" s="42"/>
      <c r="PJJ54" s="42"/>
      <c r="PJK54" s="42"/>
      <c r="PJL54" s="42"/>
      <c r="PJM54" s="42"/>
      <c r="PJN54" s="42"/>
      <c r="PJO54" s="42"/>
      <c r="PJP54" s="42"/>
      <c r="PJQ54" s="2"/>
      <c r="PJR54" s="15"/>
      <c r="PJS54" s="42"/>
      <c r="PJT54" s="2"/>
      <c r="PJU54" s="2"/>
      <c r="PJV54" s="2"/>
      <c r="PJW54" s="2"/>
      <c r="PJX54" s="42"/>
      <c r="PJY54" s="42"/>
      <c r="PJZ54" s="42"/>
      <c r="PKA54" s="42"/>
      <c r="PKB54" s="42"/>
      <c r="PKC54" s="42"/>
      <c r="PKD54" s="42"/>
      <c r="PKE54" s="42"/>
      <c r="PKF54" s="42"/>
      <c r="PKG54" s="42"/>
      <c r="PKH54" s="42"/>
      <c r="PKI54" s="42"/>
      <c r="PKJ54" s="42"/>
      <c r="PKK54" s="42"/>
      <c r="PKL54" s="42"/>
      <c r="PKM54" s="42"/>
      <c r="PKN54" s="42"/>
      <c r="PKO54" s="42"/>
      <c r="PKP54" s="42"/>
      <c r="PKQ54" s="42"/>
      <c r="PKR54" s="42"/>
      <c r="PKS54" s="42"/>
      <c r="PKT54" s="42"/>
      <c r="PKU54" s="2"/>
      <c r="PKV54" s="15"/>
      <c r="PKW54" s="42"/>
      <c r="PKX54" s="2"/>
      <c r="PKY54" s="2"/>
      <c r="PKZ54" s="2"/>
      <c r="PLA54" s="2"/>
      <c r="PLB54" s="42"/>
      <c r="PLC54" s="42"/>
      <c r="PLD54" s="42"/>
      <c r="PLE54" s="42"/>
      <c r="PLF54" s="42"/>
      <c r="PLG54" s="42"/>
      <c r="PLH54" s="42"/>
      <c r="PLI54" s="42"/>
      <c r="PLJ54" s="42"/>
      <c r="PLK54" s="42"/>
      <c r="PLL54" s="42"/>
      <c r="PLM54" s="42"/>
      <c r="PLN54" s="42"/>
      <c r="PLO54" s="42"/>
      <c r="PLP54" s="42"/>
      <c r="PLQ54" s="42"/>
      <c r="PLR54" s="42"/>
      <c r="PLS54" s="42"/>
      <c r="PLT54" s="42"/>
      <c r="PLU54" s="42"/>
      <c r="PLV54" s="42"/>
      <c r="PLW54" s="42"/>
      <c r="PLX54" s="42"/>
      <c r="PLY54" s="2"/>
      <c r="PLZ54" s="15"/>
      <c r="PMA54" s="42"/>
      <c r="PMB54" s="2"/>
      <c r="PMC54" s="2"/>
      <c r="PMD54" s="2"/>
      <c r="PME54" s="2"/>
      <c r="PMF54" s="42"/>
      <c r="PMG54" s="42"/>
      <c r="PMH54" s="42"/>
      <c r="PMI54" s="42"/>
      <c r="PMJ54" s="42"/>
      <c r="PMK54" s="42"/>
      <c r="PML54" s="42"/>
      <c r="PMM54" s="42"/>
      <c r="PMN54" s="42"/>
      <c r="PMO54" s="42"/>
      <c r="PMP54" s="42"/>
      <c r="PMQ54" s="42"/>
      <c r="PMR54" s="42"/>
      <c r="PMS54" s="42"/>
      <c r="PMT54" s="42"/>
      <c r="PMU54" s="42"/>
      <c r="PMV54" s="42"/>
      <c r="PMW54" s="42"/>
      <c r="PMX54" s="42"/>
      <c r="PMY54" s="42"/>
      <c r="PMZ54" s="42"/>
      <c r="PNA54" s="42"/>
      <c r="PNB54" s="42"/>
      <c r="PNC54" s="2"/>
      <c r="PND54" s="15"/>
      <c r="PNE54" s="42"/>
      <c r="PNF54" s="2"/>
      <c r="PNG54" s="2"/>
      <c r="PNH54" s="2"/>
      <c r="PNI54" s="2"/>
      <c r="PNJ54" s="42"/>
      <c r="PNK54" s="42"/>
      <c r="PNL54" s="42"/>
      <c r="PNM54" s="42"/>
      <c r="PNN54" s="42"/>
      <c r="PNO54" s="42"/>
      <c r="PNP54" s="42"/>
      <c r="PNQ54" s="42"/>
      <c r="PNR54" s="42"/>
      <c r="PNS54" s="42"/>
      <c r="PNT54" s="42"/>
      <c r="PNU54" s="42"/>
      <c r="PNV54" s="42"/>
      <c r="PNW54" s="42"/>
      <c r="PNX54" s="42"/>
      <c r="PNY54" s="42"/>
      <c r="PNZ54" s="42"/>
      <c r="POA54" s="42"/>
      <c r="POB54" s="42"/>
      <c r="POC54" s="42"/>
      <c r="POD54" s="42"/>
      <c r="POE54" s="42"/>
      <c r="POF54" s="42"/>
      <c r="POG54" s="2"/>
      <c r="POH54" s="15"/>
      <c r="POI54" s="42"/>
      <c r="POJ54" s="2"/>
      <c r="POK54" s="2"/>
      <c r="POL54" s="2"/>
      <c r="POM54" s="2"/>
      <c r="PON54" s="42"/>
      <c r="POO54" s="42"/>
      <c r="POP54" s="42"/>
      <c r="POQ54" s="42"/>
      <c r="POR54" s="42"/>
      <c r="POS54" s="42"/>
      <c r="POT54" s="42"/>
      <c r="POU54" s="42"/>
      <c r="POV54" s="42"/>
      <c r="POW54" s="42"/>
      <c r="POX54" s="42"/>
      <c r="POY54" s="42"/>
      <c r="POZ54" s="42"/>
      <c r="PPA54" s="42"/>
      <c r="PPB54" s="42"/>
      <c r="PPC54" s="42"/>
      <c r="PPD54" s="42"/>
      <c r="PPE54" s="42"/>
      <c r="PPF54" s="42"/>
      <c r="PPG54" s="42"/>
      <c r="PPH54" s="42"/>
      <c r="PPI54" s="42"/>
      <c r="PPJ54" s="42"/>
      <c r="PPK54" s="2"/>
      <c r="PPL54" s="15"/>
      <c r="PPM54" s="42"/>
      <c r="PPN54" s="2"/>
      <c r="PPO54" s="2"/>
      <c r="PPP54" s="2"/>
      <c r="PPQ54" s="2"/>
      <c r="PPR54" s="42"/>
      <c r="PPS54" s="42"/>
      <c r="PPT54" s="42"/>
      <c r="PPU54" s="42"/>
      <c r="PPV54" s="42"/>
      <c r="PPW54" s="42"/>
      <c r="PPX54" s="42"/>
      <c r="PPY54" s="42"/>
      <c r="PPZ54" s="42"/>
      <c r="PQA54" s="42"/>
      <c r="PQB54" s="42"/>
      <c r="PQC54" s="42"/>
      <c r="PQD54" s="42"/>
      <c r="PQE54" s="42"/>
      <c r="PQF54" s="42"/>
      <c r="PQG54" s="42"/>
      <c r="PQH54" s="42"/>
      <c r="PQI54" s="42"/>
      <c r="PQJ54" s="42"/>
      <c r="PQK54" s="42"/>
      <c r="PQL54" s="42"/>
      <c r="PQM54" s="42"/>
      <c r="PQN54" s="42"/>
      <c r="PQO54" s="2"/>
      <c r="PQP54" s="15"/>
      <c r="PQQ54" s="42"/>
      <c r="PQR54" s="2"/>
      <c r="PQS54" s="2"/>
      <c r="PQT54" s="2"/>
      <c r="PQU54" s="2"/>
      <c r="PQV54" s="42"/>
      <c r="PQW54" s="42"/>
      <c r="PQX54" s="42"/>
      <c r="PQY54" s="42"/>
      <c r="PQZ54" s="42"/>
      <c r="PRA54" s="42"/>
      <c r="PRB54" s="42"/>
      <c r="PRC54" s="42"/>
      <c r="PRD54" s="42"/>
      <c r="PRE54" s="42"/>
      <c r="PRF54" s="42"/>
      <c r="PRG54" s="42"/>
      <c r="PRH54" s="42"/>
      <c r="PRI54" s="42"/>
      <c r="PRJ54" s="42"/>
      <c r="PRK54" s="42"/>
      <c r="PRL54" s="42"/>
      <c r="PRM54" s="42"/>
      <c r="PRN54" s="42"/>
      <c r="PRO54" s="42"/>
      <c r="PRP54" s="42"/>
      <c r="PRQ54" s="42"/>
      <c r="PRR54" s="42"/>
      <c r="PRS54" s="2"/>
      <c r="PRT54" s="15"/>
      <c r="PRU54" s="42"/>
      <c r="PRV54" s="2"/>
      <c r="PRW54" s="2"/>
      <c r="PRX54" s="2"/>
      <c r="PRY54" s="2"/>
      <c r="PRZ54" s="42"/>
      <c r="PSA54" s="42"/>
      <c r="PSB54" s="42"/>
      <c r="PSC54" s="42"/>
      <c r="PSD54" s="42"/>
      <c r="PSE54" s="42"/>
      <c r="PSF54" s="42"/>
      <c r="PSG54" s="42"/>
      <c r="PSH54" s="42"/>
      <c r="PSI54" s="42"/>
      <c r="PSJ54" s="42"/>
      <c r="PSK54" s="42"/>
      <c r="PSL54" s="42"/>
      <c r="PSM54" s="42"/>
      <c r="PSN54" s="42"/>
      <c r="PSO54" s="42"/>
      <c r="PSP54" s="42"/>
      <c r="PSQ54" s="42"/>
      <c r="PSR54" s="42"/>
      <c r="PSS54" s="42"/>
      <c r="PST54" s="42"/>
      <c r="PSU54" s="42"/>
      <c r="PSV54" s="42"/>
      <c r="PSW54" s="2"/>
      <c r="PSX54" s="15"/>
      <c r="PSY54" s="42"/>
      <c r="PSZ54" s="2"/>
      <c r="PTA54" s="2"/>
      <c r="PTB54" s="2"/>
      <c r="PTC54" s="2"/>
      <c r="PTD54" s="42"/>
      <c r="PTE54" s="42"/>
      <c r="PTF54" s="42"/>
      <c r="PTG54" s="42"/>
      <c r="PTH54" s="42"/>
      <c r="PTI54" s="42"/>
      <c r="PTJ54" s="42"/>
      <c r="PTK54" s="42"/>
      <c r="PTL54" s="42"/>
      <c r="PTM54" s="42"/>
      <c r="PTN54" s="42"/>
      <c r="PTO54" s="42"/>
      <c r="PTP54" s="42"/>
      <c r="PTQ54" s="42"/>
      <c r="PTR54" s="42"/>
      <c r="PTS54" s="42"/>
      <c r="PTT54" s="42"/>
      <c r="PTU54" s="42"/>
      <c r="PTV54" s="42"/>
      <c r="PTW54" s="42"/>
      <c r="PTX54" s="42"/>
      <c r="PTY54" s="42"/>
      <c r="PTZ54" s="42"/>
      <c r="PUA54" s="2"/>
      <c r="PUB54" s="15"/>
      <c r="PUC54" s="42"/>
      <c r="PUD54" s="2"/>
      <c r="PUE54" s="2"/>
      <c r="PUF54" s="2"/>
      <c r="PUG54" s="2"/>
      <c r="PUH54" s="42"/>
      <c r="PUI54" s="42"/>
      <c r="PUJ54" s="42"/>
      <c r="PUK54" s="42"/>
      <c r="PUL54" s="42"/>
      <c r="PUM54" s="42"/>
      <c r="PUN54" s="42"/>
      <c r="PUO54" s="42"/>
      <c r="PUP54" s="42"/>
      <c r="PUQ54" s="42"/>
      <c r="PUR54" s="42"/>
      <c r="PUS54" s="42"/>
      <c r="PUT54" s="42"/>
      <c r="PUU54" s="42"/>
      <c r="PUV54" s="42"/>
      <c r="PUW54" s="42"/>
      <c r="PUX54" s="42"/>
      <c r="PUY54" s="42"/>
      <c r="PUZ54" s="42"/>
      <c r="PVA54" s="42"/>
      <c r="PVB54" s="42"/>
      <c r="PVC54" s="42"/>
      <c r="PVD54" s="42"/>
      <c r="PVE54" s="2"/>
      <c r="PVF54" s="15"/>
      <c r="PVG54" s="42"/>
      <c r="PVH54" s="2"/>
      <c r="PVI54" s="2"/>
      <c r="PVJ54" s="2"/>
      <c r="PVK54" s="2"/>
      <c r="PVL54" s="42"/>
      <c r="PVM54" s="42"/>
      <c r="PVN54" s="42"/>
      <c r="PVO54" s="42"/>
      <c r="PVP54" s="42"/>
      <c r="PVQ54" s="42"/>
      <c r="PVR54" s="42"/>
      <c r="PVS54" s="42"/>
      <c r="PVT54" s="42"/>
      <c r="PVU54" s="42"/>
      <c r="PVV54" s="42"/>
      <c r="PVW54" s="42"/>
      <c r="PVX54" s="42"/>
      <c r="PVY54" s="42"/>
      <c r="PVZ54" s="42"/>
      <c r="PWA54" s="42"/>
      <c r="PWB54" s="42"/>
      <c r="PWC54" s="42"/>
      <c r="PWD54" s="42"/>
      <c r="PWE54" s="42"/>
      <c r="PWF54" s="42"/>
      <c r="PWG54" s="42"/>
      <c r="PWH54" s="42"/>
      <c r="PWI54" s="2"/>
      <c r="PWJ54" s="15"/>
      <c r="PWK54" s="42"/>
      <c r="PWL54" s="2"/>
      <c r="PWM54" s="2"/>
      <c r="PWN54" s="2"/>
      <c r="PWO54" s="2"/>
      <c r="PWP54" s="42"/>
      <c r="PWQ54" s="42"/>
      <c r="PWR54" s="42"/>
      <c r="PWS54" s="42"/>
      <c r="PWT54" s="42"/>
      <c r="PWU54" s="42"/>
      <c r="PWV54" s="42"/>
      <c r="PWW54" s="42"/>
      <c r="PWX54" s="42"/>
      <c r="PWY54" s="42"/>
      <c r="PWZ54" s="42"/>
      <c r="PXA54" s="42"/>
      <c r="PXB54" s="42"/>
      <c r="PXC54" s="42"/>
      <c r="PXD54" s="42"/>
      <c r="PXE54" s="42"/>
      <c r="PXF54" s="42"/>
      <c r="PXG54" s="42"/>
      <c r="PXH54" s="42"/>
      <c r="PXI54" s="42"/>
      <c r="PXJ54" s="42"/>
      <c r="PXK54" s="42"/>
      <c r="PXL54" s="42"/>
      <c r="PXM54" s="2"/>
      <c r="PXN54" s="15"/>
      <c r="PXO54" s="42"/>
      <c r="PXP54" s="2"/>
      <c r="PXQ54" s="2"/>
      <c r="PXR54" s="2"/>
      <c r="PXS54" s="2"/>
      <c r="PXT54" s="42"/>
      <c r="PXU54" s="42"/>
      <c r="PXV54" s="42"/>
      <c r="PXW54" s="42"/>
      <c r="PXX54" s="42"/>
      <c r="PXY54" s="42"/>
      <c r="PXZ54" s="42"/>
      <c r="PYA54" s="42"/>
      <c r="PYB54" s="42"/>
      <c r="PYC54" s="42"/>
      <c r="PYD54" s="42"/>
      <c r="PYE54" s="42"/>
      <c r="PYF54" s="42"/>
      <c r="PYG54" s="42"/>
      <c r="PYH54" s="42"/>
      <c r="PYI54" s="42"/>
      <c r="PYJ54" s="42"/>
      <c r="PYK54" s="42"/>
      <c r="PYL54" s="42"/>
      <c r="PYM54" s="42"/>
      <c r="PYN54" s="42"/>
      <c r="PYO54" s="42"/>
      <c r="PYP54" s="42"/>
      <c r="PYQ54" s="2"/>
      <c r="PYR54" s="15"/>
      <c r="PYS54" s="42"/>
      <c r="PYT54" s="2"/>
      <c r="PYU54" s="2"/>
      <c r="PYV54" s="2"/>
      <c r="PYW54" s="2"/>
      <c r="PYX54" s="42"/>
      <c r="PYY54" s="42"/>
      <c r="PYZ54" s="42"/>
      <c r="PZA54" s="42"/>
      <c r="PZB54" s="42"/>
      <c r="PZC54" s="42"/>
      <c r="PZD54" s="42"/>
      <c r="PZE54" s="42"/>
      <c r="PZF54" s="42"/>
      <c r="PZG54" s="42"/>
      <c r="PZH54" s="42"/>
      <c r="PZI54" s="42"/>
      <c r="PZJ54" s="42"/>
      <c r="PZK54" s="42"/>
      <c r="PZL54" s="42"/>
      <c r="PZM54" s="42"/>
      <c r="PZN54" s="42"/>
      <c r="PZO54" s="42"/>
      <c r="PZP54" s="42"/>
      <c r="PZQ54" s="42"/>
      <c r="PZR54" s="42"/>
      <c r="PZS54" s="42"/>
      <c r="PZT54" s="42"/>
      <c r="PZU54" s="2"/>
      <c r="PZV54" s="15"/>
      <c r="PZW54" s="42"/>
      <c r="PZX54" s="2"/>
      <c r="PZY54" s="2"/>
      <c r="PZZ54" s="2"/>
      <c r="QAA54" s="2"/>
      <c r="QAB54" s="42"/>
      <c r="QAC54" s="42"/>
      <c r="QAD54" s="42"/>
      <c r="QAE54" s="42"/>
      <c r="QAF54" s="42"/>
      <c r="QAG54" s="42"/>
      <c r="QAH54" s="42"/>
      <c r="QAI54" s="42"/>
      <c r="QAJ54" s="42"/>
      <c r="QAK54" s="42"/>
      <c r="QAL54" s="42"/>
      <c r="QAM54" s="42"/>
      <c r="QAN54" s="42"/>
      <c r="QAO54" s="42"/>
      <c r="QAP54" s="42"/>
      <c r="QAQ54" s="42"/>
      <c r="QAR54" s="42"/>
      <c r="QAS54" s="42"/>
      <c r="QAT54" s="42"/>
      <c r="QAU54" s="42"/>
      <c r="QAV54" s="42"/>
      <c r="QAW54" s="42"/>
      <c r="QAX54" s="42"/>
      <c r="QAY54" s="2"/>
      <c r="QAZ54" s="15"/>
      <c r="QBA54" s="42"/>
      <c r="QBB54" s="2"/>
      <c r="QBC54" s="2"/>
      <c r="QBD54" s="2"/>
      <c r="QBE54" s="2"/>
      <c r="QBF54" s="42"/>
      <c r="QBG54" s="42"/>
      <c r="QBH54" s="42"/>
      <c r="QBI54" s="42"/>
      <c r="QBJ54" s="42"/>
      <c r="QBK54" s="42"/>
      <c r="QBL54" s="42"/>
      <c r="QBM54" s="42"/>
      <c r="QBN54" s="42"/>
      <c r="QBO54" s="42"/>
      <c r="QBP54" s="42"/>
      <c r="QBQ54" s="42"/>
      <c r="QBR54" s="42"/>
      <c r="QBS54" s="42"/>
      <c r="QBT54" s="42"/>
      <c r="QBU54" s="42"/>
      <c r="QBV54" s="42"/>
      <c r="QBW54" s="42"/>
      <c r="QBX54" s="42"/>
      <c r="QBY54" s="42"/>
      <c r="QBZ54" s="42"/>
      <c r="QCA54" s="42"/>
      <c r="QCB54" s="42"/>
      <c r="QCC54" s="2"/>
      <c r="QCD54" s="15"/>
      <c r="QCE54" s="42"/>
      <c r="QCF54" s="2"/>
      <c r="QCG54" s="2"/>
      <c r="QCH54" s="2"/>
      <c r="QCI54" s="2"/>
      <c r="QCJ54" s="42"/>
      <c r="QCK54" s="42"/>
      <c r="QCL54" s="42"/>
      <c r="QCM54" s="42"/>
      <c r="QCN54" s="42"/>
      <c r="QCO54" s="42"/>
      <c r="QCP54" s="42"/>
      <c r="QCQ54" s="42"/>
      <c r="QCR54" s="42"/>
      <c r="QCS54" s="42"/>
      <c r="QCT54" s="42"/>
      <c r="QCU54" s="42"/>
      <c r="QCV54" s="42"/>
      <c r="QCW54" s="42"/>
      <c r="QCX54" s="42"/>
      <c r="QCY54" s="42"/>
      <c r="QCZ54" s="42"/>
      <c r="QDA54" s="42"/>
      <c r="QDB54" s="42"/>
      <c r="QDC54" s="42"/>
      <c r="QDD54" s="42"/>
      <c r="QDE54" s="42"/>
      <c r="QDF54" s="42"/>
      <c r="QDG54" s="2"/>
      <c r="QDH54" s="15"/>
      <c r="QDI54" s="42"/>
      <c r="QDJ54" s="2"/>
      <c r="QDK54" s="2"/>
      <c r="QDL54" s="2"/>
      <c r="QDM54" s="2"/>
      <c r="QDN54" s="42"/>
      <c r="QDO54" s="42"/>
      <c r="QDP54" s="42"/>
      <c r="QDQ54" s="42"/>
      <c r="QDR54" s="42"/>
      <c r="QDS54" s="42"/>
      <c r="QDT54" s="42"/>
      <c r="QDU54" s="42"/>
      <c r="QDV54" s="42"/>
      <c r="QDW54" s="42"/>
      <c r="QDX54" s="42"/>
      <c r="QDY54" s="42"/>
      <c r="QDZ54" s="42"/>
      <c r="QEA54" s="42"/>
      <c r="QEB54" s="42"/>
      <c r="QEC54" s="42"/>
      <c r="QED54" s="42"/>
      <c r="QEE54" s="42"/>
      <c r="QEF54" s="42"/>
      <c r="QEG54" s="42"/>
      <c r="QEH54" s="42"/>
      <c r="QEI54" s="42"/>
      <c r="QEJ54" s="42"/>
      <c r="QEK54" s="2"/>
      <c r="QEL54" s="15"/>
      <c r="QEM54" s="42"/>
      <c r="QEN54" s="2"/>
      <c r="QEO54" s="2"/>
      <c r="QEP54" s="2"/>
      <c r="QEQ54" s="2"/>
      <c r="QER54" s="42"/>
      <c r="QES54" s="42"/>
      <c r="QET54" s="42"/>
      <c r="QEU54" s="42"/>
      <c r="QEV54" s="42"/>
      <c r="QEW54" s="42"/>
      <c r="QEX54" s="42"/>
      <c r="QEY54" s="42"/>
      <c r="QEZ54" s="42"/>
      <c r="QFA54" s="42"/>
      <c r="QFB54" s="42"/>
      <c r="QFC54" s="42"/>
      <c r="QFD54" s="42"/>
      <c r="QFE54" s="42"/>
      <c r="QFF54" s="42"/>
      <c r="QFG54" s="42"/>
      <c r="QFH54" s="42"/>
      <c r="QFI54" s="42"/>
      <c r="QFJ54" s="42"/>
      <c r="QFK54" s="42"/>
      <c r="QFL54" s="42"/>
      <c r="QFM54" s="42"/>
      <c r="QFN54" s="42"/>
      <c r="QFO54" s="2"/>
      <c r="QFP54" s="15"/>
      <c r="QFQ54" s="42"/>
      <c r="QFR54" s="2"/>
      <c r="QFS54" s="2"/>
      <c r="QFT54" s="2"/>
      <c r="QFU54" s="2"/>
      <c r="QFV54" s="42"/>
      <c r="QFW54" s="42"/>
      <c r="QFX54" s="42"/>
      <c r="QFY54" s="42"/>
      <c r="QFZ54" s="42"/>
      <c r="QGA54" s="42"/>
      <c r="QGB54" s="42"/>
      <c r="QGC54" s="42"/>
      <c r="QGD54" s="42"/>
      <c r="QGE54" s="42"/>
      <c r="QGF54" s="42"/>
      <c r="QGG54" s="42"/>
      <c r="QGH54" s="42"/>
      <c r="QGI54" s="42"/>
      <c r="QGJ54" s="42"/>
      <c r="QGK54" s="42"/>
      <c r="QGL54" s="42"/>
      <c r="QGM54" s="42"/>
      <c r="QGN54" s="42"/>
      <c r="QGO54" s="42"/>
      <c r="QGP54" s="42"/>
      <c r="QGQ54" s="42"/>
      <c r="QGR54" s="42"/>
      <c r="QGS54" s="2"/>
      <c r="QGT54" s="15"/>
      <c r="QGU54" s="42"/>
      <c r="QGV54" s="2"/>
      <c r="QGW54" s="2"/>
      <c r="QGX54" s="2"/>
      <c r="QGY54" s="2"/>
      <c r="QGZ54" s="42"/>
      <c r="QHA54" s="42"/>
      <c r="QHB54" s="42"/>
      <c r="QHC54" s="42"/>
      <c r="QHD54" s="42"/>
      <c r="QHE54" s="42"/>
      <c r="QHF54" s="42"/>
      <c r="QHG54" s="42"/>
      <c r="QHH54" s="42"/>
      <c r="QHI54" s="42"/>
      <c r="QHJ54" s="42"/>
      <c r="QHK54" s="42"/>
      <c r="QHL54" s="42"/>
      <c r="QHM54" s="42"/>
      <c r="QHN54" s="42"/>
      <c r="QHO54" s="42"/>
      <c r="QHP54" s="42"/>
      <c r="QHQ54" s="42"/>
      <c r="QHR54" s="42"/>
      <c r="QHS54" s="42"/>
      <c r="QHT54" s="42"/>
      <c r="QHU54" s="42"/>
      <c r="QHV54" s="42"/>
      <c r="QHW54" s="2"/>
      <c r="QHX54" s="15"/>
      <c r="QHY54" s="42"/>
      <c r="QHZ54" s="2"/>
      <c r="QIA54" s="2"/>
      <c r="QIB54" s="2"/>
      <c r="QIC54" s="2"/>
      <c r="QID54" s="42"/>
      <c r="QIE54" s="42"/>
      <c r="QIF54" s="42"/>
      <c r="QIG54" s="42"/>
      <c r="QIH54" s="42"/>
      <c r="QII54" s="42"/>
      <c r="QIJ54" s="42"/>
      <c r="QIK54" s="42"/>
      <c r="QIL54" s="42"/>
      <c r="QIM54" s="42"/>
      <c r="QIN54" s="42"/>
      <c r="QIO54" s="42"/>
      <c r="QIP54" s="42"/>
      <c r="QIQ54" s="42"/>
      <c r="QIR54" s="42"/>
      <c r="QIS54" s="42"/>
      <c r="QIT54" s="42"/>
      <c r="QIU54" s="42"/>
      <c r="QIV54" s="42"/>
      <c r="QIW54" s="42"/>
      <c r="QIX54" s="42"/>
      <c r="QIY54" s="42"/>
      <c r="QIZ54" s="42"/>
      <c r="QJA54" s="2"/>
      <c r="QJB54" s="15"/>
      <c r="QJC54" s="42"/>
      <c r="QJD54" s="2"/>
      <c r="QJE54" s="2"/>
      <c r="QJF54" s="2"/>
      <c r="QJG54" s="2"/>
      <c r="QJH54" s="42"/>
      <c r="QJI54" s="42"/>
      <c r="QJJ54" s="42"/>
      <c r="QJK54" s="42"/>
      <c r="QJL54" s="42"/>
      <c r="QJM54" s="42"/>
      <c r="QJN54" s="42"/>
      <c r="QJO54" s="42"/>
      <c r="QJP54" s="42"/>
      <c r="QJQ54" s="42"/>
      <c r="QJR54" s="42"/>
      <c r="QJS54" s="42"/>
      <c r="QJT54" s="42"/>
      <c r="QJU54" s="42"/>
      <c r="QJV54" s="42"/>
      <c r="QJW54" s="42"/>
      <c r="QJX54" s="42"/>
      <c r="QJY54" s="42"/>
      <c r="QJZ54" s="42"/>
      <c r="QKA54" s="42"/>
      <c r="QKB54" s="42"/>
      <c r="QKC54" s="42"/>
      <c r="QKD54" s="42"/>
      <c r="QKE54" s="2"/>
      <c r="QKF54" s="15"/>
      <c r="QKG54" s="42"/>
      <c r="QKH54" s="2"/>
      <c r="QKI54" s="2"/>
      <c r="QKJ54" s="2"/>
      <c r="QKK54" s="2"/>
      <c r="QKL54" s="42"/>
      <c r="QKM54" s="42"/>
      <c r="QKN54" s="42"/>
      <c r="QKO54" s="42"/>
      <c r="QKP54" s="42"/>
      <c r="QKQ54" s="42"/>
      <c r="QKR54" s="42"/>
      <c r="QKS54" s="42"/>
      <c r="QKT54" s="42"/>
      <c r="QKU54" s="42"/>
      <c r="QKV54" s="42"/>
      <c r="QKW54" s="42"/>
      <c r="QKX54" s="42"/>
      <c r="QKY54" s="42"/>
      <c r="QKZ54" s="42"/>
      <c r="QLA54" s="42"/>
      <c r="QLB54" s="42"/>
      <c r="QLC54" s="42"/>
      <c r="QLD54" s="42"/>
      <c r="QLE54" s="42"/>
      <c r="QLF54" s="42"/>
      <c r="QLG54" s="42"/>
      <c r="QLH54" s="42"/>
      <c r="QLI54" s="2"/>
      <c r="QLJ54" s="15"/>
      <c r="QLK54" s="42"/>
      <c r="QLL54" s="2"/>
      <c r="QLM54" s="2"/>
      <c r="QLN54" s="2"/>
      <c r="QLO54" s="2"/>
      <c r="QLP54" s="42"/>
      <c r="QLQ54" s="42"/>
      <c r="QLR54" s="42"/>
      <c r="QLS54" s="42"/>
      <c r="QLT54" s="42"/>
      <c r="QLU54" s="42"/>
      <c r="QLV54" s="42"/>
      <c r="QLW54" s="42"/>
      <c r="QLX54" s="42"/>
      <c r="QLY54" s="42"/>
      <c r="QLZ54" s="42"/>
      <c r="QMA54" s="42"/>
      <c r="QMB54" s="42"/>
      <c r="QMC54" s="42"/>
      <c r="QMD54" s="42"/>
      <c r="QME54" s="42"/>
      <c r="QMF54" s="42"/>
      <c r="QMG54" s="42"/>
      <c r="QMH54" s="42"/>
      <c r="QMI54" s="42"/>
      <c r="QMJ54" s="42"/>
      <c r="QMK54" s="42"/>
      <c r="QML54" s="42"/>
      <c r="QMM54" s="2"/>
      <c r="QMN54" s="15"/>
      <c r="QMO54" s="42"/>
      <c r="QMP54" s="2"/>
      <c r="QMQ54" s="2"/>
      <c r="QMR54" s="2"/>
      <c r="QMS54" s="2"/>
      <c r="QMT54" s="42"/>
      <c r="QMU54" s="42"/>
      <c r="QMV54" s="42"/>
      <c r="QMW54" s="42"/>
      <c r="QMX54" s="42"/>
      <c r="QMY54" s="42"/>
      <c r="QMZ54" s="42"/>
      <c r="QNA54" s="42"/>
      <c r="QNB54" s="42"/>
      <c r="QNC54" s="42"/>
      <c r="QND54" s="42"/>
      <c r="QNE54" s="42"/>
      <c r="QNF54" s="42"/>
      <c r="QNG54" s="42"/>
      <c r="QNH54" s="42"/>
      <c r="QNI54" s="42"/>
      <c r="QNJ54" s="42"/>
      <c r="QNK54" s="42"/>
      <c r="QNL54" s="42"/>
      <c r="QNM54" s="42"/>
      <c r="QNN54" s="42"/>
      <c r="QNO54" s="42"/>
      <c r="QNP54" s="42"/>
      <c r="QNQ54" s="2"/>
      <c r="QNR54" s="15"/>
      <c r="QNS54" s="42"/>
      <c r="QNT54" s="2"/>
      <c r="QNU54" s="2"/>
      <c r="QNV54" s="2"/>
      <c r="QNW54" s="2"/>
      <c r="QNX54" s="42"/>
      <c r="QNY54" s="42"/>
      <c r="QNZ54" s="42"/>
      <c r="QOA54" s="42"/>
      <c r="QOB54" s="42"/>
      <c r="QOC54" s="42"/>
      <c r="QOD54" s="42"/>
      <c r="QOE54" s="42"/>
      <c r="QOF54" s="42"/>
      <c r="QOG54" s="42"/>
      <c r="QOH54" s="42"/>
      <c r="QOI54" s="42"/>
      <c r="QOJ54" s="42"/>
      <c r="QOK54" s="42"/>
      <c r="QOL54" s="42"/>
      <c r="QOM54" s="42"/>
      <c r="QON54" s="42"/>
      <c r="QOO54" s="42"/>
      <c r="QOP54" s="42"/>
      <c r="QOQ54" s="42"/>
      <c r="QOR54" s="42"/>
      <c r="QOS54" s="42"/>
      <c r="QOT54" s="42"/>
      <c r="QOU54" s="2"/>
      <c r="QOV54" s="15"/>
      <c r="QOW54" s="42"/>
      <c r="QOX54" s="2"/>
      <c r="QOY54" s="2"/>
      <c r="QOZ54" s="2"/>
      <c r="QPA54" s="2"/>
      <c r="QPB54" s="42"/>
      <c r="QPC54" s="42"/>
      <c r="QPD54" s="42"/>
      <c r="QPE54" s="42"/>
      <c r="QPF54" s="42"/>
      <c r="QPG54" s="42"/>
      <c r="QPH54" s="42"/>
      <c r="QPI54" s="42"/>
      <c r="QPJ54" s="42"/>
      <c r="QPK54" s="42"/>
      <c r="QPL54" s="42"/>
      <c r="QPM54" s="42"/>
      <c r="QPN54" s="42"/>
      <c r="QPO54" s="42"/>
      <c r="QPP54" s="42"/>
      <c r="QPQ54" s="42"/>
      <c r="QPR54" s="42"/>
      <c r="QPS54" s="42"/>
      <c r="QPT54" s="42"/>
      <c r="QPU54" s="42"/>
      <c r="QPV54" s="42"/>
      <c r="QPW54" s="42"/>
      <c r="QPX54" s="42"/>
      <c r="QPY54" s="2"/>
      <c r="QPZ54" s="15"/>
      <c r="QQA54" s="42"/>
      <c r="QQB54" s="2"/>
      <c r="QQC54" s="2"/>
      <c r="QQD54" s="2"/>
      <c r="QQE54" s="2"/>
      <c r="QQF54" s="42"/>
      <c r="QQG54" s="42"/>
      <c r="QQH54" s="42"/>
      <c r="QQI54" s="42"/>
      <c r="QQJ54" s="42"/>
      <c r="QQK54" s="42"/>
      <c r="QQL54" s="42"/>
      <c r="QQM54" s="42"/>
      <c r="QQN54" s="42"/>
      <c r="QQO54" s="42"/>
      <c r="QQP54" s="42"/>
      <c r="QQQ54" s="42"/>
      <c r="QQR54" s="42"/>
      <c r="QQS54" s="42"/>
      <c r="QQT54" s="42"/>
      <c r="QQU54" s="42"/>
      <c r="QQV54" s="42"/>
      <c r="QQW54" s="42"/>
      <c r="QQX54" s="42"/>
      <c r="QQY54" s="42"/>
      <c r="QQZ54" s="42"/>
      <c r="QRA54" s="42"/>
      <c r="QRB54" s="42"/>
      <c r="QRC54" s="2"/>
      <c r="QRD54" s="15"/>
      <c r="QRE54" s="42"/>
      <c r="QRF54" s="2"/>
      <c r="QRG54" s="2"/>
      <c r="QRH54" s="2"/>
      <c r="QRI54" s="2"/>
      <c r="QRJ54" s="42"/>
      <c r="QRK54" s="42"/>
      <c r="QRL54" s="42"/>
      <c r="QRM54" s="42"/>
      <c r="QRN54" s="42"/>
      <c r="QRO54" s="42"/>
      <c r="QRP54" s="42"/>
      <c r="QRQ54" s="42"/>
      <c r="QRR54" s="42"/>
      <c r="QRS54" s="42"/>
      <c r="QRT54" s="42"/>
      <c r="QRU54" s="42"/>
      <c r="QRV54" s="42"/>
      <c r="QRW54" s="42"/>
      <c r="QRX54" s="42"/>
      <c r="QRY54" s="42"/>
      <c r="QRZ54" s="42"/>
      <c r="QSA54" s="42"/>
      <c r="QSB54" s="42"/>
      <c r="QSC54" s="42"/>
      <c r="QSD54" s="42"/>
      <c r="QSE54" s="42"/>
      <c r="QSF54" s="42"/>
      <c r="QSG54" s="2"/>
      <c r="QSH54" s="15"/>
      <c r="QSI54" s="42"/>
      <c r="QSJ54" s="2"/>
      <c r="QSK54" s="2"/>
      <c r="QSL54" s="2"/>
      <c r="QSM54" s="2"/>
      <c r="QSN54" s="42"/>
      <c r="QSO54" s="42"/>
      <c r="QSP54" s="42"/>
      <c r="QSQ54" s="42"/>
      <c r="QSR54" s="42"/>
      <c r="QSS54" s="42"/>
      <c r="QST54" s="42"/>
      <c r="QSU54" s="42"/>
      <c r="QSV54" s="42"/>
      <c r="QSW54" s="42"/>
      <c r="QSX54" s="42"/>
      <c r="QSY54" s="42"/>
      <c r="QSZ54" s="42"/>
      <c r="QTA54" s="42"/>
      <c r="QTB54" s="42"/>
      <c r="QTC54" s="42"/>
      <c r="QTD54" s="42"/>
      <c r="QTE54" s="42"/>
      <c r="QTF54" s="42"/>
      <c r="QTG54" s="42"/>
      <c r="QTH54" s="42"/>
      <c r="QTI54" s="42"/>
      <c r="QTJ54" s="42"/>
      <c r="QTK54" s="2"/>
      <c r="QTL54" s="15"/>
      <c r="QTM54" s="42"/>
      <c r="QTN54" s="2"/>
      <c r="QTO54" s="2"/>
      <c r="QTP54" s="2"/>
      <c r="QTQ54" s="2"/>
      <c r="QTR54" s="42"/>
      <c r="QTS54" s="42"/>
      <c r="QTT54" s="42"/>
      <c r="QTU54" s="42"/>
      <c r="QTV54" s="42"/>
      <c r="QTW54" s="42"/>
      <c r="QTX54" s="42"/>
      <c r="QTY54" s="42"/>
      <c r="QTZ54" s="42"/>
      <c r="QUA54" s="42"/>
      <c r="QUB54" s="42"/>
      <c r="QUC54" s="42"/>
      <c r="QUD54" s="42"/>
      <c r="QUE54" s="42"/>
      <c r="QUF54" s="42"/>
      <c r="QUG54" s="42"/>
      <c r="QUH54" s="42"/>
      <c r="QUI54" s="42"/>
      <c r="QUJ54" s="42"/>
      <c r="QUK54" s="42"/>
      <c r="QUL54" s="42"/>
      <c r="QUM54" s="42"/>
      <c r="QUN54" s="42"/>
      <c r="QUO54" s="2"/>
      <c r="QUP54" s="15"/>
      <c r="QUQ54" s="42"/>
      <c r="QUR54" s="2"/>
      <c r="QUS54" s="2"/>
      <c r="QUT54" s="2"/>
      <c r="QUU54" s="2"/>
      <c r="QUV54" s="42"/>
      <c r="QUW54" s="42"/>
      <c r="QUX54" s="42"/>
      <c r="QUY54" s="42"/>
      <c r="QUZ54" s="42"/>
      <c r="QVA54" s="42"/>
      <c r="QVB54" s="42"/>
      <c r="QVC54" s="42"/>
      <c r="QVD54" s="42"/>
      <c r="QVE54" s="42"/>
      <c r="QVF54" s="42"/>
      <c r="QVG54" s="42"/>
      <c r="QVH54" s="42"/>
      <c r="QVI54" s="42"/>
      <c r="QVJ54" s="42"/>
      <c r="QVK54" s="42"/>
      <c r="QVL54" s="42"/>
      <c r="QVM54" s="42"/>
      <c r="QVN54" s="42"/>
      <c r="QVO54" s="42"/>
      <c r="QVP54" s="42"/>
      <c r="QVQ54" s="42"/>
      <c r="QVR54" s="42"/>
      <c r="QVS54" s="2"/>
      <c r="QVT54" s="15"/>
      <c r="QVU54" s="42"/>
      <c r="QVV54" s="2"/>
      <c r="QVW54" s="2"/>
      <c r="QVX54" s="2"/>
      <c r="QVY54" s="2"/>
      <c r="QVZ54" s="42"/>
      <c r="QWA54" s="42"/>
      <c r="QWB54" s="42"/>
      <c r="QWC54" s="42"/>
      <c r="QWD54" s="42"/>
      <c r="QWE54" s="42"/>
      <c r="QWF54" s="42"/>
      <c r="QWG54" s="42"/>
      <c r="QWH54" s="42"/>
      <c r="QWI54" s="42"/>
      <c r="QWJ54" s="42"/>
      <c r="QWK54" s="42"/>
      <c r="QWL54" s="42"/>
      <c r="QWM54" s="42"/>
      <c r="QWN54" s="42"/>
      <c r="QWO54" s="42"/>
      <c r="QWP54" s="42"/>
      <c r="QWQ54" s="42"/>
      <c r="QWR54" s="42"/>
      <c r="QWS54" s="42"/>
      <c r="QWT54" s="42"/>
      <c r="QWU54" s="42"/>
      <c r="QWV54" s="42"/>
      <c r="QWW54" s="2"/>
      <c r="QWX54" s="15"/>
      <c r="QWY54" s="42"/>
      <c r="QWZ54" s="2"/>
      <c r="QXA54" s="2"/>
      <c r="QXB54" s="2"/>
      <c r="QXC54" s="2"/>
      <c r="QXD54" s="42"/>
      <c r="QXE54" s="42"/>
      <c r="QXF54" s="42"/>
      <c r="QXG54" s="42"/>
      <c r="QXH54" s="42"/>
      <c r="QXI54" s="42"/>
      <c r="QXJ54" s="42"/>
      <c r="QXK54" s="42"/>
      <c r="QXL54" s="42"/>
      <c r="QXM54" s="42"/>
      <c r="QXN54" s="42"/>
      <c r="QXO54" s="42"/>
      <c r="QXP54" s="42"/>
      <c r="QXQ54" s="42"/>
      <c r="QXR54" s="42"/>
      <c r="QXS54" s="42"/>
      <c r="QXT54" s="42"/>
      <c r="QXU54" s="42"/>
      <c r="QXV54" s="42"/>
      <c r="QXW54" s="42"/>
      <c r="QXX54" s="42"/>
      <c r="QXY54" s="42"/>
      <c r="QXZ54" s="42"/>
      <c r="QYA54" s="2"/>
      <c r="QYB54" s="15"/>
      <c r="QYC54" s="42"/>
      <c r="QYD54" s="2"/>
      <c r="QYE54" s="2"/>
      <c r="QYF54" s="2"/>
      <c r="QYG54" s="2"/>
      <c r="QYH54" s="42"/>
      <c r="QYI54" s="42"/>
      <c r="QYJ54" s="42"/>
      <c r="QYK54" s="42"/>
      <c r="QYL54" s="42"/>
      <c r="QYM54" s="42"/>
      <c r="QYN54" s="42"/>
      <c r="QYO54" s="42"/>
      <c r="QYP54" s="42"/>
      <c r="QYQ54" s="42"/>
      <c r="QYR54" s="42"/>
      <c r="QYS54" s="42"/>
      <c r="QYT54" s="42"/>
      <c r="QYU54" s="42"/>
      <c r="QYV54" s="42"/>
      <c r="QYW54" s="42"/>
      <c r="QYX54" s="42"/>
      <c r="QYY54" s="42"/>
      <c r="QYZ54" s="42"/>
      <c r="QZA54" s="42"/>
      <c r="QZB54" s="42"/>
      <c r="QZC54" s="42"/>
      <c r="QZD54" s="42"/>
      <c r="QZE54" s="2"/>
      <c r="QZF54" s="15"/>
      <c r="QZG54" s="42"/>
      <c r="QZH54" s="2"/>
      <c r="QZI54" s="2"/>
      <c r="QZJ54" s="2"/>
      <c r="QZK54" s="2"/>
      <c r="QZL54" s="42"/>
      <c r="QZM54" s="42"/>
      <c r="QZN54" s="42"/>
      <c r="QZO54" s="42"/>
      <c r="QZP54" s="42"/>
      <c r="QZQ54" s="42"/>
      <c r="QZR54" s="42"/>
      <c r="QZS54" s="42"/>
      <c r="QZT54" s="42"/>
      <c r="QZU54" s="42"/>
      <c r="QZV54" s="42"/>
      <c r="QZW54" s="42"/>
      <c r="QZX54" s="42"/>
      <c r="QZY54" s="42"/>
      <c r="QZZ54" s="42"/>
      <c r="RAA54" s="42"/>
      <c r="RAB54" s="42"/>
      <c r="RAC54" s="42"/>
      <c r="RAD54" s="42"/>
      <c r="RAE54" s="42"/>
      <c r="RAF54" s="42"/>
      <c r="RAG54" s="42"/>
      <c r="RAH54" s="42"/>
      <c r="RAI54" s="2"/>
      <c r="RAJ54" s="15"/>
      <c r="RAK54" s="42"/>
      <c r="RAL54" s="2"/>
      <c r="RAM54" s="2"/>
      <c r="RAN54" s="2"/>
      <c r="RAO54" s="2"/>
      <c r="RAP54" s="42"/>
      <c r="RAQ54" s="42"/>
      <c r="RAR54" s="42"/>
      <c r="RAS54" s="42"/>
      <c r="RAT54" s="42"/>
      <c r="RAU54" s="42"/>
      <c r="RAV54" s="42"/>
      <c r="RAW54" s="42"/>
      <c r="RAX54" s="42"/>
      <c r="RAY54" s="42"/>
      <c r="RAZ54" s="42"/>
      <c r="RBA54" s="42"/>
      <c r="RBB54" s="42"/>
      <c r="RBC54" s="42"/>
      <c r="RBD54" s="42"/>
      <c r="RBE54" s="42"/>
      <c r="RBF54" s="42"/>
      <c r="RBG54" s="42"/>
      <c r="RBH54" s="42"/>
      <c r="RBI54" s="42"/>
      <c r="RBJ54" s="42"/>
      <c r="RBK54" s="42"/>
      <c r="RBL54" s="42"/>
      <c r="RBM54" s="2"/>
      <c r="RBN54" s="15"/>
      <c r="RBO54" s="42"/>
      <c r="RBP54" s="2"/>
      <c r="RBQ54" s="2"/>
      <c r="RBR54" s="2"/>
      <c r="RBS54" s="2"/>
      <c r="RBT54" s="42"/>
      <c r="RBU54" s="42"/>
      <c r="RBV54" s="42"/>
      <c r="RBW54" s="42"/>
      <c r="RBX54" s="42"/>
      <c r="RBY54" s="42"/>
      <c r="RBZ54" s="42"/>
      <c r="RCA54" s="42"/>
      <c r="RCB54" s="42"/>
      <c r="RCC54" s="42"/>
      <c r="RCD54" s="42"/>
      <c r="RCE54" s="42"/>
      <c r="RCF54" s="42"/>
      <c r="RCG54" s="42"/>
      <c r="RCH54" s="42"/>
      <c r="RCI54" s="42"/>
      <c r="RCJ54" s="42"/>
      <c r="RCK54" s="42"/>
      <c r="RCL54" s="42"/>
      <c r="RCM54" s="42"/>
      <c r="RCN54" s="42"/>
      <c r="RCO54" s="42"/>
      <c r="RCP54" s="42"/>
      <c r="RCQ54" s="2"/>
      <c r="RCR54" s="15"/>
      <c r="RCS54" s="42"/>
      <c r="RCT54" s="2"/>
      <c r="RCU54" s="2"/>
      <c r="RCV54" s="2"/>
      <c r="RCW54" s="2"/>
      <c r="RCX54" s="42"/>
      <c r="RCY54" s="42"/>
      <c r="RCZ54" s="42"/>
      <c r="RDA54" s="42"/>
      <c r="RDB54" s="42"/>
      <c r="RDC54" s="42"/>
      <c r="RDD54" s="42"/>
      <c r="RDE54" s="42"/>
      <c r="RDF54" s="42"/>
      <c r="RDG54" s="42"/>
      <c r="RDH54" s="42"/>
      <c r="RDI54" s="42"/>
      <c r="RDJ54" s="42"/>
      <c r="RDK54" s="42"/>
      <c r="RDL54" s="42"/>
      <c r="RDM54" s="42"/>
      <c r="RDN54" s="42"/>
      <c r="RDO54" s="42"/>
      <c r="RDP54" s="42"/>
      <c r="RDQ54" s="42"/>
      <c r="RDR54" s="42"/>
      <c r="RDS54" s="42"/>
      <c r="RDT54" s="42"/>
      <c r="RDU54" s="2"/>
      <c r="RDV54" s="15"/>
      <c r="RDW54" s="42"/>
      <c r="RDX54" s="2"/>
      <c r="RDY54" s="2"/>
      <c r="RDZ54" s="2"/>
      <c r="REA54" s="2"/>
      <c r="REB54" s="42"/>
      <c r="REC54" s="42"/>
      <c r="RED54" s="42"/>
      <c r="REE54" s="42"/>
      <c r="REF54" s="42"/>
      <c r="REG54" s="42"/>
      <c r="REH54" s="42"/>
      <c r="REI54" s="42"/>
      <c r="REJ54" s="42"/>
      <c r="REK54" s="42"/>
      <c r="REL54" s="42"/>
      <c r="REM54" s="42"/>
      <c r="REN54" s="42"/>
      <c r="REO54" s="42"/>
      <c r="REP54" s="42"/>
      <c r="REQ54" s="42"/>
      <c r="RER54" s="42"/>
      <c r="RES54" s="42"/>
      <c r="RET54" s="42"/>
      <c r="REU54" s="42"/>
      <c r="REV54" s="42"/>
      <c r="REW54" s="42"/>
      <c r="REX54" s="42"/>
      <c r="REY54" s="2"/>
      <c r="REZ54" s="15"/>
      <c r="RFA54" s="42"/>
      <c r="RFB54" s="2"/>
      <c r="RFC54" s="2"/>
      <c r="RFD54" s="2"/>
      <c r="RFE54" s="2"/>
      <c r="RFF54" s="42"/>
      <c r="RFG54" s="42"/>
      <c r="RFH54" s="42"/>
      <c r="RFI54" s="42"/>
      <c r="RFJ54" s="42"/>
      <c r="RFK54" s="42"/>
      <c r="RFL54" s="42"/>
      <c r="RFM54" s="42"/>
      <c r="RFN54" s="42"/>
      <c r="RFO54" s="42"/>
      <c r="RFP54" s="42"/>
      <c r="RFQ54" s="42"/>
      <c r="RFR54" s="42"/>
      <c r="RFS54" s="42"/>
      <c r="RFT54" s="42"/>
      <c r="RFU54" s="42"/>
      <c r="RFV54" s="42"/>
      <c r="RFW54" s="42"/>
      <c r="RFX54" s="42"/>
      <c r="RFY54" s="42"/>
      <c r="RFZ54" s="42"/>
      <c r="RGA54" s="42"/>
      <c r="RGB54" s="42"/>
      <c r="RGC54" s="2"/>
      <c r="RGD54" s="15"/>
      <c r="RGE54" s="42"/>
      <c r="RGF54" s="2"/>
      <c r="RGG54" s="2"/>
      <c r="RGH54" s="2"/>
      <c r="RGI54" s="2"/>
      <c r="RGJ54" s="42"/>
      <c r="RGK54" s="42"/>
      <c r="RGL54" s="42"/>
      <c r="RGM54" s="42"/>
      <c r="RGN54" s="42"/>
      <c r="RGO54" s="42"/>
      <c r="RGP54" s="42"/>
      <c r="RGQ54" s="42"/>
      <c r="RGR54" s="42"/>
      <c r="RGS54" s="42"/>
      <c r="RGT54" s="42"/>
      <c r="RGU54" s="42"/>
      <c r="RGV54" s="42"/>
      <c r="RGW54" s="42"/>
      <c r="RGX54" s="42"/>
      <c r="RGY54" s="42"/>
      <c r="RGZ54" s="42"/>
      <c r="RHA54" s="42"/>
      <c r="RHB54" s="42"/>
      <c r="RHC54" s="42"/>
      <c r="RHD54" s="42"/>
      <c r="RHE54" s="42"/>
      <c r="RHF54" s="42"/>
      <c r="RHG54" s="2"/>
      <c r="RHH54" s="15"/>
      <c r="RHI54" s="42"/>
      <c r="RHJ54" s="2"/>
      <c r="RHK54" s="2"/>
      <c r="RHL54" s="2"/>
      <c r="RHM54" s="2"/>
      <c r="RHN54" s="42"/>
      <c r="RHO54" s="42"/>
      <c r="RHP54" s="42"/>
      <c r="RHQ54" s="42"/>
      <c r="RHR54" s="42"/>
      <c r="RHS54" s="42"/>
      <c r="RHT54" s="42"/>
      <c r="RHU54" s="42"/>
      <c r="RHV54" s="42"/>
      <c r="RHW54" s="42"/>
      <c r="RHX54" s="42"/>
      <c r="RHY54" s="42"/>
      <c r="RHZ54" s="42"/>
      <c r="RIA54" s="42"/>
      <c r="RIB54" s="42"/>
      <c r="RIC54" s="42"/>
      <c r="RID54" s="42"/>
      <c r="RIE54" s="42"/>
      <c r="RIF54" s="42"/>
      <c r="RIG54" s="42"/>
      <c r="RIH54" s="42"/>
      <c r="RII54" s="42"/>
      <c r="RIJ54" s="42"/>
      <c r="RIK54" s="2"/>
      <c r="RIL54" s="15"/>
      <c r="RIM54" s="42"/>
      <c r="RIN54" s="2"/>
      <c r="RIO54" s="2"/>
      <c r="RIP54" s="2"/>
      <c r="RIQ54" s="2"/>
      <c r="RIR54" s="42"/>
      <c r="RIS54" s="42"/>
      <c r="RIT54" s="42"/>
      <c r="RIU54" s="42"/>
      <c r="RIV54" s="42"/>
      <c r="RIW54" s="42"/>
      <c r="RIX54" s="42"/>
      <c r="RIY54" s="42"/>
      <c r="RIZ54" s="42"/>
      <c r="RJA54" s="42"/>
      <c r="RJB54" s="42"/>
      <c r="RJC54" s="42"/>
      <c r="RJD54" s="42"/>
      <c r="RJE54" s="42"/>
      <c r="RJF54" s="42"/>
      <c r="RJG54" s="42"/>
      <c r="RJH54" s="42"/>
      <c r="RJI54" s="42"/>
      <c r="RJJ54" s="42"/>
      <c r="RJK54" s="42"/>
      <c r="RJL54" s="42"/>
      <c r="RJM54" s="42"/>
      <c r="RJN54" s="42"/>
      <c r="RJO54" s="2"/>
      <c r="RJP54" s="15"/>
      <c r="RJQ54" s="42"/>
      <c r="RJR54" s="2"/>
      <c r="RJS54" s="2"/>
      <c r="RJT54" s="2"/>
      <c r="RJU54" s="2"/>
      <c r="RJV54" s="42"/>
      <c r="RJW54" s="42"/>
      <c r="RJX54" s="42"/>
      <c r="RJY54" s="42"/>
      <c r="RJZ54" s="42"/>
      <c r="RKA54" s="42"/>
      <c r="RKB54" s="42"/>
      <c r="RKC54" s="42"/>
      <c r="RKD54" s="42"/>
      <c r="RKE54" s="42"/>
      <c r="RKF54" s="42"/>
      <c r="RKG54" s="42"/>
      <c r="RKH54" s="42"/>
      <c r="RKI54" s="42"/>
      <c r="RKJ54" s="42"/>
      <c r="RKK54" s="42"/>
      <c r="RKL54" s="42"/>
      <c r="RKM54" s="42"/>
      <c r="RKN54" s="42"/>
      <c r="RKO54" s="42"/>
      <c r="RKP54" s="42"/>
      <c r="RKQ54" s="42"/>
      <c r="RKR54" s="42"/>
      <c r="RKS54" s="2"/>
      <c r="RKT54" s="15"/>
      <c r="RKU54" s="42"/>
      <c r="RKV54" s="2"/>
      <c r="RKW54" s="2"/>
      <c r="RKX54" s="2"/>
      <c r="RKY54" s="2"/>
      <c r="RKZ54" s="42"/>
      <c r="RLA54" s="42"/>
      <c r="RLB54" s="42"/>
      <c r="RLC54" s="42"/>
      <c r="RLD54" s="42"/>
      <c r="RLE54" s="42"/>
      <c r="RLF54" s="42"/>
      <c r="RLG54" s="42"/>
      <c r="RLH54" s="42"/>
      <c r="RLI54" s="42"/>
      <c r="RLJ54" s="42"/>
      <c r="RLK54" s="42"/>
      <c r="RLL54" s="42"/>
      <c r="RLM54" s="42"/>
      <c r="RLN54" s="42"/>
      <c r="RLO54" s="42"/>
      <c r="RLP54" s="42"/>
      <c r="RLQ54" s="42"/>
      <c r="RLR54" s="42"/>
      <c r="RLS54" s="42"/>
      <c r="RLT54" s="42"/>
      <c r="RLU54" s="42"/>
      <c r="RLV54" s="42"/>
      <c r="RLW54" s="2"/>
      <c r="RLX54" s="15"/>
      <c r="RLY54" s="42"/>
      <c r="RLZ54" s="2"/>
      <c r="RMA54" s="2"/>
      <c r="RMB54" s="2"/>
      <c r="RMC54" s="2"/>
      <c r="RMD54" s="42"/>
      <c r="RME54" s="42"/>
      <c r="RMF54" s="42"/>
      <c r="RMG54" s="42"/>
      <c r="RMH54" s="42"/>
      <c r="RMI54" s="42"/>
      <c r="RMJ54" s="42"/>
      <c r="RMK54" s="42"/>
      <c r="RML54" s="42"/>
      <c r="RMM54" s="42"/>
      <c r="RMN54" s="42"/>
      <c r="RMO54" s="42"/>
      <c r="RMP54" s="42"/>
      <c r="RMQ54" s="42"/>
      <c r="RMR54" s="42"/>
      <c r="RMS54" s="42"/>
      <c r="RMT54" s="42"/>
      <c r="RMU54" s="42"/>
      <c r="RMV54" s="42"/>
      <c r="RMW54" s="42"/>
      <c r="RMX54" s="42"/>
      <c r="RMY54" s="42"/>
      <c r="RMZ54" s="42"/>
      <c r="RNA54" s="2"/>
      <c r="RNB54" s="15"/>
      <c r="RNC54" s="42"/>
      <c r="RND54" s="2"/>
      <c r="RNE54" s="2"/>
      <c r="RNF54" s="2"/>
      <c r="RNG54" s="2"/>
      <c r="RNH54" s="42"/>
      <c r="RNI54" s="42"/>
      <c r="RNJ54" s="42"/>
      <c r="RNK54" s="42"/>
      <c r="RNL54" s="42"/>
      <c r="RNM54" s="42"/>
      <c r="RNN54" s="42"/>
      <c r="RNO54" s="42"/>
      <c r="RNP54" s="42"/>
      <c r="RNQ54" s="42"/>
      <c r="RNR54" s="42"/>
      <c r="RNS54" s="42"/>
      <c r="RNT54" s="42"/>
      <c r="RNU54" s="42"/>
      <c r="RNV54" s="42"/>
      <c r="RNW54" s="42"/>
      <c r="RNX54" s="42"/>
      <c r="RNY54" s="42"/>
      <c r="RNZ54" s="42"/>
      <c r="ROA54" s="42"/>
      <c r="ROB54" s="42"/>
      <c r="ROC54" s="42"/>
      <c r="ROD54" s="42"/>
      <c r="ROE54" s="2"/>
      <c r="ROF54" s="15"/>
      <c r="ROG54" s="42"/>
      <c r="ROH54" s="2"/>
      <c r="ROI54" s="2"/>
      <c r="ROJ54" s="2"/>
      <c r="ROK54" s="2"/>
      <c r="ROL54" s="42"/>
      <c r="ROM54" s="42"/>
      <c r="RON54" s="42"/>
      <c r="ROO54" s="42"/>
      <c r="ROP54" s="42"/>
      <c r="ROQ54" s="42"/>
      <c r="ROR54" s="42"/>
      <c r="ROS54" s="42"/>
      <c r="ROT54" s="42"/>
      <c r="ROU54" s="42"/>
      <c r="ROV54" s="42"/>
      <c r="ROW54" s="42"/>
      <c r="ROX54" s="42"/>
      <c r="ROY54" s="42"/>
      <c r="ROZ54" s="42"/>
      <c r="RPA54" s="42"/>
      <c r="RPB54" s="42"/>
      <c r="RPC54" s="42"/>
      <c r="RPD54" s="42"/>
      <c r="RPE54" s="42"/>
      <c r="RPF54" s="42"/>
      <c r="RPG54" s="42"/>
      <c r="RPH54" s="42"/>
      <c r="RPI54" s="2"/>
      <c r="RPJ54" s="15"/>
      <c r="RPK54" s="42"/>
      <c r="RPL54" s="2"/>
      <c r="RPM54" s="2"/>
      <c r="RPN54" s="2"/>
      <c r="RPO54" s="2"/>
      <c r="RPP54" s="42"/>
      <c r="RPQ54" s="42"/>
      <c r="RPR54" s="42"/>
      <c r="RPS54" s="42"/>
      <c r="RPT54" s="42"/>
      <c r="RPU54" s="42"/>
      <c r="RPV54" s="42"/>
      <c r="RPW54" s="42"/>
      <c r="RPX54" s="42"/>
      <c r="RPY54" s="42"/>
      <c r="RPZ54" s="42"/>
      <c r="RQA54" s="42"/>
      <c r="RQB54" s="42"/>
      <c r="RQC54" s="42"/>
      <c r="RQD54" s="42"/>
      <c r="RQE54" s="42"/>
      <c r="RQF54" s="42"/>
      <c r="RQG54" s="42"/>
      <c r="RQH54" s="42"/>
      <c r="RQI54" s="42"/>
      <c r="RQJ54" s="42"/>
      <c r="RQK54" s="42"/>
      <c r="RQL54" s="42"/>
      <c r="RQM54" s="2"/>
      <c r="RQN54" s="15"/>
      <c r="RQO54" s="42"/>
      <c r="RQP54" s="2"/>
      <c r="RQQ54" s="2"/>
      <c r="RQR54" s="2"/>
      <c r="RQS54" s="2"/>
      <c r="RQT54" s="42"/>
      <c r="RQU54" s="42"/>
      <c r="RQV54" s="42"/>
      <c r="RQW54" s="42"/>
      <c r="RQX54" s="42"/>
      <c r="RQY54" s="42"/>
      <c r="RQZ54" s="42"/>
      <c r="RRA54" s="42"/>
      <c r="RRB54" s="42"/>
      <c r="RRC54" s="42"/>
      <c r="RRD54" s="42"/>
      <c r="RRE54" s="42"/>
      <c r="RRF54" s="42"/>
      <c r="RRG54" s="42"/>
      <c r="RRH54" s="42"/>
      <c r="RRI54" s="42"/>
      <c r="RRJ54" s="42"/>
      <c r="RRK54" s="42"/>
      <c r="RRL54" s="42"/>
      <c r="RRM54" s="42"/>
      <c r="RRN54" s="42"/>
      <c r="RRO54" s="42"/>
      <c r="RRP54" s="42"/>
      <c r="RRQ54" s="2"/>
      <c r="RRR54" s="15"/>
      <c r="RRS54" s="42"/>
      <c r="RRT54" s="2"/>
      <c r="RRU54" s="2"/>
      <c r="RRV54" s="2"/>
      <c r="RRW54" s="2"/>
      <c r="RRX54" s="42"/>
      <c r="RRY54" s="42"/>
      <c r="RRZ54" s="42"/>
      <c r="RSA54" s="42"/>
      <c r="RSB54" s="42"/>
      <c r="RSC54" s="42"/>
      <c r="RSD54" s="42"/>
      <c r="RSE54" s="42"/>
      <c r="RSF54" s="42"/>
      <c r="RSG54" s="42"/>
      <c r="RSH54" s="42"/>
      <c r="RSI54" s="42"/>
      <c r="RSJ54" s="42"/>
      <c r="RSK54" s="42"/>
      <c r="RSL54" s="42"/>
      <c r="RSM54" s="42"/>
      <c r="RSN54" s="42"/>
      <c r="RSO54" s="42"/>
      <c r="RSP54" s="42"/>
      <c r="RSQ54" s="42"/>
      <c r="RSR54" s="42"/>
      <c r="RSS54" s="42"/>
      <c r="RST54" s="42"/>
      <c r="RSU54" s="2"/>
      <c r="RSV54" s="15"/>
      <c r="RSW54" s="42"/>
      <c r="RSX54" s="2"/>
      <c r="RSY54" s="2"/>
      <c r="RSZ54" s="2"/>
      <c r="RTA54" s="2"/>
      <c r="RTB54" s="42"/>
      <c r="RTC54" s="42"/>
      <c r="RTD54" s="42"/>
      <c r="RTE54" s="42"/>
      <c r="RTF54" s="42"/>
      <c r="RTG54" s="42"/>
      <c r="RTH54" s="42"/>
      <c r="RTI54" s="42"/>
      <c r="RTJ54" s="42"/>
      <c r="RTK54" s="42"/>
      <c r="RTL54" s="42"/>
      <c r="RTM54" s="42"/>
      <c r="RTN54" s="42"/>
      <c r="RTO54" s="42"/>
      <c r="RTP54" s="42"/>
      <c r="RTQ54" s="42"/>
      <c r="RTR54" s="42"/>
      <c r="RTS54" s="42"/>
      <c r="RTT54" s="42"/>
      <c r="RTU54" s="42"/>
      <c r="RTV54" s="42"/>
      <c r="RTW54" s="42"/>
      <c r="RTX54" s="42"/>
      <c r="RTY54" s="2"/>
      <c r="RTZ54" s="15"/>
      <c r="RUA54" s="42"/>
      <c r="RUB54" s="2"/>
      <c r="RUC54" s="2"/>
      <c r="RUD54" s="2"/>
      <c r="RUE54" s="2"/>
      <c r="RUF54" s="42"/>
      <c r="RUG54" s="42"/>
      <c r="RUH54" s="42"/>
      <c r="RUI54" s="42"/>
      <c r="RUJ54" s="42"/>
      <c r="RUK54" s="42"/>
      <c r="RUL54" s="42"/>
      <c r="RUM54" s="42"/>
      <c r="RUN54" s="42"/>
      <c r="RUO54" s="42"/>
      <c r="RUP54" s="42"/>
      <c r="RUQ54" s="42"/>
      <c r="RUR54" s="42"/>
      <c r="RUS54" s="42"/>
      <c r="RUT54" s="42"/>
      <c r="RUU54" s="42"/>
      <c r="RUV54" s="42"/>
      <c r="RUW54" s="42"/>
      <c r="RUX54" s="42"/>
      <c r="RUY54" s="42"/>
      <c r="RUZ54" s="42"/>
      <c r="RVA54" s="42"/>
      <c r="RVB54" s="42"/>
      <c r="RVC54" s="2"/>
      <c r="RVD54" s="15"/>
      <c r="RVE54" s="42"/>
      <c r="RVF54" s="2"/>
      <c r="RVG54" s="2"/>
      <c r="RVH54" s="2"/>
      <c r="RVI54" s="2"/>
      <c r="RVJ54" s="42"/>
      <c r="RVK54" s="42"/>
      <c r="RVL54" s="42"/>
      <c r="RVM54" s="42"/>
      <c r="RVN54" s="42"/>
      <c r="RVO54" s="42"/>
      <c r="RVP54" s="42"/>
      <c r="RVQ54" s="42"/>
      <c r="RVR54" s="42"/>
      <c r="RVS54" s="42"/>
      <c r="RVT54" s="42"/>
      <c r="RVU54" s="42"/>
      <c r="RVV54" s="42"/>
      <c r="RVW54" s="42"/>
      <c r="RVX54" s="42"/>
      <c r="RVY54" s="42"/>
      <c r="RVZ54" s="42"/>
      <c r="RWA54" s="42"/>
      <c r="RWB54" s="42"/>
      <c r="RWC54" s="42"/>
      <c r="RWD54" s="42"/>
      <c r="RWE54" s="42"/>
      <c r="RWF54" s="42"/>
      <c r="RWG54" s="2"/>
      <c r="RWH54" s="15"/>
      <c r="RWI54" s="42"/>
      <c r="RWJ54" s="2"/>
      <c r="RWK54" s="2"/>
      <c r="RWL54" s="2"/>
      <c r="RWM54" s="2"/>
      <c r="RWN54" s="42"/>
      <c r="RWO54" s="42"/>
      <c r="RWP54" s="42"/>
      <c r="RWQ54" s="42"/>
      <c r="RWR54" s="42"/>
      <c r="RWS54" s="42"/>
      <c r="RWT54" s="42"/>
      <c r="RWU54" s="42"/>
      <c r="RWV54" s="42"/>
      <c r="RWW54" s="42"/>
      <c r="RWX54" s="42"/>
      <c r="RWY54" s="42"/>
      <c r="RWZ54" s="42"/>
      <c r="RXA54" s="42"/>
      <c r="RXB54" s="42"/>
      <c r="RXC54" s="42"/>
      <c r="RXD54" s="42"/>
      <c r="RXE54" s="42"/>
      <c r="RXF54" s="42"/>
      <c r="RXG54" s="42"/>
      <c r="RXH54" s="42"/>
      <c r="RXI54" s="42"/>
      <c r="RXJ54" s="42"/>
      <c r="RXK54" s="2"/>
      <c r="RXL54" s="15"/>
      <c r="RXM54" s="42"/>
      <c r="RXN54" s="2"/>
      <c r="RXO54" s="2"/>
      <c r="RXP54" s="2"/>
      <c r="RXQ54" s="2"/>
      <c r="RXR54" s="42"/>
      <c r="RXS54" s="42"/>
      <c r="RXT54" s="42"/>
      <c r="RXU54" s="42"/>
      <c r="RXV54" s="42"/>
      <c r="RXW54" s="42"/>
      <c r="RXX54" s="42"/>
      <c r="RXY54" s="42"/>
      <c r="RXZ54" s="42"/>
      <c r="RYA54" s="42"/>
      <c r="RYB54" s="42"/>
      <c r="RYC54" s="42"/>
      <c r="RYD54" s="42"/>
      <c r="RYE54" s="42"/>
      <c r="RYF54" s="42"/>
      <c r="RYG54" s="42"/>
      <c r="RYH54" s="42"/>
      <c r="RYI54" s="42"/>
      <c r="RYJ54" s="42"/>
      <c r="RYK54" s="42"/>
      <c r="RYL54" s="42"/>
      <c r="RYM54" s="42"/>
      <c r="RYN54" s="42"/>
      <c r="RYO54" s="2"/>
      <c r="RYP54" s="15"/>
      <c r="RYQ54" s="42"/>
      <c r="RYR54" s="2"/>
      <c r="RYS54" s="2"/>
      <c r="RYT54" s="2"/>
      <c r="RYU54" s="2"/>
      <c r="RYV54" s="42"/>
      <c r="RYW54" s="42"/>
      <c r="RYX54" s="42"/>
      <c r="RYY54" s="42"/>
      <c r="RYZ54" s="42"/>
      <c r="RZA54" s="42"/>
      <c r="RZB54" s="42"/>
      <c r="RZC54" s="42"/>
      <c r="RZD54" s="42"/>
      <c r="RZE54" s="42"/>
      <c r="RZF54" s="42"/>
      <c r="RZG54" s="42"/>
      <c r="RZH54" s="42"/>
      <c r="RZI54" s="42"/>
      <c r="RZJ54" s="42"/>
      <c r="RZK54" s="42"/>
      <c r="RZL54" s="42"/>
      <c r="RZM54" s="42"/>
      <c r="RZN54" s="42"/>
      <c r="RZO54" s="42"/>
      <c r="RZP54" s="42"/>
      <c r="RZQ54" s="42"/>
      <c r="RZR54" s="42"/>
      <c r="RZS54" s="2"/>
      <c r="RZT54" s="15"/>
      <c r="RZU54" s="42"/>
      <c r="RZV54" s="2"/>
      <c r="RZW54" s="2"/>
      <c r="RZX54" s="2"/>
      <c r="RZY54" s="2"/>
      <c r="RZZ54" s="42"/>
      <c r="SAA54" s="42"/>
      <c r="SAB54" s="42"/>
      <c r="SAC54" s="42"/>
      <c r="SAD54" s="42"/>
      <c r="SAE54" s="42"/>
      <c r="SAF54" s="42"/>
      <c r="SAG54" s="42"/>
      <c r="SAH54" s="42"/>
      <c r="SAI54" s="42"/>
      <c r="SAJ54" s="42"/>
      <c r="SAK54" s="42"/>
      <c r="SAL54" s="42"/>
      <c r="SAM54" s="42"/>
      <c r="SAN54" s="42"/>
      <c r="SAO54" s="42"/>
      <c r="SAP54" s="42"/>
      <c r="SAQ54" s="42"/>
      <c r="SAR54" s="42"/>
      <c r="SAS54" s="42"/>
      <c r="SAT54" s="42"/>
      <c r="SAU54" s="42"/>
      <c r="SAV54" s="42"/>
      <c r="SAW54" s="2"/>
      <c r="SAX54" s="15"/>
      <c r="SAY54" s="42"/>
      <c r="SAZ54" s="2"/>
      <c r="SBA54" s="2"/>
      <c r="SBB54" s="2"/>
      <c r="SBC54" s="2"/>
      <c r="SBD54" s="42"/>
      <c r="SBE54" s="42"/>
      <c r="SBF54" s="42"/>
      <c r="SBG54" s="42"/>
      <c r="SBH54" s="42"/>
      <c r="SBI54" s="42"/>
      <c r="SBJ54" s="42"/>
      <c r="SBK54" s="42"/>
      <c r="SBL54" s="42"/>
      <c r="SBM54" s="42"/>
      <c r="SBN54" s="42"/>
      <c r="SBO54" s="42"/>
      <c r="SBP54" s="42"/>
      <c r="SBQ54" s="42"/>
      <c r="SBR54" s="42"/>
      <c r="SBS54" s="42"/>
      <c r="SBT54" s="42"/>
      <c r="SBU54" s="42"/>
      <c r="SBV54" s="42"/>
      <c r="SBW54" s="42"/>
      <c r="SBX54" s="42"/>
      <c r="SBY54" s="42"/>
      <c r="SBZ54" s="42"/>
      <c r="SCA54" s="2"/>
      <c r="SCB54" s="15"/>
      <c r="SCC54" s="42"/>
      <c r="SCD54" s="2"/>
      <c r="SCE54" s="2"/>
      <c r="SCF54" s="2"/>
      <c r="SCG54" s="2"/>
      <c r="SCH54" s="42"/>
      <c r="SCI54" s="42"/>
      <c r="SCJ54" s="42"/>
      <c r="SCK54" s="42"/>
      <c r="SCL54" s="42"/>
      <c r="SCM54" s="42"/>
      <c r="SCN54" s="42"/>
      <c r="SCO54" s="42"/>
      <c r="SCP54" s="42"/>
      <c r="SCQ54" s="42"/>
      <c r="SCR54" s="42"/>
      <c r="SCS54" s="42"/>
      <c r="SCT54" s="42"/>
      <c r="SCU54" s="42"/>
      <c r="SCV54" s="42"/>
      <c r="SCW54" s="42"/>
      <c r="SCX54" s="42"/>
      <c r="SCY54" s="42"/>
      <c r="SCZ54" s="42"/>
      <c r="SDA54" s="42"/>
      <c r="SDB54" s="42"/>
      <c r="SDC54" s="42"/>
      <c r="SDD54" s="42"/>
      <c r="SDE54" s="2"/>
      <c r="SDF54" s="15"/>
      <c r="SDG54" s="42"/>
      <c r="SDH54" s="2"/>
      <c r="SDI54" s="2"/>
      <c r="SDJ54" s="2"/>
      <c r="SDK54" s="2"/>
      <c r="SDL54" s="42"/>
      <c r="SDM54" s="42"/>
      <c r="SDN54" s="42"/>
      <c r="SDO54" s="42"/>
      <c r="SDP54" s="42"/>
      <c r="SDQ54" s="42"/>
      <c r="SDR54" s="42"/>
      <c r="SDS54" s="42"/>
      <c r="SDT54" s="42"/>
      <c r="SDU54" s="42"/>
      <c r="SDV54" s="42"/>
      <c r="SDW54" s="42"/>
      <c r="SDX54" s="42"/>
      <c r="SDY54" s="42"/>
      <c r="SDZ54" s="42"/>
      <c r="SEA54" s="42"/>
      <c r="SEB54" s="42"/>
      <c r="SEC54" s="42"/>
      <c r="SED54" s="42"/>
      <c r="SEE54" s="42"/>
      <c r="SEF54" s="42"/>
      <c r="SEG54" s="42"/>
      <c r="SEH54" s="42"/>
      <c r="SEI54" s="2"/>
      <c r="SEJ54" s="15"/>
      <c r="SEK54" s="42"/>
      <c r="SEL54" s="2"/>
      <c r="SEM54" s="2"/>
      <c r="SEN54" s="2"/>
      <c r="SEO54" s="2"/>
      <c r="SEP54" s="42"/>
      <c r="SEQ54" s="42"/>
      <c r="SER54" s="42"/>
      <c r="SES54" s="42"/>
      <c r="SET54" s="42"/>
      <c r="SEU54" s="42"/>
      <c r="SEV54" s="42"/>
      <c r="SEW54" s="42"/>
      <c r="SEX54" s="42"/>
      <c r="SEY54" s="42"/>
      <c r="SEZ54" s="42"/>
      <c r="SFA54" s="42"/>
      <c r="SFB54" s="42"/>
      <c r="SFC54" s="42"/>
      <c r="SFD54" s="42"/>
      <c r="SFE54" s="42"/>
      <c r="SFF54" s="42"/>
      <c r="SFG54" s="42"/>
      <c r="SFH54" s="42"/>
      <c r="SFI54" s="42"/>
      <c r="SFJ54" s="42"/>
      <c r="SFK54" s="42"/>
      <c r="SFL54" s="42"/>
      <c r="SFM54" s="2"/>
      <c r="SFN54" s="15"/>
      <c r="SFO54" s="42"/>
      <c r="SFP54" s="2"/>
      <c r="SFQ54" s="2"/>
      <c r="SFR54" s="2"/>
      <c r="SFS54" s="2"/>
      <c r="SFT54" s="42"/>
      <c r="SFU54" s="42"/>
      <c r="SFV54" s="42"/>
      <c r="SFW54" s="42"/>
      <c r="SFX54" s="42"/>
      <c r="SFY54" s="42"/>
      <c r="SFZ54" s="42"/>
      <c r="SGA54" s="42"/>
      <c r="SGB54" s="42"/>
      <c r="SGC54" s="42"/>
      <c r="SGD54" s="42"/>
      <c r="SGE54" s="42"/>
      <c r="SGF54" s="42"/>
      <c r="SGG54" s="42"/>
      <c r="SGH54" s="42"/>
      <c r="SGI54" s="42"/>
      <c r="SGJ54" s="42"/>
      <c r="SGK54" s="42"/>
      <c r="SGL54" s="42"/>
      <c r="SGM54" s="42"/>
      <c r="SGN54" s="42"/>
      <c r="SGO54" s="42"/>
      <c r="SGP54" s="42"/>
      <c r="SGQ54" s="2"/>
      <c r="SGR54" s="15"/>
      <c r="SGS54" s="42"/>
      <c r="SGT54" s="2"/>
      <c r="SGU54" s="2"/>
      <c r="SGV54" s="2"/>
      <c r="SGW54" s="2"/>
      <c r="SGX54" s="42"/>
      <c r="SGY54" s="42"/>
      <c r="SGZ54" s="42"/>
      <c r="SHA54" s="42"/>
      <c r="SHB54" s="42"/>
      <c r="SHC54" s="42"/>
      <c r="SHD54" s="42"/>
      <c r="SHE54" s="42"/>
      <c r="SHF54" s="42"/>
      <c r="SHG54" s="42"/>
      <c r="SHH54" s="42"/>
      <c r="SHI54" s="42"/>
      <c r="SHJ54" s="42"/>
      <c r="SHK54" s="42"/>
      <c r="SHL54" s="42"/>
      <c r="SHM54" s="42"/>
      <c r="SHN54" s="42"/>
      <c r="SHO54" s="42"/>
      <c r="SHP54" s="42"/>
      <c r="SHQ54" s="42"/>
      <c r="SHR54" s="42"/>
      <c r="SHS54" s="42"/>
      <c r="SHT54" s="42"/>
      <c r="SHU54" s="2"/>
      <c r="SHV54" s="15"/>
      <c r="SHW54" s="42"/>
      <c r="SHX54" s="2"/>
      <c r="SHY54" s="2"/>
      <c r="SHZ54" s="2"/>
      <c r="SIA54" s="2"/>
      <c r="SIB54" s="42"/>
      <c r="SIC54" s="42"/>
      <c r="SID54" s="42"/>
      <c r="SIE54" s="42"/>
      <c r="SIF54" s="42"/>
      <c r="SIG54" s="42"/>
      <c r="SIH54" s="42"/>
      <c r="SII54" s="42"/>
      <c r="SIJ54" s="42"/>
      <c r="SIK54" s="42"/>
      <c r="SIL54" s="42"/>
      <c r="SIM54" s="42"/>
      <c r="SIN54" s="42"/>
      <c r="SIO54" s="42"/>
      <c r="SIP54" s="42"/>
      <c r="SIQ54" s="42"/>
      <c r="SIR54" s="42"/>
      <c r="SIS54" s="42"/>
      <c r="SIT54" s="42"/>
      <c r="SIU54" s="42"/>
      <c r="SIV54" s="42"/>
      <c r="SIW54" s="42"/>
      <c r="SIX54" s="42"/>
      <c r="SIY54" s="2"/>
      <c r="SIZ54" s="15"/>
      <c r="SJA54" s="42"/>
      <c r="SJB54" s="2"/>
      <c r="SJC54" s="2"/>
      <c r="SJD54" s="2"/>
      <c r="SJE54" s="2"/>
      <c r="SJF54" s="42"/>
      <c r="SJG54" s="42"/>
      <c r="SJH54" s="42"/>
      <c r="SJI54" s="42"/>
      <c r="SJJ54" s="42"/>
      <c r="SJK54" s="42"/>
      <c r="SJL54" s="42"/>
      <c r="SJM54" s="42"/>
      <c r="SJN54" s="42"/>
      <c r="SJO54" s="42"/>
      <c r="SJP54" s="42"/>
      <c r="SJQ54" s="42"/>
      <c r="SJR54" s="42"/>
      <c r="SJS54" s="42"/>
      <c r="SJT54" s="42"/>
      <c r="SJU54" s="42"/>
      <c r="SJV54" s="42"/>
      <c r="SJW54" s="42"/>
      <c r="SJX54" s="42"/>
      <c r="SJY54" s="42"/>
      <c r="SJZ54" s="42"/>
      <c r="SKA54" s="42"/>
      <c r="SKB54" s="42"/>
      <c r="SKC54" s="2"/>
      <c r="SKD54" s="15"/>
      <c r="SKE54" s="42"/>
      <c r="SKF54" s="2"/>
      <c r="SKG54" s="2"/>
      <c r="SKH54" s="2"/>
      <c r="SKI54" s="2"/>
      <c r="SKJ54" s="42"/>
      <c r="SKK54" s="42"/>
      <c r="SKL54" s="42"/>
      <c r="SKM54" s="42"/>
      <c r="SKN54" s="42"/>
      <c r="SKO54" s="42"/>
      <c r="SKP54" s="42"/>
      <c r="SKQ54" s="42"/>
      <c r="SKR54" s="42"/>
      <c r="SKS54" s="42"/>
      <c r="SKT54" s="42"/>
      <c r="SKU54" s="42"/>
      <c r="SKV54" s="42"/>
      <c r="SKW54" s="42"/>
      <c r="SKX54" s="42"/>
      <c r="SKY54" s="42"/>
      <c r="SKZ54" s="42"/>
      <c r="SLA54" s="42"/>
      <c r="SLB54" s="42"/>
      <c r="SLC54" s="42"/>
      <c r="SLD54" s="42"/>
      <c r="SLE54" s="42"/>
      <c r="SLF54" s="42"/>
      <c r="SLG54" s="2"/>
      <c r="SLH54" s="15"/>
      <c r="SLI54" s="42"/>
      <c r="SLJ54" s="2"/>
      <c r="SLK54" s="2"/>
      <c r="SLL54" s="2"/>
      <c r="SLM54" s="2"/>
      <c r="SLN54" s="42"/>
      <c r="SLO54" s="42"/>
      <c r="SLP54" s="42"/>
      <c r="SLQ54" s="42"/>
      <c r="SLR54" s="42"/>
      <c r="SLS54" s="42"/>
      <c r="SLT54" s="42"/>
      <c r="SLU54" s="42"/>
      <c r="SLV54" s="42"/>
      <c r="SLW54" s="42"/>
      <c r="SLX54" s="42"/>
      <c r="SLY54" s="42"/>
      <c r="SLZ54" s="42"/>
      <c r="SMA54" s="42"/>
      <c r="SMB54" s="42"/>
      <c r="SMC54" s="42"/>
      <c r="SMD54" s="42"/>
      <c r="SME54" s="42"/>
      <c r="SMF54" s="42"/>
      <c r="SMG54" s="42"/>
      <c r="SMH54" s="42"/>
      <c r="SMI54" s="42"/>
      <c r="SMJ54" s="42"/>
      <c r="SMK54" s="2"/>
      <c r="SML54" s="15"/>
      <c r="SMM54" s="42"/>
      <c r="SMN54" s="2"/>
      <c r="SMO54" s="2"/>
      <c r="SMP54" s="2"/>
      <c r="SMQ54" s="2"/>
      <c r="SMR54" s="42"/>
      <c r="SMS54" s="42"/>
      <c r="SMT54" s="42"/>
      <c r="SMU54" s="42"/>
      <c r="SMV54" s="42"/>
      <c r="SMW54" s="42"/>
      <c r="SMX54" s="42"/>
      <c r="SMY54" s="42"/>
      <c r="SMZ54" s="42"/>
      <c r="SNA54" s="42"/>
      <c r="SNB54" s="42"/>
      <c r="SNC54" s="42"/>
      <c r="SND54" s="42"/>
      <c r="SNE54" s="42"/>
      <c r="SNF54" s="42"/>
      <c r="SNG54" s="42"/>
      <c r="SNH54" s="42"/>
      <c r="SNI54" s="42"/>
      <c r="SNJ54" s="42"/>
      <c r="SNK54" s="42"/>
      <c r="SNL54" s="42"/>
      <c r="SNM54" s="42"/>
      <c r="SNN54" s="42"/>
      <c r="SNO54" s="2"/>
      <c r="SNP54" s="15"/>
      <c r="SNQ54" s="42"/>
      <c r="SNR54" s="2"/>
      <c r="SNS54" s="2"/>
      <c r="SNT54" s="2"/>
      <c r="SNU54" s="2"/>
      <c r="SNV54" s="42"/>
      <c r="SNW54" s="42"/>
      <c r="SNX54" s="42"/>
      <c r="SNY54" s="42"/>
      <c r="SNZ54" s="42"/>
      <c r="SOA54" s="42"/>
      <c r="SOB54" s="42"/>
      <c r="SOC54" s="42"/>
      <c r="SOD54" s="42"/>
      <c r="SOE54" s="42"/>
      <c r="SOF54" s="42"/>
      <c r="SOG54" s="42"/>
      <c r="SOH54" s="42"/>
      <c r="SOI54" s="42"/>
      <c r="SOJ54" s="42"/>
      <c r="SOK54" s="42"/>
      <c r="SOL54" s="42"/>
      <c r="SOM54" s="42"/>
      <c r="SON54" s="42"/>
      <c r="SOO54" s="42"/>
      <c r="SOP54" s="42"/>
      <c r="SOQ54" s="42"/>
      <c r="SOR54" s="42"/>
      <c r="SOS54" s="2"/>
      <c r="SOT54" s="15"/>
      <c r="SOU54" s="42"/>
      <c r="SOV54" s="2"/>
      <c r="SOW54" s="2"/>
      <c r="SOX54" s="2"/>
      <c r="SOY54" s="2"/>
      <c r="SOZ54" s="42"/>
      <c r="SPA54" s="42"/>
      <c r="SPB54" s="42"/>
      <c r="SPC54" s="42"/>
      <c r="SPD54" s="42"/>
      <c r="SPE54" s="42"/>
      <c r="SPF54" s="42"/>
      <c r="SPG54" s="42"/>
      <c r="SPH54" s="42"/>
      <c r="SPI54" s="42"/>
      <c r="SPJ54" s="42"/>
      <c r="SPK54" s="42"/>
      <c r="SPL54" s="42"/>
      <c r="SPM54" s="42"/>
      <c r="SPN54" s="42"/>
      <c r="SPO54" s="42"/>
      <c r="SPP54" s="42"/>
      <c r="SPQ54" s="42"/>
      <c r="SPR54" s="42"/>
      <c r="SPS54" s="42"/>
      <c r="SPT54" s="42"/>
      <c r="SPU54" s="42"/>
      <c r="SPV54" s="42"/>
      <c r="SPW54" s="2"/>
      <c r="SPX54" s="15"/>
      <c r="SPY54" s="42"/>
      <c r="SPZ54" s="2"/>
      <c r="SQA54" s="2"/>
      <c r="SQB54" s="2"/>
      <c r="SQC54" s="2"/>
      <c r="SQD54" s="42"/>
      <c r="SQE54" s="42"/>
      <c r="SQF54" s="42"/>
      <c r="SQG54" s="42"/>
      <c r="SQH54" s="42"/>
      <c r="SQI54" s="42"/>
      <c r="SQJ54" s="42"/>
      <c r="SQK54" s="42"/>
      <c r="SQL54" s="42"/>
      <c r="SQM54" s="42"/>
      <c r="SQN54" s="42"/>
      <c r="SQO54" s="42"/>
      <c r="SQP54" s="42"/>
      <c r="SQQ54" s="42"/>
      <c r="SQR54" s="42"/>
      <c r="SQS54" s="42"/>
      <c r="SQT54" s="42"/>
      <c r="SQU54" s="42"/>
      <c r="SQV54" s="42"/>
      <c r="SQW54" s="42"/>
      <c r="SQX54" s="42"/>
      <c r="SQY54" s="42"/>
      <c r="SQZ54" s="42"/>
      <c r="SRA54" s="2"/>
      <c r="SRB54" s="15"/>
      <c r="SRC54" s="42"/>
      <c r="SRD54" s="2"/>
      <c r="SRE54" s="2"/>
      <c r="SRF54" s="2"/>
      <c r="SRG54" s="2"/>
      <c r="SRH54" s="42"/>
      <c r="SRI54" s="42"/>
      <c r="SRJ54" s="42"/>
      <c r="SRK54" s="42"/>
      <c r="SRL54" s="42"/>
      <c r="SRM54" s="42"/>
      <c r="SRN54" s="42"/>
      <c r="SRO54" s="42"/>
      <c r="SRP54" s="42"/>
      <c r="SRQ54" s="42"/>
      <c r="SRR54" s="42"/>
      <c r="SRS54" s="42"/>
      <c r="SRT54" s="42"/>
      <c r="SRU54" s="42"/>
      <c r="SRV54" s="42"/>
      <c r="SRW54" s="42"/>
      <c r="SRX54" s="42"/>
      <c r="SRY54" s="42"/>
      <c r="SRZ54" s="42"/>
      <c r="SSA54" s="42"/>
      <c r="SSB54" s="42"/>
      <c r="SSC54" s="42"/>
      <c r="SSD54" s="42"/>
      <c r="SSE54" s="2"/>
      <c r="SSF54" s="15"/>
      <c r="SSG54" s="42"/>
      <c r="SSH54" s="2"/>
      <c r="SSI54" s="2"/>
      <c r="SSJ54" s="2"/>
      <c r="SSK54" s="2"/>
      <c r="SSL54" s="42"/>
      <c r="SSM54" s="42"/>
      <c r="SSN54" s="42"/>
      <c r="SSO54" s="42"/>
      <c r="SSP54" s="42"/>
      <c r="SSQ54" s="42"/>
      <c r="SSR54" s="42"/>
      <c r="SSS54" s="42"/>
      <c r="SST54" s="42"/>
      <c r="SSU54" s="42"/>
      <c r="SSV54" s="42"/>
      <c r="SSW54" s="42"/>
      <c r="SSX54" s="42"/>
      <c r="SSY54" s="42"/>
      <c r="SSZ54" s="42"/>
      <c r="STA54" s="42"/>
      <c r="STB54" s="42"/>
      <c r="STC54" s="42"/>
      <c r="STD54" s="42"/>
      <c r="STE54" s="42"/>
      <c r="STF54" s="42"/>
      <c r="STG54" s="42"/>
      <c r="STH54" s="42"/>
      <c r="STI54" s="2"/>
      <c r="STJ54" s="15"/>
      <c r="STK54" s="42"/>
      <c r="STL54" s="2"/>
      <c r="STM54" s="2"/>
      <c r="STN54" s="2"/>
      <c r="STO54" s="2"/>
      <c r="STP54" s="42"/>
      <c r="STQ54" s="42"/>
      <c r="STR54" s="42"/>
      <c r="STS54" s="42"/>
      <c r="STT54" s="42"/>
      <c r="STU54" s="42"/>
      <c r="STV54" s="42"/>
      <c r="STW54" s="42"/>
      <c r="STX54" s="42"/>
      <c r="STY54" s="42"/>
      <c r="STZ54" s="42"/>
      <c r="SUA54" s="42"/>
      <c r="SUB54" s="42"/>
      <c r="SUC54" s="42"/>
      <c r="SUD54" s="42"/>
      <c r="SUE54" s="42"/>
      <c r="SUF54" s="42"/>
      <c r="SUG54" s="42"/>
      <c r="SUH54" s="42"/>
      <c r="SUI54" s="42"/>
      <c r="SUJ54" s="42"/>
      <c r="SUK54" s="42"/>
      <c r="SUL54" s="42"/>
      <c r="SUM54" s="2"/>
      <c r="SUN54" s="15"/>
      <c r="SUO54" s="42"/>
      <c r="SUP54" s="2"/>
      <c r="SUQ54" s="2"/>
      <c r="SUR54" s="2"/>
      <c r="SUS54" s="2"/>
      <c r="SUT54" s="42"/>
      <c r="SUU54" s="42"/>
      <c r="SUV54" s="42"/>
      <c r="SUW54" s="42"/>
      <c r="SUX54" s="42"/>
      <c r="SUY54" s="42"/>
      <c r="SUZ54" s="42"/>
      <c r="SVA54" s="42"/>
      <c r="SVB54" s="42"/>
      <c r="SVC54" s="42"/>
      <c r="SVD54" s="42"/>
      <c r="SVE54" s="42"/>
      <c r="SVF54" s="42"/>
      <c r="SVG54" s="42"/>
      <c r="SVH54" s="42"/>
      <c r="SVI54" s="42"/>
      <c r="SVJ54" s="42"/>
      <c r="SVK54" s="42"/>
      <c r="SVL54" s="42"/>
      <c r="SVM54" s="42"/>
      <c r="SVN54" s="42"/>
      <c r="SVO54" s="42"/>
      <c r="SVP54" s="42"/>
      <c r="SVQ54" s="2"/>
      <c r="SVR54" s="15"/>
      <c r="SVS54" s="42"/>
      <c r="SVT54" s="2"/>
      <c r="SVU54" s="2"/>
      <c r="SVV54" s="2"/>
      <c r="SVW54" s="2"/>
      <c r="SVX54" s="42"/>
      <c r="SVY54" s="42"/>
      <c r="SVZ54" s="42"/>
      <c r="SWA54" s="42"/>
      <c r="SWB54" s="42"/>
      <c r="SWC54" s="42"/>
      <c r="SWD54" s="42"/>
      <c r="SWE54" s="42"/>
      <c r="SWF54" s="42"/>
      <c r="SWG54" s="42"/>
      <c r="SWH54" s="42"/>
      <c r="SWI54" s="42"/>
      <c r="SWJ54" s="42"/>
      <c r="SWK54" s="42"/>
      <c r="SWL54" s="42"/>
      <c r="SWM54" s="42"/>
      <c r="SWN54" s="42"/>
      <c r="SWO54" s="42"/>
      <c r="SWP54" s="42"/>
      <c r="SWQ54" s="42"/>
      <c r="SWR54" s="42"/>
      <c r="SWS54" s="42"/>
      <c r="SWT54" s="42"/>
      <c r="SWU54" s="2"/>
      <c r="SWV54" s="15"/>
      <c r="SWW54" s="42"/>
      <c r="SWX54" s="2"/>
      <c r="SWY54" s="2"/>
      <c r="SWZ54" s="2"/>
      <c r="SXA54" s="2"/>
      <c r="SXB54" s="42"/>
      <c r="SXC54" s="42"/>
      <c r="SXD54" s="42"/>
      <c r="SXE54" s="42"/>
      <c r="SXF54" s="42"/>
      <c r="SXG54" s="42"/>
      <c r="SXH54" s="42"/>
      <c r="SXI54" s="42"/>
      <c r="SXJ54" s="42"/>
      <c r="SXK54" s="42"/>
      <c r="SXL54" s="42"/>
      <c r="SXM54" s="42"/>
      <c r="SXN54" s="42"/>
      <c r="SXO54" s="42"/>
      <c r="SXP54" s="42"/>
      <c r="SXQ54" s="42"/>
      <c r="SXR54" s="42"/>
      <c r="SXS54" s="42"/>
      <c r="SXT54" s="42"/>
      <c r="SXU54" s="42"/>
      <c r="SXV54" s="42"/>
      <c r="SXW54" s="42"/>
      <c r="SXX54" s="42"/>
      <c r="SXY54" s="2"/>
      <c r="SXZ54" s="15"/>
      <c r="SYA54" s="42"/>
      <c r="SYB54" s="2"/>
      <c r="SYC54" s="2"/>
      <c r="SYD54" s="2"/>
      <c r="SYE54" s="2"/>
      <c r="SYF54" s="42"/>
      <c r="SYG54" s="42"/>
      <c r="SYH54" s="42"/>
      <c r="SYI54" s="42"/>
      <c r="SYJ54" s="42"/>
      <c r="SYK54" s="42"/>
      <c r="SYL54" s="42"/>
      <c r="SYM54" s="42"/>
      <c r="SYN54" s="42"/>
      <c r="SYO54" s="42"/>
      <c r="SYP54" s="42"/>
      <c r="SYQ54" s="42"/>
      <c r="SYR54" s="42"/>
      <c r="SYS54" s="42"/>
      <c r="SYT54" s="42"/>
      <c r="SYU54" s="42"/>
      <c r="SYV54" s="42"/>
      <c r="SYW54" s="42"/>
      <c r="SYX54" s="42"/>
      <c r="SYY54" s="42"/>
      <c r="SYZ54" s="42"/>
      <c r="SZA54" s="42"/>
      <c r="SZB54" s="42"/>
      <c r="SZC54" s="2"/>
      <c r="SZD54" s="15"/>
      <c r="SZE54" s="42"/>
      <c r="SZF54" s="2"/>
      <c r="SZG54" s="2"/>
      <c r="SZH54" s="2"/>
      <c r="SZI54" s="2"/>
      <c r="SZJ54" s="42"/>
      <c r="SZK54" s="42"/>
      <c r="SZL54" s="42"/>
      <c r="SZM54" s="42"/>
      <c r="SZN54" s="42"/>
      <c r="SZO54" s="42"/>
      <c r="SZP54" s="42"/>
      <c r="SZQ54" s="42"/>
      <c r="SZR54" s="42"/>
      <c r="SZS54" s="42"/>
      <c r="SZT54" s="42"/>
      <c r="SZU54" s="42"/>
      <c r="SZV54" s="42"/>
      <c r="SZW54" s="42"/>
      <c r="SZX54" s="42"/>
      <c r="SZY54" s="42"/>
      <c r="SZZ54" s="42"/>
      <c r="TAA54" s="42"/>
      <c r="TAB54" s="42"/>
      <c r="TAC54" s="42"/>
      <c r="TAD54" s="42"/>
      <c r="TAE54" s="42"/>
      <c r="TAF54" s="42"/>
      <c r="TAG54" s="2"/>
      <c r="TAH54" s="15"/>
      <c r="TAI54" s="42"/>
      <c r="TAJ54" s="2"/>
      <c r="TAK54" s="2"/>
      <c r="TAL54" s="2"/>
      <c r="TAM54" s="2"/>
      <c r="TAN54" s="42"/>
      <c r="TAO54" s="42"/>
      <c r="TAP54" s="42"/>
      <c r="TAQ54" s="42"/>
      <c r="TAR54" s="42"/>
      <c r="TAS54" s="42"/>
      <c r="TAT54" s="42"/>
      <c r="TAU54" s="42"/>
      <c r="TAV54" s="42"/>
      <c r="TAW54" s="42"/>
      <c r="TAX54" s="42"/>
      <c r="TAY54" s="42"/>
      <c r="TAZ54" s="42"/>
      <c r="TBA54" s="42"/>
      <c r="TBB54" s="42"/>
      <c r="TBC54" s="42"/>
      <c r="TBD54" s="42"/>
      <c r="TBE54" s="42"/>
      <c r="TBF54" s="42"/>
      <c r="TBG54" s="42"/>
      <c r="TBH54" s="42"/>
      <c r="TBI54" s="42"/>
      <c r="TBJ54" s="42"/>
      <c r="TBK54" s="2"/>
      <c r="TBL54" s="15"/>
      <c r="TBM54" s="42"/>
      <c r="TBN54" s="2"/>
      <c r="TBO54" s="2"/>
      <c r="TBP54" s="2"/>
      <c r="TBQ54" s="2"/>
      <c r="TBR54" s="42"/>
      <c r="TBS54" s="42"/>
      <c r="TBT54" s="42"/>
      <c r="TBU54" s="42"/>
      <c r="TBV54" s="42"/>
      <c r="TBW54" s="42"/>
      <c r="TBX54" s="42"/>
      <c r="TBY54" s="42"/>
      <c r="TBZ54" s="42"/>
      <c r="TCA54" s="42"/>
      <c r="TCB54" s="42"/>
      <c r="TCC54" s="42"/>
      <c r="TCD54" s="42"/>
      <c r="TCE54" s="42"/>
      <c r="TCF54" s="42"/>
      <c r="TCG54" s="42"/>
      <c r="TCH54" s="42"/>
      <c r="TCI54" s="42"/>
      <c r="TCJ54" s="42"/>
      <c r="TCK54" s="42"/>
      <c r="TCL54" s="42"/>
      <c r="TCM54" s="42"/>
      <c r="TCN54" s="42"/>
      <c r="TCO54" s="2"/>
      <c r="TCP54" s="15"/>
      <c r="TCQ54" s="42"/>
      <c r="TCR54" s="2"/>
      <c r="TCS54" s="2"/>
      <c r="TCT54" s="2"/>
      <c r="TCU54" s="2"/>
      <c r="TCV54" s="42"/>
      <c r="TCW54" s="42"/>
      <c r="TCX54" s="42"/>
      <c r="TCY54" s="42"/>
      <c r="TCZ54" s="42"/>
      <c r="TDA54" s="42"/>
      <c r="TDB54" s="42"/>
      <c r="TDC54" s="42"/>
      <c r="TDD54" s="42"/>
      <c r="TDE54" s="42"/>
      <c r="TDF54" s="42"/>
      <c r="TDG54" s="42"/>
      <c r="TDH54" s="42"/>
      <c r="TDI54" s="42"/>
      <c r="TDJ54" s="42"/>
      <c r="TDK54" s="42"/>
      <c r="TDL54" s="42"/>
      <c r="TDM54" s="42"/>
      <c r="TDN54" s="42"/>
      <c r="TDO54" s="42"/>
      <c r="TDP54" s="42"/>
      <c r="TDQ54" s="42"/>
      <c r="TDR54" s="42"/>
      <c r="TDS54" s="2"/>
      <c r="TDT54" s="15"/>
      <c r="TDU54" s="42"/>
      <c r="TDV54" s="2"/>
      <c r="TDW54" s="2"/>
      <c r="TDX54" s="2"/>
      <c r="TDY54" s="2"/>
      <c r="TDZ54" s="42"/>
      <c r="TEA54" s="42"/>
      <c r="TEB54" s="42"/>
      <c r="TEC54" s="42"/>
      <c r="TED54" s="42"/>
      <c r="TEE54" s="42"/>
      <c r="TEF54" s="42"/>
      <c r="TEG54" s="42"/>
      <c r="TEH54" s="42"/>
      <c r="TEI54" s="42"/>
      <c r="TEJ54" s="42"/>
      <c r="TEK54" s="42"/>
      <c r="TEL54" s="42"/>
      <c r="TEM54" s="42"/>
      <c r="TEN54" s="42"/>
      <c r="TEO54" s="42"/>
      <c r="TEP54" s="42"/>
      <c r="TEQ54" s="42"/>
      <c r="TER54" s="42"/>
      <c r="TES54" s="42"/>
      <c r="TET54" s="42"/>
      <c r="TEU54" s="42"/>
      <c r="TEV54" s="42"/>
      <c r="TEW54" s="2"/>
      <c r="TEX54" s="15"/>
      <c r="TEY54" s="42"/>
      <c r="TEZ54" s="2"/>
      <c r="TFA54" s="2"/>
      <c r="TFB54" s="2"/>
      <c r="TFC54" s="2"/>
      <c r="TFD54" s="42"/>
      <c r="TFE54" s="42"/>
      <c r="TFF54" s="42"/>
      <c r="TFG54" s="42"/>
      <c r="TFH54" s="42"/>
      <c r="TFI54" s="42"/>
      <c r="TFJ54" s="42"/>
      <c r="TFK54" s="42"/>
      <c r="TFL54" s="42"/>
      <c r="TFM54" s="42"/>
      <c r="TFN54" s="42"/>
      <c r="TFO54" s="42"/>
      <c r="TFP54" s="42"/>
      <c r="TFQ54" s="42"/>
      <c r="TFR54" s="42"/>
      <c r="TFS54" s="42"/>
      <c r="TFT54" s="42"/>
      <c r="TFU54" s="42"/>
      <c r="TFV54" s="42"/>
      <c r="TFW54" s="42"/>
      <c r="TFX54" s="42"/>
      <c r="TFY54" s="42"/>
      <c r="TFZ54" s="42"/>
      <c r="TGA54" s="2"/>
      <c r="TGB54" s="15"/>
      <c r="TGC54" s="42"/>
      <c r="TGD54" s="2"/>
      <c r="TGE54" s="2"/>
      <c r="TGF54" s="2"/>
      <c r="TGG54" s="2"/>
      <c r="TGH54" s="42"/>
      <c r="TGI54" s="42"/>
      <c r="TGJ54" s="42"/>
      <c r="TGK54" s="42"/>
      <c r="TGL54" s="42"/>
      <c r="TGM54" s="42"/>
      <c r="TGN54" s="42"/>
      <c r="TGO54" s="42"/>
      <c r="TGP54" s="42"/>
      <c r="TGQ54" s="42"/>
      <c r="TGR54" s="42"/>
      <c r="TGS54" s="42"/>
      <c r="TGT54" s="42"/>
      <c r="TGU54" s="42"/>
      <c r="TGV54" s="42"/>
      <c r="TGW54" s="42"/>
      <c r="TGX54" s="42"/>
      <c r="TGY54" s="42"/>
      <c r="TGZ54" s="42"/>
      <c r="THA54" s="42"/>
      <c r="THB54" s="42"/>
      <c r="THC54" s="42"/>
      <c r="THD54" s="42"/>
      <c r="THE54" s="2"/>
      <c r="THF54" s="15"/>
      <c r="THG54" s="42"/>
      <c r="THH54" s="2"/>
      <c r="THI54" s="2"/>
      <c r="THJ54" s="2"/>
      <c r="THK54" s="2"/>
      <c r="THL54" s="42"/>
      <c r="THM54" s="42"/>
      <c r="THN54" s="42"/>
      <c r="THO54" s="42"/>
      <c r="THP54" s="42"/>
      <c r="THQ54" s="42"/>
      <c r="THR54" s="42"/>
      <c r="THS54" s="42"/>
      <c r="THT54" s="42"/>
      <c r="THU54" s="42"/>
      <c r="THV54" s="42"/>
      <c r="THW54" s="42"/>
      <c r="THX54" s="42"/>
      <c r="THY54" s="42"/>
      <c r="THZ54" s="42"/>
      <c r="TIA54" s="42"/>
      <c r="TIB54" s="42"/>
      <c r="TIC54" s="42"/>
      <c r="TID54" s="42"/>
      <c r="TIE54" s="42"/>
      <c r="TIF54" s="42"/>
      <c r="TIG54" s="42"/>
      <c r="TIH54" s="42"/>
      <c r="TII54" s="2"/>
      <c r="TIJ54" s="15"/>
      <c r="TIK54" s="42"/>
      <c r="TIL54" s="2"/>
      <c r="TIM54" s="2"/>
      <c r="TIN54" s="2"/>
      <c r="TIO54" s="2"/>
      <c r="TIP54" s="42"/>
      <c r="TIQ54" s="42"/>
      <c r="TIR54" s="42"/>
      <c r="TIS54" s="42"/>
      <c r="TIT54" s="42"/>
      <c r="TIU54" s="42"/>
      <c r="TIV54" s="42"/>
      <c r="TIW54" s="42"/>
      <c r="TIX54" s="42"/>
      <c r="TIY54" s="42"/>
      <c r="TIZ54" s="42"/>
      <c r="TJA54" s="42"/>
      <c r="TJB54" s="42"/>
      <c r="TJC54" s="42"/>
      <c r="TJD54" s="42"/>
      <c r="TJE54" s="42"/>
      <c r="TJF54" s="42"/>
      <c r="TJG54" s="42"/>
      <c r="TJH54" s="42"/>
      <c r="TJI54" s="42"/>
      <c r="TJJ54" s="42"/>
      <c r="TJK54" s="42"/>
      <c r="TJL54" s="42"/>
      <c r="TJM54" s="2"/>
      <c r="TJN54" s="15"/>
      <c r="TJO54" s="42"/>
      <c r="TJP54" s="2"/>
      <c r="TJQ54" s="2"/>
      <c r="TJR54" s="2"/>
      <c r="TJS54" s="2"/>
      <c r="TJT54" s="42"/>
      <c r="TJU54" s="42"/>
      <c r="TJV54" s="42"/>
      <c r="TJW54" s="42"/>
      <c r="TJX54" s="42"/>
      <c r="TJY54" s="42"/>
      <c r="TJZ54" s="42"/>
      <c r="TKA54" s="42"/>
      <c r="TKB54" s="42"/>
      <c r="TKC54" s="42"/>
      <c r="TKD54" s="42"/>
      <c r="TKE54" s="42"/>
      <c r="TKF54" s="42"/>
      <c r="TKG54" s="42"/>
      <c r="TKH54" s="42"/>
      <c r="TKI54" s="42"/>
      <c r="TKJ54" s="42"/>
      <c r="TKK54" s="42"/>
      <c r="TKL54" s="42"/>
      <c r="TKM54" s="42"/>
      <c r="TKN54" s="42"/>
      <c r="TKO54" s="42"/>
      <c r="TKP54" s="42"/>
      <c r="TKQ54" s="2"/>
      <c r="TKR54" s="15"/>
      <c r="TKS54" s="42"/>
      <c r="TKT54" s="2"/>
      <c r="TKU54" s="2"/>
      <c r="TKV54" s="2"/>
      <c r="TKW54" s="2"/>
      <c r="TKX54" s="42"/>
      <c r="TKY54" s="42"/>
      <c r="TKZ54" s="42"/>
      <c r="TLA54" s="42"/>
      <c r="TLB54" s="42"/>
      <c r="TLC54" s="42"/>
      <c r="TLD54" s="42"/>
      <c r="TLE54" s="42"/>
      <c r="TLF54" s="42"/>
      <c r="TLG54" s="42"/>
      <c r="TLH54" s="42"/>
      <c r="TLI54" s="42"/>
      <c r="TLJ54" s="42"/>
      <c r="TLK54" s="42"/>
      <c r="TLL54" s="42"/>
      <c r="TLM54" s="42"/>
      <c r="TLN54" s="42"/>
      <c r="TLO54" s="42"/>
      <c r="TLP54" s="42"/>
      <c r="TLQ54" s="42"/>
      <c r="TLR54" s="42"/>
      <c r="TLS54" s="42"/>
      <c r="TLT54" s="42"/>
      <c r="TLU54" s="2"/>
      <c r="TLV54" s="15"/>
      <c r="TLW54" s="42"/>
      <c r="TLX54" s="2"/>
      <c r="TLY54" s="2"/>
      <c r="TLZ54" s="2"/>
      <c r="TMA54" s="2"/>
      <c r="TMB54" s="42"/>
      <c r="TMC54" s="42"/>
      <c r="TMD54" s="42"/>
      <c r="TME54" s="42"/>
      <c r="TMF54" s="42"/>
      <c r="TMG54" s="42"/>
      <c r="TMH54" s="42"/>
      <c r="TMI54" s="42"/>
      <c r="TMJ54" s="42"/>
      <c r="TMK54" s="42"/>
      <c r="TML54" s="42"/>
      <c r="TMM54" s="42"/>
      <c r="TMN54" s="42"/>
      <c r="TMO54" s="42"/>
      <c r="TMP54" s="42"/>
      <c r="TMQ54" s="42"/>
      <c r="TMR54" s="42"/>
      <c r="TMS54" s="42"/>
      <c r="TMT54" s="42"/>
      <c r="TMU54" s="42"/>
      <c r="TMV54" s="42"/>
      <c r="TMW54" s="42"/>
      <c r="TMX54" s="42"/>
      <c r="TMY54" s="2"/>
      <c r="TMZ54" s="15"/>
      <c r="TNA54" s="42"/>
      <c r="TNB54" s="2"/>
      <c r="TNC54" s="2"/>
      <c r="TND54" s="2"/>
      <c r="TNE54" s="2"/>
      <c r="TNF54" s="42"/>
      <c r="TNG54" s="42"/>
      <c r="TNH54" s="42"/>
      <c r="TNI54" s="42"/>
      <c r="TNJ54" s="42"/>
      <c r="TNK54" s="42"/>
      <c r="TNL54" s="42"/>
      <c r="TNM54" s="42"/>
      <c r="TNN54" s="42"/>
      <c r="TNO54" s="42"/>
      <c r="TNP54" s="42"/>
      <c r="TNQ54" s="42"/>
      <c r="TNR54" s="42"/>
      <c r="TNS54" s="42"/>
      <c r="TNT54" s="42"/>
      <c r="TNU54" s="42"/>
      <c r="TNV54" s="42"/>
      <c r="TNW54" s="42"/>
      <c r="TNX54" s="42"/>
      <c r="TNY54" s="42"/>
      <c r="TNZ54" s="42"/>
      <c r="TOA54" s="42"/>
      <c r="TOB54" s="42"/>
      <c r="TOC54" s="2"/>
      <c r="TOD54" s="15"/>
      <c r="TOE54" s="42"/>
      <c r="TOF54" s="2"/>
      <c r="TOG54" s="2"/>
      <c r="TOH54" s="2"/>
      <c r="TOI54" s="2"/>
      <c r="TOJ54" s="42"/>
      <c r="TOK54" s="42"/>
      <c r="TOL54" s="42"/>
      <c r="TOM54" s="42"/>
      <c r="TON54" s="42"/>
      <c r="TOO54" s="42"/>
      <c r="TOP54" s="42"/>
      <c r="TOQ54" s="42"/>
      <c r="TOR54" s="42"/>
      <c r="TOS54" s="42"/>
      <c r="TOT54" s="42"/>
      <c r="TOU54" s="42"/>
      <c r="TOV54" s="42"/>
      <c r="TOW54" s="42"/>
      <c r="TOX54" s="42"/>
      <c r="TOY54" s="42"/>
      <c r="TOZ54" s="42"/>
      <c r="TPA54" s="42"/>
      <c r="TPB54" s="42"/>
      <c r="TPC54" s="42"/>
      <c r="TPD54" s="42"/>
      <c r="TPE54" s="42"/>
      <c r="TPF54" s="42"/>
      <c r="TPG54" s="2"/>
      <c r="TPH54" s="15"/>
      <c r="TPI54" s="42"/>
      <c r="TPJ54" s="2"/>
      <c r="TPK54" s="2"/>
      <c r="TPL54" s="2"/>
      <c r="TPM54" s="2"/>
      <c r="TPN54" s="42"/>
      <c r="TPO54" s="42"/>
      <c r="TPP54" s="42"/>
      <c r="TPQ54" s="42"/>
      <c r="TPR54" s="42"/>
      <c r="TPS54" s="42"/>
      <c r="TPT54" s="42"/>
      <c r="TPU54" s="42"/>
      <c r="TPV54" s="42"/>
      <c r="TPW54" s="42"/>
      <c r="TPX54" s="42"/>
      <c r="TPY54" s="42"/>
      <c r="TPZ54" s="42"/>
      <c r="TQA54" s="42"/>
      <c r="TQB54" s="42"/>
      <c r="TQC54" s="42"/>
      <c r="TQD54" s="42"/>
      <c r="TQE54" s="42"/>
      <c r="TQF54" s="42"/>
      <c r="TQG54" s="42"/>
      <c r="TQH54" s="42"/>
      <c r="TQI54" s="42"/>
      <c r="TQJ54" s="42"/>
      <c r="TQK54" s="2"/>
      <c r="TQL54" s="15"/>
      <c r="TQM54" s="42"/>
      <c r="TQN54" s="2"/>
      <c r="TQO54" s="2"/>
      <c r="TQP54" s="2"/>
      <c r="TQQ54" s="2"/>
      <c r="TQR54" s="42"/>
      <c r="TQS54" s="42"/>
      <c r="TQT54" s="42"/>
      <c r="TQU54" s="42"/>
      <c r="TQV54" s="42"/>
      <c r="TQW54" s="42"/>
      <c r="TQX54" s="42"/>
      <c r="TQY54" s="42"/>
      <c r="TQZ54" s="42"/>
      <c r="TRA54" s="42"/>
      <c r="TRB54" s="42"/>
      <c r="TRC54" s="42"/>
      <c r="TRD54" s="42"/>
      <c r="TRE54" s="42"/>
      <c r="TRF54" s="42"/>
      <c r="TRG54" s="42"/>
      <c r="TRH54" s="42"/>
      <c r="TRI54" s="42"/>
      <c r="TRJ54" s="42"/>
      <c r="TRK54" s="42"/>
      <c r="TRL54" s="42"/>
      <c r="TRM54" s="42"/>
      <c r="TRN54" s="42"/>
      <c r="TRO54" s="2"/>
      <c r="TRP54" s="15"/>
      <c r="TRQ54" s="42"/>
      <c r="TRR54" s="2"/>
      <c r="TRS54" s="2"/>
      <c r="TRT54" s="2"/>
      <c r="TRU54" s="2"/>
      <c r="TRV54" s="42"/>
      <c r="TRW54" s="42"/>
      <c r="TRX54" s="42"/>
      <c r="TRY54" s="42"/>
      <c r="TRZ54" s="42"/>
      <c r="TSA54" s="42"/>
      <c r="TSB54" s="42"/>
      <c r="TSC54" s="42"/>
      <c r="TSD54" s="42"/>
      <c r="TSE54" s="42"/>
      <c r="TSF54" s="42"/>
      <c r="TSG54" s="42"/>
      <c r="TSH54" s="42"/>
      <c r="TSI54" s="42"/>
      <c r="TSJ54" s="42"/>
      <c r="TSK54" s="42"/>
      <c r="TSL54" s="42"/>
      <c r="TSM54" s="42"/>
      <c r="TSN54" s="42"/>
      <c r="TSO54" s="42"/>
      <c r="TSP54" s="42"/>
      <c r="TSQ54" s="42"/>
      <c r="TSR54" s="42"/>
      <c r="TSS54" s="2"/>
      <c r="TST54" s="15"/>
      <c r="TSU54" s="42"/>
      <c r="TSV54" s="2"/>
      <c r="TSW54" s="2"/>
      <c r="TSX54" s="2"/>
      <c r="TSY54" s="2"/>
      <c r="TSZ54" s="42"/>
      <c r="TTA54" s="42"/>
      <c r="TTB54" s="42"/>
      <c r="TTC54" s="42"/>
      <c r="TTD54" s="42"/>
      <c r="TTE54" s="42"/>
      <c r="TTF54" s="42"/>
      <c r="TTG54" s="42"/>
      <c r="TTH54" s="42"/>
      <c r="TTI54" s="42"/>
      <c r="TTJ54" s="42"/>
      <c r="TTK54" s="42"/>
      <c r="TTL54" s="42"/>
      <c r="TTM54" s="42"/>
      <c r="TTN54" s="42"/>
      <c r="TTO54" s="42"/>
      <c r="TTP54" s="42"/>
      <c r="TTQ54" s="42"/>
      <c r="TTR54" s="42"/>
      <c r="TTS54" s="42"/>
      <c r="TTT54" s="42"/>
      <c r="TTU54" s="42"/>
      <c r="TTV54" s="42"/>
      <c r="TTW54" s="2"/>
      <c r="TTX54" s="15"/>
      <c r="TTY54" s="42"/>
      <c r="TTZ54" s="2"/>
      <c r="TUA54" s="2"/>
      <c r="TUB54" s="2"/>
      <c r="TUC54" s="2"/>
      <c r="TUD54" s="42"/>
      <c r="TUE54" s="42"/>
      <c r="TUF54" s="42"/>
      <c r="TUG54" s="42"/>
      <c r="TUH54" s="42"/>
      <c r="TUI54" s="42"/>
      <c r="TUJ54" s="42"/>
      <c r="TUK54" s="42"/>
      <c r="TUL54" s="42"/>
      <c r="TUM54" s="42"/>
      <c r="TUN54" s="42"/>
      <c r="TUO54" s="42"/>
      <c r="TUP54" s="42"/>
      <c r="TUQ54" s="42"/>
      <c r="TUR54" s="42"/>
      <c r="TUS54" s="42"/>
      <c r="TUT54" s="42"/>
      <c r="TUU54" s="42"/>
      <c r="TUV54" s="42"/>
      <c r="TUW54" s="42"/>
      <c r="TUX54" s="42"/>
      <c r="TUY54" s="42"/>
      <c r="TUZ54" s="42"/>
      <c r="TVA54" s="2"/>
      <c r="TVB54" s="15"/>
      <c r="TVC54" s="42"/>
      <c r="TVD54" s="2"/>
      <c r="TVE54" s="2"/>
      <c r="TVF54" s="2"/>
      <c r="TVG54" s="2"/>
      <c r="TVH54" s="42"/>
      <c r="TVI54" s="42"/>
      <c r="TVJ54" s="42"/>
      <c r="TVK54" s="42"/>
      <c r="TVL54" s="42"/>
      <c r="TVM54" s="42"/>
      <c r="TVN54" s="42"/>
      <c r="TVO54" s="42"/>
      <c r="TVP54" s="42"/>
      <c r="TVQ54" s="42"/>
      <c r="TVR54" s="42"/>
      <c r="TVS54" s="42"/>
      <c r="TVT54" s="42"/>
      <c r="TVU54" s="42"/>
      <c r="TVV54" s="42"/>
      <c r="TVW54" s="42"/>
      <c r="TVX54" s="42"/>
      <c r="TVY54" s="42"/>
      <c r="TVZ54" s="42"/>
      <c r="TWA54" s="42"/>
      <c r="TWB54" s="42"/>
      <c r="TWC54" s="42"/>
      <c r="TWD54" s="42"/>
      <c r="TWE54" s="2"/>
      <c r="TWF54" s="15"/>
      <c r="TWG54" s="42"/>
      <c r="TWH54" s="2"/>
      <c r="TWI54" s="2"/>
      <c r="TWJ54" s="2"/>
      <c r="TWK54" s="2"/>
      <c r="TWL54" s="42"/>
      <c r="TWM54" s="42"/>
      <c r="TWN54" s="42"/>
      <c r="TWO54" s="42"/>
      <c r="TWP54" s="42"/>
      <c r="TWQ54" s="42"/>
      <c r="TWR54" s="42"/>
      <c r="TWS54" s="42"/>
      <c r="TWT54" s="42"/>
      <c r="TWU54" s="42"/>
      <c r="TWV54" s="42"/>
      <c r="TWW54" s="42"/>
      <c r="TWX54" s="42"/>
      <c r="TWY54" s="42"/>
      <c r="TWZ54" s="42"/>
      <c r="TXA54" s="42"/>
      <c r="TXB54" s="42"/>
      <c r="TXC54" s="42"/>
      <c r="TXD54" s="42"/>
      <c r="TXE54" s="42"/>
      <c r="TXF54" s="42"/>
      <c r="TXG54" s="42"/>
      <c r="TXH54" s="42"/>
      <c r="TXI54" s="2"/>
      <c r="TXJ54" s="15"/>
      <c r="TXK54" s="42"/>
      <c r="TXL54" s="2"/>
      <c r="TXM54" s="2"/>
      <c r="TXN54" s="2"/>
      <c r="TXO54" s="2"/>
      <c r="TXP54" s="42"/>
      <c r="TXQ54" s="42"/>
      <c r="TXR54" s="42"/>
      <c r="TXS54" s="42"/>
      <c r="TXT54" s="42"/>
      <c r="TXU54" s="42"/>
      <c r="TXV54" s="42"/>
      <c r="TXW54" s="42"/>
      <c r="TXX54" s="42"/>
      <c r="TXY54" s="42"/>
      <c r="TXZ54" s="42"/>
      <c r="TYA54" s="42"/>
      <c r="TYB54" s="42"/>
      <c r="TYC54" s="42"/>
      <c r="TYD54" s="42"/>
      <c r="TYE54" s="42"/>
      <c r="TYF54" s="42"/>
      <c r="TYG54" s="42"/>
      <c r="TYH54" s="42"/>
      <c r="TYI54" s="42"/>
      <c r="TYJ54" s="42"/>
      <c r="TYK54" s="42"/>
      <c r="TYL54" s="42"/>
      <c r="TYM54" s="2"/>
      <c r="TYN54" s="15"/>
      <c r="TYO54" s="42"/>
      <c r="TYP54" s="2"/>
      <c r="TYQ54" s="2"/>
      <c r="TYR54" s="2"/>
      <c r="TYS54" s="2"/>
      <c r="TYT54" s="42"/>
      <c r="TYU54" s="42"/>
      <c r="TYV54" s="42"/>
      <c r="TYW54" s="42"/>
      <c r="TYX54" s="42"/>
      <c r="TYY54" s="42"/>
      <c r="TYZ54" s="42"/>
      <c r="TZA54" s="42"/>
      <c r="TZB54" s="42"/>
      <c r="TZC54" s="42"/>
      <c r="TZD54" s="42"/>
      <c r="TZE54" s="42"/>
      <c r="TZF54" s="42"/>
      <c r="TZG54" s="42"/>
      <c r="TZH54" s="42"/>
      <c r="TZI54" s="42"/>
      <c r="TZJ54" s="42"/>
      <c r="TZK54" s="42"/>
      <c r="TZL54" s="42"/>
      <c r="TZM54" s="42"/>
      <c r="TZN54" s="42"/>
      <c r="TZO54" s="42"/>
      <c r="TZP54" s="42"/>
      <c r="TZQ54" s="2"/>
      <c r="TZR54" s="15"/>
      <c r="TZS54" s="42"/>
      <c r="TZT54" s="2"/>
      <c r="TZU54" s="2"/>
      <c r="TZV54" s="2"/>
      <c r="TZW54" s="2"/>
      <c r="TZX54" s="42"/>
      <c r="TZY54" s="42"/>
      <c r="TZZ54" s="42"/>
      <c r="UAA54" s="42"/>
      <c r="UAB54" s="42"/>
      <c r="UAC54" s="42"/>
      <c r="UAD54" s="42"/>
      <c r="UAE54" s="42"/>
      <c r="UAF54" s="42"/>
      <c r="UAG54" s="42"/>
      <c r="UAH54" s="42"/>
      <c r="UAI54" s="42"/>
      <c r="UAJ54" s="42"/>
      <c r="UAK54" s="42"/>
      <c r="UAL54" s="42"/>
      <c r="UAM54" s="42"/>
      <c r="UAN54" s="42"/>
      <c r="UAO54" s="42"/>
      <c r="UAP54" s="42"/>
      <c r="UAQ54" s="42"/>
      <c r="UAR54" s="42"/>
      <c r="UAS54" s="42"/>
      <c r="UAT54" s="42"/>
      <c r="UAU54" s="2"/>
      <c r="UAV54" s="15"/>
      <c r="UAW54" s="42"/>
      <c r="UAX54" s="2"/>
      <c r="UAY54" s="2"/>
      <c r="UAZ54" s="2"/>
      <c r="UBA54" s="2"/>
      <c r="UBB54" s="42"/>
      <c r="UBC54" s="42"/>
      <c r="UBD54" s="42"/>
      <c r="UBE54" s="42"/>
      <c r="UBF54" s="42"/>
      <c r="UBG54" s="42"/>
      <c r="UBH54" s="42"/>
      <c r="UBI54" s="42"/>
      <c r="UBJ54" s="42"/>
      <c r="UBK54" s="42"/>
      <c r="UBL54" s="42"/>
      <c r="UBM54" s="42"/>
      <c r="UBN54" s="42"/>
      <c r="UBO54" s="42"/>
      <c r="UBP54" s="42"/>
      <c r="UBQ54" s="42"/>
      <c r="UBR54" s="42"/>
      <c r="UBS54" s="42"/>
      <c r="UBT54" s="42"/>
      <c r="UBU54" s="42"/>
      <c r="UBV54" s="42"/>
      <c r="UBW54" s="42"/>
      <c r="UBX54" s="42"/>
      <c r="UBY54" s="2"/>
      <c r="UBZ54" s="15"/>
      <c r="UCA54" s="42"/>
      <c r="UCB54" s="2"/>
      <c r="UCC54" s="2"/>
      <c r="UCD54" s="2"/>
      <c r="UCE54" s="2"/>
      <c r="UCF54" s="42"/>
      <c r="UCG54" s="42"/>
      <c r="UCH54" s="42"/>
      <c r="UCI54" s="42"/>
      <c r="UCJ54" s="42"/>
      <c r="UCK54" s="42"/>
      <c r="UCL54" s="42"/>
      <c r="UCM54" s="42"/>
      <c r="UCN54" s="42"/>
      <c r="UCO54" s="42"/>
      <c r="UCP54" s="42"/>
      <c r="UCQ54" s="42"/>
      <c r="UCR54" s="42"/>
      <c r="UCS54" s="42"/>
      <c r="UCT54" s="42"/>
      <c r="UCU54" s="42"/>
      <c r="UCV54" s="42"/>
      <c r="UCW54" s="42"/>
      <c r="UCX54" s="42"/>
      <c r="UCY54" s="42"/>
      <c r="UCZ54" s="42"/>
      <c r="UDA54" s="42"/>
      <c r="UDB54" s="42"/>
      <c r="UDC54" s="2"/>
      <c r="UDD54" s="15"/>
      <c r="UDE54" s="42"/>
      <c r="UDF54" s="2"/>
      <c r="UDG54" s="2"/>
      <c r="UDH54" s="2"/>
      <c r="UDI54" s="2"/>
      <c r="UDJ54" s="42"/>
      <c r="UDK54" s="42"/>
      <c r="UDL54" s="42"/>
      <c r="UDM54" s="42"/>
      <c r="UDN54" s="42"/>
      <c r="UDO54" s="42"/>
      <c r="UDP54" s="42"/>
      <c r="UDQ54" s="42"/>
      <c r="UDR54" s="42"/>
      <c r="UDS54" s="42"/>
      <c r="UDT54" s="42"/>
      <c r="UDU54" s="42"/>
      <c r="UDV54" s="42"/>
      <c r="UDW54" s="42"/>
      <c r="UDX54" s="42"/>
      <c r="UDY54" s="42"/>
      <c r="UDZ54" s="42"/>
      <c r="UEA54" s="42"/>
      <c r="UEB54" s="42"/>
      <c r="UEC54" s="42"/>
      <c r="UED54" s="42"/>
      <c r="UEE54" s="42"/>
      <c r="UEF54" s="42"/>
      <c r="UEG54" s="2"/>
      <c r="UEH54" s="15"/>
      <c r="UEI54" s="42"/>
      <c r="UEJ54" s="2"/>
      <c r="UEK54" s="2"/>
      <c r="UEL54" s="2"/>
      <c r="UEM54" s="2"/>
      <c r="UEN54" s="42"/>
      <c r="UEO54" s="42"/>
      <c r="UEP54" s="42"/>
      <c r="UEQ54" s="42"/>
      <c r="UER54" s="42"/>
      <c r="UES54" s="42"/>
      <c r="UET54" s="42"/>
      <c r="UEU54" s="42"/>
      <c r="UEV54" s="42"/>
      <c r="UEW54" s="42"/>
      <c r="UEX54" s="42"/>
      <c r="UEY54" s="42"/>
      <c r="UEZ54" s="42"/>
      <c r="UFA54" s="42"/>
      <c r="UFB54" s="42"/>
      <c r="UFC54" s="42"/>
      <c r="UFD54" s="42"/>
      <c r="UFE54" s="42"/>
      <c r="UFF54" s="42"/>
      <c r="UFG54" s="42"/>
      <c r="UFH54" s="42"/>
      <c r="UFI54" s="42"/>
      <c r="UFJ54" s="42"/>
      <c r="UFK54" s="2"/>
      <c r="UFL54" s="15"/>
      <c r="UFM54" s="42"/>
      <c r="UFN54" s="2"/>
      <c r="UFO54" s="2"/>
      <c r="UFP54" s="2"/>
      <c r="UFQ54" s="2"/>
      <c r="UFR54" s="42"/>
      <c r="UFS54" s="42"/>
      <c r="UFT54" s="42"/>
      <c r="UFU54" s="42"/>
      <c r="UFV54" s="42"/>
      <c r="UFW54" s="42"/>
      <c r="UFX54" s="42"/>
      <c r="UFY54" s="42"/>
      <c r="UFZ54" s="42"/>
      <c r="UGA54" s="42"/>
      <c r="UGB54" s="42"/>
      <c r="UGC54" s="42"/>
      <c r="UGD54" s="42"/>
      <c r="UGE54" s="42"/>
      <c r="UGF54" s="42"/>
      <c r="UGG54" s="42"/>
      <c r="UGH54" s="42"/>
      <c r="UGI54" s="42"/>
      <c r="UGJ54" s="42"/>
      <c r="UGK54" s="42"/>
      <c r="UGL54" s="42"/>
      <c r="UGM54" s="42"/>
      <c r="UGN54" s="42"/>
      <c r="UGO54" s="2"/>
      <c r="UGP54" s="15"/>
      <c r="UGQ54" s="42"/>
      <c r="UGR54" s="2"/>
      <c r="UGS54" s="2"/>
      <c r="UGT54" s="2"/>
      <c r="UGU54" s="2"/>
      <c r="UGV54" s="42"/>
      <c r="UGW54" s="42"/>
      <c r="UGX54" s="42"/>
      <c r="UGY54" s="42"/>
      <c r="UGZ54" s="42"/>
      <c r="UHA54" s="42"/>
      <c r="UHB54" s="42"/>
      <c r="UHC54" s="42"/>
      <c r="UHD54" s="42"/>
      <c r="UHE54" s="42"/>
      <c r="UHF54" s="42"/>
      <c r="UHG54" s="42"/>
      <c r="UHH54" s="42"/>
      <c r="UHI54" s="42"/>
      <c r="UHJ54" s="42"/>
      <c r="UHK54" s="42"/>
      <c r="UHL54" s="42"/>
      <c r="UHM54" s="42"/>
      <c r="UHN54" s="42"/>
      <c r="UHO54" s="42"/>
      <c r="UHP54" s="42"/>
      <c r="UHQ54" s="42"/>
      <c r="UHR54" s="42"/>
      <c r="UHS54" s="2"/>
      <c r="UHT54" s="15"/>
      <c r="UHU54" s="42"/>
      <c r="UHV54" s="2"/>
      <c r="UHW54" s="2"/>
      <c r="UHX54" s="2"/>
      <c r="UHY54" s="2"/>
      <c r="UHZ54" s="42"/>
      <c r="UIA54" s="42"/>
      <c r="UIB54" s="42"/>
      <c r="UIC54" s="42"/>
      <c r="UID54" s="42"/>
      <c r="UIE54" s="42"/>
      <c r="UIF54" s="42"/>
      <c r="UIG54" s="42"/>
      <c r="UIH54" s="42"/>
      <c r="UII54" s="42"/>
      <c r="UIJ54" s="42"/>
      <c r="UIK54" s="42"/>
      <c r="UIL54" s="42"/>
      <c r="UIM54" s="42"/>
      <c r="UIN54" s="42"/>
      <c r="UIO54" s="42"/>
      <c r="UIP54" s="42"/>
      <c r="UIQ54" s="42"/>
      <c r="UIR54" s="42"/>
      <c r="UIS54" s="42"/>
      <c r="UIT54" s="42"/>
      <c r="UIU54" s="42"/>
      <c r="UIV54" s="42"/>
      <c r="UIW54" s="2"/>
      <c r="UIX54" s="15"/>
      <c r="UIY54" s="42"/>
      <c r="UIZ54" s="2"/>
      <c r="UJA54" s="2"/>
      <c r="UJB54" s="2"/>
      <c r="UJC54" s="2"/>
      <c r="UJD54" s="42"/>
      <c r="UJE54" s="42"/>
      <c r="UJF54" s="42"/>
      <c r="UJG54" s="42"/>
      <c r="UJH54" s="42"/>
      <c r="UJI54" s="42"/>
      <c r="UJJ54" s="42"/>
      <c r="UJK54" s="42"/>
      <c r="UJL54" s="42"/>
      <c r="UJM54" s="42"/>
      <c r="UJN54" s="42"/>
      <c r="UJO54" s="42"/>
      <c r="UJP54" s="42"/>
      <c r="UJQ54" s="42"/>
      <c r="UJR54" s="42"/>
      <c r="UJS54" s="42"/>
      <c r="UJT54" s="42"/>
      <c r="UJU54" s="42"/>
      <c r="UJV54" s="42"/>
      <c r="UJW54" s="42"/>
      <c r="UJX54" s="42"/>
      <c r="UJY54" s="42"/>
      <c r="UJZ54" s="42"/>
      <c r="UKA54" s="2"/>
      <c r="UKB54" s="15"/>
      <c r="UKC54" s="42"/>
      <c r="UKD54" s="2"/>
      <c r="UKE54" s="2"/>
      <c r="UKF54" s="2"/>
      <c r="UKG54" s="2"/>
      <c r="UKH54" s="42"/>
      <c r="UKI54" s="42"/>
      <c r="UKJ54" s="42"/>
      <c r="UKK54" s="42"/>
      <c r="UKL54" s="42"/>
      <c r="UKM54" s="42"/>
      <c r="UKN54" s="42"/>
      <c r="UKO54" s="42"/>
      <c r="UKP54" s="42"/>
      <c r="UKQ54" s="42"/>
      <c r="UKR54" s="42"/>
      <c r="UKS54" s="42"/>
      <c r="UKT54" s="42"/>
      <c r="UKU54" s="42"/>
      <c r="UKV54" s="42"/>
      <c r="UKW54" s="42"/>
      <c r="UKX54" s="42"/>
      <c r="UKY54" s="42"/>
      <c r="UKZ54" s="42"/>
      <c r="ULA54" s="42"/>
      <c r="ULB54" s="42"/>
      <c r="ULC54" s="42"/>
      <c r="ULD54" s="42"/>
      <c r="ULE54" s="2"/>
      <c r="ULF54" s="15"/>
      <c r="ULG54" s="42"/>
      <c r="ULH54" s="2"/>
      <c r="ULI54" s="2"/>
      <c r="ULJ54" s="2"/>
      <c r="ULK54" s="2"/>
      <c r="ULL54" s="42"/>
      <c r="ULM54" s="42"/>
      <c r="ULN54" s="42"/>
      <c r="ULO54" s="42"/>
      <c r="ULP54" s="42"/>
      <c r="ULQ54" s="42"/>
      <c r="ULR54" s="42"/>
      <c r="ULS54" s="42"/>
      <c r="ULT54" s="42"/>
      <c r="ULU54" s="42"/>
      <c r="ULV54" s="42"/>
      <c r="ULW54" s="42"/>
      <c r="ULX54" s="42"/>
      <c r="ULY54" s="42"/>
      <c r="ULZ54" s="42"/>
      <c r="UMA54" s="42"/>
      <c r="UMB54" s="42"/>
      <c r="UMC54" s="42"/>
      <c r="UMD54" s="42"/>
      <c r="UME54" s="42"/>
      <c r="UMF54" s="42"/>
      <c r="UMG54" s="42"/>
      <c r="UMH54" s="42"/>
      <c r="UMI54" s="2"/>
      <c r="UMJ54" s="15"/>
      <c r="UMK54" s="42"/>
      <c r="UML54" s="2"/>
      <c r="UMM54" s="2"/>
      <c r="UMN54" s="2"/>
      <c r="UMO54" s="2"/>
      <c r="UMP54" s="42"/>
      <c r="UMQ54" s="42"/>
      <c r="UMR54" s="42"/>
      <c r="UMS54" s="42"/>
      <c r="UMT54" s="42"/>
      <c r="UMU54" s="42"/>
      <c r="UMV54" s="42"/>
      <c r="UMW54" s="42"/>
      <c r="UMX54" s="42"/>
      <c r="UMY54" s="42"/>
      <c r="UMZ54" s="42"/>
      <c r="UNA54" s="42"/>
      <c r="UNB54" s="42"/>
      <c r="UNC54" s="42"/>
      <c r="UND54" s="42"/>
      <c r="UNE54" s="42"/>
      <c r="UNF54" s="42"/>
      <c r="UNG54" s="42"/>
      <c r="UNH54" s="42"/>
      <c r="UNI54" s="42"/>
      <c r="UNJ54" s="42"/>
      <c r="UNK54" s="42"/>
      <c r="UNL54" s="42"/>
      <c r="UNM54" s="2"/>
      <c r="UNN54" s="15"/>
      <c r="UNO54" s="42"/>
      <c r="UNP54" s="2"/>
      <c r="UNQ54" s="2"/>
      <c r="UNR54" s="2"/>
      <c r="UNS54" s="2"/>
      <c r="UNT54" s="42"/>
      <c r="UNU54" s="42"/>
      <c r="UNV54" s="42"/>
      <c r="UNW54" s="42"/>
      <c r="UNX54" s="42"/>
      <c r="UNY54" s="42"/>
      <c r="UNZ54" s="42"/>
      <c r="UOA54" s="42"/>
      <c r="UOB54" s="42"/>
      <c r="UOC54" s="42"/>
      <c r="UOD54" s="42"/>
      <c r="UOE54" s="42"/>
      <c r="UOF54" s="42"/>
      <c r="UOG54" s="42"/>
      <c r="UOH54" s="42"/>
      <c r="UOI54" s="42"/>
      <c r="UOJ54" s="42"/>
      <c r="UOK54" s="42"/>
      <c r="UOL54" s="42"/>
      <c r="UOM54" s="42"/>
      <c r="UON54" s="42"/>
      <c r="UOO54" s="42"/>
      <c r="UOP54" s="42"/>
      <c r="UOQ54" s="2"/>
      <c r="UOR54" s="15"/>
      <c r="UOS54" s="42"/>
      <c r="UOT54" s="2"/>
      <c r="UOU54" s="2"/>
      <c r="UOV54" s="2"/>
      <c r="UOW54" s="2"/>
      <c r="UOX54" s="42"/>
      <c r="UOY54" s="42"/>
      <c r="UOZ54" s="42"/>
      <c r="UPA54" s="42"/>
      <c r="UPB54" s="42"/>
      <c r="UPC54" s="42"/>
      <c r="UPD54" s="42"/>
      <c r="UPE54" s="42"/>
      <c r="UPF54" s="42"/>
      <c r="UPG54" s="42"/>
      <c r="UPH54" s="42"/>
      <c r="UPI54" s="42"/>
      <c r="UPJ54" s="42"/>
      <c r="UPK54" s="42"/>
      <c r="UPL54" s="42"/>
      <c r="UPM54" s="42"/>
      <c r="UPN54" s="42"/>
      <c r="UPO54" s="42"/>
      <c r="UPP54" s="42"/>
      <c r="UPQ54" s="42"/>
      <c r="UPR54" s="42"/>
      <c r="UPS54" s="42"/>
      <c r="UPT54" s="42"/>
      <c r="UPU54" s="2"/>
      <c r="UPV54" s="15"/>
      <c r="UPW54" s="42"/>
      <c r="UPX54" s="2"/>
      <c r="UPY54" s="2"/>
      <c r="UPZ54" s="2"/>
      <c r="UQA54" s="2"/>
      <c r="UQB54" s="42"/>
      <c r="UQC54" s="42"/>
      <c r="UQD54" s="42"/>
      <c r="UQE54" s="42"/>
      <c r="UQF54" s="42"/>
      <c r="UQG54" s="42"/>
      <c r="UQH54" s="42"/>
      <c r="UQI54" s="42"/>
      <c r="UQJ54" s="42"/>
      <c r="UQK54" s="42"/>
      <c r="UQL54" s="42"/>
      <c r="UQM54" s="42"/>
      <c r="UQN54" s="42"/>
      <c r="UQO54" s="42"/>
      <c r="UQP54" s="42"/>
      <c r="UQQ54" s="42"/>
      <c r="UQR54" s="42"/>
      <c r="UQS54" s="42"/>
      <c r="UQT54" s="42"/>
      <c r="UQU54" s="42"/>
      <c r="UQV54" s="42"/>
      <c r="UQW54" s="42"/>
      <c r="UQX54" s="42"/>
      <c r="UQY54" s="2"/>
      <c r="UQZ54" s="15"/>
      <c r="URA54" s="42"/>
      <c r="URB54" s="2"/>
      <c r="URC54" s="2"/>
      <c r="URD54" s="2"/>
      <c r="URE54" s="2"/>
      <c r="URF54" s="42"/>
      <c r="URG54" s="42"/>
      <c r="URH54" s="42"/>
      <c r="URI54" s="42"/>
      <c r="URJ54" s="42"/>
      <c r="URK54" s="42"/>
      <c r="URL54" s="42"/>
      <c r="URM54" s="42"/>
      <c r="URN54" s="42"/>
      <c r="URO54" s="42"/>
      <c r="URP54" s="42"/>
      <c r="URQ54" s="42"/>
      <c r="URR54" s="42"/>
      <c r="URS54" s="42"/>
      <c r="URT54" s="42"/>
      <c r="URU54" s="42"/>
      <c r="URV54" s="42"/>
      <c r="URW54" s="42"/>
      <c r="URX54" s="42"/>
      <c r="URY54" s="42"/>
      <c r="URZ54" s="42"/>
      <c r="USA54" s="42"/>
      <c r="USB54" s="42"/>
      <c r="USC54" s="2"/>
      <c r="USD54" s="15"/>
      <c r="USE54" s="42"/>
      <c r="USF54" s="2"/>
      <c r="USG54" s="2"/>
      <c r="USH54" s="2"/>
      <c r="USI54" s="2"/>
      <c r="USJ54" s="42"/>
      <c r="USK54" s="42"/>
      <c r="USL54" s="42"/>
      <c r="USM54" s="42"/>
      <c r="USN54" s="42"/>
      <c r="USO54" s="42"/>
      <c r="USP54" s="42"/>
      <c r="USQ54" s="42"/>
      <c r="USR54" s="42"/>
      <c r="USS54" s="42"/>
      <c r="UST54" s="42"/>
      <c r="USU54" s="42"/>
      <c r="USV54" s="42"/>
      <c r="USW54" s="42"/>
      <c r="USX54" s="42"/>
      <c r="USY54" s="42"/>
      <c r="USZ54" s="42"/>
      <c r="UTA54" s="42"/>
      <c r="UTB54" s="42"/>
      <c r="UTC54" s="42"/>
      <c r="UTD54" s="42"/>
      <c r="UTE54" s="42"/>
      <c r="UTF54" s="42"/>
      <c r="UTG54" s="2"/>
      <c r="UTH54" s="15"/>
      <c r="UTI54" s="42"/>
      <c r="UTJ54" s="2"/>
      <c r="UTK54" s="2"/>
      <c r="UTL54" s="2"/>
      <c r="UTM54" s="2"/>
      <c r="UTN54" s="42"/>
      <c r="UTO54" s="42"/>
      <c r="UTP54" s="42"/>
      <c r="UTQ54" s="42"/>
      <c r="UTR54" s="42"/>
      <c r="UTS54" s="42"/>
      <c r="UTT54" s="42"/>
      <c r="UTU54" s="42"/>
      <c r="UTV54" s="42"/>
      <c r="UTW54" s="42"/>
      <c r="UTX54" s="42"/>
      <c r="UTY54" s="42"/>
      <c r="UTZ54" s="42"/>
      <c r="UUA54" s="42"/>
      <c r="UUB54" s="42"/>
      <c r="UUC54" s="42"/>
      <c r="UUD54" s="42"/>
      <c r="UUE54" s="42"/>
      <c r="UUF54" s="42"/>
      <c r="UUG54" s="42"/>
      <c r="UUH54" s="42"/>
      <c r="UUI54" s="42"/>
      <c r="UUJ54" s="42"/>
      <c r="UUK54" s="2"/>
      <c r="UUL54" s="15"/>
      <c r="UUM54" s="42"/>
      <c r="UUN54" s="2"/>
      <c r="UUO54" s="2"/>
      <c r="UUP54" s="2"/>
      <c r="UUQ54" s="2"/>
      <c r="UUR54" s="42"/>
      <c r="UUS54" s="42"/>
      <c r="UUT54" s="42"/>
      <c r="UUU54" s="42"/>
      <c r="UUV54" s="42"/>
      <c r="UUW54" s="42"/>
      <c r="UUX54" s="42"/>
      <c r="UUY54" s="42"/>
      <c r="UUZ54" s="42"/>
      <c r="UVA54" s="42"/>
      <c r="UVB54" s="42"/>
      <c r="UVC54" s="42"/>
      <c r="UVD54" s="42"/>
      <c r="UVE54" s="42"/>
      <c r="UVF54" s="42"/>
      <c r="UVG54" s="42"/>
      <c r="UVH54" s="42"/>
      <c r="UVI54" s="42"/>
      <c r="UVJ54" s="42"/>
      <c r="UVK54" s="42"/>
      <c r="UVL54" s="42"/>
      <c r="UVM54" s="42"/>
      <c r="UVN54" s="42"/>
      <c r="UVO54" s="2"/>
      <c r="UVP54" s="15"/>
      <c r="UVQ54" s="42"/>
      <c r="UVR54" s="2"/>
      <c r="UVS54" s="2"/>
      <c r="UVT54" s="2"/>
      <c r="UVU54" s="2"/>
      <c r="UVV54" s="42"/>
      <c r="UVW54" s="42"/>
      <c r="UVX54" s="42"/>
      <c r="UVY54" s="42"/>
      <c r="UVZ54" s="42"/>
      <c r="UWA54" s="42"/>
      <c r="UWB54" s="42"/>
      <c r="UWC54" s="42"/>
      <c r="UWD54" s="42"/>
      <c r="UWE54" s="42"/>
      <c r="UWF54" s="42"/>
      <c r="UWG54" s="42"/>
      <c r="UWH54" s="42"/>
      <c r="UWI54" s="42"/>
      <c r="UWJ54" s="42"/>
      <c r="UWK54" s="42"/>
      <c r="UWL54" s="42"/>
      <c r="UWM54" s="42"/>
      <c r="UWN54" s="42"/>
      <c r="UWO54" s="42"/>
      <c r="UWP54" s="42"/>
      <c r="UWQ54" s="42"/>
      <c r="UWR54" s="42"/>
      <c r="UWS54" s="2"/>
      <c r="UWT54" s="15"/>
      <c r="UWU54" s="42"/>
      <c r="UWV54" s="2"/>
      <c r="UWW54" s="2"/>
      <c r="UWX54" s="2"/>
      <c r="UWY54" s="2"/>
      <c r="UWZ54" s="42"/>
      <c r="UXA54" s="42"/>
      <c r="UXB54" s="42"/>
      <c r="UXC54" s="42"/>
      <c r="UXD54" s="42"/>
      <c r="UXE54" s="42"/>
      <c r="UXF54" s="42"/>
      <c r="UXG54" s="42"/>
      <c r="UXH54" s="42"/>
      <c r="UXI54" s="42"/>
      <c r="UXJ54" s="42"/>
      <c r="UXK54" s="42"/>
      <c r="UXL54" s="42"/>
      <c r="UXM54" s="42"/>
      <c r="UXN54" s="42"/>
      <c r="UXO54" s="42"/>
      <c r="UXP54" s="42"/>
      <c r="UXQ54" s="42"/>
      <c r="UXR54" s="42"/>
      <c r="UXS54" s="42"/>
      <c r="UXT54" s="42"/>
      <c r="UXU54" s="42"/>
      <c r="UXV54" s="42"/>
      <c r="UXW54" s="2"/>
      <c r="UXX54" s="15"/>
      <c r="UXY54" s="42"/>
      <c r="UXZ54" s="2"/>
      <c r="UYA54" s="2"/>
      <c r="UYB54" s="2"/>
      <c r="UYC54" s="2"/>
      <c r="UYD54" s="42"/>
      <c r="UYE54" s="42"/>
      <c r="UYF54" s="42"/>
      <c r="UYG54" s="42"/>
      <c r="UYH54" s="42"/>
      <c r="UYI54" s="42"/>
      <c r="UYJ54" s="42"/>
      <c r="UYK54" s="42"/>
      <c r="UYL54" s="42"/>
      <c r="UYM54" s="42"/>
      <c r="UYN54" s="42"/>
      <c r="UYO54" s="42"/>
      <c r="UYP54" s="42"/>
      <c r="UYQ54" s="42"/>
      <c r="UYR54" s="42"/>
      <c r="UYS54" s="42"/>
      <c r="UYT54" s="42"/>
      <c r="UYU54" s="42"/>
      <c r="UYV54" s="42"/>
      <c r="UYW54" s="42"/>
      <c r="UYX54" s="42"/>
      <c r="UYY54" s="42"/>
      <c r="UYZ54" s="42"/>
      <c r="UZA54" s="2"/>
      <c r="UZB54" s="15"/>
      <c r="UZC54" s="42"/>
      <c r="UZD54" s="2"/>
      <c r="UZE54" s="2"/>
      <c r="UZF54" s="2"/>
      <c r="UZG54" s="2"/>
      <c r="UZH54" s="42"/>
      <c r="UZI54" s="42"/>
      <c r="UZJ54" s="42"/>
      <c r="UZK54" s="42"/>
      <c r="UZL54" s="42"/>
      <c r="UZM54" s="42"/>
      <c r="UZN54" s="42"/>
      <c r="UZO54" s="42"/>
      <c r="UZP54" s="42"/>
      <c r="UZQ54" s="42"/>
      <c r="UZR54" s="42"/>
      <c r="UZS54" s="42"/>
      <c r="UZT54" s="42"/>
      <c r="UZU54" s="42"/>
      <c r="UZV54" s="42"/>
      <c r="UZW54" s="42"/>
      <c r="UZX54" s="42"/>
      <c r="UZY54" s="42"/>
      <c r="UZZ54" s="42"/>
      <c r="VAA54" s="42"/>
      <c r="VAB54" s="42"/>
      <c r="VAC54" s="42"/>
      <c r="VAD54" s="42"/>
      <c r="VAE54" s="2"/>
      <c r="VAF54" s="15"/>
      <c r="VAG54" s="42"/>
      <c r="VAH54" s="2"/>
      <c r="VAI54" s="2"/>
      <c r="VAJ54" s="2"/>
      <c r="VAK54" s="2"/>
      <c r="VAL54" s="42"/>
      <c r="VAM54" s="42"/>
      <c r="VAN54" s="42"/>
      <c r="VAO54" s="42"/>
      <c r="VAP54" s="42"/>
      <c r="VAQ54" s="42"/>
      <c r="VAR54" s="42"/>
      <c r="VAS54" s="42"/>
      <c r="VAT54" s="42"/>
      <c r="VAU54" s="42"/>
      <c r="VAV54" s="42"/>
      <c r="VAW54" s="42"/>
      <c r="VAX54" s="42"/>
      <c r="VAY54" s="42"/>
      <c r="VAZ54" s="42"/>
      <c r="VBA54" s="42"/>
      <c r="VBB54" s="42"/>
      <c r="VBC54" s="42"/>
      <c r="VBD54" s="42"/>
      <c r="VBE54" s="42"/>
      <c r="VBF54" s="42"/>
      <c r="VBG54" s="42"/>
      <c r="VBH54" s="42"/>
      <c r="VBI54" s="2"/>
      <c r="VBJ54" s="15"/>
      <c r="VBK54" s="42"/>
      <c r="VBL54" s="2"/>
      <c r="VBM54" s="2"/>
      <c r="VBN54" s="2"/>
      <c r="VBO54" s="2"/>
      <c r="VBP54" s="42"/>
      <c r="VBQ54" s="42"/>
      <c r="VBR54" s="42"/>
      <c r="VBS54" s="42"/>
      <c r="VBT54" s="42"/>
      <c r="VBU54" s="42"/>
      <c r="VBV54" s="42"/>
      <c r="VBW54" s="42"/>
      <c r="VBX54" s="42"/>
      <c r="VBY54" s="42"/>
      <c r="VBZ54" s="42"/>
      <c r="VCA54" s="42"/>
      <c r="VCB54" s="42"/>
      <c r="VCC54" s="42"/>
      <c r="VCD54" s="42"/>
      <c r="VCE54" s="42"/>
      <c r="VCF54" s="42"/>
      <c r="VCG54" s="42"/>
      <c r="VCH54" s="42"/>
      <c r="VCI54" s="42"/>
      <c r="VCJ54" s="42"/>
      <c r="VCK54" s="42"/>
      <c r="VCL54" s="42"/>
      <c r="VCM54" s="2"/>
      <c r="VCN54" s="15"/>
      <c r="VCO54" s="42"/>
      <c r="VCP54" s="2"/>
      <c r="VCQ54" s="2"/>
      <c r="VCR54" s="2"/>
      <c r="VCS54" s="2"/>
      <c r="VCT54" s="42"/>
      <c r="VCU54" s="42"/>
      <c r="VCV54" s="42"/>
      <c r="VCW54" s="42"/>
      <c r="VCX54" s="42"/>
      <c r="VCY54" s="42"/>
      <c r="VCZ54" s="42"/>
      <c r="VDA54" s="42"/>
      <c r="VDB54" s="42"/>
      <c r="VDC54" s="42"/>
      <c r="VDD54" s="42"/>
      <c r="VDE54" s="42"/>
      <c r="VDF54" s="42"/>
      <c r="VDG54" s="42"/>
      <c r="VDH54" s="42"/>
      <c r="VDI54" s="42"/>
      <c r="VDJ54" s="42"/>
      <c r="VDK54" s="42"/>
      <c r="VDL54" s="42"/>
      <c r="VDM54" s="42"/>
      <c r="VDN54" s="42"/>
      <c r="VDO54" s="42"/>
      <c r="VDP54" s="42"/>
      <c r="VDQ54" s="2"/>
      <c r="VDR54" s="15"/>
      <c r="VDS54" s="42"/>
      <c r="VDT54" s="2"/>
      <c r="VDU54" s="2"/>
      <c r="VDV54" s="2"/>
      <c r="VDW54" s="2"/>
      <c r="VDX54" s="42"/>
      <c r="VDY54" s="42"/>
      <c r="VDZ54" s="42"/>
      <c r="VEA54" s="42"/>
      <c r="VEB54" s="42"/>
      <c r="VEC54" s="42"/>
      <c r="VED54" s="42"/>
      <c r="VEE54" s="42"/>
      <c r="VEF54" s="42"/>
      <c r="VEG54" s="42"/>
      <c r="VEH54" s="42"/>
      <c r="VEI54" s="42"/>
      <c r="VEJ54" s="42"/>
      <c r="VEK54" s="42"/>
      <c r="VEL54" s="42"/>
      <c r="VEM54" s="42"/>
      <c r="VEN54" s="42"/>
      <c r="VEO54" s="42"/>
      <c r="VEP54" s="42"/>
      <c r="VEQ54" s="42"/>
      <c r="VER54" s="42"/>
      <c r="VES54" s="42"/>
      <c r="VET54" s="42"/>
      <c r="VEU54" s="2"/>
      <c r="VEV54" s="15"/>
      <c r="VEW54" s="42"/>
      <c r="VEX54" s="2"/>
      <c r="VEY54" s="2"/>
      <c r="VEZ54" s="2"/>
      <c r="VFA54" s="2"/>
      <c r="VFB54" s="42"/>
      <c r="VFC54" s="42"/>
      <c r="VFD54" s="42"/>
      <c r="VFE54" s="42"/>
      <c r="VFF54" s="42"/>
      <c r="VFG54" s="42"/>
      <c r="VFH54" s="42"/>
      <c r="VFI54" s="42"/>
      <c r="VFJ54" s="42"/>
      <c r="VFK54" s="42"/>
      <c r="VFL54" s="42"/>
      <c r="VFM54" s="42"/>
      <c r="VFN54" s="42"/>
      <c r="VFO54" s="42"/>
      <c r="VFP54" s="42"/>
      <c r="VFQ54" s="42"/>
      <c r="VFR54" s="42"/>
      <c r="VFS54" s="42"/>
      <c r="VFT54" s="42"/>
      <c r="VFU54" s="42"/>
      <c r="VFV54" s="42"/>
      <c r="VFW54" s="42"/>
      <c r="VFX54" s="42"/>
      <c r="VFY54" s="2"/>
      <c r="VFZ54" s="15"/>
      <c r="VGA54" s="42"/>
      <c r="VGB54" s="2"/>
      <c r="VGC54" s="2"/>
      <c r="VGD54" s="2"/>
      <c r="VGE54" s="2"/>
      <c r="VGF54" s="42"/>
      <c r="VGG54" s="42"/>
      <c r="VGH54" s="42"/>
      <c r="VGI54" s="42"/>
      <c r="VGJ54" s="42"/>
      <c r="VGK54" s="42"/>
      <c r="VGL54" s="42"/>
      <c r="VGM54" s="42"/>
      <c r="VGN54" s="42"/>
      <c r="VGO54" s="42"/>
      <c r="VGP54" s="42"/>
      <c r="VGQ54" s="42"/>
      <c r="VGR54" s="42"/>
      <c r="VGS54" s="42"/>
      <c r="VGT54" s="42"/>
      <c r="VGU54" s="42"/>
      <c r="VGV54" s="42"/>
      <c r="VGW54" s="42"/>
      <c r="VGX54" s="42"/>
      <c r="VGY54" s="42"/>
      <c r="VGZ54" s="42"/>
      <c r="VHA54" s="42"/>
      <c r="VHB54" s="42"/>
      <c r="VHC54" s="2"/>
      <c r="VHD54" s="15"/>
      <c r="VHE54" s="42"/>
      <c r="VHF54" s="2"/>
      <c r="VHG54" s="2"/>
      <c r="VHH54" s="2"/>
      <c r="VHI54" s="2"/>
      <c r="VHJ54" s="42"/>
      <c r="VHK54" s="42"/>
      <c r="VHL54" s="42"/>
      <c r="VHM54" s="42"/>
      <c r="VHN54" s="42"/>
      <c r="VHO54" s="42"/>
      <c r="VHP54" s="42"/>
      <c r="VHQ54" s="42"/>
      <c r="VHR54" s="42"/>
      <c r="VHS54" s="42"/>
      <c r="VHT54" s="42"/>
      <c r="VHU54" s="42"/>
      <c r="VHV54" s="42"/>
      <c r="VHW54" s="42"/>
      <c r="VHX54" s="42"/>
      <c r="VHY54" s="42"/>
      <c r="VHZ54" s="42"/>
      <c r="VIA54" s="42"/>
      <c r="VIB54" s="42"/>
      <c r="VIC54" s="42"/>
      <c r="VID54" s="42"/>
      <c r="VIE54" s="42"/>
      <c r="VIF54" s="42"/>
      <c r="VIG54" s="2"/>
      <c r="VIH54" s="15"/>
      <c r="VII54" s="42"/>
      <c r="VIJ54" s="2"/>
      <c r="VIK54" s="2"/>
      <c r="VIL54" s="2"/>
      <c r="VIM54" s="2"/>
      <c r="VIN54" s="42"/>
      <c r="VIO54" s="42"/>
      <c r="VIP54" s="42"/>
      <c r="VIQ54" s="42"/>
      <c r="VIR54" s="42"/>
      <c r="VIS54" s="42"/>
      <c r="VIT54" s="42"/>
      <c r="VIU54" s="42"/>
      <c r="VIV54" s="42"/>
      <c r="VIW54" s="42"/>
      <c r="VIX54" s="42"/>
      <c r="VIY54" s="42"/>
      <c r="VIZ54" s="42"/>
      <c r="VJA54" s="42"/>
      <c r="VJB54" s="42"/>
      <c r="VJC54" s="42"/>
      <c r="VJD54" s="42"/>
      <c r="VJE54" s="42"/>
      <c r="VJF54" s="42"/>
      <c r="VJG54" s="42"/>
      <c r="VJH54" s="42"/>
      <c r="VJI54" s="42"/>
      <c r="VJJ54" s="42"/>
      <c r="VJK54" s="2"/>
      <c r="VJL54" s="15"/>
      <c r="VJM54" s="42"/>
      <c r="VJN54" s="2"/>
      <c r="VJO54" s="2"/>
      <c r="VJP54" s="2"/>
      <c r="VJQ54" s="2"/>
      <c r="VJR54" s="42"/>
      <c r="VJS54" s="42"/>
      <c r="VJT54" s="42"/>
      <c r="VJU54" s="42"/>
      <c r="VJV54" s="42"/>
      <c r="VJW54" s="42"/>
      <c r="VJX54" s="42"/>
      <c r="VJY54" s="42"/>
      <c r="VJZ54" s="42"/>
      <c r="VKA54" s="42"/>
      <c r="VKB54" s="42"/>
      <c r="VKC54" s="42"/>
      <c r="VKD54" s="42"/>
      <c r="VKE54" s="42"/>
      <c r="VKF54" s="42"/>
      <c r="VKG54" s="42"/>
      <c r="VKH54" s="42"/>
      <c r="VKI54" s="42"/>
      <c r="VKJ54" s="42"/>
      <c r="VKK54" s="42"/>
      <c r="VKL54" s="42"/>
      <c r="VKM54" s="42"/>
      <c r="VKN54" s="42"/>
      <c r="VKO54" s="2"/>
      <c r="VKP54" s="15"/>
      <c r="VKQ54" s="42"/>
      <c r="VKR54" s="2"/>
      <c r="VKS54" s="2"/>
      <c r="VKT54" s="2"/>
      <c r="VKU54" s="2"/>
      <c r="VKV54" s="42"/>
      <c r="VKW54" s="42"/>
      <c r="VKX54" s="42"/>
      <c r="VKY54" s="42"/>
      <c r="VKZ54" s="42"/>
      <c r="VLA54" s="42"/>
      <c r="VLB54" s="42"/>
      <c r="VLC54" s="42"/>
      <c r="VLD54" s="42"/>
      <c r="VLE54" s="42"/>
      <c r="VLF54" s="42"/>
      <c r="VLG54" s="42"/>
      <c r="VLH54" s="42"/>
      <c r="VLI54" s="42"/>
      <c r="VLJ54" s="42"/>
      <c r="VLK54" s="42"/>
      <c r="VLL54" s="42"/>
      <c r="VLM54" s="42"/>
      <c r="VLN54" s="42"/>
      <c r="VLO54" s="42"/>
      <c r="VLP54" s="42"/>
      <c r="VLQ54" s="42"/>
      <c r="VLR54" s="42"/>
      <c r="VLS54" s="2"/>
      <c r="VLT54" s="15"/>
      <c r="VLU54" s="42"/>
      <c r="VLV54" s="2"/>
      <c r="VLW54" s="2"/>
      <c r="VLX54" s="2"/>
      <c r="VLY54" s="2"/>
      <c r="VLZ54" s="42"/>
      <c r="VMA54" s="42"/>
      <c r="VMB54" s="42"/>
      <c r="VMC54" s="42"/>
      <c r="VMD54" s="42"/>
      <c r="VME54" s="42"/>
      <c r="VMF54" s="42"/>
      <c r="VMG54" s="42"/>
      <c r="VMH54" s="42"/>
      <c r="VMI54" s="42"/>
      <c r="VMJ54" s="42"/>
      <c r="VMK54" s="42"/>
      <c r="VML54" s="42"/>
      <c r="VMM54" s="42"/>
      <c r="VMN54" s="42"/>
      <c r="VMO54" s="42"/>
      <c r="VMP54" s="42"/>
      <c r="VMQ54" s="42"/>
      <c r="VMR54" s="42"/>
      <c r="VMS54" s="42"/>
      <c r="VMT54" s="42"/>
      <c r="VMU54" s="42"/>
      <c r="VMV54" s="42"/>
      <c r="VMW54" s="2"/>
      <c r="VMX54" s="15"/>
      <c r="VMY54" s="42"/>
      <c r="VMZ54" s="2"/>
      <c r="VNA54" s="2"/>
      <c r="VNB54" s="2"/>
      <c r="VNC54" s="2"/>
      <c r="VND54" s="42"/>
      <c r="VNE54" s="42"/>
      <c r="VNF54" s="42"/>
      <c r="VNG54" s="42"/>
      <c r="VNH54" s="42"/>
      <c r="VNI54" s="42"/>
      <c r="VNJ54" s="42"/>
      <c r="VNK54" s="42"/>
      <c r="VNL54" s="42"/>
      <c r="VNM54" s="42"/>
      <c r="VNN54" s="42"/>
      <c r="VNO54" s="42"/>
      <c r="VNP54" s="42"/>
      <c r="VNQ54" s="42"/>
      <c r="VNR54" s="42"/>
      <c r="VNS54" s="42"/>
      <c r="VNT54" s="42"/>
      <c r="VNU54" s="42"/>
      <c r="VNV54" s="42"/>
      <c r="VNW54" s="42"/>
      <c r="VNX54" s="42"/>
      <c r="VNY54" s="42"/>
      <c r="VNZ54" s="42"/>
      <c r="VOA54" s="2"/>
      <c r="VOB54" s="15"/>
      <c r="VOC54" s="42"/>
      <c r="VOD54" s="2"/>
      <c r="VOE54" s="2"/>
      <c r="VOF54" s="2"/>
      <c r="VOG54" s="2"/>
      <c r="VOH54" s="42"/>
      <c r="VOI54" s="42"/>
      <c r="VOJ54" s="42"/>
      <c r="VOK54" s="42"/>
      <c r="VOL54" s="42"/>
      <c r="VOM54" s="42"/>
      <c r="VON54" s="42"/>
      <c r="VOO54" s="42"/>
      <c r="VOP54" s="42"/>
      <c r="VOQ54" s="42"/>
      <c r="VOR54" s="42"/>
      <c r="VOS54" s="42"/>
      <c r="VOT54" s="42"/>
      <c r="VOU54" s="42"/>
      <c r="VOV54" s="42"/>
      <c r="VOW54" s="42"/>
      <c r="VOX54" s="42"/>
      <c r="VOY54" s="42"/>
      <c r="VOZ54" s="42"/>
      <c r="VPA54" s="42"/>
      <c r="VPB54" s="42"/>
      <c r="VPC54" s="42"/>
      <c r="VPD54" s="42"/>
      <c r="VPE54" s="2"/>
      <c r="VPF54" s="15"/>
      <c r="VPG54" s="42"/>
      <c r="VPH54" s="2"/>
      <c r="VPI54" s="2"/>
      <c r="VPJ54" s="2"/>
      <c r="VPK54" s="2"/>
      <c r="VPL54" s="42"/>
      <c r="VPM54" s="42"/>
      <c r="VPN54" s="42"/>
      <c r="VPO54" s="42"/>
      <c r="VPP54" s="42"/>
      <c r="VPQ54" s="42"/>
      <c r="VPR54" s="42"/>
      <c r="VPS54" s="42"/>
      <c r="VPT54" s="42"/>
      <c r="VPU54" s="42"/>
      <c r="VPV54" s="42"/>
      <c r="VPW54" s="42"/>
      <c r="VPX54" s="42"/>
      <c r="VPY54" s="42"/>
      <c r="VPZ54" s="42"/>
      <c r="VQA54" s="42"/>
      <c r="VQB54" s="42"/>
      <c r="VQC54" s="42"/>
      <c r="VQD54" s="42"/>
      <c r="VQE54" s="42"/>
      <c r="VQF54" s="42"/>
      <c r="VQG54" s="42"/>
      <c r="VQH54" s="42"/>
      <c r="VQI54" s="2"/>
      <c r="VQJ54" s="15"/>
      <c r="VQK54" s="42"/>
      <c r="VQL54" s="2"/>
      <c r="VQM54" s="2"/>
      <c r="VQN54" s="2"/>
      <c r="VQO54" s="2"/>
      <c r="VQP54" s="42"/>
      <c r="VQQ54" s="42"/>
      <c r="VQR54" s="42"/>
      <c r="VQS54" s="42"/>
      <c r="VQT54" s="42"/>
      <c r="VQU54" s="42"/>
      <c r="VQV54" s="42"/>
      <c r="VQW54" s="42"/>
      <c r="VQX54" s="42"/>
      <c r="VQY54" s="42"/>
      <c r="VQZ54" s="42"/>
      <c r="VRA54" s="42"/>
      <c r="VRB54" s="42"/>
      <c r="VRC54" s="42"/>
      <c r="VRD54" s="42"/>
      <c r="VRE54" s="42"/>
      <c r="VRF54" s="42"/>
      <c r="VRG54" s="42"/>
      <c r="VRH54" s="42"/>
      <c r="VRI54" s="42"/>
      <c r="VRJ54" s="42"/>
      <c r="VRK54" s="42"/>
      <c r="VRL54" s="42"/>
      <c r="VRM54" s="2"/>
      <c r="VRN54" s="15"/>
      <c r="VRO54" s="42"/>
      <c r="VRP54" s="2"/>
      <c r="VRQ54" s="2"/>
      <c r="VRR54" s="2"/>
      <c r="VRS54" s="2"/>
      <c r="VRT54" s="42"/>
      <c r="VRU54" s="42"/>
      <c r="VRV54" s="42"/>
      <c r="VRW54" s="42"/>
      <c r="VRX54" s="42"/>
      <c r="VRY54" s="42"/>
      <c r="VRZ54" s="42"/>
      <c r="VSA54" s="42"/>
      <c r="VSB54" s="42"/>
      <c r="VSC54" s="42"/>
      <c r="VSD54" s="42"/>
      <c r="VSE54" s="42"/>
      <c r="VSF54" s="42"/>
      <c r="VSG54" s="42"/>
      <c r="VSH54" s="42"/>
      <c r="VSI54" s="42"/>
      <c r="VSJ54" s="42"/>
      <c r="VSK54" s="42"/>
      <c r="VSL54" s="42"/>
      <c r="VSM54" s="42"/>
      <c r="VSN54" s="42"/>
      <c r="VSO54" s="42"/>
      <c r="VSP54" s="42"/>
      <c r="VSQ54" s="2"/>
      <c r="VSR54" s="15"/>
      <c r="VSS54" s="42"/>
      <c r="VST54" s="2"/>
      <c r="VSU54" s="2"/>
      <c r="VSV54" s="2"/>
      <c r="VSW54" s="2"/>
      <c r="VSX54" s="42"/>
      <c r="VSY54" s="42"/>
      <c r="VSZ54" s="42"/>
      <c r="VTA54" s="42"/>
      <c r="VTB54" s="42"/>
      <c r="VTC54" s="42"/>
      <c r="VTD54" s="42"/>
      <c r="VTE54" s="42"/>
      <c r="VTF54" s="42"/>
      <c r="VTG54" s="42"/>
      <c r="VTH54" s="42"/>
      <c r="VTI54" s="42"/>
      <c r="VTJ54" s="42"/>
      <c r="VTK54" s="42"/>
      <c r="VTL54" s="42"/>
      <c r="VTM54" s="42"/>
      <c r="VTN54" s="42"/>
      <c r="VTO54" s="42"/>
      <c r="VTP54" s="42"/>
      <c r="VTQ54" s="42"/>
      <c r="VTR54" s="42"/>
      <c r="VTS54" s="42"/>
      <c r="VTT54" s="42"/>
      <c r="VTU54" s="2"/>
      <c r="VTV54" s="15"/>
      <c r="VTW54" s="42"/>
      <c r="VTX54" s="2"/>
      <c r="VTY54" s="2"/>
      <c r="VTZ54" s="2"/>
      <c r="VUA54" s="2"/>
      <c r="VUB54" s="42"/>
      <c r="VUC54" s="42"/>
      <c r="VUD54" s="42"/>
      <c r="VUE54" s="42"/>
      <c r="VUF54" s="42"/>
      <c r="VUG54" s="42"/>
      <c r="VUH54" s="42"/>
      <c r="VUI54" s="42"/>
      <c r="VUJ54" s="42"/>
      <c r="VUK54" s="42"/>
      <c r="VUL54" s="42"/>
      <c r="VUM54" s="42"/>
      <c r="VUN54" s="42"/>
      <c r="VUO54" s="42"/>
      <c r="VUP54" s="42"/>
      <c r="VUQ54" s="42"/>
      <c r="VUR54" s="42"/>
      <c r="VUS54" s="42"/>
      <c r="VUT54" s="42"/>
      <c r="VUU54" s="42"/>
      <c r="VUV54" s="42"/>
      <c r="VUW54" s="42"/>
      <c r="VUX54" s="42"/>
      <c r="VUY54" s="2"/>
      <c r="VUZ54" s="15"/>
      <c r="VVA54" s="42"/>
      <c r="VVB54" s="2"/>
      <c r="VVC54" s="2"/>
      <c r="VVD54" s="2"/>
      <c r="VVE54" s="2"/>
      <c r="VVF54" s="42"/>
      <c r="VVG54" s="42"/>
      <c r="VVH54" s="42"/>
      <c r="VVI54" s="42"/>
      <c r="VVJ54" s="42"/>
      <c r="VVK54" s="42"/>
      <c r="VVL54" s="42"/>
      <c r="VVM54" s="42"/>
      <c r="VVN54" s="42"/>
      <c r="VVO54" s="42"/>
      <c r="VVP54" s="42"/>
      <c r="VVQ54" s="42"/>
      <c r="VVR54" s="42"/>
      <c r="VVS54" s="42"/>
      <c r="VVT54" s="42"/>
      <c r="VVU54" s="42"/>
      <c r="VVV54" s="42"/>
      <c r="VVW54" s="42"/>
      <c r="VVX54" s="42"/>
      <c r="VVY54" s="42"/>
      <c r="VVZ54" s="42"/>
      <c r="VWA54" s="42"/>
      <c r="VWB54" s="42"/>
      <c r="VWC54" s="2"/>
      <c r="VWD54" s="15"/>
      <c r="VWE54" s="42"/>
      <c r="VWF54" s="2"/>
      <c r="VWG54" s="2"/>
      <c r="VWH54" s="2"/>
      <c r="VWI54" s="2"/>
      <c r="VWJ54" s="42"/>
      <c r="VWK54" s="42"/>
      <c r="VWL54" s="42"/>
      <c r="VWM54" s="42"/>
      <c r="VWN54" s="42"/>
      <c r="VWO54" s="42"/>
      <c r="VWP54" s="42"/>
      <c r="VWQ54" s="42"/>
      <c r="VWR54" s="42"/>
      <c r="VWS54" s="42"/>
      <c r="VWT54" s="42"/>
      <c r="VWU54" s="42"/>
      <c r="VWV54" s="42"/>
      <c r="VWW54" s="42"/>
      <c r="VWX54" s="42"/>
      <c r="VWY54" s="42"/>
      <c r="VWZ54" s="42"/>
      <c r="VXA54" s="42"/>
      <c r="VXB54" s="42"/>
      <c r="VXC54" s="42"/>
      <c r="VXD54" s="42"/>
      <c r="VXE54" s="42"/>
      <c r="VXF54" s="42"/>
      <c r="VXG54" s="2"/>
      <c r="VXH54" s="15"/>
      <c r="VXI54" s="42"/>
      <c r="VXJ54" s="2"/>
      <c r="VXK54" s="2"/>
      <c r="VXL54" s="2"/>
      <c r="VXM54" s="2"/>
      <c r="VXN54" s="42"/>
      <c r="VXO54" s="42"/>
      <c r="VXP54" s="42"/>
      <c r="VXQ54" s="42"/>
      <c r="VXR54" s="42"/>
      <c r="VXS54" s="42"/>
      <c r="VXT54" s="42"/>
      <c r="VXU54" s="42"/>
      <c r="VXV54" s="42"/>
      <c r="VXW54" s="42"/>
      <c r="VXX54" s="42"/>
      <c r="VXY54" s="42"/>
      <c r="VXZ54" s="42"/>
      <c r="VYA54" s="42"/>
      <c r="VYB54" s="42"/>
      <c r="VYC54" s="42"/>
      <c r="VYD54" s="42"/>
      <c r="VYE54" s="42"/>
      <c r="VYF54" s="42"/>
      <c r="VYG54" s="42"/>
      <c r="VYH54" s="42"/>
      <c r="VYI54" s="42"/>
      <c r="VYJ54" s="42"/>
      <c r="VYK54" s="2"/>
      <c r="VYL54" s="15"/>
      <c r="VYM54" s="42"/>
      <c r="VYN54" s="2"/>
      <c r="VYO54" s="2"/>
      <c r="VYP54" s="2"/>
      <c r="VYQ54" s="2"/>
      <c r="VYR54" s="42"/>
      <c r="VYS54" s="42"/>
      <c r="VYT54" s="42"/>
      <c r="VYU54" s="42"/>
      <c r="VYV54" s="42"/>
      <c r="VYW54" s="42"/>
      <c r="VYX54" s="42"/>
      <c r="VYY54" s="42"/>
      <c r="VYZ54" s="42"/>
      <c r="VZA54" s="42"/>
      <c r="VZB54" s="42"/>
      <c r="VZC54" s="42"/>
      <c r="VZD54" s="42"/>
      <c r="VZE54" s="42"/>
      <c r="VZF54" s="42"/>
      <c r="VZG54" s="42"/>
      <c r="VZH54" s="42"/>
      <c r="VZI54" s="42"/>
      <c r="VZJ54" s="42"/>
      <c r="VZK54" s="42"/>
      <c r="VZL54" s="42"/>
      <c r="VZM54" s="42"/>
      <c r="VZN54" s="42"/>
      <c r="VZO54" s="2"/>
      <c r="VZP54" s="15"/>
      <c r="VZQ54" s="42"/>
      <c r="VZR54" s="2"/>
      <c r="VZS54" s="2"/>
      <c r="VZT54" s="2"/>
      <c r="VZU54" s="2"/>
      <c r="VZV54" s="42"/>
      <c r="VZW54" s="42"/>
      <c r="VZX54" s="42"/>
      <c r="VZY54" s="42"/>
      <c r="VZZ54" s="42"/>
      <c r="WAA54" s="42"/>
      <c r="WAB54" s="42"/>
      <c r="WAC54" s="42"/>
      <c r="WAD54" s="42"/>
      <c r="WAE54" s="42"/>
      <c r="WAF54" s="42"/>
      <c r="WAG54" s="42"/>
      <c r="WAH54" s="42"/>
      <c r="WAI54" s="42"/>
      <c r="WAJ54" s="42"/>
      <c r="WAK54" s="42"/>
      <c r="WAL54" s="42"/>
      <c r="WAM54" s="42"/>
      <c r="WAN54" s="42"/>
      <c r="WAO54" s="42"/>
      <c r="WAP54" s="42"/>
      <c r="WAQ54" s="42"/>
      <c r="WAR54" s="42"/>
      <c r="WAS54" s="2"/>
      <c r="WAT54" s="15"/>
      <c r="WAU54" s="42"/>
      <c r="WAV54" s="2"/>
      <c r="WAW54" s="2"/>
      <c r="WAX54" s="2"/>
      <c r="WAY54" s="2"/>
      <c r="WAZ54" s="42"/>
      <c r="WBA54" s="42"/>
      <c r="WBB54" s="42"/>
      <c r="WBC54" s="42"/>
      <c r="WBD54" s="42"/>
      <c r="WBE54" s="42"/>
      <c r="WBF54" s="42"/>
      <c r="WBG54" s="42"/>
      <c r="WBH54" s="42"/>
      <c r="WBI54" s="42"/>
      <c r="WBJ54" s="42"/>
      <c r="WBK54" s="42"/>
      <c r="WBL54" s="42"/>
      <c r="WBM54" s="42"/>
      <c r="WBN54" s="42"/>
      <c r="WBO54" s="42"/>
      <c r="WBP54" s="42"/>
      <c r="WBQ54" s="42"/>
      <c r="WBR54" s="42"/>
      <c r="WBS54" s="42"/>
      <c r="WBT54" s="42"/>
      <c r="WBU54" s="42"/>
      <c r="WBV54" s="42"/>
      <c r="WBW54" s="2"/>
      <c r="WBX54" s="15"/>
      <c r="WBY54" s="42"/>
      <c r="WBZ54" s="2"/>
      <c r="WCA54" s="2"/>
      <c r="WCB54" s="2"/>
      <c r="WCC54" s="2"/>
      <c r="WCD54" s="42"/>
      <c r="WCE54" s="42"/>
      <c r="WCF54" s="42"/>
      <c r="WCG54" s="42"/>
      <c r="WCH54" s="42"/>
      <c r="WCI54" s="42"/>
      <c r="WCJ54" s="42"/>
      <c r="WCK54" s="42"/>
      <c r="WCL54" s="42"/>
      <c r="WCM54" s="42"/>
      <c r="WCN54" s="42"/>
      <c r="WCO54" s="42"/>
      <c r="WCP54" s="42"/>
      <c r="WCQ54" s="42"/>
      <c r="WCR54" s="42"/>
      <c r="WCS54" s="42"/>
      <c r="WCT54" s="42"/>
      <c r="WCU54" s="42"/>
      <c r="WCV54" s="42"/>
      <c r="WCW54" s="42"/>
      <c r="WCX54" s="42"/>
      <c r="WCY54" s="42"/>
      <c r="WCZ54" s="42"/>
      <c r="WDA54" s="2"/>
      <c r="WDB54" s="15"/>
      <c r="WDC54" s="42"/>
      <c r="WDD54" s="2"/>
      <c r="WDE54" s="2"/>
      <c r="WDF54" s="2"/>
      <c r="WDG54" s="2"/>
      <c r="WDH54" s="42"/>
      <c r="WDI54" s="42"/>
      <c r="WDJ54" s="42"/>
      <c r="WDK54" s="42"/>
      <c r="WDL54" s="42"/>
      <c r="WDM54" s="42"/>
      <c r="WDN54" s="42"/>
      <c r="WDO54" s="42"/>
      <c r="WDP54" s="42"/>
      <c r="WDQ54" s="42"/>
      <c r="WDR54" s="42"/>
      <c r="WDS54" s="42"/>
      <c r="WDT54" s="42"/>
      <c r="WDU54" s="42"/>
      <c r="WDV54" s="42"/>
      <c r="WDW54" s="42"/>
      <c r="WDX54" s="42"/>
      <c r="WDY54" s="42"/>
      <c r="WDZ54" s="42"/>
      <c r="WEA54" s="42"/>
      <c r="WEB54" s="42"/>
      <c r="WEC54" s="42"/>
      <c r="WED54" s="42"/>
      <c r="WEE54" s="2"/>
      <c r="WEF54" s="15"/>
      <c r="WEG54" s="42"/>
      <c r="WEH54" s="2"/>
      <c r="WEI54" s="2"/>
      <c r="WEJ54" s="2"/>
      <c r="WEK54" s="2"/>
      <c r="WEL54" s="42"/>
      <c r="WEM54" s="42"/>
      <c r="WEN54" s="42"/>
      <c r="WEO54" s="42"/>
      <c r="WEP54" s="42"/>
      <c r="WEQ54" s="42"/>
      <c r="WER54" s="42"/>
      <c r="WES54" s="42"/>
      <c r="WET54" s="42"/>
      <c r="WEU54" s="42"/>
      <c r="WEV54" s="42"/>
      <c r="WEW54" s="42"/>
      <c r="WEX54" s="42"/>
      <c r="WEY54" s="42"/>
      <c r="WEZ54" s="42"/>
      <c r="WFA54" s="42"/>
      <c r="WFB54" s="42"/>
      <c r="WFC54" s="42"/>
      <c r="WFD54" s="42"/>
      <c r="WFE54" s="42"/>
      <c r="WFF54" s="42"/>
      <c r="WFG54" s="42"/>
      <c r="WFH54" s="42"/>
      <c r="WFI54" s="2"/>
      <c r="WFJ54" s="15"/>
      <c r="WFK54" s="42"/>
      <c r="WFL54" s="2"/>
      <c r="WFM54" s="2"/>
      <c r="WFN54" s="2"/>
      <c r="WFO54" s="2"/>
      <c r="WFP54" s="42"/>
      <c r="WFQ54" s="42"/>
      <c r="WFR54" s="42"/>
      <c r="WFS54" s="42"/>
      <c r="WFT54" s="42"/>
      <c r="WFU54" s="42"/>
      <c r="WFV54" s="42"/>
      <c r="WFW54" s="42"/>
      <c r="WFX54" s="42"/>
      <c r="WFY54" s="42"/>
      <c r="WFZ54" s="42"/>
      <c r="WGA54" s="42"/>
      <c r="WGB54" s="42"/>
      <c r="WGC54" s="42"/>
      <c r="WGD54" s="42"/>
      <c r="WGE54" s="42"/>
      <c r="WGF54" s="42"/>
      <c r="WGG54" s="42"/>
      <c r="WGH54" s="42"/>
      <c r="WGI54" s="42"/>
      <c r="WGJ54" s="42"/>
      <c r="WGK54" s="42"/>
      <c r="WGL54" s="42"/>
      <c r="WGM54" s="2"/>
      <c r="WGN54" s="15"/>
      <c r="WGO54" s="42"/>
      <c r="WGP54" s="2"/>
      <c r="WGQ54" s="2"/>
      <c r="WGR54" s="2"/>
      <c r="WGS54" s="2"/>
      <c r="WGT54" s="42"/>
      <c r="WGU54" s="42"/>
      <c r="WGV54" s="42"/>
      <c r="WGW54" s="42"/>
      <c r="WGX54" s="42"/>
      <c r="WGY54" s="42"/>
      <c r="WGZ54" s="42"/>
      <c r="WHA54" s="42"/>
      <c r="WHB54" s="42"/>
      <c r="WHC54" s="42"/>
      <c r="WHD54" s="42"/>
      <c r="WHE54" s="42"/>
      <c r="WHF54" s="42"/>
      <c r="WHG54" s="42"/>
      <c r="WHH54" s="42"/>
      <c r="WHI54" s="42"/>
      <c r="WHJ54" s="42"/>
      <c r="WHK54" s="42"/>
      <c r="WHL54" s="42"/>
      <c r="WHM54" s="42"/>
      <c r="WHN54" s="42"/>
      <c r="WHO54" s="42"/>
      <c r="WHP54" s="42"/>
      <c r="WHQ54" s="2"/>
      <c r="WHR54" s="15"/>
      <c r="WHS54" s="42"/>
      <c r="WHT54" s="2"/>
      <c r="WHU54" s="2"/>
      <c r="WHV54" s="2"/>
      <c r="WHW54" s="2"/>
      <c r="WHX54" s="42"/>
      <c r="WHY54" s="42"/>
      <c r="WHZ54" s="42"/>
      <c r="WIA54" s="42"/>
      <c r="WIB54" s="42"/>
      <c r="WIC54" s="42"/>
      <c r="WID54" s="42"/>
      <c r="WIE54" s="42"/>
      <c r="WIF54" s="42"/>
      <c r="WIG54" s="42"/>
      <c r="WIH54" s="42"/>
      <c r="WII54" s="42"/>
      <c r="WIJ54" s="42"/>
      <c r="WIK54" s="42"/>
      <c r="WIL54" s="42"/>
      <c r="WIM54" s="42"/>
      <c r="WIN54" s="42"/>
      <c r="WIO54" s="42"/>
      <c r="WIP54" s="42"/>
      <c r="WIQ54" s="42"/>
      <c r="WIR54" s="42"/>
      <c r="WIS54" s="42"/>
      <c r="WIT54" s="42"/>
      <c r="WIU54" s="2"/>
      <c r="WIV54" s="15"/>
      <c r="WIW54" s="42"/>
      <c r="WIX54" s="2"/>
      <c r="WIY54" s="2"/>
      <c r="WIZ54" s="2"/>
      <c r="WJA54" s="2"/>
      <c r="WJB54" s="42"/>
      <c r="WJC54" s="42"/>
      <c r="WJD54" s="42"/>
      <c r="WJE54" s="42"/>
      <c r="WJF54" s="42"/>
      <c r="WJG54" s="42"/>
      <c r="WJH54" s="42"/>
      <c r="WJI54" s="42"/>
      <c r="WJJ54" s="42"/>
      <c r="WJK54" s="42"/>
      <c r="WJL54" s="42"/>
      <c r="WJM54" s="42"/>
      <c r="WJN54" s="42"/>
      <c r="WJO54" s="42"/>
      <c r="WJP54" s="42"/>
      <c r="WJQ54" s="42"/>
      <c r="WJR54" s="42"/>
      <c r="WJS54" s="42"/>
      <c r="WJT54" s="42"/>
      <c r="WJU54" s="42"/>
      <c r="WJV54" s="42"/>
      <c r="WJW54" s="42"/>
      <c r="WJX54" s="42"/>
      <c r="WJY54" s="2"/>
      <c r="WJZ54" s="15"/>
      <c r="WKA54" s="42"/>
      <c r="WKB54" s="2"/>
      <c r="WKC54" s="2"/>
      <c r="WKD54" s="2"/>
      <c r="WKE54" s="2"/>
      <c r="WKF54" s="42"/>
      <c r="WKG54" s="42"/>
      <c r="WKH54" s="42"/>
      <c r="WKI54" s="42"/>
      <c r="WKJ54" s="42"/>
      <c r="WKK54" s="42"/>
      <c r="WKL54" s="42"/>
      <c r="WKM54" s="42"/>
      <c r="WKN54" s="42"/>
      <c r="WKO54" s="42"/>
      <c r="WKP54" s="42"/>
      <c r="WKQ54" s="42"/>
      <c r="WKR54" s="42"/>
      <c r="WKS54" s="42"/>
      <c r="WKT54" s="42"/>
      <c r="WKU54" s="42"/>
      <c r="WKV54" s="42"/>
      <c r="WKW54" s="42"/>
      <c r="WKX54" s="42"/>
      <c r="WKY54" s="42"/>
      <c r="WKZ54" s="42"/>
      <c r="WLA54" s="42"/>
      <c r="WLB54" s="42"/>
      <c r="WLC54" s="2"/>
      <c r="WLD54" s="15"/>
      <c r="WLE54" s="42"/>
      <c r="WLF54" s="2"/>
      <c r="WLG54" s="2"/>
      <c r="WLH54" s="2"/>
      <c r="WLI54" s="2"/>
      <c r="WLJ54" s="42"/>
      <c r="WLK54" s="42"/>
      <c r="WLL54" s="42"/>
      <c r="WLM54" s="42"/>
      <c r="WLN54" s="42"/>
      <c r="WLO54" s="42"/>
      <c r="WLP54" s="42"/>
      <c r="WLQ54" s="42"/>
      <c r="WLR54" s="42"/>
      <c r="WLS54" s="42"/>
      <c r="WLT54" s="42"/>
      <c r="WLU54" s="42"/>
      <c r="WLV54" s="42"/>
      <c r="WLW54" s="42"/>
      <c r="WLX54" s="42"/>
      <c r="WLY54" s="42"/>
      <c r="WLZ54" s="42"/>
      <c r="WMA54" s="42"/>
      <c r="WMB54" s="42"/>
      <c r="WMC54" s="42"/>
      <c r="WMD54" s="42"/>
      <c r="WME54" s="42"/>
      <c r="WMF54" s="42"/>
      <c r="WMG54" s="2"/>
      <c r="WMH54" s="15"/>
      <c r="WMI54" s="42"/>
      <c r="WMJ54" s="2"/>
      <c r="WMK54" s="2"/>
      <c r="WML54" s="2"/>
      <c r="WMM54" s="2"/>
      <c r="WMN54" s="42"/>
      <c r="WMO54" s="42"/>
      <c r="WMP54" s="42"/>
      <c r="WMQ54" s="42"/>
      <c r="WMR54" s="42"/>
      <c r="WMS54" s="42"/>
      <c r="WMT54" s="42"/>
      <c r="WMU54" s="42"/>
      <c r="WMV54" s="42"/>
      <c r="WMW54" s="42"/>
      <c r="WMX54" s="42"/>
      <c r="WMY54" s="42"/>
      <c r="WMZ54" s="42"/>
      <c r="WNA54" s="42"/>
      <c r="WNB54" s="42"/>
      <c r="WNC54" s="42"/>
      <c r="WND54" s="42"/>
      <c r="WNE54" s="42"/>
      <c r="WNF54" s="42"/>
      <c r="WNG54" s="42"/>
      <c r="WNH54" s="42"/>
      <c r="WNI54" s="42"/>
      <c r="WNJ54" s="42"/>
      <c r="WNK54" s="2"/>
      <c r="WNL54" s="15"/>
      <c r="WNM54" s="42"/>
      <c r="WNN54" s="2"/>
      <c r="WNO54" s="2"/>
      <c r="WNP54" s="2"/>
      <c r="WNQ54" s="2"/>
      <c r="WNR54" s="42"/>
      <c r="WNS54" s="42"/>
      <c r="WNT54" s="42"/>
      <c r="WNU54" s="42"/>
      <c r="WNV54" s="42"/>
      <c r="WNW54" s="42"/>
      <c r="WNX54" s="42"/>
      <c r="WNY54" s="42"/>
      <c r="WNZ54" s="42"/>
      <c r="WOA54" s="42"/>
      <c r="WOB54" s="42"/>
      <c r="WOC54" s="42"/>
      <c r="WOD54" s="42"/>
      <c r="WOE54" s="42"/>
      <c r="WOF54" s="42"/>
      <c r="WOG54" s="42"/>
      <c r="WOH54" s="42"/>
      <c r="WOI54" s="42"/>
      <c r="WOJ54" s="42"/>
      <c r="WOK54" s="42"/>
      <c r="WOL54" s="42"/>
      <c r="WOM54" s="42"/>
      <c r="WON54" s="42"/>
      <c r="WOO54" s="2"/>
      <c r="WOP54" s="15"/>
      <c r="WOQ54" s="42"/>
      <c r="WOR54" s="2"/>
      <c r="WOS54" s="2"/>
      <c r="WOT54" s="2"/>
      <c r="WOU54" s="2"/>
      <c r="WOV54" s="42"/>
      <c r="WOW54" s="42"/>
      <c r="WOX54" s="42"/>
      <c r="WOY54" s="42"/>
      <c r="WOZ54" s="42"/>
      <c r="WPA54" s="42"/>
      <c r="WPB54" s="42"/>
      <c r="WPC54" s="42"/>
      <c r="WPD54" s="42"/>
      <c r="WPE54" s="42"/>
      <c r="WPF54" s="42"/>
      <c r="WPG54" s="42"/>
      <c r="WPH54" s="42"/>
      <c r="WPI54" s="42"/>
      <c r="WPJ54" s="42"/>
      <c r="WPK54" s="42"/>
      <c r="WPL54" s="42"/>
      <c r="WPM54" s="42"/>
      <c r="WPN54" s="42"/>
      <c r="WPO54" s="42"/>
      <c r="WPP54" s="42"/>
      <c r="WPQ54" s="42"/>
      <c r="WPR54" s="42"/>
      <c r="WPS54" s="2"/>
      <c r="WPT54" s="15"/>
      <c r="WPU54" s="42"/>
      <c r="WPV54" s="2"/>
      <c r="WPW54" s="2"/>
      <c r="WPX54" s="2"/>
      <c r="WPY54" s="2"/>
      <c r="WPZ54" s="42"/>
      <c r="WQA54" s="42"/>
      <c r="WQB54" s="42"/>
      <c r="WQC54" s="42"/>
      <c r="WQD54" s="42"/>
      <c r="WQE54" s="42"/>
      <c r="WQF54" s="42"/>
      <c r="WQG54" s="42"/>
      <c r="WQH54" s="42"/>
      <c r="WQI54" s="42"/>
      <c r="WQJ54" s="42"/>
      <c r="WQK54" s="42"/>
      <c r="WQL54" s="42"/>
      <c r="WQM54" s="42"/>
      <c r="WQN54" s="42"/>
      <c r="WQO54" s="42"/>
      <c r="WQP54" s="42"/>
      <c r="WQQ54" s="42"/>
      <c r="WQR54" s="42"/>
      <c r="WQS54" s="42"/>
      <c r="WQT54" s="42"/>
      <c r="WQU54" s="42"/>
      <c r="WQV54" s="42"/>
      <c r="WQW54" s="2"/>
      <c r="WQX54" s="15"/>
      <c r="WQY54" s="42"/>
      <c r="WQZ54" s="2"/>
      <c r="WRA54" s="2"/>
      <c r="WRB54" s="2"/>
      <c r="WRC54" s="2"/>
      <c r="WRD54" s="42"/>
      <c r="WRE54" s="42"/>
      <c r="WRF54" s="42"/>
      <c r="WRG54" s="42"/>
      <c r="WRH54" s="42"/>
      <c r="WRI54" s="42"/>
      <c r="WRJ54" s="42"/>
      <c r="WRK54" s="42"/>
      <c r="WRL54" s="42"/>
      <c r="WRM54" s="42"/>
      <c r="WRN54" s="42"/>
      <c r="WRO54" s="42"/>
      <c r="WRP54" s="42"/>
      <c r="WRQ54" s="42"/>
      <c r="WRR54" s="42"/>
      <c r="WRS54" s="42"/>
      <c r="WRT54" s="42"/>
      <c r="WRU54" s="42"/>
      <c r="WRV54" s="42"/>
      <c r="WRW54" s="42"/>
      <c r="WRX54" s="42"/>
      <c r="WRY54" s="42"/>
      <c r="WRZ54" s="42"/>
      <c r="WSA54" s="2"/>
      <c r="WSB54" s="15"/>
      <c r="WSC54" s="42"/>
      <c r="WSD54" s="2"/>
      <c r="WSE54" s="2"/>
      <c r="WSF54" s="2"/>
      <c r="WSG54" s="2"/>
      <c r="WSH54" s="42"/>
      <c r="WSI54" s="42"/>
      <c r="WSJ54" s="42"/>
      <c r="WSK54" s="42"/>
      <c r="WSL54" s="42"/>
      <c r="WSM54" s="42"/>
      <c r="WSN54" s="42"/>
      <c r="WSO54" s="42"/>
      <c r="WSP54" s="42"/>
      <c r="WSQ54" s="42"/>
      <c r="WSR54" s="42"/>
      <c r="WSS54" s="42"/>
      <c r="WST54" s="42"/>
      <c r="WSU54" s="42"/>
      <c r="WSV54" s="42"/>
      <c r="WSW54" s="42"/>
      <c r="WSX54" s="42"/>
      <c r="WSY54" s="42"/>
      <c r="WSZ54" s="42"/>
      <c r="WTA54" s="42"/>
      <c r="WTB54" s="42"/>
      <c r="WTC54" s="42"/>
      <c r="WTD54" s="42"/>
      <c r="WTE54" s="2"/>
      <c r="WTF54" s="15"/>
      <c r="WTG54" s="42"/>
      <c r="WTH54" s="2"/>
      <c r="WTI54" s="2"/>
      <c r="WTJ54" s="2"/>
      <c r="WTK54" s="2"/>
      <c r="WTL54" s="42"/>
      <c r="WTM54" s="42"/>
      <c r="WTN54" s="42"/>
      <c r="WTO54" s="42"/>
      <c r="WTP54" s="42"/>
      <c r="WTQ54" s="42"/>
      <c r="WTR54" s="42"/>
      <c r="WTS54" s="42"/>
      <c r="WTT54" s="42"/>
      <c r="WTU54" s="42"/>
      <c r="WTV54" s="42"/>
      <c r="WTW54" s="42"/>
      <c r="WTX54" s="42"/>
      <c r="WTY54" s="42"/>
      <c r="WTZ54" s="42"/>
      <c r="WUA54" s="42"/>
      <c r="WUB54" s="42"/>
      <c r="WUC54" s="42"/>
      <c r="WUD54" s="42"/>
      <c r="WUE54" s="42"/>
      <c r="WUF54" s="42"/>
      <c r="WUG54" s="42"/>
      <c r="WUH54" s="42"/>
      <c r="WUI54" s="2"/>
      <c r="WUJ54" s="15"/>
      <c r="WUK54" s="42"/>
      <c r="WUL54" s="2"/>
      <c r="WUM54" s="2"/>
      <c r="WUN54" s="2"/>
      <c r="WUO54" s="2"/>
      <c r="WUP54" s="42"/>
      <c r="WUQ54" s="42"/>
      <c r="WUR54" s="42"/>
      <c r="WUS54" s="42"/>
      <c r="WUT54" s="42"/>
      <c r="WUU54" s="42"/>
      <c r="WUV54" s="42"/>
      <c r="WUW54" s="42"/>
      <c r="WUX54" s="42"/>
      <c r="WUY54" s="42"/>
      <c r="WUZ54" s="42"/>
      <c r="WVA54" s="42"/>
      <c r="WVB54" s="42"/>
      <c r="WVC54" s="42"/>
      <c r="WVD54" s="42"/>
      <c r="WVE54" s="42"/>
      <c r="WVF54" s="42"/>
      <c r="WVG54" s="42"/>
      <c r="WVH54" s="42"/>
      <c r="WVI54" s="42"/>
      <c r="WVJ54" s="42"/>
      <c r="WVK54" s="42"/>
      <c r="WVL54" s="42"/>
      <c r="WVM54" s="2"/>
      <c r="WVN54" s="15"/>
      <c r="WVO54" s="42"/>
      <c r="WVP54" s="2"/>
      <c r="WVQ54" s="2"/>
      <c r="WVR54" s="2"/>
      <c r="WVS54" s="2"/>
      <c r="WVT54" s="42"/>
      <c r="WVU54" s="42"/>
      <c r="WVV54" s="42"/>
      <c r="WVW54" s="42"/>
      <c r="WVX54" s="42"/>
      <c r="WVY54" s="42"/>
      <c r="WVZ54" s="42"/>
      <c r="WWA54" s="42"/>
      <c r="WWB54" s="42"/>
      <c r="WWC54" s="42"/>
      <c r="WWD54" s="42"/>
      <c r="WWE54" s="42"/>
      <c r="WWF54" s="42"/>
      <c r="WWG54" s="42"/>
      <c r="WWH54" s="42"/>
      <c r="WWI54" s="42"/>
      <c r="WWJ54" s="42"/>
      <c r="WWK54" s="42"/>
      <c r="WWL54" s="42"/>
      <c r="WWM54" s="42"/>
      <c r="WWN54" s="42"/>
      <c r="WWO54" s="42"/>
      <c r="WWP54" s="42"/>
      <c r="WWQ54" s="2"/>
      <c r="WWR54" s="15"/>
      <c r="WWS54" s="42"/>
      <c r="WWT54" s="2"/>
      <c r="WWU54" s="2"/>
      <c r="WWV54" s="2"/>
      <c r="WWW54" s="2"/>
      <c r="WWX54" s="42"/>
      <c r="WWY54" s="42"/>
      <c r="WWZ54" s="42"/>
      <c r="WXA54" s="42"/>
      <c r="WXB54" s="42"/>
      <c r="WXC54" s="42"/>
      <c r="WXD54" s="42"/>
      <c r="WXE54" s="42"/>
      <c r="WXF54" s="42"/>
      <c r="WXG54" s="42"/>
      <c r="WXH54" s="42"/>
      <c r="WXI54" s="42"/>
      <c r="WXJ54" s="42"/>
      <c r="WXK54" s="42"/>
      <c r="WXL54" s="42"/>
      <c r="WXM54" s="42"/>
      <c r="WXN54" s="42"/>
      <c r="WXO54" s="42"/>
      <c r="WXP54" s="42"/>
      <c r="WXQ54" s="42"/>
      <c r="WXR54" s="42"/>
      <c r="WXS54" s="42"/>
      <c r="WXT54" s="42"/>
      <c r="WXU54" s="2"/>
      <c r="WXV54" s="15"/>
      <c r="WXW54" s="42"/>
      <c r="WXX54" s="2"/>
      <c r="WXY54" s="2"/>
      <c r="WXZ54" s="2"/>
      <c r="WYA54" s="2"/>
      <c r="WYB54" s="42"/>
      <c r="WYC54" s="42"/>
      <c r="WYD54" s="42"/>
      <c r="WYE54" s="42"/>
      <c r="WYF54" s="42"/>
      <c r="WYG54" s="42"/>
      <c r="WYH54" s="42"/>
      <c r="WYI54" s="42"/>
      <c r="WYJ54" s="42"/>
      <c r="WYK54" s="42"/>
      <c r="WYL54" s="42"/>
      <c r="WYM54" s="42"/>
      <c r="WYN54" s="42"/>
      <c r="WYO54" s="42"/>
      <c r="WYP54" s="42"/>
      <c r="WYQ54" s="42"/>
      <c r="WYR54" s="42"/>
      <c r="WYS54" s="42"/>
      <c r="WYT54" s="42"/>
      <c r="WYU54" s="42"/>
      <c r="WYV54" s="42"/>
      <c r="WYW54" s="42"/>
      <c r="WYX54" s="42"/>
      <c r="WYY54" s="2"/>
      <c r="WYZ54" s="15"/>
      <c r="WZA54" s="42"/>
      <c r="WZB54" s="2"/>
      <c r="WZC54" s="2"/>
      <c r="WZD54" s="2"/>
      <c r="WZE54" s="2"/>
      <c r="WZF54" s="42"/>
      <c r="WZG54" s="42"/>
      <c r="WZH54" s="42"/>
      <c r="WZI54" s="42"/>
      <c r="WZJ54" s="42"/>
      <c r="WZK54" s="42"/>
      <c r="WZL54" s="42"/>
      <c r="WZM54" s="42"/>
      <c r="WZN54" s="42"/>
      <c r="WZO54" s="42"/>
      <c r="WZP54" s="42"/>
      <c r="WZQ54" s="42"/>
      <c r="WZR54" s="42"/>
      <c r="WZS54" s="42"/>
      <c r="WZT54" s="42"/>
      <c r="WZU54" s="42"/>
      <c r="WZV54" s="42"/>
      <c r="WZW54" s="42"/>
      <c r="WZX54" s="42"/>
      <c r="WZY54" s="42"/>
      <c r="WZZ54" s="42"/>
      <c r="XAA54" s="42"/>
      <c r="XAB54" s="42"/>
      <c r="XAC54" s="2"/>
      <c r="XAD54" s="15"/>
      <c r="XAE54" s="42"/>
      <c r="XAF54" s="2"/>
      <c r="XAG54" s="2"/>
      <c r="XAH54" s="2"/>
      <c r="XAI54" s="2"/>
      <c r="XAJ54" s="42"/>
      <c r="XAK54" s="42"/>
      <c r="XAL54" s="42"/>
      <c r="XAM54" s="42"/>
      <c r="XAN54" s="42"/>
      <c r="XAO54" s="42"/>
      <c r="XAP54" s="42"/>
      <c r="XAQ54" s="42"/>
      <c r="XAR54" s="42"/>
      <c r="XAS54" s="42"/>
      <c r="XAT54" s="42"/>
      <c r="XAU54" s="42"/>
      <c r="XAV54" s="42"/>
      <c r="XAW54" s="42"/>
      <c r="XAX54" s="42"/>
      <c r="XAY54" s="42"/>
      <c r="XAZ54" s="42"/>
      <c r="XBA54" s="42"/>
      <c r="XBB54" s="42"/>
      <c r="XBC54" s="42"/>
      <c r="XBD54" s="42"/>
      <c r="XBE54" s="42"/>
      <c r="XBF54" s="42"/>
      <c r="XBG54" s="2"/>
      <c r="XBH54" s="15"/>
      <c r="XBI54" s="42"/>
      <c r="XBJ54" s="2"/>
      <c r="XBK54" s="2"/>
      <c r="XBL54" s="2"/>
      <c r="XBM54" s="2"/>
      <c r="XBN54" s="42"/>
      <c r="XBO54" s="42"/>
      <c r="XBP54" s="42"/>
      <c r="XBQ54" s="42"/>
      <c r="XBR54" s="42"/>
      <c r="XBS54" s="42"/>
      <c r="XBT54" s="42"/>
      <c r="XBU54" s="42"/>
      <c r="XBV54" s="42"/>
      <c r="XBW54" s="42"/>
      <c r="XBX54" s="42"/>
      <c r="XBY54" s="42"/>
      <c r="XBZ54" s="42"/>
      <c r="XCA54" s="42"/>
      <c r="XCB54" s="42"/>
      <c r="XCC54" s="42"/>
      <c r="XCD54" s="42"/>
      <c r="XCE54" s="42"/>
      <c r="XCF54" s="42"/>
      <c r="XCG54" s="42"/>
      <c r="XCH54" s="42"/>
      <c r="XCI54" s="42"/>
      <c r="XCJ54" s="42"/>
      <c r="XCK54" s="2"/>
      <c r="XCL54" s="15"/>
      <c r="XCM54" s="42"/>
      <c r="XCN54" s="2"/>
      <c r="XCO54" s="2"/>
      <c r="XCP54" s="2"/>
      <c r="XCQ54" s="2"/>
      <c r="XCR54" s="42"/>
      <c r="XCS54" s="42"/>
      <c r="XCT54" s="42"/>
      <c r="XCU54" s="42"/>
      <c r="XCV54" s="42"/>
      <c r="XCW54" s="42"/>
      <c r="XCX54" s="42"/>
      <c r="XCY54" s="42"/>
      <c r="XCZ54" s="42"/>
      <c r="XDA54" s="42"/>
      <c r="XDB54" s="42"/>
      <c r="XDC54" s="42"/>
      <c r="XDD54" s="42"/>
      <c r="XDE54" s="42"/>
      <c r="XDF54" s="42"/>
      <c r="XDG54" s="42"/>
      <c r="XDH54" s="42"/>
      <c r="XDI54" s="42"/>
      <c r="XDJ54" s="42"/>
      <c r="XDK54" s="42"/>
      <c r="XDL54" s="42"/>
      <c r="XDM54" s="42"/>
      <c r="XDN54" s="42"/>
      <c r="XDO54" s="2"/>
      <c r="XDP54" s="15"/>
      <c r="XDQ54" s="42"/>
      <c r="XDR54" s="2"/>
      <c r="XDS54" s="2"/>
      <c r="XDT54" s="2"/>
      <c r="XDU54" s="2"/>
      <c r="XDV54" s="42"/>
      <c r="XDW54" s="42"/>
      <c r="XDX54" s="42"/>
      <c r="XDY54" s="42"/>
      <c r="XDZ54" s="42"/>
      <c r="XEA54" s="42"/>
      <c r="XEB54" s="42"/>
      <c r="XEC54" s="42"/>
      <c r="XED54" s="42"/>
      <c r="XEE54" s="42"/>
      <c r="XEF54" s="42"/>
      <c r="XEG54" s="42"/>
      <c r="XEH54" s="42"/>
      <c r="XEI54" s="42"/>
      <c r="XEJ54" s="42"/>
      <c r="XEK54" s="42"/>
      <c r="XEL54" s="42"/>
      <c r="XEM54" s="42"/>
      <c r="XEN54" s="42"/>
      <c r="XEO54" s="42"/>
      <c r="XEP54" s="42"/>
      <c r="XEQ54" s="42"/>
      <c r="XER54" s="42"/>
      <c r="XES54" s="2"/>
      <c r="XET54" s="15"/>
      <c r="XEU54" s="42"/>
      <c r="XEV54" s="2"/>
    </row>
    <row r="55" spans="1:16376" s="590" customFormat="1" ht="13.15" customHeight="1">
      <c r="A55" s="2"/>
      <c r="B55" s="2" t="s">
        <v>1597</v>
      </c>
      <c r="C55" s="42"/>
      <c r="D55" s="2"/>
      <c r="E55" s="2"/>
      <c r="F55" s="2"/>
      <c r="G55" s="2"/>
      <c r="H55" s="42"/>
      <c r="I55" s="42">
        <f>I54*(1+D53)</f>
        <v>32700172.39489796</v>
      </c>
      <c r="J55" s="42">
        <f t="shared" ref="J55:AY55" si="31">J54*(1+E53)</f>
        <v>32700172.39489796</v>
      </c>
      <c r="K55" s="42">
        <f t="shared" si="31"/>
        <v>32700172.39489796</v>
      </c>
      <c r="L55" s="42">
        <f t="shared" si="31"/>
        <v>32700172.39489796</v>
      </c>
      <c r="M55" s="42">
        <f t="shared" si="31"/>
        <v>32700172.39489796</v>
      </c>
      <c r="N55" s="42">
        <f t="shared" si="31"/>
        <v>32700172.39489796</v>
      </c>
      <c r="O55" s="42">
        <f t="shared" si="31"/>
        <v>32700172.39489796</v>
      </c>
      <c r="P55" s="42">
        <f t="shared" si="31"/>
        <v>32700172.39489796</v>
      </c>
      <c r="Q55" s="42">
        <f t="shared" si="31"/>
        <v>32700172.39489796</v>
      </c>
      <c r="R55" s="42">
        <f t="shared" si="31"/>
        <v>32700172.39489796</v>
      </c>
      <c r="S55" s="42">
        <f t="shared" si="31"/>
        <v>32700172.39489796</v>
      </c>
      <c r="T55" s="42">
        <f t="shared" si="31"/>
        <v>32700172.39489796</v>
      </c>
      <c r="U55" s="42">
        <f t="shared" si="31"/>
        <v>81750430.987244904</v>
      </c>
      <c r="V55" s="42">
        <f t="shared" si="31"/>
        <v>81750430.987244904</v>
      </c>
      <c r="W55" s="42">
        <f t="shared" si="31"/>
        <v>81750430.987244904</v>
      </c>
      <c r="X55" s="42">
        <f t="shared" si="31"/>
        <v>81750430.987244904</v>
      </c>
      <c r="Y55" s="42">
        <f t="shared" si="31"/>
        <v>81750430.987244904</v>
      </c>
      <c r="Z55" s="42">
        <f t="shared" si="31"/>
        <v>81750430.987244904</v>
      </c>
      <c r="AA55" s="42">
        <f t="shared" si="31"/>
        <v>81750430.987244904</v>
      </c>
      <c r="AB55" s="42">
        <f t="shared" si="31"/>
        <v>81750430.987244904</v>
      </c>
      <c r="AC55" s="42">
        <f t="shared" si="31"/>
        <v>81750430.987244904</v>
      </c>
      <c r="AD55" s="42">
        <f t="shared" si="31"/>
        <v>163500861.97448981</v>
      </c>
      <c r="AE55" s="42">
        <f t="shared" si="31"/>
        <v>163500861.97448981</v>
      </c>
      <c r="AF55" s="42">
        <f t="shared" si="31"/>
        <v>179850948.17193878</v>
      </c>
      <c r="AG55" s="42">
        <f t="shared" si="31"/>
        <v>0</v>
      </c>
      <c r="AH55" s="42">
        <f t="shared" si="31"/>
        <v>0</v>
      </c>
      <c r="AI55" s="42">
        <f t="shared" si="31"/>
        <v>0</v>
      </c>
      <c r="AJ55" s="42">
        <f t="shared" si="31"/>
        <v>0</v>
      </c>
      <c r="AK55" s="42">
        <f t="shared" si="31"/>
        <v>0</v>
      </c>
      <c r="AL55" s="42">
        <f t="shared" si="31"/>
        <v>0</v>
      </c>
      <c r="AM55" s="42">
        <f t="shared" si="31"/>
        <v>0</v>
      </c>
      <c r="AN55" s="42">
        <f t="shared" si="31"/>
        <v>0</v>
      </c>
      <c r="AO55" s="42">
        <f t="shared" si="31"/>
        <v>0</v>
      </c>
      <c r="AP55" s="42">
        <f t="shared" si="31"/>
        <v>0</v>
      </c>
      <c r="AQ55" s="42">
        <f t="shared" si="31"/>
        <v>0</v>
      </c>
      <c r="AR55" s="42">
        <f t="shared" si="31"/>
        <v>0</v>
      </c>
      <c r="AS55" s="42">
        <f t="shared" si="31"/>
        <v>0</v>
      </c>
      <c r="AT55" s="42">
        <f t="shared" si="31"/>
        <v>0</v>
      </c>
      <c r="AU55" s="42">
        <f t="shared" si="31"/>
        <v>0</v>
      </c>
      <c r="AV55" s="42">
        <f t="shared" si="31"/>
        <v>0</v>
      </c>
      <c r="AW55" s="42">
        <f t="shared" si="31"/>
        <v>0</v>
      </c>
      <c r="AX55" s="42">
        <f t="shared" si="31"/>
        <v>0</v>
      </c>
      <c r="AY55" s="42">
        <f t="shared" si="31"/>
        <v>0</v>
      </c>
      <c r="AZ55" s="42"/>
      <c r="BA55" s="42"/>
      <c r="BB55" s="42"/>
      <c r="BC55" s="42"/>
      <c r="BD55" s="42"/>
      <c r="BE55" s="42"/>
      <c r="BF55" s="42"/>
      <c r="BG55" s="42"/>
      <c r="BH55" s="42"/>
      <c r="BI55" s="2"/>
      <c r="BJ55" s="15"/>
      <c r="BK55" s="42"/>
      <c r="BL55" s="2"/>
      <c r="BM55" s="2"/>
      <c r="BN55" s="2"/>
      <c r="BO55" s="2"/>
      <c r="BP55" s="42"/>
      <c r="BQ55" s="42"/>
      <c r="BR55" s="42"/>
      <c r="BS55" s="42"/>
      <c r="BT55" s="42"/>
      <c r="BU55" s="42"/>
      <c r="BV55" s="42"/>
      <c r="BW55" s="42"/>
      <c r="BX55" s="42"/>
      <c r="BY55" s="42"/>
      <c r="BZ55" s="42"/>
      <c r="CA55" s="42"/>
      <c r="CB55" s="42"/>
      <c r="CC55" s="42"/>
      <c r="CD55" s="42"/>
      <c r="CE55" s="2"/>
      <c r="CF55" s="15"/>
      <c r="CG55" s="42"/>
      <c r="CH55" s="2"/>
      <c r="CI55" s="2"/>
      <c r="CJ55" s="2"/>
      <c r="CK55" s="2"/>
      <c r="CL55" s="42"/>
      <c r="CM55" s="42"/>
      <c r="CN55" s="42"/>
      <c r="CO55" s="42"/>
      <c r="CP55" s="42"/>
      <c r="CQ55" s="42"/>
      <c r="CR55" s="42"/>
      <c r="CS55" s="42"/>
      <c r="CT55" s="42"/>
      <c r="CU55" s="42"/>
      <c r="CV55" s="42"/>
      <c r="CW55" s="42"/>
      <c r="CX55" s="42"/>
      <c r="CY55" s="42"/>
      <c r="CZ55" s="42"/>
      <c r="DA55" s="42"/>
      <c r="DB55" s="42"/>
      <c r="DC55" s="42"/>
      <c r="DD55" s="42"/>
      <c r="DE55" s="42"/>
      <c r="DF55" s="42"/>
      <c r="DG55" s="42"/>
      <c r="DH55" s="42"/>
      <c r="DI55" s="2"/>
      <c r="DJ55" s="15"/>
      <c r="DK55" s="42"/>
      <c r="DL55" s="2"/>
      <c r="DM55" s="2"/>
      <c r="DN55" s="2"/>
      <c r="DO55" s="2"/>
      <c r="DP55" s="42"/>
      <c r="DQ55" s="42"/>
      <c r="DR55" s="42"/>
      <c r="DS55" s="42"/>
      <c r="DT55" s="42"/>
      <c r="DU55" s="42"/>
      <c r="DV55" s="42"/>
      <c r="DW55" s="42"/>
      <c r="DX55" s="42"/>
      <c r="DY55" s="42"/>
      <c r="DZ55" s="42"/>
      <c r="EA55" s="42"/>
      <c r="EB55" s="42"/>
      <c r="EC55" s="42"/>
      <c r="ED55" s="42"/>
      <c r="EE55" s="42"/>
      <c r="EF55" s="42"/>
      <c r="EG55" s="42"/>
      <c r="EH55" s="42"/>
      <c r="EI55" s="42"/>
      <c r="EJ55" s="42"/>
      <c r="EK55" s="42"/>
      <c r="EL55" s="42"/>
      <c r="EM55" s="2"/>
      <c r="EN55" s="15"/>
      <c r="EO55" s="42"/>
      <c r="EP55" s="2"/>
      <c r="EQ55" s="2"/>
      <c r="ER55" s="2"/>
      <c r="ES55" s="2"/>
      <c r="ET55" s="42"/>
      <c r="EU55" s="42"/>
      <c r="EV55" s="42"/>
      <c r="EW55" s="42"/>
      <c r="EX55" s="42"/>
      <c r="EY55" s="42"/>
      <c r="EZ55" s="42"/>
      <c r="FA55" s="42"/>
      <c r="FB55" s="42"/>
      <c r="FC55" s="42"/>
      <c r="FD55" s="42"/>
      <c r="FE55" s="42"/>
      <c r="FF55" s="42"/>
      <c r="FG55" s="42"/>
      <c r="FH55" s="42"/>
      <c r="FI55" s="42"/>
      <c r="FJ55" s="42"/>
      <c r="FK55" s="42"/>
      <c r="FL55" s="42"/>
      <c r="FM55" s="42"/>
      <c r="FN55" s="42"/>
      <c r="FO55" s="42"/>
      <c r="FP55" s="42"/>
      <c r="FQ55" s="2"/>
      <c r="FR55" s="15"/>
      <c r="FS55" s="42"/>
      <c r="FT55" s="2"/>
      <c r="FU55" s="2"/>
      <c r="FV55" s="2"/>
      <c r="FW55" s="2"/>
      <c r="FX55" s="42"/>
      <c r="FY55" s="42"/>
      <c r="FZ55" s="42"/>
      <c r="GA55" s="42"/>
      <c r="GB55" s="42"/>
      <c r="GC55" s="42"/>
      <c r="GD55" s="42"/>
      <c r="GE55" s="42"/>
      <c r="GF55" s="42"/>
      <c r="GG55" s="42"/>
      <c r="GH55" s="42"/>
      <c r="GI55" s="42"/>
      <c r="GJ55" s="42"/>
      <c r="GK55" s="42"/>
      <c r="GL55" s="42"/>
      <c r="GM55" s="42"/>
      <c r="GN55" s="42"/>
      <c r="GO55" s="42"/>
      <c r="GP55" s="42"/>
      <c r="GQ55" s="42"/>
      <c r="GR55" s="42"/>
      <c r="GS55" s="42"/>
      <c r="GT55" s="42"/>
      <c r="GU55" s="2"/>
      <c r="GV55" s="15"/>
      <c r="GW55" s="42"/>
      <c r="GX55" s="2"/>
      <c r="GY55" s="2"/>
      <c r="GZ55" s="2"/>
      <c r="HA55" s="2"/>
      <c r="HB55" s="42"/>
      <c r="HC55" s="42"/>
      <c r="HD55" s="42"/>
      <c r="HE55" s="42"/>
      <c r="HF55" s="42"/>
      <c r="HG55" s="42"/>
      <c r="HH55" s="42"/>
      <c r="HI55" s="42"/>
      <c r="HJ55" s="42"/>
      <c r="HK55" s="42"/>
      <c r="HL55" s="42"/>
      <c r="HM55" s="42"/>
      <c r="HN55" s="42"/>
      <c r="HO55" s="42"/>
      <c r="HP55" s="42"/>
      <c r="HQ55" s="42"/>
      <c r="HR55" s="42"/>
      <c r="HS55" s="42"/>
      <c r="HT55" s="42"/>
      <c r="HU55" s="42"/>
      <c r="HV55" s="42"/>
      <c r="HW55" s="42"/>
      <c r="HX55" s="42"/>
      <c r="HY55" s="2"/>
      <c r="HZ55" s="15"/>
      <c r="IA55" s="42"/>
      <c r="IB55" s="2"/>
      <c r="IC55" s="2"/>
      <c r="ID55" s="2"/>
      <c r="IE55" s="2"/>
      <c r="IF55" s="42"/>
      <c r="IG55" s="42"/>
      <c r="IH55" s="42"/>
      <c r="II55" s="42"/>
      <c r="IJ55" s="42"/>
      <c r="IK55" s="42"/>
      <c r="IL55" s="42"/>
      <c r="IM55" s="42"/>
      <c r="IN55" s="42"/>
      <c r="IO55" s="42"/>
      <c r="IP55" s="42"/>
      <c r="IQ55" s="42"/>
      <c r="IR55" s="42"/>
      <c r="IS55" s="42"/>
      <c r="IT55" s="42"/>
      <c r="IU55" s="42"/>
      <c r="IV55" s="42"/>
      <c r="IW55" s="42"/>
      <c r="IX55" s="42"/>
      <c r="IY55" s="42"/>
      <c r="IZ55" s="42"/>
      <c r="JA55" s="42"/>
      <c r="JB55" s="42"/>
      <c r="JC55" s="2"/>
      <c r="JD55" s="15"/>
      <c r="JE55" s="42"/>
      <c r="JF55" s="2"/>
      <c r="JG55" s="2"/>
      <c r="JH55" s="2"/>
      <c r="JI55" s="2"/>
      <c r="JJ55" s="42"/>
      <c r="JK55" s="42"/>
      <c r="JL55" s="42"/>
      <c r="JM55" s="42"/>
      <c r="JN55" s="42"/>
      <c r="JO55" s="42"/>
      <c r="JP55" s="42"/>
      <c r="JQ55" s="42"/>
      <c r="JR55" s="42"/>
      <c r="JS55" s="42"/>
      <c r="JT55" s="42"/>
      <c r="JU55" s="42"/>
      <c r="JV55" s="42"/>
      <c r="JW55" s="42"/>
      <c r="JX55" s="42"/>
      <c r="JY55" s="42"/>
      <c r="JZ55" s="42"/>
      <c r="KA55" s="42"/>
      <c r="KB55" s="42"/>
      <c r="KC55" s="42"/>
      <c r="KD55" s="42"/>
      <c r="KE55" s="42"/>
      <c r="KF55" s="42"/>
      <c r="KG55" s="2"/>
      <c r="KH55" s="15"/>
      <c r="KI55" s="42"/>
      <c r="KJ55" s="2"/>
      <c r="KK55" s="2"/>
      <c r="KL55" s="2"/>
      <c r="KM55" s="2"/>
      <c r="KN55" s="42"/>
      <c r="KO55" s="42"/>
      <c r="KP55" s="42"/>
      <c r="KQ55" s="42"/>
      <c r="KR55" s="42"/>
      <c r="KS55" s="42"/>
      <c r="KT55" s="42"/>
      <c r="KU55" s="42"/>
      <c r="KV55" s="42"/>
      <c r="KW55" s="42"/>
      <c r="KX55" s="42"/>
      <c r="KY55" s="42"/>
      <c r="KZ55" s="42"/>
      <c r="LA55" s="42"/>
      <c r="LB55" s="42"/>
      <c r="LC55" s="42"/>
      <c r="LD55" s="42"/>
      <c r="LE55" s="42"/>
      <c r="LF55" s="42"/>
      <c r="LG55" s="42"/>
      <c r="LH55" s="42"/>
      <c r="LI55" s="42"/>
      <c r="LJ55" s="42"/>
      <c r="LK55" s="2"/>
      <c r="LL55" s="15"/>
      <c r="LM55" s="42"/>
      <c r="LN55" s="2"/>
      <c r="LO55" s="2"/>
      <c r="LP55" s="2"/>
      <c r="LQ55" s="2"/>
      <c r="LR55" s="42"/>
      <c r="LS55" s="42"/>
      <c r="LT55" s="42"/>
      <c r="LU55" s="42"/>
      <c r="LV55" s="42"/>
      <c r="LW55" s="42"/>
      <c r="LX55" s="42"/>
      <c r="LY55" s="42"/>
      <c r="LZ55" s="42"/>
      <c r="MA55" s="42"/>
      <c r="MB55" s="42"/>
      <c r="MC55" s="42"/>
      <c r="MD55" s="42"/>
      <c r="ME55" s="42"/>
      <c r="MF55" s="42"/>
      <c r="MG55" s="42"/>
      <c r="MH55" s="42"/>
      <c r="MI55" s="42"/>
      <c r="MJ55" s="42"/>
      <c r="MK55" s="42"/>
      <c r="ML55" s="42"/>
      <c r="MM55" s="42"/>
      <c r="MN55" s="42"/>
      <c r="MO55" s="2"/>
      <c r="MP55" s="15"/>
      <c r="MQ55" s="42"/>
      <c r="MR55" s="2"/>
      <c r="MS55" s="2"/>
      <c r="MT55" s="2"/>
      <c r="MU55" s="2"/>
      <c r="MV55" s="42"/>
      <c r="MW55" s="42"/>
      <c r="MX55" s="42"/>
      <c r="MY55" s="42"/>
      <c r="MZ55" s="42"/>
      <c r="NA55" s="42"/>
      <c r="NB55" s="42"/>
      <c r="NC55" s="42"/>
      <c r="ND55" s="42"/>
      <c r="NE55" s="42"/>
      <c r="NF55" s="42"/>
      <c r="NG55" s="42"/>
      <c r="NH55" s="42"/>
      <c r="NI55" s="42"/>
      <c r="NJ55" s="42"/>
      <c r="NK55" s="42"/>
      <c r="NL55" s="42"/>
      <c r="NM55" s="42"/>
      <c r="NN55" s="42"/>
      <c r="NO55" s="42"/>
      <c r="NP55" s="42"/>
      <c r="NQ55" s="42"/>
      <c r="NR55" s="42"/>
      <c r="NS55" s="2"/>
      <c r="NT55" s="15"/>
      <c r="NU55" s="42"/>
      <c r="NV55" s="2"/>
      <c r="NW55" s="2"/>
      <c r="NX55" s="2"/>
      <c r="NY55" s="2"/>
      <c r="NZ55" s="42"/>
      <c r="OA55" s="42"/>
      <c r="OB55" s="42"/>
      <c r="OC55" s="42"/>
      <c r="OD55" s="42"/>
      <c r="OE55" s="42"/>
      <c r="OF55" s="42"/>
      <c r="OG55" s="42"/>
      <c r="OH55" s="42"/>
      <c r="OI55" s="42"/>
      <c r="OJ55" s="42"/>
      <c r="OK55" s="42"/>
      <c r="OL55" s="42"/>
      <c r="OM55" s="42"/>
      <c r="ON55" s="42"/>
      <c r="OO55" s="42"/>
      <c r="OP55" s="42"/>
      <c r="OQ55" s="42"/>
      <c r="OR55" s="42"/>
      <c r="OS55" s="42"/>
      <c r="OT55" s="42"/>
      <c r="OU55" s="42"/>
      <c r="OV55" s="42"/>
      <c r="OW55" s="2"/>
      <c r="OX55" s="15"/>
      <c r="OY55" s="42"/>
      <c r="OZ55" s="2"/>
      <c r="PA55" s="2"/>
      <c r="PB55" s="2"/>
      <c r="PC55" s="2"/>
      <c r="PD55" s="42"/>
      <c r="PE55" s="42"/>
      <c r="PF55" s="42"/>
      <c r="PG55" s="42"/>
      <c r="PH55" s="42"/>
      <c r="PI55" s="42"/>
      <c r="PJ55" s="42"/>
      <c r="PK55" s="42"/>
      <c r="PL55" s="42"/>
      <c r="PM55" s="42"/>
      <c r="PN55" s="42"/>
      <c r="PO55" s="42"/>
      <c r="PP55" s="42"/>
      <c r="PQ55" s="42"/>
      <c r="PR55" s="42"/>
      <c r="PS55" s="42"/>
      <c r="PT55" s="42"/>
      <c r="PU55" s="42"/>
      <c r="PV55" s="42"/>
      <c r="PW55" s="42"/>
      <c r="PX55" s="42"/>
      <c r="PY55" s="42"/>
      <c r="PZ55" s="42"/>
      <c r="QA55" s="2"/>
      <c r="QB55" s="15"/>
      <c r="QC55" s="42"/>
      <c r="QD55" s="2"/>
      <c r="QE55" s="2"/>
      <c r="QF55" s="2"/>
      <c r="QG55" s="2"/>
      <c r="QH55" s="42"/>
      <c r="QI55" s="42"/>
      <c r="QJ55" s="42"/>
      <c r="QK55" s="42"/>
      <c r="QL55" s="42"/>
      <c r="QM55" s="42"/>
      <c r="QN55" s="42"/>
      <c r="QO55" s="42"/>
      <c r="QP55" s="42"/>
      <c r="QQ55" s="42"/>
      <c r="QR55" s="42"/>
      <c r="QS55" s="42"/>
      <c r="QT55" s="42"/>
      <c r="QU55" s="42"/>
      <c r="QV55" s="42"/>
      <c r="QW55" s="42"/>
      <c r="QX55" s="42"/>
      <c r="QY55" s="42"/>
      <c r="QZ55" s="42"/>
      <c r="RA55" s="42"/>
      <c r="RB55" s="42"/>
      <c r="RC55" s="42"/>
      <c r="RD55" s="42"/>
      <c r="RE55" s="2"/>
      <c r="RF55" s="15"/>
      <c r="RG55" s="42"/>
      <c r="RH55" s="2"/>
      <c r="RI55" s="2"/>
      <c r="RJ55" s="2"/>
      <c r="RK55" s="2"/>
      <c r="RL55" s="42"/>
      <c r="RM55" s="42"/>
      <c r="RN55" s="42"/>
      <c r="RO55" s="42"/>
      <c r="RP55" s="42"/>
      <c r="RQ55" s="42"/>
      <c r="RR55" s="42"/>
      <c r="RS55" s="42"/>
      <c r="RT55" s="42"/>
      <c r="RU55" s="42"/>
      <c r="RV55" s="42"/>
      <c r="RW55" s="42"/>
      <c r="RX55" s="42"/>
      <c r="RY55" s="42"/>
      <c r="RZ55" s="42"/>
      <c r="SA55" s="42"/>
      <c r="SB55" s="42"/>
      <c r="SC55" s="42"/>
      <c r="SD55" s="42"/>
      <c r="SE55" s="42"/>
      <c r="SF55" s="42"/>
      <c r="SG55" s="42"/>
      <c r="SH55" s="42"/>
      <c r="SI55" s="2"/>
      <c r="SJ55" s="15"/>
      <c r="SK55" s="42"/>
      <c r="SL55" s="2"/>
      <c r="SM55" s="2"/>
      <c r="SN55" s="2"/>
      <c r="SO55" s="2"/>
      <c r="SP55" s="42"/>
      <c r="SQ55" s="42"/>
      <c r="SR55" s="42"/>
      <c r="SS55" s="42"/>
      <c r="ST55" s="42"/>
      <c r="SU55" s="42"/>
      <c r="SV55" s="42"/>
      <c r="SW55" s="42"/>
      <c r="SX55" s="42"/>
      <c r="SY55" s="42"/>
      <c r="SZ55" s="42"/>
      <c r="TA55" s="42"/>
      <c r="TB55" s="42"/>
      <c r="TC55" s="42"/>
      <c r="TD55" s="42"/>
      <c r="TE55" s="42"/>
      <c r="TF55" s="42"/>
      <c r="TG55" s="42"/>
      <c r="TH55" s="42"/>
      <c r="TI55" s="42"/>
      <c r="TJ55" s="42"/>
      <c r="TK55" s="42"/>
      <c r="TL55" s="42"/>
      <c r="TM55" s="2"/>
      <c r="TN55" s="15"/>
      <c r="TO55" s="42"/>
      <c r="TP55" s="2"/>
      <c r="TQ55" s="2"/>
      <c r="TR55" s="2"/>
      <c r="TS55" s="2"/>
      <c r="TT55" s="42"/>
      <c r="TU55" s="42"/>
      <c r="TV55" s="42"/>
      <c r="TW55" s="42"/>
      <c r="TX55" s="42"/>
      <c r="TY55" s="42"/>
      <c r="TZ55" s="42"/>
      <c r="UA55" s="42"/>
      <c r="UB55" s="42"/>
      <c r="UC55" s="42"/>
      <c r="UD55" s="42"/>
      <c r="UE55" s="42"/>
      <c r="UF55" s="42"/>
      <c r="UG55" s="42"/>
      <c r="UH55" s="42"/>
      <c r="UI55" s="42"/>
      <c r="UJ55" s="42"/>
      <c r="UK55" s="42"/>
      <c r="UL55" s="42"/>
      <c r="UM55" s="42"/>
      <c r="UN55" s="42"/>
      <c r="UO55" s="42"/>
      <c r="UP55" s="42"/>
      <c r="UQ55" s="2"/>
      <c r="UR55" s="15"/>
      <c r="US55" s="42"/>
      <c r="UT55" s="2"/>
      <c r="UU55" s="2"/>
      <c r="UV55" s="2"/>
      <c r="UW55" s="2"/>
      <c r="UX55" s="42"/>
      <c r="UY55" s="42"/>
      <c r="UZ55" s="42"/>
      <c r="VA55" s="42"/>
      <c r="VB55" s="42"/>
      <c r="VC55" s="42"/>
      <c r="VD55" s="42"/>
      <c r="VE55" s="42"/>
      <c r="VF55" s="42"/>
      <c r="VG55" s="42"/>
      <c r="VH55" s="42"/>
      <c r="VI55" s="42"/>
      <c r="VJ55" s="42"/>
      <c r="VK55" s="42"/>
      <c r="VL55" s="42"/>
      <c r="VM55" s="42"/>
      <c r="VN55" s="42"/>
      <c r="VO55" s="42"/>
      <c r="VP55" s="42"/>
      <c r="VQ55" s="42"/>
      <c r="VR55" s="42"/>
      <c r="VS55" s="42"/>
      <c r="VT55" s="42"/>
      <c r="VU55" s="2"/>
      <c r="VV55" s="15"/>
      <c r="VW55" s="42"/>
      <c r="VX55" s="2"/>
      <c r="VY55" s="2"/>
      <c r="VZ55" s="2"/>
      <c r="WA55" s="2"/>
      <c r="WB55" s="42"/>
      <c r="WC55" s="42"/>
      <c r="WD55" s="42"/>
      <c r="WE55" s="42"/>
      <c r="WF55" s="42"/>
      <c r="WG55" s="42"/>
      <c r="WH55" s="42"/>
      <c r="WI55" s="42"/>
      <c r="WJ55" s="42"/>
      <c r="WK55" s="42"/>
      <c r="WL55" s="42"/>
      <c r="WM55" s="42"/>
      <c r="WN55" s="42"/>
      <c r="WO55" s="42"/>
      <c r="WP55" s="42"/>
      <c r="WQ55" s="42"/>
      <c r="WR55" s="42"/>
      <c r="WS55" s="42"/>
      <c r="WT55" s="42"/>
      <c r="WU55" s="42"/>
      <c r="WV55" s="42"/>
      <c r="WW55" s="42"/>
      <c r="WX55" s="42"/>
      <c r="WY55" s="2"/>
      <c r="WZ55" s="15"/>
      <c r="XA55" s="42"/>
      <c r="XB55" s="2"/>
      <c r="XC55" s="2"/>
      <c r="XD55" s="2"/>
      <c r="XE55" s="2"/>
      <c r="XF55" s="42"/>
      <c r="XG55" s="42"/>
      <c r="XH55" s="42"/>
      <c r="XI55" s="42"/>
      <c r="XJ55" s="42"/>
      <c r="XK55" s="42"/>
      <c r="XL55" s="42"/>
      <c r="XM55" s="42"/>
      <c r="XN55" s="42"/>
      <c r="XO55" s="42"/>
      <c r="XP55" s="42"/>
      <c r="XQ55" s="42"/>
      <c r="XR55" s="42"/>
      <c r="XS55" s="42"/>
      <c r="XT55" s="42"/>
      <c r="XU55" s="42"/>
      <c r="XV55" s="42"/>
      <c r="XW55" s="42"/>
      <c r="XX55" s="42"/>
      <c r="XY55" s="42"/>
      <c r="XZ55" s="42"/>
      <c r="YA55" s="42"/>
      <c r="YB55" s="42"/>
      <c r="YC55" s="2"/>
      <c r="YD55" s="15"/>
      <c r="YE55" s="42"/>
      <c r="YF55" s="2"/>
      <c r="YG55" s="2"/>
      <c r="YH55" s="2"/>
      <c r="YI55" s="2"/>
      <c r="YJ55" s="42"/>
      <c r="YK55" s="42"/>
      <c r="YL55" s="42"/>
      <c r="YM55" s="42"/>
      <c r="YN55" s="42"/>
      <c r="YO55" s="42"/>
      <c r="YP55" s="42"/>
      <c r="YQ55" s="42"/>
      <c r="YR55" s="42"/>
      <c r="YS55" s="42"/>
      <c r="YT55" s="42"/>
      <c r="YU55" s="42"/>
      <c r="YV55" s="42"/>
      <c r="YW55" s="42"/>
      <c r="YX55" s="42"/>
      <c r="YY55" s="42"/>
      <c r="YZ55" s="42"/>
      <c r="ZA55" s="42"/>
      <c r="ZB55" s="42"/>
      <c r="ZC55" s="42"/>
      <c r="ZD55" s="42"/>
      <c r="ZE55" s="42"/>
      <c r="ZF55" s="42"/>
      <c r="ZG55" s="2"/>
      <c r="ZH55" s="15"/>
      <c r="ZI55" s="42"/>
      <c r="ZJ55" s="2"/>
      <c r="ZK55" s="2"/>
      <c r="ZL55" s="2"/>
      <c r="ZM55" s="2"/>
      <c r="ZN55" s="42"/>
      <c r="ZO55" s="42"/>
      <c r="ZP55" s="42"/>
      <c r="ZQ55" s="42"/>
      <c r="ZR55" s="42"/>
      <c r="ZS55" s="42"/>
      <c r="ZT55" s="42"/>
      <c r="ZU55" s="42"/>
      <c r="ZV55" s="42"/>
      <c r="ZW55" s="42"/>
      <c r="ZX55" s="42"/>
      <c r="ZY55" s="42"/>
      <c r="ZZ55" s="42"/>
      <c r="AAA55" s="42"/>
      <c r="AAB55" s="42"/>
      <c r="AAC55" s="42"/>
      <c r="AAD55" s="42"/>
      <c r="AAE55" s="42"/>
      <c r="AAF55" s="42"/>
      <c r="AAG55" s="42"/>
      <c r="AAH55" s="42"/>
      <c r="AAI55" s="42"/>
      <c r="AAJ55" s="42"/>
      <c r="AAK55" s="2"/>
      <c r="AAL55" s="15"/>
      <c r="AAM55" s="42"/>
      <c r="AAN55" s="2"/>
      <c r="AAO55" s="2"/>
      <c r="AAP55" s="2"/>
      <c r="AAQ55" s="2"/>
      <c r="AAR55" s="42"/>
      <c r="AAS55" s="42"/>
      <c r="AAT55" s="42"/>
      <c r="AAU55" s="42"/>
      <c r="AAV55" s="42"/>
      <c r="AAW55" s="42"/>
      <c r="AAX55" s="42"/>
      <c r="AAY55" s="42"/>
      <c r="AAZ55" s="42"/>
      <c r="ABA55" s="42"/>
      <c r="ABB55" s="42"/>
      <c r="ABC55" s="42"/>
      <c r="ABD55" s="42"/>
      <c r="ABE55" s="42"/>
      <c r="ABF55" s="42"/>
      <c r="ABG55" s="42"/>
      <c r="ABH55" s="42"/>
      <c r="ABI55" s="42"/>
      <c r="ABJ55" s="42"/>
      <c r="ABK55" s="42"/>
      <c r="ABL55" s="42"/>
      <c r="ABM55" s="42"/>
      <c r="ABN55" s="42"/>
      <c r="ABO55" s="2"/>
      <c r="ABP55" s="15"/>
      <c r="ABQ55" s="42"/>
      <c r="ABR55" s="2"/>
      <c r="ABS55" s="2"/>
      <c r="ABT55" s="2"/>
      <c r="ABU55" s="2"/>
      <c r="ABV55" s="42"/>
      <c r="ABW55" s="42"/>
      <c r="ABX55" s="42"/>
      <c r="ABY55" s="42"/>
      <c r="ABZ55" s="42"/>
      <c r="ACA55" s="42"/>
      <c r="ACB55" s="42"/>
      <c r="ACC55" s="42"/>
      <c r="ACD55" s="42"/>
      <c r="ACE55" s="42"/>
      <c r="ACF55" s="42"/>
      <c r="ACG55" s="42"/>
      <c r="ACH55" s="42"/>
      <c r="ACI55" s="42"/>
      <c r="ACJ55" s="42"/>
      <c r="ACK55" s="42"/>
      <c r="ACL55" s="42"/>
      <c r="ACM55" s="42"/>
      <c r="ACN55" s="42"/>
      <c r="ACO55" s="42"/>
      <c r="ACP55" s="42"/>
      <c r="ACQ55" s="42"/>
      <c r="ACR55" s="42"/>
      <c r="ACS55" s="2"/>
      <c r="ACT55" s="15"/>
      <c r="ACU55" s="42"/>
      <c r="ACV55" s="2"/>
      <c r="ACW55" s="2"/>
      <c r="ACX55" s="2"/>
      <c r="ACY55" s="2"/>
      <c r="ACZ55" s="42"/>
      <c r="ADA55" s="42"/>
      <c r="ADB55" s="42"/>
      <c r="ADC55" s="42"/>
      <c r="ADD55" s="42"/>
      <c r="ADE55" s="42"/>
      <c r="ADF55" s="42"/>
      <c r="ADG55" s="42"/>
      <c r="ADH55" s="42"/>
      <c r="ADI55" s="42"/>
      <c r="ADJ55" s="42"/>
      <c r="ADK55" s="42"/>
      <c r="ADL55" s="42"/>
      <c r="ADM55" s="42"/>
      <c r="ADN55" s="42"/>
      <c r="ADO55" s="42"/>
      <c r="ADP55" s="42"/>
      <c r="ADQ55" s="42"/>
      <c r="ADR55" s="42"/>
      <c r="ADS55" s="42"/>
      <c r="ADT55" s="42"/>
      <c r="ADU55" s="42"/>
      <c r="ADV55" s="42"/>
      <c r="ADW55" s="2"/>
      <c r="ADX55" s="15"/>
      <c r="ADY55" s="42"/>
      <c r="ADZ55" s="2"/>
      <c r="AEA55" s="2"/>
      <c r="AEB55" s="2"/>
      <c r="AEC55" s="2"/>
      <c r="AED55" s="42"/>
      <c r="AEE55" s="42"/>
      <c r="AEF55" s="42"/>
      <c r="AEG55" s="42"/>
      <c r="AEH55" s="42"/>
      <c r="AEI55" s="42"/>
      <c r="AEJ55" s="42"/>
      <c r="AEK55" s="42"/>
      <c r="AEL55" s="42"/>
      <c r="AEM55" s="42"/>
      <c r="AEN55" s="42"/>
      <c r="AEO55" s="42"/>
      <c r="AEP55" s="42"/>
      <c r="AEQ55" s="42"/>
      <c r="AER55" s="42"/>
      <c r="AES55" s="42"/>
      <c r="AET55" s="42"/>
      <c r="AEU55" s="42"/>
      <c r="AEV55" s="42"/>
      <c r="AEW55" s="42"/>
      <c r="AEX55" s="42"/>
      <c r="AEY55" s="42"/>
      <c r="AEZ55" s="42"/>
      <c r="AFA55" s="2"/>
      <c r="AFB55" s="15"/>
      <c r="AFC55" s="42"/>
      <c r="AFD55" s="2"/>
      <c r="AFE55" s="2"/>
      <c r="AFF55" s="2"/>
      <c r="AFG55" s="2"/>
      <c r="AFH55" s="42"/>
      <c r="AFI55" s="42"/>
      <c r="AFJ55" s="42"/>
      <c r="AFK55" s="42"/>
      <c r="AFL55" s="42"/>
      <c r="AFM55" s="42"/>
      <c r="AFN55" s="42"/>
      <c r="AFO55" s="42"/>
      <c r="AFP55" s="42"/>
      <c r="AFQ55" s="42"/>
      <c r="AFR55" s="42"/>
      <c r="AFS55" s="42"/>
      <c r="AFT55" s="42"/>
      <c r="AFU55" s="42"/>
      <c r="AFV55" s="42"/>
      <c r="AFW55" s="42"/>
      <c r="AFX55" s="42"/>
      <c r="AFY55" s="42"/>
      <c r="AFZ55" s="42"/>
      <c r="AGA55" s="42"/>
      <c r="AGB55" s="42"/>
      <c r="AGC55" s="42"/>
      <c r="AGD55" s="42"/>
      <c r="AGE55" s="2"/>
      <c r="AGF55" s="15"/>
      <c r="AGG55" s="42"/>
      <c r="AGH55" s="2"/>
      <c r="AGI55" s="2"/>
      <c r="AGJ55" s="2"/>
      <c r="AGK55" s="2"/>
      <c r="AGL55" s="42"/>
      <c r="AGM55" s="42"/>
      <c r="AGN55" s="42"/>
      <c r="AGO55" s="42"/>
      <c r="AGP55" s="42"/>
      <c r="AGQ55" s="42"/>
      <c r="AGR55" s="42"/>
      <c r="AGS55" s="42"/>
      <c r="AGT55" s="42"/>
      <c r="AGU55" s="42"/>
      <c r="AGV55" s="42"/>
      <c r="AGW55" s="42"/>
      <c r="AGX55" s="42"/>
      <c r="AGY55" s="42"/>
      <c r="AGZ55" s="42"/>
      <c r="AHA55" s="42"/>
      <c r="AHB55" s="42"/>
      <c r="AHC55" s="42"/>
      <c r="AHD55" s="42"/>
      <c r="AHE55" s="42"/>
      <c r="AHF55" s="42"/>
      <c r="AHG55" s="42"/>
      <c r="AHH55" s="42"/>
      <c r="AHI55" s="2"/>
      <c r="AHJ55" s="15"/>
      <c r="AHK55" s="42"/>
      <c r="AHL55" s="2"/>
      <c r="AHM55" s="2"/>
      <c r="AHN55" s="2"/>
      <c r="AHO55" s="2"/>
      <c r="AHP55" s="42"/>
      <c r="AHQ55" s="42"/>
      <c r="AHR55" s="42"/>
      <c r="AHS55" s="42"/>
      <c r="AHT55" s="42"/>
      <c r="AHU55" s="42"/>
      <c r="AHV55" s="42"/>
      <c r="AHW55" s="42"/>
      <c r="AHX55" s="42"/>
      <c r="AHY55" s="42"/>
      <c r="AHZ55" s="42"/>
      <c r="AIA55" s="42"/>
      <c r="AIB55" s="42"/>
      <c r="AIC55" s="42"/>
      <c r="AID55" s="42"/>
      <c r="AIE55" s="42"/>
      <c r="AIF55" s="42"/>
      <c r="AIG55" s="42"/>
      <c r="AIH55" s="42"/>
      <c r="AII55" s="42"/>
      <c r="AIJ55" s="42"/>
      <c r="AIK55" s="42"/>
      <c r="AIL55" s="42"/>
      <c r="AIM55" s="2"/>
      <c r="AIN55" s="15"/>
      <c r="AIO55" s="42"/>
      <c r="AIP55" s="2"/>
      <c r="AIQ55" s="2"/>
      <c r="AIR55" s="2"/>
      <c r="AIS55" s="2"/>
      <c r="AIT55" s="42"/>
      <c r="AIU55" s="42"/>
      <c r="AIV55" s="42"/>
      <c r="AIW55" s="42"/>
      <c r="AIX55" s="42"/>
      <c r="AIY55" s="42"/>
      <c r="AIZ55" s="42"/>
      <c r="AJA55" s="42"/>
      <c r="AJB55" s="42"/>
      <c r="AJC55" s="42"/>
      <c r="AJD55" s="42"/>
      <c r="AJE55" s="42"/>
      <c r="AJF55" s="42"/>
      <c r="AJG55" s="42"/>
      <c r="AJH55" s="42"/>
      <c r="AJI55" s="42"/>
      <c r="AJJ55" s="42"/>
      <c r="AJK55" s="42"/>
      <c r="AJL55" s="42"/>
      <c r="AJM55" s="42"/>
      <c r="AJN55" s="42"/>
      <c r="AJO55" s="42"/>
      <c r="AJP55" s="42"/>
      <c r="AJQ55" s="2"/>
      <c r="AJR55" s="15"/>
      <c r="AJS55" s="42"/>
      <c r="AJT55" s="2"/>
      <c r="AJU55" s="2"/>
      <c r="AJV55" s="2"/>
      <c r="AJW55" s="2"/>
      <c r="AJX55" s="42"/>
      <c r="AJY55" s="42"/>
      <c r="AJZ55" s="42"/>
      <c r="AKA55" s="42"/>
      <c r="AKB55" s="42"/>
      <c r="AKC55" s="42"/>
      <c r="AKD55" s="42"/>
      <c r="AKE55" s="42"/>
      <c r="AKF55" s="42"/>
      <c r="AKG55" s="42"/>
      <c r="AKH55" s="42"/>
      <c r="AKI55" s="42"/>
      <c r="AKJ55" s="42"/>
      <c r="AKK55" s="42"/>
      <c r="AKL55" s="42"/>
      <c r="AKM55" s="42"/>
      <c r="AKN55" s="42"/>
      <c r="AKO55" s="42"/>
      <c r="AKP55" s="42"/>
      <c r="AKQ55" s="42"/>
      <c r="AKR55" s="42"/>
      <c r="AKS55" s="42"/>
      <c r="AKT55" s="42"/>
      <c r="AKU55" s="2"/>
      <c r="AKV55" s="15"/>
      <c r="AKW55" s="42"/>
      <c r="AKX55" s="2"/>
      <c r="AKY55" s="2"/>
      <c r="AKZ55" s="2"/>
      <c r="ALA55" s="2"/>
      <c r="ALB55" s="42"/>
      <c r="ALC55" s="42"/>
      <c r="ALD55" s="42"/>
      <c r="ALE55" s="42"/>
      <c r="ALF55" s="42"/>
      <c r="ALG55" s="42"/>
      <c r="ALH55" s="42"/>
      <c r="ALI55" s="42"/>
      <c r="ALJ55" s="42"/>
      <c r="ALK55" s="42"/>
      <c r="ALL55" s="42"/>
      <c r="ALM55" s="42"/>
      <c r="ALN55" s="42"/>
      <c r="ALO55" s="42"/>
      <c r="ALP55" s="42"/>
      <c r="ALQ55" s="42"/>
      <c r="ALR55" s="42"/>
      <c r="ALS55" s="42"/>
      <c r="ALT55" s="42"/>
      <c r="ALU55" s="42"/>
      <c r="ALV55" s="42"/>
      <c r="ALW55" s="42"/>
      <c r="ALX55" s="42"/>
      <c r="ALY55" s="2"/>
      <c r="ALZ55" s="15"/>
      <c r="AMA55" s="42"/>
      <c r="AMB55" s="2"/>
      <c r="AMC55" s="2"/>
      <c r="AMD55" s="2"/>
      <c r="AME55" s="2"/>
      <c r="AMF55" s="42"/>
      <c r="AMG55" s="42"/>
      <c r="AMH55" s="42"/>
      <c r="AMI55" s="42"/>
      <c r="AMJ55" s="42"/>
      <c r="AMK55" s="42"/>
      <c r="AML55" s="42"/>
      <c r="AMM55" s="42"/>
      <c r="AMN55" s="42"/>
      <c r="AMO55" s="42"/>
      <c r="AMP55" s="42"/>
      <c r="AMQ55" s="42"/>
      <c r="AMR55" s="42"/>
      <c r="AMS55" s="42"/>
      <c r="AMT55" s="42"/>
      <c r="AMU55" s="42"/>
      <c r="AMV55" s="42"/>
      <c r="AMW55" s="42"/>
      <c r="AMX55" s="42"/>
      <c r="AMY55" s="42"/>
      <c r="AMZ55" s="42"/>
      <c r="ANA55" s="42"/>
      <c r="ANB55" s="42"/>
      <c r="ANC55" s="2"/>
      <c r="AND55" s="15"/>
      <c r="ANE55" s="42"/>
      <c r="ANF55" s="2"/>
      <c r="ANG55" s="2"/>
      <c r="ANH55" s="2"/>
      <c r="ANI55" s="2"/>
      <c r="ANJ55" s="42"/>
      <c r="ANK55" s="42"/>
      <c r="ANL55" s="42"/>
      <c r="ANM55" s="42"/>
      <c r="ANN55" s="42"/>
      <c r="ANO55" s="42"/>
      <c r="ANP55" s="42"/>
      <c r="ANQ55" s="42"/>
      <c r="ANR55" s="42"/>
      <c r="ANS55" s="42"/>
      <c r="ANT55" s="42"/>
      <c r="ANU55" s="42"/>
      <c r="ANV55" s="42"/>
      <c r="ANW55" s="42"/>
      <c r="ANX55" s="42"/>
      <c r="ANY55" s="42"/>
      <c r="ANZ55" s="42"/>
      <c r="AOA55" s="42"/>
      <c r="AOB55" s="42"/>
      <c r="AOC55" s="42"/>
      <c r="AOD55" s="42"/>
      <c r="AOE55" s="42"/>
      <c r="AOF55" s="42"/>
      <c r="AOG55" s="2"/>
      <c r="AOH55" s="15"/>
      <c r="AOI55" s="42"/>
      <c r="AOJ55" s="2"/>
      <c r="AOK55" s="2"/>
      <c r="AOL55" s="2"/>
      <c r="AOM55" s="2"/>
      <c r="AON55" s="42"/>
      <c r="AOO55" s="42"/>
      <c r="AOP55" s="42"/>
      <c r="AOQ55" s="42"/>
      <c r="AOR55" s="42"/>
      <c r="AOS55" s="42"/>
      <c r="AOT55" s="42"/>
      <c r="AOU55" s="42"/>
      <c r="AOV55" s="42"/>
      <c r="AOW55" s="42"/>
      <c r="AOX55" s="42"/>
      <c r="AOY55" s="42"/>
      <c r="AOZ55" s="42"/>
      <c r="APA55" s="42"/>
      <c r="APB55" s="42"/>
      <c r="APC55" s="42"/>
      <c r="APD55" s="42"/>
      <c r="APE55" s="42"/>
      <c r="APF55" s="42"/>
      <c r="APG55" s="42"/>
      <c r="APH55" s="42"/>
      <c r="API55" s="42"/>
      <c r="APJ55" s="42"/>
      <c r="APK55" s="2"/>
      <c r="APL55" s="15"/>
      <c r="APM55" s="42"/>
      <c r="APN55" s="2"/>
      <c r="APO55" s="2"/>
      <c r="APP55" s="2"/>
      <c r="APQ55" s="2"/>
      <c r="APR55" s="42"/>
      <c r="APS55" s="42"/>
      <c r="APT55" s="42"/>
      <c r="APU55" s="42"/>
      <c r="APV55" s="42"/>
      <c r="APW55" s="42"/>
      <c r="APX55" s="42"/>
      <c r="APY55" s="42"/>
      <c r="APZ55" s="42"/>
      <c r="AQA55" s="42"/>
      <c r="AQB55" s="42"/>
      <c r="AQC55" s="42"/>
      <c r="AQD55" s="42"/>
      <c r="AQE55" s="42"/>
      <c r="AQF55" s="42"/>
      <c r="AQG55" s="42"/>
      <c r="AQH55" s="42"/>
      <c r="AQI55" s="42"/>
      <c r="AQJ55" s="42"/>
      <c r="AQK55" s="42"/>
      <c r="AQL55" s="42"/>
      <c r="AQM55" s="42"/>
      <c r="AQN55" s="42"/>
      <c r="AQO55" s="2"/>
      <c r="AQP55" s="15"/>
      <c r="AQQ55" s="42"/>
      <c r="AQR55" s="2"/>
      <c r="AQS55" s="2"/>
      <c r="AQT55" s="2"/>
      <c r="AQU55" s="2"/>
      <c r="AQV55" s="42"/>
      <c r="AQW55" s="42"/>
      <c r="AQX55" s="42"/>
      <c r="AQY55" s="42"/>
      <c r="AQZ55" s="42"/>
      <c r="ARA55" s="42"/>
      <c r="ARB55" s="42"/>
      <c r="ARC55" s="42"/>
      <c r="ARD55" s="42"/>
      <c r="ARE55" s="42"/>
      <c r="ARF55" s="42"/>
      <c r="ARG55" s="42"/>
      <c r="ARH55" s="42"/>
      <c r="ARI55" s="42"/>
      <c r="ARJ55" s="42"/>
      <c r="ARK55" s="42"/>
      <c r="ARL55" s="42"/>
      <c r="ARM55" s="42"/>
      <c r="ARN55" s="42"/>
      <c r="ARO55" s="42"/>
      <c r="ARP55" s="42"/>
      <c r="ARQ55" s="42"/>
      <c r="ARR55" s="42"/>
      <c r="ARS55" s="2"/>
      <c r="ART55" s="15"/>
      <c r="ARU55" s="42"/>
      <c r="ARV55" s="2"/>
      <c r="ARW55" s="2"/>
      <c r="ARX55" s="2"/>
      <c r="ARY55" s="2"/>
      <c r="ARZ55" s="42"/>
      <c r="ASA55" s="42"/>
      <c r="ASB55" s="42"/>
      <c r="ASC55" s="42"/>
      <c r="ASD55" s="42"/>
      <c r="ASE55" s="42"/>
      <c r="ASF55" s="42"/>
      <c r="ASG55" s="42"/>
      <c r="ASH55" s="42"/>
      <c r="ASI55" s="42"/>
      <c r="ASJ55" s="42"/>
      <c r="ASK55" s="42"/>
      <c r="ASL55" s="42"/>
      <c r="ASM55" s="42"/>
      <c r="ASN55" s="42"/>
      <c r="ASO55" s="42"/>
      <c r="ASP55" s="42"/>
      <c r="ASQ55" s="42"/>
      <c r="ASR55" s="42"/>
      <c r="ASS55" s="42"/>
      <c r="AST55" s="42"/>
      <c r="ASU55" s="42"/>
      <c r="ASV55" s="42"/>
      <c r="ASW55" s="2"/>
      <c r="ASX55" s="15"/>
      <c r="ASY55" s="42"/>
      <c r="ASZ55" s="2"/>
      <c r="ATA55" s="2"/>
      <c r="ATB55" s="2"/>
      <c r="ATC55" s="2"/>
      <c r="ATD55" s="42"/>
      <c r="ATE55" s="42"/>
      <c r="ATF55" s="42"/>
      <c r="ATG55" s="42"/>
      <c r="ATH55" s="42"/>
      <c r="ATI55" s="42"/>
      <c r="ATJ55" s="42"/>
      <c r="ATK55" s="42"/>
      <c r="ATL55" s="42"/>
      <c r="ATM55" s="42"/>
      <c r="ATN55" s="42"/>
      <c r="ATO55" s="42"/>
      <c r="ATP55" s="42"/>
      <c r="ATQ55" s="42"/>
      <c r="ATR55" s="42"/>
      <c r="ATS55" s="42"/>
      <c r="ATT55" s="42"/>
      <c r="ATU55" s="42"/>
      <c r="ATV55" s="42"/>
      <c r="ATW55" s="42"/>
      <c r="ATX55" s="42"/>
      <c r="ATY55" s="42"/>
      <c r="ATZ55" s="42"/>
      <c r="AUA55" s="2"/>
      <c r="AUB55" s="15"/>
      <c r="AUC55" s="42"/>
      <c r="AUD55" s="2"/>
      <c r="AUE55" s="2"/>
      <c r="AUF55" s="2"/>
      <c r="AUG55" s="2"/>
      <c r="AUH55" s="42"/>
      <c r="AUI55" s="42"/>
      <c r="AUJ55" s="42"/>
      <c r="AUK55" s="42"/>
      <c r="AUL55" s="42"/>
      <c r="AUM55" s="42"/>
      <c r="AUN55" s="42"/>
      <c r="AUO55" s="42"/>
      <c r="AUP55" s="42"/>
      <c r="AUQ55" s="42"/>
      <c r="AUR55" s="42"/>
      <c r="AUS55" s="42"/>
      <c r="AUT55" s="42"/>
      <c r="AUU55" s="42"/>
      <c r="AUV55" s="42"/>
      <c r="AUW55" s="42"/>
      <c r="AUX55" s="42"/>
      <c r="AUY55" s="42"/>
      <c r="AUZ55" s="42"/>
      <c r="AVA55" s="42"/>
      <c r="AVB55" s="42"/>
      <c r="AVC55" s="42"/>
      <c r="AVD55" s="42"/>
      <c r="AVE55" s="2"/>
      <c r="AVF55" s="15"/>
      <c r="AVG55" s="42"/>
      <c r="AVH55" s="2"/>
      <c r="AVI55" s="2"/>
      <c r="AVJ55" s="2"/>
      <c r="AVK55" s="2"/>
      <c r="AVL55" s="42"/>
      <c r="AVM55" s="42"/>
      <c r="AVN55" s="42"/>
      <c r="AVO55" s="42"/>
      <c r="AVP55" s="42"/>
      <c r="AVQ55" s="42"/>
      <c r="AVR55" s="42"/>
      <c r="AVS55" s="42"/>
      <c r="AVT55" s="42"/>
      <c r="AVU55" s="42"/>
      <c r="AVV55" s="42"/>
      <c r="AVW55" s="42"/>
      <c r="AVX55" s="42"/>
      <c r="AVY55" s="42"/>
      <c r="AVZ55" s="42"/>
      <c r="AWA55" s="42"/>
      <c r="AWB55" s="42"/>
      <c r="AWC55" s="42"/>
      <c r="AWD55" s="42"/>
      <c r="AWE55" s="42"/>
      <c r="AWF55" s="42"/>
      <c r="AWG55" s="42"/>
      <c r="AWH55" s="42"/>
      <c r="AWI55" s="2"/>
      <c r="AWJ55" s="15"/>
      <c r="AWK55" s="42"/>
      <c r="AWL55" s="2"/>
      <c r="AWM55" s="2"/>
      <c r="AWN55" s="2"/>
      <c r="AWO55" s="2"/>
      <c r="AWP55" s="42"/>
      <c r="AWQ55" s="42"/>
      <c r="AWR55" s="42"/>
      <c r="AWS55" s="42"/>
      <c r="AWT55" s="42"/>
      <c r="AWU55" s="42"/>
      <c r="AWV55" s="42"/>
      <c r="AWW55" s="42"/>
      <c r="AWX55" s="42"/>
      <c r="AWY55" s="42"/>
      <c r="AWZ55" s="42"/>
      <c r="AXA55" s="42"/>
      <c r="AXB55" s="42"/>
      <c r="AXC55" s="42"/>
      <c r="AXD55" s="42"/>
      <c r="AXE55" s="42"/>
      <c r="AXF55" s="42"/>
      <c r="AXG55" s="42"/>
      <c r="AXH55" s="42"/>
      <c r="AXI55" s="42"/>
      <c r="AXJ55" s="42"/>
      <c r="AXK55" s="42"/>
      <c r="AXL55" s="42"/>
      <c r="AXM55" s="2"/>
      <c r="AXN55" s="15"/>
      <c r="AXO55" s="42"/>
      <c r="AXP55" s="2"/>
      <c r="AXQ55" s="2"/>
      <c r="AXR55" s="2"/>
      <c r="AXS55" s="2"/>
      <c r="AXT55" s="42"/>
      <c r="AXU55" s="42"/>
      <c r="AXV55" s="42"/>
      <c r="AXW55" s="42"/>
      <c r="AXX55" s="42"/>
      <c r="AXY55" s="42"/>
      <c r="AXZ55" s="42"/>
      <c r="AYA55" s="42"/>
      <c r="AYB55" s="42"/>
      <c r="AYC55" s="42"/>
      <c r="AYD55" s="42"/>
      <c r="AYE55" s="42"/>
      <c r="AYF55" s="42"/>
      <c r="AYG55" s="42"/>
      <c r="AYH55" s="42"/>
      <c r="AYI55" s="42"/>
      <c r="AYJ55" s="42"/>
      <c r="AYK55" s="42"/>
      <c r="AYL55" s="42"/>
      <c r="AYM55" s="42"/>
      <c r="AYN55" s="42"/>
      <c r="AYO55" s="42"/>
      <c r="AYP55" s="42"/>
      <c r="AYQ55" s="2"/>
      <c r="AYR55" s="15"/>
      <c r="AYS55" s="42"/>
      <c r="AYT55" s="2"/>
      <c r="AYU55" s="2"/>
      <c r="AYV55" s="2"/>
      <c r="AYW55" s="2"/>
      <c r="AYX55" s="42"/>
      <c r="AYY55" s="42"/>
      <c r="AYZ55" s="42"/>
      <c r="AZA55" s="42"/>
      <c r="AZB55" s="42"/>
      <c r="AZC55" s="42"/>
      <c r="AZD55" s="42"/>
      <c r="AZE55" s="42"/>
      <c r="AZF55" s="42"/>
      <c r="AZG55" s="42"/>
      <c r="AZH55" s="42"/>
      <c r="AZI55" s="42"/>
      <c r="AZJ55" s="42"/>
      <c r="AZK55" s="42"/>
      <c r="AZL55" s="42"/>
      <c r="AZM55" s="42"/>
      <c r="AZN55" s="42"/>
      <c r="AZO55" s="42"/>
      <c r="AZP55" s="42"/>
      <c r="AZQ55" s="42"/>
      <c r="AZR55" s="42"/>
      <c r="AZS55" s="42"/>
      <c r="AZT55" s="42"/>
      <c r="AZU55" s="2"/>
      <c r="AZV55" s="15"/>
      <c r="AZW55" s="42"/>
      <c r="AZX55" s="2"/>
      <c r="AZY55" s="2"/>
      <c r="AZZ55" s="2"/>
      <c r="BAA55" s="2"/>
      <c r="BAB55" s="42"/>
      <c r="BAC55" s="42"/>
      <c r="BAD55" s="42"/>
      <c r="BAE55" s="42"/>
      <c r="BAF55" s="42"/>
      <c r="BAG55" s="42"/>
      <c r="BAH55" s="42"/>
      <c r="BAI55" s="42"/>
      <c r="BAJ55" s="42"/>
      <c r="BAK55" s="42"/>
      <c r="BAL55" s="42"/>
      <c r="BAM55" s="42"/>
      <c r="BAN55" s="42"/>
      <c r="BAO55" s="42"/>
      <c r="BAP55" s="42"/>
      <c r="BAQ55" s="42"/>
      <c r="BAR55" s="42"/>
      <c r="BAS55" s="42"/>
      <c r="BAT55" s="42"/>
      <c r="BAU55" s="42"/>
      <c r="BAV55" s="42"/>
      <c r="BAW55" s="42"/>
      <c r="BAX55" s="42"/>
      <c r="BAY55" s="2"/>
      <c r="BAZ55" s="15"/>
      <c r="BBA55" s="42"/>
      <c r="BBB55" s="2"/>
      <c r="BBC55" s="2"/>
      <c r="BBD55" s="2"/>
      <c r="BBE55" s="2"/>
      <c r="BBF55" s="42"/>
      <c r="BBG55" s="42"/>
      <c r="BBH55" s="42"/>
      <c r="BBI55" s="42"/>
      <c r="BBJ55" s="42"/>
      <c r="BBK55" s="42"/>
      <c r="BBL55" s="42"/>
      <c r="BBM55" s="42"/>
      <c r="BBN55" s="42"/>
      <c r="BBO55" s="42"/>
      <c r="BBP55" s="42"/>
      <c r="BBQ55" s="42"/>
      <c r="BBR55" s="42"/>
      <c r="BBS55" s="42"/>
      <c r="BBT55" s="42"/>
      <c r="BBU55" s="42"/>
      <c r="BBV55" s="42"/>
      <c r="BBW55" s="42"/>
      <c r="BBX55" s="42"/>
      <c r="BBY55" s="42"/>
      <c r="BBZ55" s="42"/>
      <c r="BCA55" s="42"/>
      <c r="BCB55" s="42"/>
      <c r="BCC55" s="2"/>
      <c r="BCD55" s="15"/>
      <c r="BCE55" s="42"/>
      <c r="BCF55" s="2"/>
      <c r="BCG55" s="2"/>
      <c r="BCH55" s="2"/>
      <c r="BCI55" s="2"/>
      <c r="BCJ55" s="42"/>
      <c r="BCK55" s="42"/>
      <c r="BCL55" s="42"/>
      <c r="BCM55" s="42"/>
      <c r="BCN55" s="42"/>
      <c r="BCO55" s="42"/>
      <c r="BCP55" s="42"/>
      <c r="BCQ55" s="42"/>
      <c r="BCR55" s="42"/>
      <c r="BCS55" s="42"/>
      <c r="BCT55" s="42"/>
      <c r="BCU55" s="42"/>
      <c r="BCV55" s="42"/>
      <c r="BCW55" s="42"/>
      <c r="BCX55" s="42"/>
      <c r="BCY55" s="42"/>
      <c r="BCZ55" s="42"/>
      <c r="BDA55" s="42"/>
      <c r="BDB55" s="42"/>
      <c r="BDC55" s="42"/>
      <c r="BDD55" s="42"/>
      <c r="BDE55" s="42"/>
      <c r="BDF55" s="42"/>
      <c r="BDG55" s="2"/>
      <c r="BDH55" s="15"/>
      <c r="BDI55" s="42"/>
      <c r="BDJ55" s="2"/>
      <c r="BDK55" s="2"/>
      <c r="BDL55" s="2"/>
      <c r="BDM55" s="2"/>
      <c r="BDN55" s="42"/>
      <c r="BDO55" s="42"/>
      <c r="BDP55" s="42"/>
      <c r="BDQ55" s="42"/>
      <c r="BDR55" s="42"/>
      <c r="BDS55" s="42"/>
      <c r="BDT55" s="42"/>
      <c r="BDU55" s="42"/>
      <c r="BDV55" s="42"/>
      <c r="BDW55" s="42"/>
      <c r="BDX55" s="42"/>
      <c r="BDY55" s="42"/>
      <c r="BDZ55" s="42"/>
      <c r="BEA55" s="42"/>
      <c r="BEB55" s="42"/>
      <c r="BEC55" s="42"/>
      <c r="BED55" s="42"/>
      <c r="BEE55" s="42"/>
      <c r="BEF55" s="42"/>
      <c r="BEG55" s="42"/>
      <c r="BEH55" s="42"/>
      <c r="BEI55" s="42"/>
      <c r="BEJ55" s="42"/>
      <c r="BEK55" s="2"/>
      <c r="BEL55" s="15"/>
      <c r="BEM55" s="42"/>
      <c r="BEN55" s="2"/>
      <c r="BEO55" s="2"/>
      <c r="BEP55" s="2"/>
      <c r="BEQ55" s="2"/>
      <c r="BER55" s="42"/>
      <c r="BES55" s="42"/>
      <c r="BET55" s="42"/>
      <c r="BEU55" s="42"/>
      <c r="BEV55" s="42"/>
      <c r="BEW55" s="42"/>
      <c r="BEX55" s="42"/>
      <c r="BEY55" s="42"/>
      <c r="BEZ55" s="42"/>
      <c r="BFA55" s="42"/>
      <c r="BFB55" s="42"/>
      <c r="BFC55" s="42"/>
      <c r="BFD55" s="42"/>
      <c r="BFE55" s="42"/>
      <c r="BFF55" s="42"/>
      <c r="BFG55" s="42"/>
      <c r="BFH55" s="42"/>
      <c r="BFI55" s="42"/>
      <c r="BFJ55" s="42"/>
      <c r="BFK55" s="42"/>
      <c r="BFL55" s="42"/>
      <c r="BFM55" s="42"/>
      <c r="BFN55" s="42"/>
      <c r="BFO55" s="2"/>
      <c r="BFP55" s="15"/>
      <c r="BFQ55" s="42"/>
      <c r="BFR55" s="2"/>
      <c r="BFS55" s="2"/>
      <c r="BFT55" s="2"/>
      <c r="BFU55" s="2"/>
      <c r="BFV55" s="42"/>
      <c r="BFW55" s="42"/>
      <c r="BFX55" s="42"/>
      <c r="BFY55" s="42"/>
      <c r="BFZ55" s="42"/>
      <c r="BGA55" s="42"/>
      <c r="BGB55" s="42"/>
      <c r="BGC55" s="42"/>
      <c r="BGD55" s="42"/>
      <c r="BGE55" s="42"/>
      <c r="BGF55" s="42"/>
      <c r="BGG55" s="42"/>
      <c r="BGH55" s="42"/>
      <c r="BGI55" s="42"/>
      <c r="BGJ55" s="42"/>
      <c r="BGK55" s="42"/>
      <c r="BGL55" s="42"/>
      <c r="BGM55" s="42"/>
      <c r="BGN55" s="42"/>
      <c r="BGO55" s="42"/>
      <c r="BGP55" s="42"/>
      <c r="BGQ55" s="42"/>
      <c r="BGR55" s="42"/>
      <c r="BGS55" s="2"/>
      <c r="BGT55" s="15"/>
      <c r="BGU55" s="42"/>
      <c r="BGV55" s="2"/>
      <c r="BGW55" s="2"/>
      <c r="BGX55" s="2"/>
      <c r="BGY55" s="2"/>
      <c r="BGZ55" s="42"/>
      <c r="BHA55" s="42"/>
      <c r="BHB55" s="42"/>
      <c r="BHC55" s="42"/>
      <c r="BHD55" s="42"/>
      <c r="BHE55" s="42"/>
      <c r="BHF55" s="42"/>
      <c r="BHG55" s="42"/>
      <c r="BHH55" s="42"/>
      <c r="BHI55" s="42"/>
      <c r="BHJ55" s="42"/>
      <c r="BHK55" s="42"/>
      <c r="BHL55" s="42"/>
      <c r="BHM55" s="42"/>
      <c r="BHN55" s="42"/>
      <c r="BHO55" s="42"/>
      <c r="BHP55" s="42"/>
      <c r="BHQ55" s="42"/>
      <c r="BHR55" s="42"/>
      <c r="BHS55" s="42"/>
      <c r="BHT55" s="42"/>
      <c r="BHU55" s="42"/>
      <c r="BHV55" s="42"/>
      <c r="BHW55" s="2"/>
      <c r="BHX55" s="15"/>
      <c r="BHY55" s="42"/>
      <c r="BHZ55" s="2"/>
      <c r="BIA55" s="2"/>
      <c r="BIB55" s="2"/>
      <c r="BIC55" s="2"/>
      <c r="BID55" s="42"/>
      <c r="BIE55" s="42"/>
      <c r="BIF55" s="42"/>
      <c r="BIG55" s="42"/>
      <c r="BIH55" s="42"/>
      <c r="BII55" s="42"/>
      <c r="BIJ55" s="42"/>
      <c r="BIK55" s="42"/>
      <c r="BIL55" s="42"/>
      <c r="BIM55" s="42"/>
      <c r="BIN55" s="42"/>
      <c r="BIO55" s="42"/>
      <c r="BIP55" s="42"/>
      <c r="BIQ55" s="42"/>
      <c r="BIR55" s="42"/>
      <c r="BIS55" s="42"/>
      <c r="BIT55" s="42"/>
      <c r="BIU55" s="42"/>
      <c r="BIV55" s="42"/>
      <c r="BIW55" s="42"/>
      <c r="BIX55" s="42"/>
      <c r="BIY55" s="42"/>
      <c r="BIZ55" s="42"/>
      <c r="BJA55" s="2"/>
      <c r="BJB55" s="15"/>
      <c r="BJC55" s="42"/>
      <c r="BJD55" s="2"/>
      <c r="BJE55" s="2"/>
      <c r="BJF55" s="2"/>
      <c r="BJG55" s="2"/>
      <c r="BJH55" s="42"/>
      <c r="BJI55" s="42"/>
      <c r="BJJ55" s="42"/>
      <c r="BJK55" s="42"/>
      <c r="BJL55" s="42"/>
      <c r="BJM55" s="42"/>
      <c r="BJN55" s="42"/>
      <c r="BJO55" s="42"/>
      <c r="BJP55" s="42"/>
      <c r="BJQ55" s="42"/>
      <c r="BJR55" s="42"/>
      <c r="BJS55" s="42"/>
      <c r="BJT55" s="42"/>
      <c r="BJU55" s="42"/>
      <c r="BJV55" s="42"/>
      <c r="BJW55" s="42"/>
      <c r="BJX55" s="42"/>
      <c r="BJY55" s="42"/>
      <c r="BJZ55" s="42"/>
      <c r="BKA55" s="42"/>
      <c r="BKB55" s="42"/>
      <c r="BKC55" s="42"/>
      <c r="BKD55" s="42"/>
      <c r="BKE55" s="2"/>
      <c r="BKF55" s="15"/>
      <c r="BKG55" s="42"/>
      <c r="BKH55" s="2"/>
      <c r="BKI55" s="2"/>
      <c r="BKJ55" s="2"/>
      <c r="BKK55" s="2"/>
      <c r="BKL55" s="42"/>
      <c r="BKM55" s="42"/>
      <c r="BKN55" s="42"/>
      <c r="BKO55" s="42"/>
      <c r="BKP55" s="42"/>
      <c r="BKQ55" s="42"/>
      <c r="BKR55" s="42"/>
      <c r="BKS55" s="42"/>
      <c r="BKT55" s="42"/>
      <c r="BKU55" s="42"/>
      <c r="BKV55" s="42"/>
      <c r="BKW55" s="42"/>
      <c r="BKX55" s="42"/>
      <c r="BKY55" s="42"/>
      <c r="BKZ55" s="42"/>
      <c r="BLA55" s="42"/>
      <c r="BLB55" s="42"/>
      <c r="BLC55" s="42"/>
      <c r="BLD55" s="42"/>
      <c r="BLE55" s="42"/>
      <c r="BLF55" s="42"/>
      <c r="BLG55" s="42"/>
      <c r="BLH55" s="42"/>
      <c r="BLI55" s="2"/>
      <c r="BLJ55" s="15"/>
      <c r="BLK55" s="42"/>
      <c r="BLL55" s="2"/>
      <c r="BLM55" s="2"/>
      <c r="BLN55" s="2"/>
      <c r="BLO55" s="2"/>
      <c r="BLP55" s="42"/>
      <c r="BLQ55" s="42"/>
      <c r="BLR55" s="42"/>
      <c r="BLS55" s="42"/>
      <c r="BLT55" s="42"/>
      <c r="BLU55" s="42"/>
      <c r="BLV55" s="42"/>
      <c r="BLW55" s="42"/>
      <c r="BLX55" s="42"/>
      <c r="BLY55" s="42"/>
      <c r="BLZ55" s="42"/>
      <c r="BMA55" s="42"/>
      <c r="BMB55" s="42"/>
      <c r="BMC55" s="42"/>
      <c r="BMD55" s="42"/>
      <c r="BME55" s="42"/>
      <c r="BMF55" s="42"/>
      <c r="BMG55" s="42"/>
      <c r="BMH55" s="42"/>
      <c r="BMI55" s="42"/>
      <c r="BMJ55" s="42"/>
      <c r="BMK55" s="42"/>
      <c r="BML55" s="42"/>
      <c r="BMM55" s="2"/>
      <c r="BMN55" s="15"/>
      <c r="BMO55" s="42"/>
      <c r="BMP55" s="2"/>
      <c r="BMQ55" s="2"/>
      <c r="BMR55" s="2"/>
      <c r="BMS55" s="2"/>
      <c r="BMT55" s="42"/>
      <c r="BMU55" s="42"/>
      <c r="BMV55" s="42"/>
      <c r="BMW55" s="42"/>
      <c r="BMX55" s="42"/>
      <c r="BMY55" s="42"/>
      <c r="BMZ55" s="42"/>
      <c r="BNA55" s="42"/>
      <c r="BNB55" s="42"/>
      <c r="BNC55" s="42"/>
      <c r="BND55" s="42"/>
      <c r="BNE55" s="42"/>
      <c r="BNF55" s="42"/>
      <c r="BNG55" s="42"/>
      <c r="BNH55" s="42"/>
      <c r="BNI55" s="42"/>
      <c r="BNJ55" s="42"/>
      <c r="BNK55" s="42"/>
      <c r="BNL55" s="42"/>
      <c r="BNM55" s="42"/>
      <c r="BNN55" s="42"/>
      <c r="BNO55" s="42"/>
      <c r="BNP55" s="42"/>
      <c r="BNQ55" s="2"/>
      <c r="BNR55" s="15"/>
      <c r="BNS55" s="42"/>
      <c r="BNT55" s="2"/>
      <c r="BNU55" s="2"/>
      <c r="BNV55" s="2"/>
      <c r="BNW55" s="2"/>
      <c r="BNX55" s="42"/>
      <c r="BNY55" s="42"/>
      <c r="BNZ55" s="42"/>
      <c r="BOA55" s="42"/>
      <c r="BOB55" s="42"/>
      <c r="BOC55" s="42"/>
      <c r="BOD55" s="42"/>
      <c r="BOE55" s="42"/>
      <c r="BOF55" s="42"/>
      <c r="BOG55" s="42"/>
      <c r="BOH55" s="42"/>
      <c r="BOI55" s="42"/>
      <c r="BOJ55" s="42"/>
      <c r="BOK55" s="42"/>
      <c r="BOL55" s="42"/>
      <c r="BOM55" s="42"/>
      <c r="BON55" s="42"/>
      <c r="BOO55" s="42"/>
      <c r="BOP55" s="42"/>
      <c r="BOQ55" s="42"/>
      <c r="BOR55" s="42"/>
      <c r="BOS55" s="42"/>
      <c r="BOT55" s="42"/>
      <c r="BOU55" s="2"/>
      <c r="BOV55" s="15"/>
      <c r="BOW55" s="42"/>
      <c r="BOX55" s="2"/>
      <c r="BOY55" s="2"/>
      <c r="BOZ55" s="2"/>
      <c r="BPA55" s="2"/>
      <c r="BPB55" s="42"/>
      <c r="BPC55" s="42"/>
      <c r="BPD55" s="42"/>
      <c r="BPE55" s="42"/>
      <c r="BPF55" s="42"/>
      <c r="BPG55" s="42"/>
      <c r="BPH55" s="42"/>
      <c r="BPI55" s="42"/>
      <c r="BPJ55" s="42"/>
      <c r="BPK55" s="42"/>
      <c r="BPL55" s="42"/>
      <c r="BPM55" s="42"/>
      <c r="BPN55" s="42"/>
      <c r="BPO55" s="42"/>
      <c r="BPP55" s="42"/>
      <c r="BPQ55" s="42"/>
      <c r="BPR55" s="42"/>
      <c r="BPS55" s="42"/>
      <c r="BPT55" s="42"/>
      <c r="BPU55" s="42"/>
      <c r="BPV55" s="42"/>
      <c r="BPW55" s="42"/>
      <c r="BPX55" s="42"/>
      <c r="BPY55" s="2"/>
      <c r="BPZ55" s="15"/>
      <c r="BQA55" s="42"/>
      <c r="BQB55" s="2"/>
      <c r="BQC55" s="2"/>
      <c r="BQD55" s="2"/>
      <c r="BQE55" s="2"/>
      <c r="BQF55" s="42"/>
      <c r="BQG55" s="42"/>
      <c r="BQH55" s="42"/>
      <c r="BQI55" s="42"/>
      <c r="BQJ55" s="42"/>
      <c r="BQK55" s="42"/>
      <c r="BQL55" s="42"/>
      <c r="BQM55" s="42"/>
      <c r="BQN55" s="42"/>
      <c r="BQO55" s="42"/>
      <c r="BQP55" s="42"/>
      <c r="BQQ55" s="42"/>
      <c r="BQR55" s="42"/>
      <c r="BQS55" s="42"/>
      <c r="BQT55" s="42"/>
      <c r="BQU55" s="42"/>
      <c r="BQV55" s="42"/>
      <c r="BQW55" s="42"/>
      <c r="BQX55" s="42"/>
      <c r="BQY55" s="42"/>
      <c r="BQZ55" s="42"/>
      <c r="BRA55" s="42"/>
      <c r="BRB55" s="42"/>
      <c r="BRC55" s="2"/>
      <c r="BRD55" s="15"/>
      <c r="BRE55" s="42"/>
      <c r="BRF55" s="2"/>
      <c r="BRG55" s="2"/>
      <c r="BRH55" s="2"/>
      <c r="BRI55" s="2"/>
      <c r="BRJ55" s="42"/>
      <c r="BRK55" s="42"/>
      <c r="BRL55" s="42"/>
      <c r="BRM55" s="42"/>
      <c r="BRN55" s="42"/>
      <c r="BRO55" s="42"/>
      <c r="BRP55" s="42"/>
      <c r="BRQ55" s="42"/>
      <c r="BRR55" s="42"/>
      <c r="BRS55" s="42"/>
      <c r="BRT55" s="42"/>
      <c r="BRU55" s="42"/>
      <c r="BRV55" s="42"/>
      <c r="BRW55" s="42"/>
      <c r="BRX55" s="42"/>
      <c r="BRY55" s="42"/>
      <c r="BRZ55" s="42"/>
      <c r="BSA55" s="42"/>
      <c r="BSB55" s="42"/>
      <c r="BSC55" s="42"/>
      <c r="BSD55" s="42"/>
      <c r="BSE55" s="42"/>
      <c r="BSF55" s="42"/>
      <c r="BSG55" s="2"/>
      <c r="BSH55" s="15"/>
      <c r="BSI55" s="42"/>
      <c r="BSJ55" s="2"/>
      <c r="BSK55" s="2"/>
      <c r="BSL55" s="2"/>
      <c r="BSM55" s="2"/>
      <c r="BSN55" s="42"/>
      <c r="BSO55" s="42"/>
      <c r="BSP55" s="42"/>
      <c r="BSQ55" s="42"/>
      <c r="BSR55" s="42"/>
      <c r="BSS55" s="42"/>
      <c r="BST55" s="42"/>
      <c r="BSU55" s="42"/>
      <c r="BSV55" s="42"/>
      <c r="BSW55" s="42"/>
      <c r="BSX55" s="42"/>
      <c r="BSY55" s="42"/>
      <c r="BSZ55" s="42"/>
      <c r="BTA55" s="42"/>
      <c r="BTB55" s="42"/>
      <c r="BTC55" s="42"/>
      <c r="BTD55" s="42"/>
      <c r="BTE55" s="42"/>
      <c r="BTF55" s="42"/>
      <c r="BTG55" s="42"/>
      <c r="BTH55" s="42"/>
      <c r="BTI55" s="42"/>
      <c r="BTJ55" s="42"/>
      <c r="BTK55" s="2"/>
      <c r="BTL55" s="15"/>
      <c r="BTM55" s="42"/>
      <c r="BTN55" s="2"/>
      <c r="BTO55" s="2"/>
      <c r="BTP55" s="2"/>
      <c r="BTQ55" s="2"/>
      <c r="BTR55" s="42"/>
      <c r="BTS55" s="42"/>
      <c r="BTT55" s="42"/>
      <c r="BTU55" s="42"/>
      <c r="BTV55" s="42"/>
      <c r="BTW55" s="42"/>
      <c r="BTX55" s="42"/>
      <c r="BTY55" s="42"/>
      <c r="BTZ55" s="42"/>
      <c r="BUA55" s="42"/>
      <c r="BUB55" s="42"/>
      <c r="BUC55" s="42"/>
      <c r="BUD55" s="42"/>
      <c r="BUE55" s="42"/>
      <c r="BUF55" s="42"/>
      <c r="BUG55" s="42"/>
      <c r="BUH55" s="42"/>
      <c r="BUI55" s="42"/>
      <c r="BUJ55" s="42"/>
      <c r="BUK55" s="42"/>
      <c r="BUL55" s="42"/>
      <c r="BUM55" s="42"/>
      <c r="BUN55" s="42"/>
      <c r="BUO55" s="2"/>
      <c r="BUP55" s="15"/>
      <c r="BUQ55" s="42"/>
      <c r="BUR55" s="2"/>
      <c r="BUS55" s="2"/>
      <c r="BUT55" s="2"/>
      <c r="BUU55" s="2"/>
      <c r="BUV55" s="42"/>
      <c r="BUW55" s="42"/>
      <c r="BUX55" s="42"/>
      <c r="BUY55" s="42"/>
      <c r="BUZ55" s="42"/>
      <c r="BVA55" s="42"/>
      <c r="BVB55" s="42"/>
      <c r="BVC55" s="42"/>
      <c r="BVD55" s="42"/>
      <c r="BVE55" s="42"/>
      <c r="BVF55" s="42"/>
      <c r="BVG55" s="42"/>
      <c r="BVH55" s="42"/>
      <c r="BVI55" s="42"/>
      <c r="BVJ55" s="42"/>
      <c r="BVK55" s="42"/>
      <c r="BVL55" s="42"/>
      <c r="BVM55" s="42"/>
      <c r="BVN55" s="42"/>
      <c r="BVO55" s="42"/>
      <c r="BVP55" s="42"/>
      <c r="BVQ55" s="42"/>
      <c r="BVR55" s="42"/>
      <c r="BVS55" s="2"/>
      <c r="BVT55" s="15"/>
      <c r="BVU55" s="42"/>
      <c r="BVV55" s="2"/>
      <c r="BVW55" s="2"/>
      <c r="BVX55" s="2"/>
      <c r="BVY55" s="2"/>
      <c r="BVZ55" s="42"/>
      <c r="BWA55" s="42"/>
      <c r="BWB55" s="42"/>
      <c r="BWC55" s="42"/>
      <c r="BWD55" s="42"/>
      <c r="BWE55" s="42"/>
      <c r="BWF55" s="42"/>
      <c r="BWG55" s="42"/>
      <c r="BWH55" s="42"/>
      <c r="BWI55" s="42"/>
      <c r="BWJ55" s="42"/>
      <c r="BWK55" s="42"/>
      <c r="BWL55" s="42"/>
      <c r="BWM55" s="42"/>
      <c r="BWN55" s="42"/>
      <c r="BWO55" s="42"/>
      <c r="BWP55" s="42"/>
      <c r="BWQ55" s="42"/>
      <c r="BWR55" s="42"/>
      <c r="BWS55" s="42"/>
      <c r="BWT55" s="42"/>
      <c r="BWU55" s="42"/>
      <c r="BWV55" s="42"/>
      <c r="BWW55" s="2"/>
      <c r="BWX55" s="15"/>
      <c r="BWY55" s="42"/>
      <c r="BWZ55" s="2"/>
      <c r="BXA55" s="2"/>
      <c r="BXB55" s="2"/>
      <c r="BXC55" s="2"/>
      <c r="BXD55" s="42"/>
      <c r="BXE55" s="42"/>
      <c r="BXF55" s="42"/>
      <c r="BXG55" s="42"/>
      <c r="BXH55" s="42"/>
      <c r="BXI55" s="42"/>
      <c r="BXJ55" s="42"/>
      <c r="BXK55" s="42"/>
      <c r="BXL55" s="42"/>
      <c r="BXM55" s="42"/>
      <c r="BXN55" s="42"/>
      <c r="BXO55" s="42"/>
      <c r="BXP55" s="42"/>
      <c r="BXQ55" s="42"/>
      <c r="BXR55" s="42"/>
      <c r="BXS55" s="42"/>
      <c r="BXT55" s="42"/>
      <c r="BXU55" s="42"/>
      <c r="BXV55" s="42"/>
      <c r="BXW55" s="42"/>
      <c r="BXX55" s="42"/>
      <c r="BXY55" s="42"/>
      <c r="BXZ55" s="42"/>
      <c r="BYA55" s="2"/>
      <c r="BYB55" s="15"/>
      <c r="BYC55" s="42"/>
      <c r="BYD55" s="2"/>
      <c r="BYE55" s="2"/>
      <c r="BYF55" s="2"/>
      <c r="BYG55" s="2"/>
      <c r="BYH55" s="42"/>
      <c r="BYI55" s="42"/>
      <c r="BYJ55" s="42"/>
      <c r="BYK55" s="42"/>
      <c r="BYL55" s="42"/>
      <c r="BYM55" s="42"/>
      <c r="BYN55" s="42"/>
      <c r="BYO55" s="42"/>
      <c r="BYP55" s="42"/>
      <c r="BYQ55" s="42"/>
      <c r="BYR55" s="42"/>
      <c r="BYS55" s="42"/>
      <c r="BYT55" s="42"/>
      <c r="BYU55" s="42"/>
      <c r="BYV55" s="42"/>
      <c r="BYW55" s="42"/>
      <c r="BYX55" s="42"/>
      <c r="BYY55" s="42"/>
      <c r="BYZ55" s="42"/>
      <c r="BZA55" s="42"/>
      <c r="BZB55" s="42"/>
      <c r="BZC55" s="42"/>
      <c r="BZD55" s="42"/>
      <c r="BZE55" s="2"/>
      <c r="BZF55" s="15"/>
      <c r="BZG55" s="42"/>
      <c r="BZH55" s="2"/>
      <c r="BZI55" s="2"/>
      <c r="BZJ55" s="2"/>
      <c r="BZK55" s="2"/>
      <c r="BZL55" s="42"/>
      <c r="BZM55" s="42"/>
      <c r="BZN55" s="42"/>
      <c r="BZO55" s="42"/>
      <c r="BZP55" s="42"/>
      <c r="BZQ55" s="42"/>
      <c r="BZR55" s="42"/>
      <c r="BZS55" s="42"/>
      <c r="BZT55" s="42"/>
      <c r="BZU55" s="42"/>
      <c r="BZV55" s="42"/>
      <c r="BZW55" s="42"/>
      <c r="BZX55" s="42"/>
      <c r="BZY55" s="42"/>
      <c r="BZZ55" s="42"/>
      <c r="CAA55" s="42"/>
      <c r="CAB55" s="42"/>
      <c r="CAC55" s="42"/>
      <c r="CAD55" s="42"/>
      <c r="CAE55" s="42"/>
      <c r="CAF55" s="42"/>
      <c r="CAG55" s="42"/>
      <c r="CAH55" s="42"/>
      <c r="CAI55" s="2"/>
      <c r="CAJ55" s="15"/>
      <c r="CAK55" s="42"/>
      <c r="CAL55" s="2"/>
      <c r="CAM55" s="2"/>
      <c r="CAN55" s="2"/>
      <c r="CAO55" s="2"/>
      <c r="CAP55" s="42"/>
      <c r="CAQ55" s="42"/>
      <c r="CAR55" s="42"/>
      <c r="CAS55" s="42"/>
      <c r="CAT55" s="42"/>
      <c r="CAU55" s="42"/>
      <c r="CAV55" s="42"/>
      <c r="CAW55" s="42"/>
      <c r="CAX55" s="42"/>
      <c r="CAY55" s="42"/>
      <c r="CAZ55" s="42"/>
      <c r="CBA55" s="42"/>
      <c r="CBB55" s="42"/>
      <c r="CBC55" s="42"/>
      <c r="CBD55" s="42"/>
      <c r="CBE55" s="42"/>
      <c r="CBF55" s="42"/>
      <c r="CBG55" s="42"/>
      <c r="CBH55" s="42"/>
      <c r="CBI55" s="42"/>
      <c r="CBJ55" s="42"/>
      <c r="CBK55" s="42"/>
      <c r="CBL55" s="42"/>
      <c r="CBM55" s="2"/>
      <c r="CBN55" s="15"/>
      <c r="CBO55" s="42"/>
      <c r="CBP55" s="2"/>
      <c r="CBQ55" s="2"/>
      <c r="CBR55" s="2"/>
      <c r="CBS55" s="2"/>
      <c r="CBT55" s="42"/>
      <c r="CBU55" s="42"/>
      <c r="CBV55" s="42"/>
      <c r="CBW55" s="42"/>
      <c r="CBX55" s="42"/>
      <c r="CBY55" s="42"/>
      <c r="CBZ55" s="42"/>
      <c r="CCA55" s="42"/>
      <c r="CCB55" s="42"/>
      <c r="CCC55" s="42"/>
      <c r="CCD55" s="42"/>
      <c r="CCE55" s="42"/>
      <c r="CCF55" s="42"/>
      <c r="CCG55" s="42"/>
      <c r="CCH55" s="42"/>
      <c r="CCI55" s="42"/>
      <c r="CCJ55" s="42"/>
      <c r="CCK55" s="42"/>
      <c r="CCL55" s="42"/>
      <c r="CCM55" s="42"/>
      <c r="CCN55" s="42"/>
      <c r="CCO55" s="42"/>
      <c r="CCP55" s="42"/>
      <c r="CCQ55" s="2"/>
      <c r="CCR55" s="15"/>
      <c r="CCS55" s="42"/>
      <c r="CCT55" s="2"/>
      <c r="CCU55" s="2"/>
      <c r="CCV55" s="2"/>
      <c r="CCW55" s="2"/>
      <c r="CCX55" s="42"/>
      <c r="CCY55" s="42"/>
      <c r="CCZ55" s="42"/>
      <c r="CDA55" s="42"/>
      <c r="CDB55" s="42"/>
      <c r="CDC55" s="42"/>
      <c r="CDD55" s="42"/>
      <c r="CDE55" s="42"/>
      <c r="CDF55" s="42"/>
      <c r="CDG55" s="42"/>
      <c r="CDH55" s="42"/>
      <c r="CDI55" s="42"/>
      <c r="CDJ55" s="42"/>
      <c r="CDK55" s="42"/>
      <c r="CDL55" s="42"/>
      <c r="CDM55" s="42"/>
      <c r="CDN55" s="42"/>
      <c r="CDO55" s="42"/>
      <c r="CDP55" s="42"/>
      <c r="CDQ55" s="42"/>
      <c r="CDR55" s="42"/>
      <c r="CDS55" s="42"/>
      <c r="CDT55" s="42"/>
      <c r="CDU55" s="2"/>
      <c r="CDV55" s="15"/>
      <c r="CDW55" s="42"/>
      <c r="CDX55" s="2"/>
      <c r="CDY55" s="2"/>
      <c r="CDZ55" s="2"/>
      <c r="CEA55" s="2"/>
      <c r="CEB55" s="42"/>
      <c r="CEC55" s="42"/>
      <c r="CED55" s="42"/>
      <c r="CEE55" s="42"/>
      <c r="CEF55" s="42"/>
      <c r="CEG55" s="42"/>
      <c r="CEH55" s="42"/>
      <c r="CEI55" s="42"/>
      <c r="CEJ55" s="42"/>
      <c r="CEK55" s="42"/>
      <c r="CEL55" s="42"/>
      <c r="CEM55" s="42"/>
      <c r="CEN55" s="42"/>
      <c r="CEO55" s="42"/>
      <c r="CEP55" s="42"/>
      <c r="CEQ55" s="42"/>
      <c r="CER55" s="42"/>
      <c r="CES55" s="42"/>
      <c r="CET55" s="42"/>
      <c r="CEU55" s="42"/>
      <c r="CEV55" s="42"/>
      <c r="CEW55" s="42"/>
      <c r="CEX55" s="42"/>
      <c r="CEY55" s="2"/>
      <c r="CEZ55" s="15"/>
      <c r="CFA55" s="42"/>
      <c r="CFB55" s="2"/>
      <c r="CFC55" s="2"/>
      <c r="CFD55" s="2"/>
      <c r="CFE55" s="2"/>
      <c r="CFF55" s="42"/>
      <c r="CFG55" s="42"/>
      <c r="CFH55" s="42"/>
      <c r="CFI55" s="42"/>
      <c r="CFJ55" s="42"/>
      <c r="CFK55" s="42"/>
      <c r="CFL55" s="42"/>
      <c r="CFM55" s="42"/>
      <c r="CFN55" s="42"/>
      <c r="CFO55" s="42"/>
      <c r="CFP55" s="42"/>
      <c r="CFQ55" s="42"/>
      <c r="CFR55" s="42"/>
      <c r="CFS55" s="42"/>
      <c r="CFT55" s="42"/>
      <c r="CFU55" s="42"/>
      <c r="CFV55" s="42"/>
      <c r="CFW55" s="42"/>
      <c r="CFX55" s="42"/>
      <c r="CFY55" s="42"/>
      <c r="CFZ55" s="42"/>
      <c r="CGA55" s="42"/>
      <c r="CGB55" s="42"/>
      <c r="CGC55" s="2"/>
      <c r="CGD55" s="15"/>
      <c r="CGE55" s="42"/>
      <c r="CGF55" s="2"/>
      <c r="CGG55" s="2"/>
      <c r="CGH55" s="2"/>
      <c r="CGI55" s="2"/>
      <c r="CGJ55" s="42"/>
      <c r="CGK55" s="42"/>
      <c r="CGL55" s="42"/>
      <c r="CGM55" s="42"/>
      <c r="CGN55" s="42"/>
      <c r="CGO55" s="42"/>
      <c r="CGP55" s="42"/>
      <c r="CGQ55" s="42"/>
      <c r="CGR55" s="42"/>
      <c r="CGS55" s="42"/>
      <c r="CGT55" s="42"/>
      <c r="CGU55" s="42"/>
      <c r="CGV55" s="42"/>
      <c r="CGW55" s="42"/>
      <c r="CGX55" s="42"/>
      <c r="CGY55" s="42"/>
      <c r="CGZ55" s="42"/>
      <c r="CHA55" s="42"/>
      <c r="CHB55" s="42"/>
      <c r="CHC55" s="42"/>
      <c r="CHD55" s="42"/>
      <c r="CHE55" s="42"/>
      <c r="CHF55" s="42"/>
      <c r="CHG55" s="2"/>
      <c r="CHH55" s="15"/>
      <c r="CHI55" s="42"/>
      <c r="CHJ55" s="2"/>
      <c r="CHK55" s="2"/>
      <c r="CHL55" s="2"/>
      <c r="CHM55" s="2"/>
      <c r="CHN55" s="42"/>
      <c r="CHO55" s="42"/>
      <c r="CHP55" s="42"/>
      <c r="CHQ55" s="42"/>
      <c r="CHR55" s="42"/>
      <c r="CHS55" s="42"/>
      <c r="CHT55" s="42"/>
      <c r="CHU55" s="42"/>
      <c r="CHV55" s="42"/>
      <c r="CHW55" s="42"/>
      <c r="CHX55" s="42"/>
      <c r="CHY55" s="42"/>
      <c r="CHZ55" s="42"/>
      <c r="CIA55" s="42"/>
      <c r="CIB55" s="42"/>
      <c r="CIC55" s="42"/>
      <c r="CID55" s="42"/>
      <c r="CIE55" s="42"/>
      <c r="CIF55" s="42"/>
      <c r="CIG55" s="42"/>
      <c r="CIH55" s="42"/>
      <c r="CII55" s="42"/>
      <c r="CIJ55" s="42"/>
      <c r="CIK55" s="2"/>
      <c r="CIL55" s="15"/>
      <c r="CIM55" s="42"/>
      <c r="CIN55" s="2"/>
      <c r="CIO55" s="2"/>
      <c r="CIP55" s="2"/>
      <c r="CIQ55" s="2"/>
      <c r="CIR55" s="42"/>
      <c r="CIS55" s="42"/>
      <c r="CIT55" s="42"/>
      <c r="CIU55" s="42"/>
      <c r="CIV55" s="42"/>
      <c r="CIW55" s="42"/>
      <c r="CIX55" s="42"/>
      <c r="CIY55" s="42"/>
      <c r="CIZ55" s="42"/>
      <c r="CJA55" s="42"/>
      <c r="CJB55" s="42"/>
      <c r="CJC55" s="42"/>
      <c r="CJD55" s="42"/>
      <c r="CJE55" s="42"/>
      <c r="CJF55" s="42"/>
      <c r="CJG55" s="42"/>
      <c r="CJH55" s="42"/>
      <c r="CJI55" s="42"/>
      <c r="CJJ55" s="42"/>
      <c r="CJK55" s="42"/>
      <c r="CJL55" s="42"/>
      <c r="CJM55" s="42"/>
      <c r="CJN55" s="42"/>
      <c r="CJO55" s="2"/>
      <c r="CJP55" s="15"/>
      <c r="CJQ55" s="42"/>
      <c r="CJR55" s="2"/>
      <c r="CJS55" s="2"/>
      <c r="CJT55" s="2"/>
      <c r="CJU55" s="2"/>
      <c r="CJV55" s="42"/>
      <c r="CJW55" s="42"/>
      <c r="CJX55" s="42"/>
      <c r="CJY55" s="42"/>
      <c r="CJZ55" s="42"/>
      <c r="CKA55" s="42"/>
      <c r="CKB55" s="42"/>
      <c r="CKC55" s="42"/>
      <c r="CKD55" s="42"/>
      <c r="CKE55" s="42"/>
      <c r="CKF55" s="42"/>
      <c r="CKG55" s="42"/>
      <c r="CKH55" s="42"/>
      <c r="CKI55" s="42"/>
      <c r="CKJ55" s="42"/>
      <c r="CKK55" s="42"/>
      <c r="CKL55" s="42"/>
      <c r="CKM55" s="42"/>
      <c r="CKN55" s="42"/>
      <c r="CKO55" s="42"/>
      <c r="CKP55" s="42"/>
      <c r="CKQ55" s="42"/>
      <c r="CKR55" s="42"/>
      <c r="CKS55" s="2"/>
      <c r="CKT55" s="15"/>
      <c r="CKU55" s="42"/>
      <c r="CKV55" s="2"/>
      <c r="CKW55" s="2"/>
      <c r="CKX55" s="2"/>
      <c r="CKY55" s="2"/>
      <c r="CKZ55" s="42"/>
      <c r="CLA55" s="42"/>
      <c r="CLB55" s="42"/>
      <c r="CLC55" s="42"/>
      <c r="CLD55" s="42"/>
      <c r="CLE55" s="42"/>
      <c r="CLF55" s="42"/>
      <c r="CLG55" s="42"/>
      <c r="CLH55" s="42"/>
      <c r="CLI55" s="42"/>
      <c r="CLJ55" s="42"/>
      <c r="CLK55" s="42"/>
      <c r="CLL55" s="42"/>
      <c r="CLM55" s="42"/>
      <c r="CLN55" s="42"/>
      <c r="CLO55" s="42"/>
      <c r="CLP55" s="42"/>
      <c r="CLQ55" s="42"/>
      <c r="CLR55" s="42"/>
      <c r="CLS55" s="42"/>
      <c r="CLT55" s="42"/>
      <c r="CLU55" s="42"/>
      <c r="CLV55" s="42"/>
      <c r="CLW55" s="2"/>
      <c r="CLX55" s="15"/>
      <c r="CLY55" s="42"/>
      <c r="CLZ55" s="2"/>
      <c r="CMA55" s="2"/>
      <c r="CMB55" s="2"/>
      <c r="CMC55" s="2"/>
      <c r="CMD55" s="42"/>
      <c r="CME55" s="42"/>
      <c r="CMF55" s="42"/>
      <c r="CMG55" s="42"/>
      <c r="CMH55" s="42"/>
      <c r="CMI55" s="42"/>
      <c r="CMJ55" s="42"/>
      <c r="CMK55" s="42"/>
      <c r="CML55" s="42"/>
      <c r="CMM55" s="42"/>
      <c r="CMN55" s="42"/>
      <c r="CMO55" s="42"/>
      <c r="CMP55" s="42"/>
      <c r="CMQ55" s="42"/>
      <c r="CMR55" s="42"/>
      <c r="CMS55" s="42"/>
      <c r="CMT55" s="42"/>
      <c r="CMU55" s="42"/>
      <c r="CMV55" s="42"/>
      <c r="CMW55" s="42"/>
      <c r="CMX55" s="42"/>
      <c r="CMY55" s="42"/>
      <c r="CMZ55" s="42"/>
      <c r="CNA55" s="2"/>
      <c r="CNB55" s="15"/>
      <c r="CNC55" s="42"/>
      <c r="CND55" s="2"/>
      <c r="CNE55" s="2"/>
      <c r="CNF55" s="2"/>
      <c r="CNG55" s="2"/>
      <c r="CNH55" s="42"/>
      <c r="CNI55" s="42"/>
      <c r="CNJ55" s="42"/>
      <c r="CNK55" s="42"/>
      <c r="CNL55" s="42"/>
      <c r="CNM55" s="42"/>
      <c r="CNN55" s="42"/>
      <c r="CNO55" s="42"/>
      <c r="CNP55" s="42"/>
      <c r="CNQ55" s="42"/>
      <c r="CNR55" s="42"/>
      <c r="CNS55" s="42"/>
      <c r="CNT55" s="42"/>
      <c r="CNU55" s="42"/>
      <c r="CNV55" s="42"/>
      <c r="CNW55" s="42"/>
      <c r="CNX55" s="42"/>
      <c r="CNY55" s="42"/>
      <c r="CNZ55" s="42"/>
      <c r="COA55" s="42"/>
      <c r="COB55" s="42"/>
      <c r="COC55" s="42"/>
      <c r="COD55" s="42"/>
      <c r="COE55" s="2"/>
      <c r="COF55" s="15"/>
      <c r="COG55" s="42"/>
      <c r="COH55" s="2"/>
      <c r="COI55" s="2"/>
      <c r="COJ55" s="2"/>
      <c r="COK55" s="2"/>
      <c r="COL55" s="42"/>
      <c r="COM55" s="42"/>
      <c r="CON55" s="42"/>
      <c r="COO55" s="42"/>
      <c r="COP55" s="42"/>
      <c r="COQ55" s="42"/>
      <c r="COR55" s="42"/>
      <c r="COS55" s="42"/>
      <c r="COT55" s="42"/>
      <c r="COU55" s="42"/>
      <c r="COV55" s="42"/>
      <c r="COW55" s="42"/>
      <c r="COX55" s="42"/>
      <c r="COY55" s="42"/>
      <c r="COZ55" s="42"/>
      <c r="CPA55" s="42"/>
      <c r="CPB55" s="42"/>
      <c r="CPC55" s="42"/>
      <c r="CPD55" s="42"/>
      <c r="CPE55" s="42"/>
      <c r="CPF55" s="42"/>
      <c r="CPG55" s="42"/>
      <c r="CPH55" s="42"/>
      <c r="CPI55" s="2"/>
      <c r="CPJ55" s="15"/>
      <c r="CPK55" s="42"/>
      <c r="CPL55" s="2"/>
      <c r="CPM55" s="2"/>
      <c r="CPN55" s="2"/>
      <c r="CPO55" s="2"/>
      <c r="CPP55" s="42"/>
      <c r="CPQ55" s="42"/>
      <c r="CPR55" s="42"/>
      <c r="CPS55" s="42"/>
      <c r="CPT55" s="42"/>
      <c r="CPU55" s="42"/>
      <c r="CPV55" s="42"/>
      <c r="CPW55" s="42"/>
      <c r="CPX55" s="42"/>
      <c r="CPY55" s="42"/>
      <c r="CPZ55" s="42"/>
      <c r="CQA55" s="42"/>
      <c r="CQB55" s="42"/>
      <c r="CQC55" s="42"/>
      <c r="CQD55" s="42"/>
      <c r="CQE55" s="42"/>
      <c r="CQF55" s="42"/>
      <c r="CQG55" s="42"/>
      <c r="CQH55" s="42"/>
      <c r="CQI55" s="42"/>
      <c r="CQJ55" s="42"/>
      <c r="CQK55" s="42"/>
      <c r="CQL55" s="42"/>
      <c r="CQM55" s="2"/>
      <c r="CQN55" s="15"/>
      <c r="CQO55" s="42"/>
      <c r="CQP55" s="2"/>
      <c r="CQQ55" s="2"/>
      <c r="CQR55" s="2"/>
      <c r="CQS55" s="2"/>
      <c r="CQT55" s="42"/>
      <c r="CQU55" s="42"/>
      <c r="CQV55" s="42"/>
      <c r="CQW55" s="42"/>
      <c r="CQX55" s="42"/>
      <c r="CQY55" s="42"/>
      <c r="CQZ55" s="42"/>
      <c r="CRA55" s="42"/>
      <c r="CRB55" s="42"/>
      <c r="CRC55" s="42"/>
      <c r="CRD55" s="42"/>
      <c r="CRE55" s="42"/>
      <c r="CRF55" s="42"/>
      <c r="CRG55" s="42"/>
      <c r="CRH55" s="42"/>
      <c r="CRI55" s="42"/>
      <c r="CRJ55" s="42"/>
      <c r="CRK55" s="42"/>
      <c r="CRL55" s="42"/>
      <c r="CRM55" s="42"/>
      <c r="CRN55" s="42"/>
      <c r="CRO55" s="42"/>
      <c r="CRP55" s="42"/>
      <c r="CRQ55" s="2"/>
      <c r="CRR55" s="15"/>
      <c r="CRS55" s="42"/>
      <c r="CRT55" s="2"/>
      <c r="CRU55" s="2"/>
      <c r="CRV55" s="2"/>
      <c r="CRW55" s="2"/>
      <c r="CRX55" s="42"/>
      <c r="CRY55" s="42"/>
      <c r="CRZ55" s="42"/>
      <c r="CSA55" s="42"/>
      <c r="CSB55" s="42"/>
      <c r="CSC55" s="42"/>
      <c r="CSD55" s="42"/>
      <c r="CSE55" s="42"/>
      <c r="CSF55" s="42"/>
      <c r="CSG55" s="42"/>
      <c r="CSH55" s="42"/>
      <c r="CSI55" s="42"/>
      <c r="CSJ55" s="42"/>
      <c r="CSK55" s="42"/>
      <c r="CSL55" s="42"/>
      <c r="CSM55" s="42"/>
      <c r="CSN55" s="42"/>
      <c r="CSO55" s="42"/>
      <c r="CSP55" s="42"/>
      <c r="CSQ55" s="42"/>
      <c r="CSR55" s="42"/>
      <c r="CSS55" s="42"/>
      <c r="CST55" s="42"/>
      <c r="CSU55" s="2"/>
      <c r="CSV55" s="15"/>
      <c r="CSW55" s="42"/>
      <c r="CSX55" s="2"/>
      <c r="CSY55" s="2"/>
      <c r="CSZ55" s="2"/>
      <c r="CTA55" s="2"/>
      <c r="CTB55" s="42"/>
      <c r="CTC55" s="42"/>
      <c r="CTD55" s="42"/>
      <c r="CTE55" s="42"/>
      <c r="CTF55" s="42"/>
      <c r="CTG55" s="42"/>
      <c r="CTH55" s="42"/>
      <c r="CTI55" s="42"/>
      <c r="CTJ55" s="42"/>
      <c r="CTK55" s="42"/>
      <c r="CTL55" s="42"/>
      <c r="CTM55" s="42"/>
      <c r="CTN55" s="42"/>
      <c r="CTO55" s="42"/>
      <c r="CTP55" s="42"/>
      <c r="CTQ55" s="42"/>
      <c r="CTR55" s="42"/>
      <c r="CTS55" s="42"/>
      <c r="CTT55" s="42"/>
      <c r="CTU55" s="42"/>
      <c r="CTV55" s="42"/>
      <c r="CTW55" s="42"/>
      <c r="CTX55" s="42"/>
      <c r="CTY55" s="2"/>
      <c r="CTZ55" s="15"/>
      <c r="CUA55" s="42"/>
      <c r="CUB55" s="2"/>
      <c r="CUC55" s="2"/>
      <c r="CUD55" s="2"/>
      <c r="CUE55" s="2"/>
      <c r="CUF55" s="42"/>
      <c r="CUG55" s="42"/>
      <c r="CUH55" s="42"/>
      <c r="CUI55" s="42"/>
      <c r="CUJ55" s="42"/>
      <c r="CUK55" s="42"/>
      <c r="CUL55" s="42"/>
      <c r="CUM55" s="42"/>
      <c r="CUN55" s="42"/>
      <c r="CUO55" s="42"/>
      <c r="CUP55" s="42"/>
      <c r="CUQ55" s="42"/>
      <c r="CUR55" s="42"/>
      <c r="CUS55" s="42"/>
      <c r="CUT55" s="42"/>
      <c r="CUU55" s="42"/>
      <c r="CUV55" s="42"/>
      <c r="CUW55" s="42"/>
      <c r="CUX55" s="42"/>
      <c r="CUY55" s="42"/>
      <c r="CUZ55" s="42"/>
      <c r="CVA55" s="42"/>
      <c r="CVB55" s="42"/>
      <c r="CVC55" s="2"/>
      <c r="CVD55" s="15"/>
      <c r="CVE55" s="42"/>
      <c r="CVF55" s="2"/>
      <c r="CVG55" s="2"/>
      <c r="CVH55" s="2"/>
      <c r="CVI55" s="2"/>
      <c r="CVJ55" s="42"/>
      <c r="CVK55" s="42"/>
      <c r="CVL55" s="42"/>
      <c r="CVM55" s="42"/>
      <c r="CVN55" s="42"/>
      <c r="CVO55" s="42"/>
      <c r="CVP55" s="42"/>
      <c r="CVQ55" s="42"/>
      <c r="CVR55" s="42"/>
      <c r="CVS55" s="42"/>
      <c r="CVT55" s="42"/>
      <c r="CVU55" s="42"/>
      <c r="CVV55" s="42"/>
      <c r="CVW55" s="42"/>
      <c r="CVX55" s="42"/>
      <c r="CVY55" s="42"/>
      <c r="CVZ55" s="42"/>
      <c r="CWA55" s="42"/>
      <c r="CWB55" s="42"/>
      <c r="CWC55" s="42"/>
      <c r="CWD55" s="42"/>
      <c r="CWE55" s="42"/>
      <c r="CWF55" s="42"/>
      <c r="CWG55" s="2"/>
      <c r="CWH55" s="15"/>
      <c r="CWI55" s="42"/>
      <c r="CWJ55" s="2"/>
      <c r="CWK55" s="2"/>
      <c r="CWL55" s="2"/>
      <c r="CWM55" s="2"/>
      <c r="CWN55" s="42"/>
      <c r="CWO55" s="42"/>
      <c r="CWP55" s="42"/>
      <c r="CWQ55" s="42"/>
      <c r="CWR55" s="42"/>
      <c r="CWS55" s="42"/>
      <c r="CWT55" s="42"/>
      <c r="CWU55" s="42"/>
      <c r="CWV55" s="42"/>
      <c r="CWW55" s="42"/>
      <c r="CWX55" s="42"/>
      <c r="CWY55" s="42"/>
      <c r="CWZ55" s="42"/>
      <c r="CXA55" s="42"/>
      <c r="CXB55" s="42"/>
      <c r="CXC55" s="42"/>
      <c r="CXD55" s="42"/>
      <c r="CXE55" s="42"/>
      <c r="CXF55" s="42"/>
      <c r="CXG55" s="42"/>
      <c r="CXH55" s="42"/>
      <c r="CXI55" s="42"/>
      <c r="CXJ55" s="42"/>
      <c r="CXK55" s="2"/>
      <c r="CXL55" s="15"/>
      <c r="CXM55" s="42"/>
      <c r="CXN55" s="2"/>
      <c r="CXO55" s="2"/>
      <c r="CXP55" s="2"/>
      <c r="CXQ55" s="2"/>
      <c r="CXR55" s="42"/>
      <c r="CXS55" s="42"/>
      <c r="CXT55" s="42"/>
      <c r="CXU55" s="42"/>
      <c r="CXV55" s="42"/>
      <c r="CXW55" s="42"/>
      <c r="CXX55" s="42"/>
      <c r="CXY55" s="42"/>
      <c r="CXZ55" s="42"/>
      <c r="CYA55" s="42"/>
      <c r="CYB55" s="42"/>
      <c r="CYC55" s="42"/>
      <c r="CYD55" s="42"/>
      <c r="CYE55" s="42"/>
      <c r="CYF55" s="42"/>
      <c r="CYG55" s="42"/>
      <c r="CYH55" s="42"/>
      <c r="CYI55" s="42"/>
      <c r="CYJ55" s="42"/>
      <c r="CYK55" s="42"/>
      <c r="CYL55" s="42"/>
      <c r="CYM55" s="42"/>
      <c r="CYN55" s="42"/>
      <c r="CYO55" s="2"/>
      <c r="CYP55" s="15"/>
      <c r="CYQ55" s="42"/>
      <c r="CYR55" s="2"/>
      <c r="CYS55" s="2"/>
      <c r="CYT55" s="2"/>
      <c r="CYU55" s="2"/>
      <c r="CYV55" s="42"/>
      <c r="CYW55" s="42"/>
      <c r="CYX55" s="42"/>
      <c r="CYY55" s="42"/>
      <c r="CYZ55" s="42"/>
      <c r="CZA55" s="42"/>
      <c r="CZB55" s="42"/>
      <c r="CZC55" s="42"/>
      <c r="CZD55" s="42"/>
      <c r="CZE55" s="42"/>
      <c r="CZF55" s="42"/>
      <c r="CZG55" s="42"/>
      <c r="CZH55" s="42"/>
      <c r="CZI55" s="42"/>
      <c r="CZJ55" s="42"/>
      <c r="CZK55" s="42"/>
      <c r="CZL55" s="42"/>
      <c r="CZM55" s="42"/>
      <c r="CZN55" s="42"/>
      <c r="CZO55" s="42"/>
      <c r="CZP55" s="42"/>
      <c r="CZQ55" s="42"/>
      <c r="CZR55" s="42"/>
      <c r="CZS55" s="2"/>
      <c r="CZT55" s="15"/>
      <c r="CZU55" s="42"/>
      <c r="CZV55" s="2"/>
      <c r="CZW55" s="2"/>
      <c r="CZX55" s="2"/>
      <c r="CZY55" s="2"/>
      <c r="CZZ55" s="42"/>
      <c r="DAA55" s="42"/>
      <c r="DAB55" s="42"/>
      <c r="DAC55" s="42"/>
      <c r="DAD55" s="42"/>
      <c r="DAE55" s="42"/>
      <c r="DAF55" s="42"/>
      <c r="DAG55" s="42"/>
      <c r="DAH55" s="42"/>
      <c r="DAI55" s="42"/>
      <c r="DAJ55" s="42"/>
      <c r="DAK55" s="42"/>
      <c r="DAL55" s="42"/>
      <c r="DAM55" s="42"/>
      <c r="DAN55" s="42"/>
      <c r="DAO55" s="42"/>
      <c r="DAP55" s="42"/>
      <c r="DAQ55" s="42"/>
      <c r="DAR55" s="42"/>
      <c r="DAS55" s="42"/>
      <c r="DAT55" s="42"/>
      <c r="DAU55" s="42"/>
      <c r="DAV55" s="42"/>
      <c r="DAW55" s="2"/>
      <c r="DAX55" s="15"/>
      <c r="DAY55" s="42"/>
      <c r="DAZ55" s="2"/>
      <c r="DBA55" s="2"/>
      <c r="DBB55" s="2"/>
      <c r="DBC55" s="2"/>
      <c r="DBD55" s="42"/>
      <c r="DBE55" s="42"/>
      <c r="DBF55" s="42"/>
      <c r="DBG55" s="42"/>
      <c r="DBH55" s="42"/>
      <c r="DBI55" s="42"/>
      <c r="DBJ55" s="42"/>
      <c r="DBK55" s="42"/>
      <c r="DBL55" s="42"/>
      <c r="DBM55" s="42"/>
      <c r="DBN55" s="42"/>
      <c r="DBO55" s="42"/>
      <c r="DBP55" s="42"/>
      <c r="DBQ55" s="42"/>
      <c r="DBR55" s="42"/>
      <c r="DBS55" s="42"/>
      <c r="DBT55" s="42"/>
      <c r="DBU55" s="42"/>
      <c r="DBV55" s="42"/>
      <c r="DBW55" s="42"/>
      <c r="DBX55" s="42"/>
      <c r="DBY55" s="42"/>
      <c r="DBZ55" s="42"/>
      <c r="DCA55" s="2"/>
      <c r="DCB55" s="15"/>
      <c r="DCC55" s="42"/>
      <c r="DCD55" s="2"/>
      <c r="DCE55" s="2"/>
      <c r="DCF55" s="2"/>
      <c r="DCG55" s="2"/>
      <c r="DCH55" s="42"/>
      <c r="DCI55" s="42"/>
      <c r="DCJ55" s="42"/>
      <c r="DCK55" s="42"/>
      <c r="DCL55" s="42"/>
      <c r="DCM55" s="42"/>
      <c r="DCN55" s="42"/>
      <c r="DCO55" s="42"/>
      <c r="DCP55" s="42"/>
      <c r="DCQ55" s="42"/>
      <c r="DCR55" s="42"/>
      <c r="DCS55" s="42"/>
      <c r="DCT55" s="42"/>
      <c r="DCU55" s="42"/>
      <c r="DCV55" s="42"/>
      <c r="DCW55" s="42"/>
      <c r="DCX55" s="42"/>
      <c r="DCY55" s="42"/>
      <c r="DCZ55" s="42"/>
      <c r="DDA55" s="42"/>
      <c r="DDB55" s="42"/>
      <c r="DDC55" s="42"/>
      <c r="DDD55" s="42"/>
      <c r="DDE55" s="2"/>
      <c r="DDF55" s="15"/>
      <c r="DDG55" s="42"/>
      <c r="DDH55" s="2"/>
      <c r="DDI55" s="2"/>
      <c r="DDJ55" s="2"/>
      <c r="DDK55" s="2"/>
      <c r="DDL55" s="42"/>
      <c r="DDM55" s="42"/>
      <c r="DDN55" s="42"/>
      <c r="DDO55" s="42"/>
      <c r="DDP55" s="42"/>
      <c r="DDQ55" s="42"/>
      <c r="DDR55" s="42"/>
      <c r="DDS55" s="42"/>
      <c r="DDT55" s="42"/>
      <c r="DDU55" s="42"/>
      <c r="DDV55" s="42"/>
      <c r="DDW55" s="42"/>
      <c r="DDX55" s="42"/>
      <c r="DDY55" s="42"/>
      <c r="DDZ55" s="42"/>
      <c r="DEA55" s="42"/>
      <c r="DEB55" s="42"/>
      <c r="DEC55" s="42"/>
      <c r="DED55" s="42"/>
      <c r="DEE55" s="42"/>
      <c r="DEF55" s="42"/>
      <c r="DEG55" s="42"/>
      <c r="DEH55" s="42"/>
      <c r="DEI55" s="2"/>
      <c r="DEJ55" s="15"/>
      <c r="DEK55" s="42"/>
      <c r="DEL55" s="2"/>
      <c r="DEM55" s="2"/>
      <c r="DEN55" s="2"/>
      <c r="DEO55" s="2"/>
      <c r="DEP55" s="42"/>
      <c r="DEQ55" s="42"/>
      <c r="DER55" s="42"/>
      <c r="DES55" s="42"/>
      <c r="DET55" s="42"/>
      <c r="DEU55" s="42"/>
      <c r="DEV55" s="42"/>
      <c r="DEW55" s="42"/>
      <c r="DEX55" s="42"/>
      <c r="DEY55" s="42"/>
      <c r="DEZ55" s="42"/>
      <c r="DFA55" s="42"/>
      <c r="DFB55" s="42"/>
      <c r="DFC55" s="42"/>
      <c r="DFD55" s="42"/>
      <c r="DFE55" s="42"/>
      <c r="DFF55" s="42"/>
      <c r="DFG55" s="42"/>
      <c r="DFH55" s="42"/>
      <c r="DFI55" s="42"/>
      <c r="DFJ55" s="42"/>
      <c r="DFK55" s="42"/>
      <c r="DFL55" s="42"/>
      <c r="DFM55" s="2"/>
      <c r="DFN55" s="15"/>
      <c r="DFO55" s="42"/>
      <c r="DFP55" s="2"/>
      <c r="DFQ55" s="2"/>
      <c r="DFR55" s="2"/>
      <c r="DFS55" s="2"/>
      <c r="DFT55" s="42"/>
      <c r="DFU55" s="42"/>
      <c r="DFV55" s="42"/>
      <c r="DFW55" s="42"/>
      <c r="DFX55" s="42"/>
      <c r="DFY55" s="42"/>
      <c r="DFZ55" s="42"/>
      <c r="DGA55" s="42"/>
      <c r="DGB55" s="42"/>
      <c r="DGC55" s="42"/>
      <c r="DGD55" s="42"/>
      <c r="DGE55" s="42"/>
      <c r="DGF55" s="42"/>
      <c r="DGG55" s="42"/>
      <c r="DGH55" s="42"/>
      <c r="DGI55" s="42"/>
      <c r="DGJ55" s="42"/>
      <c r="DGK55" s="42"/>
      <c r="DGL55" s="42"/>
      <c r="DGM55" s="42"/>
      <c r="DGN55" s="42"/>
      <c r="DGO55" s="42"/>
      <c r="DGP55" s="42"/>
      <c r="DGQ55" s="2"/>
      <c r="DGR55" s="15"/>
      <c r="DGS55" s="42"/>
      <c r="DGT55" s="2"/>
      <c r="DGU55" s="2"/>
      <c r="DGV55" s="2"/>
      <c r="DGW55" s="2"/>
      <c r="DGX55" s="42"/>
      <c r="DGY55" s="42"/>
      <c r="DGZ55" s="42"/>
      <c r="DHA55" s="42"/>
      <c r="DHB55" s="42"/>
      <c r="DHC55" s="42"/>
      <c r="DHD55" s="42"/>
      <c r="DHE55" s="42"/>
      <c r="DHF55" s="42"/>
      <c r="DHG55" s="42"/>
      <c r="DHH55" s="42"/>
      <c r="DHI55" s="42"/>
      <c r="DHJ55" s="42"/>
      <c r="DHK55" s="42"/>
      <c r="DHL55" s="42"/>
      <c r="DHM55" s="42"/>
      <c r="DHN55" s="42"/>
      <c r="DHO55" s="42"/>
      <c r="DHP55" s="42"/>
      <c r="DHQ55" s="42"/>
      <c r="DHR55" s="42"/>
      <c r="DHS55" s="42"/>
      <c r="DHT55" s="42"/>
      <c r="DHU55" s="2"/>
      <c r="DHV55" s="15"/>
      <c r="DHW55" s="42"/>
      <c r="DHX55" s="2"/>
      <c r="DHY55" s="2"/>
      <c r="DHZ55" s="2"/>
      <c r="DIA55" s="2"/>
      <c r="DIB55" s="42"/>
      <c r="DIC55" s="42"/>
      <c r="DID55" s="42"/>
      <c r="DIE55" s="42"/>
      <c r="DIF55" s="42"/>
      <c r="DIG55" s="42"/>
      <c r="DIH55" s="42"/>
      <c r="DII55" s="42"/>
      <c r="DIJ55" s="42"/>
      <c r="DIK55" s="42"/>
      <c r="DIL55" s="42"/>
      <c r="DIM55" s="42"/>
      <c r="DIN55" s="42"/>
      <c r="DIO55" s="42"/>
      <c r="DIP55" s="42"/>
      <c r="DIQ55" s="42"/>
      <c r="DIR55" s="42"/>
      <c r="DIS55" s="42"/>
      <c r="DIT55" s="42"/>
      <c r="DIU55" s="42"/>
      <c r="DIV55" s="42"/>
      <c r="DIW55" s="42"/>
      <c r="DIX55" s="42"/>
      <c r="DIY55" s="2"/>
      <c r="DIZ55" s="15"/>
      <c r="DJA55" s="42"/>
      <c r="DJB55" s="2"/>
      <c r="DJC55" s="2"/>
      <c r="DJD55" s="2"/>
      <c r="DJE55" s="2"/>
      <c r="DJF55" s="42"/>
      <c r="DJG55" s="42"/>
      <c r="DJH55" s="42"/>
      <c r="DJI55" s="42"/>
      <c r="DJJ55" s="42"/>
      <c r="DJK55" s="42"/>
      <c r="DJL55" s="42"/>
      <c r="DJM55" s="42"/>
      <c r="DJN55" s="42"/>
      <c r="DJO55" s="42"/>
      <c r="DJP55" s="42"/>
      <c r="DJQ55" s="42"/>
      <c r="DJR55" s="42"/>
      <c r="DJS55" s="42"/>
      <c r="DJT55" s="42"/>
      <c r="DJU55" s="42"/>
      <c r="DJV55" s="42"/>
      <c r="DJW55" s="42"/>
      <c r="DJX55" s="42"/>
      <c r="DJY55" s="42"/>
      <c r="DJZ55" s="42"/>
      <c r="DKA55" s="42"/>
      <c r="DKB55" s="42"/>
      <c r="DKC55" s="2"/>
      <c r="DKD55" s="15"/>
      <c r="DKE55" s="42"/>
      <c r="DKF55" s="2"/>
      <c r="DKG55" s="2"/>
      <c r="DKH55" s="2"/>
      <c r="DKI55" s="2"/>
      <c r="DKJ55" s="42"/>
      <c r="DKK55" s="42"/>
      <c r="DKL55" s="42"/>
      <c r="DKM55" s="42"/>
      <c r="DKN55" s="42"/>
      <c r="DKO55" s="42"/>
      <c r="DKP55" s="42"/>
      <c r="DKQ55" s="42"/>
      <c r="DKR55" s="42"/>
      <c r="DKS55" s="42"/>
      <c r="DKT55" s="42"/>
      <c r="DKU55" s="42"/>
      <c r="DKV55" s="42"/>
      <c r="DKW55" s="42"/>
      <c r="DKX55" s="42"/>
      <c r="DKY55" s="42"/>
      <c r="DKZ55" s="42"/>
      <c r="DLA55" s="42"/>
      <c r="DLB55" s="42"/>
      <c r="DLC55" s="42"/>
      <c r="DLD55" s="42"/>
      <c r="DLE55" s="42"/>
      <c r="DLF55" s="42"/>
      <c r="DLG55" s="2"/>
      <c r="DLH55" s="15"/>
      <c r="DLI55" s="42"/>
      <c r="DLJ55" s="2"/>
      <c r="DLK55" s="2"/>
      <c r="DLL55" s="2"/>
      <c r="DLM55" s="2"/>
      <c r="DLN55" s="42"/>
      <c r="DLO55" s="42"/>
      <c r="DLP55" s="42"/>
      <c r="DLQ55" s="42"/>
      <c r="DLR55" s="42"/>
      <c r="DLS55" s="42"/>
      <c r="DLT55" s="42"/>
      <c r="DLU55" s="42"/>
      <c r="DLV55" s="42"/>
      <c r="DLW55" s="42"/>
      <c r="DLX55" s="42"/>
      <c r="DLY55" s="42"/>
      <c r="DLZ55" s="42"/>
      <c r="DMA55" s="42"/>
      <c r="DMB55" s="42"/>
      <c r="DMC55" s="42"/>
      <c r="DMD55" s="42"/>
      <c r="DME55" s="42"/>
      <c r="DMF55" s="42"/>
      <c r="DMG55" s="42"/>
      <c r="DMH55" s="42"/>
      <c r="DMI55" s="42"/>
      <c r="DMJ55" s="42"/>
      <c r="DMK55" s="2"/>
      <c r="DML55" s="15"/>
      <c r="DMM55" s="42"/>
      <c r="DMN55" s="2"/>
      <c r="DMO55" s="2"/>
      <c r="DMP55" s="2"/>
      <c r="DMQ55" s="2"/>
      <c r="DMR55" s="42"/>
      <c r="DMS55" s="42"/>
      <c r="DMT55" s="42"/>
      <c r="DMU55" s="42"/>
      <c r="DMV55" s="42"/>
      <c r="DMW55" s="42"/>
      <c r="DMX55" s="42"/>
      <c r="DMY55" s="42"/>
      <c r="DMZ55" s="42"/>
      <c r="DNA55" s="42"/>
      <c r="DNB55" s="42"/>
      <c r="DNC55" s="42"/>
      <c r="DND55" s="42"/>
      <c r="DNE55" s="42"/>
      <c r="DNF55" s="42"/>
      <c r="DNG55" s="42"/>
      <c r="DNH55" s="42"/>
      <c r="DNI55" s="42"/>
      <c r="DNJ55" s="42"/>
      <c r="DNK55" s="42"/>
      <c r="DNL55" s="42"/>
      <c r="DNM55" s="42"/>
      <c r="DNN55" s="42"/>
      <c r="DNO55" s="2"/>
      <c r="DNP55" s="15"/>
      <c r="DNQ55" s="42"/>
      <c r="DNR55" s="2"/>
      <c r="DNS55" s="2"/>
      <c r="DNT55" s="2"/>
      <c r="DNU55" s="2"/>
      <c r="DNV55" s="42"/>
      <c r="DNW55" s="42"/>
      <c r="DNX55" s="42"/>
      <c r="DNY55" s="42"/>
      <c r="DNZ55" s="42"/>
      <c r="DOA55" s="42"/>
      <c r="DOB55" s="42"/>
      <c r="DOC55" s="42"/>
      <c r="DOD55" s="42"/>
      <c r="DOE55" s="42"/>
      <c r="DOF55" s="42"/>
      <c r="DOG55" s="42"/>
      <c r="DOH55" s="42"/>
      <c r="DOI55" s="42"/>
      <c r="DOJ55" s="42"/>
      <c r="DOK55" s="42"/>
      <c r="DOL55" s="42"/>
      <c r="DOM55" s="42"/>
      <c r="DON55" s="42"/>
      <c r="DOO55" s="42"/>
      <c r="DOP55" s="42"/>
      <c r="DOQ55" s="42"/>
      <c r="DOR55" s="42"/>
      <c r="DOS55" s="2"/>
      <c r="DOT55" s="15"/>
      <c r="DOU55" s="42"/>
      <c r="DOV55" s="2"/>
      <c r="DOW55" s="2"/>
      <c r="DOX55" s="2"/>
      <c r="DOY55" s="2"/>
      <c r="DOZ55" s="42"/>
      <c r="DPA55" s="42"/>
      <c r="DPB55" s="42"/>
      <c r="DPC55" s="42"/>
      <c r="DPD55" s="42"/>
      <c r="DPE55" s="42"/>
      <c r="DPF55" s="42"/>
      <c r="DPG55" s="42"/>
      <c r="DPH55" s="42"/>
      <c r="DPI55" s="42"/>
      <c r="DPJ55" s="42"/>
      <c r="DPK55" s="42"/>
      <c r="DPL55" s="42"/>
      <c r="DPM55" s="42"/>
      <c r="DPN55" s="42"/>
      <c r="DPO55" s="42"/>
      <c r="DPP55" s="42"/>
      <c r="DPQ55" s="42"/>
      <c r="DPR55" s="42"/>
      <c r="DPS55" s="42"/>
      <c r="DPT55" s="42"/>
      <c r="DPU55" s="42"/>
      <c r="DPV55" s="42"/>
      <c r="DPW55" s="2"/>
      <c r="DPX55" s="15"/>
      <c r="DPY55" s="42"/>
      <c r="DPZ55" s="2"/>
      <c r="DQA55" s="2"/>
      <c r="DQB55" s="2"/>
      <c r="DQC55" s="2"/>
      <c r="DQD55" s="42"/>
      <c r="DQE55" s="42"/>
      <c r="DQF55" s="42"/>
      <c r="DQG55" s="42"/>
      <c r="DQH55" s="42"/>
      <c r="DQI55" s="42"/>
      <c r="DQJ55" s="42"/>
      <c r="DQK55" s="42"/>
      <c r="DQL55" s="42"/>
      <c r="DQM55" s="42"/>
      <c r="DQN55" s="42"/>
      <c r="DQO55" s="42"/>
      <c r="DQP55" s="42"/>
      <c r="DQQ55" s="42"/>
      <c r="DQR55" s="42"/>
      <c r="DQS55" s="42"/>
      <c r="DQT55" s="42"/>
      <c r="DQU55" s="42"/>
      <c r="DQV55" s="42"/>
      <c r="DQW55" s="42"/>
      <c r="DQX55" s="42"/>
      <c r="DQY55" s="42"/>
      <c r="DQZ55" s="42"/>
      <c r="DRA55" s="2"/>
      <c r="DRB55" s="15"/>
      <c r="DRC55" s="42"/>
      <c r="DRD55" s="2"/>
      <c r="DRE55" s="2"/>
      <c r="DRF55" s="2"/>
      <c r="DRG55" s="2"/>
      <c r="DRH55" s="42"/>
      <c r="DRI55" s="42"/>
      <c r="DRJ55" s="42"/>
      <c r="DRK55" s="42"/>
      <c r="DRL55" s="42"/>
      <c r="DRM55" s="42"/>
      <c r="DRN55" s="42"/>
      <c r="DRO55" s="42"/>
      <c r="DRP55" s="42"/>
      <c r="DRQ55" s="42"/>
      <c r="DRR55" s="42"/>
      <c r="DRS55" s="42"/>
      <c r="DRT55" s="42"/>
      <c r="DRU55" s="42"/>
      <c r="DRV55" s="42"/>
      <c r="DRW55" s="42"/>
      <c r="DRX55" s="42"/>
      <c r="DRY55" s="42"/>
      <c r="DRZ55" s="42"/>
      <c r="DSA55" s="42"/>
      <c r="DSB55" s="42"/>
      <c r="DSC55" s="42"/>
      <c r="DSD55" s="42"/>
      <c r="DSE55" s="2"/>
      <c r="DSF55" s="15"/>
      <c r="DSG55" s="42"/>
      <c r="DSH55" s="2"/>
      <c r="DSI55" s="2"/>
      <c r="DSJ55" s="2"/>
      <c r="DSK55" s="2"/>
      <c r="DSL55" s="42"/>
      <c r="DSM55" s="42"/>
      <c r="DSN55" s="42"/>
      <c r="DSO55" s="42"/>
      <c r="DSP55" s="42"/>
      <c r="DSQ55" s="42"/>
      <c r="DSR55" s="42"/>
      <c r="DSS55" s="42"/>
      <c r="DST55" s="42"/>
      <c r="DSU55" s="42"/>
      <c r="DSV55" s="42"/>
      <c r="DSW55" s="42"/>
      <c r="DSX55" s="42"/>
      <c r="DSY55" s="42"/>
      <c r="DSZ55" s="42"/>
      <c r="DTA55" s="42"/>
      <c r="DTB55" s="42"/>
      <c r="DTC55" s="42"/>
      <c r="DTD55" s="42"/>
      <c r="DTE55" s="42"/>
      <c r="DTF55" s="42"/>
      <c r="DTG55" s="42"/>
      <c r="DTH55" s="42"/>
      <c r="DTI55" s="2"/>
      <c r="DTJ55" s="15"/>
      <c r="DTK55" s="42"/>
      <c r="DTL55" s="2"/>
      <c r="DTM55" s="2"/>
      <c r="DTN55" s="2"/>
      <c r="DTO55" s="2"/>
      <c r="DTP55" s="42"/>
      <c r="DTQ55" s="42"/>
      <c r="DTR55" s="42"/>
      <c r="DTS55" s="42"/>
      <c r="DTT55" s="42"/>
      <c r="DTU55" s="42"/>
      <c r="DTV55" s="42"/>
      <c r="DTW55" s="42"/>
      <c r="DTX55" s="42"/>
      <c r="DTY55" s="42"/>
      <c r="DTZ55" s="42"/>
      <c r="DUA55" s="42"/>
      <c r="DUB55" s="42"/>
      <c r="DUC55" s="42"/>
      <c r="DUD55" s="42"/>
      <c r="DUE55" s="42"/>
      <c r="DUF55" s="42"/>
      <c r="DUG55" s="42"/>
      <c r="DUH55" s="42"/>
      <c r="DUI55" s="42"/>
      <c r="DUJ55" s="42"/>
      <c r="DUK55" s="42"/>
      <c r="DUL55" s="42"/>
      <c r="DUM55" s="2"/>
      <c r="DUN55" s="15"/>
      <c r="DUO55" s="42"/>
      <c r="DUP55" s="2"/>
      <c r="DUQ55" s="2"/>
      <c r="DUR55" s="2"/>
      <c r="DUS55" s="2"/>
      <c r="DUT55" s="42"/>
      <c r="DUU55" s="42"/>
      <c r="DUV55" s="42"/>
      <c r="DUW55" s="42"/>
      <c r="DUX55" s="42"/>
      <c r="DUY55" s="42"/>
      <c r="DUZ55" s="42"/>
      <c r="DVA55" s="42"/>
      <c r="DVB55" s="42"/>
      <c r="DVC55" s="42"/>
      <c r="DVD55" s="42"/>
      <c r="DVE55" s="42"/>
      <c r="DVF55" s="42"/>
      <c r="DVG55" s="42"/>
      <c r="DVH55" s="42"/>
      <c r="DVI55" s="42"/>
      <c r="DVJ55" s="42"/>
      <c r="DVK55" s="42"/>
      <c r="DVL55" s="42"/>
      <c r="DVM55" s="42"/>
      <c r="DVN55" s="42"/>
      <c r="DVO55" s="42"/>
      <c r="DVP55" s="42"/>
      <c r="DVQ55" s="2"/>
      <c r="DVR55" s="15"/>
      <c r="DVS55" s="42"/>
      <c r="DVT55" s="2"/>
      <c r="DVU55" s="2"/>
      <c r="DVV55" s="2"/>
      <c r="DVW55" s="2"/>
      <c r="DVX55" s="42"/>
      <c r="DVY55" s="42"/>
      <c r="DVZ55" s="42"/>
      <c r="DWA55" s="42"/>
      <c r="DWB55" s="42"/>
      <c r="DWC55" s="42"/>
      <c r="DWD55" s="42"/>
      <c r="DWE55" s="42"/>
      <c r="DWF55" s="42"/>
      <c r="DWG55" s="42"/>
      <c r="DWH55" s="42"/>
      <c r="DWI55" s="42"/>
      <c r="DWJ55" s="42"/>
      <c r="DWK55" s="42"/>
      <c r="DWL55" s="42"/>
      <c r="DWM55" s="42"/>
      <c r="DWN55" s="42"/>
      <c r="DWO55" s="42"/>
      <c r="DWP55" s="42"/>
      <c r="DWQ55" s="42"/>
      <c r="DWR55" s="42"/>
      <c r="DWS55" s="42"/>
      <c r="DWT55" s="42"/>
      <c r="DWU55" s="2"/>
      <c r="DWV55" s="15"/>
      <c r="DWW55" s="42"/>
      <c r="DWX55" s="2"/>
      <c r="DWY55" s="2"/>
      <c r="DWZ55" s="2"/>
      <c r="DXA55" s="2"/>
      <c r="DXB55" s="42"/>
      <c r="DXC55" s="42"/>
      <c r="DXD55" s="42"/>
      <c r="DXE55" s="42"/>
      <c r="DXF55" s="42"/>
      <c r="DXG55" s="42"/>
      <c r="DXH55" s="42"/>
      <c r="DXI55" s="42"/>
      <c r="DXJ55" s="42"/>
      <c r="DXK55" s="42"/>
      <c r="DXL55" s="42"/>
      <c r="DXM55" s="42"/>
      <c r="DXN55" s="42"/>
      <c r="DXO55" s="42"/>
      <c r="DXP55" s="42"/>
      <c r="DXQ55" s="42"/>
      <c r="DXR55" s="42"/>
      <c r="DXS55" s="42"/>
      <c r="DXT55" s="42"/>
      <c r="DXU55" s="42"/>
      <c r="DXV55" s="42"/>
      <c r="DXW55" s="42"/>
      <c r="DXX55" s="42"/>
      <c r="DXY55" s="2"/>
      <c r="DXZ55" s="15"/>
      <c r="DYA55" s="42"/>
      <c r="DYB55" s="2"/>
      <c r="DYC55" s="2"/>
      <c r="DYD55" s="2"/>
      <c r="DYE55" s="2"/>
      <c r="DYF55" s="42"/>
      <c r="DYG55" s="42"/>
      <c r="DYH55" s="42"/>
      <c r="DYI55" s="42"/>
      <c r="DYJ55" s="42"/>
      <c r="DYK55" s="42"/>
      <c r="DYL55" s="42"/>
      <c r="DYM55" s="42"/>
      <c r="DYN55" s="42"/>
      <c r="DYO55" s="42"/>
      <c r="DYP55" s="42"/>
      <c r="DYQ55" s="42"/>
      <c r="DYR55" s="42"/>
      <c r="DYS55" s="42"/>
      <c r="DYT55" s="42"/>
      <c r="DYU55" s="42"/>
      <c r="DYV55" s="42"/>
      <c r="DYW55" s="42"/>
      <c r="DYX55" s="42"/>
      <c r="DYY55" s="42"/>
      <c r="DYZ55" s="42"/>
      <c r="DZA55" s="42"/>
      <c r="DZB55" s="42"/>
      <c r="DZC55" s="2"/>
      <c r="DZD55" s="15"/>
      <c r="DZE55" s="42"/>
      <c r="DZF55" s="2"/>
      <c r="DZG55" s="2"/>
      <c r="DZH55" s="2"/>
      <c r="DZI55" s="2"/>
      <c r="DZJ55" s="42"/>
      <c r="DZK55" s="42"/>
      <c r="DZL55" s="42"/>
      <c r="DZM55" s="42"/>
      <c r="DZN55" s="42"/>
      <c r="DZO55" s="42"/>
      <c r="DZP55" s="42"/>
      <c r="DZQ55" s="42"/>
      <c r="DZR55" s="42"/>
      <c r="DZS55" s="42"/>
      <c r="DZT55" s="42"/>
      <c r="DZU55" s="42"/>
      <c r="DZV55" s="42"/>
      <c r="DZW55" s="42"/>
      <c r="DZX55" s="42"/>
      <c r="DZY55" s="42"/>
      <c r="DZZ55" s="42"/>
      <c r="EAA55" s="42"/>
      <c r="EAB55" s="42"/>
      <c r="EAC55" s="42"/>
      <c r="EAD55" s="42"/>
      <c r="EAE55" s="42"/>
      <c r="EAF55" s="42"/>
      <c r="EAG55" s="2"/>
      <c r="EAH55" s="15"/>
      <c r="EAI55" s="42"/>
      <c r="EAJ55" s="2"/>
      <c r="EAK55" s="2"/>
      <c r="EAL55" s="2"/>
      <c r="EAM55" s="2"/>
      <c r="EAN55" s="42"/>
      <c r="EAO55" s="42"/>
      <c r="EAP55" s="42"/>
      <c r="EAQ55" s="42"/>
      <c r="EAR55" s="42"/>
      <c r="EAS55" s="42"/>
      <c r="EAT55" s="42"/>
      <c r="EAU55" s="42"/>
      <c r="EAV55" s="42"/>
      <c r="EAW55" s="42"/>
      <c r="EAX55" s="42"/>
      <c r="EAY55" s="42"/>
      <c r="EAZ55" s="42"/>
      <c r="EBA55" s="42"/>
      <c r="EBB55" s="42"/>
      <c r="EBC55" s="42"/>
      <c r="EBD55" s="42"/>
      <c r="EBE55" s="42"/>
      <c r="EBF55" s="42"/>
      <c r="EBG55" s="42"/>
      <c r="EBH55" s="42"/>
      <c r="EBI55" s="42"/>
      <c r="EBJ55" s="42"/>
      <c r="EBK55" s="2"/>
      <c r="EBL55" s="15"/>
      <c r="EBM55" s="42"/>
      <c r="EBN55" s="2"/>
      <c r="EBO55" s="2"/>
      <c r="EBP55" s="2"/>
      <c r="EBQ55" s="2"/>
      <c r="EBR55" s="42"/>
      <c r="EBS55" s="42"/>
      <c r="EBT55" s="42"/>
      <c r="EBU55" s="42"/>
      <c r="EBV55" s="42"/>
      <c r="EBW55" s="42"/>
      <c r="EBX55" s="42"/>
      <c r="EBY55" s="42"/>
      <c r="EBZ55" s="42"/>
      <c r="ECA55" s="42"/>
      <c r="ECB55" s="42"/>
      <c r="ECC55" s="42"/>
      <c r="ECD55" s="42"/>
      <c r="ECE55" s="42"/>
      <c r="ECF55" s="42"/>
      <c r="ECG55" s="42"/>
      <c r="ECH55" s="42"/>
      <c r="ECI55" s="42"/>
      <c r="ECJ55" s="42"/>
      <c r="ECK55" s="42"/>
      <c r="ECL55" s="42"/>
      <c r="ECM55" s="42"/>
      <c r="ECN55" s="42"/>
      <c r="ECO55" s="2"/>
      <c r="ECP55" s="15"/>
      <c r="ECQ55" s="42"/>
      <c r="ECR55" s="2"/>
      <c r="ECS55" s="2"/>
      <c r="ECT55" s="2"/>
      <c r="ECU55" s="2"/>
      <c r="ECV55" s="42"/>
      <c r="ECW55" s="42"/>
      <c r="ECX55" s="42"/>
      <c r="ECY55" s="42"/>
      <c r="ECZ55" s="42"/>
      <c r="EDA55" s="42"/>
      <c r="EDB55" s="42"/>
      <c r="EDC55" s="42"/>
      <c r="EDD55" s="42"/>
      <c r="EDE55" s="42"/>
      <c r="EDF55" s="42"/>
      <c r="EDG55" s="42"/>
      <c r="EDH55" s="42"/>
      <c r="EDI55" s="42"/>
      <c r="EDJ55" s="42"/>
      <c r="EDK55" s="42"/>
      <c r="EDL55" s="42"/>
      <c r="EDM55" s="42"/>
      <c r="EDN55" s="42"/>
      <c r="EDO55" s="42"/>
      <c r="EDP55" s="42"/>
      <c r="EDQ55" s="42"/>
      <c r="EDR55" s="42"/>
      <c r="EDS55" s="2"/>
      <c r="EDT55" s="15"/>
      <c r="EDU55" s="42"/>
      <c r="EDV55" s="2"/>
      <c r="EDW55" s="2"/>
      <c r="EDX55" s="2"/>
      <c r="EDY55" s="2"/>
      <c r="EDZ55" s="42"/>
      <c r="EEA55" s="42"/>
      <c r="EEB55" s="42"/>
      <c r="EEC55" s="42"/>
      <c r="EED55" s="42"/>
      <c r="EEE55" s="42"/>
      <c r="EEF55" s="42"/>
      <c r="EEG55" s="42"/>
      <c r="EEH55" s="42"/>
      <c r="EEI55" s="42"/>
      <c r="EEJ55" s="42"/>
      <c r="EEK55" s="42"/>
      <c r="EEL55" s="42"/>
      <c r="EEM55" s="42"/>
      <c r="EEN55" s="42"/>
      <c r="EEO55" s="42"/>
      <c r="EEP55" s="42"/>
      <c r="EEQ55" s="42"/>
      <c r="EER55" s="42"/>
      <c r="EES55" s="42"/>
      <c r="EET55" s="42"/>
      <c r="EEU55" s="42"/>
      <c r="EEV55" s="42"/>
      <c r="EEW55" s="2"/>
      <c r="EEX55" s="15"/>
      <c r="EEY55" s="42"/>
      <c r="EEZ55" s="2"/>
      <c r="EFA55" s="2"/>
      <c r="EFB55" s="2"/>
      <c r="EFC55" s="2"/>
      <c r="EFD55" s="42"/>
      <c r="EFE55" s="42"/>
      <c r="EFF55" s="42"/>
      <c r="EFG55" s="42"/>
      <c r="EFH55" s="42"/>
      <c r="EFI55" s="42"/>
      <c r="EFJ55" s="42"/>
      <c r="EFK55" s="42"/>
      <c r="EFL55" s="42"/>
      <c r="EFM55" s="42"/>
      <c r="EFN55" s="42"/>
      <c r="EFO55" s="42"/>
      <c r="EFP55" s="42"/>
      <c r="EFQ55" s="42"/>
      <c r="EFR55" s="42"/>
      <c r="EFS55" s="42"/>
      <c r="EFT55" s="42"/>
      <c r="EFU55" s="42"/>
      <c r="EFV55" s="42"/>
      <c r="EFW55" s="42"/>
      <c r="EFX55" s="42"/>
      <c r="EFY55" s="42"/>
      <c r="EFZ55" s="42"/>
      <c r="EGA55" s="2"/>
      <c r="EGB55" s="15"/>
      <c r="EGC55" s="42"/>
      <c r="EGD55" s="2"/>
      <c r="EGE55" s="2"/>
      <c r="EGF55" s="2"/>
      <c r="EGG55" s="2"/>
      <c r="EGH55" s="42"/>
      <c r="EGI55" s="42"/>
      <c r="EGJ55" s="42"/>
      <c r="EGK55" s="42"/>
      <c r="EGL55" s="42"/>
      <c r="EGM55" s="42"/>
      <c r="EGN55" s="42"/>
      <c r="EGO55" s="42"/>
      <c r="EGP55" s="42"/>
      <c r="EGQ55" s="42"/>
      <c r="EGR55" s="42"/>
      <c r="EGS55" s="42"/>
      <c r="EGT55" s="42"/>
      <c r="EGU55" s="42"/>
      <c r="EGV55" s="42"/>
      <c r="EGW55" s="42"/>
      <c r="EGX55" s="42"/>
      <c r="EGY55" s="42"/>
      <c r="EGZ55" s="42"/>
      <c r="EHA55" s="42"/>
      <c r="EHB55" s="42"/>
      <c r="EHC55" s="42"/>
      <c r="EHD55" s="42"/>
      <c r="EHE55" s="2"/>
      <c r="EHF55" s="15"/>
      <c r="EHG55" s="42"/>
      <c r="EHH55" s="2"/>
      <c r="EHI55" s="2"/>
      <c r="EHJ55" s="2"/>
      <c r="EHK55" s="2"/>
      <c r="EHL55" s="42"/>
      <c r="EHM55" s="42"/>
      <c r="EHN55" s="42"/>
      <c r="EHO55" s="42"/>
      <c r="EHP55" s="42"/>
      <c r="EHQ55" s="42"/>
      <c r="EHR55" s="42"/>
      <c r="EHS55" s="42"/>
      <c r="EHT55" s="42"/>
      <c r="EHU55" s="42"/>
      <c r="EHV55" s="42"/>
      <c r="EHW55" s="42"/>
      <c r="EHX55" s="42"/>
      <c r="EHY55" s="42"/>
      <c r="EHZ55" s="42"/>
      <c r="EIA55" s="42"/>
      <c r="EIB55" s="42"/>
      <c r="EIC55" s="42"/>
      <c r="EID55" s="42"/>
      <c r="EIE55" s="42"/>
      <c r="EIF55" s="42"/>
      <c r="EIG55" s="42"/>
      <c r="EIH55" s="42"/>
      <c r="EII55" s="2"/>
      <c r="EIJ55" s="15"/>
      <c r="EIK55" s="42"/>
      <c r="EIL55" s="2"/>
      <c r="EIM55" s="2"/>
      <c r="EIN55" s="2"/>
      <c r="EIO55" s="2"/>
      <c r="EIP55" s="42"/>
      <c r="EIQ55" s="42"/>
      <c r="EIR55" s="42"/>
      <c r="EIS55" s="42"/>
      <c r="EIT55" s="42"/>
      <c r="EIU55" s="42"/>
      <c r="EIV55" s="42"/>
      <c r="EIW55" s="42"/>
      <c r="EIX55" s="42"/>
      <c r="EIY55" s="42"/>
      <c r="EIZ55" s="42"/>
      <c r="EJA55" s="42"/>
      <c r="EJB55" s="42"/>
      <c r="EJC55" s="42"/>
      <c r="EJD55" s="42"/>
      <c r="EJE55" s="42"/>
      <c r="EJF55" s="42"/>
      <c r="EJG55" s="42"/>
      <c r="EJH55" s="42"/>
      <c r="EJI55" s="42"/>
      <c r="EJJ55" s="42"/>
      <c r="EJK55" s="42"/>
      <c r="EJL55" s="42"/>
      <c r="EJM55" s="2"/>
      <c r="EJN55" s="15"/>
      <c r="EJO55" s="42"/>
      <c r="EJP55" s="2"/>
      <c r="EJQ55" s="2"/>
      <c r="EJR55" s="2"/>
      <c r="EJS55" s="2"/>
      <c r="EJT55" s="42"/>
      <c r="EJU55" s="42"/>
      <c r="EJV55" s="42"/>
      <c r="EJW55" s="42"/>
      <c r="EJX55" s="42"/>
      <c r="EJY55" s="42"/>
      <c r="EJZ55" s="42"/>
      <c r="EKA55" s="42"/>
      <c r="EKB55" s="42"/>
      <c r="EKC55" s="42"/>
      <c r="EKD55" s="42"/>
      <c r="EKE55" s="42"/>
      <c r="EKF55" s="42"/>
      <c r="EKG55" s="42"/>
      <c r="EKH55" s="42"/>
      <c r="EKI55" s="42"/>
      <c r="EKJ55" s="42"/>
      <c r="EKK55" s="42"/>
      <c r="EKL55" s="42"/>
      <c r="EKM55" s="42"/>
      <c r="EKN55" s="42"/>
      <c r="EKO55" s="42"/>
      <c r="EKP55" s="42"/>
      <c r="EKQ55" s="2"/>
      <c r="EKR55" s="15"/>
      <c r="EKS55" s="42"/>
      <c r="EKT55" s="2"/>
      <c r="EKU55" s="2"/>
      <c r="EKV55" s="2"/>
      <c r="EKW55" s="2"/>
      <c r="EKX55" s="42"/>
      <c r="EKY55" s="42"/>
      <c r="EKZ55" s="42"/>
      <c r="ELA55" s="42"/>
      <c r="ELB55" s="42"/>
      <c r="ELC55" s="42"/>
      <c r="ELD55" s="42"/>
      <c r="ELE55" s="42"/>
      <c r="ELF55" s="42"/>
      <c r="ELG55" s="42"/>
      <c r="ELH55" s="42"/>
      <c r="ELI55" s="42"/>
      <c r="ELJ55" s="42"/>
      <c r="ELK55" s="42"/>
      <c r="ELL55" s="42"/>
      <c r="ELM55" s="42"/>
      <c r="ELN55" s="42"/>
      <c r="ELO55" s="42"/>
      <c r="ELP55" s="42"/>
      <c r="ELQ55" s="42"/>
      <c r="ELR55" s="42"/>
      <c r="ELS55" s="42"/>
      <c r="ELT55" s="42"/>
      <c r="ELU55" s="2"/>
      <c r="ELV55" s="15"/>
      <c r="ELW55" s="42"/>
      <c r="ELX55" s="2"/>
      <c r="ELY55" s="2"/>
      <c r="ELZ55" s="2"/>
      <c r="EMA55" s="2"/>
      <c r="EMB55" s="42"/>
      <c r="EMC55" s="42"/>
      <c r="EMD55" s="42"/>
      <c r="EME55" s="42"/>
      <c r="EMF55" s="42"/>
      <c r="EMG55" s="42"/>
      <c r="EMH55" s="42"/>
      <c r="EMI55" s="42"/>
      <c r="EMJ55" s="42"/>
      <c r="EMK55" s="42"/>
      <c r="EML55" s="42"/>
      <c r="EMM55" s="42"/>
      <c r="EMN55" s="42"/>
      <c r="EMO55" s="42"/>
      <c r="EMP55" s="42"/>
      <c r="EMQ55" s="42"/>
      <c r="EMR55" s="42"/>
      <c r="EMS55" s="42"/>
      <c r="EMT55" s="42"/>
      <c r="EMU55" s="42"/>
      <c r="EMV55" s="42"/>
      <c r="EMW55" s="42"/>
      <c r="EMX55" s="42"/>
      <c r="EMY55" s="2"/>
      <c r="EMZ55" s="15"/>
      <c r="ENA55" s="42"/>
      <c r="ENB55" s="2"/>
      <c r="ENC55" s="2"/>
      <c r="END55" s="2"/>
      <c r="ENE55" s="2"/>
      <c r="ENF55" s="42"/>
      <c r="ENG55" s="42"/>
      <c r="ENH55" s="42"/>
      <c r="ENI55" s="42"/>
      <c r="ENJ55" s="42"/>
      <c r="ENK55" s="42"/>
      <c r="ENL55" s="42"/>
      <c r="ENM55" s="42"/>
      <c r="ENN55" s="42"/>
      <c r="ENO55" s="42"/>
      <c r="ENP55" s="42"/>
      <c r="ENQ55" s="42"/>
      <c r="ENR55" s="42"/>
      <c r="ENS55" s="42"/>
      <c r="ENT55" s="42"/>
      <c r="ENU55" s="42"/>
      <c r="ENV55" s="42"/>
      <c r="ENW55" s="42"/>
      <c r="ENX55" s="42"/>
      <c r="ENY55" s="42"/>
      <c r="ENZ55" s="42"/>
      <c r="EOA55" s="42"/>
      <c r="EOB55" s="42"/>
      <c r="EOC55" s="2"/>
      <c r="EOD55" s="15"/>
      <c r="EOE55" s="42"/>
      <c r="EOF55" s="2"/>
      <c r="EOG55" s="2"/>
      <c r="EOH55" s="2"/>
      <c r="EOI55" s="2"/>
      <c r="EOJ55" s="42"/>
      <c r="EOK55" s="42"/>
      <c r="EOL55" s="42"/>
      <c r="EOM55" s="42"/>
      <c r="EON55" s="42"/>
      <c r="EOO55" s="42"/>
      <c r="EOP55" s="42"/>
      <c r="EOQ55" s="42"/>
      <c r="EOR55" s="42"/>
      <c r="EOS55" s="42"/>
      <c r="EOT55" s="42"/>
      <c r="EOU55" s="42"/>
      <c r="EOV55" s="42"/>
      <c r="EOW55" s="42"/>
      <c r="EOX55" s="42"/>
      <c r="EOY55" s="42"/>
      <c r="EOZ55" s="42"/>
      <c r="EPA55" s="42"/>
      <c r="EPB55" s="42"/>
      <c r="EPC55" s="42"/>
      <c r="EPD55" s="42"/>
      <c r="EPE55" s="42"/>
      <c r="EPF55" s="42"/>
      <c r="EPG55" s="2"/>
      <c r="EPH55" s="15"/>
      <c r="EPI55" s="42"/>
      <c r="EPJ55" s="2"/>
      <c r="EPK55" s="2"/>
      <c r="EPL55" s="2"/>
      <c r="EPM55" s="2"/>
      <c r="EPN55" s="42"/>
      <c r="EPO55" s="42"/>
      <c r="EPP55" s="42"/>
      <c r="EPQ55" s="42"/>
      <c r="EPR55" s="42"/>
      <c r="EPS55" s="42"/>
      <c r="EPT55" s="42"/>
      <c r="EPU55" s="42"/>
      <c r="EPV55" s="42"/>
      <c r="EPW55" s="42"/>
      <c r="EPX55" s="42"/>
      <c r="EPY55" s="42"/>
      <c r="EPZ55" s="42"/>
      <c r="EQA55" s="42"/>
      <c r="EQB55" s="42"/>
      <c r="EQC55" s="42"/>
      <c r="EQD55" s="42"/>
      <c r="EQE55" s="42"/>
      <c r="EQF55" s="42"/>
      <c r="EQG55" s="42"/>
      <c r="EQH55" s="42"/>
      <c r="EQI55" s="42"/>
      <c r="EQJ55" s="42"/>
      <c r="EQK55" s="2"/>
      <c r="EQL55" s="15"/>
      <c r="EQM55" s="42"/>
      <c r="EQN55" s="2"/>
      <c r="EQO55" s="2"/>
      <c r="EQP55" s="2"/>
      <c r="EQQ55" s="2"/>
      <c r="EQR55" s="42"/>
      <c r="EQS55" s="42"/>
      <c r="EQT55" s="42"/>
      <c r="EQU55" s="42"/>
      <c r="EQV55" s="42"/>
      <c r="EQW55" s="42"/>
      <c r="EQX55" s="42"/>
      <c r="EQY55" s="42"/>
      <c r="EQZ55" s="42"/>
      <c r="ERA55" s="42"/>
      <c r="ERB55" s="42"/>
      <c r="ERC55" s="42"/>
      <c r="ERD55" s="42"/>
      <c r="ERE55" s="42"/>
      <c r="ERF55" s="42"/>
      <c r="ERG55" s="42"/>
      <c r="ERH55" s="42"/>
      <c r="ERI55" s="42"/>
      <c r="ERJ55" s="42"/>
      <c r="ERK55" s="42"/>
      <c r="ERL55" s="42"/>
      <c r="ERM55" s="42"/>
      <c r="ERN55" s="42"/>
      <c r="ERO55" s="2"/>
      <c r="ERP55" s="15"/>
      <c r="ERQ55" s="42"/>
      <c r="ERR55" s="2"/>
      <c r="ERS55" s="2"/>
      <c r="ERT55" s="2"/>
      <c r="ERU55" s="2"/>
      <c r="ERV55" s="42"/>
      <c r="ERW55" s="42"/>
      <c r="ERX55" s="42"/>
      <c r="ERY55" s="42"/>
      <c r="ERZ55" s="42"/>
      <c r="ESA55" s="42"/>
      <c r="ESB55" s="42"/>
      <c r="ESC55" s="42"/>
      <c r="ESD55" s="42"/>
      <c r="ESE55" s="42"/>
      <c r="ESF55" s="42"/>
      <c r="ESG55" s="42"/>
      <c r="ESH55" s="42"/>
      <c r="ESI55" s="42"/>
      <c r="ESJ55" s="42"/>
      <c r="ESK55" s="42"/>
      <c r="ESL55" s="42"/>
      <c r="ESM55" s="42"/>
      <c r="ESN55" s="42"/>
      <c r="ESO55" s="42"/>
      <c r="ESP55" s="42"/>
      <c r="ESQ55" s="42"/>
      <c r="ESR55" s="42"/>
      <c r="ESS55" s="2"/>
      <c r="EST55" s="15"/>
      <c r="ESU55" s="42"/>
      <c r="ESV55" s="2"/>
      <c r="ESW55" s="2"/>
      <c r="ESX55" s="2"/>
      <c r="ESY55" s="2"/>
      <c r="ESZ55" s="42"/>
      <c r="ETA55" s="42"/>
      <c r="ETB55" s="42"/>
      <c r="ETC55" s="42"/>
      <c r="ETD55" s="42"/>
      <c r="ETE55" s="42"/>
      <c r="ETF55" s="42"/>
      <c r="ETG55" s="42"/>
      <c r="ETH55" s="42"/>
      <c r="ETI55" s="42"/>
      <c r="ETJ55" s="42"/>
      <c r="ETK55" s="42"/>
      <c r="ETL55" s="42"/>
      <c r="ETM55" s="42"/>
      <c r="ETN55" s="42"/>
      <c r="ETO55" s="42"/>
      <c r="ETP55" s="42"/>
      <c r="ETQ55" s="42"/>
      <c r="ETR55" s="42"/>
      <c r="ETS55" s="42"/>
      <c r="ETT55" s="42"/>
      <c r="ETU55" s="42"/>
      <c r="ETV55" s="42"/>
      <c r="ETW55" s="2"/>
      <c r="ETX55" s="15"/>
      <c r="ETY55" s="42"/>
      <c r="ETZ55" s="2"/>
      <c r="EUA55" s="2"/>
      <c r="EUB55" s="2"/>
      <c r="EUC55" s="2"/>
      <c r="EUD55" s="42"/>
      <c r="EUE55" s="42"/>
      <c r="EUF55" s="42"/>
      <c r="EUG55" s="42"/>
      <c r="EUH55" s="42"/>
      <c r="EUI55" s="42"/>
      <c r="EUJ55" s="42"/>
      <c r="EUK55" s="42"/>
      <c r="EUL55" s="42"/>
      <c r="EUM55" s="42"/>
      <c r="EUN55" s="42"/>
      <c r="EUO55" s="42"/>
      <c r="EUP55" s="42"/>
      <c r="EUQ55" s="42"/>
      <c r="EUR55" s="42"/>
      <c r="EUS55" s="42"/>
      <c r="EUT55" s="42"/>
      <c r="EUU55" s="42"/>
      <c r="EUV55" s="42"/>
      <c r="EUW55" s="42"/>
      <c r="EUX55" s="42"/>
      <c r="EUY55" s="42"/>
      <c r="EUZ55" s="42"/>
      <c r="EVA55" s="2"/>
      <c r="EVB55" s="15"/>
      <c r="EVC55" s="42"/>
      <c r="EVD55" s="2"/>
      <c r="EVE55" s="2"/>
      <c r="EVF55" s="2"/>
      <c r="EVG55" s="2"/>
      <c r="EVH55" s="42"/>
      <c r="EVI55" s="42"/>
      <c r="EVJ55" s="42"/>
      <c r="EVK55" s="42"/>
      <c r="EVL55" s="42"/>
      <c r="EVM55" s="42"/>
      <c r="EVN55" s="42"/>
      <c r="EVO55" s="42"/>
      <c r="EVP55" s="42"/>
      <c r="EVQ55" s="42"/>
      <c r="EVR55" s="42"/>
      <c r="EVS55" s="42"/>
      <c r="EVT55" s="42"/>
      <c r="EVU55" s="42"/>
      <c r="EVV55" s="42"/>
      <c r="EVW55" s="42"/>
      <c r="EVX55" s="42"/>
      <c r="EVY55" s="42"/>
      <c r="EVZ55" s="42"/>
      <c r="EWA55" s="42"/>
      <c r="EWB55" s="42"/>
      <c r="EWC55" s="42"/>
      <c r="EWD55" s="42"/>
      <c r="EWE55" s="2"/>
      <c r="EWF55" s="15"/>
      <c r="EWG55" s="42"/>
      <c r="EWH55" s="2"/>
      <c r="EWI55" s="2"/>
      <c r="EWJ55" s="2"/>
      <c r="EWK55" s="2"/>
      <c r="EWL55" s="42"/>
      <c r="EWM55" s="42"/>
      <c r="EWN55" s="42"/>
      <c r="EWO55" s="42"/>
      <c r="EWP55" s="42"/>
      <c r="EWQ55" s="42"/>
      <c r="EWR55" s="42"/>
      <c r="EWS55" s="42"/>
      <c r="EWT55" s="42"/>
      <c r="EWU55" s="42"/>
      <c r="EWV55" s="42"/>
      <c r="EWW55" s="42"/>
      <c r="EWX55" s="42"/>
      <c r="EWY55" s="42"/>
      <c r="EWZ55" s="42"/>
      <c r="EXA55" s="42"/>
      <c r="EXB55" s="42"/>
      <c r="EXC55" s="42"/>
      <c r="EXD55" s="42"/>
      <c r="EXE55" s="42"/>
      <c r="EXF55" s="42"/>
      <c r="EXG55" s="42"/>
      <c r="EXH55" s="42"/>
      <c r="EXI55" s="2"/>
      <c r="EXJ55" s="15"/>
      <c r="EXK55" s="42"/>
      <c r="EXL55" s="2"/>
      <c r="EXM55" s="2"/>
      <c r="EXN55" s="2"/>
      <c r="EXO55" s="2"/>
      <c r="EXP55" s="42"/>
      <c r="EXQ55" s="42"/>
      <c r="EXR55" s="42"/>
      <c r="EXS55" s="42"/>
      <c r="EXT55" s="42"/>
      <c r="EXU55" s="42"/>
      <c r="EXV55" s="42"/>
      <c r="EXW55" s="42"/>
      <c r="EXX55" s="42"/>
      <c r="EXY55" s="42"/>
      <c r="EXZ55" s="42"/>
      <c r="EYA55" s="42"/>
      <c r="EYB55" s="42"/>
      <c r="EYC55" s="42"/>
      <c r="EYD55" s="42"/>
      <c r="EYE55" s="42"/>
      <c r="EYF55" s="42"/>
      <c r="EYG55" s="42"/>
      <c r="EYH55" s="42"/>
      <c r="EYI55" s="42"/>
      <c r="EYJ55" s="42"/>
      <c r="EYK55" s="42"/>
      <c r="EYL55" s="42"/>
      <c r="EYM55" s="2"/>
      <c r="EYN55" s="15"/>
      <c r="EYO55" s="42"/>
      <c r="EYP55" s="2"/>
      <c r="EYQ55" s="2"/>
      <c r="EYR55" s="2"/>
      <c r="EYS55" s="2"/>
      <c r="EYT55" s="42"/>
      <c r="EYU55" s="42"/>
      <c r="EYV55" s="42"/>
      <c r="EYW55" s="42"/>
      <c r="EYX55" s="42"/>
      <c r="EYY55" s="42"/>
      <c r="EYZ55" s="42"/>
      <c r="EZA55" s="42"/>
      <c r="EZB55" s="42"/>
      <c r="EZC55" s="42"/>
      <c r="EZD55" s="42"/>
      <c r="EZE55" s="42"/>
      <c r="EZF55" s="42"/>
      <c r="EZG55" s="42"/>
      <c r="EZH55" s="42"/>
      <c r="EZI55" s="42"/>
      <c r="EZJ55" s="42"/>
      <c r="EZK55" s="42"/>
      <c r="EZL55" s="42"/>
      <c r="EZM55" s="42"/>
      <c r="EZN55" s="42"/>
      <c r="EZO55" s="42"/>
      <c r="EZP55" s="42"/>
      <c r="EZQ55" s="2"/>
      <c r="EZR55" s="15"/>
      <c r="EZS55" s="42"/>
      <c r="EZT55" s="2"/>
      <c r="EZU55" s="2"/>
      <c r="EZV55" s="2"/>
      <c r="EZW55" s="2"/>
      <c r="EZX55" s="42"/>
      <c r="EZY55" s="42"/>
      <c r="EZZ55" s="42"/>
      <c r="FAA55" s="42"/>
      <c r="FAB55" s="42"/>
      <c r="FAC55" s="42"/>
      <c r="FAD55" s="42"/>
      <c r="FAE55" s="42"/>
      <c r="FAF55" s="42"/>
      <c r="FAG55" s="42"/>
      <c r="FAH55" s="42"/>
      <c r="FAI55" s="42"/>
      <c r="FAJ55" s="42"/>
      <c r="FAK55" s="42"/>
      <c r="FAL55" s="42"/>
      <c r="FAM55" s="42"/>
      <c r="FAN55" s="42"/>
      <c r="FAO55" s="42"/>
      <c r="FAP55" s="42"/>
      <c r="FAQ55" s="42"/>
      <c r="FAR55" s="42"/>
      <c r="FAS55" s="42"/>
      <c r="FAT55" s="42"/>
      <c r="FAU55" s="2"/>
      <c r="FAV55" s="15"/>
      <c r="FAW55" s="42"/>
      <c r="FAX55" s="2"/>
      <c r="FAY55" s="2"/>
      <c r="FAZ55" s="2"/>
      <c r="FBA55" s="2"/>
      <c r="FBB55" s="42"/>
      <c r="FBC55" s="42"/>
      <c r="FBD55" s="42"/>
      <c r="FBE55" s="42"/>
      <c r="FBF55" s="42"/>
      <c r="FBG55" s="42"/>
      <c r="FBH55" s="42"/>
      <c r="FBI55" s="42"/>
      <c r="FBJ55" s="42"/>
      <c r="FBK55" s="42"/>
      <c r="FBL55" s="42"/>
      <c r="FBM55" s="42"/>
      <c r="FBN55" s="42"/>
      <c r="FBO55" s="42"/>
      <c r="FBP55" s="42"/>
      <c r="FBQ55" s="42"/>
      <c r="FBR55" s="42"/>
      <c r="FBS55" s="42"/>
      <c r="FBT55" s="42"/>
      <c r="FBU55" s="42"/>
      <c r="FBV55" s="42"/>
      <c r="FBW55" s="42"/>
      <c r="FBX55" s="42"/>
      <c r="FBY55" s="2"/>
      <c r="FBZ55" s="15"/>
      <c r="FCA55" s="42"/>
      <c r="FCB55" s="2"/>
      <c r="FCC55" s="2"/>
      <c r="FCD55" s="2"/>
      <c r="FCE55" s="2"/>
      <c r="FCF55" s="42"/>
      <c r="FCG55" s="42"/>
      <c r="FCH55" s="42"/>
      <c r="FCI55" s="42"/>
      <c r="FCJ55" s="42"/>
      <c r="FCK55" s="42"/>
      <c r="FCL55" s="42"/>
      <c r="FCM55" s="42"/>
      <c r="FCN55" s="42"/>
      <c r="FCO55" s="42"/>
      <c r="FCP55" s="42"/>
      <c r="FCQ55" s="42"/>
      <c r="FCR55" s="42"/>
      <c r="FCS55" s="42"/>
      <c r="FCT55" s="42"/>
      <c r="FCU55" s="42"/>
      <c r="FCV55" s="42"/>
      <c r="FCW55" s="42"/>
      <c r="FCX55" s="42"/>
      <c r="FCY55" s="42"/>
      <c r="FCZ55" s="42"/>
      <c r="FDA55" s="42"/>
      <c r="FDB55" s="42"/>
      <c r="FDC55" s="2"/>
      <c r="FDD55" s="15"/>
      <c r="FDE55" s="42"/>
      <c r="FDF55" s="2"/>
      <c r="FDG55" s="2"/>
      <c r="FDH55" s="2"/>
      <c r="FDI55" s="2"/>
      <c r="FDJ55" s="42"/>
      <c r="FDK55" s="42"/>
      <c r="FDL55" s="42"/>
      <c r="FDM55" s="42"/>
      <c r="FDN55" s="42"/>
      <c r="FDO55" s="42"/>
      <c r="FDP55" s="42"/>
      <c r="FDQ55" s="42"/>
      <c r="FDR55" s="42"/>
      <c r="FDS55" s="42"/>
      <c r="FDT55" s="42"/>
      <c r="FDU55" s="42"/>
      <c r="FDV55" s="42"/>
      <c r="FDW55" s="42"/>
      <c r="FDX55" s="42"/>
      <c r="FDY55" s="42"/>
      <c r="FDZ55" s="42"/>
      <c r="FEA55" s="42"/>
      <c r="FEB55" s="42"/>
      <c r="FEC55" s="42"/>
      <c r="FED55" s="42"/>
      <c r="FEE55" s="42"/>
      <c r="FEF55" s="42"/>
      <c r="FEG55" s="2"/>
      <c r="FEH55" s="15"/>
      <c r="FEI55" s="42"/>
      <c r="FEJ55" s="2"/>
      <c r="FEK55" s="2"/>
      <c r="FEL55" s="2"/>
      <c r="FEM55" s="2"/>
      <c r="FEN55" s="42"/>
      <c r="FEO55" s="42"/>
      <c r="FEP55" s="42"/>
      <c r="FEQ55" s="42"/>
      <c r="FER55" s="42"/>
      <c r="FES55" s="42"/>
      <c r="FET55" s="42"/>
      <c r="FEU55" s="42"/>
      <c r="FEV55" s="42"/>
      <c r="FEW55" s="42"/>
      <c r="FEX55" s="42"/>
      <c r="FEY55" s="42"/>
      <c r="FEZ55" s="42"/>
      <c r="FFA55" s="42"/>
      <c r="FFB55" s="42"/>
      <c r="FFC55" s="42"/>
      <c r="FFD55" s="42"/>
      <c r="FFE55" s="42"/>
      <c r="FFF55" s="42"/>
      <c r="FFG55" s="42"/>
      <c r="FFH55" s="42"/>
      <c r="FFI55" s="42"/>
      <c r="FFJ55" s="42"/>
      <c r="FFK55" s="2"/>
      <c r="FFL55" s="15"/>
      <c r="FFM55" s="42"/>
      <c r="FFN55" s="2"/>
      <c r="FFO55" s="2"/>
      <c r="FFP55" s="2"/>
      <c r="FFQ55" s="2"/>
      <c r="FFR55" s="42"/>
      <c r="FFS55" s="42"/>
      <c r="FFT55" s="42"/>
      <c r="FFU55" s="42"/>
      <c r="FFV55" s="42"/>
      <c r="FFW55" s="42"/>
      <c r="FFX55" s="42"/>
      <c r="FFY55" s="42"/>
      <c r="FFZ55" s="42"/>
      <c r="FGA55" s="42"/>
      <c r="FGB55" s="42"/>
      <c r="FGC55" s="42"/>
      <c r="FGD55" s="42"/>
      <c r="FGE55" s="42"/>
      <c r="FGF55" s="42"/>
      <c r="FGG55" s="42"/>
      <c r="FGH55" s="42"/>
      <c r="FGI55" s="42"/>
      <c r="FGJ55" s="42"/>
      <c r="FGK55" s="42"/>
      <c r="FGL55" s="42"/>
      <c r="FGM55" s="42"/>
      <c r="FGN55" s="42"/>
      <c r="FGO55" s="2"/>
      <c r="FGP55" s="15"/>
      <c r="FGQ55" s="42"/>
      <c r="FGR55" s="2"/>
      <c r="FGS55" s="2"/>
      <c r="FGT55" s="2"/>
      <c r="FGU55" s="2"/>
      <c r="FGV55" s="42"/>
      <c r="FGW55" s="42"/>
      <c r="FGX55" s="42"/>
      <c r="FGY55" s="42"/>
      <c r="FGZ55" s="42"/>
      <c r="FHA55" s="42"/>
      <c r="FHB55" s="42"/>
      <c r="FHC55" s="42"/>
      <c r="FHD55" s="42"/>
      <c r="FHE55" s="42"/>
      <c r="FHF55" s="42"/>
      <c r="FHG55" s="42"/>
      <c r="FHH55" s="42"/>
      <c r="FHI55" s="42"/>
      <c r="FHJ55" s="42"/>
      <c r="FHK55" s="42"/>
      <c r="FHL55" s="42"/>
      <c r="FHM55" s="42"/>
      <c r="FHN55" s="42"/>
      <c r="FHO55" s="42"/>
      <c r="FHP55" s="42"/>
      <c r="FHQ55" s="42"/>
      <c r="FHR55" s="42"/>
      <c r="FHS55" s="2"/>
      <c r="FHT55" s="15"/>
      <c r="FHU55" s="42"/>
      <c r="FHV55" s="2"/>
      <c r="FHW55" s="2"/>
      <c r="FHX55" s="2"/>
      <c r="FHY55" s="2"/>
      <c r="FHZ55" s="42"/>
      <c r="FIA55" s="42"/>
      <c r="FIB55" s="42"/>
      <c r="FIC55" s="42"/>
      <c r="FID55" s="42"/>
      <c r="FIE55" s="42"/>
      <c r="FIF55" s="42"/>
      <c r="FIG55" s="42"/>
      <c r="FIH55" s="42"/>
      <c r="FII55" s="42"/>
      <c r="FIJ55" s="42"/>
      <c r="FIK55" s="42"/>
      <c r="FIL55" s="42"/>
      <c r="FIM55" s="42"/>
      <c r="FIN55" s="42"/>
      <c r="FIO55" s="42"/>
      <c r="FIP55" s="42"/>
      <c r="FIQ55" s="42"/>
      <c r="FIR55" s="42"/>
      <c r="FIS55" s="42"/>
      <c r="FIT55" s="42"/>
      <c r="FIU55" s="42"/>
      <c r="FIV55" s="42"/>
      <c r="FIW55" s="2"/>
      <c r="FIX55" s="15"/>
      <c r="FIY55" s="42"/>
      <c r="FIZ55" s="2"/>
      <c r="FJA55" s="2"/>
      <c r="FJB55" s="2"/>
      <c r="FJC55" s="2"/>
      <c r="FJD55" s="42"/>
      <c r="FJE55" s="42"/>
      <c r="FJF55" s="42"/>
      <c r="FJG55" s="42"/>
      <c r="FJH55" s="42"/>
      <c r="FJI55" s="42"/>
      <c r="FJJ55" s="42"/>
      <c r="FJK55" s="42"/>
      <c r="FJL55" s="42"/>
      <c r="FJM55" s="42"/>
      <c r="FJN55" s="42"/>
      <c r="FJO55" s="42"/>
      <c r="FJP55" s="42"/>
      <c r="FJQ55" s="42"/>
      <c r="FJR55" s="42"/>
      <c r="FJS55" s="42"/>
      <c r="FJT55" s="42"/>
      <c r="FJU55" s="42"/>
      <c r="FJV55" s="42"/>
      <c r="FJW55" s="42"/>
      <c r="FJX55" s="42"/>
      <c r="FJY55" s="42"/>
      <c r="FJZ55" s="42"/>
      <c r="FKA55" s="2"/>
      <c r="FKB55" s="15"/>
      <c r="FKC55" s="42"/>
      <c r="FKD55" s="2"/>
      <c r="FKE55" s="2"/>
      <c r="FKF55" s="2"/>
      <c r="FKG55" s="2"/>
      <c r="FKH55" s="42"/>
      <c r="FKI55" s="42"/>
      <c r="FKJ55" s="42"/>
      <c r="FKK55" s="42"/>
      <c r="FKL55" s="42"/>
      <c r="FKM55" s="42"/>
      <c r="FKN55" s="42"/>
      <c r="FKO55" s="42"/>
      <c r="FKP55" s="42"/>
      <c r="FKQ55" s="42"/>
      <c r="FKR55" s="42"/>
      <c r="FKS55" s="42"/>
      <c r="FKT55" s="42"/>
      <c r="FKU55" s="42"/>
      <c r="FKV55" s="42"/>
      <c r="FKW55" s="42"/>
      <c r="FKX55" s="42"/>
      <c r="FKY55" s="42"/>
      <c r="FKZ55" s="42"/>
      <c r="FLA55" s="42"/>
      <c r="FLB55" s="42"/>
      <c r="FLC55" s="42"/>
      <c r="FLD55" s="42"/>
      <c r="FLE55" s="2"/>
      <c r="FLF55" s="15"/>
      <c r="FLG55" s="42"/>
      <c r="FLH55" s="2"/>
      <c r="FLI55" s="2"/>
      <c r="FLJ55" s="2"/>
      <c r="FLK55" s="2"/>
      <c r="FLL55" s="42"/>
      <c r="FLM55" s="42"/>
      <c r="FLN55" s="42"/>
      <c r="FLO55" s="42"/>
      <c r="FLP55" s="42"/>
      <c r="FLQ55" s="42"/>
      <c r="FLR55" s="42"/>
      <c r="FLS55" s="42"/>
      <c r="FLT55" s="42"/>
      <c r="FLU55" s="42"/>
      <c r="FLV55" s="42"/>
      <c r="FLW55" s="42"/>
      <c r="FLX55" s="42"/>
      <c r="FLY55" s="42"/>
      <c r="FLZ55" s="42"/>
      <c r="FMA55" s="42"/>
      <c r="FMB55" s="42"/>
      <c r="FMC55" s="42"/>
      <c r="FMD55" s="42"/>
      <c r="FME55" s="42"/>
      <c r="FMF55" s="42"/>
      <c r="FMG55" s="42"/>
      <c r="FMH55" s="42"/>
      <c r="FMI55" s="2"/>
      <c r="FMJ55" s="15"/>
      <c r="FMK55" s="42"/>
      <c r="FML55" s="2"/>
      <c r="FMM55" s="2"/>
      <c r="FMN55" s="2"/>
      <c r="FMO55" s="2"/>
      <c r="FMP55" s="42"/>
      <c r="FMQ55" s="42"/>
      <c r="FMR55" s="42"/>
      <c r="FMS55" s="42"/>
      <c r="FMT55" s="42"/>
      <c r="FMU55" s="42"/>
      <c r="FMV55" s="42"/>
      <c r="FMW55" s="42"/>
      <c r="FMX55" s="42"/>
      <c r="FMY55" s="42"/>
      <c r="FMZ55" s="42"/>
      <c r="FNA55" s="42"/>
      <c r="FNB55" s="42"/>
      <c r="FNC55" s="42"/>
      <c r="FND55" s="42"/>
      <c r="FNE55" s="42"/>
      <c r="FNF55" s="42"/>
      <c r="FNG55" s="42"/>
      <c r="FNH55" s="42"/>
      <c r="FNI55" s="42"/>
      <c r="FNJ55" s="42"/>
      <c r="FNK55" s="42"/>
      <c r="FNL55" s="42"/>
      <c r="FNM55" s="2"/>
      <c r="FNN55" s="15"/>
      <c r="FNO55" s="42"/>
      <c r="FNP55" s="2"/>
      <c r="FNQ55" s="2"/>
      <c r="FNR55" s="2"/>
      <c r="FNS55" s="2"/>
      <c r="FNT55" s="42"/>
      <c r="FNU55" s="42"/>
      <c r="FNV55" s="42"/>
      <c r="FNW55" s="42"/>
      <c r="FNX55" s="42"/>
      <c r="FNY55" s="42"/>
      <c r="FNZ55" s="42"/>
      <c r="FOA55" s="42"/>
      <c r="FOB55" s="42"/>
      <c r="FOC55" s="42"/>
      <c r="FOD55" s="42"/>
      <c r="FOE55" s="42"/>
      <c r="FOF55" s="42"/>
      <c r="FOG55" s="42"/>
      <c r="FOH55" s="42"/>
      <c r="FOI55" s="42"/>
      <c r="FOJ55" s="42"/>
      <c r="FOK55" s="42"/>
      <c r="FOL55" s="42"/>
      <c r="FOM55" s="42"/>
      <c r="FON55" s="42"/>
      <c r="FOO55" s="42"/>
      <c r="FOP55" s="42"/>
      <c r="FOQ55" s="2"/>
      <c r="FOR55" s="15"/>
      <c r="FOS55" s="42"/>
      <c r="FOT55" s="2"/>
      <c r="FOU55" s="2"/>
      <c r="FOV55" s="2"/>
      <c r="FOW55" s="2"/>
      <c r="FOX55" s="42"/>
      <c r="FOY55" s="42"/>
      <c r="FOZ55" s="42"/>
      <c r="FPA55" s="42"/>
      <c r="FPB55" s="42"/>
      <c r="FPC55" s="42"/>
      <c r="FPD55" s="42"/>
      <c r="FPE55" s="42"/>
      <c r="FPF55" s="42"/>
      <c r="FPG55" s="42"/>
      <c r="FPH55" s="42"/>
      <c r="FPI55" s="42"/>
      <c r="FPJ55" s="42"/>
      <c r="FPK55" s="42"/>
      <c r="FPL55" s="42"/>
      <c r="FPM55" s="42"/>
      <c r="FPN55" s="42"/>
      <c r="FPO55" s="42"/>
      <c r="FPP55" s="42"/>
      <c r="FPQ55" s="42"/>
      <c r="FPR55" s="42"/>
      <c r="FPS55" s="42"/>
      <c r="FPT55" s="42"/>
      <c r="FPU55" s="2"/>
      <c r="FPV55" s="15"/>
      <c r="FPW55" s="42"/>
      <c r="FPX55" s="2"/>
      <c r="FPY55" s="2"/>
      <c r="FPZ55" s="2"/>
      <c r="FQA55" s="2"/>
      <c r="FQB55" s="42"/>
      <c r="FQC55" s="42"/>
      <c r="FQD55" s="42"/>
      <c r="FQE55" s="42"/>
      <c r="FQF55" s="42"/>
      <c r="FQG55" s="42"/>
      <c r="FQH55" s="42"/>
      <c r="FQI55" s="42"/>
      <c r="FQJ55" s="42"/>
      <c r="FQK55" s="42"/>
      <c r="FQL55" s="42"/>
      <c r="FQM55" s="42"/>
      <c r="FQN55" s="42"/>
      <c r="FQO55" s="42"/>
      <c r="FQP55" s="42"/>
      <c r="FQQ55" s="42"/>
      <c r="FQR55" s="42"/>
      <c r="FQS55" s="42"/>
      <c r="FQT55" s="42"/>
      <c r="FQU55" s="42"/>
      <c r="FQV55" s="42"/>
      <c r="FQW55" s="42"/>
      <c r="FQX55" s="42"/>
      <c r="FQY55" s="2"/>
      <c r="FQZ55" s="15"/>
      <c r="FRA55" s="42"/>
      <c r="FRB55" s="2"/>
      <c r="FRC55" s="2"/>
      <c r="FRD55" s="2"/>
      <c r="FRE55" s="2"/>
      <c r="FRF55" s="42"/>
      <c r="FRG55" s="42"/>
      <c r="FRH55" s="42"/>
      <c r="FRI55" s="42"/>
      <c r="FRJ55" s="42"/>
      <c r="FRK55" s="42"/>
      <c r="FRL55" s="42"/>
      <c r="FRM55" s="42"/>
      <c r="FRN55" s="42"/>
      <c r="FRO55" s="42"/>
      <c r="FRP55" s="42"/>
      <c r="FRQ55" s="42"/>
      <c r="FRR55" s="42"/>
      <c r="FRS55" s="42"/>
      <c r="FRT55" s="42"/>
      <c r="FRU55" s="42"/>
      <c r="FRV55" s="42"/>
      <c r="FRW55" s="42"/>
      <c r="FRX55" s="42"/>
      <c r="FRY55" s="42"/>
      <c r="FRZ55" s="42"/>
      <c r="FSA55" s="42"/>
      <c r="FSB55" s="42"/>
      <c r="FSC55" s="2"/>
      <c r="FSD55" s="15"/>
      <c r="FSE55" s="42"/>
      <c r="FSF55" s="2"/>
      <c r="FSG55" s="2"/>
      <c r="FSH55" s="2"/>
      <c r="FSI55" s="2"/>
      <c r="FSJ55" s="42"/>
      <c r="FSK55" s="42"/>
      <c r="FSL55" s="42"/>
      <c r="FSM55" s="42"/>
      <c r="FSN55" s="42"/>
      <c r="FSO55" s="42"/>
      <c r="FSP55" s="42"/>
      <c r="FSQ55" s="42"/>
      <c r="FSR55" s="42"/>
      <c r="FSS55" s="42"/>
      <c r="FST55" s="42"/>
      <c r="FSU55" s="42"/>
      <c r="FSV55" s="42"/>
      <c r="FSW55" s="42"/>
      <c r="FSX55" s="42"/>
      <c r="FSY55" s="42"/>
      <c r="FSZ55" s="42"/>
      <c r="FTA55" s="42"/>
      <c r="FTB55" s="42"/>
      <c r="FTC55" s="42"/>
      <c r="FTD55" s="42"/>
      <c r="FTE55" s="42"/>
      <c r="FTF55" s="42"/>
      <c r="FTG55" s="2"/>
      <c r="FTH55" s="15"/>
      <c r="FTI55" s="42"/>
      <c r="FTJ55" s="2"/>
      <c r="FTK55" s="2"/>
      <c r="FTL55" s="2"/>
      <c r="FTM55" s="2"/>
      <c r="FTN55" s="42"/>
      <c r="FTO55" s="42"/>
      <c r="FTP55" s="42"/>
      <c r="FTQ55" s="42"/>
      <c r="FTR55" s="42"/>
      <c r="FTS55" s="42"/>
      <c r="FTT55" s="42"/>
      <c r="FTU55" s="42"/>
      <c r="FTV55" s="42"/>
      <c r="FTW55" s="42"/>
      <c r="FTX55" s="42"/>
      <c r="FTY55" s="42"/>
      <c r="FTZ55" s="42"/>
      <c r="FUA55" s="42"/>
      <c r="FUB55" s="42"/>
      <c r="FUC55" s="42"/>
      <c r="FUD55" s="42"/>
      <c r="FUE55" s="42"/>
      <c r="FUF55" s="42"/>
      <c r="FUG55" s="42"/>
      <c r="FUH55" s="42"/>
      <c r="FUI55" s="42"/>
      <c r="FUJ55" s="42"/>
      <c r="FUK55" s="2"/>
      <c r="FUL55" s="15"/>
      <c r="FUM55" s="42"/>
      <c r="FUN55" s="2"/>
      <c r="FUO55" s="2"/>
      <c r="FUP55" s="2"/>
      <c r="FUQ55" s="2"/>
      <c r="FUR55" s="42"/>
      <c r="FUS55" s="42"/>
      <c r="FUT55" s="42"/>
      <c r="FUU55" s="42"/>
      <c r="FUV55" s="42"/>
      <c r="FUW55" s="42"/>
      <c r="FUX55" s="42"/>
      <c r="FUY55" s="42"/>
      <c r="FUZ55" s="42"/>
      <c r="FVA55" s="42"/>
      <c r="FVB55" s="42"/>
      <c r="FVC55" s="42"/>
      <c r="FVD55" s="42"/>
      <c r="FVE55" s="42"/>
      <c r="FVF55" s="42"/>
      <c r="FVG55" s="42"/>
      <c r="FVH55" s="42"/>
      <c r="FVI55" s="42"/>
      <c r="FVJ55" s="42"/>
      <c r="FVK55" s="42"/>
      <c r="FVL55" s="42"/>
      <c r="FVM55" s="42"/>
      <c r="FVN55" s="42"/>
      <c r="FVO55" s="2"/>
      <c r="FVP55" s="15"/>
      <c r="FVQ55" s="42"/>
      <c r="FVR55" s="2"/>
      <c r="FVS55" s="2"/>
      <c r="FVT55" s="2"/>
      <c r="FVU55" s="2"/>
      <c r="FVV55" s="42"/>
      <c r="FVW55" s="42"/>
      <c r="FVX55" s="42"/>
      <c r="FVY55" s="42"/>
      <c r="FVZ55" s="42"/>
      <c r="FWA55" s="42"/>
      <c r="FWB55" s="42"/>
      <c r="FWC55" s="42"/>
      <c r="FWD55" s="42"/>
      <c r="FWE55" s="42"/>
      <c r="FWF55" s="42"/>
      <c r="FWG55" s="42"/>
      <c r="FWH55" s="42"/>
      <c r="FWI55" s="42"/>
      <c r="FWJ55" s="42"/>
      <c r="FWK55" s="42"/>
      <c r="FWL55" s="42"/>
      <c r="FWM55" s="42"/>
      <c r="FWN55" s="42"/>
      <c r="FWO55" s="42"/>
      <c r="FWP55" s="42"/>
      <c r="FWQ55" s="42"/>
      <c r="FWR55" s="42"/>
      <c r="FWS55" s="2"/>
      <c r="FWT55" s="15"/>
      <c r="FWU55" s="42"/>
      <c r="FWV55" s="2"/>
      <c r="FWW55" s="2"/>
      <c r="FWX55" s="2"/>
      <c r="FWY55" s="2"/>
      <c r="FWZ55" s="42"/>
      <c r="FXA55" s="42"/>
      <c r="FXB55" s="42"/>
      <c r="FXC55" s="42"/>
      <c r="FXD55" s="42"/>
      <c r="FXE55" s="42"/>
      <c r="FXF55" s="42"/>
      <c r="FXG55" s="42"/>
      <c r="FXH55" s="42"/>
      <c r="FXI55" s="42"/>
      <c r="FXJ55" s="42"/>
      <c r="FXK55" s="42"/>
      <c r="FXL55" s="42"/>
      <c r="FXM55" s="42"/>
      <c r="FXN55" s="42"/>
      <c r="FXO55" s="42"/>
      <c r="FXP55" s="42"/>
      <c r="FXQ55" s="42"/>
      <c r="FXR55" s="42"/>
      <c r="FXS55" s="42"/>
      <c r="FXT55" s="42"/>
      <c r="FXU55" s="42"/>
      <c r="FXV55" s="42"/>
      <c r="FXW55" s="2"/>
      <c r="FXX55" s="15"/>
      <c r="FXY55" s="42"/>
      <c r="FXZ55" s="2"/>
      <c r="FYA55" s="2"/>
      <c r="FYB55" s="2"/>
      <c r="FYC55" s="2"/>
      <c r="FYD55" s="42"/>
      <c r="FYE55" s="42"/>
      <c r="FYF55" s="42"/>
      <c r="FYG55" s="42"/>
      <c r="FYH55" s="42"/>
      <c r="FYI55" s="42"/>
      <c r="FYJ55" s="42"/>
      <c r="FYK55" s="42"/>
      <c r="FYL55" s="42"/>
      <c r="FYM55" s="42"/>
      <c r="FYN55" s="42"/>
      <c r="FYO55" s="42"/>
      <c r="FYP55" s="42"/>
      <c r="FYQ55" s="42"/>
      <c r="FYR55" s="42"/>
      <c r="FYS55" s="42"/>
      <c r="FYT55" s="42"/>
      <c r="FYU55" s="42"/>
      <c r="FYV55" s="42"/>
      <c r="FYW55" s="42"/>
      <c r="FYX55" s="42"/>
      <c r="FYY55" s="42"/>
      <c r="FYZ55" s="42"/>
      <c r="FZA55" s="2"/>
      <c r="FZB55" s="15"/>
      <c r="FZC55" s="42"/>
      <c r="FZD55" s="2"/>
      <c r="FZE55" s="2"/>
      <c r="FZF55" s="2"/>
      <c r="FZG55" s="2"/>
      <c r="FZH55" s="42"/>
      <c r="FZI55" s="42"/>
      <c r="FZJ55" s="42"/>
      <c r="FZK55" s="42"/>
      <c r="FZL55" s="42"/>
      <c r="FZM55" s="42"/>
      <c r="FZN55" s="42"/>
      <c r="FZO55" s="42"/>
      <c r="FZP55" s="42"/>
      <c r="FZQ55" s="42"/>
      <c r="FZR55" s="42"/>
      <c r="FZS55" s="42"/>
      <c r="FZT55" s="42"/>
      <c r="FZU55" s="42"/>
      <c r="FZV55" s="42"/>
      <c r="FZW55" s="42"/>
      <c r="FZX55" s="42"/>
      <c r="FZY55" s="42"/>
      <c r="FZZ55" s="42"/>
      <c r="GAA55" s="42"/>
      <c r="GAB55" s="42"/>
      <c r="GAC55" s="42"/>
      <c r="GAD55" s="42"/>
      <c r="GAE55" s="2"/>
      <c r="GAF55" s="15"/>
      <c r="GAG55" s="42"/>
      <c r="GAH55" s="2"/>
      <c r="GAI55" s="2"/>
      <c r="GAJ55" s="2"/>
      <c r="GAK55" s="2"/>
      <c r="GAL55" s="42"/>
      <c r="GAM55" s="42"/>
      <c r="GAN55" s="42"/>
      <c r="GAO55" s="42"/>
      <c r="GAP55" s="42"/>
      <c r="GAQ55" s="42"/>
      <c r="GAR55" s="42"/>
      <c r="GAS55" s="42"/>
      <c r="GAT55" s="42"/>
      <c r="GAU55" s="42"/>
      <c r="GAV55" s="42"/>
      <c r="GAW55" s="42"/>
      <c r="GAX55" s="42"/>
      <c r="GAY55" s="42"/>
      <c r="GAZ55" s="42"/>
      <c r="GBA55" s="42"/>
      <c r="GBB55" s="42"/>
      <c r="GBC55" s="42"/>
      <c r="GBD55" s="42"/>
      <c r="GBE55" s="42"/>
      <c r="GBF55" s="42"/>
      <c r="GBG55" s="42"/>
      <c r="GBH55" s="42"/>
      <c r="GBI55" s="2"/>
      <c r="GBJ55" s="15"/>
      <c r="GBK55" s="42"/>
      <c r="GBL55" s="2"/>
      <c r="GBM55" s="2"/>
      <c r="GBN55" s="2"/>
      <c r="GBO55" s="2"/>
      <c r="GBP55" s="42"/>
      <c r="GBQ55" s="42"/>
      <c r="GBR55" s="42"/>
      <c r="GBS55" s="42"/>
      <c r="GBT55" s="42"/>
      <c r="GBU55" s="42"/>
      <c r="GBV55" s="42"/>
      <c r="GBW55" s="42"/>
      <c r="GBX55" s="42"/>
      <c r="GBY55" s="42"/>
      <c r="GBZ55" s="42"/>
      <c r="GCA55" s="42"/>
      <c r="GCB55" s="42"/>
      <c r="GCC55" s="42"/>
      <c r="GCD55" s="42"/>
      <c r="GCE55" s="42"/>
      <c r="GCF55" s="42"/>
      <c r="GCG55" s="42"/>
      <c r="GCH55" s="42"/>
      <c r="GCI55" s="42"/>
      <c r="GCJ55" s="42"/>
      <c r="GCK55" s="42"/>
      <c r="GCL55" s="42"/>
      <c r="GCM55" s="2"/>
      <c r="GCN55" s="15"/>
      <c r="GCO55" s="42"/>
      <c r="GCP55" s="2"/>
      <c r="GCQ55" s="2"/>
      <c r="GCR55" s="2"/>
      <c r="GCS55" s="2"/>
      <c r="GCT55" s="42"/>
      <c r="GCU55" s="42"/>
      <c r="GCV55" s="42"/>
      <c r="GCW55" s="42"/>
      <c r="GCX55" s="42"/>
      <c r="GCY55" s="42"/>
      <c r="GCZ55" s="42"/>
      <c r="GDA55" s="42"/>
      <c r="GDB55" s="42"/>
      <c r="GDC55" s="42"/>
      <c r="GDD55" s="42"/>
      <c r="GDE55" s="42"/>
      <c r="GDF55" s="42"/>
      <c r="GDG55" s="42"/>
      <c r="GDH55" s="42"/>
      <c r="GDI55" s="42"/>
      <c r="GDJ55" s="42"/>
      <c r="GDK55" s="42"/>
      <c r="GDL55" s="42"/>
      <c r="GDM55" s="42"/>
      <c r="GDN55" s="42"/>
      <c r="GDO55" s="42"/>
      <c r="GDP55" s="42"/>
      <c r="GDQ55" s="2"/>
      <c r="GDR55" s="15"/>
      <c r="GDS55" s="42"/>
      <c r="GDT55" s="2"/>
      <c r="GDU55" s="2"/>
      <c r="GDV55" s="2"/>
      <c r="GDW55" s="2"/>
      <c r="GDX55" s="42"/>
      <c r="GDY55" s="42"/>
      <c r="GDZ55" s="42"/>
      <c r="GEA55" s="42"/>
      <c r="GEB55" s="42"/>
      <c r="GEC55" s="42"/>
      <c r="GED55" s="42"/>
      <c r="GEE55" s="42"/>
      <c r="GEF55" s="42"/>
      <c r="GEG55" s="42"/>
      <c r="GEH55" s="42"/>
      <c r="GEI55" s="42"/>
      <c r="GEJ55" s="42"/>
      <c r="GEK55" s="42"/>
      <c r="GEL55" s="42"/>
      <c r="GEM55" s="42"/>
      <c r="GEN55" s="42"/>
      <c r="GEO55" s="42"/>
      <c r="GEP55" s="42"/>
      <c r="GEQ55" s="42"/>
      <c r="GER55" s="42"/>
      <c r="GES55" s="42"/>
      <c r="GET55" s="42"/>
      <c r="GEU55" s="2"/>
      <c r="GEV55" s="15"/>
      <c r="GEW55" s="42"/>
      <c r="GEX55" s="2"/>
      <c r="GEY55" s="2"/>
      <c r="GEZ55" s="2"/>
      <c r="GFA55" s="2"/>
      <c r="GFB55" s="42"/>
      <c r="GFC55" s="42"/>
      <c r="GFD55" s="42"/>
      <c r="GFE55" s="42"/>
      <c r="GFF55" s="42"/>
      <c r="GFG55" s="42"/>
      <c r="GFH55" s="42"/>
      <c r="GFI55" s="42"/>
      <c r="GFJ55" s="42"/>
      <c r="GFK55" s="42"/>
      <c r="GFL55" s="42"/>
      <c r="GFM55" s="42"/>
      <c r="GFN55" s="42"/>
      <c r="GFO55" s="42"/>
      <c r="GFP55" s="42"/>
      <c r="GFQ55" s="42"/>
      <c r="GFR55" s="42"/>
      <c r="GFS55" s="42"/>
      <c r="GFT55" s="42"/>
      <c r="GFU55" s="42"/>
      <c r="GFV55" s="42"/>
      <c r="GFW55" s="42"/>
      <c r="GFX55" s="42"/>
      <c r="GFY55" s="2"/>
      <c r="GFZ55" s="15"/>
      <c r="GGA55" s="42"/>
      <c r="GGB55" s="2"/>
      <c r="GGC55" s="2"/>
      <c r="GGD55" s="2"/>
      <c r="GGE55" s="2"/>
      <c r="GGF55" s="42"/>
      <c r="GGG55" s="42"/>
      <c r="GGH55" s="42"/>
      <c r="GGI55" s="42"/>
      <c r="GGJ55" s="42"/>
      <c r="GGK55" s="42"/>
      <c r="GGL55" s="42"/>
      <c r="GGM55" s="42"/>
      <c r="GGN55" s="42"/>
      <c r="GGO55" s="42"/>
      <c r="GGP55" s="42"/>
      <c r="GGQ55" s="42"/>
      <c r="GGR55" s="42"/>
      <c r="GGS55" s="42"/>
      <c r="GGT55" s="42"/>
      <c r="GGU55" s="42"/>
      <c r="GGV55" s="42"/>
      <c r="GGW55" s="42"/>
      <c r="GGX55" s="42"/>
      <c r="GGY55" s="42"/>
      <c r="GGZ55" s="42"/>
      <c r="GHA55" s="42"/>
      <c r="GHB55" s="42"/>
      <c r="GHC55" s="2"/>
      <c r="GHD55" s="15"/>
      <c r="GHE55" s="42"/>
      <c r="GHF55" s="2"/>
      <c r="GHG55" s="2"/>
      <c r="GHH55" s="2"/>
      <c r="GHI55" s="2"/>
      <c r="GHJ55" s="42"/>
      <c r="GHK55" s="42"/>
      <c r="GHL55" s="42"/>
      <c r="GHM55" s="42"/>
      <c r="GHN55" s="42"/>
      <c r="GHO55" s="42"/>
      <c r="GHP55" s="42"/>
      <c r="GHQ55" s="42"/>
      <c r="GHR55" s="42"/>
      <c r="GHS55" s="42"/>
      <c r="GHT55" s="42"/>
      <c r="GHU55" s="42"/>
      <c r="GHV55" s="42"/>
      <c r="GHW55" s="42"/>
      <c r="GHX55" s="42"/>
      <c r="GHY55" s="42"/>
      <c r="GHZ55" s="42"/>
      <c r="GIA55" s="42"/>
      <c r="GIB55" s="42"/>
      <c r="GIC55" s="42"/>
      <c r="GID55" s="42"/>
      <c r="GIE55" s="42"/>
      <c r="GIF55" s="42"/>
      <c r="GIG55" s="2"/>
      <c r="GIH55" s="15"/>
      <c r="GII55" s="42"/>
      <c r="GIJ55" s="2"/>
      <c r="GIK55" s="2"/>
      <c r="GIL55" s="2"/>
      <c r="GIM55" s="2"/>
      <c r="GIN55" s="42"/>
      <c r="GIO55" s="42"/>
      <c r="GIP55" s="42"/>
      <c r="GIQ55" s="42"/>
      <c r="GIR55" s="42"/>
      <c r="GIS55" s="42"/>
      <c r="GIT55" s="42"/>
      <c r="GIU55" s="42"/>
      <c r="GIV55" s="42"/>
      <c r="GIW55" s="42"/>
      <c r="GIX55" s="42"/>
      <c r="GIY55" s="42"/>
      <c r="GIZ55" s="42"/>
      <c r="GJA55" s="42"/>
      <c r="GJB55" s="42"/>
      <c r="GJC55" s="42"/>
      <c r="GJD55" s="42"/>
      <c r="GJE55" s="42"/>
      <c r="GJF55" s="42"/>
      <c r="GJG55" s="42"/>
      <c r="GJH55" s="42"/>
      <c r="GJI55" s="42"/>
      <c r="GJJ55" s="42"/>
      <c r="GJK55" s="2"/>
      <c r="GJL55" s="15"/>
      <c r="GJM55" s="42"/>
      <c r="GJN55" s="2"/>
      <c r="GJO55" s="2"/>
      <c r="GJP55" s="2"/>
      <c r="GJQ55" s="2"/>
      <c r="GJR55" s="42"/>
      <c r="GJS55" s="42"/>
      <c r="GJT55" s="42"/>
      <c r="GJU55" s="42"/>
      <c r="GJV55" s="42"/>
      <c r="GJW55" s="42"/>
      <c r="GJX55" s="42"/>
      <c r="GJY55" s="42"/>
      <c r="GJZ55" s="42"/>
      <c r="GKA55" s="42"/>
      <c r="GKB55" s="42"/>
      <c r="GKC55" s="42"/>
      <c r="GKD55" s="42"/>
      <c r="GKE55" s="42"/>
      <c r="GKF55" s="42"/>
      <c r="GKG55" s="42"/>
      <c r="GKH55" s="42"/>
      <c r="GKI55" s="42"/>
      <c r="GKJ55" s="42"/>
      <c r="GKK55" s="42"/>
      <c r="GKL55" s="42"/>
      <c r="GKM55" s="42"/>
      <c r="GKN55" s="42"/>
      <c r="GKO55" s="2"/>
      <c r="GKP55" s="15"/>
      <c r="GKQ55" s="42"/>
      <c r="GKR55" s="2"/>
      <c r="GKS55" s="2"/>
      <c r="GKT55" s="2"/>
      <c r="GKU55" s="2"/>
      <c r="GKV55" s="42"/>
      <c r="GKW55" s="42"/>
      <c r="GKX55" s="42"/>
      <c r="GKY55" s="42"/>
      <c r="GKZ55" s="42"/>
      <c r="GLA55" s="42"/>
      <c r="GLB55" s="42"/>
      <c r="GLC55" s="42"/>
      <c r="GLD55" s="42"/>
      <c r="GLE55" s="42"/>
      <c r="GLF55" s="42"/>
      <c r="GLG55" s="42"/>
      <c r="GLH55" s="42"/>
      <c r="GLI55" s="42"/>
      <c r="GLJ55" s="42"/>
      <c r="GLK55" s="42"/>
      <c r="GLL55" s="42"/>
      <c r="GLM55" s="42"/>
      <c r="GLN55" s="42"/>
      <c r="GLO55" s="42"/>
      <c r="GLP55" s="42"/>
      <c r="GLQ55" s="42"/>
      <c r="GLR55" s="42"/>
      <c r="GLS55" s="2"/>
      <c r="GLT55" s="15"/>
      <c r="GLU55" s="42"/>
      <c r="GLV55" s="2"/>
      <c r="GLW55" s="2"/>
      <c r="GLX55" s="2"/>
      <c r="GLY55" s="2"/>
      <c r="GLZ55" s="42"/>
      <c r="GMA55" s="42"/>
      <c r="GMB55" s="42"/>
      <c r="GMC55" s="42"/>
      <c r="GMD55" s="42"/>
      <c r="GME55" s="42"/>
      <c r="GMF55" s="42"/>
      <c r="GMG55" s="42"/>
      <c r="GMH55" s="42"/>
      <c r="GMI55" s="42"/>
      <c r="GMJ55" s="42"/>
      <c r="GMK55" s="42"/>
      <c r="GML55" s="42"/>
      <c r="GMM55" s="42"/>
      <c r="GMN55" s="42"/>
      <c r="GMO55" s="42"/>
      <c r="GMP55" s="42"/>
      <c r="GMQ55" s="42"/>
      <c r="GMR55" s="42"/>
      <c r="GMS55" s="42"/>
      <c r="GMT55" s="42"/>
      <c r="GMU55" s="42"/>
      <c r="GMV55" s="42"/>
      <c r="GMW55" s="2"/>
      <c r="GMX55" s="15"/>
      <c r="GMY55" s="42"/>
      <c r="GMZ55" s="2"/>
      <c r="GNA55" s="2"/>
      <c r="GNB55" s="2"/>
      <c r="GNC55" s="2"/>
      <c r="GND55" s="42"/>
      <c r="GNE55" s="42"/>
      <c r="GNF55" s="42"/>
      <c r="GNG55" s="42"/>
      <c r="GNH55" s="42"/>
      <c r="GNI55" s="42"/>
      <c r="GNJ55" s="42"/>
      <c r="GNK55" s="42"/>
      <c r="GNL55" s="42"/>
      <c r="GNM55" s="42"/>
      <c r="GNN55" s="42"/>
      <c r="GNO55" s="42"/>
      <c r="GNP55" s="42"/>
      <c r="GNQ55" s="42"/>
      <c r="GNR55" s="42"/>
      <c r="GNS55" s="42"/>
      <c r="GNT55" s="42"/>
      <c r="GNU55" s="42"/>
      <c r="GNV55" s="42"/>
      <c r="GNW55" s="42"/>
      <c r="GNX55" s="42"/>
      <c r="GNY55" s="42"/>
      <c r="GNZ55" s="42"/>
      <c r="GOA55" s="2"/>
      <c r="GOB55" s="15"/>
      <c r="GOC55" s="42"/>
      <c r="GOD55" s="2"/>
      <c r="GOE55" s="2"/>
      <c r="GOF55" s="2"/>
      <c r="GOG55" s="2"/>
      <c r="GOH55" s="42"/>
      <c r="GOI55" s="42"/>
      <c r="GOJ55" s="42"/>
      <c r="GOK55" s="42"/>
      <c r="GOL55" s="42"/>
      <c r="GOM55" s="42"/>
      <c r="GON55" s="42"/>
      <c r="GOO55" s="42"/>
      <c r="GOP55" s="42"/>
      <c r="GOQ55" s="42"/>
      <c r="GOR55" s="42"/>
      <c r="GOS55" s="42"/>
      <c r="GOT55" s="42"/>
      <c r="GOU55" s="42"/>
      <c r="GOV55" s="42"/>
      <c r="GOW55" s="42"/>
      <c r="GOX55" s="42"/>
      <c r="GOY55" s="42"/>
      <c r="GOZ55" s="42"/>
      <c r="GPA55" s="42"/>
      <c r="GPB55" s="42"/>
      <c r="GPC55" s="42"/>
      <c r="GPD55" s="42"/>
      <c r="GPE55" s="2"/>
      <c r="GPF55" s="15"/>
      <c r="GPG55" s="42"/>
      <c r="GPH55" s="2"/>
      <c r="GPI55" s="2"/>
      <c r="GPJ55" s="2"/>
      <c r="GPK55" s="2"/>
      <c r="GPL55" s="42"/>
      <c r="GPM55" s="42"/>
      <c r="GPN55" s="42"/>
      <c r="GPO55" s="42"/>
      <c r="GPP55" s="42"/>
      <c r="GPQ55" s="42"/>
      <c r="GPR55" s="42"/>
      <c r="GPS55" s="42"/>
      <c r="GPT55" s="42"/>
      <c r="GPU55" s="42"/>
      <c r="GPV55" s="42"/>
      <c r="GPW55" s="42"/>
      <c r="GPX55" s="42"/>
      <c r="GPY55" s="42"/>
      <c r="GPZ55" s="42"/>
      <c r="GQA55" s="42"/>
      <c r="GQB55" s="42"/>
      <c r="GQC55" s="42"/>
      <c r="GQD55" s="42"/>
      <c r="GQE55" s="42"/>
      <c r="GQF55" s="42"/>
      <c r="GQG55" s="42"/>
      <c r="GQH55" s="42"/>
      <c r="GQI55" s="2"/>
      <c r="GQJ55" s="15"/>
      <c r="GQK55" s="42"/>
      <c r="GQL55" s="2"/>
      <c r="GQM55" s="2"/>
      <c r="GQN55" s="2"/>
      <c r="GQO55" s="2"/>
      <c r="GQP55" s="42"/>
      <c r="GQQ55" s="42"/>
      <c r="GQR55" s="42"/>
      <c r="GQS55" s="42"/>
      <c r="GQT55" s="42"/>
      <c r="GQU55" s="42"/>
      <c r="GQV55" s="42"/>
      <c r="GQW55" s="42"/>
      <c r="GQX55" s="42"/>
      <c r="GQY55" s="42"/>
      <c r="GQZ55" s="42"/>
      <c r="GRA55" s="42"/>
      <c r="GRB55" s="42"/>
      <c r="GRC55" s="42"/>
      <c r="GRD55" s="42"/>
      <c r="GRE55" s="42"/>
      <c r="GRF55" s="42"/>
      <c r="GRG55" s="42"/>
      <c r="GRH55" s="42"/>
      <c r="GRI55" s="42"/>
      <c r="GRJ55" s="42"/>
      <c r="GRK55" s="42"/>
      <c r="GRL55" s="42"/>
      <c r="GRM55" s="2"/>
      <c r="GRN55" s="15"/>
      <c r="GRO55" s="42"/>
      <c r="GRP55" s="2"/>
      <c r="GRQ55" s="2"/>
      <c r="GRR55" s="2"/>
      <c r="GRS55" s="2"/>
      <c r="GRT55" s="42"/>
      <c r="GRU55" s="42"/>
      <c r="GRV55" s="42"/>
      <c r="GRW55" s="42"/>
      <c r="GRX55" s="42"/>
      <c r="GRY55" s="42"/>
      <c r="GRZ55" s="42"/>
      <c r="GSA55" s="42"/>
      <c r="GSB55" s="42"/>
      <c r="GSC55" s="42"/>
      <c r="GSD55" s="42"/>
      <c r="GSE55" s="42"/>
      <c r="GSF55" s="42"/>
      <c r="GSG55" s="42"/>
      <c r="GSH55" s="42"/>
      <c r="GSI55" s="42"/>
      <c r="GSJ55" s="42"/>
      <c r="GSK55" s="42"/>
      <c r="GSL55" s="42"/>
      <c r="GSM55" s="42"/>
      <c r="GSN55" s="42"/>
      <c r="GSO55" s="42"/>
      <c r="GSP55" s="42"/>
      <c r="GSQ55" s="2"/>
      <c r="GSR55" s="15"/>
      <c r="GSS55" s="42"/>
      <c r="GST55" s="2"/>
      <c r="GSU55" s="2"/>
      <c r="GSV55" s="2"/>
      <c r="GSW55" s="2"/>
      <c r="GSX55" s="42"/>
      <c r="GSY55" s="42"/>
      <c r="GSZ55" s="42"/>
      <c r="GTA55" s="42"/>
      <c r="GTB55" s="42"/>
      <c r="GTC55" s="42"/>
      <c r="GTD55" s="42"/>
      <c r="GTE55" s="42"/>
      <c r="GTF55" s="42"/>
      <c r="GTG55" s="42"/>
      <c r="GTH55" s="42"/>
      <c r="GTI55" s="42"/>
      <c r="GTJ55" s="42"/>
      <c r="GTK55" s="42"/>
      <c r="GTL55" s="42"/>
      <c r="GTM55" s="42"/>
      <c r="GTN55" s="42"/>
      <c r="GTO55" s="42"/>
      <c r="GTP55" s="42"/>
      <c r="GTQ55" s="42"/>
      <c r="GTR55" s="42"/>
      <c r="GTS55" s="42"/>
      <c r="GTT55" s="42"/>
      <c r="GTU55" s="2"/>
      <c r="GTV55" s="15"/>
      <c r="GTW55" s="42"/>
      <c r="GTX55" s="2"/>
      <c r="GTY55" s="2"/>
      <c r="GTZ55" s="2"/>
      <c r="GUA55" s="2"/>
      <c r="GUB55" s="42"/>
      <c r="GUC55" s="42"/>
      <c r="GUD55" s="42"/>
      <c r="GUE55" s="42"/>
      <c r="GUF55" s="42"/>
      <c r="GUG55" s="42"/>
      <c r="GUH55" s="42"/>
      <c r="GUI55" s="42"/>
      <c r="GUJ55" s="42"/>
      <c r="GUK55" s="42"/>
      <c r="GUL55" s="42"/>
      <c r="GUM55" s="42"/>
      <c r="GUN55" s="42"/>
      <c r="GUO55" s="42"/>
      <c r="GUP55" s="42"/>
      <c r="GUQ55" s="42"/>
      <c r="GUR55" s="42"/>
      <c r="GUS55" s="42"/>
      <c r="GUT55" s="42"/>
      <c r="GUU55" s="42"/>
      <c r="GUV55" s="42"/>
      <c r="GUW55" s="42"/>
      <c r="GUX55" s="42"/>
      <c r="GUY55" s="2"/>
      <c r="GUZ55" s="15"/>
      <c r="GVA55" s="42"/>
      <c r="GVB55" s="2"/>
      <c r="GVC55" s="2"/>
      <c r="GVD55" s="2"/>
      <c r="GVE55" s="2"/>
      <c r="GVF55" s="42"/>
      <c r="GVG55" s="42"/>
      <c r="GVH55" s="42"/>
      <c r="GVI55" s="42"/>
      <c r="GVJ55" s="42"/>
      <c r="GVK55" s="42"/>
      <c r="GVL55" s="42"/>
      <c r="GVM55" s="42"/>
      <c r="GVN55" s="42"/>
      <c r="GVO55" s="42"/>
      <c r="GVP55" s="42"/>
      <c r="GVQ55" s="42"/>
      <c r="GVR55" s="42"/>
      <c r="GVS55" s="42"/>
      <c r="GVT55" s="42"/>
      <c r="GVU55" s="42"/>
      <c r="GVV55" s="42"/>
      <c r="GVW55" s="42"/>
      <c r="GVX55" s="42"/>
      <c r="GVY55" s="42"/>
      <c r="GVZ55" s="42"/>
      <c r="GWA55" s="42"/>
      <c r="GWB55" s="42"/>
      <c r="GWC55" s="2"/>
      <c r="GWD55" s="15"/>
      <c r="GWE55" s="42"/>
      <c r="GWF55" s="2"/>
      <c r="GWG55" s="2"/>
      <c r="GWH55" s="2"/>
      <c r="GWI55" s="2"/>
      <c r="GWJ55" s="42"/>
      <c r="GWK55" s="42"/>
      <c r="GWL55" s="42"/>
      <c r="GWM55" s="42"/>
      <c r="GWN55" s="42"/>
      <c r="GWO55" s="42"/>
      <c r="GWP55" s="42"/>
      <c r="GWQ55" s="42"/>
      <c r="GWR55" s="42"/>
      <c r="GWS55" s="42"/>
      <c r="GWT55" s="42"/>
      <c r="GWU55" s="42"/>
      <c r="GWV55" s="42"/>
      <c r="GWW55" s="42"/>
      <c r="GWX55" s="42"/>
      <c r="GWY55" s="42"/>
      <c r="GWZ55" s="42"/>
      <c r="GXA55" s="42"/>
      <c r="GXB55" s="42"/>
      <c r="GXC55" s="42"/>
      <c r="GXD55" s="42"/>
      <c r="GXE55" s="42"/>
      <c r="GXF55" s="42"/>
      <c r="GXG55" s="2"/>
      <c r="GXH55" s="15"/>
      <c r="GXI55" s="42"/>
      <c r="GXJ55" s="2"/>
      <c r="GXK55" s="2"/>
      <c r="GXL55" s="2"/>
      <c r="GXM55" s="2"/>
      <c r="GXN55" s="42"/>
      <c r="GXO55" s="42"/>
      <c r="GXP55" s="42"/>
      <c r="GXQ55" s="42"/>
      <c r="GXR55" s="42"/>
      <c r="GXS55" s="42"/>
      <c r="GXT55" s="42"/>
      <c r="GXU55" s="42"/>
      <c r="GXV55" s="42"/>
      <c r="GXW55" s="42"/>
      <c r="GXX55" s="42"/>
      <c r="GXY55" s="42"/>
      <c r="GXZ55" s="42"/>
      <c r="GYA55" s="42"/>
      <c r="GYB55" s="42"/>
      <c r="GYC55" s="42"/>
      <c r="GYD55" s="42"/>
      <c r="GYE55" s="42"/>
      <c r="GYF55" s="42"/>
      <c r="GYG55" s="42"/>
      <c r="GYH55" s="42"/>
      <c r="GYI55" s="42"/>
      <c r="GYJ55" s="42"/>
      <c r="GYK55" s="2"/>
      <c r="GYL55" s="15"/>
      <c r="GYM55" s="42"/>
      <c r="GYN55" s="2"/>
      <c r="GYO55" s="2"/>
      <c r="GYP55" s="2"/>
      <c r="GYQ55" s="2"/>
      <c r="GYR55" s="42"/>
      <c r="GYS55" s="42"/>
      <c r="GYT55" s="42"/>
      <c r="GYU55" s="42"/>
      <c r="GYV55" s="42"/>
      <c r="GYW55" s="42"/>
      <c r="GYX55" s="42"/>
      <c r="GYY55" s="42"/>
      <c r="GYZ55" s="42"/>
      <c r="GZA55" s="42"/>
      <c r="GZB55" s="42"/>
      <c r="GZC55" s="42"/>
      <c r="GZD55" s="42"/>
      <c r="GZE55" s="42"/>
      <c r="GZF55" s="42"/>
      <c r="GZG55" s="42"/>
      <c r="GZH55" s="42"/>
      <c r="GZI55" s="42"/>
      <c r="GZJ55" s="42"/>
      <c r="GZK55" s="42"/>
      <c r="GZL55" s="42"/>
      <c r="GZM55" s="42"/>
      <c r="GZN55" s="42"/>
      <c r="GZO55" s="2"/>
      <c r="GZP55" s="15"/>
      <c r="GZQ55" s="42"/>
      <c r="GZR55" s="2"/>
      <c r="GZS55" s="2"/>
      <c r="GZT55" s="2"/>
      <c r="GZU55" s="2"/>
      <c r="GZV55" s="42"/>
      <c r="GZW55" s="42"/>
      <c r="GZX55" s="42"/>
      <c r="GZY55" s="42"/>
      <c r="GZZ55" s="42"/>
      <c r="HAA55" s="42"/>
      <c r="HAB55" s="42"/>
      <c r="HAC55" s="42"/>
      <c r="HAD55" s="42"/>
      <c r="HAE55" s="42"/>
      <c r="HAF55" s="42"/>
      <c r="HAG55" s="42"/>
      <c r="HAH55" s="42"/>
      <c r="HAI55" s="42"/>
      <c r="HAJ55" s="42"/>
      <c r="HAK55" s="42"/>
      <c r="HAL55" s="42"/>
      <c r="HAM55" s="42"/>
      <c r="HAN55" s="42"/>
      <c r="HAO55" s="42"/>
      <c r="HAP55" s="42"/>
      <c r="HAQ55" s="42"/>
      <c r="HAR55" s="42"/>
      <c r="HAS55" s="2"/>
      <c r="HAT55" s="15"/>
      <c r="HAU55" s="42"/>
      <c r="HAV55" s="2"/>
      <c r="HAW55" s="2"/>
      <c r="HAX55" s="2"/>
      <c r="HAY55" s="2"/>
      <c r="HAZ55" s="42"/>
      <c r="HBA55" s="42"/>
      <c r="HBB55" s="42"/>
      <c r="HBC55" s="42"/>
      <c r="HBD55" s="42"/>
      <c r="HBE55" s="42"/>
      <c r="HBF55" s="42"/>
      <c r="HBG55" s="42"/>
      <c r="HBH55" s="42"/>
      <c r="HBI55" s="42"/>
      <c r="HBJ55" s="42"/>
      <c r="HBK55" s="42"/>
      <c r="HBL55" s="42"/>
      <c r="HBM55" s="42"/>
      <c r="HBN55" s="42"/>
      <c r="HBO55" s="42"/>
      <c r="HBP55" s="42"/>
      <c r="HBQ55" s="42"/>
      <c r="HBR55" s="42"/>
      <c r="HBS55" s="42"/>
      <c r="HBT55" s="42"/>
      <c r="HBU55" s="42"/>
      <c r="HBV55" s="42"/>
      <c r="HBW55" s="2"/>
      <c r="HBX55" s="15"/>
      <c r="HBY55" s="42"/>
      <c r="HBZ55" s="2"/>
      <c r="HCA55" s="2"/>
      <c r="HCB55" s="2"/>
      <c r="HCC55" s="2"/>
      <c r="HCD55" s="42"/>
      <c r="HCE55" s="42"/>
      <c r="HCF55" s="42"/>
      <c r="HCG55" s="42"/>
      <c r="HCH55" s="42"/>
      <c r="HCI55" s="42"/>
      <c r="HCJ55" s="42"/>
      <c r="HCK55" s="42"/>
      <c r="HCL55" s="42"/>
      <c r="HCM55" s="42"/>
      <c r="HCN55" s="42"/>
      <c r="HCO55" s="42"/>
      <c r="HCP55" s="42"/>
      <c r="HCQ55" s="42"/>
      <c r="HCR55" s="42"/>
      <c r="HCS55" s="42"/>
      <c r="HCT55" s="42"/>
      <c r="HCU55" s="42"/>
      <c r="HCV55" s="42"/>
      <c r="HCW55" s="42"/>
      <c r="HCX55" s="42"/>
      <c r="HCY55" s="42"/>
      <c r="HCZ55" s="42"/>
      <c r="HDA55" s="2"/>
      <c r="HDB55" s="15"/>
      <c r="HDC55" s="42"/>
      <c r="HDD55" s="2"/>
      <c r="HDE55" s="2"/>
      <c r="HDF55" s="2"/>
      <c r="HDG55" s="2"/>
      <c r="HDH55" s="42"/>
      <c r="HDI55" s="42"/>
      <c r="HDJ55" s="42"/>
      <c r="HDK55" s="42"/>
      <c r="HDL55" s="42"/>
      <c r="HDM55" s="42"/>
      <c r="HDN55" s="42"/>
      <c r="HDO55" s="42"/>
      <c r="HDP55" s="42"/>
      <c r="HDQ55" s="42"/>
      <c r="HDR55" s="42"/>
      <c r="HDS55" s="42"/>
      <c r="HDT55" s="42"/>
      <c r="HDU55" s="42"/>
      <c r="HDV55" s="42"/>
      <c r="HDW55" s="42"/>
      <c r="HDX55" s="42"/>
      <c r="HDY55" s="42"/>
      <c r="HDZ55" s="42"/>
      <c r="HEA55" s="42"/>
      <c r="HEB55" s="42"/>
      <c r="HEC55" s="42"/>
      <c r="HED55" s="42"/>
      <c r="HEE55" s="2"/>
      <c r="HEF55" s="15"/>
      <c r="HEG55" s="42"/>
      <c r="HEH55" s="2"/>
      <c r="HEI55" s="2"/>
      <c r="HEJ55" s="2"/>
      <c r="HEK55" s="2"/>
      <c r="HEL55" s="42"/>
      <c r="HEM55" s="42"/>
      <c r="HEN55" s="42"/>
      <c r="HEO55" s="42"/>
      <c r="HEP55" s="42"/>
      <c r="HEQ55" s="42"/>
      <c r="HER55" s="42"/>
      <c r="HES55" s="42"/>
      <c r="HET55" s="42"/>
      <c r="HEU55" s="42"/>
      <c r="HEV55" s="42"/>
      <c r="HEW55" s="42"/>
      <c r="HEX55" s="42"/>
      <c r="HEY55" s="42"/>
      <c r="HEZ55" s="42"/>
      <c r="HFA55" s="42"/>
      <c r="HFB55" s="42"/>
      <c r="HFC55" s="42"/>
      <c r="HFD55" s="42"/>
      <c r="HFE55" s="42"/>
      <c r="HFF55" s="42"/>
      <c r="HFG55" s="42"/>
      <c r="HFH55" s="42"/>
      <c r="HFI55" s="2"/>
      <c r="HFJ55" s="15"/>
      <c r="HFK55" s="42"/>
      <c r="HFL55" s="2"/>
      <c r="HFM55" s="2"/>
      <c r="HFN55" s="2"/>
      <c r="HFO55" s="2"/>
      <c r="HFP55" s="42"/>
      <c r="HFQ55" s="42"/>
      <c r="HFR55" s="42"/>
      <c r="HFS55" s="42"/>
      <c r="HFT55" s="42"/>
      <c r="HFU55" s="42"/>
      <c r="HFV55" s="42"/>
      <c r="HFW55" s="42"/>
      <c r="HFX55" s="42"/>
      <c r="HFY55" s="42"/>
      <c r="HFZ55" s="42"/>
      <c r="HGA55" s="42"/>
      <c r="HGB55" s="42"/>
      <c r="HGC55" s="42"/>
      <c r="HGD55" s="42"/>
      <c r="HGE55" s="42"/>
      <c r="HGF55" s="42"/>
      <c r="HGG55" s="42"/>
      <c r="HGH55" s="42"/>
      <c r="HGI55" s="42"/>
      <c r="HGJ55" s="42"/>
      <c r="HGK55" s="42"/>
      <c r="HGL55" s="42"/>
      <c r="HGM55" s="2"/>
      <c r="HGN55" s="15"/>
      <c r="HGO55" s="42"/>
      <c r="HGP55" s="2"/>
      <c r="HGQ55" s="2"/>
      <c r="HGR55" s="2"/>
      <c r="HGS55" s="2"/>
      <c r="HGT55" s="42"/>
      <c r="HGU55" s="42"/>
      <c r="HGV55" s="42"/>
      <c r="HGW55" s="42"/>
      <c r="HGX55" s="42"/>
      <c r="HGY55" s="42"/>
      <c r="HGZ55" s="42"/>
      <c r="HHA55" s="42"/>
      <c r="HHB55" s="42"/>
      <c r="HHC55" s="42"/>
      <c r="HHD55" s="42"/>
      <c r="HHE55" s="42"/>
      <c r="HHF55" s="42"/>
      <c r="HHG55" s="42"/>
      <c r="HHH55" s="42"/>
      <c r="HHI55" s="42"/>
      <c r="HHJ55" s="42"/>
      <c r="HHK55" s="42"/>
      <c r="HHL55" s="42"/>
      <c r="HHM55" s="42"/>
      <c r="HHN55" s="42"/>
      <c r="HHO55" s="42"/>
      <c r="HHP55" s="42"/>
      <c r="HHQ55" s="2"/>
      <c r="HHR55" s="15"/>
      <c r="HHS55" s="42"/>
      <c r="HHT55" s="2"/>
      <c r="HHU55" s="2"/>
      <c r="HHV55" s="2"/>
      <c r="HHW55" s="2"/>
      <c r="HHX55" s="42"/>
      <c r="HHY55" s="42"/>
      <c r="HHZ55" s="42"/>
      <c r="HIA55" s="42"/>
      <c r="HIB55" s="42"/>
      <c r="HIC55" s="42"/>
      <c r="HID55" s="42"/>
      <c r="HIE55" s="42"/>
      <c r="HIF55" s="42"/>
      <c r="HIG55" s="42"/>
      <c r="HIH55" s="42"/>
      <c r="HII55" s="42"/>
      <c r="HIJ55" s="42"/>
      <c r="HIK55" s="42"/>
      <c r="HIL55" s="42"/>
      <c r="HIM55" s="42"/>
      <c r="HIN55" s="42"/>
      <c r="HIO55" s="42"/>
      <c r="HIP55" s="42"/>
      <c r="HIQ55" s="42"/>
      <c r="HIR55" s="42"/>
      <c r="HIS55" s="42"/>
      <c r="HIT55" s="42"/>
      <c r="HIU55" s="2"/>
      <c r="HIV55" s="15"/>
      <c r="HIW55" s="42"/>
      <c r="HIX55" s="2"/>
      <c r="HIY55" s="2"/>
      <c r="HIZ55" s="2"/>
      <c r="HJA55" s="2"/>
      <c r="HJB55" s="42"/>
      <c r="HJC55" s="42"/>
      <c r="HJD55" s="42"/>
      <c r="HJE55" s="42"/>
      <c r="HJF55" s="42"/>
      <c r="HJG55" s="42"/>
      <c r="HJH55" s="42"/>
      <c r="HJI55" s="42"/>
      <c r="HJJ55" s="42"/>
      <c r="HJK55" s="42"/>
      <c r="HJL55" s="42"/>
      <c r="HJM55" s="42"/>
      <c r="HJN55" s="42"/>
      <c r="HJO55" s="42"/>
      <c r="HJP55" s="42"/>
      <c r="HJQ55" s="42"/>
      <c r="HJR55" s="42"/>
      <c r="HJS55" s="42"/>
      <c r="HJT55" s="42"/>
      <c r="HJU55" s="42"/>
      <c r="HJV55" s="42"/>
      <c r="HJW55" s="42"/>
      <c r="HJX55" s="42"/>
      <c r="HJY55" s="2"/>
      <c r="HJZ55" s="15"/>
      <c r="HKA55" s="42"/>
      <c r="HKB55" s="2"/>
      <c r="HKC55" s="2"/>
      <c r="HKD55" s="2"/>
      <c r="HKE55" s="2"/>
      <c r="HKF55" s="42"/>
      <c r="HKG55" s="42"/>
      <c r="HKH55" s="42"/>
      <c r="HKI55" s="42"/>
      <c r="HKJ55" s="42"/>
      <c r="HKK55" s="42"/>
      <c r="HKL55" s="42"/>
      <c r="HKM55" s="42"/>
      <c r="HKN55" s="42"/>
      <c r="HKO55" s="42"/>
      <c r="HKP55" s="42"/>
      <c r="HKQ55" s="42"/>
      <c r="HKR55" s="42"/>
      <c r="HKS55" s="42"/>
      <c r="HKT55" s="42"/>
      <c r="HKU55" s="42"/>
      <c r="HKV55" s="42"/>
      <c r="HKW55" s="42"/>
      <c r="HKX55" s="42"/>
      <c r="HKY55" s="42"/>
      <c r="HKZ55" s="42"/>
      <c r="HLA55" s="42"/>
      <c r="HLB55" s="42"/>
      <c r="HLC55" s="2"/>
      <c r="HLD55" s="15"/>
      <c r="HLE55" s="42"/>
      <c r="HLF55" s="2"/>
      <c r="HLG55" s="2"/>
      <c r="HLH55" s="2"/>
      <c r="HLI55" s="2"/>
      <c r="HLJ55" s="42"/>
      <c r="HLK55" s="42"/>
      <c r="HLL55" s="42"/>
      <c r="HLM55" s="42"/>
      <c r="HLN55" s="42"/>
      <c r="HLO55" s="42"/>
      <c r="HLP55" s="42"/>
      <c r="HLQ55" s="42"/>
      <c r="HLR55" s="42"/>
      <c r="HLS55" s="42"/>
      <c r="HLT55" s="42"/>
      <c r="HLU55" s="42"/>
      <c r="HLV55" s="42"/>
      <c r="HLW55" s="42"/>
      <c r="HLX55" s="42"/>
      <c r="HLY55" s="42"/>
      <c r="HLZ55" s="42"/>
      <c r="HMA55" s="42"/>
      <c r="HMB55" s="42"/>
      <c r="HMC55" s="42"/>
      <c r="HMD55" s="42"/>
      <c r="HME55" s="42"/>
      <c r="HMF55" s="42"/>
      <c r="HMG55" s="2"/>
      <c r="HMH55" s="15"/>
      <c r="HMI55" s="42"/>
      <c r="HMJ55" s="2"/>
      <c r="HMK55" s="2"/>
      <c r="HML55" s="2"/>
      <c r="HMM55" s="2"/>
      <c r="HMN55" s="42"/>
      <c r="HMO55" s="42"/>
      <c r="HMP55" s="42"/>
      <c r="HMQ55" s="42"/>
      <c r="HMR55" s="42"/>
      <c r="HMS55" s="42"/>
      <c r="HMT55" s="42"/>
      <c r="HMU55" s="42"/>
      <c r="HMV55" s="42"/>
      <c r="HMW55" s="42"/>
      <c r="HMX55" s="42"/>
      <c r="HMY55" s="42"/>
      <c r="HMZ55" s="42"/>
      <c r="HNA55" s="42"/>
      <c r="HNB55" s="42"/>
      <c r="HNC55" s="42"/>
      <c r="HND55" s="42"/>
      <c r="HNE55" s="42"/>
      <c r="HNF55" s="42"/>
      <c r="HNG55" s="42"/>
      <c r="HNH55" s="42"/>
      <c r="HNI55" s="42"/>
      <c r="HNJ55" s="42"/>
      <c r="HNK55" s="2"/>
      <c r="HNL55" s="15"/>
      <c r="HNM55" s="42"/>
      <c r="HNN55" s="2"/>
      <c r="HNO55" s="2"/>
      <c r="HNP55" s="2"/>
      <c r="HNQ55" s="2"/>
      <c r="HNR55" s="42"/>
      <c r="HNS55" s="42"/>
      <c r="HNT55" s="42"/>
      <c r="HNU55" s="42"/>
      <c r="HNV55" s="42"/>
      <c r="HNW55" s="42"/>
      <c r="HNX55" s="42"/>
      <c r="HNY55" s="42"/>
      <c r="HNZ55" s="42"/>
      <c r="HOA55" s="42"/>
      <c r="HOB55" s="42"/>
      <c r="HOC55" s="42"/>
      <c r="HOD55" s="42"/>
      <c r="HOE55" s="42"/>
      <c r="HOF55" s="42"/>
      <c r="HOG55" s="42"/>
      <c r="HOH55" s="42"/>
      <c r="HOI55" s="42"/>
      <c r="HOJ55" s="42"/>
      <c r="HOK55" s="42"/>
      <c r="HOL55" s="42"/>
      <c r="HOM55" s="42"/>
      <c r="HON55" s="42"/>
      <c r="HOO55" s="2"/>
      <c r="HOP55" s="15"/>
      <c r="HOQ55" s="42"/>
      <c r="HOR55" s="2"/>
      <c r="HOS55" s="2"/>
      <c r="HOT55" s="2"/>
      <c r="HOU55" s="2"/>
      <c r="HOV55" s="42"/>
      <c r="HOW55" s="42"/>
      <c r="HOX55" s="42"/>
      <c r="HOY55" s="42"/>
      <c r="HOZ55" s="42"/>
      <c r="HPA55" s="42"/>
      <c r="HPB55" s="42"/>
      <c r="HPC55" s="42"/>
      <c r="HPD55" s="42"/>
      <c r="HPE55" s="42"/>
      <c r="HPF55" s="42"/>
      <c r="HPG55" s="42"/>
      <c r="HPH55" s="42"/>
      <c r="HPI55" s="42"/>
      <c r="HPJ55" s="42"/>
      <c r="HPK55" s="42"/>
      <c r="HPL55" s="42"/>
      <c r="HPM55" s="42"/>
      <c r="HPN55" s="42"/>
      <c r="HPO55" s="42"/>
      <c r="HPP55" s="42"/>
      <c r="HPQ55" s="42"/>
      <c r="HPR55" s="42"/>
      <c r="HPS55" s="2"/>
      <c r="HPT55" s="15"/>
      <c r="HPU55" s="42"/>
      <c r="HPV55" s="2"/>
      <c r="HPW55" s="2"/>
      <c r="HPX55" s="2"/>
      <c r="HPY55" s="2"/>
      <c r="HPZ55" s="42"/>
      <c r="HQA55" s="42"/>
      <c r="HQB55" s="42"/>
      <c r="HQC55" s="42"/>
      <c r="HQD55" s="42"/>
      <c r="HQE55" s="42"/>
      <c r="HQF55" s="42"/>
      <c r="HQG55" s="42"/>
      <c r="HQH55" s="42"/>
      <c r="HQI55" s="42"/>
      <c r="HQJ55" s="42"/>
      <c r="HQK55" s="42"/>
      <c r="HQL55" s="42"/>
      <c r="HQM55" s="42"/>
      <c r="HQN55" s="42"/>
      <c r="HQO55" s="42"/>
      <c r="HQP55" s="42"/>
      <c r="HQQ55" s="42"/>
      <c r="HQR55" s="42"/>
      <c r="HQS55" s="42"/>
      <c r="HQT55" s="42"/>
      <c r="HQU55" s="42"/>
      <c r="HQV55" s="42"/>
      <c r="HQW55" s="2"/>
      <c r="HQX55" s="15"/>
      <c r="HQY55" s="42"/>
      <c r="HQZ55" s="2"/>
      <c r="HRA55" s="2"/>
      <c r="HRB55" s="2"/>
      <c r="HRC55" s="2"/>
      <c r="HRD55" s="42"/>
      <c r="HRE55" s="42"/>
      <c r="HRF55" s="42"/>
      <c r="HRG55" s="42"/>
      <c r="HRH55" s="42"/>
      <c r="HRI55" s="42"/>
      <c r="HRJ55" s="42"/>
      <c r="HRK55" s="42"/>
      <c r="HRL55" s="42"/>
      <c r="HRM55" s="42"/>
      <c r="HRN55" s="42"/>
      <c r="HRO55" s="42"/>
      <c r="HRP55" s="42"/>
      <c r="HRQ55" s="42"/>
      <c r="HRR55" s="42"/>
      <c r="HRS55" s="42"/>
      <c r="HRT55" s="42"/>
      <c r="HRU55" s="42"/>
      <c r="HRV55" s="42"/>
      <c r="HRW55" s="42"/>
      <c r="HRX55" s="42"/>
      <c r="HRY55" s="42"/>
      <c r="HRZ55" s="42"/>
      <c r="HSA55" s="2"/>
      <c r="HSB55" s="15"/>
      <c r="HSC55" s="42"/>
      <c r="HSD55" s="2"/>
      <c r="HSE55" s="2"/>
      <c r="HSF55" s="2"/>
      <c r="HSG55" s="2"/>
      <c r="HSH55" s="42"/>
      <c r="HSI55" s="42"/>
      <c r="HSJ55" s="42"/>
      <c r="HSK55" s="42"/>
      <c r="HSL55" s="42"/>
      <c r="HSM55" s="42"/>
      <c r="HSN55" s="42"/>
      <c r="HSO55" s="42"/>
      <c r="HSP55" s="42"/>
      <c r="HSQ55" s="42"/>
      <c r="HSR55" s="42"/>
      <c r="HSS55" s="42"/>
      <c r="HST55" s="42"/>
      <c r="HSU55" s="42"/>
      <c r="HSV55" s="42"/>
      <c r="HSW55" s="42"/>
      <c r="HSX55" s="42"/>
      <c r="HSY55" s="42"/>
      <c r="HSZ55" s="42"/>
      <c r="HTA55" s="42"/>
      <c r="HTB55" s="42"/>
      <c r="HTC55" s="42"/>
      <c r="HTD55" s="42"/>
      <c r="HTE55" s="2"/>
      <c r="HTF55" s="15"/>
      <c r="HTG55" s="42"/>
      <c r="HTH55" s="2"/>
      <c r="HTI55" s="2"/>
      <c r="HTJ55" s="2"/>
      <c r="HTK55" s="2"/>
      <c r="HTL55" s="42"/>
      <c r="HTM55" s="42"/>
      <c r="HTN55" s="42"/>
      <c r="HTO55" s="42"/>
      <c r="HTP55" s="42"/>
      <c r="HTQ55" s="42"/>
      <c r="HTR55" s="42"/>
      <c r="HTS55" s="42"/>
      <c r="HTT55" s="42"/>
      <c r="HTU55" s="42"/>
      <c r="HTV55" s="42"/>
      <c r="HTW55" s="42"/>
      <c r="HTX55" s="42"/>
      <c r="HTY55" s="42"/>
      <c r="HTZ55" s="42"/>
      <c r="HUA55" s="42"/>
      <c r="HUB55" s="42"/>
      <c r="HUC55" s="42"/>
      <c r="HUD55" s="42"/>
      <c r="HUE55" s="42"/>
      <c r="HUF55" s="42"/>
      <c r="HUG55" s="42"/>
      <c r="HUH55" s="42"/>
      <c r="HUI55" s="2"/>
      <c r="HUJ55" s="15"/>
      <c r="HUK55" s="42"/>
      <c r="HUL55" s="2"/>
      <c r="HUM55" s="2"/>
      <c r="HUN55" s="2"/>
      <c r="HUO55" s="2"/>
      <c r="HUP55" s="42"/>
      <c r="HUQ55" s="42"/>
      <c r="HUR55" s="42"/>
      <c r="HUS55" s="42"/>
      <c r="HUT55" s="42"/>
      <c r="HUU55" s="42"/>
      <c r="HUV55" s="42"/>
      <c r="HUW55" s="42"/>
      <c r="HUX55" s="42"/>
      <c r="HUY55" s="42"/>
      <c r="HUZ55" s="42"/>
      <c r="HVA55" s="42"/>
      <c r="HVB55" s="42"/>
      <c r="HVC55" s="42"/>
      <c r="HVD55" s="42"/>
      <c r="HVE55" s="42"/>
      <c r="HVF55" s="42"/>
      <c r="HVG55" s="42"/>
      <c r="HVH55" s="42"/>
      <c r="HVI55" s="42"/>
      <c r="HVJ55" s="42"/>
      <c r="HVK55" s="42"/>
      <c r="HVL55" s="42"/>
      <c r="HVM55" s="2"/>
      <c r="HVN55" s="15"/>
      <c r="HVO55" s="42"/>
      <c r="HVP55" s="2"/>
      <c r="HVQ55" s="2"/>
      <c r="HVR55" s="2"/>
      <c r="HVS55" s="2"/>
      <c r="HVT55" s="42"/>
      <c r="HVU55" s="42"/>
      <c r="HVV55" s="42"/>
      <c r="HVW55" s="42"/>
      <c r="HVX55" s="42"/>
      <c r="HVY55" s="42"/>
      <c r="HVZ55" s="42"/>
      <c r="HWA55" s="42"/>
      <c r="HWB55" s="42"/>
      <c r="HWC55" s="42"/>
      <c r="HWD55" s="42"/>
      <c r="HWE55" s="42"/>
      <c r="HWF55" s="42"/>
      <c r="HWG55" s="42"/>
      <c r="HWH55" s="42"/>
      <c r="HWI55" s="42"/>
      <c r="HWJ55" s="42"/>
      <c r="HWK55" s="42"/>
      <c r="HWL55" s="42"/>
      <c r="HWM55" s="42"/>
      <c r="HWN55" s="42"/>
      <c r="HWO55" s="42"/>
      <c r="HWP55" s="42"/>
      <c r="HWQ55" s="2"/>
      <c r="HWR55" s="15"/>
      <c r="HWS55" s="42"/>
      <c r="HWT55" s="2"/>
      <c r="HWU55" s="2"/>
      <c r="HWV55" s="2"/>
      <c r="HWW55" s="2"/>
      <c r="HWX55" s="42"/>
      <c r="HWY55" s="42"/>
      <c r="HWZ55" s="42"/>
      <c r="HXA55" s="42"/>
      <c r="HXB55" s="42"/>
      <c r="HXC55" s="42"/>
      <c r="HXD55" s="42"/>
      <c r="HXE55" s="42"/>
      <c r="HXF55" s="42"/>
      <c r="HXG55" s="42"/>
      <c r="HXH55" s="42"/>
      <c r="HXI55" s="42"/>
      <c r="HXJ55" s="42"/>
      <c r="HXK55" s="42"/>
      <c r="HXL55" s="42"/>
      <c r="HXM55" s="42"/>
      <c r="HXN55" s="42"/>
      <c r="HXO55" s="42"/>
      <c r="HXP55" s="42"/>
      <c r="HXQ55" s="42"/>
      <c r="HXR55" s="42"/>
      <c r="HXS55" s="42"/>
      <c r="HXT55" s="42"/>
      <c r="HXU55" s="2"/>
      <c r="HXV55" s="15"/>
      <c r="HXW55" s="42"/>
      <c r="HXX55" s="2"/>
      <c r="HXY55" s="2"/>
      <c r="HXZ55" s="2"/>
      <c r="HYA55" s="2"/>
      <c r="HYB55" s="42"/>
      <c r="HYC55" s="42"/>
      <c r="HYD55" s="42"/>
      <c r="HYE55" s="42"/>
      <c r="HYF55" s="42"/>
      <c r="HYG55" s="42"/>
      <c r="HYH55" s="42"/>
      <c r="HYI55" s="42"/>
      <c r="HYJ55" s="42"/>
      <c r="HYK55" s="42"/>
      <c r="HYL55" s="42"/>
      <c r="HYM55" s="42"/>
      <c r="HYN55" s="42"/>
      <c r="HYO55" s="42"/>
      <c r="HYP55" s="42"/>
      <c r="HYQ55" s="42"/>
      <c r="HYR55" s="42"/>
      <c r="HYS55" s="42"/>
      <c r="HYT55" s="42"/>
      <c r="HYU55" s="42"/>
      <c r="HYV55" s="42"/>
      <c r="HYW55" s="42"/>
      <c r="HYX55" s="42"/>
      <c r="HYY55" s="2"/>
      <c r="HYZ55" s="15"/>
      <c r="HZA55" s="42"/>
      <c r="HZB55" s="2"/>
      <c r="HZC55" s="2"/>
      <c r="HZD55" s="2"/>
      <c r="HZE55" s="2"/>
      <c r="HZF55" s="42"/>
      <c r="HZG55" s="42"/>
      <c r="HZH55" s="42"/>
      <c r="HZI55" s="42"/>
      <c r="HZJ55" s="42"/>
      <c r="HZK55" s="42"/>
      <c r="HZL55" s="42"/>
      <c r="HZM55" s="42"/>
      <c r="HZN55" s="42"/>
      <c r="HZO55" s="42"/>
      <c r="HZP55" s="42"/>
      <c r="HZQ55" s="42"/>
      <c r="HZR55" s="42"/>
      <c r="HZS55" s="42"/>
      <c r="HZT55" s="42"/>
      <c r="HZU55" s="42"/>
      <c r="HZV55" s="42"/>
      <c r="HZW55" s="42"/>
      <c r="HZX55" s="42"/>
      <c r="HZY55" s="42"/>
      <c r="HZZ55" s="42"/>
      <c r="IAA55" s="42"/>
      <c r="IAB55" s="42"/>
      <c r="IAC55" s="2"/>
      <c r="IAD55" s="15"/>
      <c r="IAE55" s="42"/>
      <c r="IAF55" s="2"/>
      <c r="IAG55" s="2"/>
      <c r="IAH55" s="2"/>
      <c r="IAI55" s="2"/>
      <c r="IAJ55" s="42"/>
      <c r="IAK55" s="42"/>
      <c r="IAL55" s="42"/>
      <c r="IAM55" s="42"/>
      <c r="IAN55" s="42"/>
      <c r="IAO55" s="42"/>
      <c r="IAP55" s="42"/>
      <c r="IAQ55" s="42"/>
      <c r="IAR55" s="42"/>
      <c r="IAS55" s="42"/>
      <c r="IAT55" s="42"/>
      <c r="IAU55" s="42"/>
      <c r="IAV55" s="42"/>
      <c r="IAW55" s="42"/>
      <c r="IAX55" s="42"/>
      <c r="IAY55" s="42"/>
      <c r="IAZ55" s="42"/>
      <c r="IBA55" s="42"/>
      <c r="IBB55" s="42"/>
      <c r="IBC55" s="42"/>
      <c r="IBD55" s="42"/>
      <c r="IBE55" s="42"/>
      <c r="IBF55" s="42"/>
      <c r="IBG55" s="2"/>
      <c r="IBH55" s="15"/>
      <c r="IBI55" s="42"/>
      <c r="IBJ55" s="2"/>
      <c r="IBK55" s="2"/>
      <c r="IBL55" s="2"/>
      <c r="IBM55" s="2"/>
      <c r="IBN55" s="42"/>
      <c r="IBO55" s="42"/>
      <c r="IBP55" s="42"/>
      <c r="IBQ55" s="42"/>
      <c r="IBR55" s="42"/>
      <c r="IBS55" s="42"/>
      <c r="IBT55" s="42"/>
      <c r="IBU55" s="42"/>
      <c r="IBV55" s="42"/>
      <c r="IBW55" s="42"/>
      <c r="IBX55" s="42"/>
      <c r="IBY55" s="42"/>
      <c r="IBZ55" s="42"/>
      <c r="ICA55" s="42"/>
      <c r="ICB55" s="42"/>
      <c r="ICC55" s="42"/>
      <c r="ICD55" s="42"/>
      <c r="ICE55" s="42"/>
      <c r="ICF55" s="42"/>
      <c r="ICG55" s="42"/>
      <c r="ICH55" s="42"/>
      <c r="ICI55" s="42"/>
      <c r="ICJ55" s="42"/>
      <c r="ICK55" s="2"/>
      <c r="ICL55" s="15"/>
      <c r="ICM55" s="42"/>
      <c r="ICN55" s="2"/>
      <c r="ICO55" s="2"/>
      <c r="ICP55" s="2"/>
      <c r="ICQ55" s="2"/>
      <c r="ICR55" s="42"/>
      <c r="ICS55" s="42"/>
      <c r="ICT55" s="42"/>
      <c r="ICU55" s="42"/>
      <c r="ICV55" s="42"/>
      <c r="ICW55" s="42"/>
      <c r="ICX55" s="42"/>
      <c r="ICY55" s="42"/>
      <c r="ICZ55" s="42"/>
      <c r="IDA55" s="42"/>
      <c r="IDB55" s="42"/>
      <c r="IDC55" s="42"/>
      <c r="IDD55" s="42"/>
      <c r="IDE55" s="42"/>
      <c r="IDF55" s="42"/>
      <c r="IDG55" s="42"/>
      <c r="IDH55" s="42"/>
      <c r="IDI55" s="42"/>
      <c r="IDJ55" s="42"/>
      <c r="IDK55" s="42"/>
      <c r="IDL55" s="42"/>
      <c r="IDM55" s="42"/>
      <c r="IDN55" s="42"/>
      <c r="IDO55" s="2"/>
      <c r="IDP55" s="15"/>
      <c r="IDQ55" s="42"/>
      <c r="IDR55" s="2"/>
      <c r="IDS55" s="2"/>
      <c r="IDT55" s="2"/>
      <c r="IDU55" s="2"/>
      <c r="IDV55" s="42"/>
      <c r="IDW55" s="42"/>
      <c r="IDX55" s="42"/>
      <c r="IDY55" s="42"/>
      <c r="IDZ55" s="42"/>
      <c r="IEA55" s="42"/>
      <c r="IEB55" s="42"/>
      <c r="IEC55" s="42"/>
      <c r="IED55" s="42"/>
      <c r="IEE55" s="42"/>
      <c r="IEF55" s="42"/>
      <c r="IEG55" s="42"/>
      <c r="IEH55" s="42"/>
      <c r="IEI55" s="42"/>
      <c r="IEJ55" s="42"/>
      <c r="IEK55" s="42"/>
      <c r="IEL55" s="42"/>
      <c r="IEM55" s="42"/>
      <c r="IEN55" s="42"/>
      <c r="IEO55" s="42"/>
      <c r="IEP55" s="42"/>
      <c r="IEQ55" s="42"/>
      <c r="IER55" s="42"/>
      <c r="IES55" s="2"/>
      <c r="IET55" s="15"/>
      <c r="IEU55" s="42"/>
      <c r="IEV55" s="2"/>
      <c r="IEW55" s="2"/>
      <c r="IEX55" s="2"/>
      <c r="IEY55" s="2"/>
      <c r="IEZ55" s="42"/>
      <c r="IFA55" s="42"/>
      <c r="IFB55" s="42"/>
      <c r="IFC55" s="42"/>
      <c r="IFD55" s="42"/>
      <c r="IFE55" s="42"/>
      <c r="IFF55" s="42"/>
      <c r="IFG55" s="42"/>
      <c r="IFH55" s="42"/>
      <c r="IFI55" s="42"/>
      <c r="IFJ55" s="42"/>
      <c r="IFK55" s="42"/>
      <c r="IFL55" s="42"/>
      <c r="IFM55" s="42"/>
      <c r="IFN55" s="42"/>
      <c r="IFO55" s="42"/>
      <c r="IFP55" s="42"/>
      <c r="IFQ55" s="42"/>
      <c r="IFR55" s="42"/>
      <c r="IFS55" s="42"/>
      <c r="IFT55" s="42"/>
      <c r="IFU55" s="42"/>
      <c r="IFV55" s="42"/>
      <c r="IFW55" s="2"/>
      <c r="IFX55" s="15"/>
      <c r="IFY55" s="42"/>
      <c r="IFZ55" s="2"/>
      <c r="IGA55" s="2"/>
      <c r="IGB55" s="2"/>
      <c r="IGC55" s="2"/>
      <c r="IGD55" s="42"/>
      <c r="IGE55" s="42"/>
      <c r="IGF55" s="42"/>
      <c r="IGG55" s="42"/>
      <c r="IGH55" s="42"/>
      <c r="IGI55" s="42"/>
      <c r="IGJ55" s="42"/>
      <c r="IGK55" s="42"/>
      <c r="IGL55" s="42"/>
      <c r="IGM55" s="42"/>
      <c r="IGN55" s="42"/>
      <c r="IGO55" s="42"/>
      <c r="IGP55" s="42"/>
      <c r="IGQ55" s="42"/>
      <c r="IGR55" s="42"/>
      <c r="IGS55" s="42"/>
      <c r="IGT55" s="42"/>
      <c r="IGU55" s="42"/>
      <c r="IGV55" s="42"/>
      <c r="IGW55" s="42"/>
      <c r="IGX55" s="42"/>
      <c r="IGY55" s="42"/>
      <c r="IGZ55" s="42"/>
      <c r="IHA55" s="2"/>
      <c r="IHB55" s="15"/>
      <c r="IHC55" s="42"/>
      <c r="IHD55" s="2"/>
      <c r="IHE55" s="2"/>
      <c r="IHF55" s="2"/>
      <c r="IHG55" s="2"/>
      <c r="IHH55" s="42"/>
      <c r="IHI55" s="42"/>
      <c r="IHJ55" s="42"/>
      <c r="IHK55" s="42"/>
      <c r="IHL55" s="42"/>
      <c r="IHM55" s="42"/>
      <c r="IHN55" s="42"/>
      <c r="IHO55" s="42"/>
      <c r="IHP55" s="42"/>
      <c r="IHQ55" s="42"/>
      <c r="IHR55" s="42"/>
      <c r="IHS55" s="42"/>
      <c r="IHT55" s="42"/>
      <c r="IHU55" s="42"/>
      <c r="IHV55" s="42"/>
      <c r="IHW55" s="42"/>
      <c r="IHX55" s="42"/>
      <c r="IHY55" s="42"/>
      <c r="IHZ55" s="42"/>
      <c r="IIA55" s="42"/>
      <c r="IIB55" s="42"/>
      <c r="IIC55" s="42"/>
      <c r="IID55" s="42"/>
      <c r="IIE55" s="2"/>
      <c r="IIF55" s="15"/>
      <c r="IIG55" s="42"/>
      <c r="IIH55" s="2"/>
      <c r="III55" s="2"/>
      <c r="IIJ55" s="2"/>
      <c r="IIK55" s="2"/>
      <c r="IIL55" s="42"/>
      <c r="IIM55" s="42"/>
      <c r="IIN55" s="42"/>
      <c r="IIO55" s="42"/>
      <c r="IIP55" s="42"/>
      <c r="IIQ55" s="42"/>
      <c r="IIR55" s="42"/>
      <c r="IIS55" s="42"/>
      <c r="IIT55" s="42"/>
      <c r="IIU55" s="42"/>
      <c r="IIV55" s="42"/>
      <c r="IIW55" s="42"/>
      <c r="IIX55" s="42"/>
      <c r="IIY55" s="42"/>
      <c r="IIZ55" s="42"/>
      <c r="IJA55" s="42"/>
      <c r="IJB55" s="42"/>
      <c r="IJC55" s="42"/>
      <c r="IJD55" s="42"/>
      <c r="IJE55" s="42"/>
      <c r="IJF55" s="42"/>
      <c r="IJG55" s="42"/>
      <c r="IJH55" s="42"/>
      <c r="IJI55" s="2"/>
      <c r="IJJ55" s="15"/>
      <c r="IJK55" s="42"/>
      <c r="IJL55" s="2"/>
      <c r="IJM55" s="2"/>
      <c r="IJN55" s="2"/>
      <c r="IJO55" s="2"/>
      <c r="IJP55" s="42"/>
      <c r="IJQ55" s="42"/>
      <c r="IJR55" s="42"/>
      <c r="IJS55" s="42"/>
      <c r="IJT55" s="42"/>
      <c r="IJU55" s="42"/>
      <c r="IJV55" s="42"/>
      <c r="IJW55" s="42"/>
      <c r="IJX55" s="42"/>
      <c r="IJY55" s="42"/>
      <c r="IJZ55" s="42"/>
      <c r="IKA55" s="42"/>
      <c r="IKB55" s="42"/>
      <c r="IKC55" s="42"/>
      <c r="IKD55" s="42"/>
      <c r="IKE55" s="42"/>
      <c r="IKF55" s="42"/>
      <c r="IKG55" s="42"/>
      <c r="IKH55" s="42"/>
      <c r="IKI55" s="42"/>
      <c r="IKJ55" s="42"/>
      <c r="IKK55" s="42"/>
      <c r="IKL55" s="42"/>
      <c r="IKM55" s="2"/>
      <c r="IKN55" s="15"/>
      <c r="IKO55" s="42"/>
      <c r="IKP55" s="2"/>
      <c r="IKQ55" s="2"/>
      <c r="IKR55" s="2"/>
      <c r="IKS55" s="2"/>
      <c r="IKT55" s="42"/>
      <c r="IKU55" s="42"/>
      <c r="IKV55" s="42"/>
      <c r="IKW55" s="42"/>
      <c r="IKX55" s="42"/>
      <c r="IKY55" s="42"/>
      <c r="IKZ55" s="42"/>
      <c r="ILA55" s="42"/>
      <c r="ILB55" s="42"/>
      <c r="ILC55" s="42"/>
      <c r="ILD55" s="42"/>
      <c r="ILE55" s="42"/>
      <c r="ILF55" s="42"/>
      <c r="ILG55" s="42"/>
      <c r="ILH55" s="42"/>
      <c r="ILI55" s="42"/>
      <c r="ILJ55" s="42"/>
      <c r="ILK55" s="42"/>
      <c r="ILL55" s="42"/>
      <c r="ILM55" s="42"/>
      <c r="ILN55" s="42"/>
      <c r="ILO55" s="42"/>
      <c r="ILP55" s="42"/>
      <c r="ILQ55" s="2"/>
      <c r="ILR55" s="15"/>
      <c r="ILS55" s="42"/>
      <c r="ILT55" s="2"/>
      <c r="ILU55" s="2"/>
      <c r="ILV55" s="2"/>
      <c r="ILW55" s="2"/>
      <c r="ILX55" s="42"/>
      <c r="ILY55" s="42"/>
      <c r="ILZ55" s="42"/>
      <c r="IMA55" s="42"/>
      <c r="IMB55" s="42"/>
      <c r="IMC55" s="42"/>
      <c r="IMD55" s="42"/>
      <c r="IME55" s="42"/>
      <c r="IMF55" s="42"/>
      <c r="IMG55" s="42"/>
      <c r="IMH55" s="42"/>
      <c r="IMI55" s="42"/>
      <c r="IMJ55" s="42"/>
      <c r="IMK55" s="42"/>
      <c r="IML55" s="42"/>
      <c r="IMM55" s="42"/>
      <c r="IMN55" s="42"/>
      <c r="IMO55" s="42"/>
      <c r="IMP55" s="42"/>
      <c r="IMQ55" s="42"/>
      <c r="IMR55" s="42"/>
      <c r="IMS55" s="42"/>
      <c r="IMT55" s="42"/>
      <c r="IMU55" s="2"/>
      <c r="IMV55" s="15"/>
      <c r="IMW55" s="42"/>
      <c r="IMX55" s="2"/>
      <c r="IMY55" s="2"/>
      <c r="IMZ55" s="2"/>
      <c r="INA55" s="2"/>
      <c r="INB55" s="42"/>
      <c r="INC55" s="42"/>
      <c r="IND55" s="42"/>
      <c r="INE55" s="42"/>
      <c r="INF55" s="42"/>
      <c r="ING55" s="42"/>
      <c r="INH55" s="42"/>
      <c r="INI55" s="42"/>
      <c r="INJ55" s="42"/>
      <c r="INK55" s="42"/>
      <c r="INL55" s="42"/>
      <c r="INM55" s="42"/>
      <c r="INN55" s="42"/>
      <c r="INO55" s="42"/>
      <c r="INP55" s="42"/>
      <c r="INQ55" s="42"/>
      <c r="INR55" s="42"/>
      <c r="INS55" s="42"/>
      <c r="INT55" s="42"/>
      <c r="INU55" s="42"/>
      <c r="INV55" s="42"/>
      <c r="INW55" s="42"/>
      <c r="INX55" s="42"/>
      <c r="INY55" s="2"/>
      <c r="INZ55" s="15"/>
      <c r="IOA55" s="42"/>
      <c r="IOB55" s="2"/>
      <c r="IOC55" s="2"/>
      <c r="IOD55" s="2"/>
      <c r="IOE55" s="2"/>
      <c r="IOF55" s="42"/>
      <c r="IOG55" s="42"/>
      <c r="IOH55" s="42"/>
      <c r="IOI55" s="42"/>
      <c r="IOJ55" s="42"/>
      <c r="IOK55" s="42"/>
      <c r="IOL55" s="42"/>
      <c r="IOM55" s="42"/>
      <c r="ION55" s="42"/>
      <c r="IOO55" s="42"/>
      <c r="IOP55" s="42"/>
      <c r="IOQ55" s="42"/>
      <c r="IOR55" s="42"/>
      <c r="IOS55" s="42"/>
      <c r="IOT55" s="42"/>
      <c r="IOU55" s="42"/>
      <c r="IOV55" s="42"/>
      <c r="IOW55" s="42"/>
      <c r="IOX55" s="42"/>
      <c r="IOY55" s="42"/>
      <c r="IOZ55" s="42"/>
      <c r="IPA55" s="42"/>
      <c r="IPB55" s="42"/>
      <c r="IPC55" s="2"/>
      <c r="IPD55" s="15"/>
      <c r="IPE55" s="42"/>
      <c r="IPF55" s="2"/>
      <c r="IPG55" s="2"/>
      <c r="IPH55" s="2"/>
      <c r="IPI55" s="2"/>
      <c r="IPJ55" s="42"/>
      <c r="IPK55" s="42"/>
      <c r="IPL55" s="42"/>
      <c r="IPM55" s="42"/>
      <c r="IPN55" s="42"/>
      <c r="IPO55" s="42"/>
      <c r="IPP55" s="42"/>
      <c r="IPQ55" s="42"/>
      <c r="IPR55" s="42"/>
      <c r="IPS55" s="42"/>
      <c r="IPT55" s="42"/>
      <c r="IPU55" s="42"/>
      <c r="IPV55" s="42"/>
      <c r="IPW55" s="42"/>
      <c r="IPX55" s="42"/>
      <c r="IPY55" s="42"/>
      <c r="IPZ55" s="42"/>
      <c r="IQA55" s="42"/>
      <c r="IQB55" s="42"/>
      <c r="IQC55" s="42"/>
      <c r="IQD55" s="42"/>
      <c r="IQE55" s="42"/>
      <c r="IQF55" s="42"/>
      <c r="IQG55" s="2"/>
      <c r="IQH55" s="15"/>
      <c r="IQI55" s="42"/>
      <c r="IQJ55" s="2"/>
      <c r="IQK55" s="2"/>
      <c r="IQL55" s="2"/>
      <c r="IQM55" s="2"/>
      <c r="IQN55" s="42"/>
      <c r="IQO55" s="42"/>
      <c r="IQP55" s="42"/>
      <c r="IQQ55" s="42"/>
      <c r="IQR55" s="42"/>
      <c r="IQS55" s="42"/>
      <c r="IQT55" s="42"/>
      <c r="IQU55" s="42"/>
      <c r="IQV55" s="42"/>
      <c r="IQW55" s="42"/>
      <c r="IQX55" s="42"/>
      <c r="IQY55" s="42"/>
      <c r="IQZ55" s="42"/>
      <c r="IRA55" s="42"/>
      <c r="IRB55" s="42"/>
      <c r="IRC55" s="42"/>
      <c r="IRD55" s="42"/>
      <c r="IRE55" s="42"/>
      <c r="IRF55" s="42"/>
      <c r="IRG55" s="42"/>
      <c r="IRH55" s="42"/>
      <c r="IRI55" s="42"/>
      <c r="IRJ55" s="42"/>
      <c r="IRK55" s="2"/>
      <c r="IRL55" s="15"/>
      <c r="IRM55" s="42"/>
      <c r="IRN55" s="2"/>
      <c r="IRO55" s="2"/>
      <c r="IRP55" s="2"/>
      <c r="IRQ55" s="2"/>
      <c r="IRR55" s="42"/>
      <c r="IRS55" s="42"/>
      <c r="IRT55" s="42"/>
      <c r="IRU55" s="42"/>
      <c r="IRV55" s="42"/>
      <c r="IRW55" s="42"/>
      <c r="IRX55" s="42"/>
      <c r="IRY55" s="42"/>
      <c r="IRZ55" s="42"/>
      <c r="ISA55" s="42"/>
      <c r="ISB55" s="42"/>
      <c r="ISC55" s="42"/>
      <c r="ISD55" s="42"/>
      <c r="ISE55" s="42"/>
      <c r="ISF55" s="42"/>
      <c r="ISG55" s="42"/>
      <c r="ISH55" s="42"/>
      <c r="ISI55" s="42"/>
      <c r="ISJ55" s="42"/>
      <c r="ISK55" s="42"/>
      <c r="ISL55" s="42"/>
      <c r="ISM55" s="42"/>
      <c r="ISN55" s="42"/>
      <c r="ISO55" s="2"/>
      <c r="ISP55" s="15"/>
      <c r="ISQ55" s="42"/>
      <c r="ISR55" s="2"/>
      <c r="ISS55" s="2"/>
      <c r="IST55" s="2"/>
      <c r="ISU55" s="2"/>
      <c r="ISV55" s="42"/>
      <c r="ISW55" s="42"/>
      <c r="ISX55" s="42"/>
      <c r="ISY55" s="42"/>
      <c r="ISZ55" s="42"/>
      <c r="ITA55" s="42"/>
      <c r="ITB55" s="42"/>
      <c r="ITC55" s="42"/>
      <c r="ITD55" s="42"/>
      <c r="ITE55" s="42"/>
      <c r="ITF55" s="42"/>
      <c r="ITG55" s="42"/>
      <c r="ITH55" s="42"/>
      <c r="ITI55" s="42"/>
      <c r="ITJ55" s="42"/>
      <c r="ITK55" s="42"/>
      <c r="ITL55" s="42"/>
      <c r="ITM55" s="42"/>
      <c r="ITN55" s="42"/>
      <c r="ITO55" s="42"/>
      <c r="ITP55" s="42"/>
      <c r="ITQ55" s="42"/>
      <c r="ITR55" s="42"/>
      <c r="ITS55" s="2"/>
      <c r="ITT55" s="15"/>
      <c r="ITU55" s="42"/>
      <c r="ITV55" s="2"/>
      <c r="ITW55" s="2"/>
      <c r="ITX55" s="2"/>
      <c r="ITY55" s="2"/>
      <c r="ITZ55" s="42"/>
      <c r="IUA55" s="42"/>
      <c r="IUB55" s="42"/>
      <c r="IUC55" s="42"/>
      <c r="IUD55" s="42"/>
      <c r="IUE55" s="42"/>
      <c r="IUF55" s="42"/>
      <c r="IUG55" s="42"/>
      <c r="IUH55" s="42"/>
      <c r="IUI55" s="42"/>
      <c r="IUJ55" s="42"/>
      <c r="IUK55" s="42"/>
      <c r="IUL55" s="42"/>
      <c r="IUM55" s="42"/>
      <c r="IUN55" s="42"/>
      <c r="IUO55" s="42"/>
      <c r="IUP55" s="42"/>
      <c r="IUQ55" s="42"/>
      <c r="IUR55" s="42"/>
      <c r="IUS55" s="42"/>
      <c r="IUT55" s="42"/>
      <c r="IUU55" s="42"/>
      <c r="IUV55" s="42"/>
      <c r="IUW55" s="2"/>
      <c r="IUX55" s="15"/>
      <c r="IUY55" s="42"/>
      <c r="IUZ55" s="2"/>
      <c r="IVA55" s="2"/>
      <c r="IVB55" s="2"/>
      <c r="IVC55" s="2"/>
      <c r="IVD55" s="42"/>
      <c r="IVE55" s="42"/>
      <c r="IVF55" s="42"/>
      <c r="IVG55" s="42"/>
      <c r="IVH55" s="42"/>
      <c r="IVI55" s="42"/>
      <c r="IVJ55" s="42"/>
      <c r="IVK55" s="42"/>
      <c r="IVL55" s="42"/>
      <c r="IVM55" s="42"/>
      <c r="IVN55" s="42"/>
      <c r="IVO55" s="42"/>
      <c r="IVP55" s="42"/>
      <c r="IVQ55" s="42"/>
      <c r="IVR55" s="42"/>
      <c r="IVS55" s="42"/>
      <c r="IVT55" s="42"/>
      <c r="IVU55" s="42"/>
      <c r="IVV55" s="42"/>
      <c r="IVW55" s="42"/>
      <c r="IVX55" s="42"/>
      <c r="IVY55" s="42"/>
      <c r="IVZ55" s="42"/>
      <c r="IWA55" s="2"/>
      <c r="IWB55" s="15"/>
      <c r="IWC55" s="42"/>
      <c r="IWD55" s="2"/>
      <c r="IWE55" s="2"/>
      <c r="IWF55" s="2"/>
      <c r="IWG55" s="2"/>
      <c r="IWH55" s="42"/>
      <c r="IWI55" s="42"/>
      <c r="IWJ55" s="42"/>
      <c r="IWK55" s="42"/>
      <c r="IWL55" s="42"/>
      <c r="IWM55" s="42"/>
      <c r="IWN55" s="42"/>
      <c r="IWO55" s="42"/>
      <c r="IWP55" s="42"/>
      <c r="IWQ55" s="42"/>
      <c r="IWR55" s="42"/>
      <c r="IWS55" s="42"/>
      <c r="IWT55" s="42"/>
      <c r="IWU55" s="42"/>
      <c r="IWV55" s="42"/>
      <c r="IWW55" s="42"/>
      <c r="IWX55" s="42"/>
      <c r="IWY55" s="42"/>
      <c r="IWZ55" s="42"/>
      <c r="IXA55" s="42"/>
      <c r="IXB55" s="42"/>
      <c r="IXC55" s="42"/>
      <c r="IXD55" s="42"/>
      <c r="IXE55" s="2"/>
      <c r="IXF55" s="15"/>
      <c r="IXG55" s="42"/>
      <c r="IXH55" s="2"/>
      <c r="IXI55" s="2"/>
      <c r="IXJ55" s="2"/>
      <c r="IXK55" s="2"/>
      <c r="IXL55" s="42"/>
      <c r="IXM55" s="42"/>
      <c r="IXN55" s="42"/>
      <c r="IXO55" s="42"/>
      <c r="IXP55" s="42"/>
      <c r="IXQ55" s="42"/>
      <c r="IXR55" s="42"/>
      <c r="IXS55" s="42"/>
      <c r="IXT55" s="42"/>
      <c r="IXU55" s="42"/>
      <c r="IXV55" s="42"/>
      <c r="IXW55" s="42"/>
      <c r="IXX55" s="42"/>
      <c r="IXY55" s="42"/>
      <c r="IXZ55" s="42"/>
      <c r="IYA55" s="42"/>
      <c r="IYB55" s="42"/>
      <c r="IYC55" s="42"/>
      <c r="IYD55" s="42"/>
      <c r="IYE55" s="42"/>
      <c r="IYF55" s="42"/>
      <c r="IYG55" s="42"/>
      <c r="IYH55" s="42"/>
      <c r="IYI55" s="2"/>
      <c r="IYJ55" s="15"/>
      <c r="IYK55" s="42"/>
      <c r="IYL55" s="2"/>
      <c r="IYM55" s="2"/>
      <c r="IYN55" s="2"/>
      <c r="IYO55" s="2"/>
      <c r="IYP55" s="42"/>
      <c r="IYQ55" s="42"/>
      <c r="IYR55" s="42"/>
      <c r="IYS55" s="42"/>
      <c r="IYT55" s="42"/>
      <c r="IYU55" s="42"/>
      <c r="IYV55" s="42"/>
      <c r="IYW55" s="42"/>
      <c r="IYX55" s="42"/>
      <c r="IYY55" s="42"/>
      <c r="IYZ55" s="42"/>
      <c r="IZA55" s="42"/>
      <c r="IZB55" s="42"/>
      <c r="IZC55" s="42"/>
      <c r="IZD55" s="42"/>
      <c r="IZE55" s="42"/>
      <c r="IZF55" s="42"/>
      <c r="IZG55" s="42"/>
      <c r="IZH55" s="42"/>
      <c r="IZI55" s="42"/>
      <c r="IZJ55" s="42"/>
      <c r="IZK55" s="42"/>
      <c r="IZL55" s="42"/>
      <c r="IZM55" s="2"/>
      <c r="IZN55" s="15"/>
      <c r="IZO55" s="42"/>
      <c r="IZP55" s="2"/>
      <c r="IZQ55" s="2"/>
      <c r="IZR55" s="2"/>
      <c r="IZS55" s="2"/>
      <c r="IZT55" s="42"/>
      <c r="IZU55" s="42"/>
      <c r="IZV55" s="42"/>
      <c r="IZW55" s="42"/>
      <c r="IZX55" s="42"/>
      <c r="IZY55" s="42"/>
      <c r="IZZ55" s="42"/>
      <c r="JAA55" s="42"/>
      <c r="JAB55" s="42"/>
      <c r="JAC55" s="42"/>
      <c r="JAD55" s="42"/>
      <c r="JAE55" s="42"/>
      <c r="JAF55" s="42"/>
      <c r="JAG55" s="42"/>
      <c r="JAH55" s="42"/>
      <c r="JAI55" s="42"/>
      <c r="JAJ55" s="42"/>
      <c r="JAK55" s="42"/>
      <c r="JAL55" s="42"/>
      <c r="JAM55" s="42"/>
      <c r="JAN55" s="42"/>
      <c r="JAO55" s="42"/>
      <c r="JAP55" s="42"/>
      <c r="JAQ55" s="2"/>
      <c r="JAR55" s="15"/>
      <c r="JAS55" s="42"/>
      <c r="JAT55" s="2"/>
      <c r="JAU55" s="2"/>
      <c r="JAV55" s="2"/>
      <c r="JAW55" s="2"/>
      <c r="JAX55" s="42"/>
      <c r="JAY55" s="42"/>
      <c r="JAZ55" s="42"/>
      <c r="JBA55" s="42"/>
      <c r="JBB55" s="42"/>
      <c r="JBC55" s="42"/>
      <c r="JBD55" s="42"/>
      <c r="JBE55" s="42"/>
      <c r="JBF55" s="42"/>
      <c r="JBG55" s="42"/>
      <c r="JBH55" s="42"/>
      <c r="JBI55" s="42"/>
      <c r="JBJ55" s="42"/>
      <c r="JBK55" s="42"/>
      <c r="JBL55" s="42"/>
      <c r="JBM55" s="42"/>
      <c r="JBN55" s="42"/>
      <c r="JBO55" s="42"/>
      <c r="JBP55" s="42"/>
      <c r="JBQ55" s="42"/>
      <c r="JBR55" s="42"/>
      <c r="JBS55" s="42"/>
      <c r="JBT55" s="42"/>
      <c r="JBU55" s="2"/>
      <c r="JBV55" s="15"/>
      <c r="JBW55" s="42"/>
      <c r="JBX55" s="2"/>
      <c r="JBY55" s="2"/>
      <c r="JBZ55" s="2"/>
      <c r="JCA55" s="2"/>
      <c r="JCB55" s="42"/>
      <c r="JCC55" s="42"/>
      <c r="JCD55" s="42"/>
      <c r="JCE55" s="42"/>
      <c r="JCF55" s="42"/>
      <c r="JCG55" s="42"/>
      <c r="JCH55" s="42"/>
      <c r="JCI55" s="42"/>
      <c r="JCJ55" s="42"/>
      <c r="JCK55" s="42"/>
      <c r="JCL55" s="42"/>
      <c r="JCM55" s="42"/>
      <c r="JCN55" s="42"/>
      <c r="JCO55" s="42"/>
      <c r="JCP55" s="42"/>
      <c r="JCQ55" s="42"/>
      <c r="JCR55" s="42"/>
      <c r="JCS55" s="42"/>
      <c r="JCT55" s="42"/>
      <c r="JCU55" s="42"/>
      <c r="JCV55" s="42"/>
      <c r="JCW55" s="42"/>
      <c r="JCX55" s="42"/>
      <c r="JCY55" s="2"/>
      <c r="JCZ55" s="15"/>
      <c r="JDA55" s="42"/>
      <c r="JDB55" s="2"/>
      <c r="JDC55" s="2"/>
      <c r="JDD55" s="2"/>
      <c r="JDE55" s="2"/>
      <c r="JDF55" s="42"/>
      <c r="JDG55" s="42"/>
      <c r="JDH55" s="42"/>
      <c r="JDI55" s="42"/>
      <c r="JDJ55" s="42"/>
      <c r="JDK55" s="42"/>
      <c r="JDL55" s="42"/>
      <c r="JDM55" s="42"/>
      <c r="JDN55" s="42"/>
      <c r="JDO55" s="42"/>
      <c r="JDP55" s="42"/>
      <c r="JDQ55" s="42"/>
      <c r="JDR55" s="42"/>
      <c r="JDS55" s="42"/>
      <c r="JDT55" s="42"/>
      <c r="JDU55" s="42"/>
      <c r="JDV55" s="42"/>
      <c r="JDW55" s="42"/>
      <c r="JDX55" s="42"/>
      <c r="JDY55" s="42"/>
      <c r="JDZ55" s="42"/>
      <c r="JEA55" s="42"/>
      <c r="JEB55" s="42"/>
      <c r="JEC55" s="2"/>
      <c r="JED55" s="15"/>
      <c r="JEE55" s="42"/>
      <c r="JEF55" s="2"/>
      <c r="JEG55" s="2"/>
      <c r="JEH55" s="2"/>
      <c r="JEI55" s="2"/>
      <c r="JEJ55" s="42"/>
      <c r="JEK55" s="42"/>
      <c r="JEL55" s="42"/>
      <c r="JEM55" s="42"/>
      <c r="JEN55" s="42"/>
      <c r="JEO55" s="42"/>
      <c r="JEP55" s="42"/>
      <c r="JEQ55" s="42"/>
      <c r="JER55" s="42"/>
      <c r="JES55" s="42"/>
      <c r="JET55" s="42"/>
      <c r="JEU55" s="42"/>
      <c r="JEV55" s="42"/>
      <c r="JEW55" s="42"/>
      <c r="JEX55" s="42"/>
      <c r="JEY55" s="42"/>
      <c r="JEZ55" s="42"/>
      <c r="JFA55" s="42"/>
      <c r="JFB55" s="42"/>
      <c r="JFC55" s="42"/>
      <c r="JFD55" s="42"/>
      <c r="JFE55" s="42"/>
      <c r="JFF55" s="42"/>
      <c r="JFG55" s="2"/>
      <c r="JFH55" s="15"/>
      <c r="JFI55" s="42"/>
      <c r="JFJ55" s="2"/>
      <c r="JFK55" s="2"/>
      <c r="JFL55" s="2"/>
      <c r="JFM55" s="2"/>
      <c r="JFN55" s="42"/>
      <c r="JFO55" s="42"/>
      <c r="JFP55" s="42"/>
      <c r="JFQ55" s="42"/>
      <c r="JFR55" s="42"/>
      <c r="JFS55" s="42"/>
      <c r="JFT55" s="42"/>
      <c r="JFU55" s="42"/>
      <c r="JFV55" s="42"/>
      <c r="JFW55" s="42"/>
      <c r="JFX55" s="42"/>
      <c r="JFY55" s="42"/>
      <c r="JFZ55" s="42"/>
      <c r="JGA55" s="42"/>
      <c r="JGB55" s="42"/>
      <c r="JGC55" s="42"/>
      <c r="JGD55" s="42"/>
      <c r="JGE55" s="42"/>
      <c r="JGF55" s="42"/>
      <c r="JGG55" s="42"/>
      <c r="JGH55" s="42"/>
      <c r="JGI55" s="42"/>
      <c r="JGJ55" s="42"/>
      <c r="JGK55" s="2"/>
      <c r="JGL55" s="15"/>
      <c r="JGM55" s="42"/>
      <c r="JGN55" s="2"/>
      <c r="JGO55" s="2"/>
      <c r="JGP55" s="2"/>
      <c r="JGQ55" s="2"/>
      <c r="JGR55" s="42"/>
      <c r="JGS55" s="42"/>
      <c r="JGT55" s="42"/>
      <c r="JGU55" s="42"/>
      <c r="JGV55" s="42"/>
      <c r="JGW55" s="42"/>
      <c r="JGX55" s="42"/>
      <c r="JGY55" s="42"/>
      <c r="JGZ55" s="42"/>
      <c r="JHA55" s="42"/>
      <c r="JHB55" s="42"/>
      <c r="JHC55" s="42"/>
      <c r="JHD55" s="42"/>
      <c r="JHE55" s="42"/>
      <c r="JHF55" s="42"/>
      <c r="JHG55" s="42"/>
      <c r="JHH55" s="42"/>
      <c r="JHI55" s="42"/>
      <c r="JHJ55" s="42"/>
      <c r="JHK55" s="42"/>
      <c r="JHL55" s="42"/>
      <c r="JHM55" s="42"/>
      <c r="JHN55" s="42"/>
      <c r="JHO55" s="2"/>
      <c r="JHP55" s="15"/>
      <c r="JHQ55" s="42"/>
      <c r="JHR55" s="2"/>
      <c r="JHS55" s="2"/>
      <c r="JHT55" s="2"/>
      <c r="JHU55" s="2"/>
      <c r="JHV55" s="42"/>
      <c r="JHW55" s="42"/>
      <c r="JHX55" s="42"/>
      <c r="JHY55" s="42"/>
      <c r="JHZ55" s="42"/>
      <c r="JIA55" s="42"/>
      <c r="JIB55" s="42"/>
      <c r="JIC55" s="42"/>
      <c r="JID55" s="42"/>
      <c r="JIE55" s="42"/>
      <c r="JIF55" s="42"/>
      <c r="JIG55" s="42"/>
      <c r="JIH55" s="42"/>
      <c r="JII55" s="42"/>
      <c r="JIJ55" s="42"/>
      <c r="JIK55" s="42"/>
      <c r="JIL55" s="42"/>
      <c r="JIM55" s="42"/>
      <c r="JIN55" s="42"/>
      <c r="JIO55" s="42"/>
      <c r="JIP55" s="42"/>
      <c r="JIQ55" s="42"/>
      <c r="JIR55" s="42"/>
      <c r="JIS55" s="2"/>
      <c r="JIT55" s="15"/>
      <c r="JIU55" s="42"/>
      <c r="JIV55" s="2"/>
      <c r="JIW55" s="2"/>
      <c r="JIX55" s="2"/>
      <c r="JIY55" s="2"/>
      <c r="JIZ55" s="42"/>
      <c r="JJA55" s="42"/>
      <c r="JJB55" s="42"/>
      <c r="JJC55" s="42"/>
      <c r="JJD55" s="42"/>
      <c r="JJE55" s="42"/>
      <c r="JJF55" s="42"/>
      <c r="JJG55" s="42"/>
      <c r="JJH55" s="42"/>
      <c r="JJI55" s="42"/>
      <c r="JJJ55" s="42"/>
      <c r="JJK55" s="42"/>
      <c r="JJL55" s="42"/>
      <c r="JJM55" s="42"/>
      <c r="JJN55" s="42"/>
      <c r="JJO55" s="42"/>
      <c r="JJP55" s="42"/>
      <c r="JJQ55" s="42"/>
      <c r="JJR55" s="42"/>
      <c r="JJS55" s="42"/>
      <c r="JJT55" s="42"/>
      <c r="JJU55" s="42"/>
      <c r="JJV55" s="42"/>
      <c r="JJW55" s="2"/>
      <c r="JJX55" s="15"/>
      <c r="JJY55" s="42"/>
      <c r="JJZ55" s="2"/>
      <c r="JKA55" s="2"/>
      <c r="JKB55" s="2"/>
      <c r="JKC55" s="2"/>
      <c r="JKD55" s="42"/>
      <c r="JKE55" s="42"/>
      <c r="JKF55" s="42"/>
      <c r="JKG55" s="42"/>
      <c r="JKH55" s="42"/>
      <c r="JKI55" s="42"/>
      <c r="JKJ55" s="42"/>
      <c r="JKK55" s="42"/>
      <c r="JKL55" s="42"/>
      <c r="JKM55" s="42"/>
      <c r="JKN55" s="42"/>
      <c r="JKO55" s="42"/>
      <c r="JKP55" s="42"/>
      <c r="JKQ55" s="42"/>
      <c r="JKR55" s="42"/>
      <c r="JKS55" s="42"/>
      <c r="JKT55" s="42"/>
      <c r="JKU55" s="42"/>
      <c r="JKV55" s="42"/>
      <c r="JKW55" s="42"/>
      <c r="JKX55" s="42"/>
      <c r="JKY55" s="42"/>
      <c r="JKZ55" s="42"/>
      <c r="JLA55" s="2"/>
      <c r="JLB55" s="15"/>
      <c r="JLC55" s="42"/>
      <c r="JLD55" s="2"/>
      <c r="JLE55" s="2"/>
      <c r="JLF55" s="2"/>
      <c r="JLG55" s="2"/>
      <c r="JLH55" s="42"/>
      <c r="JLI55" s="42"/>
      <c r="JLJ55" s="42"/>
      <c r="JLK55" s="42"/>
      <c r="JLL55" s="42"/>
      <c r="JLM55" s="42"/>
      <c r="JLN55" s="42"/>
      <c r="JLO55" s="42"/>
      <c r="JLP55" s="42"/>
      <c r="JLQ55" s="42"/>
      <c r="JLR55" s="42"/>
      <c r="JLS55" s="42"/>
      <c r="JLT55" s="42"/>
      <c r="JLU55" s="42"/>
      <c r="JLV55" s="42"/>
      <c r="JLW55" s="42"/>
      <c r="JLX55" s="42"/>
      <c r="JLY55" s="42"/>
      <c r="JLZ55" s="42"/>
      <c r="JMA55" s="42"/>
      <c r="JMB55" s="42"/>
      <c r="JMC55" s="42"/>
      <c r="JMD55" s="42"/>
      <c r="JME55" s="2"/>
      <c r="JMF55" s="15"/>
      <c r="JMG55" s="42"/>
      <c r="JMH55" s="2"/>
      <c r="JMI55" s="2"/>
      <c r="JMJ55" s="2"/>
      <c r="JMK55" s="2"/>
      <c r="JML55" s="42"/>
      <c r="JMM55" s="42"/>
      <c r="JMN55" s="42"/>
      <c r="JMO55" s="42"/>
      <c r="JMP55" s="42"/>
      <c r="JMQ55" s="42"/>
      <c r="JMR55" s="42"/>
      <c r="JMS55" s="42"/>
      <c r="JMT55" s="42"/>
      <c r="JMU55" s="42"/>
      <c r="JMV55" s="42"/>
      <c r="JMW55" s="42"/>
      <c r="JMX55" s="42"/>
      <c r="JMY55" s="42"/>
      <c r="JMZ55" s="42"/>
      <c r="JNA55" s="42"/>
      <c r="JNB55" s="42"/>
      <c r="JNC55" s="42"/>
      <c r="JND55" s="42"/>
      <c r="JNE55" s="42"/>
      <c r="JNF55" s="42"/>
      <c r="JNG55" s="42"/>
      <c r="JNH55" s="42"/>
      <c r="JNI55" s="2"/>
      <c r="JNJ55" s="15"/>
      <c r="JNK55" s="42"/>
      <c r="JNL55" s="2"/>
      <c r="JNM55" s="2"/>
      <c r="JNN55" s="2"/>
      <c r="JNO55" s="2"/>
      <c r="JNP55" s="42"/>
      <c r="JNQ55" s="42"/>
      <c r="JNR55" s="42"/>
      <c r="JNS55" s="42"/>
      <c r="JNT55" s="42"/>
      <c r="JNU55" s="42"/>
      <c r="JNV55" s="42"/>
      <c r="JNW55" s="42"/>
      <c r="JNX55" s="42"/>
      <c r="JNY55" s="42"/>
      <c r="JNZ55" s="42"/>
      <c r="JOA55" s="42"/>
      <c r="JOB55" s="42"/>
      <c r="JOC55" s="42"/>
      <c r="JOD55" s="42"/>
      <c r="JOE55" s="42"/>
      <c r="JOF55" s="42"/>
      <c r="JOG55" s="42"/>
      <c r="JOH55" s="42"/>
      <c r="JOI55" s="42"/>
      <c r="JOJ55" s="42"/>
      <c r="JOK55" s="42"/>
      <c r="JOL55" s="42"/>
      <c r="JOM55" s="2"/>
      <c r="JON55" s="15"/>
      <c r="JOO55" s="42"/>
      <c r="JOP55" s="2"/>
      <c r="JOQ55" s="2"/>
      <c r="JOR55" s="2"/>
      <c r="JOS55" s="2"/>
      <c r="JOT55" s="42"/>
      <c r="JOU55" s="42"/>
      <c r="JOV55" s="42"/>
      <c r="JOW55" s="42"/>
      <c r="JOX55" s="42"/>
      <c r="JOY55" s="42"/>
      <c r="JOZ55" s="42"/>
      <c r="JPA55" s="42"/>
      <c r="JPB55" s="42"/>
      <c r="JPC55" s="42"/>
      <c r="JPD55" s="42"/>
      <c r="JPE55" s="42"/>
      <c r="JPF55" s="42"/>
      <c r="JPG55" s="42"/>
      <c r="JPH55" s="42"/>
      <c r="JPI55" s="42"/>
      <c r="JPJ55" s="42"/>
      <c r="JPK55" s="42"/>
      <c r="JPL55" s="42"/>
      <c r="JPM55" s="42"/>
      <c r="JPN55" s="42"/>
      <c r="JPO55" s="42"/>
      <c r="JPP55" s="42"/>
      <c r="JPQ55" s="2"/>
      <c r="JPR55" s="15"/>
      <c r="JPS55" s="42"/>
      <c r="JPT55" s="2"/>
      <c r="JPU55" s="2"/>
      <c r="JPV55" s="2"/>
      <c r="JPW55" s="2"/>
      <c r="JPX55" s="42"/>
      <c r="JPY55" s="42"/>
      <c r="JPZ55" s="42"/>
      <c r="JQA55" s="42"/>
      <c r="JQB55" s="42"/>
      <c r="JQC55" s="42"/>
      <c r="JQD55" s="42"/>
      <c r="JQE55" s="42"/>
      <c r="JQF55" s="42"/>
      <c r="JQG55" s="42"/>
      <c r="JQH55" s="42"/>
      <c r="JQI55" s="42"/>
      <c r="JQJ55" s="42"/>
      <c r="JQK55" s="42"/>
      <c r="JQL55" s="42"/>
      <c r="JQM55" s="42"/>
      <c r="JQN55" s="42"/>
      <c r="JQO55" s="42"/>
      <c r="JQP55" s="42"/>
      <c r="JQQ55" s="42"/>
      <c r="JQR55" s="42"/>
      <c r="JQS55" s="42"/>
      <c r="JQT55" s="42"/>
      <c r="JQU55" s="2"/>
      <c r="JQV55" s="15"/>
      <c r="JQW55" s="42"/>
      <c r="JQX55" s="2"/>
      <c r="JQY55" s="2"/>
      <c r="JQZ55" s="2"/>
      <c r="JRA55" s="2"/>
      <c r="JRB55" s="42"/>
      <c r="JRC55" s="42"/>
      <c r="JRD55" s="42"/>
      <c r="JRE55" s="42"/>
      <c r="JRF55" s="42"/>
      <c r="JRG55" s="42"/>
      <c r="JRH55" s="42"/>
      <c r="JRI55" s="42"/>
      <c r="JRJ55" s="42"/>
      <c r="JRK55" s="42"/>
      <c r="JRL55" s="42"/>
      <c r="JRM55" s="42"/>
      <c r="JRN55" s="42"/>
      <c r="JRO55" s="42"/>
      <c r="JRP55" s="42"/>
      <c r="JRQ55" s="42"/>
      <c r="JRR55" s="42"/>
      <c r="JRS55" s="42"/>
      <c r="JRT55" s="42"/>
      <c r="JRU55" s="42"/>
      <c r="JRV55" s="42"/>
      <c r="JRW55" s="42"/>
      <c r="JRX55" s="42"/>
      <c r="JRY55" s="2"/>
      <c r="JRZ55" s="15"/>
      <c r="JSA55" s="42"/>
      <c r="JSB55" s="2"/>
      <c r="JSC55" s="2"/>
      <c r="JSD55" s="2"/>
      <c r="JSE55" s="2"/>
      <c r="JSF55" s="42"/>
      <c r="JSG55" s="42"/>
      <c r="JSH55" s="42"/>
      <c r="JSI55" s="42"/>
      <c r="JSJ55" s="42"/>
      <c r="JSK55" s="42"/>
      <c r="JSL55" s="42"/>
      <c r="JSM55" s="42"/>
      <c r="JSN55" s="42"/>
      <c r="JSO55" s="42"/>
      <c r="JSP55" s="42"/>
      <c r="JSQ55" s="42"/>
      <c r="JSR55" s="42"/>
      <c r="JSS55" s="42"/>
      <c r="JST55" s="42"/>
      <c r="JSU55" s="42"/>
      <c r="JSV55" s="42"/>
      <c r="JSW55" s="42"/>
      <c r="JSX55" s="42"/>
      <c r="JSY55" s="42"/>
      <c r="JSZ55" s="42"/>
      <c r="JTA55" s="42"/>
      <c r="JTB55" s="42"/>
      <c r="JTC55" s="2"/>
      <c r="JTD55" s="15"/>
      <c r="JTE55" s="42"/>
      <c r="JTF55" s="2"/>
      <c r="JTG55" s="2"/>
      <c r="JTH55" s="2"/>
      <c r="JTI55" s="2"/>
      <c r="JTJ55" s="42"/>
      <c r="JTK55" s="42"/>
      <c r="JTL55" s="42"/>
      <c r="JTM55" s="42"/>
      <c r="JTN55" s="42"/>
      <c r="JTO55" s="42"/>
      <c r="JTP55" s="42"/>
      <c r="JTQ55" s="42"/>
      <c r="JTR55" s="42"/>
      <c r="JTS55" s="42"/>
      <c r="JTT55" s="42"/>
      <c r="JTU55" s="42"/>
      <c r="JTV55" s="42"/>
      <c r="JTW55" s="42"/>
      <c r="JTX55" s="42"/>
      <c r="JTY55" s="42"/>
      <c r="JTZ55" s="42"/>
      <c r="JUA55" s="42"/>
      <c r="JUB55" s="42"/>
      <c r="JUC55" s="42"/>
      <c r="JUD55" s="42"/>
      <c r="JUE55" s="42"/>
      <c r="JUF55" s="42"/>
      <c r="JUG55" s="2"/>
      <c r="JUH55" s="15"/>
      <c r="JUI55" s="42"/>
      <c r="JUJ55" s="2"/>
      <c r="JUK55" s="2"/>
      <c r="JUL55" s="2"/>
      <c r="JUM55" s="2"/>
      <c r="JUN55" s="42"/>
      <c r="JUO55" s="42"/>
      <c r="JUP55" s="42"/>
      <c r="JUQ55" s="42"/>
      <c r="JUR55" s="42"/>
      <c r="JUS55" s="42"/>
      <c r="JUT55" s="42"/>
      <c r="JUU55" s="42"/>
      <c r="JUV55" s="42"/>
      <c r="JUW55" s="42"/>
      <c r="JUX55" s="42"/>
      <c r="JUY55" s="42"/>
      <c r="JUZ55" s="42"/>
      <c r="JVA55" s="42"/>
      <c r="JVB55" s="42"/>
      <c r="JVC55" s="42"/>
      <c r="JVD55" s="42"/>
      <c r="JVE55" s="42"/>
      <c r="JVF55" s="42"/>
      <c r="JVG55" s="42"/>
      <c r="JVH55" s="42"/>
      <c r="JVI55" s="42"/>
      <c r="JVJ55" s="42"/>
      <c r="JVK55" s="2"/>
      <c r="JVL55" s="15"/>
      <c r="JVM55" s="42"/>
      <c r="JVN55" s="2"/>
      <c r="JVO55" s="2"/>
      <c r="JVP55" s="2"/>
      <c r="JVQ55" s="2"/>
      <c r="JVR55" s="42"/>
      <c r="JVS55" s="42"/>
      <c r="JVT55" s="42"/>
      <c r="JVU55" s="42"/>
      <c r="JVV55" s="42"/>
      <c r="JVW55" s="42"/>
      <c r="JVX55" s="42"/>
      <c r="JVY55" s="42"/>
      <c r="JVZ55" s="42"/>
      <c r="JWA55" s="42"/>
      <c r="JWB55" s="42"/>
      <c r="JWC55" s="42"/>
      <c r="JWD55" s="42"/>
      <c r="JWE55" s="42"/>
      <c r="JWF55" s="42"/>
      <c r="JWG55" s="42"/>
      <c r="JWH55" s="42"/>
      <c r="JWI55" s="42"/>
      <c r="JWJ55" s="42"/>
      <c r="JWK55" s="42"/>
      <c r="JWL55" s="42"/>
      <c r="JWM55" s="42"/>
      <c r="JWN55" s="42"/>
      <c r="JWO55" s="2"/>
      <c r="JWP55" s="15"/>
      <c r="JWQ55" s="42"/>
      <c r="JWR55" s="2"/>
      <c r="JWS55" s="2"/>
      <c r="JWT55" s="2"/>
      <c r="JWU55" s="2"/>
      <c r="JWV55" s="42"/>
      <c r="JWW55" s="42"/>
      <c r="JWX55" s="42"/>
      <c r="JWY55" s="42"/>
      <c r="JWZ55" s="42"/>
      <c r="JXA55" s="42"/>
      <c r="JXB55" s="42"/>
      <c r="JXC55" s="42"/>
      <c r="JXD55" s="42"/>
      <c r="JXE55" s="42"/>
      <c r="JXF55" s="42"/>
      <c r="JXG55" s="42"/>
      <c r="JXH55" s="42"/>
      <c r="JXI55" s="42"/>
      <c r="JXJ55" s="42"/>
      <c r="JXK55" s="42"/>
      <c r="JXL55" s="42"/>
      <c r="JXM55" s="42"/>
      <c r="JXN55" s="42"/>
      <c r="JXO55" s="42"/>
      <c r="JXP55" s="42"/>
      <c r="JXQ55" s="42"/>
      <c r="JXR55" s="42"/>
      <c r="JXS55" s="2"/>
      <c r="JXT55" s="15"/>
      <c r="JXU55" s="42"/>
      <c r="JXV55" s="2"/>
      <c r="JXW55" s="2"/>
      <c r="JXX55" s="2"/>
      <c r="JXY55" s="2"/>
      <c r="JXZ55" s="42"/>
      <c r="JYA55" s="42"/>
      <c r="JYB55" s="42"/>
      <c r="JYC55" s="42"/>
      <c r="JYD55" s="42"/>
      <c r="JYE55" s="42"/>
      <c r="JYF55" s="42"/>
      <c r="JYG55" s="42"/>
      <c r="JYH55" s="42"/>
      <c r="JYI55" s="42"/>
      <c r="JYJ55" s="42"/>
      <c r="JYK55" s="42"/>
      <c r="JYL55" s="42"/>
      <c r="JYM55" s="42"/>
      <c r="JYN55" s="42"/>
      <c r="JYO55" s="42"/>
      <c r="JYP55" s="42"/>
      <c r="JYQ55" s="42"/>
      <c r="JYR55" s="42"/>
      <c r="JYS55" s="42"/>
      <c r="JYT55" s="42"/>
      <c r="JYU55" s="42"/>
      <c r="JYV55" s="42"/>
      <c r="JYW55" s="2"/>
      <c r="JYX55" s="15"/>
      <c r="JYY55" s="42"/>
      <c r="JYZ55" s="2"/>
      <c r="JZA55" s="2"/>
      <c r="JZB55" s="2"/>
      <c r="JZC55" s="2"/>
      <c r="JZD55" s="42"/>
      <c r="JZE55" s="42"/>
      <c r="JZF55" s="42"/>
      <c r="JZG55" s="42"/>
      <c r="JZH55" s="42"/>
      <c r="JZI55" s="42"/>
      <c r="JZJ55" s="42"/>
      <c r="JZK55" s="42"/>
      <c r="JZL55" s="42"/>
      <c r="JZM55" s="42"/>
      <c r="JZN55" s="42"/>
      <c r="JZO55" s="42"/>
      <c r="JZP55" s="42"/>
      <c r="JZQ55" s="42"/>
      <c r="JZR55" s="42"/>
      <c r="JZS55" s="42"/>
      <c r="JZT55" s="42"/>
      <c r="JZU55" s="42"/>
      <c r="JZV55" s="42"/>
      <c r="JZW55" s="42"/>
      <c r="JZX55" s="42"/>
      <c r="JZY55" s="42"/>
      <c r="JZZ55" s="42"/>
      <c r="KAA55" s="2"/>
      <c r="KAB55" s="15"/>
      <c r="KAC55" s="42"/>
      <c r="KAD55" s="2"/>
      <c r="KAE55" s="2"/>
      <c r="KAF55" s="2"/>
      <c r="KAG55" s="2"/>
      <c r="KAH55" s="42"/>
      <c r="KAI55" s="42"/>
      <c r="KAJ55" s="42"/>
      <c r="KAK55" s="42"/>
      <c r="KAL55" s="42"/>
      <c r="KAM55" s="42"/>
      <c r="KAN55" s="42"/>
      <c r="KAO55" s="42"/>
      <c r="KAP55" s="42"/>
      <c r="KAQ55" s="42"/>
      <c r="KAR55" s="42"/>
      <c r="KAS55" s="42"/>
      <c r="KAT55" s="42"/>
      <c r="KAU55" s="42"/>
      <c r="KAV55" s="42"/>
      <c r="KAW55" s="42"/>
      <c r="KAX55" s="42"/>
      <c r="KAY55" s="42"/>
      <c r="KAZ55" s="42"/>
      <c r="KBA55" s="42"/>
      <c r="KBB55" s="42"/>
      <c r="KBC55" s="42"/>
      <c r="KBD55" s="42"/>
      <c r="KBE55" s="2"/>
      <c r="KBF55" s="15"/>
      <c r="KBG55" s="42"/>
      <c r="KBH55" s="2"/>
      <c r="KBI55" s="2"/>
      <c r="KBJ55" s="2"/>
      <c r="KBK55" s="2"/>
      <c r="KBL55" s="42"/>
      <c r="KBM55" s="42"/>
      <c r="KBN55" s="42"/>
      <c r="KBO55" s="42"/>
      <c r="KBP55" s="42"/>
      <c r="KBQ55" s="42"/>
      <c r="KBR55" s="42"/>
      <c r="KBS55" s="42"/>
      <c r="KBT55" s="42"/>
      <c r="KBU55" s="42"/>
      <c r="KBV55" s="42"/>
      <c r="KBW55" s="42"/>
      <c r="KBX55" s="42"/>
      <c r="KBY55" s="42"/>
      <c r="KBZ55" s="42"/>
      <c r="KCA55" s="42"/>
      <c r="KCB55" s="42"/>
      <c r="KCC55" s="42"/>
      <c r="KCD55" s="42"/>
      <c r="KCE55" s="42"/>
      <c r="KCF55" s="42"/>
      <c r="KCG55" s="42"/>
      <c r="KCH55" s="42"/>
      <c r="KCI55" s="2"/>
      <c r="KCJ55" s="15"/>
      <c r="KCK55" s="42"/>
      <c r="KCL55" s="2"/>
      <c r="KCM55" s="2"/>
      <c r="KCN55" s="2"/>
      <c r="KCO55" s="2"/>
      <c r="KCP55" s="42"/>
      <c r="KCQ55" s="42"/>
      <c r="KCR55" s="42"/>
      <c r="KCS55" s="42"/>
      <c r="KCT55" s="42"/>
      <c r="KCU55" s="42"/>
      <c r="KCV55" s="42"/>
      <c r="KCW55" s="42"/>
      <c r="KCX55" s="42"/>
      <c r="KCY55" s="42"/>
      <c r="KCZ55" s="42"/>
      <c r="KDA55" s="42"/>
      <c r="KDB55" s="42"/>
      <c r="KDC55" s="42"/>
      <c r="KDD55" s="42"/>
      <c r="KDE55" s="42"/>
      <c r="KDF55" s="42"/>
      <c r="KDG55" s="42"/>
      <c r="KDH55" s="42"/>
      <c r="KDI55" s="42"/>
      <c r="KDJ55" s="42"/>
      <c r="KDK55" s="42"/>
      <c r="KDL55" s="42"/>
      <c r="KDM55" s="2"/>
      <c r="KDN55" s="15"/>
      <c r="KDO55" s="42"/>
      <c r="KDP55" s="2"/>
      <c r="KDQ55" s="2"/>
      <c r="KDR55" s="2"/>
      <c r="KDS55" s="2"/>
      <c r="KDT55" s="42"/>
      <c r="KDU55" s="42"/>
      <c r="KDV55" s="42"/>
      <c r="KDW55" s="42"/>
      <c r="KDX55" s="42"/>
      <c r="KDY55" s="42"/>
      <c r="KDZ55" s="42"/>
      <c r="KEA55" s="42"/>
      <c r="KEB55" s="42"/>
      <c r="KEC55" s="42"/>
      <c r="KED55" s="42"/>
      <c r="KEE55" s="42"/>
      <c r="KEF55" s="42"/>
      <c r="KEG55" s="42"/>
      <c r="KEH55" s="42"/>
      <c r="KEI55" s="42"/>
      <c r="KEJ55" s="42"/>
      <c r="KEK55" s="42"/>
      <c r="KEL55" s="42"/>
      <c r="KEM55" s="42"/>
      <c r="KEN55" s="42"/>
      <c r="KEO55" s="42"/>
      <c r="KEP55" s="42"/>
      <c r="KEQ55" s="2"/>
      <c r="KER55" s="15"/>
      <c r="KES55" s="42"/>
      <c r="KET55" s="2"/>
      <c r="KEU55" s="2"/>
      <c r="KEV55" s="2"/>
      <c r="KEW55" s="2"/>
      <c r="KEX55" s="42"/>
      <c r="KEY55" s="42"/>
      <c r="KEZ55" s="42"/>
      <c r="KFA55" s="42"/>
      <c r="KFB55" s="42"/>
      <c r="KFC55" s="42"/>
      <c r="KFD55" s="42"/>
      <c r="KFE55" s="42"/>
      <c r="KFF55" s="42"/>
      <c r="KFG55" s="42"/>
      <c r="KFH55" s="42"/>
      <c r="KFI55" s="42"/>
      <c r="KFJ55" s="42"/>
      <c r="KFK55" s="42"/>
      <c r="KFL55" s="42"/>
      <c r="KFM55" s="42"/>
      <c r="KFN55" s="42"/>
      <c r="KFO55" s="42"/>
      <c r="KFP55" s="42"/>
      <c r="KFQ55" s="42"/>
      <c r="KFR55" s="42"/>
      <c r="KFS55" s="42"/>
      <c r="KFT55" s="42"/>
      <c r="KFU55" s="2"/>
      <c r="KFV55" s="15"/>
      <c r="KFW55" s="42"/>
      <c r="KFX55" s="2"/>
      <c r="KFY55" s="2"/>
      <c r="KFZ55" s="2"/>
      <c r="KGA55" s="2"/>
      <c r="KGB55" s="42"/>
      <c r="KGC55" s="42"/>
      <c r="KGD55" s="42"/>
      <c r="KGE55" s="42"/>
      <c r="KGF55" s="42"/>
      <c r="KGG55" s="42"/>
      <c r="KGH55" s="42"/>
      <c r="KGI55" s="42"/>
      <c r="KGJ55" s="42"/>
      <c r="KGK55" s="42"/>
      <c r="KGL55" s="42"/>
      <c r="KGM55" s="42"/>
      <c r="KGN55" s="42"/>
      <c r="KGO55" s="42"/>
      <c r="KGP55" s="42"/>
      <c r="KGQ55" s="42"/>
      <c r="KGR55" s="42"/>
      <c r="KGS55" s="42"/>
      <c r="KGT55" s="42"/>
      <c r="KGU55" s="42"/>
      <c r="KGV55" s="42"/>
      <c r="KGW55" s="42"/>
      <c r="KGX55" s="42"/>
      <c r="KGY55" s="2"/>
      <c r="KGZ55" s="15"/>
      <c r="KHA55" s="42"/>
      <c r="KHB55" s="2"/>
      <c r="KHC55" s="2"/>
      <c r="KHD55" s="2"/>
      <c r="KHE55" s="2"/>
      <c r="KHF55" s="42"/>
      <c r="KHG55" s="42"/>
      <c r="KHH55" s="42"/>
      <c r="KHI55" s="42"/>
      <c r="KHJ55" s="42"/>
      <c r="KHK55" s="42"/>
      <c r="KHL55" s="42"/>
      <c r="KHM55" s="42"/>
      <c r="KHN55" s="42"/>
      <c r="KHO55" s="42"/>
      <c r="KHP55" s="42"/>
      <c r="KHQ55" s="42"/>
      <c r="KHR55" s="42"/>
      <c r="KHS55" s="42"/>
      <c r="KHT55" s="42"/>
      <c r="KHU55" s="42"/>
      <c r="KHV55" s="42"/>
      <c r="KHW55" s="42"/>
      <c r="KHX55" s="42"/>
      <c r="KHY55" s="42"/>
      <c r="KHZ55" s="42"/>
      <c r="KIA55" s="42"/>
      <c r="KIB55" s="42"/>
      <c r="KIC55" s="2"/>
      <c r="KID55" s="15"/>
      <c r="KIE55" s="42"/>
      <c r="KIF55" s="2"/>
      <c r="KIG55" s="2"/>
      <c r="KIH55" s="2"/>
      <c r="KII55" s="2"/>
      <c r="KIJ55" s="42"/>
      <c r="KIK55" s="42"/>
      <c r="KIL55" s="42"/>
      <c r="KIM55" s="42"/>
      <c r="KIN55" s="42"/>
      <c r="KIO55" s="42"/>
      <c r="KIP55" s="42"/>
      <c r="KIQ55" s="42"/>
      <c r="KIR55" s="42"/>
      <c r="KIS55" s="42"/>
      <c r="KIT55" s="42"/>
      <c r="KIU55" s="42"/>
      <c r="KIV55" s="42"/>
      <c r="KIW55" s="42"/>
      <c r="KIX55" s="42"/>
      <c r="KIY55" s="42"/>
      <c r="KIZ55" s="42"/>
      <c r="KJA55" s="42"/>
      <c r="KJB55" s="42"/>
      <c r="KJC55" s="42"/>
      <c r="KJD55" s="42"/>
      <c r="KJE55" s="42"/>
      <c r="KJF55" s="42"/>
      <c r="KJG55" s="2"/>
      <c r="KJH55" s="15"/>
      <c r="KJI55" s="42"/>
      <c r="KJJ55" s="2"/>
      <c r="KJK55" s="2"/>
      <c r="KJL55" s="2"/>
      <c r="KJM55" s="2"/>
      <c r="KJN55" s="42"/>
      <c r="KJO55" s="42"/>
      <c r="KJP55" s="42"/>
      <c r="KJQ55" s="42"/>
      <c r="KJR55" s="42"/>
      <c r="KJS55" s="42"/>
      <c r="KJT55" s="42"/>
      <c r="KJU55" s="42"/>
      <c r="KJV55" s="42"/>
      <c r="KJW55" s="42"/>
      <c r="KJX55" s="42"/>
      <c r="KJY55" s="42"/>
      <c r="KJZ55" s="42"/>
      <c r="KKA55" s="42"/>
      <c r="KKB55" s="42"/>
      <c r="KKC55" s="42"/>
      <c r="KKD55" s="42"/>
      <c r="KKE55" s="42"/>
      <c r="KKF55" s="42"/>
      <c r="KKG55" s="42"/>
      <c r="KKH55" s="42"/>
      <c r="KKI55" s="42"/>
      <c r="KKJ55" s="42"/>
      <c r="KKK55" s="2"/>
      <c r="KKL55" s="15"/>
      <c r="KKM55" s="42"/>
      <c r="KKN55" s="2"/>
      <c r="KKO55" s="2"/>
      <c r="KKP55" s="2"/>
      <c r="KKQ55" s="2"/>
      <c r="KKR55" s="42"/>
      <c r="KKS55" s="42"/>
      <c r="KKT55" s="42"/>
      <c r="KKU55" s="42"/>
      <c r="KKV55" s="42"/>
      <c r="KKW55" s="42"/>
      <c r="KKX55" s="42"/>
      <c r="KKY55" s="42"/>
      <c r="KKZ55" s="42"/>
      <c r="KLA55" s="42"/>
      <c r="KLB55" s="42"/>
      <c r="KLC55" s="42"/>
      <c r="KLD55" s="42"/>
      <c r="KLE55" s="42"/>
      <c r="KLF55" s="42"/>
      <c r="KLG55" s="42"/>
      <c r="KLH55" s="42"/>
      <c r="KLI55" s="42"/>
      <c r="KLJ55" s="42"/>
      <c r="KLK55" s="42"/>
      <c r="KLL55" s="42"/>
      <c r="KLM55" s="42"/>
      <c r="KLN55" s="42"/>
      <c r="KLO55" s="2"/>
      <c r="KLP55" s="15"/>
      <c r="KLQ55" s="42"/>
      <c r="KLR55" s="2"/>
      <c r="KLS55" s="2"/>
      <c r="KLT55" s="2"/>
      <c r="KLU55" s="2"/>
      <c r="KLV55" s="42"/>
      <c r="KLW55" s="42"/>
      <c r="KLX55" s="42"/>
      <c r="KLY55" s="42"/>
      <c r="KLZ55" s="42"/>
      <c r="KMA55" s="42"/>
      <c r="KMB55" s="42"/>
      <c r="KMC55" s="42"/>
      <c r="KMD55" s="42"/>
      <c r="KME55" s="42"/>
      <c r="KMF55" s="42"/>
      <c r="KMG55" s="42"/>
      <c r="KMH55" s="42"/>
      <c r="KMI55" s="42"/>
      <c r="KMJ55" s="42"/>
      <c r="KMK55" s="42"/>
      <c r="KML55" s="42"/>
      <c r="KMM55" s="42"/>
      <c r="KMN55" s="42"/>
      <c r="KMO55" s="42"/>
      <c r="KMP55" s="42"/>
      <c r="KMQ55" s="42"/>
      <c r="KMR55" s="42"/>
      <c r="KMS55" s="2"/>
      <c r="KMT55" s="15"/>
      <c r="KMU55" s="42"/>
      <c r="KMV55" s="2"/>
      <c r="KMW55" s="2"/>
      <c r="KMX55" s="2"/>
      <c r="KMY55" s="2"/>
      <c r="KMZ55" s="42"/>
      <c r="KNA55" s="42"/>
      <c r="KNB55" s="42"/>
      <c r="KNC55" s="42"/>
      <c r="KND55" s="42"/>
      <c r="KNE55" s="42"/>
      <c r="KNF55" s="42"/>
      <c r="KNG55" s="42"/>
      <c r="KNH55" s="42"/>
      <c r="KNI55" s="42"/>
      <c r="KNJ55" s="42"/>
      <c r="KNK55" s="42"/>
      <c r="KNL55" s="42"/>
      <c r="KNM55" s="42"/>
      <c r="KNN55" s="42"/>
      <c r="KNO55" s="42"/>
      <c r="KNP55" s="42"/>
      <c r="KNQ55" s="42"/>
      <c r="KNR55" s="42"/>
      <c r="KNS55" s="42"/>
      <c r="KNT55" s="42"/>
      <c r="KNU55" s="42"/>
      <c r="KNV55" s="42"/>
      <c r="KNW55" s="2"/>
      <c r="KNX55" s="15"/>
      <c r="KNY55" s="42"/>
      <c r="KNZ55" s="2"/>
      <c r="KOA55" s="2"/>
      <c r="KOB55" s="2"/>
      <c r="KOC55" s="2"/>
      <c r="KOD55" s="42"/>
      <c r="KOE55" s="42"/>
      <c r="KOF55" s="42"/>
      <c r="KOG55" s="42"/>
      <c r="KOH55" s="42"/>
      <c r="KOI55" s="42"/>
      <c r="KOJ55" s="42"/>
      <c r="KOK55" s="42"/>
      <c r="KOL55" s="42"/>
      <c r="KOM55" s="42"/>
      <c r="KON55" s="42"/>
      <c r="KOO55" s="42"/>
      <c r="KOP55" s="42"/>
      <c r="KOQ55" s="42"/>
      <c r="KOR55" s="42"/>
      <c r="KOS55" s="42"/>
      <c r="KOT55" s="42"/>
      <c r="KOU55" s="42"/>
      <c r="KOV55" s="42"/>
      <c r="KOW55" s="42"/>
      <c r="KOX55" s="42"/>
      <c r="KOY55" s="42"/>
      <c r="KOZ55" s="42"/>
      <c r="KPA55" s="2"/>
      <c r="KPB55" s="15"/>
      <c r="KPC55" s="42"/>
      <c r="KPD55" s="2"/>
      <c r="KPE55" s="2"/>
      <c r="KPF55" s="2"/>
      <c r="KPG55" s="2"/>
      <c r="KPH55" s="42"/>
      <c r="KPI55" s="42"/>
      <c r="KPJ55" s="42"/>
      <c r="KPK55" s="42"/>
      <c r="KPL55" s="42"/>
      <c r="KPM55" s="42"/>
      <c r="KPN55" s="42"/>
      <c r="KPO55" s="42"/>
      <c r="KPP55" s="42"/>
      <c r="KPQ55" s="42"/>
      <c r="KPR55" s="42"/>
      <c r="KPS55" s="42"/>
      <c r="KPT55" s="42"/>
      <c r="KPU55" s="42"/>
      <c r="KPV55" s="42"/>
      <c r="KPW55" s="42"/>
      <c r="KPX55" s="42"/>
      <c r="KPY55" s="42"/>
      <c r="KPZ55" s="42"/>
      <c r="KQA55" s="42"/>
      <c r="KQB55" s="42"/>
      <c r="KQC55" s="42"/>
      <c r="KQD55" s="42"/>
      <c r="KQE55" s="2"/>
      <c r="KQF55" s="15"/>
      <c r="KQG55" s="42"/>
      <c r="KQH55" s="2"/>
      <c r="KQI55" s="2"/>
      <c r="KQJ55" s="2"/>
      <c r="KQK55" s="2"/>
      <c r="KQL55" s="42"/>
      <c r="KQM55" s="42"/>
      <c r="KQN55" s="42"/>
      <c r="KQO55" s="42"/>
      <c r="KQP55" s="42"/>
      <c r="KQQ55" s="42"/>
      <c r="KQR55" s="42"/>
      <c r="KQS55" s="42"/>
      <c r="KQT55" s="42"/>
      <c r="KQU55" s="42"/>
      <c r="KQV55" s="42"/>
      <c r="KQW55" s="42"/>
      <c r="KQX55" s="42"/>
      <c r="KQY55" s="42"/>
      <c r="KQZ55" s="42"/>
      <c r="KRA55" s="42"/>
      <c r="KRB55" s="42"/>
      <c r="KRC55" s="42"/>
      <c r="KRD55" s="42"/>
      <c r="KRE55" s="42"/>
      <c r="KRF55" s="42"/>
      <c r="KRG55" s="42"/>
      <c r="KRH55" s="42"/>
      <c r="KRI55" s="2"/>
      <c r="KRJ55" s="15"/>
      <c r="KRK55" s="42"/>
      <c r="KRL55" s="2"/>
      <c r="KRM55" s="2"/>
      <c r="KRN55" s="2"/>
      <c r="KRO55" s="2"/>
      <c r="KRP55" s="42"/>
      <c r="KRQ55" s="42"/>
      <c r="KRR55" s="42"/>
      <c r="KRS55" s="42"/>
      <c r="KRT55" s="42"/>
      <c r="KRU55" s="42"/>
      <c r="KRV55" s="42"/>
      <c r="KRW55" s="42"/>
      <c r="KRX55" s="42"/>
      <c r="KRY55" s="42"/>
      <c r="KRZ55" s="42"/>
      <c r="KSA55" s="42"/>
      <c r="KSB55" s="42"/>
      <c r="KSC55" s="42"/>
      <c r="KSD55" s="42"/>
      <c r="KSE55" s="42"/>
      <c r="KSF55" s="42"/>
      <c r="KSG55" s="42"/>
      <c r="KSH55" s="42"/>
      <c r="KSI55" s="42"/>
      <c r="KSJ55" s="42"/>
      <c r="KSK55" s="42"/>
      <c r="KSL55" s="42"/>
      <c r="KSM55" s="2"/>
      <c r="KSN55" s="15"/>
      <c r="KSO55" s="42"/>
      <c r="KSP55" s="2"/>
      <c r="KSQ55" s="2"/>
      <c r="KSR55" s="2"/>
      <c r="KSS55" s="2"/>
      <c r="KST55" s="42"/>
      <c r="KSU55" s="42"/>
      <c r="KSV55" s="42"/>
      <c r="KSW55" s="42"/>
      <c r="KSX55" s="42"/>
      <c r="KSY55" s="42"/>
      <c r="KSZ55" s="42"/>
      <c r="KTA55" s="42"/>
      <c r="KTB55" s="42"/>
      <c r="KTC55" s="42"/>
      <c r="KTD55" s="42"/>
      <c r="KTE55" s="42"/>
      <c r="KTF55" s="42"/>
      <c r="KTG55" s="42"/>
      <c r="KTH55" s="42"/>
      <c r="KTI55" s="42"/>
      <c r="KTJ55" s="42"/>
      <c r="KTK55" s="42"/>
      <c r="KTL55" s="42"/>
      <c r="KTM55" s="42"/>
      <c r="KTN55" s="42"/>
      <c r="KTO55" s="42"/>
      <c r="KTP55" s="42"/>
      <c r="KTQ55" s="2"/>
      <c r="KTR55" s="15"/>
      <c r="KTS55" s="42"/>
      <c r="KTT55" s="2"/>
      <c r="KTU55" s="2"/>
      <c r="KTV55" s="2"/>
      <c r="KTW55" s="2"/>
      <c r="KTX55" s="42"/>
      <c r="KTY55" s="42"/>
      <c r="KTZ55" s="42"/>
      <c r="KUA55" s="42"/>
      <c r="KUB55" s="42"/>
      <c r="KUC55" s="42"/>
      <c r="KUD55" s="42"/>
      <c r="KUE55" s="42"/>
      <c r="KUF55" s="42"/>
      <c r="KUG55" s="42"/>
      <c r="KUH55" s="42"/>
      <c r="KUI55" s="42"/>
      <c r="KUJ55" s="42"/>
      <c r="KUK55" s="42"/>
      <c r="KUL55" s="42"/>
      <c r="KUM55" s="42"/>
      <c r="KUN55" s="42"/>
      <c r="KUO55" s="42"/>
      <c r="KUP55" s="42"/>
      <c r="KUQ55" s="42"/>
      <c r="KUR55" s="42"/>
      <c r="KUS55" s="42"/>
      <c r="KUT55" s="42"/>
      <c r="KUU55" s="2"/>
      <c r="KUV55" s="15"/>
      <c r="KUW55" s="42"/>
      <c r="KUX55" s="2"/>
      <c r="KUY55" s="2"/>
      <c r="KUZ55" s="2"/>
      <c r="KVA55" s="2"/>
      <c r="KVB55" s="42"/>
      <c r="KVC55" s="42"/>
      <c r="KVD55" s="42"/>
      <c r="KVE55" s="42"/>
      <c r="KVF55" s="42"/>
      <c r="KVG55" s="42"/>
      <c r="KVH55" s="42"/>
      <c r="KVI55" s="42"/>
      <c r="KVJ55" s="42"/>
      <c r="KVK55" s="42"/>
      <c r="KVL55" s="42"/>
      <c r="KVM55" s="42"/>
      <c r="KVN55" s="42"/>
      <c r="KVO55" s="42"/>
      <c r="KVP55" s="42"/>
      <c r="KVQ55" s="42"/>
      <c r="KVR55" s="42"/>
      <c r="KVS55" s="42"/>
      <c r="KVT55" s="42"/>
      <c r="KVU55" s="42"/>
      <c r="KVV55" s="42"/>
      <c r="KVW55" s="42"/>
      <c r="KVX55" s="42"/>
      <c r="KVY55" s="2"/>
      <c r="KVZ55" s="15"/>
      <c r="KWA55" s="42"/>
      <c r="KWB55" s="2"/>
      <c r="KWC55" s="2"/>
      <c r="KWD55" s="2"/>
      <c r="KWE55" s="2"/>
      <c r="KWF55" s="42"/>
      <c r="KWG55" s="42"/>
      <c r="KWH55" s="42"/>
      <c r="KWI55" s="42"/>
      <c r="KWJ55" s="42"/>
      <c r="KWK55" s="42"/>
      <c r="KWL55" s="42"/>
      <c r="KWM55" s="42"/>
      <c r="KWN55" s="42"/>
      <c r="KWO55" s="42"/>
      <c r="KWP55" s="42"/>
      <c r="KWQ55" s="42"/>
      <c r="KWR55" s="42"/>
      <c r="KWS55" s="42"/>
      <c r="KWT55" s="42"/>
      <c r="KWU55" s="42"/>
      <c r="KWV55" s="42"/>
      <c r="KWW55" s="42"/>
      <c r="KWX55" s="42"/>
      <c r="KWY55" s="42"/>
      <c r="KWZ55" s="42"/>
      <c r="KXA55" s="42"/>
      <c r="KXB55" s="42"/>
      <c r="KXC55" s="2"/>
      <c r="KXD55" s="15"/>
      <c r="KXE55" s="42"/>
      <c r="KXF55" s="2"/>
      <c r="KXG55" s="2"/>
      <c r="KXH55" s="2"/>
      <c r="KXI55" s="2"/>
      <c r="KXJ55" s="42"/>
      <c r="KXK55" s="42"/>
      <c r="KXL55" s="42"/>
      <c r="KXM55" s="42"/>
      <c r="KXN55" s="42"/>
      <c r="KXO55" s="42"/>
      <c r="KXP55" s="42"/>
      <c r="KXQ55" s="42"/>
      <c r="KXR55" s="42"/>
      <c r="KXS55" s="42"/>
      <c r="KXT55" s="42"/>
      <c r="KXU55" s="42"/>
      <c r="KXV55" s="42"/>
      <c r="KXW55" s="42"/>
      <c r="KXX55" s="42"/>
      <c r="KXY55" s="42"/>
      <c r="KXZ55" s="42"/>
      <c r="KYA55" s="42"/>
      <c r="KYB55" s="42"/>
      <c r="KYC55" s="42"/>
      <c r="KYD55" s="42"/>
      <c r="KYE55" s="42"/>
      <c r="KYF55" s="42"/>
      <c r="KYG55" s="2"/>
      <c r="KYH55" s="15"/>
      <c r="KYI55" s="42"/>
      <c r="KYJ55" s="2"/>
      <c r="KYK55" s="2"/>
      <c r="KYL55" s="2"/>
      <c r="KYM55" s="2"/>
      <c r="KYN55" s="42"/>
      <c r="KYO55" s="42"/>
      <c r="KYP55" s="42"/>
      <c r="KYQ55" s="42"/>
      <c r="KYR55" s="42"/>
      <c r="KYS55" s="42"/>
      <c r="KYT55" s="42"/>
      <c r="KYU55" s="42"/>
      <c r="KYV55" s="42"/>
      <c r="KYW55" s="42"/>
      <c r="KYX55" s="42"/>
      <c r="KYY55" s="42"/>
      <c r="KYZ55" s="42"/>
      <c r="KZA55" s="42"/>
      <c r="KZB55" s="42"/>
      <c r="KZC55" s="42"/>
      <c r="KZD55" s="42"/>
      <c r="KZE55" s="42"/>
      <c r="KZF55" s="42"/>
      <c r="KZG55" s="42"/>
      <c r="KZH55" s="42"/>
      <c r="KZI55" s="42"/>
      <c r="KZJ55" s="42"/>
      <c r="KZK55" s="2"/>
      <c r="KZL55" s="15"/>
      <c r="KZM55" s="42"/>
      <c r="KZN55" s="2"/>
      <c r="KZO55" s="2"/>
      <c r="KZP55" s="2"/>
      <c r="KZQ55" s="2"/>
      <c r="KZR55" s="42"/>
      <c r="KZS55" s="42"/>
      <c r="KZT55" s="42"/>
      <c r="KZU55" s="42"/>
      <c r="KZV55" s="42"/>
      <c r="KZW55" s="42"/>
      <c r="KZX55" s="42"/>
      <c r="KZY55" s="42"/>
      <c r="KZZ55" s="42"/>
      <c r="LAA55" s="42"/>
      <c r="LAB55" s="42"/>
      <c r="LAC55" s="42"/>
      <c r="LAD55" s="42"/>
      <c r="LAE55" s="42"/>
      <c r="LAF55" s="42"/>
      <c r="LAG55" s="42"/>
      <c r="LAH55" s="42"/>
      <c r="LAI55" s="42"/>
      <c r="LAJ55" s="42"/>
      <c r="LAK55" s="42"/>
      <c r="LAL55" s="42"/>
      <c r="LAM55" s="42"/>
      <c r="LAN55" s="42"/>
      <c r="LAO55" s="2"/>
      <c r="LAP55" s="15"/>
      <c r="LAQ55" s="42"/>
      <c r="LAR55" s="2"/>
      <c r="LAS55" s="2"/>
      <c r="LAT55" s="2"/>
      <c r="LAU55" s="2"/>
      <c r="LAV55" s="42"/>
      <c r="LAW55" s="42"/>
      <c r="LAX55" s="42"/>
      <c r="LAY55" s="42"/>
      <c r="LAZ55" s="42"/>
      <c r="LBA55" s="42"/>
      <c r="LBB55" s="42"/>
      <c r="LBC55" s="42"/>
      <c r="LBD55" s="42"/>
      <c r="LBE55" s="42"/>
      <c r="LBF55" s="42"/>
      <c r="LBG55" s="42"/>
      <c r="LBH55" s="42"/>
      <c r="LBI55" s="42"/>
      <c r="LBJ55" s="42"/>
      <c r="LBK55" s="42"/>
      <c r="LBL55" s="42"/>
      <c r="LBM55" s="42"/>
      <c r="LBN55" s="42"/>
      <c r="LBO55" s="42"/>
      <c r="LBP55" s="42"/>
      <c r="LBQ55" s="42"/>
      <c r="LBR55" s="42"/>
      <c r="LBS55" s="2"/>
      <c r="LBT55" s="15"/>
      <c r="LBU55" s="42"/>
      <c r="LBV55" s="2"/>
      <c r="LBW55" s="2"/>
      <c r="LBX55" s="2"/>
      <c r="LBY55" s="2"/>
      <c r="LBZ55" s="42"/>
      <c r="LCA55" s="42"/>
      <c r="LCB55" s="42"/>
      <c r="LCC55" s="42"/>
      <c r="LCD55" s="42"/>
      <c r="LCE55" s="42"/>
      <c r="LCF55" s="42"/>
      <c r="LCG55" s="42"/>
      <c r="LCH55" s="42"/>
      <c r="LCI55" s="42"/>
      <c r="LCJ55" s="42"/>
      <c r="LCK55" s="42"/>
      <c r="LCL55" s="42"/>
      <c r="LCM55" s="42"/>
      <c r="LCN55" s="42"/>
      <c r="LCO55" s="42"/>
      <c r="LCP55" s="42"/>
      <c r="LCQ55" s="42"/>
      <c r="LCR55" s="42"/>
      <c r="LCS55" s="42"/>
      <c r="LCT55" s="42"/>
      <c r="LCU55" s="42"/>
      <c r="LCV55" s="42"/>
      <c r="LCW55" s="2"/>
      <c r="LCX55" s="15"/>
      <c r="LCY55" s="42"/>
      <c r="LCZ55" s="2"/>
      <c r="LDA55" s="2"/>
      <c r="LDB55" s="2"/>
      <c r="LDC55" s="2"/>
      <c r="LDD55" s="42"/>
      <c r="LDE55" s="42"/>
      <c r="LDF55" s="42"/>
      <c r="LDG55" s="42"/>
      <c r="LDH55" s="42"/>
      <c r="LDI55" s="42"/>
      <c r="LDJ55" s="42"/>
      <c r="LDK55" s="42"/>
      <c r="LDL55" s="42"/>
      <c r="LDM55" s="42"/>
      <c r="LDN55" s="42"/>
      <c r="LDO55" s="42"/>
      <c r="LDP55" s="42"/>
      <c r="LDQ55" s="42"/>
      <c r="LDR55" s="42"/>
      <c r="LDS55" s="42"/>
      <c r="LDT55" s="42"/>
      <c r="LDU55" s="42"/>
      <c r="LDV55" s="42"/>
      <c r="LDW55" s="42"/>
      <c r="LDX55" s="42"/>
      <c r="LDY55" s="42"/>
      <c r="LDZ55" s="42"/>
      <c r="LEA55" s="2"/>
      <c r="LEB55" s="15"/>
      <c r="LEC55" s="42"/>
      <c r="LED55" s="2"/>
      <c r="LEE55" s="2"/>
      <c r="LEF55" s="2"/>
      <c r="LEG55" s="2"/>
      <c r="LEH55" s="42"/>
      <c r="LEI55" s="42"/>
      <c r="LEJ55" s="42"/>
      <c r="LEK55" s="42"/>
      <c r="LEL55" s="42"/>
      <c r="LEM55" s="42"/>
      <c r="LEN55" s="42"/>
      <c r="LEO55" s="42"/>
      <c r="LEP55" s="42"/>
      <c r="LEQ55" s="42"/>
      <c r="LER55" s="42"/>
      <c r="LES55" s="42"/>
      <c r="LET55" s="42"/>
      <c r="LEU55" s="42"/>
      <c r="LEV55" s="42"/>
      <c r="LEW55" s="42"/>
      <c r="LEX55" s="42"/>
      <c r="LEY55" s="42"/>
      <c r="LEZ55" s="42"/>
      <c r="LFA55" s="42"/>
      <c r="LFB55" s="42"/>
      <c r="LFC55" s="42"/>
      <c r="LFD55" s="42"/>
      <c r="LFE55" s="2"/>
      <c r="LFF55" s="15"/>
      <c r="LFG55" s="42"/>
      <c r="LFH55" s="2"/>
      <c r="LFI55" s="2"/>
      <c r="LFJ55" s="2"/>
      <c r="LFK55" s="2"/>
      <c r="LFL55" s="42"/>
      <c r="LFM55" s="42"/>
      <c r="LFN55" s="42"/>
      <c r="LFO55" s="42"/>
      <c r="LFP55" s="42"/>
      <c r="LFQ55" s="42"/>
      <c r="LFR55" s="42"/>
      <c r="LFS55" s="42"/>
      <c r="LFT55" s="42"/>
      <c r="LFU55" s="42"/>
      <c r="LFV55" s="42"/>
      <c r="LFW55" s="42"/>
      <c r="LFX55" s="42"/>
      <c r="LFY55" s="42"/>
      <c r="LFZ55" s="42"/>
      <c r="LGA55" s="42"/>
      <c r="LGB55" s="42"/>
      <c r="LGC55" s="42"/>
      <c r="LGD55" s="42"/>
      <c r="LGE55" s="42"/>
      <c r="LGF55" s="42"/>
      <c r="LGG55" s="42"/>
      <c r="LGH55" s="42"/>
      <c r="LGI55" s="2"/>
      <c r="LGJ55" s="15"/>
      <c r="LGK55" s="42"/>
      <c r="LGL55" s="2"/>
      <c r="LGM55" s="2"/>
      <c r="LGN55" s="2"/>
      <c r="LGO55" s="2"/>
      <c r="LGP55" s="42"/>
      <c r="LGQ55" s="42"/>
      <c r="LGR55" s="42"/>
      <c r="LGS55" s="42"/>
      <c r="LGT55" s="42"/>
      <c r="LGU55" s="42"/>
      <c r="LGV55" s="42"/>
      <c r="LGW55" s="42"/>
      <c r="LGX55" s="42"/>
      <c r="LGY55" s="42"/>
      <c r="LGZ55" s="42"/>
      <c r="LHA55" s="42"/>
      <c r="LHB55" s="42"/>
      <c r="LHC55" s="42"/>
      <c r="LHD55" s="42"/>
      <c r="LHE55" s="42"/>
      <c r="LHF55" s="42"/>
      <c r="LHG55" s="42"/>
      <c r="LHH55" s="42"/>
      <c r="LHI55" s="42"/>
      <c r="LHJ55" s="42"/>
      <c r="LHK55" s="42"/>
      <c r="LHL55" s="42"/>
      <c r="LHM55" s="2"/>
      <c r="LHN55" s="15"/>
      <c r="LHO55" s="42"/>
      <c r="LHP55" s="2"/>
      <c r="LHQ55" s="2"/>
      <c r="LHR55" s="2"/>
      <c r="LHS55" s="2"/>
      <c r="LHT55" s="42"/>
      <c r="LHU55" s="42"/>
      <c r="LHV55" s="42"/>
      <c r="LHW55" s="42"/>
      <c r="LHX55" s="42"/>
      <c r="LHY55" s="42"/>
      <c r="LHZ55" s="42"/>
      <c r="LIA55" s="42"/>
      <c r="LIB55" s="42"/>
      <c r="LIC55" s="42"/>
      <c r="LID55" s="42"/>
      <c r="LIE55" s="42"/>
      <c r="LIF55" s="42"/>
      <c r="LIG55" s="42"/>
      <c r="LIH55" s="42"/>
      <c r="LII55" s="42"/>
      <c r="LIJ55" s="42"/>
      <c r="LIK55" s="42"/>
      <c r="LIL55" s="42"/>
      <c r="LIM55" s="42"/>
      <c r="LIN55" s="42"/>
      <c r="LIO55" s="42"/>
      <c r="LIP55" s="42"/>
      <c r="LIQ55" s="2"/>
      <c r="LIR55" s="15"/>
      <c r="LIS55" s="42"/>
      <c r="LIT55" s="2"/>
      <c r="LIU55" s="2"/>
      <c r="LIV55" s="2"/>
      <c r="LIW55" s="2"/>
      <c r="LIX55" s="42"/>
      <c r="LIY55" s="42"/>
      <c r="LIZ55" s="42"/>
      <c r="LJA55" s="42"/>
      <c r="LJB55" s="42"/>
      <c r="LJC55" s="42"/>
      <c r="LJD55" s="42"/>
      <c r="LJE55" s="42"/>
      <c r="LJF55" s="42"/>
      <c r="LJG55" s="42"/>
      <c r="LJH55" s="42"/>
      <c r="LJI55" s="42"/>
      <c r="LJJ55" s="42"/>
      <c r="LJK55" s="42"/>
      <c r="LJL55" s="42"/>
      <c r="LJM55" s="42"/>
      <c r="LJN55" s="42"/>
      <c r="LJO55" s="42"/>
      <c r="LJP55" s="42"/>
      <c r="LJQ55" s="42"/>
      <c r="LJR55" s="42"/>
      <c r="LJS55" s="42"/>
      <c r="LJT55" s="42"/>
      <c r="LJU55" s="2"/>
      <c r="LJV55" s="15"/>
      <c r="LJW55" s="42"/>
      <c r="LJX55" s="2"/>
      <c r="LJY55" s="2"/>
      <c r="LJZ55" s="2"/>
      <c r="LKA55" s="2"/>
      <c r="LKB55" s="42"/>
      <c r="LKC55" s="42"/>
      <c r="LKD55" s="42"/>
      <c r="LKE55" s="42"/>
      <c r="LKF55" s="42"/>
      <c r="LKG55" s="42"/>
      <c r="LKH55" s="42"/>
      <c r="LKI55" s="42"/>
      <c r="LKJ55" s="42"/>
      <c r="LKK55" s="42"/>
      <c r="LKL55" s="42"/>
      <c r="LKM55" s="42"/>
      <c r="LKN55" s="42"/>
      <c r="LKO55" s="42"/>
      <c r="LKP55" s="42"/>
      <c r="LKQ55" s="42"/>
      <c r="LKR55" s="42"/>
      <c r="LKS55" s="42"/>
      <c r="LKT55" s="42"/>
      <c r="LKU55" s="42"/>
      <c r="LKV55" s="42"/>
      <c r="LKW55" s="42"/>
      <c r="LKX55" s="42"/>
      <c r="LKY55" s="2"/>
      <c r="LKZ55" s="15"/>
      <c r="LLA55" s="42"/>
      <c r="LLB55" s="2"/>
      <c r="LLC55" s="2"/>
      <c r="LLD55" s="2"/>
      <c r="LLE55" s="2"/>
      <c r="LLF55" s="42"/>
      <c r="LLG55" s="42"/>
      <c r="LLH55" s="42"/>
      <c r="LLI55" s="42"/>
      <c r="LLJ55" s="42"/>
      <c r="LLK55" s="42"/>
      <c r="LLL55" s="42"/>
      <c r="LLM55" s="42"/>
      <c r="LLN55" s="42"/>
      <c r="LLO55" s="42"/>
      <c r="LLP55" s="42"/>
      <c r="LLQ55" s="42"/>
      <c r="LLR55" s="42"/>
      <c r="LLS55" s="42"/>
      <c r="LLT55" s="42"/>
      <c r="LLU55" s="42"/>
      <c r="LLV55" s="42"/>
      <c r="LLW55" s="42"/>
      <c r="LLX55" s="42"/>
      <c r="LLY55" s="42"/>
      <c r="LLZ55" s="42"/>
      <c r="LMA55" s="42"/>
      <c r="LMB55" s="42"/>
      <c r="LMC55" s="2"/>
      <c r="LMD55" s="15"/>
      <c r="LME55" s="42"/>
      <c r="LMF55" s="2"/>
      <c r="LMG55" s="2"/>
      <c r="LMH55" s="2"/>
      <c r="LMI55" s="2"/>
      <c r="LMJ55" s="42"/>
      <c r="LMK55" s="42"/>
      <c r="LML55" s="42"/>
      <c r="LMM55" s="42"/>
      <c r="LMN55" s="42"/>
      <c r="LMO55" s="42"/>
      <c r="LMP55" s="42"/>
      <c r="LMQ55" s="42"/>
      <c r="LMR55" s="42"/>
      <c r="LMS55" s="42"/>
      <c r="LMT55" s="42"/>
      <c r="LMU55" s="42"/>
      <c r="LMV55" s="42"/>
      <c r="LMW55" s="42"/>
      <c r="LMX55" s="42"/>
      <c r="LMY55" s="42"/>
      <c r="LMZ55" s="42"/>
      <c r="LNA55" s="42"/>
      <c r="LNB55" s="42"/>
      <c r="LNC55" s="42"/>
      <c r="LND55" s="42"/>
      <c r="LNE55" s="42"/>
      <c r="LNF55" s="42"/>
      <c r="LNG55" s="2"/>
      <c r="LNH55" s="15"/>
      <c r="LNI55" s="42"/>
      <c r="LNJ55" s="2"/>
      <c r="LNK55" s="2"/>
      <c r="LNL55" s="2"/>
      <c r="LNM55" s="2"/>
      <c r="LNN55" s="42"/>
      <c r="LNO55" s="42"/>
      <c r="LNP55" s="42"/>
      <c r="LNQ55" s="42"/>
      <c r="LNR55" s="42"/>
      <c r="LNS55" s="42"/>
      <c r="LNT55" s="42"/>
      <c r="LNU55" s="42"/>
      <c r="LNV55" s="42"/>
      <c r="LNW55" s="42"/>
      <c r="LNX55" s="42"/>
      <c r="LNY55" s="42"/>
      <c r="LNZ55" s="42"/>
      <c r="LOA55" s="42"/>
      <c r="LOB55" s="42"/>
      <c r="LOC55" s="42"/>
      <c r="LOD55" s="42"/>
      <c r="LOE55" s="42"/>
      <c r="LOF55" s="42"/>
      <c r="LOG55" s="42"/>
      <c r="LOH55" s="42"/>
      <c r="LOI55" s="42"/>
      <c r="LOJ55" s="42"/>
      <c r="LOK55" s="2"/>
      <c r="LOL55" s="15"/>
      <c r="LOM55" s="42"/>
      <c r="LON55" s="2"/>
      <c r="LOO55" s="2"/>
      <c r="LOP55" s="2"/>
      <c r="LOQ55" s="2"/>
      <c r="LOR55" s="42"/>
      <c r="LOS55" s="42"/>
      <c r="LOT55" s="42"/>
      <c r="LOU55" s="42"/>
      <c r="LOV55" s="42"/>
      <c r="LOW55" s="42"/>
      <c r="LOX55" s="42"/>
      <c r="LOY55" s="42"/>
      <c r="LOZ55" s="42"/>
      <c r="LPA55" s="42"/>
      <c r="LPB55" s="42"/>
      <c r="LPC55" s="42"/>
      <c r="LPD55" s="42"/>
      <c r="LPE55" s="42"/>
      <c r="LPF55" s="42"/>
      <c r="LPG55" s="42"/>
      <c r="LPH55" s="42"/>
      <c r="LPI55" s="42"/>
      <c r="LPJ55" s="42"/>
      <c r="LPK55" s="42"/>
      <c r="LPL55" s="42"/>
      <c r="LPM55" s="42"/>
      <c r="LPN55" s="42"/>
      <c r="LPO55" s="2"/>
      <c r="LPP55" s="15"/>
      <c r="LPQ55" s="42"/>
      <c r="LPR55" s="2"/>
      <c r="LPS55" s="2"/>
      <c r="LPT55" s="2"/>
      <c r="LPU55" s="2"/>
      <c r="LPV55" s="42"/>
      <c r="LPW55" s="42"/>
      <c r="LPX55" s="42"/>
      <c r="LPY55" s="42"/>
      <c r="LPZ55" s="42"/>
      <c r="LQA55" s="42"/>
      <c r="LQB55" s="42"/>
      <c r="LQC55" s="42"/>
      <c r="LQD55" s="42"/>
      <c r="LQE55" s="42"/>
      <c r="LQF55" s="42"/>
      <c r="LQG55" s="42"/>
      <c r="LQH55" s="42"/>
      <c r="LQI55" s="42"/>
      <c r="LQJ55" s="42"/>
      <c r="LQK55" s="42"/>
      <c r="LQL55" s="42"/>
      <c r="LQM55" s="42"/>
      <c r="LQN55" s="42"/>
      <c r="LQO55" s="42"/>
      <c r="LQP55" s="42"/>
      <c r="LQQ55" s="42"/>
      <c r="LQR55" s="42"/>
      <c r="LQS55" s="2"/>
      <c r="LQT55" s="15"/>
      <c r="LQU55" s="42"/>
      <c r="LQV55" s="2"/>
      <c r="LQW55" s="2"/>
      <c r="LQX55" s="2"/>
      <c r="LQY55" s="2"/>
      <c r="LQZ55" s="42"/>
      <c r="LRA55" s="42"/>
      <c r="LRB55" s="42"/>
      <c r="LRC55" s="42"/>
      <c r="LRD55" s="42"/>
      <c r="LRE55" s="42"/>
      <c r="LRF55" s="42"/>
      <c r="LRG55" s="42"/>
      <c r="LRH55" s="42"/>
      <c r="LRI55" s="42"/>
      <c r="LRJ55" s="42"/>
      <c r="LRK55" s="42"/>
      <c r="LRL55" s="42"/>
      <c r="LRM55" s="42"/>
      <c r="LRN55" s="42"/>
      <c r="LRO55" s="42"/>
      <c r="LRP55" s="42"/>
      <c r="LRQ55" s="42"/>
      <c r="LRR55" s="42"/>
      <c r="LRS55" s="42"/>
      <c r="LRT55" s="42"/>
      <c r="LRU55" s="42"/>
      <c r="LRV55" s="42"/>
      <c r="LRW55" s="2"/>
      <c r="LRX55" s="15"/>
      <c r="LRY55" s="42"/>
      <c r="LRZ55" s="2"/>
      <c r="LSA55" s="2"/>
      <c r="LSB55" s="2"/>
      <c r="LSC55" s="2"/>
      <c r="LSD55" s="42"/>
      <c r="LSE55" s="42"/>
      <c r="LSF55" s="42"/>
      <c r="LSG55" s="42"/>
      <c r="LSH55" s="42"/>
      <c r="LSI55" s="42"/>
      <c r="LSJ55" s="42"/>
      <c r="LSK55" s="42"/>
      <c r="LSL55" s="42"/>
      <c r="LSM55" s="42"/>
      <c r="LSN55" s="42"/>
      <c r="LSO55" s="42"/>
      <c r="LSP55" s="42"/>
      <c r="LSQ55" s="42"/>
      <c r="LSR55" s="42"/>
      <c r="LSS55" s="42"/>
      <c r="LST55" s="42"/>
      <c r="LSU55" s="42"/>
      <c r="LSV55" s="42"/>
      <c r="LSW55" s="42"/>
      <c r="LSX55" s="42"/>
      <c r="LSY55" s="42"/>
      <c r="LSZ55" s="42"/>
      <c r="LTA55" s="2"/>
      <c r="LTB55" s="15"/>
      <c r="LTC55" s="42"/>
      <c r="LTD55" s="2"/>
      <c r="LTE55" s="2"/>
      <c r="LTF55" s="2"/>
      <c r="LTG55" s="2"/>
      <c r="LTH55" s="42"/>
      <c r="LTI55" s="42"/>
      <c r="LTJ55" s="42"/>
      <c r="LTK55" s="42"/>
      <c r="LTL55" s="42"/>
      <c r="LTM55" s="42"/>
      <c r="LTN55" s="42"/>
      <c r="LTO55" s="42"/>
      <c r="LTP55" s="42"/>
      <c r="LTQ55" s="42"/>
      <c r="LTR55" s="42"/>
      <c r="LTS55" s="42"/>
      <c r="LTT55" s="42"/>
      <c r="LTU55" s="42"/>
      <c r="LTV55" s="42"/>
      <c r="LTW55" s="42"/>
      <c r="LTX55" s="42"/>
      <c r="LTY55" s="42"/>
      <c r="LTZ55" s="42"/>
      <c r="LUA55" s="42"/>
      <c r="LUB55" s="42"/>
      <c r="LUC55" s="42"/>
      <c r="LUD55" s="42"/>
      <c r="LUE55" s="2"/>
      <c r="LUF55" s="15"/>
      <c r="LUG55" s="42"/>
      <c r="LUH55" s="2"/>
      <c r="LUI55" s="2"/>
      <c r="LUJ55" s="2"/>
      <c r="LUK55" s="2"/>
      <c r="LUL55" s="42"/>
      <c r="LUM55" s="42"/>
      <c r="LUN55" s="42"/>
      <c r="LUO55" s="42"/>
      <c r="LUP55" s="42"/>
      <c r="LUQ55" s="42"/>
      <c r="LUR55" s="42"/>
      <c r="LUS55" s="42"/>
      <c r="LUT55" s="42"/>
      <c r="LUU55" s="42"/>
      <c r="LUV55" s="42"/>
      <c r="LUW55" s="42"/>
      <c r="LUX55" s="42"/>
      <c r="LUY55" s="42"/>
      <c r="LUZ55" s="42"/>
      <c r="LVA55" s="42"/>
      <c r="LVB55" s="42"/>
      <c r="LVC55" s="42"/>
      <c r="LVD55" s="42"/>
      <c r="LVE55" s="42"/>
      <c r="LVF55" s="42"/>
      <c r="LVG55" s="42"/>
      <c r="LVH55" s="42"/>
      <c r="LVI55" s="2"/>
      <c r="LVJ55" s="15"/>
      <c r="LVK55" s="42"/>
      <c r="LVL55" s="2"/>
      <c r="LVM55" s="2"/>
      <c r="LVN55" s="2"/>
      <c r="LVO55" s="2"/>
      <c r="LVP55" s="42"/>
      <c r="LVQ55" s="42"/>
      <c r="LVR55" s="42"/>
      <c r="LVS55" s="42"/>
      <c r="LVT55" s="42"/>
      <c r="LVU55" s="42"/>
      <c r="LVV55" s="42"/>
      <c r="LVW55" s="42"/>
      <c r="LVX55" s="42"/>
      <c r="LVY55" s="42"/>
      <c r="LVZ55" s="42"/>
      <c r="LWA55" s="42"/>
      <c r="LWB55" s="42"/>
      <c r="LWC55" s="42"/>
      <c r="LWD55" s="42"/>
      <c r="LWE55" s="42"/>
      <c r="LWF55" s="42"/>
      <c r="LWG55" s="42"/>
      <c r="LWH55" s="42"/>
      <c r="LWI55" s="42"/>
      <c r="LWJ55" s="42"/>
      <c r="LWK55" s="42"/>
      <c r="LWL55" s="42"/>
      <c r="LWM55" s="2"/>
      <c r="LWN55" s="15"/>
      <c r="LWO55" s="42"/>
      <c r="LWP55" s="2"/>
      <c r="LWQ55" s="2"/>
      <c r="LWR55" s="2"/>
      <c r="LWS55" s="2"/>
      <c r="LWT55" s="42"/>
      <c r="LWU55" s="42"/>
      <c r="LWV55" s="42"/>
      <c r="LWW55" s="42"/>
      <c r="LWX55" s="42"/>
      <c r="LWY55" s="42"/>
      <c r="LWZ55" s="42"/>
      <c r="LXA55" s="42"/>
      <c r="LXB55" s="42"/>
      <c r="LXC55" s="42"/>
      <c r="LXD55" s="42"/>
      <c r="LXE55" s="42"/>
      <c r="LXF55" s="42"/>
      <c r="LXG55" s="42"/>
      <c r="LXH55" s="42"/>
      <c r="LXI55" s="42"/>
      <c r="LXJ55" s="42"/>
      <c r="LXK55" s="42"/>
      <c r="LXL55" s="42"/>
      <c r="LXM55" s="42"/>
      <c r="LXN55" s="42"/>
      <c r="LXO55" s="42"/>
      <c r="LXP55" s="42"/>
      <c r="LXQ55" s="2"/>
      <c r="LXR55" s="15"/>
      <c r="LXS55" s="42"/>
      <c r="LXT55" s="2"/>
      <c r="LXU55" s="2"/>
      <c r="LXV55" s="2"/>
      <c r="LXW55" s="2"/>
      <c r="LXX55" s="42"/>
      <c r="LXY55" s="42"/>
      <c r="LXZ55" s="42"/>
      <c r="LYA55" s="42"/>
      <c r="LYB55" s="42"/>
      <c r="LYC55" s="42"/>
      <c r="LYD55" s="42"/>
      <c r="LYE55" s="42"/>
      <c r="LYF55" s="42"/>
      <c r="LYG55" s="42"/>
      <c r="LYH55" s="42"/>
      <c r="LYI55" s="42"/>
      <c r="LYJ55" s="42"/>
      <c r="LYK55" s="42"/>
      <c r="LYL55" s="42"/>
      <c r="LYM55" s="42"/>
      <c r="LYN55" s="42"/>
      <c r="LYO55" s="42"/>
      <c r="LYP55" s="42"/>
      <c r="LYQ55" s="42"/>
      <c r="LYR55" s="42"/>
      <c r="LYS55" s="42"/>
      <c r="LYT55" s="42"/>
      <c r="LYU55" s="2"/>
      <c r="LYV55" s="15"/>
      <c r="LYW55" s="42"/>
      <c r="LYX55" s="2"/>
      <c r="LYY55" s="2"/>
      <c r="LYZ55" s="2"/>
      <c r="LZA55" s="2"/>
      <c r="LZB55" s="42"/>
      <c r="LZC55" s="42"/>
      <c r="LZD55" s="42"/>
      <c r="LZE55" s="42"/>
      <c r="LZF55" s="42"/>
      <c r="LZG55" s="42"/>
      <c r="LZH55" s="42"/>
      <c r="LZI55" s="42"/>
      <c r="LZJ55" s="42"/>
      <c r="LZK55" s="42"/>
      <c r="LZL55" s="42"/>
      <c r="LZM55" s="42"/>
      <c r="LZN55" s="42"/>
      <c r="LZO55" s="42"/>
      <c r="LZP55" s="42"/>
      <c r="LZQ55" s="42"/>
      <c r="LZR55" s="42"/>
      <c r="LZS55" s="42"/>
      <c r="LZT55" s="42"/>
      <c r="LZU55" s="42"/>
      <c r="LZV55" s="42"/>
      <c r="LZW55" s="42"/>
      <c r="LZX55" s="42"/>
      <c r="LZY55" s="2"/>
      <c r="LZZ55" s="15"/>
      <c r="MAA55" s="42"/>
      <c r="MAB55" s="2"/>
      <c r="MAC55" s="2"/>
      <c r="MAD55" s="2"/>
      <c r="MAE55" s="2"/>
      <c r="MAF55" s="42"/>
      <c r="MAG55" s="42"/>
      <c r="MAH55" s="42"/>
      <c r="MAI55" s="42"/>
      <c r="MAJ55" s="42"/>
      <c r="MAK55" s="42"/>
      <c r="MAL55" s="42"/>
      <c r="MAM55" s="42"/>
      <c r="MAN55" s="42"/>
      <c r="MAO55" s="42"/>
      <c r="MAP55" s="42"/>
      <c r="MAQ55" s="42"/>
      <c r="MAR55" s="42"/>
      <c r="MAS55" s="42"/>
      <c r="MAT55" s="42"/>
      <c r="MAU55" s="42"/>
      <c r="MAV55" s="42"/>
      <c r="MAW55" s="42"/>
      <c r="MAX55" s="42"/>
      <c r="MAY55" s="42"/>
      <c r="MAZ55" s="42"/>
      <c r="MBA55" s="42"/>
      <c r="MBB55" s="42"/>
      <c r="MBC55" s="2"/>
      <c r="MBD55" s="15"/>
      <c r="MBE55" s="42"/>
      <c r="MBF55" s="2"/>
      <c r="MBG55" s="2"/>
      <c r="MBH55" s="2"/>
      <c r="MBI55" s="2"/>
      <c r="MBJ55" s="42"/>
      <c r="MBK55" s="42"/>
      <c r="MBL55" s="42"/>
      <c r="MBM55" s="42"/>
      <c r="MBN55" s="42"/>
      <c r="MBO55" s="42"/>
      <c r="MBP55" s="42"/>
      <c r="MBQ55" s="42"/>
      <c r="MBR55" s="42"/>
      <c r="MBS55" s="42"/>
      <c r="MBT55" s="42"/>
      <c r="MBU55" s="42"/>
      <c r="MBV55" s="42"/>
      <c r="MBW55" s="42"/>
      <c r="MBX55" s="42"/>
      <c r="MBY55" s="42"/>
      <c r="MBZ55" s="42"/>
      <c r="MCA55" s="42"/>
      <c r="MCB55" s="42"/>
      <c r="MCC55" s="42"/>
      <c r="MCD55" s="42"/>
      <c r="MCE55" s="42"/>
      <c r="MCF55" s="42"/>
      <c r="MCG55" s="2"/>
      <c r="MCH55" s="15"/>
      <c r="MCI55" s="42"/>
      <c r="MCJ55" s="2"/>
      <c r="MCK55" s="2"/>
      <c r="MCL55" s="2"/>
      <c r="MCM55" s="2"/>
      <c r="MCN55" s="42"/>
      <c r="MCO55" s="42"/>
      <c r="MCP55" s="42"/>
      <c r="MCQ55" s="42"/>
      <c r="MCR55" s="42"/>
      <c r="MCS55" s="42"/>
      <c r="MCT55" s="42"/>
      <c r="MCU55" s="42"/>
      <c r="MCV55" s="42"/>
      <c r="MCW55" s="42"/>
      <c r="MCX55" s="42"/>
      <c r="MCY55" s="42"/>
      <c r="MCZ55" s="42"/>
      <c r="MDA55" s="42"/>
      <c r="MDB55" s="42"/>
      <c r="MDC55" s="42"/>
      <c r="MDD55" s="42"/>
      <c r="MDE55" s="42"/>
      <c r="MDF55" s="42"/>
      <c r="MDG55" s="42"/>
      <c r="MDH55" s="42"/>
      <c r="MDI55" s="42"/>
      <c r="MDJ55" s="42"/>
      <c r="MDK55" s="2"/>
      <c r="MDL55" s="15"/>
      <c r="MDM55" s="42"/>
      <c r="MDN55" s="2"/>
      <c r="MDO55" s="2"/>
      <c r="MDP55" s="2"/>
      <c r="MDQ55" s="2"/>
      <c r="MDR55" s="42"/>
      <c r="MDS55" s="42"/>
      <c r="MDT55" s="42"/>
      <c r="MDU55" s="42"/>
      <c r="MDV55" s="42"/>
      <c r="MDW55" s="42"/>
      <c r="MDX55" s="42"/>
      <c r="MDY55" s="42"/>
      <c r="MDZ55" s="42"/>
      <c r="MEA55" s="42"/>
      <c r="MEB55" s="42"/>
      <c r="MEC55" s="42"/>
      <c r="MED55" s="42"/>
      <c r="MEE55" s="42"/>
      <c r="MEF55" s="42"/>
      <c r="MEG55" s="42"/>
      <c r="MEH55" s="42"/>
      <c r="MEI55" s="42"/>
      <c r="MEJ55" s="42"/>
      <c r="MEK55" s="42"/>
      <c r="MEL55" s="42"/>
      <c r="MEM55" s="42"/>
      <c r="MEN55" s="42"/>
      <c r="MEO55" s="2"/>
      <c r="MEP55" s="15"/>
      <c r="MEQ55" s="42"/>
      <c r="MER55" s="2"/>
      <c r="MES55" s="2"/>
      <c r="MET55" s="2"/>
      <c r="MEU55" s="2"/>
      <c r="MEV55" s="42"/>
      <c r="MEW55" s="42"/>
      <c r="MEX55" s="42"/>
      <c r="MEY55" s="42"/>
      <c r="MEZ55" s="42"/>
      <c r="MFA55" s="42"/>
      <c r="MFB55" s="42"/>
      <c r="MFC55" s="42"/>
      <c r="MFD55" s="42"/>
      <c r="MFE55" s="42"/>
      <c r="MFF55" s="42"/>
      <c r="MFG55" s="42"/>
      <c r="MFH55" s="42"/>
      <c r="MFI55" s="42"/>
      <c r="MFJ55" s="42"/>
      <c r="MFK55" s="42"/>
      <c r="MFL55" s="42"/>
      <c r="MFM55" s="42"/>
      <c r="MFN55" s="42"/>
      <c r="MFO55" s="42"/>
      <c r="MFP55" s="42"/>
      <c r="MFQ55" s="42"/>
      <c r="MFR55" s="42"/>
      <c r="MFS55" s="2"/>
      <c r="MFT55" s="15"/>
      <c r="MFU55" s="42"/>
      <c r="MFV55" s="2"/>
      <c r="MFW55" s="2"/>
      <c r="MFX55" s="2"/>
      <c r="MFY55" s="2"/>
      <c r="MFZ55" s="42"/>
      <c r="MGA55" s="42"/>
      <c r="MGB55" s="42"/>
      <c r="MGC55" s="42"/>
      <c r="MGD55" s="42"/>
      <c r="MGE55" s="42"/>
      <c r="MGF55" s="42"/>
      <c r="MGG55" s="42"/>
      <c r="MGH55" s="42"/>
      <c r="MGI55" s="42"/>
      <c r="MGJ55" s="42"/>
      <c r="MGK55" s="42"/>
      <c r="MGL55" s="42"/>
      <c r="MGM55" s="42"/>
      <c r="MGN55" s="42"/>
      <c r="MGO55" s="42"/>
      <c r="MGP55" s="42"/>
      <c r="MGQ55" s="42"/>
      <c r="MGR55" s="42"/>
      <c r="MGS55" s="42"/>
      <c r="MGT55" s="42"/>
      <c r="MGU55" s="42"/>
      <c r="MGV55" s="42"/>
      <c r="MGW55" s="2"/>
      <c r="MGX55" s="15"/>
      <c r="MGY55" s="42"/>
      <c r="MGZ55" s="2"/>
      <c r="MHA55" s="2"/>
      <c r="MHB55" s="2"/>
      <c r="MHC55" s="2"/>
      <c r="MHD55" s="42"/>
      <c r="MHE55" s="42"/>
      <c r="MHF55" s="42"/>
      <c r="MHG55" s="42"/>
      <c r="MHH55" s="42"/>
      <c r="MHI55" s="42"/>
      <c r="MHJ55" s="42"/>
      <c r="MHK55" s="42"/>
      <c r="MHL55" s="42"/>
      <c r="MHM55" s="42"/>
      <c r="MHN55" s="42"/>
      <c r="MHO55" s="42"/>
      <c r="MHP55" s="42"/>
      <c r="MHQ55" s="42"/>
      <c r="MHR55" s="42"/>
      <c r="MHS55" s="42"/>
      <c r="MHT55" s="42"/>
      <c r="MHU55" s="42"/>
      <c r="MHV55" s="42"/>
      <c r="MHW55" s="42"/>
      <c r="MHX55" s="42"/>
      <c r="MHY55" s="42"/>
      <c r="MHZ55" s="42"/>
      <c r="MIA55" s="2"/>
      <c r="MIB55" s="15"/>
      <c r="MIC55" s="42"/>
      <c r="MID55" s="2"/>
      <c r="MIE55" s="2"/>
      <c r="MIF55" s="2"/>
      <c r="MIG55" s="2"/>
      <c r="MIH55" s="42"/>
      <c r="MII55" s="42"/>
      <c r="MIJ55" s="42"/>
      <c r="MIK55" s="42"/>
      <c r="MIL55" s="42"/>
      <c r="MIM55" s="42"/>
      <c r="MIN55" s="42"/>
      <c r="MIO55" s="42"/>
      <c r="MIP55" s="42"/>
      <c r="MIQ55" s="42"/>
      <c r="MIR55" s="42"/>
      <c r="MIS55" s="42"/>
      <c r="MIT55" s="42"/>
      <c r="MIU55" s="42"/>
      <c r="MIV55" s="42"/>
      <c r="MIW55" s="42"/>
      <c r="MIX55" s="42"/>
      <c r="MIY55" s="42"/>
      <c r="MIZ55" s="42"/>
      <c r="MJA55" s="42"/>
      <c r="MJB55" s="42"/>
      <c r="MJC55" s="42"/>
      <c r="MJD55" s="42"/>
      <c r="MJE55" s="2"/>
      <c r="MJF55" s="15"/>
      <c r="MJG55" s="42"/>
      <c r="MJH55" s="2"/>
      <c r="MJI55" s="2"/>
      <c r="MJJ55" s="2"/>
      <c r="MJK55" s="2"/>
      <c r="MJL55" s="42"/>
      <c r="MJM55" s="42"/>
      <c r="MJN55" s="42"/>
      <c r="MJO55" s="42"/>
      <c r="MJP55" s="42"/>
      <c r="MJQ55" s="42"/>
      <c r="MJR55" s="42"/>
      <c r="MJS55" s="42"/>
      <c r="MJT55" s="42"/>
      <c r="MJU55" s="42"/>
      <c r="MJV55" s="42"/>
      <c r="MJW55" s="42"/>
      <c r="MJX55" s="42"/>
      <c r="MJY55" s="42"/>
      <c r="MJZ55" s="42"/>
      <c r="MKA55" s="42"/>
      <c r="MKB55" s="42"/>
      <c r="MKC55" s="42"/>
      <c r="MKD55" s="42"/>
      <c r="MKE55" s="42"/>
      <c r="MKF55" s="42"/>
      <c r="MKG55" s="42"/>
      <c r="MKH55" s="42"/>
      <c r="MKI55" s="2"/>
      <c r="MKJ55" s="15"/>
      <c r="MKK55" s="42"/>
      <c r="MKL55" s="2"/>
      <c r="MKM55" s="2"/>
      <c r="MKN55" s="2"/>
      <c r="MKO55" s="2"/>
      <c r="MKP55" s="42"/>
      <c r="MKQ55" s="42"/>
      <c r="MKR55" s="42"/>
      <c r="MKS55" s="42"/>
      <c r="MKT55" s="42"/>
      <c r="MKU55" s="42"/>
      <c r="MKV55" s="42"/>
      <c r="MKW55" s="42"/>
      <c r="MKX55" s="42"/>
      <c r="MKY55" s="42"/>
      <c r="MKZ55" s="42"/>
      <c r="MLA55" s="42"/>
      <c r="MLB55" s="42"/>
      <c r="MLC55" s="42"/>
      <c r="MLD55" s="42"/>
      <c r="MLE55" s="42"/>
      <c r="MLF55" s="42"/>
      <c r="MLG55" s="42"/>
      <c r="MLH55" s="42"/>
      <c r="MLI55" s="42"/>
      <c r="MLJ55" s="42"/>
      <c r="MLK55" s="42"/>
      <c r="MLL55" s="42"/>
      <c r="MLM55" s="2"/>
      <c r="MLN55" s="15"/>
      <c r="MLO55" s="42"/>
      <c r="MLP55" s="2"/>
      <c r="MLQ55" s="2"/>
      <c r="MLR55" s="2"/>
      <c r="MLS55" s="2"/>
      <c r="MLT55" s="42"/>
      <c r="MLU55" s="42"/>
      <c r="MLV55" s="42"/>
      <c r="MLW55" s="42"/>
      <c r="MLX55" s="42"/>
      <c r="MLY55" s="42"/>
      <c r="MLZ55" s="42"/>
      <c r="MMA55" s="42"/>
      <c r="MMB55" s="42"/>
      <c r="MMC55" s="42"/>
      <c r="MMD55" s="42"/>
      <c r="MME55" s="42"/>
      <c r="MMF55" s="42"/>
      <c r="MMG55" s="42"/>
      <c r="MMH55" s="42"/>
      <c r="MMI55" s="42"/>
      <c r="MMJ55" s="42"/>
      <c r="MMK55" s="42"/>
      <c r="MML55" s="42"/>
      <c r="MMM55" s="42"/>
      <c r="MMN55" s="42"/>
      <c r="MMO55" s="42"/>
      <c r="MMP55" s="42"/>
      <c r="MMQ55" s="2"/>
      <c r="MMR55" s="15"/>
      <c r="MMS55" s="42"/>
      <c r="MMT55" s="2"/>
      <c r="MMU55" s="2"/>
      <c r="MMV55" s="2"/>
      <c r="MMW55" s="2"/>
      <c r="MMX55" s="42"/>
      <c r="MMY55" s="42"/>
      <c r="MMZ55" s="42"/>
      <c r="MNA55" s="42"/>
      <c r="MNB55" s="42"/>
      <c r="MNC55" s="42"/>
      <c r="MND55" s="42"/>
      <c r="MNE55" s="42"/>
      <c r="MNF55" s="42"/>
      <c r="MNG55" s="42"/>
      <c r="MNH55" s="42"/>
      <c r="MNI55" s="42"/>
      <c r="MNJ55" s="42"/>
      <c r="MNK55" s="42"/>
      <c r="MNL55" s="42"/>
      <c r="MNM55" s="42"/>
      <c r="MNN55" s="42"/>
      <c r="MNO55" s="42"/>
      <c r="MNP55" s="42"/>
      <c r="MNQ55" s="42"/>
      <c r="MNR55" s="42"/>
      <c r="MNS55" s="42"/>
      <c r="MNT55" s="42"/>
      <c r="MNU55" s="2"/>
      <c r="MNV55" s="15"/>
      <c r="MNW55" s="42"/>
      <c r="MNX55" s="2"/>
      <c r="MNY55" s="2"/>
      <c r="MNZ55" s="2"/>
      <c r="MOA55" s="2"/>
      <c r="MOB55" s="42"/>
      <c r="MOC55" s="42"/>
      <c r="MOD55" s="42"/>
      <c r="MOE55" s="42"/>
      <c r="MOF55" s="42"/>
      <c r="MOG55" s="42"/>
      <c r="MOH55" s="42"/>
      <c r="MOI55" s="42"/>
      <c r="MOJ55" s="42"/>
      <c r="MOK55" s="42"/>
      <c r="MOL55" s="42"/>
      <c r="MOM55" s="42"/>
      <c r="MON55" s="42"/>
      <c r="MOO55" s="42"/>
      <c r="MOP55" s="42"/>
      <c r="MOQ55" s="42"/>
      <c r="MOR55" s="42"/>
      <c r="MOS55" s="42"/>
      <c r="MOT55" s="42"/>
      <c r="MOU55" s="42"/>
      <c r="MOV55" s="42"/>
      <c r="MOW55" s="42"/>
      <c r="MOX55" s="42"/>
      <c r="MOY55" s="2"/>
      <c r="MOZ55" s="15"/>
      <c r="MPA55" s="42"/>
      <c r="MPB55" s="2"/>
      <c r="MPC55" s="2"/>
      <c r="MPD55" s="2"/>
      <c r="MPE55" s="2"/>
      <c r="MPF55" s="42"/>
      <c r="MPG55" s="42"/>
      <c r="MPH55" s="42"/>
      <c r="MPI55" s="42"/>
      <c r="MPJ55" s="42"/>
      <c r="MPK55" s="42"/>
      <c r="MPL55" s="42"/>
      <c r="MPM55" s="42"/>
      <c r="MPN55" s="42"/>
      <c r="MPO55" s="42"/>
      <c r="MPP55" s="42"/>
      <c r="MPQ55" s="42"/>
      <c r="MPR55" s="42"/>
      <c r="MPS55" s="42"/>
      <c r="MPT55" s="42"/>
      <c r="MPU55" s="42"/>
      <c r="MPV55" s="42"/>
      <c r="MPW55" s="42"/>
      <c r="MPX55" s="42"/>
      <c r="MPY55" s="42"/>
      <c r="MPZ55" s="42"/>
      <c r="MQA55" s="42"/>
      <c r="MQB55" s="42"/>
      <c r="MQC55" s="2"/>
      <c r="MQD55" s="15"/>
      <c r="MQE55" s="42"/>
      <c r="MQF55" s="2"/>
      <c r="MQG55" s="2"/>
      <c r="MQH55" s="2"/>
      <c r="MQI55" s="2"/>
      <c r="MQJ55" s="42"/>
      <c r="MQK55" s="42"/>
      <c r="MQL55" s="42"/>
      <c r="MQM55" s="42"/>
      <c r="MQN55" s="42"/>
      <c r="MQO55" s="42"/>
      <c r="MQP55" s="42"/>
      <c r="MQQ55" s="42"/>
      <c r="MQR55" s="42"/>
      <c r="MQS55" s="42"/>
      <c r="MQT55" s="42"/>
      <c r="MQU55" s="42"/>
      <c r="MQV55" s="42"/>
      <c r="MQW55" s="42"/>
      <c r="MQX55" s="42"/>
      <c r="MQY55" s="42"/>
      <c r="MQZ55" s="42"/>
      <c r="MRA55" s="42"/>
      <c r="MRB55" s="42"/>
      <c r="MRC55" s="42"/>
      <c r="MRD55" s="42"/>
      <c r="MRE55" s="42"/>
      <c r="MRF55" s="42"/>
      <c r="MRG55" s="2"/>
      <c r="MRH55" s="15"/>
      <c r="MRI55" s="42"/>
      <c r="MRJ55" s="2"/>
      <c r="MRK55" s="2"/>
      <c r="MRL55" s="2"/>
      <c r="MRM55" s="2"/>
      <c r="MRN55" s="42"/>
      <c r="MRO55" s="42"/>
      <c r="MRP55" s="42"/>
      <c r="MRQ55" s="42"/>
      <c r="MRR55" s="42"/>
      <c r="MRS55" s="42"/>
      <c r="MRT55" s="42"/>
      <c r="MRU55" s="42"/>
      <c r="MRV55" s="42"/>
      <c r="MRW55" s="42"/>
      <c r="MRX55" s="42"/>
      <c r="MRY55" s="42"/>
      <c r="MRZ55" s="42"/>
      <c r="MSA55" s="42"/>
      <c r="MSB55" s="42"/>
      <c r="MSC55" s="42"/>
      <c r="MSD55" s="42"/>
      <c r="MSE55" s="42"/>
      <c r="MSF55" s="42"/>
      <c r="MSG55" s="42"/>
      <c r="MSH55" s="42"/>
      <c r="MSI55" s="42"/>
      <c r="MSJ55" s="42"/>
      <c r="MSK55" s="2"/>
      <c r="MSL55" s="15"/>
      <c r="MSM55" s="42"/>
      <c r="MSN55" s="2"/>
      <c r="MSO55" s="2"/>
      <c r="MSP55" s="2"/>
      <c r="MSQ55" s="2"/>
      <c r="MSR55" s="42"/>
      <c r="MSS55" s="42"/>
      <c r="MST55" s="42"/>
      <c r="MSU55" s="42"/>
      <c r="MSV55" s="42"/>
      <c r="MSW55" s="42"/>
      <c r="MSX55" s="42"/>
      <c r="MSY55" s="42"/>
      <c r="MSZ55" s="42"/>
      <c r="MTA55" s="42"/>
      <c r="MTB55" s="42"/>
      <c r="MTC55" s="42"/>
      <c r="MTD55" s="42"/>
      <c r="MTE55" s="42"/>
      <c r="MTF55" s="42"/>
      <c r="MTG55" s="42"/>
      <c r="MTH55" s="42"/>
      <c r="MTI55" s="42"/>
      <c r="MTJ55" s="42"/>
      <c r="MTK55" s="42"/>
      <c r="MTL55" s="42"/>
      <c r="MTM55" s="42"/>
      <c r="MTN55" s="42"/>
      <c r="MTO55" s="2"/>
      <c r="MTP55" s="15"/>
      <c r="MTQ55" s="42"/>
      <c r="MTR55" s="2"/>
      <c r="MTS55" s="2"/>
      <c r="MTT55" s="2"/>
      <c r="MTU55" s="2"/>
      <c r="MTV55" s="42"/>
      <c r="MTW55" s="42"/>
      <c r="MTX55" s="42"/>
      <c r="MTY55" s="42"/>
      <c r="MTZ55" s="42"/>
      <c r="MUA55" s="42"/>
      <c r="MUB55" s="42"/>
      <c r="MUC55" s="42"/>
      <c r="MUD55" s="42"/>
      <c r="MUE55" s="42"/>
      <c r="MUF55" s="42"/>
      <c r="MUG55" s="42"/>
      <c r="MUH55" s="42"/>
      <c r="MUI55" s="42"/>
      <c r="MUJ55" s="42"/>
      <c r="MUK55" s="42"/>
      <c r="MUL55" s="42"/>
      <c r="MUM55" s="42"/>
      <c r="MUN55" s="42"/>
      <c r="MUO55" s="42"/>
      <c r="MUP55" s="42"/>
      <c r="MUQ55" s="42"/>
      <c r="MUR55" s="42"/>
      <c r="MUS55" s="2"/>
      <c r="MUT55" s="15"/>
      <c r="MUU55" s="42"/>
      <c r="MUV55" s="2"/>
      <c r="MUW55" s="2"/>
      <c r="MUX55" s="2"/>
      <c r="MUY55" s="2"/>
      <c r="MUZ55" s="42"/>
      <c r="MVA55" s="42"/>
      <c r="MVB55" s="42"/>
      <c r="MVC55" s="42"/>
      <c r="MVD55" s="42"/>
      <c r="MVE55" s="42"/>
      <c r="MVF55" s="42"/>
      <c r="MVG55" s="42"/>
      <c r="MVH55" s="42"/>
      <c r="MVI55" s="42"/>
      <c r="MVJ55" s="42"/>
      <c r="MVK55" s="42"/>
      <c r="MVL55" s="42"/>
      <c r="MVM55" s="42"/>
      <c r="MVN55" s="42"/>
      <c r="MVO55" s="42"/>
      <c r="MVP55" s="42"/>
      <c r="MVQ55" s="42"/>
      <c r="MVR55" s="42"/>
      <c r="MVS55" s="42"/>
      <c r="MVT55" s="42"/>
      <c r="MVU55" s="42"/>
      <c r="MVV55" s="42"/>
      <c r="MVW55" s="2"/>
      <c r="MVX55" s="15"/>
      <c r="MVY55" s="42"/>
      <c r="MVZ55" s="2"/>
      <c r="MWA55" s="2"/>
      <c r="MWB55" s="2"/>
      <c r="MWC55" s="2"/>
      <c r="MWD55" s="42"/>
      <c r="MWE55" s="42"/>
      <c r="MWF55" s="42"/>
      <c r="MWG55" s="42"/>
      <c r="MWH55" s="42"/>
      <c r="MWI55" s="42"/>
      <c r="MWJ55" s="42"/>
      <c r="MWK55" s="42"/>
      <c r="MWL55" s="42"/>
      <c r="MWM55" s="42"/>
      <c r="MWN55" s="42"/>
      <c r="MWO55" s="42"/>
      <c r="MWP55" s="42"/>
      <c r="MWQ55" s="42"/>
      <c r="MWR55" s="42"/>
      <c r="MWS55" s="42"/>
      <c r="MWT55" s="42"/>
      <c r="MWU55" s="42"/>
      <c r="MWV55" s="42"/>
      <c r="MWW55" s="42"/>
      <c r="MWX55" s="42"/>
      <c r="MWY55" s="42"/>
      <c r="MWZ55" s="42"/>
      <c r="MXA55" s="2"/>
      <c r="MXB55" s="15"/>
      <c r="MXC55" s="42"/>
      <c r="MXD55" s="2"/>
      <c r="MXE55" s="2"/>
      <c r="MXF55" s="2"/>
      <c r="MXG55" s="2"/>
      <c r="MXH55" s="42"/>
      <c r="MXI55" s="42"/>
      <c r="MXJ55" s="42"/>
      <c r="MXK55" s="42"/>
      <c r="MXL55" s="42"/>
      <c r="MXM55" s="42"/>
      <c r="MXN55" s="42"/>
      <c r="MXO55" s="42"/>
      <c r="MXP55" s="42"/>
      <c r="MXQ55" s="42"/>
      <c r="MXR55" s="42"/>
      <c r="MXS55" s="42"/>
      <c r="MXT55" s="42"/>
      <c r="MXU55" s="42"/>
      <c r="MXV55" s="42"/>
      <c r="MXW55" s="42"/>
      <c r="MXX55" s="42"/>
      <c r="MXY55" s="42"/>
      <c r="MXZ55" s="42"/>
      <c r="MYA55" s="42"/>
      <c r="MYB55" s="42"/>
      <c r="MYC55" s="42"/>
      <c r="MYD55" s="42"/>
      <c r="MYE55" s="2"/>
      <c r="MYF55" s="15"/>
      <c r="MYG55" s="42"/>
      <c r="MYH55" s="2"/>
      <c r="MYI55" s="2"/>
      <c r="MYJ55" s="2"/>
      <c r="MYK55" s="2"/>
      <c r="MYL55" s="42"/>
      <c r="MYM55" s="42"/>
      <c r="MYN55" s="42"/>
      <c r="MYO55" s="42"/>
      <c r="MYP55" s="42"/>
      <c r="MYQ55" s="42"/>
      <c r="MYR55" s="42"/>
      <c r="MYS55" s="42"/>
      <c r="MYT55" s="42"/>
      <c r="MYU55" s="42"/>
      <c r="MYV55" s="42"/>
      <c r="MYW55" s="42"/>
      <c r="MYX55" s="42"/>
      <c r="MYY55" s="42"/>
      <c r="MYZ55" s="42"/>
      <c r="MZA55" s="42"/>
      <c r="MZB55" s="42"/>
      <c r="MZC55" s="42"/>
      <c r="MZD55" s="42"/>
      <c r="MZE55" s="42"/>
      <c r="MZF55" s="42"/>
      <c r="MZG55" s="42"/>
      <c r="MZH55" s="42"/>
      <c r="MZI55" s="2"/>
      <c r="MZJ55" s="15"/>
      <c r="MZK55" s="42"/>
      <c r="MZL55" s="2"/>
      <c r="MZM55" s="2"/>
      <c r="MZN55" s="2"/>
      <c r="MZO55" s="2"/>
      <c r="MZP55" s="42"/>
      <c r="MZQ55" s="42"/>
      <c r="MZR55" s="42"/>
      <c r="MZS55" s="42"/>
      <c r="MZT55" s="42"/>
      <c r="MZU55" s="42"/>
      <c r="MZV55" s="42"/>
      <c r="MZW55" s="42"/>
      <c r="MZX55" s="42"/>
      <c r="MZY55" s="42"/>
      <c r="MZZ55" s="42"/>
      <c r="NAA55" s="42"/>
      <c r="NAB55" s="42"/>
      <c r="NAC55" s="42"/>
      <c r="NAD55" s="42"/>
      <c r="NAE55" s="42"/>
      <c r="NAF55" s="42"/>
      <c r="NAG55" s="42"/>
      <c r="NAH55" s="42"/>
      <c r="NAI55" s="42"/>
      <c r="NAJ55" s="42"/>
      <c r="NAK55" s="42"/>
      <c r="NAL55" s="42"/>
      <c r="NAM55" s="2"/>
      <c r="NAN55" s="15"/>
      <c r="NAO55" s="42"/>
      <c r="NAP55" s="2"/>
      <c r="NAQ55" s="2"/>
      <c r="NAR55" s="2"/>
      <c r="NAS55" s="2"/>
      <c r="NAT55" s="42"/>
      <c r="NAU55" s="42"/>
      <c r="NAV55" s="42"/>
      <c r="NAW55" s="42"/>
      <c r="NAX55" s="42"/>
      <c r="NAY55" s="42"/>
      <c r="NAZ55" s="42"/>
      <c r="NBA55" s="42"/>
      <c r="NBB55" s="42"/>
      <c r="NBC55" s="42"/>
      <c r="NBD55" s="42"/>
      <c r="NBE55" s="42"/>
      <c r="NBF55" s="42"/>
      <c r="NBG55" s="42"/>
      <c r="NBH55" s="42"/>
      <c r="NBI55" s="42"/>
      <c r="NBJ55" s="42"/>
      <c r="NBK55" s="42"/>
      <c r="NBL55" s="42"/>
      <c r="NBM55" s="42"/>
      <c r="NBN55" s="42"/>
      <c r="NBO55" s="42"/>
      <c r="NBP55" s="42"/>
      <c r="NBQ55" s="2"/>
      <c r="NBR55" s="15"/>
      <c r="NBS55" s="42"/>
      <c r="NBT55" s="2"/>
      <c r="NBU55" s="2"/>
      <c r="NBV55" s="2"/>
      <c r="NBW55" s="2"/>
      <c r="NBX55" s="42"/>
      <c r="NBY55" s="42"/>
      <c r="NBZ55" s="42"/>
      <c r="NCA55" s="42"/>
      <c r="NCB55" s="42"/>
      <c r="NCC55" s="42"/>
      <c r="NCD55" s="42"/>
      <c r="NCE55" s="42"/>
      <c r="NCF55" s="42"/>
      <c r="NCG55" s="42"/>
      <c r="NCH55" s="42"/>
      <c r="NCI55" s="42"/>
      <c r="NCJ55" s="42"/>
      <c r="NCK55" s="42"/>
      <c r="NCL55" s="42"/>
      <c r="NCM55" s="42"/>
      <c r="NCN55" s="42"/>
      <c r="NCO55" s="42"/>
      <c r="NCP55" s="42"/>
      <c r="NCQ55" s="42"/>
      <c r="NCR55" s="42"/>
      <c r="NCS55" s="42"/>
      <c r="NCT55" s="42"/>
      <c r="NCU55" s="2"/>
      <c r="NCV55" s="15"/>
      <c r="NCW55" s="42"/>
      <c r="NCX55" s="2"/>
      <c r="NCY55" s="2"/>
      <c r="NCZ55" s="2"/>
      <c r="NDA55" s="2"/>
      <c r="NDB55" s="42"/>
      <c r="NDC55" s="42"/>
      <c r="NDD55" s="42"/>
      <c r="NDE55" s="42"/>
      <c r="NDF55" s="42"/>
      <c r="NDG55" s="42"/>
      <c r="NDH55" s="42"/>
      <c r="NDI55" s="42"/>
      <c r="NDJ55" s="42"/>
      <c r="NDK55" s="42"/>
      <c r="NDL55" s="42"/>
      <c r="NDM55" s="42"/>
      <c r="NDN55" s="42"/>
      <c r="NDO55" s="42"/>
      <c r="NDP55" s="42"/>
      <c r="NDQ55" s="42"/>
      <c r="NDR55" s="42"/>
      <c r="NDS55" s="42"/>
      <c r="NDT55" s="42"/>
      <c r="NDU55" s="42"/>
      <c r="NDV55" s="42"/>
      <c r="NDW55" s="42"/>
      <c r="NDX55" s="42"/>
      <c r="NDY55" s="2"/>
      <c r="NDZ55" s="15"/>
      <c r="NEA55" s="42"/>
      <c r="NEB55" s="2"/>
      <c r="NEC55" s="2"/>
      <c r="NED55" s="2"/>
      <c r="NEE55" s="2"/>
      <c r="NEF55" s="42"/>
      <c r="NEG55" s="42"/>
      <c r="NEH55" s="42"/>
      <c r="NEI55" s="42"/>
      <c r="NEJ55" s="42"/>
      <c r="NEK55" s="42"/>
      <c r="NEL55" s="42"/>
      <c r="NEM55" s="42"/>
      <c r="NEN55" s="42"/>
      <c r="NEO55" s="42"/>
      <c r="NEP55" s="42"/>
      <c r="NEQ55" s="42"/>
      <c r="NER55" s="42"/>
      <c r="NES55" s="42"/>
      <c r="NET55" s="42"/>
      <c r="NEU55" s="42"/>
      <c r="NEV55" s="42"/>
      <c r="NEW55" s="42"/>
      <c r="NEX55" s="42"/>
      <c r="NEY55" s="42"/>
      <c r="NEZ55" s="42"/>
      <c r="NFA55" s="42"/>
      <c r="NFB55" s="42"/>
      <c r="NFC55" s="2"/>
      <c r="NFD55" s="15"/>
      <c r="NFE55" s="42"/>
      <c r="NFF55" s="2"/>
      <c r="NFG55" s="2"/>
      <c r="NFH55" s="2"/>
      <c r="NFI55" s="2"/>
      <c r="NFJ55" s="42"/>
      <c r="NFK55" s="42"/>
      <c r="NFL55" s="42"/>
      <c r="NFM55" s="42"/>
      <c r="NFN55" s="42"/>
      <c r="NFO55" s="42"/>
      <c r="NFP55" s="42"/>
      <c r="NFQ55" s="42"/>
      <c r="NFR55" s="42"/>
      <c r="NFS55" s="42"/>
      <c r="NFT55" s="42"/>
      <c r="NFU55" s="42"/>
      <c r="NFV55" s="42"/>
      <c r="NFW55" s="42"/>
      <c r="NFX55" s="42"/>
      <c r="NFY55" s="42"/>
      <c r="NFZ55" s="42"/>
      <c r="NGA55" s="42"/>
      <c r="NGB55" s="42"/>
      <c r="NGC55" s="42"/>
      <c r="NGD55" s="42"/>
      <c r="NGE55" s="42"/>
      <c r="NGF55" s="42"/>
      <c r="NGG55" s="2"/>
      <c r="NGH55" s="15"/>
      <c r="NGI55" s="42"/>
      <c r="NGJ55" s="2"/>
      <c r="NGK55" s="2"/>
      <c r="NGL55" s="2"/>
      <c r="NGM55" s="2"/>
      <c r="NGN55" s="42"/>
      <c r="NGO55" s="42"/>
      <c r="NGP55" s="42"/>
      <c r="NGQ55" s="42"/>
      <c r="NGR55" s="42"/>
      <c r="NGS55" s="42"/>
      <c r="NGT55" s="42"/>
      <c r="NGU55" s="42"/>
      <c r="NGV55" s="42"/>
      <c r="NGW55" s="42"/>
      <c r="NGX55" s="42"/>
      <c r="NGY55" s="42"/>
      <c r="NGZ55" s="42"/>
      <c r="NHA55" s="42"/>
      <c r="NHB55" s="42"/>
      <c r="NHC55" s="42"/>
      <c r="NHD55" s="42"/>
      <c r="NHE55" s="42"/>
      <c r="NHF55" s="42"/>
      <c r="NHG55" s="42"/>
      <c r="NHH55" s="42"/>
      <c r="NHI55" s="42"/>
      <c r="NHJ55" s="42"/>
      <c r="NHK55" s="2"/>
      <c r="NHL55" s="15"/>
      <c r="NHM55" s="42"/>
      <c r="NHN55" s="2"/>
      <c r="NHO55" s="2"/>
      <c r="NHP55" s="2"/>
      <c r="NHQ55" s="2"/>
      <c r="NHR55" s="42"/>
      <c r="NHS55" s="42"/>
      <c r="NHT55" s="42"/>
      <c r="NHU55" s="42"/>
      <c r="NHV55" s="42"/>
      <c r="NHW55" s="42"/>
      <c r="NHX55" s="42"/>
      <c r="NHY55" s="42"/>
      <c r="NHZ55" s="42"/>
      <c r="NIA55" s="42"/>
      <c r="NIB55" s="42"/>
      <c r="NIC55" s="42"/>
      <c r="NID55" s="42"/>
      <c r="NIE55" s="42"/>
      <c r="NIF55" s="42"/>
      <c r="NIG55" s="42"/>
      <c r="NIH55" s="42"/>
      <c r="NII55" s="42"/>
      <c r="NIJ55" s="42"/>
      <c r="NIK55" s="42"/>
      <c r="NIL55" s="42"/>
      <c r="NIM55" s="42"/>
      <c r="NIN55" s="42"/>
      <c r="NIO55" s="2"/>
      <c r="NIP55" s="15"/>
      <c r="NIQ55" s="42"/>
      <c r="NIR55" s="2"/>
      <c r="NIS55" s="2"/>
      <c r="NIT55" s="2"/>
      <c r="NIU55" s="2"/>
      <c r="NIV55" s="42"/>
      <c r="NIW55" s="42"/>
      <c r="NIX55" s="42"/>
      <c r="NIY55" s="42"/>
      <c r="NIZ55" s="42"/>
      <c r="NJA55" s="42"/>
      <c r="NJB55" s="42"/>
      <c r="NJC55" s="42"/>
      <c r="NJD55" s="42"/>
      <c r="NJE55" s="42"/>
      <c r="NJF55" s="42"/>
      <c r="NJG55" s="42"/>
      <c r="NJH55" s="42"/>
      <c r="NJI55" s="42"/>
      <c r="NJJ55" s="42"/>
      <c r="NJK55" s="42"/>
      <c r="NJL55" s="42"/>
      <c r="NJM55" s="42"/>
      <c r="NJN55" s="42"/>
      <c r="NJO55" s="42"/>
      <c r="NJP55" s="42"/>
      <c r="NJQ55" s="42"/>
      <c r="NJR55" s="42"/>
      <c r="NJS55" s="2"/>
      <c r="NJT55" s="15"/>
      <c r="NJU55" s="42"/>
      <c r="NJV55" s="2"/>
      <c r="NJW55" s="2"/>
      <c r="NJX55" s="2"/>
      <c r="NJY55" s="2"/>
      <c r="NJZ55" s="42"/>
      <c r="NKA55" s="42"/>
      <c r="NKB55" s="42"/>
      <c r="NKC55" s="42"/>
      <c r="NKD55" s="42"/>
      <c r="NKE55" s="42"/>
      <c r="NKF55" s="42"/>
      <c r="NKG55" s="42"/>
      <c r="NKH55" s="42"/>
      <c r="NKI55" s="42"/>
      <c r="NKJ55" s="42"/>
      <c r="NKK55" s="42"/>
      <c r="NKL55" s="42"/>
      <c r="NKM55" s="42"/>
      <c r="NKN55" s="42"/>
      <c r="NKO55" s="42"/>
      <c r="NKP55" s="42"/>
      <c r="NKQ55" s="42"/>
      <c r="NKR55" s="42"/>
      <c r="NKS55" s="42"/>
      <c r="NKT55" s="42"/>
      <c r="NKU55" s="42"/>
      <c r="NKV55" s="42"/>
      <c r="NKW55" s="2"/>
      <c r="NKX55" s="15"/>
      <c r="NKY55" s="42"/>
      <c r="NKZ55" s="2"/>
      <c r="NLA55" s="2"/>
      <c r="NLB55" s="2"/>
      <c r="NLC55" s="2"/>
      <c r="NLD55" s="42"/>
      <c r="NLE55" s="42"/>
      <c r="NLF55" s="42"/>
      <c r="NLG55" s="42"/>
      <c r="NLH55" s="42"/>
      <c r="NLI55" s="42"/>
      <c r="NLJ55" s="42"/>
      <c r="NLK55" s="42"/>
      <c r="NLL55" s="42"/>
      <c r="NLM55" s="42"/>
      <c r="NLN55" s="42"/>
      <c r="NLO55" s="42"/>
      <c r="NLP55" s="42"/>
      <c r="NLQ55" s="42"/>
      <c r="NLR55" s="42"/>
      <c r="NLS55" s="42"/>
      <c r="NLT55" s="42"/>
      <c r="NLU55" s="42"/>
      <c r="NLV55" s="42"/>
      <c r="NLW55" s="42"/>
      <c r="NLX55" s="42"/>
      <c r="NLY55" s="42"/>
      <c r="NLZ55" s="42"/>
      <c r="NMA55" s="2"/>
      <c r="NMB55" s="15"/>
      <c r="NMC55" s="42"/>
      <c r="NMD55" s="2"/>
      <c r="NME55" s="2"/>
      <c r="NMF55" s="2"/>
      <c r="NMG55" s="2"/>
      <c r="NMH55" s="42"/>
      <c r="NMI55" s="42"/>
      <c r="NMJ55" s="42"/>
      <c r="NMK55" s="42"/>
      <c r="NML55" s="42"/>
      <c r="NMM55" s="42"/>
      <c r="NMN55" s="42"/>
      <c r="NMO55" s="42"/>
      <c r="NMP55" s="42"/>
      <c r="NMQ55" s="42"/>
      <c r="NMR55" s="42"/>
      <c r="NMS55" s="42"/>
      <c r="NMT55" s="42"/>
      <c r="NMU55" s="42"/>
      <c r="NMV55" s="42"/>
      <c r="NMW55" s="42"/>
      <c r="NMX55" s="42"/>
      <c r="NMY55" s="42"/>
      <c r="NMZ55" s="42"/>
      <c r="NNA55" s="42"/>
      <c r="NNB55" s="42"/>
      <c r="NNC55" s="42"/>
      <c r="NND55" s="42"/>
      <c r="NNE55" s="2"/>
      <c r="NNF55" s="15"/>
      <c r="NNG55" s="42"/>
      <c r="NNH55" s="2"/>
      <c r="NNI55" s="2"/>
      <c r="NNJ55" s="2"/>
      <c r="NNK55" s="2"/>
      <c r="NNL55" s="42"/>
      <c r="NNM55" s="42"/>
      <c r="NNN55" s="42"/>
      <c r="NNO55" s="42"/>
      <c r="NNP55" s="42"/>
      <c r="NNQ55" s="42"/>
      <c r="NNR55" s="42"/>
      <c r="NNS55" s="42"/>
      <c r="NNT55" s="42"/>
      <c r="NNU55" s="42"/>
      <c r="NNV55" s="42"/>
      <c r="NNW55" s="42"/>
      <c r="NNX55" s="42"/>
      <c r="NNY55" s="42"/>
      <c r="NNZ55" s="42"/>
      <c r="NOA55" s="42"/>
      <c r="NOB55" s="42"/>
      <c r="NOC55" s="42"/>
      <c r="NOD55" s="42"/>
      <c r="NOE55" s="42"/>
      <c r="NOF55" s="42"/>
      <c r="NOG55" s="42"/>
      <c r="NOH55" s="42"/>
      <c r="NOI55" s="2"/>
      <c r="NOJ55" s="15"/>
      <c r="NOK55" s="42"/>
      <c r="NOL55" s="2"/>
      <c r="NOM55" s="2"/>
      <c r="NON55" s="2"/>
      <c r="NOO55" s="2"/>
      <c r="NOP55" s="42"/>
      <c r="NOQ55" s="42"/>
      <c r="NOR55" s="42"/>
      <c r="NOS55" s="42"/>
      <c r="NOT55" s="42"/>
      <c r="NOU55" s="42"/>
      <c r="NOV55" s="42"/>
      <c r="NOW55" s="42"/>
      <c r="NOX55" s="42"/>
      <c r="NOY55" s="42"/>
      <c r="NOZ55" s="42"/>
      <c r="NPA55" s="42"/>
      <c r="NPB55" s="42"/>
      <c r="NPC55" s="42"/>
      <c r="NPD55" s="42"/>
      <c r="NPE55" s="42"/>
      <c r="NPF55" s="42"/>
      <c r="NPG55" s="42"/>
      <c r="NPH55" s="42"/>
      <c r="NPI55" s="42"/>
      <c r="NPJ55" s="42"/>
      <c r="NPK55" s="42"/>
      <c r="NPL55" s="42"/>
      <c r="NPM55" s="2"/>
      <c r="NPN55" s="15"/>
      <c r="NPO55" s="42"/>
      <c r="NPP55" s="2"/>
      <c r="NPQ55" s="2"/>
      <c r="NPR55" s="2"/>
      <c r="NPS55" s="2"/>
      <c r="NPT55" s="42"/>
      <c r="NPU55" s="42"/>
      <c r="NPV55" s="42"/>
      <c r="NPW55" s="42"/>
      <c r="NPX55" s="42"/>
      <c r="NPY55" s="42"/>
      <c r="NPZ55" s="42"/>
      <c r="NQA55" s="42"/>
      <c r="NQB55" s="42"/>
      <c r="NQC55" s="42"/>
      <c r="NQD55" s="42"/>
      <c r="NQE55" s="42"/>
      <c r="NQF55" s="42"/>
      <c r="NQG55" s="42"/>
      <c r="NQH55" s="42"/>
      <c r="NQI55" s="42"/>
      <c r="NQJ55" s="42"/>
      <c r="NQK55" s="42"/>
      <c r="NQL55" s="42"/>
      <c r="NQM55" s="42"/>
      <c r="NQN55" s="42"/>
      <c r="NQO55" s="42"/>
      <c r="NQP55" s="42"/>
      <c r="NQQ55" s="2"/>
      <c r="NQR55" s="15"/>
      <c r="NQS55" s="42"/>
      <c r="NQT55" s="2"/>
      <c r="NQU55" s="2"/>
      <c r="NQV55" s="2"/>
      <c r="NQW55" s="2"/>
      <c r="NQX55" s="42"/>
      <c r="NQY55" s="42"/>
      <c r="NQZ55" s="42"/>
      <c r="NRA55" s="42"/>
      <c r="NRB55" s="42"/>
      <c r="NRC55" s="42"/>
      <c r="NRD55" s="42"/>
      <c r="NRE55" s="42"/>
      <c r="NRF55" s="42"/>
      <c r="NRG55" s="42"/>
      <c r="NRH55" s="42"/>
      <c r="NRI55" s="42"/>
      <c r="NRJ55" s="42"/>
      <c r="NRK55" s="42"/>
      <c r="NRL55" s="42"/>
      <c r="NRM55" s="42"/>
      <c r="NRN55" s="42"/>
      <c r="NRO55" s="42"/>
      <c r="NRP55" s="42"/>
      <c r="NRQ55" s="42"/>
      <c r="NRR55" s="42"/>
      <c r="NRS55" s="42"/>
      <c r="NRT55" s="42"/>
      <c r="NRU55" s="2"/>
      <c r="NRV55" s="15"/>
      <c r="NRW55" s="42"/>
      <c r="NRX55" s="2"/>
      <c r="NRY55" s="2"/>
      <c r="NRZ55" s="2"/>
      <c r="NSA55" s="2"/>
      <c r="NSB55" s="42"/>
      <c r="NSC55" s="42"/>
      <c r="NSD55" s="42"/>
      <c r="NSE55" s="42"/>
      <c r="NSF55" s="42"/>
      <c r="NSG55" s="42"/>
      <c r="NSH55" s="42"/>
      <c r="NSI55" s="42"/>
      <c r="NSJ55" s="42"/>
      <c r="NSK55" s="42"/>
      <c r="NSL55" s="42"/>
      <c r="NSM55" s="42"/>
      <c r="NSN55" s="42"/>
      <c r="NSO55" s="42"/>
      <c r="NSP55" s="42"/>
      <c r="NSQ55" s="42"/>
      <c r="NSR55" s="42"/>
      <c r="NSS55" s="42"/>
      <c r="NST55" s="42"/>
      <c r="NSU55" s="42"/>
      <c r="NSV55" s="42"/>
      <c r="NSW55" s="42"/>
      <c r="NSX55" s="42"/>
      <c r="NSY55" s="2"/>
      <c r="NSZ55" s="15"/>
      <c r="NTA55" s="42"/>
      <c r="NTB55" s="2"/>
      <c r="NTC55" s="2"/>
      <c r="NTD55" s="2"/>
      <c r="NTE55" s="2"/>
      <c r="NTF55" s="42"/>
      <c r="NTG55" s="42"/>
      <c r="NTH55" s="42"/>
      <c r="NTI55" s="42"/>
      <c r="NTJ55" s="42"/>
      <c r="NTK55" s="42"/>
      <c r="NTL55" s="42"/>
      <c r="NTM55" s="42"/>
      <c r="NTN55" s="42"/>
      <c r="NTO55" s="42"/>
      <c r="NTP55" s="42"/>
      <c r="NTQ55" s="42"/>
      <c r="NTR55" s="42"/>
      <c r="NTS55" s="42"/>
      <c r="NTT55" s="42"/>
      <c r="NTU55" s="42"/>
      <c r="NTV55" s="42"/>
      <c r="NTW55" s="42"/>
      <c r="NTX55" s="42"/>
      <c r="NTY55" s="42"/>
      <c r="NTZ55" s="42"/>
      <c r="NUA55" s="42"/>
      <c r="NUB55" s="42"/>
      <c r="NUC55" s="2"/>
      <c r="NUD55" s="15"/>
      <c r="NUE55" s="42"/>
      <c r="NUF55" s="2"/>
      <c r="NUG55" s="2"/>
      <c r="NUH55" s="2"/>
      <c r="NUI55" s="2"/>
      <c r="NUJ55" s="42"/>
      <c r="NUK55" s="42"/>
      <c r="NUL55" s="42"/>
      <c r="NUM55" s="42"/>
      <c r="NUN55" s="42"/>
      <c r="NUO55" s="42"/>
      <c r="NUP55" s="42"/>
      <c r="NUQ55" s="42"/>
      <c r="NUR55" s="42"/>
      <c r="NUS55" s="42"/>
      <c r="NUT55" s="42"/>
      <c r="NUU55" s="42"/>
      <c r="NUV55" s="42"/>
      <c r="NUW55" s="42"/>
      <c r="NUX55" s="42"/>
      <c r="NUY55" s="42"/>
      <c r="NUZ55" s="42"/>
      <c r="NVA55" s="42"/>
      <c r="NVB55" s="42"/>
      <c r="NVC55" s="42"/>
      <c r="NVD55" s="42"/>
      <c r="NVE55" s="42"/>
      <c r="NVF55" s="42"/>
      <c r="NVG55" s="2"/>
      <c r="NVH55" s="15"/>
      <c r="NVI55" s="42"/>
      <c r="NVJ55" s="2"/>
      <c r="NVK55" s="2"/>
      <c r="NVL55" s="2"/>
      <c r="NVM55" s="2"/>
      <c r="NVN55" s="42"/>
      <c r="NVO55" s="42"/>
      <c r="NVP55" s="42"/>
      <c r="NVQ55" s="42"/>
      <c r="NVR55" s="42"/>
      <c r="NVS55" s="42"/>
      <c r="NVT55" s="42"/>
      <c r="NVU55" s="42"/>
      <c r="NVV55" s="42"/>
      <c r="NVW55" s="42"/>
      <c r="NVX55" s="42"/>
      <c r="NVY55" s="42"/>
      <c r="NVZ55" s="42"/>
      <c r="NWA55" s="42"/>
      <c r="NWB55" s="42"/>
      <c r="NWC55" s="42"/>
      <c r="NWD55" s="42"/>
      <c r="NWE55" s="42"/>
      <c r="NWF55" s="42"/>
      <c r="NWG55" s="42"/>
      <c r="NWH55" s="42"/>
      <c r="NWI55" s="42"/>
      <c r="NWJ55" s="42"/>
      <c r="NWK55" s="2"/>
      <c r="NWL55" s="15"/>
      <c r="NWM55" s="42"/>
      <c r="NWN55" s="2"/>
      <c r="NWO55" s="2"/>
      <c r="NWP55" s="2"/>
      <c r="NWQ55" s="2"/>
      <c r="NWR55" s="42"/>
      <c r="NWS55" s="42"/>
      <c r="NWT55" s="42"/>
      <c r="NWU55" s="42"/>
      <c r="NWV55" s="42"/>
      <c r="NWW55" s="42"/>
      <c r="NWX55" s="42"/>
      <c r="NWY55" s="42"/>
      <c r="NWZ55" s="42"/>
      <c r="NXA55" s="42"/>
      <c r="NXB55" s="42"/>
      <c r="NXC55" s="42"/>
      <c r="NXD55" s="42"/>
      <c r="NXE55" s="42"/>
      <c r="NXF55" s="42"/>
      <c r="NXG55" s="42"/>
      <c r="NXH55" s="42"/>
      <c r="NXI55" s="42"/>
      <c r="NXJ55" s="42"/>
      <c r="NXK55" s="42"/>
      <c r="NXL55" s="42"/>
      <c r="NXM55" s="42"/>
      <c r="NXN55" s="42"/>
      <c r="NXO55" s="2"/>
      <c r="NXP55" s="15"/>
      <c r="NXQ55" s="42"/>
      <c r="NXR55" s="2"/>
      <c r="NXS55" s="2"/>
      <c r="NXT55" s="2"/>
      <c r="NXU55" s="2"/>
      <c r="NXV55" s="42"/>
      <c r="NXW55" s="42"/>
      <c r="NXX55" s="42"/>
      <c r="NXY55" s="42"/>
      <c r="NXZ55" s="42"/>
      <c r="NYA55" s="42"/>
      <c r="NYB55" s="42"/>
      <c r="NYC55" s="42"/>
      <c r="NYD55" s="42"/>
      <c r="NYE55" s="42"/>
      <c r="NYF55" s="42"/>
      <c r="NYG55" s="42"/>
      <c r="NYH55" s="42"/>
      <c r="NYI55" s="42"/>
      <c r="NYJ55" s="42"/>
      <c r="NYK55" s="42"/>
      <c r="NYL55" s="42"/>
      <c r="NYM55" s="42"/>
      <c r="NYN55" s="42"/>
      <c r="NYO55" s="42"/>
      <c r="NYP55" s="42"/>
      <c r="NYQ55" s="42"/>
      <c r="NYR55" s="42"/>
      <c r="NYS55" s="2"/>
      <c r="NYT55" s="15"/>
      <c r="NYU55" s="42"/>
      <c r="NYV55" s="2"/>
      <c r="NYW55" s="2"/>
      <c r="NYX55" s="2"/>
      <c r="NYY55" s="2"/>
      <c r="NYZ55" s="42"/>
      <c r="NZA55" s="42"/>
      <c r="NZB55" s="42"/>
      <c r="NZC55" s="42"/>
      <c r="NZD55" s="42"/>
      <c r="NZE55" s="42"/>
      <c r="NZF55" s="42"/>
      <c r="NZG55" s="42"/>
      <c r="NZH55" s="42"/>
      <c r="NZI55" s="42"/>
      <c r="NZJ55" s="42"/>
      <c r="NZK55" s="42"/>
      <c r="NZL55" s="42"/>
      <c r="NZM55" s="42"/>
      <c r="NZN55" s="42"/>
      <c r="NZO55" s="42"/>
      <c r="NZP55" s="42"/>
      <c r="NZQ55" s="42"/>
      <c r="NZR55" s="42"/>
      <c r="NZS55" s="42"/>
      <c r="NZT55" s="42"/>
      <c r="NZU55" s="42"/>
      <c r="NZV55" s="42"/>
      <c r="NZW55" s="2"/>
      <c r="NZX55" s="15"/>
      <c r="NZY55" s="42"/>
      <c r="NZZ55" s="2"/>
      <c r="OAA55" s="2"/>
      <c r="OAB55" s="2"/>
      <c r="OAC55" s="2"/>
      <c r="OAD55" s="42"/>
      <c r="OAE55" s="42"/>
      <c r="OAF55" s="42"/>
      <c r="OAG55" s="42"/>
      <c r="OAH55" s="42"/>
      <c r="OAI55" s="42"/>
      <c r="OAJ55" s="42"/>
      <c r="OAK55" s="42"/>
      <c r="OAL55" s="42"/>
      <c r="OAM55" s="42"/>
      <c r="OAN55" s="42"/>
      <c r="OAO55" s="42"/>
      <c r="OAP55" s="42"/>
      <c r="OAQ55" s="42"/>
      <c r="OAR55" s="42"/>
      <c r="OAS55" s="42"/>
      <c r="OAT55" s="42"/>
      <c r="OAU55" s="42"/>
      <c r="OAV55" s="42"/>
      <c r="OAW55" s="42"/>
      <c r="OAX55" s="42"/>
      <c r="OAY55" s="42"/>
      <c r="OAZ55" s="42"/>
      <c r="OBA55" s="2"/>
      <c r="OBB55" s="15"/>
      <c r="OBC55" s="42"/>
      <c r="OBD55" s="2"/>
      <c r="OBE55" s="2"/>
      <c r="OBF55" s="2"/>
      <c r="OBG55" s="2"/>
      <c r="OBH55" s="42"/>
      <c r="OBI55" s="42"/>
      <c r="OBJ55" s="42"/>
      <c r="OBK55" s="42"/>
      <c r="OBL55" s="42"/>
      <c r="OBM55" s="42"/>
      <c r="OBN55" s="42"/>
      <c r="OBO55" s="42"/>
      <c r="OBP55" s="42"/>
      <c r="OBQ55" s="42"/>
      <c r="OBR55" s="42"/>
      <c r="OBS55" s="42"/>
      <c r="OBT55" s="42"/>
      <c r="OBU55" s="42"/>
      <c r="OBV55" s="42"/>
      <c r="OBW55" s="42"/>
      <c r="OBX55" s="42"/>
      <c r="OBY55" s="42"/>
      <c r="OBZ55" s="42"/>
      <c r="OCA55" s="42"/>
      <c r="OCB55" s="42"/>
      <c r="OCC55" s="42"/>
      <c r="OCD55" s="42"/>
      <c r="OCE55" s="2"/>
      <c r="OCF55" s="15"/>
      <c r="OCG55" s="42"/>
      <c r="OCH55" s="2"/>
      <c r="OCI55" s="2"/>
      <c r="OCJ55" s="2"/>
      <c r="OCK55" s="2"/>
      <c r="OCL55" s="42"/>
      <c r="OCM55" s="42"/>
      <c r="OCN55" s="42"/>
      <c r="OCO55" s="42"/>
      <c r="OCP55" s="42"/>
      <c r="OCQ55" s="42"/>
      <c r="OCR55" s="42"/>
      <c r="OCS55" s="42"/>
      <c r="OCT55" s="42"/>
      <c r="OCU55" s="42"/>
      <c r="OCV55" s="42"/>
      <c r="OCW55" s="42"/>
      <c r="OCX55" s="42"/>
      <c r="OCY55" s="42"/>
      <c r="OCZ55" s="42"/>
      <c r="ODA55" s="42"/>
      <c r="ODB55" s="42"/>
      <c r="ODC55" s="42"/>
      <c r="ODD55" s="42"/>
      <c r="ODE55" s="42"/>
      <c r="ODF55" s="42"/>
      <c r="ODG55" s="42"/>
      <c r="ODH55" s="42"/>
      <c r="ODI55" s="2"/>
      <c r="ODJ55" s="15"/>
      <c r="ODK55" s="42"/>
      <c r="ODL55" s="2"/>
      <c r="ODM55" s="2"/>
      <c r="ODN55" s="2"/>
      <c r="ODO55" s="2"/>
      <c r="ODP55" s="42"/>
      <c r="ODQ55" s="42"/>
      <c r="ODR55" s="42"/>
      <c r="ODS55" s="42"/>
      <c r="ODT55" s="42"/>
      <c r="ODU55" s="42"/>
      <c r="ODV55" s="42"/>
      <c r="ODW55" s="42"/>
      <c r="ODX55" s="42"/>
      <c r="ODY55" s="42"/>
      <c r="ODZ55" s="42"/>
      <c r="OEA55" s="42"/>
      <c r="OEB55" s="42"/>
      <c r="OEC55" s="42"/>
      <c r="OED55" s="42"/>
      <c r="OEE55" s="42"/>
      <c r="OEF55" s="42"/>
      <c r="OEG55" s="42"/>
      <c r="OEH55" s="42"/>
      <c r="OEI55" s="42"/>
      <c r="OEJ55" s="42"/>
      <c r="OEK55" s="42"/>
      <c r="OEL55" s="42"/>
      <c r="OEM55" s="2"/>
      <c r="OEN55" s="15"/>
      <c r="OEO55" s="42"/>
      <c r="OEP55" s="2"/>
      <c r="OEQ55" s="2"/>
      <c r="OER55" s="2"/>
      <c r="OES55" s="2"/>
      <c r="OET55" s="42"/>
      <c r="OEU55" s="42"/>
      <c r="OEV55" s="42"/>
      <c r="OEW55" s="42"/>
      <c r="OEX55" s="42"/>
      <c r="OEY55" s="42"/>
      <c r="OEZ55" s="42"/>
      <c r="OFA55" s="42"/>
      <c r="OFB55" s="42"/>
      <c r="OFC55" s="42"/>
      <c r="OFD55" s="42"/>
      <c r="OFE55" s="42"/>
      <c r="OFF55" s="42"/>
      <c r="OFG55" s="42"/>
      <c r="OFH55" s="42"/>
      <c r="OFI55" s="42"/>
      <c r="OFJ55" s="42"/>
      <c r="OFK55" s="42"/>
      <c r="OFL55" s="42"/>
      <c r="OFM55" s="42"/>
      <c r="OFN55" s="42"/>
      <c r="OFO55" s="42"/>
      <c r="OFP55" s="42"/>
      <c r="OFQ55" s="2"/>
      <c r="OFR55" s="15"/>
      <c r="OFS55" s="42"/>
      <c r="OFT55" s="2"/>
      <c r="OFU55" s="2"/>
      <c r="OFV55" s="2"/>
      <c r="OFW55" s="2"/>
      <c r="OFX55" s="42"/>
      <c r="OFY55" s="42"/>
      <c r="OFZ55" s="42"/>
      <c r="OGA55" s="42"/>
      <c r="OGB55" s="42"/>
      <c r="OGC55" s="42"/>
      <c r="OGD55" s="42"/>
      <c r="OGE55" s="42"/>
      <c r="OGF55" s="42"/>
      <c r="OGG55" s="42"/>
      <c r="OGH55" s="42"/>
      <c r="OGI55" s="42"/>
      <c r="OGJ55" s="42"/>
      <c r="OGK55" s="42"/>
      <c r="OGL55" s="42"/>
      <c r="OGM55" s="42"/>
      <c r="OGN55" s="42"/>
      <c r="OGO55" s="42"/>
      <c r="OGP55" s="42"/>
      <c r="OGQ55" s="42"/>
      <c r="OGR55" s="42"/>
      <c r="OGS55" s="42"/>
      <c r="OGT55" s="42"/>
      <c r="OGU55" s="2"/>
      <c r="OGV55" s="15"/>
      <c r="OGW55" s="42"/>
      <c r="OGX55" s="2"/>
      <c r="OGY55" s="2"/>
      <c r="OGZ55" s="2"/>
      <c r="OHA55" s="2"/>
      <c r="OHB55" s="42"/>
      <c r="OHC55" s="42"/>
      <c r="OHD55" s="42"/>
      <c r="OHE55" s="42"/>
      <c r="OHF55" s="42"/>
      <c r="OHG55" s="42"/>
      <c r="OHH55" s="42"/>
      <c r="OHI55" s="42"/>
      <c r="OHJ55" s="42"/>
      <c r="OHK55" s="42"/>
      <c r="OHL55" s="42"/>
      <c r="OHM55" s="42"/>
      <c r="OHN55" s="42"/>
      <c r="OHO55" s="42"/>
      <c r="OHP55" s="42"/>
      <c r="OHQ55" s="42"/>
      <c r="OHR55" s="42"/>
      <c r="OHS55" s="42"/>
      <c r="OHT55" s="42"/>
      <c r="OHU55" s="42"/>
      <c r="OHV55" s="42"/>
      <c r="OHW55" s="42"/>
      <c r="OHX55" s="42"/>
      <c r="OHY55" s="2"/>
      <c r="OHZ55" s="15"/>
      <c r="OIA55" s="42"/>
      <c r="OIB55" s="2"/>
      <c r="OIC55" s="2"/>
      <c r="OID55" s="2"/>
      <c r="OIE55" s="2"/>
      <c r="OIF55" s="42"/>
      <c r="OIG55" s="42"/>
      <c r="OIH55" s="42"/>
      <c r="OII55" s="42"/>
      <c r="OIJ55" s="42"/>
      <c r="OIK55" s="42"/>
      <c r="OIL55" s="42"/>
      <c r="OIM55" s="42"/>
      <c r="OIN55" s="42"/>
      <c r="OIO55" s="42"/>
      <c r="OIP55" s="42"/>
      <c r="OIQ55" s="42"/>
      <c r="OIR55" s="42"/>
      <c r="OIS55" s="42"/>
      <c r="OIT55" s="42"/>
      <c r="OIU55" s="42"/>
      <c r="OIV55" s="42"/>
      <c r="OIW55" s="42"/>
      <c r="OIX55" s="42"/>
      <c r="OIY55" s="42"/>
      <c r="OIZ55" s="42"/>
      <c r="OJA55" s="42"/>
      <c r="OJB55" s="42"/>
      <c r="OJC55" s="2"/>
      <c r="OJD55" s="15"/>
      <c r="OJE55" s="42"/>
      <c r="OJF55" s="2"/>
      <c r="OJG55" s="2"/>
      <c r="OJH55" s="2"/>
      <c r="OJI55" s="2"/>
      <c r="OJJ55" s="42"/>
      <c r="OJK55" s="42"/>
      <c r="OJL55" s="42"/>
      <c r="OJM55" s="42"/>
      <c r="OJN55" s="42"/>
      <c r="OJO55" s="42"/>
      <c r="OJP55" s="42"/>
      <c r="OJQ55" s="42"/>
      <c r="OJR55" s="42"/>
      <c r="OJS55" s="42"/>
      <c r="OJT55" s="42"/>
      <c r="OJU55" s="42"/>
      <c r="OJV55" s="42"/>
      <c r="OJW55" s="42"/>
      <c r="OJX55" s="42"/>
      <c r="OJY55" s="42"/>
      <c r="OJZ55" s="42"/>
      <c r="OKA55" s="42"/>
      <c r="OKB55" s="42"/>
      <c r="OKC55" s="42"/>
      <c r="OKD55" s="42"/>
      <c r="OKE55" s="42"/>
      <c r="OKF55" s="42"/>
      <c r="OKG55" s="2"/>
      <c r="OKH55" s="15"/>
      <c r="OKI55" s="42"/>
      <c r="OKJ55" s="2"/>
      <c r="OKK55" s="2"/>
      <c r="OKL55" s="2"/>
      <c r="OKM55" s="2"/>
      <c r="OKN55" s="42"/>
      <c r="OKO55" s="42"/>
      <c r="OKP55" s="42"/>
      <c r="OKQ55" s="42"/>
      <c r="OKR55" s="42"/>
      <c r="OKS55" s="42"/>
      <c r="OKT55" s="42"/>
      <c r="OKU55" s="42"/>
      <c r="OKV55" s="42"/>
      <c r="OKW55" s="42"/>
      <c r="OKX55" s="42"/>
      <c r="OKY55" s="42"/>
      <c r="OKZ55" s="42"/>
      <c r="OLA55" s="42"/>
      <c r="OLB55" s="42"/>
      <c r="OLC55" s="42"/>
      <c r="OLD55" s="42"/>
      <c r="OLE55" s="42"/>
      <c r="OLF55" s="42"/>
      <c r="OLG55" s="42"/>
      <c r="OLH55" s="42"/>
      <c r="OLI55" s="42"/>
      <c r="OLJ55" s="42"/>
      <c r="OLK55" s="2"/>
      <c r="OLL55" s="15"/>
      <c r="OLM55" s="42"/>
      <c r="OLN55" s="2"/>
      <c r="OLO55" s="2"/>
      <c r="OLP55" s="2"/>
      <c r="OLQ55" s="2"/>
      <c r="OLR55" s="42"/>
      <c r="OLS55" s="42"/>
      <c r="OLT55" s="42"/>
      <c r="OLU55" s="42"/>
      <c r="OLV55" s="42"/>
      <c r="OLW55" s="42"/>
      <c r="OLX55" s="42"/>
      <c r="OLY55" s="42"/>
      <c r="OLZ55" s="42"/>
      <c r="OMA55" s="42"/>
      <c r="OMB55" s="42"/>
      <c r="OMC55" s="42"/>
      <c r="OMD55" s="42"/>
      <c r="OME55" s="42"/>
      <c r="OMF55" s="42"/>
      <c r="OMG55" s="42"/>
      <c r="OMH55" s="42"/>
      <c r="OMI55" s="42"/>
      <c r="OMJ55" s="42"/>
      <c r="OMK55" s="42"/>
      <c r="OML55" s="42"/>
      <c r="OMM55" s="42"/>
      <c r="OMN55" s="42"/>
      <c r="OMO55" s="2"/>
      <c r="OMP55" s="15"/>
      <c r="OMQ55" s="42"/>
      <c r="OMR55" s="2"/>
      <c r="OMS55" s="2"/>
      <c r="OMT55" s="2"/>
      <c r="OMU55" s="2"/>
      <c r="OMV55" s="42"/>
      <c r="OMW55" s="42"/>
      <c r="OMX55" s="42"/>
      <c r="OMY55" s="42"/>
      <c r="OMZ55" s="42"/>
      <c r="ONA55" s="42"/>
      <c r="ONB55" s="42"/>
      <c r="ONC55" s="42"/>
      <c r="OND55" s="42"/>
      <c r="ONE55" s="42"/>
      <c r="ONF55" s="42"/>
      <c r="ONG55" s="42"/>
      <c r="ONH55" s="42"/>
      <c r="ONI55" s="42"/>
      <c r="ONJ55" s="42"/>
      <c r="ONK55" s="42"/>
      <c r="ONL55" s="42"/>
      <c r="ONM55" s="42"/>
      <c r="ONN55" s="42"/>
      <c r="ONO55" s="42"/>
      <c r="ONP55" s="42"/>
      <c r="ONQ55" s="42"/>
      <c r="ONR55" s="42"/>
      <c r="ONS55" s="2"/>
      <c r="ONT55" s="15"/>
      <c r="ONU55" s="42"/>
      <c r="ONV55" s="2"/>
      <c r="ONW55" s="2"/>
      <c r="ONX55" s="2"/>
      <c r="ONY55" s="2"/>
      <c r="ONZ55" s="42"/>
      <c r="OOA55" s="42"/>
      <c r="OOB55" s="42"/>
      <c r="OOC55" s="42"/>
      <c r="OOD55" s="42"/>
      <c r="OOE55" s="42"/>
      <c r="OOF55" s="42"/>
      <c r="OOG55" s="42"/>
      <c r="OOH55" s="42"/>
      <c r="OOI55" s="42"/>
      <c r="OOJ55" s="42"/>
      <c r="OOK55" s="42"/>
      <c r="OOL55" s="42"/>
      <c r="OOM55" s="42"/>
      <c r="OON55" s="42"/>
      <c r="OOO55" s="42"/>
      <c r="OOP55" s="42"/>
      <c r="OOQ55" s="42"/>
      <c r="OOR55" s="42"/>
      <c r="OOS55" s="42"/>
      <c r="OOT55" s="42"/>
      <c r="OOU55" s="42"/>
      <c r="OOV55" s="42"/>
      <c r="OOW55" s="2"/>
      <c r="OOX55" s="15"/>
      <c r="OOY55" s="42"/>
      <c r="OOZ55" s="2"/>
      <c r="OPA55" s="2"/>
      <c r="OPB55" s="2"/>
      <c r="OPC55" s="2"/>
      <c r="OPD55" s="42"/>
      <c r="OPE55" s="42"/>
      <c r="OPF55" s="42"/>
      <c r="OPG55" s="42"/>
      <c r="OPH55" s="42"/>
      <c r="OPI55" s="42"/>
      <c r="OPJ55" s="42"/>
      <c r="OPK55" s="42"/>
      <c r="OPL55" s="42"/>
      <c r="OPM55" s="42"/>
      <c r="OPN55" s="42"/>
      <c r="OPO55" s="42"/>
      <c r="OPP55" s="42"/>
      <c r="OPQ55" s="42"/>
      <c r="OPR55" s="42"/>
      <c r="OPS55" s="42"/>
      <c r="OPT55" s="42"/>
      <c r="OPU55" s="42"/>
      <c r="OPV55" s="42"/>
      <c r="OPW55" s="42"/>
      <c r="OPX55" s="42"/>
      <c r="OPY55" s="42"/>
      <c r="OPZ55" s="42"/>
      <c r="OQA55" s="2"/>
      <c r="OQB55" s="15"/>
      <c r="OQC55" s="42"/>
      <c r="OQD55" s="2"/>
      <c r="OQE55" s="2"/>
      <c r="OQF55" s="2"/>
      <c r="OQG55" s="2"/>
      <c r="OQH55" s="42"/>
      <c r="OQI55" s="42"/>
      <c r="OQJ55" s="42"/>
      <c r="OQK55" s="42"/>
      <c r="OQL55" s="42"/>
      <c r="OQM55" s="42"/>
      <c r="OQN55" s="42"/>
      <c r="OQO55" s="42"/>
      <c r="OQP55" s="42"/>
      <c r="OQQ55" s="42"/>
      <c r="OQR55" s="42"/>
      <c r="OQS55" s="42"/>
      <c r="OQT55" s="42"/>
      <c r="OQU55" s="42"/>
      <c r="OQV55" s="42"/>
      <c r="OQW55" s="42"/>
      <c r="OQX55" s="42"/>
      <c r="OQY55" s="42"/>
      <c r="OQZ55" s="42"/>
      <c r="ORA55" s="42"/>
      <c r="ORB55" s="42"/>
      <c r="ORC55" s="42"/>
      <c r="ORD55" s="42"/>
      <c r="ORE55" s="2"/>
      <c r="ORF55" s="15"/>
      <c r="ORG55" s="42"/>
      <c r="ORH55" s="2"/>
      <c r="ORI55" s="2"/>
      <c r="ORJ55" s="2"/>
      <c r="ORK55" s="2"/>
      <c r="ORL55" s="42"/>
      <c r="ORM55" s="42"/>
      <c r="ORN55" s="42"/>
      <c r="ORO55" s="42"/>
      <c r="ORP55" s="42"/>
      <c r="ORQ55" s="42"/>
      <c r="ORR55" s="42"/>
      <c r="ORS55" s="42"/>
      <c r="ORT55" s="42"/>
      <c r="ORU55" s="42"/>
      <c r="ORV55" s="42"/>
      <c r="ORW55" s="42"/>
      <c r="ORX55" s="42"/>
      <c r="ORY55" s="42"/>
      <c r="ORZ55" s="42"/>
      <c r="OSA55" s="42"/>
      <c r="OSB55" s="42"/>
      <c r="OSC55" s="42"/>
      <c r="OSD55" s="42"/>
      <c r="OSE55" s="42"/>
      <c r="OSF55" s="42"/>
      <c r="OSG55" s="42"/>
      <c r="OSH55" s="42"/>
      <c r="OSI55" s="2"/>
      <c r="OSJ55" s="15"/>
      <c r="OSK55" s="42"/>
      <c r="OSL55" s="2"/>
      <c r="OSM55" s="2"/>
      <c r="OSN55" s="2"/>
      <c r="OSO55" s="2"/>
      <c r="OSP55" s="42"/>
      <c r="OSQ55" s="42"/>
      <c r="OSR55" s="42"/>
      <c r="OSS55" s="42"/>
      <c r="OST55" s="42"/>
      <c r="OSU55" s="42"/>
      <c r="OSV55" s="42"/>
      <c r="OSW55" s="42"/>
      <c r="OSX55" s="42"/>
      <c r="OSY55" s="42"/>
      <c r="OSZ55" s="42"/>
      <c r="OTA55" s="42"/>
      <c r="OTB55" s="42"/>
      <c r="OTC55" s="42"/>
      <c r="OTD55" s="42"/>
      <c r="OTE55" s="42"/>
      <c r="OTF55" s="42"/>
      <c r="OTG55" s="42"/>
      <c r="OTH55" s="42"/>
      <c r="OTI55" s="42"/>
      <c r="OTJ55" s="42"/>
      <c r="OTK55" s="42"/>
      <c r="OTL55" s="42"/>
      <c r="OTM55" s="2"/>
      <c r="OTN55" s="15"/>
      <c r="OTO55" s="42"/>
      <c r="OTP55" s="2"/>
      <c r="OTQ55" s="2"/>
      <c r="OTR55" s="2"/>
      <c r="OTS55" s="2"/>
      <c r="OTT55" s="42"/>
      <c r="OTU55" s="42"/>
      <c r="OTV55" s="42"/>
      <c r="OTW55" s="42"/>
      <c r="OTX55" s="42"/>
      <c r="OTY55" s="42"/>
      <c r="OTZ55" s="42"/>
      <c r="OUA55" s="42"/>
      <c r="OUB55" s="42"/>
      <c r="OUC55" s="42"/>
      <c r="OUD55" s="42"/>
      <c r="OUE55" s="42"/>
      <c r="OUF55" s="42"/>
      <c r="OUG55" s="42"/>
      <c r="OUH55" s="42"/>
      <c r="OUI55" s="42"/>
      <c r="OUJ55" s="42"/>
      <c r="OUK55" s="42"/>
      <c r="OUL55" s="42"/>
      <c r="OUM55" s="42"/>
      <c r="OUN55" s="42"/>
      <c r="OUO55" s="42"/>
      <c r="OUP55" s="42"/>
      <c r="OUQ55" s="2"/>
      <c r="OUR55" s="15"/>
      <c r="OUS55" s="42"/>
      <c r="OUT55" s="2"/>
      <c r="OUU55" s="2"/>
      <c r="OUV55" s="2"/>
      <c r="OUW55" s="2"/>
      <c r="OUX55" s="42"/>
      <c r="OUY55" s="42"/>
      <c r="OUZ55" s="42"/>
      <c r="OVA55" s="42"/>
      <c r="OVB55" s="42"/>
      <c r="OVC55" s="42"/>
      <c r="OVD55" s="42"/>
      <c r="OVE55" s="42"/>
      <c r="OVF55" s="42"/>
      <c r="OVG55" s="42"/>
      <c r="OVH55" s="42"/>
      <c r="OVI55" s="42"/>
      <c r="OVJ55" s="42"/>
      <c r="OVK55" s="42"/>
      <c r="OVL55" s="42"/>
      <c r="OVM55" s="42"/>
      <c r="OVN55" s="42"/>
      <c r="OVO55" s="42"/>
      <c r="OVP55" s="42"/>
      <c r="OVQ55" s="42"/>
      <c r="OVR55" s="42"/>
      <c r="OVS55" s="42"/>
      <c r="OVT55" s="42"/>
      <c r="OVU55" s="2"/>
      <c r="OVV55" s="15"/>
      <c r="OVW55" s="42"/>
      <c r="OVX55" s="2"/>
      <c r="OVY55" s="2"/>
      <c r="OVZ55" s="2"/>
      <c r="OWA55" s="2"/>
      <c r="OWB55" s="42"/>
      <c r="OWC55" s="42"/>
      <c r="OWD55" s="42"/>
      <c r="OWE55" s="42"/>
      <c r="OWF55" s="42"/>
      <c r="OWG55" s="42"/>
      <c r="OWH55" s="42"/>
      <c r="OWI55" s="42"/>
      <c r="OWJ55" s="42"/>
      <c r="OWK55" s="42"/>
      <c r="OWL55" s="42"/>
      <c r="OWM55" s="42"/>
      <c r="OWN55" s="42"/>
      <c r="OWO55" s="42"/>
      <c r="OWP55" s="42"/>
      <c r="OWQ55" s="42"/>
      <c r="OWR55" s="42"/>
      <c r="OWS55" s="42"/>
      <c r="OWT55" s="42"/>
      <c r="OWU55" s="42"/>
      <c r="OWV55" s="42"/>
      <c r="OWW55" s="42"/>
      <c r="OWX55" s="42"/>
      <c r="OWY55" s="2"/>
      <c r="OWZ55" s="15"/>
      <c r="OXA55" s="42"/>
      <c r="OXB55" s="2"/>
      <c r="OXC55" s="2"/>
      <c r="OXD55" s="2"/>
      <c r="OXE55" s="2"/>
      <c r="OXF55" s="42"/>
      <c r="OXG55" s="42"/>
      <c r="OXH55" s="42"/>
      <c r="OXI55" s="42"/>
      <c r="OXJ55" s="42"/>
      <c r="OXK55" s="42"/>
      <c r="OXL55" s="42"/>
      <c r="OXM55" s="42"/>
      <c r="OXN55" s="42"/>
      <c r="OXO55" s="42"/>
      <c r="OXP55" s="42"/>
      <c r="OXQ55" s="42"/>
      <c r="OXR55" s="42"/>
      <c r="OXS55" s="42"/>
      <c r="OXT55" s="42"/>
      <c r="OXU55" s="42"/>
      <c r="OXV55" s="42"/>
      <c r="OXW55" s="42"/>
      <c r="OXX55" s="42"/>
      <c r="OXY55" s="42"/>
      <c r="OXZ55" s="42"/>
      <c r="OYA55" s="42"/>
      <c r="OYB55" s="42"/>
      <c r="OYC55" s="2"/>
      <c r="OYD55" s="15"/>
      <c r="OYE55" s="42"/>
      <c r="OYF55" s="2"/>
      <c r="OYG55" s="2"/>
      <c r="OYH55" s="2"/>
      <c r="OYI55" s="2"/>
      <c r="OYJ55" s="42"/>
      <c r="OYK55" s="42"/>
      <c r="OYL55" s="42"/>
      <c r="OYM55" s="42"/>
      <c r="OYN55" s="42"/>
      <c r="OYO55" s="42"/>
      <c r="OYP55" s="42"/>
      <c r="OYQ55" s="42"/>
      <c r="OYR55" s="42"/>
      <c r="OYS55" s="42"/>
      <c r="OYT55" s="42"/>
      <c r="OYU55" s="42"/>
      <c r="OYV55" s="42"/>
      <c r="OYW55" s="42"/>
      <c r="OYX55" s="42"/>
      <c r="OYY55" s="42"/>
      <c r="OYZ55" s="42"/>
      <c r="OZA55" s="42"/>
      <c r="OZB55" s="42"/>
      <c r="OZC55" s="42"/>
      <c r="OZD55" s="42"/>
      <c r="OZE55" s="42"/>
      <c r="OZF55" s="42"/>
      <c r="OZG55" s="2"/>
      <c r="OZH55" s="15"/>
      <c r="OZI55" s="42"/>
      <c r="OZJ55" s="2"/>
      <c r="OZK55" s="2"/>
      <c r="OZL55" s="2"/>
      <c r="OZM55" s="2"/>
      <c r="OZN55" s="42"/>
      <c r="OZO55" s="42"/>
      <c r="OZP55" s="42"/>
      <c r="OZQ55" s="42"/>
      <c r="OZR55" s="42"/>
      <c r="OZS55" s="42"/>
      <c r="OZT55" s="42"/>
      <c r="OZU55" s="42"/>
      <c r="OZV55" s="42"/>
      <c r="OZW55" s="42"/>
      <c r="OZX55" s="42"/>
      <c r="OZY55" s="42"/>
      <c r="OZZ55" s="42"/>
      <c r="PAA55" s="42"/>
      <c r="PAB55" s="42"/>
      <c r="PAC55" s="42"/>
      <c r="PAD55" s="42"/>
      <c r="PAE55" s="42"/>
      <c r="PAF55" s="42"/>
      <c r="PAG55" s="42"/>
      <c r="PAH55" s="42"/>
      <c r="PAI55" s="42"/>
      <c r="PAJ55" s="42"/>
      <c r="PAK55" s="2"/>
      <c r="PAL55" s="15"/>
      <c r="PAM55" s="42"/>
      <c r="PAN55" s="2"/>
      <c r="PAO55" s="2"/>
      <c r="PAP55" s="2"/>
      <c r="PAQ55" s="2"/>
      <c r="PAR55" s="42"/>
      <c r="PAS55" s="42"/>
      <c r="PAT55" s="42"/>
      <c r="PAU55" s="42"/>
      <c r="PAV55" s="42"/>
      <c r="PAW55" s="42"/>
      <c r="PAX55" s="42"/>
      <c r="PAY55" s="42"/>
      <c r="PAZ55" s="42"/>
      <c r="PBA55" s="42"/>
      <c r="PBB55" s="42"/>
      <c r="PBC55" s="42"/>
      <c r="PBD55" s="42"/>
      <c r="PBE55" s="42"/>
      <c r="PBF55" s="42"/>
      <c r="PBG55" s="42"/>
      <c r="PBH55" s="42"/>
      <c r="PBI55" s="42"/>
      <c r="PBJ55" s="42"/>
      <c r="PBK55" s="42"/>
      <c r="PBL55" s="42"/>
      <c r="PBM55" s="42"/>
      <c r="PBN55" s="42"/>
      <c r="PBO55" s="2"/>
      <c r="PBP55" s="15"/>
      <c r="PBQ55" s="42"/>
      <c r="PBR55" s="2"/>
      <c r="PBS55" s="2"/>
      <c r="PBT55" s="2"/>
      <c r="PBU55" s="2"/>
      <c r="PBV55" s="42"/>
      <c r="PBW55" s="42"/>
      <c r="PBX55" s="42"/>
      <c r="PBY55" s="42"/>
      <c r="PBZ55" s="42"/>
      <c r="PCA55" s="42"/>
      <c r="PCB55" s="42"/>
      <c r="PCC55" s="42"/>
      <c r="PCD55" s="42"/>
      <c r="PCE55" s="42"/>
      <c r="PCF55" s="42"/>
      <c r="PCG55" s="42"/>
      <c r="PCH55" s="42"/>
      <c r="PCI55" s="42"/>
      <c r="PCJ55" s="42"/>
      <c r="PCK55" s="42"/>
      <c r="PCL55" s="42"/>
      <c r="PCM55" s="42"/>
      <c r="PCN55" s="42"/>
      <c r="PCO55" s="42"/>
      <c r="PCP55" s="42"/>
      <c r="PCQ55" s="42"/>
      <c r="PCR55" s="42"/>
      <c r="PCS55" s="2"/>
      <c r="PCT55" s="15"/>
      <c r="PCU55" s="42"/>
      <c r="PCV55" s="2"/>
      <c r="PCW55" s="2"/>
      <c r="PCX55" s="2"/>
      <c r="PCY55" s="2"/>
      <c r="PCZ55" s="42"/>
      <c r="PDA55" s="42"/>
      <c r="PDB55" s="42"/>
      <c r="PDC55" s="42"/>
      <c r="PDD55" s="42"/>
      <c r="PDE55" s="42"/>
      <c r="PDF55" s="42"/>
      <c r="PDG55" s="42"/>
      <c r="PDH55" s="42"/>
      <c r="PDI55" s="42"/>
      <c r="PDJ55" s="42"/>
      <c r="PDK55" s="42"/>
      <c r="PDL55" s="42"/>
      <c r="PDM55" s="42"/>
      <c r="PDN55" s="42"/>
      <c r="PDO55" s="42"/>
      <c r="PDP55" s="42"/>
      <c r="PDQ55" s="42"/>
      <c r="PDR55" s="42"/>
      <c r="PDS55" s="42"/>
      <c r="PDT55" s="42"/>
      <c r="PDU55" s="42"/>
      <c r="PDV55" s="42"/>
      <c r="PDW55" s="2"/>
      <c r="PDX55" s="15"/>
      <c r="PDY55" s="42"/>
      <c r="PDZ55" s="2"/>
      <c r="PEA55" s="2"/>
      <c r="PEB55" s="2"/>
      <c r="PEC55" s="2"/>
      <c r="PED55" s="42"/>
      <c r="PEE55" s="42"/>
      <c r="PEF55" s="42"/>
      <c r="PEG55" s="42"/>
      <c r="PEH55" s="42"/>
      <c r="PEI55" s="42"/>
      <c r="PEJ55" s="42"/>
      <c r="PEK55" s="42"/>
      <c r="PEL55" s="42"/>
      <c r="PEM55" s="42"/>
      <c r="PEN55" s="42"/>
      <c r="PEO55" s="42"/>
      <c r="PEP55" s="42"/>
      <c r="PEQ55" s="42"/>
      <c r="PER55" s="42"/>
      <c r="PES55" s="42"/>
      <c r="PET55" s="42"/>
      <c r="PEU55" s="42"/>
      <c r="PEV55" s="42"/>
      <c r="PEW55" s="42"/>
      <c r="PEX55" s="42"/>
      <c r="PEY55" s="42"/>
      <c r="PEZ55" s="42"/>
      <c r="PFA55" s="2"/>
      <c r="PFB55" s="15"/>
      <c r="PFC55" s="42"/>
      <c r="PFD55" s="2"/>
      <c r="PFE55" s="2"/>
      <c r="PFF55" s="2"/>
      <c r="PFG55" s="2"/>
      <c r="PFH55" s="42"/>
      <c r="PFI55" s="42"/>
      <c r="PFJ55" s="42"/>
      <c r="PFK55" s="42"/>
      <c r="PFL55" s="42"/>
      <c r="PFM55" s="42"/>
      <c r="PFN55" s="42"/>
      <c r="PFO55" s="42"/>
      <c r="PFP55" s="42"/>
      <c r="PFQ55" s="42"/>
      <c r="PFR55" s="42"/>
      <c r="PFS55" s="42"/>
      <c r="PFT55" s="42"/>
      <c r="PFU55" s="42"/>
      <c r="PFV55" s="42"/>
      <c r="PFW55" s="42"/>
      <c r="PFX55" s="42"/>
      <c r="PFY55" s="42"/>
      <c r="PFZ55" s="42"/>
      <c r="PGA55" s="42"/>
      <c r="PGB55" s="42"/>
      <c r="PGC55" s="42"/>
      <c r="PGD55" s="42"/>
      <c r="PGE55" s="2"/>
      <c r="PGF55" s="15"/>
      <c r="PGG55" s="42"/>
      <c r="PGH55" s="2"/>
      <c r="PGI55" s="2"/>
      <c r="PGJ55" s="2"/>
      <c r="PGK55" s="2"/>
      <c r="PGL55" s="42"/>
      <c r="PGM55" s="42"/>
      <c r="PGN55" s="42"/>
      <c r="PGO55" s="42"/>
      <c r="PGP55" s="42"/>
      <c r="PGQ55" s="42"/>
      <c r="PGR55" s="42"/>
      <c r="PGS55" s="42"/>
      <c r="PGT55" s="42"/>
      <c r="PGU55" s="42"/>
      <c r="PGV55" s="42"/>
      <c r="PGW55" s="42"/>
      <c r="PGX55" s="42"/>
      <c r="PGY55" s="42"/>
      <c r="PGZ55" s="42"/>
      <c r="PHA55" s="42"/>
      <c r="PHB55" s="42"/>
      <c r="PHC55" s="42"/>
      <c r="PHD55" s="42"/>
      <c r="PHE55" s="42"/>
      <c r="PHF55" s="42"/>
      <c r="PHG55" s="42"/>
      <c r="PHH55" s="42"/>
      <c r="PHI55" s="2"/>
      <c r="PHJ55" s="15"/>
      <c r="PHK55" s="42"/>
      <c r="PHL55" s="2"/>
      <c r="PHM55" s="2"/>
      <c r="PHN55" s="2"/>
      <c r="PHO55" s="2"/>
      <c r="PHP55" s="42"/>
      <c r="PHQ55" s="42"/>
      <c r="PHR55" s="42"/>
      <c r="PHS55" s="42"/>
      <c r="PHT55" s="42"/>
      <c r="PHU55" s="42"/>
      <c r="PHV55" s="42"/>
      <c r="PHW55" s="42"/>
      <c r="PHX55" s="42"/>
      <c r="PHY55" s="42"/>
      <c r="PHZ55" s="42"/>
      <c r="PIA55" s="42"/>
      <c r="PIB55" s="42"/>
      <c r="PIC55" s="42"/>
      <c r="PID55" s="42"/>
      <c r="PIE55" s="42"/>
      <c r="PIF55" s="42"/>
      <c r="PIG55" s="42"/>
      <c r="PIH55" s="42"/>
      <c r="PII55" s="42"/>
      <c r="PIJ55" s="42"/>
      <c r="PIK55" s="42"/>
      <c r="PIL55" s="42"/>
      <c r="PIM55" s="2"/>
      <c r="PIN55" s="15"/>
      <c r="PIO55" s="42"/>
      <c r="PIP55" s="2"/>
      <c r="PIQ55" s="2"/>
      <c r="PIR55" s="2"/>
      <c r="PIS55" s="2"/>
      <c r="PIT55" s="42"/>
      <c r="PIU55" s="42"/>
      <c r="PIV55" s="42"/>
      <c r="PIW55" s="42"/>
      <c r="PIX55" s="42"/>
      <c r="PIY55" s="42"/>
      <c r="PIZ55" s="42"/>
      <c r="PJA55" s="42"/>
      <c r="PJB55" s="42"/>
      <c r="PJC55" s="42"/>
      <c r="PJD55" s="42"/>
      <c r="PJE55" s="42"/>
      <c r="PJF55" s="42"/>
      <c r="PJG55" s="42"/>
      <c r="PJH55" s="42"/>
      <c r="PJI55" s="42"/>
      <c r="PJJ55" s="42"/>
      <c r="PJK55" s="42"/>
      <c r="PJL55" s="42"/>
      <c r="PJM55" s="42"/>
      <c r="PJN55" s="42"/>
      <c r="PJO55" s="42"/>
      <c r="PJP55" s="42"/>
      <c r="PJQ55" s="2"/>
      <c r="PJR55" s="15"/>
      <c r="PJS55" s="42"/>
      <c r="PJT55" s="2"/>
      <c r="PJU55" s="2"/>
      <c r="PJV55" s="2"/>
      <c r="PJW55" s="2"/>
      <c r="PJX55" s="42"/>
      <c r="PJY55" s="42"/>
      <c r="PJZ55" s="42"/>
      <c r="PKA55" s="42"/>
      <c r="PKB55" s="42"/>
      <c r="PKC55" s="42"/>
      <c r="PKD55" s="42"/>
      <c r="PKE55" s="42"/>
      <c r="PKF55" s="42"/>
      <c r="PKG55" s="42"/>
      <c r="PKH55" s="42"/>
      <c r="PKI55" s="42"/>
      <c r="PKJ55" s="42"/>
      <c r="PKK55" s="42"/>
      <c r="PKL55" s="42"/>
      <c r="PKM55" s="42"/>
      <c r="PKN55" s="42"/>
      <c r="PKO55" s="42"/>
      <c r="PKP55" s="42"/>
      <c r="PKQ55" s="42"/>
      <c r="PKR55" s="42"/>
      <c r="PKS55" s="42"/>
      <c r="PKT55" s="42"/>
      <c r="PKU55" s="2"/>
      <c r="PKV55" s="15"/>
      <c r="PKW55" s="42"/>
      <c r="PKX55" s="2"/>
      <c r="PKY55" s="2"/>
      <c r="PKZ55" s="2"/>
      <c r="PLA55" s="2"/>
      <c r="PLB55" s="42"/>
      <c r="PLC55" s="42"/>
      <c r="PLD55" s="42"/>
      <c r="PLE55" s="42"/>
      <c r="PLF55" s="42"/>
      <c r="PLG55" s="42"/>
      <c r="PLH55" s="42"/>
      <c r="PLI55" s="42"/>
      <c r="PLJ55" s="42"/>
      <c r="PLK55" s="42"/>
      <c r="PLL55" s="42"/>
      <c r="PLM55" s="42"/>
      <c r="PLN55" s="42"/>
      <c r="PLO55" s="42"/>
      <c r="PLP55" s="42"/>
      <c r="PLQ55" s="42"/>
      <c r="PLR55" s="42"/>
      <c r="PLS55" s="42"/>
      <c r="PLT55" s="42"/>
      <c r="PLU55" s="42"/>
      <c r="PLV55" s="42"/>
      <c r="PLW55" s="42"/>
      <c r="PLX55" s="42"/>
      <c r="PLY55" s="2"/>
      <c r="PLZ55" s="15"/>
      <c r="PMA55" s="42"/>
      <c r="PMB55" s="2"/>
      <c r="PMC55" s="2"/>
      <c r="PMD55" s="2"/>
      <c r="PME55" s="2"/>
      <c r="PMF55" s="42"/>
      <c r="PMG55" s="42"/>
      <c r="PMH55" s="42"/>
      <c r="PMI55" s="42"/>
      <c r="PMJ55" s="42"/>
      <c r="PMK55" s="42"/>
      <c r="PML55" s="42"/>
      <c r="PMM55" s="42"/>
      <c r="PMN55" s="42"/>
      <c r="PMO55" s="42"/>
      <c r="PMP55" s="42"/>
      <c r="PMQ55" s="42"/>
      <c r="PMR55" s="42"/>
      <c r="PMS55" s="42"/>
      <c r="PMT55" s="42"/>
      <c r="PMU55" s="42"/>
      <c r="PMV55" s="42"/>
      <c r="PMW55" s="42"/>
      <c r="PMX55" s="42"/>
      <c r="PMY55" s="42"/>
      <c r="PMZ55" s="42"/>
      <c r="PNA55" s="42"/>
      <c r="PNB55" s="42"/>
      <c r="PNC55" s="2"/>
      <c r="PND55" s="15"/>
      <c r="PNE55" s="42"/>
      <c r="PNF55" s="2"/>
      <c r="PNG55" s="2"/>
      <c r="PNH55" s="2"/>
      <c r="PNI55" s="2"/>
      <c r="PNJ55" s="42"/>
      <c r="PNK55" s="42"/>
      <c r="PNL55" s="42"/>
      <c r="PNM55" s="42"/>
      <c r="PNN55" s="42"/>
      <c r="PNO55" s="42"/>
      <c r="PNP55" s="42"/>
      <c r="PNQ55" s="42"/>
      <c r="PNR55" s="42"/>
      <c r="PNS55" s="42"/>
      <c r="PNT55" s="42"/>
      <c r="PNU55" s="42"/>
      <c r="PNV55" s="42"/>
      <c r="PNW55" s="42"/>
      <c r="PNX55" s="42"/>
      <c r="PNY55" s="42"/>
      <c r="PNZ55" s="42"/>
      <c r="POA55" s="42"/>
      <c r="POB55" s="42"/>
      <c r="POC55" s="42"/>
      <c r="POD55" s="42"/>
      <c r="POE55" s="42"/>
      <c r="POF55" s="42"/>
      <c r="POG55" s="2"/>
      <c r="POH55" s="15"/>
      <c r="POI55" s="42"/>
      <c r="POJ55" s="2"/>
      <c r="POK55" s="2"/>
      <c r="POL55" s="2"/>
      <c r="POM55" s="2"/>
      <c r="PON55" s="42"/>
      <c r="POO55" s="42"/>
      <c r="POP55" s="42"/>
      <c r="POQ55" s="42"/>
      <c r="POR55" s="42"/>
      <c r="POS55" s="42"/>
      <c r="POT55" s="42"/>
      <c r="POU55" s="42"/>
      <c r="POV55" s="42"/>
      <c r="POW55" s="42"/>
      <c r="POX55" s="42"/>
      <c r="POY55" s="42"/>
      <c r="POZ55" s="42"/>
      <c r="PPA55" s="42"/>
      <c r="PPB55" s="42"/>
      <c r="PPC55" s="42"/>
      <c r="PPD55" s="42"/>
      <c r="PPE55" s="42"/>
      <c r="PPF55" s="42"/>
      <c r="PPG55" s="42"/>
      <c r="PPH55" s="42"/>
      <c r="PPI55" s="42"/>
      <c r="PPJ55" s="42"/>
      <c r="PPK55" s="2"/>
      <c r="PPL55" s="15"/>
      <c r="PPM55" s="42"/>
      <c r="PPN55" s="2"/>
      <c r="PPO55" s="2"/>
      <c r="PPP55" s="2"/>
      <c r="PPQ55" s="2"/>
      <c r="PPR55" s="42"/>
      <c r="PPS55" s="42"/>
      <c r="PPT55" s="42"/>
      <c r="PPU55" s="42"/>
      <c r="PPV55" s="42"/>
      <c r="PPW55" s="42"/>
      <c r="PPX55" s="42"/>
      <c r="PPY55" s="42"/>
      <c r="PPZ55" s="42"/>
      <c r="PQA55" s="42"/>
      <c r="PQB55" s="42"/>
      <c r="PQC55" s="42"/>
      <c r="PQD55" s="42"/>
      <c r="PQE55" s="42"/>
      <c r="PQF55" s="42"/>
      <c r="PQG55" s="42"/>
      <c r="PQH55" s="42"/>
      <c r="PQI55" s="42"/>
      <c r="PQJ55" s="42"/>
      <c r="PQK55" s="42"/>
      <c r="PQL55" s="42"/>
      <c r="PQM55" s="42"/>
      <c r="PQN55" s="42"/>
      <c r="PQO55" s="2"/>
      <c r="PQP55" s="15"/>
      <c r="PQQ55" s="42"/>
      <c r="PQR55" s="2"/>
      <c r="PQS55" s="2"/>
      <c r="PQT55" s="2"/>
      <c r="PQU55" s="2"/>
      <c r="PQV55" s="42"/>
      <c r="PQW55" s="42"/>
      <c r="PQX55" s="42"/>
      <c r="PQY55" s="42"/>
      <c r="PQZ55" s="42"/>
      <c r="PRA55" s="42"/>
      <c r="PRB55" s="42"/>
      <c r="PRC55" s="42"/>
      <c r="PRD55" s="42"/>
      <c r="PRE55" s="42"/>
      <c r="PRF55" s="42"/>
      <c r="PRG55" s="42"/>
      <c r="PRH55" s="42"/>
      <c r="PRI55" s="42"/>
      <c r="PRJ55" s="42"/>
      <c r="PRK55" s="42"/>
      <c r="PRL55" s="42"/>
      <c r="PRM55" s="42"/>
      <c r="PRN55" s="42"/>
      <c r="PRO55" s="42"/>
      <c r="PRP55" s="42"/>
      <c r="PRQ55" s="42"/>
      <c r="PRR55" s="42"/>
      <c r="PRS55" s="2"/>
      <c r="PRT55" s="15"/>
      <c r="PRU55" s="42"/>
      <c r="PRV55" s="2"/>
      <c r="PRW55" s="2"/>
      <c r="PRX55" s="2"/>
      <c r="PRY55" s="2"/>
      <c r="PRZ55" s="42"/>
      <c r="PSA55" s="42"/>
      <c r="PSB55" s="42"/>
      <c r="PSC55" s="42"/>
      <c r="PSD55" s="42"/>
      <c r="PSE55" s="42"/>
      <c r="PSF55" s="42"/>
      <c r="PSG55" s="42"/>
      <c r="PSH55" s="42"/>
      <c r="PSI55" s="42"/>
      <c r="PSJ55" s="42"/>
      <c r="PSK55" s="42"/>
      <c r="PSL55" s="42"/>
      <c r="PSM55" s="42"/>
      <c r="PSN55" s="42"/>
      <c r="PSO55" s="42"/>
      <c r="PSP55" s="42"/>
      <c r="PSQ55" s="42"/>
      <c r="PSR55" s="42"/>
      <c r="PSS55" s="42"/>
      <c r="PST55" s="42"/>
      <c r="PSU55" s="42"/>
      <c r="PSV55" s="42"/>
      <c r="PSW55" s="2"/>
      <c r="PSX55" s="15"/>
      <c r="PSY55" s="42"/>
      <c r="PSZ55" s="2"/>
      <c r="PTA55" s="2"/>
      <c r="PTB55" s="2"/>
      <c r="PTC55" s="2"/>
      <c r="PTD55" s="42"/>
      <c r="PTE55" s="42"/>
      <c r="PTF55" s="42"/>
      <c r="PTG55" s="42"/>
      <c r="PTH55" s="42"/>
      <c r="PTI55" s="42"/>
      <c r="PTJ55" s="42"/>
      <c r="PTK55" s="42"/>
      <c r="PTL55" s="42"/>
      <c r="PTM55" s="42"/>
      <c r="PTN55" s="42"/>
      <c r="PTO55" s="42"/>
      <c r="PTP55" s="42"/>
      <c r="PTQ55" s="42"/>
      <c r="PTR55" s="42"/>
      <c r="PTS55" s="42"/>
      <c r="PTT55" s="42"/>
      <c r="PTU55" s="42"/>
      <c r="PTV55" s="42"/>
      <c r="PTW55" s="42"/>
      <c r="PTX55" s="42"/>
      <c r="PTY55" s="42"/>
      <c r="PTZ55" s="42"/>
      <c r="PUA55" s="2"/>
      <c r="PUB55" s="15"/>
      <c r="PUC55" s="42"/>
      <c r="PUD55" s="2"/>
      <c r="PUE55" s="2"/>
      <c r="PUF55" s="2"/>
      <c r="PUG55" s="2"/>
      <c r="PUH55" s="42"/>
      <c r="PUI55" s="42"/>
      <c r="PUJ55" s="42"/>
      <c r="PUK55" s="42"/>
      <c r="PUL55" s="42"/>
      <c r="PUM55" s="42"/>
      <c r="PUN55" s="42"/>
      <c r="PUO55" s="42"/>
      <c r="PUP55" s="42"/>
      <c r="PUQ55" s="42"/>
      <c r="PUR55" s="42"/>
      <c r="PUS55" s="42"/>
      <c r="PUT55" s="42"/>
      <c r="PUU55" s="42"/>
      <c r="PUV55" s="42"/>
      <c r="PUW55" s="42"/>
      <c r="PUX55" s="42"/>
      <c r="PUY55" s="42"/>
      <c r="PUZ55" s="42"/>
      <c r="PVA55" s="42"/>
      <c r="PVB55" s="42"/>
      <c r="PVC55" s="42"/>
      <c r="PVD55" s="42"/>
      <c r="PVE55" s="2"/>
      <c r="PVF55" s="15"/>
      <c r="PVG55" s="42"/>
      <c r="PVH55" s="2"/>
      <c r="PVI55" s="2"/>
      <c r="PVJ55" s="2"/>
      <c r="PVK55" s="2"/>
      <c r="PVL55" s="42"/>
      <c r="PVM55" s="42"/>
      <c r="PVN55" s="42"/>
      <c r="PVO55" s="42"/>
      <c r="PVP55" s="42"/>
      <c r="PVQ55" s="42"/>
      <c r="PVR55" s="42"/>
      <c r="PVS55" s="42"/>
      <c r="PVT55" s="42"/>
      <c r="PVU55" s="42"/>
      <c r="PVV55" s="42"/>
      <c r="PVW55" s="42"/>
      <c r="PVX55" s="42"/>
      <c r="PVY55" s="42"/>
      <c r="PVZ55" s="42"/>
      <c r="PWA55" s="42"/>
      <c r="PWB55" s="42"/>
      <c r="PWC55" s="42"/>
      <c r="PWD55" s="42"/>
      <c r="PWE55" s="42"/>
      <c r="PWF55" s="42"/>
      <c r="PWG55" s="42"/>
      <c r="PWH55" s="42"/>
      <c r="PWI55" s="2"/>
      <c r="PWJ55" s="15"/>
      <c r="PWK55" s="42"/>
      <c r="PWL55" s="2"/>
      <c r="PWM55" s="2"/>
      <c r="PWN55" s="2"/>
      <c r="PWO55" s="2"/>
      <c r="PWP55" s="42"/>
      <c r="PWQ55" s="42"/>
      <c r="PWR55" s="42"/>
      <c r="PWS55" s="42"/>
      <c r="PWT55" s="42"/>
      <c r="PWU55" s="42"/>
      <c r="PWV55" s="42"/>
      <c r="PWW55" s="42"/>
      <c r="PWX55" s="42"/>
      <c r="PWY55" s="42"/>
      <c r="PWZ55" s="42"/>
      <c r="PXA55" s="42"/>
      <c r="PXB55" s="42"/>
      <c r="PXC55" s="42"/>
      <c r="PXD55" s="42"/>
      <c r="PXE55" s="42"/>
      <c r="PXF55" s="42"/>
      <c r="PXG55" s="42"/>
      <c r="PXH55" s="42"/>
      <c r="PXI55" s="42"/>
      <c r="PXJ55" s="42"/>
      <c r="PXK55" s="42"/>
      <c r="PXL55" s="42"/>
      <c r="PXM55" s="2"/>
      <c r="PXN55" s="15"/>
      <c r="PXO55" s="42"/>
      <c r="PXP55" s="2"/>
      <c r="PXQ55" s="2"/>
      <c r="PXR55" s="2"/>
      <c r="PXS55" s="2"/>
      <c r="PXT55" s="42"/>
      <c r="PXU55" s="42"/>
      <c r="PXV55" s="42"/>
      <c r="PXW55" s="42"/>
      <c r="PXX55" s="42"/>
      <c r="PXY55" s="42"/>
      <c r="PXZ55" s="42"/>
      <c r="PYA55" s="42"/>
      <c r="PYB55" s="42"/>
      <c r="PYC55" s="42"/>
      <c r="PYD55" s="42"/>
      <c r="PYE55" s="42"/>
      <c r="PYF55" s="42"/>
      <c r="PYG55" s="42"/>
      <c r="PYH55" s="42"/>
      <c r="PYI55" s="42"/>
      <c r="PYJ55" s="42"/>
      <c r="PYK55" s="42"/>
      <c r="PYL55" s="42"/>
      <c r="PYM55" s="42"/>
      <c r="PYN55" s="42"/>
      <c r="PYO55" s="42"/>
      <c r="PYP55" s="42"/>
      <c r="PYQ55" s="2"/>
      <c r="PYR55" s="15"/>
      <c r="PYS55" s="42"/>
      <c r="PYT55" s="2"/>
      <c r="PYU55" s="2"/>
      <c r="PYV55" s="2"/>
      <c r="PYW55" s="2"/>
      <c r="PYX55" s="42"/>
      <c r="PYY55" s="42"/>
      <c r="PYZ55" s="42"/>
      <c r="PZA55" s="42"/>
      <c r="PZB55" s="42"/>
      <c r="PZC55" s="42"/>
      <c r="PZD55" s="42"/>
      <c r="PZE55" s="42"/>
      <c r="PZF55" s="42"/>
      <c r="PZG55" s="42"/>
      <c r="PZH55" s="42"/>
      <c r="PZI55" s="42"/>
      <c r="PZJ55" s="42"/>
      <c r="PZK55" s="42"/>
      <c r="PZL55" s="42"/>
      <c r="PZM55" s="42"/>
      <c r="PZN55" s="42"/>
      <c r="PZO55" s="42"/>
      <c r="PZP55" s="42"/>
      <c r="PZQ55" s="42"/>
      <c r="PZR55" s="42"/>
      <c r="PZS55" s="42"/>
      <c r="PZT55" s="42"/>
      <c r="PZU55" s="2"/>
      <c r="PZV55" s="15"/>
      <c r="PZW55" s="42"/>
      <c r="PZX55" s="2"/>
      <c r="PZY55" s="2"/>
      <c r="PZZ55" s="2"/>
      <c r="QAA55" s="2"/>
      <c r="QAB55" s="42"/>
      <c r="QAC55" s="42"/>
      <c r="QAD55" s="42"/>
      <c r="QAE55" s="42"/>
      <c r="QAF55" s="42"/>
      <c r="QAG55" s="42"/>
      <c r="QAH55" s="42"/>
      <c r="QAI55" s="42"/>
      <c r="QAJ55" s="42"/>
      <c r="QAK55" s="42"/>
      <c r="QAL55" s="42"/>
      <c r="QAM55" s="42"/>
      <c r="QAN55" s="42"/>
      <c r="QAO55" s="42"/>
      <c r="QAP55" s="42"/>
      <c r="QAQ55" s="42"/>
      <c r="QAR55" s="42"/>
      <c r="QAS55" s="42"/>
      <c r="QAT55" s="42"/>
      <c r="QAU55" s="42"/>
      <c r="QAV55" s="42"/>
      <c r="QAW55" s="42"/>
      <c r="QAX55" s="42"/>
      <c r="QAY55" s="2"/>
      <c r="QAZ55" s="15"/>
      <c r="QBA55" s="42"/>
      <c r="QBB55" s="2"/>
      <c r="QBC55" s="2"/>
      <c r="QBD55" s="2"/>
      <c r="QBE55" s="2"/>
      <c r="QBF55" s="42"/>
      <c r="QBG55" s="42"/>
      <c r="QBH55" s="42"/>
      <c r="QBI55" s="42"/>
      <c r="QBJ55" s="42"/>
      <c r="QBK55" s="42"/>
      <c r="QBL55" s="42"/>
      <c r="QBM55" s="42"/>
      <c r="QBN55" s="42"/>
      <c r="QBO55" s="42"/>
      <c r="QBP55" s="42"/>
      <c r="QBQ55" s="42"/>
      <c r="QBR55" s="42"/>
      <c r="QBS55" s="42"/>
      <c r="QBT55" s="42"/>
      <c r="QBU55" s="42"/>
      <c r="QBV55" s="42"/>
      <c r="QBW55" s="42"/>
      <c r="QBX55" s="42"/>
      <c r="QBY55" s="42"/>
      <c r="QBZ55" s="42"/>
      <c r="QCA55" s="42"/>
      <c r="QCB55" s="42"/>
      <c r="QCC55" s="2"/>
      <c r="QCD55" s="15"/>
      <c r="QCE55" s="42"/>
      <c r="QCF55" s="2"/>
      <c r="QCG55" s="2"/>
      <c r="QCH55" s="2"/>
      <c r="QCI55" s="2"/>
      <c r="QCJ55" s="42"/>
      <c r="QCK55" s="42"/>
      <c r="QCL55" s="42"/>
      <c r="QCM55" s="42"/>
      <c r="QCN55" s="42"/>
      <c r="QCO55" s="42"/>
      <c r="QCP55" s="42"/>
      <c r="QCQ55" s="42"/>
      <c r="QCR55" s="42"/>
      <c r="QCS55" s="42"/>
      <c r="QCT55" s="42"/>
      <c r="QCU55" s="42"/>
      <c r="QCV55" s="42"/>
      <c r="QCW55" s="42"/>
      <c r="QCX55" s="42"/>
      <c r="QCY55" s="42"/>
      <c r="QCZ55" s="42"/>
      <c r="QDA55" s="42"/>
      <c r="QDB55" s="42"/>
      <c r="QDC55" s="42"/>
      <c r="QDD55" s="42"/>
      <c r="QDE55" s="42"/>
      <c r="QDF55" s="42"/>
      <c r="QDG55" s="2"/>
      <c r="QDH55" s="15"/>
      <c r="QDI55" s="42"/>
      <c r="QDJ55" s="2"/>
      <c r="QDK55" s="2"/>
      <c r="QDL55" s="2"/>
      <c r="QDM55" s="2"/>
      <c r="QDN55" s="42"/>
      <c r="QDO55" s="42"/>
      <c r="QDP55" s="42"/>
      <c r="QDQ55" s="42"/>
      <c r="QDR55" s="42"/>
      <c r="QDS55" s="42"/>
      <c r="QDT55" s="42"/>
      <c r="QDU55" s="42"/>
      <c r="QDV55" s="42"/>
      <c r="QDW55" s="42"/>
      <c r="QDX55" s="42"/>
      <c r="QDY55" s="42"/>
      <c r="QDZ55" s="42"/>
      <c r="QEA55" s="42"/>
      <c r="QEB55" s="42"/>
      <c r="QEC55" s="42"/>
      <c r="QED55" s="42"/>
      <c r="QEE55" s="42"/>
      <c r="QEF55" s="42"/>
      <c r="QEG55" s="42"/>
      <c r="QEH55" s="42"/>
      <c r="QEI55" s="42"/>
      <c r="QEJ55" s="42"/>
      <c r="QEK55" s="2"/>
      <c r="QEL55" s="15"/>
      <c r="QEM55" s="42"/>
      <c r="QEN55" s="2"/>
      <c r="QEO55" s="2"/>
      <c r="QEP55" s="2"/>
      <c r="QEQ55" s="2"/>
      <c r="QER55" s="42"/>
      <c r="QES55" s="42"/>
      <c r="QET55" s="42"/>
      <c r="QEU55" s="42"/>
      <c r="QEV55" s="42"/>
      <c r="QEW55" s="42"/>
      <c r="QEX55" s="42"/>
      <c r="QEY55" s="42"/>
      <c r="QEZ55" s="42"/>
      <c r="QFA55" s="42"/>
      <c r="QFB55" s="42"/>
      <c r="QFC55" s="42"/>
      <c r="QFD55" s="42"/>
      <c r="QFE55" s="42"/>
      <c r="QFF55" s="42"/>
      <c r="QFG55" s="42"/>
      <c r="QFH55" s="42"/>
      <c r="QFI55" s="42"/>
      <c r="QFJ55" s="42"/>
      <c r="QFK55" s="42"/>
      <c r="QFL55" s="42"/>
      <c r="QFM55" s="42"/>
      <c r="QFN55" s="42"/>
      <c r="QFO55" s="2"/>
      <c r="QFP55" s="15"/>
      <c r="QFQ55" s="42"/>
      <c r="QFR55" s="2"/>
      <c r="QFS55" s="2"/>
      <c r="QFT55" s="2"/>
      <c r="QFU55" s="2"/>
      <c r="QFV55" s="42"/>
      <c r="QFW55" s="42"/>
      <c r="QFX55" s="42"/>
      <c r="QFY55" s="42"/>
      <c r="QFZ55" s="42"/>
      <c r="QGA55" s="42"/>
      <c r="QGB55" s="42"/>
      <c r="QGC55" s="42"/>
      <c r="QGD55" s="42"/>
      <c r="QGE55" s="42"/>
      <c r="QGF55" s="42"/>
      <c r="QGG55" s="42"/>
      <c r="QGH55" s="42"/>
      <c r="QGI55" s="42"/>
      <c r="QGJ55" s="42"/>
      <c r="QGK55" s="42"/>
      <c r="QGL55" s="42"/>
      <c r="QGM55" s="42"/>
      <c r="QGN55" s="42"/>
      <c r="QGO55" s="42"/>
      <c r="QGP55" s="42"/>
      <c r="QGQ55" s="42"/>
      <c r="QGR55" s="42"/>
      <c r="QGS55" s="2"/>
      <c r="QGT55" s="15"/>
      <c r="QGU55" s="42"/>
      <c r="QGV55" s="2"/>
      <c r="QGW55" s="2"/>
      <c r="QGX55" s="2"/>
      <c r="QGY55" s="2"/>
      <c r="QGZ55" s="42"/>
      <c r="QHA55" s="42"/>
      <c r="QHB55" s="42"/>
      <c r="QHC55" s="42"/>
      <c r="QHD55" s="42"/>
      <c r="QHE55" s="42"/>
      <c r="QHF55" s="42"/>
      <c r="QHG55" s="42"/>
      <c r="QHH55" s="42"/>
      <c r="QHI55" s="42"/>
      <c r="QHJ55" s="42"/>
      <c r="QHK55" s="42"/>
      <c r="QHL55" s="42"/>
      <c r="QHM55" s="42"/>
      <c r="QHN55" s="42"/>
      <c r="QHO55" s="42"/>
      <c r="QHP55" s="42"/>
      <c r="QHQ55" s="42"/>
      <c r="QHR55" s="42"/>
      <c r="QHS55" s="42"/>
      <c r="QHT55" s="42"/>
      <c r="QHU55" s="42"/>
      <c r="QHV55" s="42"/>
      <c r="QHW55" s="2"/>
      <c r="QHX55" s="15"/>
      <c r="QHY55" s="42"/>
      <c r="QHZ55" s="2"/>
      <c r="QIA55" s="2"/>
      <c r="QIB55" s="2"/>
      <c r="QIC55" s="2"/>
      <c r="QID55" s="42"/>
      <c r="QIE55" s="42"/>
      <c r="QIF55" s="42"/>
      <c r="QIG55" s="42"/>
      <c r="QIH55" s="42"/>
      <c r="QII55" s="42"/>
      <c r="QIJ55" s="42"/>
      <c r="QIK55" s="42"/>
      <c r="QIL55" s="42"/>
      <c r="QIM55" s="42"/>
      <c r="QIN55" s="42"/>
      <c r="QIO55" s="42"/>
      <c r="QIP55" s="42"/>
      <c r="QIQ55" s="42"/>
      <c r="QIR55" s="42"/>
      <c r="QIS55" s="42"/>
      <c r="QIT55" s="42"/>
      <c r="QIU55" s="42"/>
      <c r="QIV55" s="42"/>
      <c r="QIW55" s="42"/>
      <c r="QIX55" s="42"/>
      <c r="QIY55" s="42"/>
      <c r="QIZ55" s="42"/>
      <c r="QJA55" s="2"/>
      <c r="QJB55" s="15"/>
      <c r="QJC55" s="42"/>
      <c r="QJD55" s="2"/>
      <c r="QJE55" s="2"/>
      <c r="QJF55" s="2"/>
      <c r="QJG55" s="2"/>
      <c r="QJH55" s="42"/>
      <c r="QJI55" s="42"/>
      <c r="QJJ55" s="42"/>
      <c r="QJK55" s="42"/>
      <c r="QJL55" s="42"/>
      <c r="QJM55" s="42"/>
      <c r="QJN55" s="42"/>
      <c r="QJO55" s="42"/>
      <c r="QJP55" s="42"/>
      <c r="QJQ55" s="42"/>
      <c r="QJR55" s="42"/>
      <c r="QJS55" s="42"/>
      <c r="QJT55" s="42"/>
      <c r="QJU55" s="42"/>
      <c r="QJV55" s="42"/>
      <c r="QJW55" s="42"/>
      <c r="QJX55" s="42"/>
      <c r="QJY55" s="42"/>
      <c r="QJZ55" s="42"/>
      <c r="QKA55" s="42"/>
      <c r="QKB55" s="42"/>
      <c r="QKC55" s="42"/>
      <c r="QKD55" s="42"/>
      <c r="QKE55" s="2"/>
      <c r="QKF55" s="15"/>
      <c r="QKG55" s="42"/>
      <c r="QKH55" s="2"/>
      <c r="QKI55" s="2"/>
      <c r="QKJ55" s="2"/>
      <c r="QKK55" s="2"/>
      <c r="QKL55" s="42"/>
      <c r="QKM55" s="42"/>
      <c r="QKN55" s="42"/>
      <c r="QKO55" s="42"/>
      <c r="QKP55" s="42"/>
      <c r="QKQ55" s="42"/>
      <c r="QKR55" s="42"/>
      <c r="QKS55" s="42"/>
      <c r="QKT55" s="42"/>
      <c r="QKU55" s="42"/>
      <c r="QKV55" s="42"/>
      <c r="QKW55" s="42"/>
      <c r="QKX55" s="42"/>
      <c r="QKY55" s="42"/>
      <c r="QKZ55" s="42"/>
      <c r="QLA55" s="42"/>
      <c r="QLB55" s="42"/>
      <c r="QLC55" s="42"/>
      <c r="QLD55" s="42"/>
      <c r="QLE55" s="42"/>
      <c r="QLF55" s="42"/>
      <c r="QLG55" s="42"/>
      <c r="QLH55" s="42"/>
      <c r="QLI55" s="2"/>
      <c r="QLJ55" s="15"/>
      <c r="QLK55" s="42"/>
      <c r="QLL55" s="2"/>
      <c r="QLM55" s="2"/>
      <c r="QLN55" s="2"/>
      <c r="QLO55" s="2"/>
      <c r="QLP55" s="42"/>
      <c r="QLQ55" s="42"/>
      <c r="QLR55" s="42"/>
      <c r="QLS55" s="42"/>
      <c r="QLT55" s="42"/>
      <c r="QLU55" s="42"/>
      <c r="QLV55" s="42"/>
      <c r="QLW55" s="42"/>
      <c r="QLX55" s="42"/>
      <c r="QLY55" s="42"/>
      <c r="QLZ55" s="42"/>
      <c r="QMA55" s="42"/>
      <c r="QMB55" s="42"/>
      <c r="QMC55" s="42"/>
      <c r="QMD55" s="42"/>
      <c r="QME55" s="42"/>
      <c r="QMF55" s="42"/>
      <c r="QMG55" s="42"/>
      <c r="QMH55" s="42"/>
      <c r="QMI55" s="42"/>
      <c r="QMJ55" s="42"/>
      <c r="QMK55" s="42"/>
      <c r="QML55" s="42"/>
      <c r="QMM55" s="2"/>
      <c r="QMN55" s="15"/>
      <c r="QMO55" s="42"/>
      <c r="QMP55" s="2"/>
      <c r="QMQ55" s="2"/>
      <c r="QMR55" s="2"/>
      <c r="QMS55" s="2"/>
      <c r="QMT55" s="42"/>
      <c r="QMU55" s="42"/>
      <c r="QMV55" s="42"/>
      <c r="QMW55" s="42"/>
      <c r="QMX55" s="42"/>
      <c r="QMY55" s="42"/>
      <c r="QMZ55" s="42"/>
      <c r="QNA55" s="42"/>
      <c r="QNB55" s="42"/>
      <c r="QNC55" s="42"/>
      <c r="QND55" s="42"/>
      <c r="QNE55" s="42"/>
      <c r="QNF55" s="42"/>
      <c r="QNG55" s="42"/>
      <c r="QNH55" s="42"/>
      <c r="QNI55" s="42"/>
      <c r="QNJ55" s="42"/>
      <c r="QNK55" s="42"/>
      <c r="QNL55" s="42"/>
      <c r="QNM55" s="42"/>
      <c r="QNN55" s="42"/>
      <c r="QNO55" s="42"/>
      <c r="QNP55" s="42"/>
      <c r="QNQ55" s="2"/>
      <c r="QNR55" s="15"/>
      <c r="QNS55" s="42"/>
      <c r="QNT55" s="2"/>
      <c r="QNU55" s="2"/>
      <c r="QNV55" s="2"/>
      <c r="QNW55" s="2"/>
      <c r="QNX55" s="42"/>
      <c r="QNY55" s="42"/>
      <c r="QNZ55" s="42"/>
      <c r="QOA55" s="42"/>
      <c r="QOB55" s="42"/>
      <c r="QOC55" s="42"/>
      <c r="QOD55" s="42"/>
      <c r="QOE55" s="42"/>
      <c r="QOF55" s="42"/>
      <c r="QOG55" s="42"/>
      <c r="QOH55" s="42"/>
      <c r="QOI55" s="42"/>
      <c r="QOJ55" s="42"/>
      <c r="QOK55" s="42"/>
      <c r="QOL55" s="42"/>
      <c r="QOM55" s="42"/>
      <c r="QON55" s="42"/>
      <c r="QOO55" s="42"/>
      <c r="QOP55" s="42"/>
      <c r="QOQ55" s="42"/>
      <c r="QOR55" s="42"/>
      <c r="QOS55" s="42"/>
      <c r="QOT55" s="42"/>
      <c r="QOU55" s="2"/>
      <c r="QOV55" s="15"/>
      <c r="QOW55" s="42"/>
      <c r="QOX55" s="2"/>
      <c r="QOY55" s="2"/>
      <c r="QOZ55" s="2"/>
      <c r="QPA55" s="2"/>
      <c r="QPB55" s="42"/>
      <c r="QPC55" s="42"/>
      <c r="QPD55" s="42"/>
      <c r="QPE55" s="42"/>
      <c r="QPF55" s="42"/>
      <c r="QPG55" s="42"/>
      <c r="QPH55" s="42"/>
      <c r="QPI55" s="42"/>
      <c r="QPJ55" s="42"/>
      <c r="QPK55" s="42"/>
      <c r="QPL55" s="42"/>
      <c r="QPM55" s="42"/>
      <c r="QPN55" s="42"/>
      <c r="QPO55" s="42"/>
      <c r="QPP55" s="42"/>
      <c r="QPQ55" s="42"/>
      <c r="QPR55" s="42"/>
      <c r="QPS55" s="42"/>
      <c r="QPT55" s="42"/>
      <c r="QPU55" s="42"/>
      <c r="QPV55" s="42"/>
      <c r="QPW55" s="42"/>
      <c r="QPX55" s="42"/>
      <c r="QPY55" s="2"/>
      <c r="QPZ55" s="15"/>
      <c r="QQA55" s="42"/>
      <c r="QQB55" s="2"/>
      <c r="QQC55" s="2"/>
      <c r="QQD55" s="2"/>
      <c r="QQE55" s="2"/>
      <c r="QQF55" s="42"/>
      <c r="QQG55" s="42"/>
      <c r="QQH55" s="42"/>
      <c r="QQI55" s="42"/>
      <c r="QQJ55" s="42"/>
      <c r="QQK55" s="42"/>
      <c r="QQL55" s="42"/>
      <c r="QQM55" s="42"/>
      <c r="QQN55" s="42"/>
      <c r="QQO55" s="42"/>
      <c r="QQP55" s="42"/>
      <c r="QQQ55" s="42"/>
      <c r="QQR55" s="42"/>
      <c r="QQS55" s="42"/>
      <c r="QQT55" s="42"/>
      <c r="QQU55" s="42"/>
      <c r="QQV55" s="42"/>
      <c r="QQW55" s="42"/>
      <c r="QQX55" s="42"/>
      <c r="QQY55" s="42"/>
      <c r="QQZ55" s="42"/>
      <c r="QRA55" s="42"/>
      <c r="QRB55" s="42"/>
      <c r="QRC55" s="2"/>
      <c r="QRD55" s="15"/>
      <c r="QRE55" s="42"/>
      <c r="QRF55" s="2"/>
      <c r="QRG55" s="2"/>
      <c r="QRH55" s="2"/>
      <c r="QRI55" s="2"/>
      <c r="QRJ55" s="42"/>
      <c r="QRK55" s="42"/>
      <c r="QRL55" s="42"/>
      <c r="QRM55" s="42"/>
      <c r="QRN55" s="42"/>
      <c r="QRO55" s="42"/>
      <c r="QRP55" s="42"/>
      <c r="QRQ55" s="42"/>
      <c r="QRR55" s="42"/>
      <c r="QRS55" s="42"/>
      <c r="QRT55" s="42"/>
      <c r="QRU55" s="42"/>
      <c r="QRV55" s="42"/>
      <c r="QRW55" s="42"/>
      <c r="QRX55" s="42"/>
      <c r="QRY55" s="42"/>
      <c r="QRZ55" s="42"/>
      <c r="QSA55" s="42"/>
      <c r="QSB55" s="42"/>
      <c r="QSC55" s="42"/>
      <c r="QSD55" s="42"/>
      <c r="QSE55" s="42"/>
      <c r="QSF55" s="42"/>
      <c r="QSG55" s="2"/>
      <c r="QSH55" s="15"/>
      <c r="QSI55" s="42"/>
      <c r="QSJ55" s="2"/>
      <c r="QSK55" s="2"/>
      <c r="QSL55" s="2"/>
      <c r="QSM55" s="2"/>
      <c r="QSN55" s="42"/>
      <c r="QSO55" s="42"/>
      <c r="QSP55" s="42"/>
      <c r="QSQ55" s="42"/>
      <c r="QSR55" s="42"/>
      <c r="QSS55" s="42"/>
      <c r="QST55" s="42"/>
      <c r="QSU55" s="42"/>
      <c r="QSV55" s="42"/>
      <c r="QSW55" s="42"/>
      <c r="QSX55" s="42"/>
      <c r="QSY55" s="42"/>
      <c r="QSZ55" s="42"/>
      <c r="QTA55" s="42"/>
      <c r="QTB55" s="42"/>
      <c r="QTC55" s="42"/>
      <c r="QTD55" s="42"/>
      <c r="QTE55" s="42"/>
      <c r="QTF55" s="42"/>
      <c r="QTG55" s="42"/>
      <c r="QTH55" s="42"/>
      <c r="QTI55" s="42"/>
      <c r="QTJ55" s="42"/>
      <c r="QTK55" s="2"/>
      <c r="QTL55" s="15"/>
      <c r="QTM55" s="42"/>
      <c r="QTN55" s="2"/>
      <c r="QTO55" s="2"/>
      <c r="QTP55" s="2"/>
      <c r="QTQ55" s="2"/>
      <c r="QTR55" s="42"/>
      <c r="QTS55" s="42"/>
      <c r="QTT55" s="42"/>
      <c r="QTU55" s="42"/>
      <c r="QTV55" s="42"/>
      <c r="QTW55" s="42"/>
      <c r="QTX55" s="42"/>
      <c r="QTY55" s="42"/>
      <c r="QTZ55" s="42"/>
      <c r="QUA55" s="42"/>
      <c r="QUB55" s="42"/>
      <c r="QUC55" s="42"/>
      <c r="QUD55" s="42"/>
      <c r="QUE55" s="42"/>
      <c r="QUF55" s="42"/>
      <c r="QUG55" s="42"/>
      <c r="QUH55" s="42"/>
      <c r="QUI55" s="42"/>
      <c r="QUJ55" s="42"/>
      <c r="QUK55" s="42"/>
      <c r="QUL55" s="42"/>
      <c r="QUM55" s="42"/>
      <c r="QUN55" s="42"/>
      <c r="QUO55" s="2"/>
      <c r="QUP55" s="15"/>
      <c r="QUQ55" s="42"/>
      <c r="QUR55" s="2"/>
      <c r="QUS55" s="2"/>
      <c r="QUT55" s="2"/>
      <c r="QUU55" s="2"/>
      <c r="QUV55" s="42"/>
      <c r="QUW55" s="42"/>
      <c r="QUX55" s="42"/>
      <c r="QUY55" s="42"/>
      <c r="QUZ55" s="42"/>
      <c r="QVA55" s="42"/>
      <c r="QVB55" s="42"/>
      <c r="QVC55" s="42"/>
      <c r="QVD55" s="42"/>
      <c r="QVE55" s="42"/>
      <c r="QVF55" s="42"/>
      <c r="QVG55" s="42"/>
      <c r="QVH55" s="42"/>
      <c r="QVI55" s="42"/>
      <c r="QVJ55" s="42"/>
      <c r="QVK55" s="42"/>
      <c r="QVL55" s="42"/>
      <c r="QVM55" s="42"/>
      <c r="QVN55" s="42"/>
      <c r="QVO55" s="42"/>
      <c r="QVP55" s="42"/>
      <c r="QVQ55" s="42"/>
      <c r="QVR55" s="42"/>
      <c r="QVS55" s="2"/>
      <c r="QVT55" s="15"/>
      <c r="QVU55" s="42"/>
      <c r="QVV55" s="2"/>
      <c r="QVW55" s="2"/>
      <c r="QVX55" s="2"/>
      <c r="QVY55" s="2"/>
      <c r="QVZ55" s="42"/>
      <c r="QWA55" s="42"/>
      <c r="QWB55" s="42"/>
      <c r="QWC55" s="42"/>
      <c r="QWD55" s="42"/>
      <c r="QWE55" s="42"/>
      <c r="QWF55" s="42"/>
      <c r="QWG55" s="42"/>
      <c r="QWH55" s="42"/>
      <c r="QWI55" s="42"/>
      <c r="QWJ55" s="42"/>
      <c r="QWK55" s="42"/>
      <c r="QWL55" s="42"/>
      <c r="QWM55" s="42"/>
      <c r="QWN55" s="42"/>
      <c r="QWO55" s="42"/>
      <c r="QWP55" s="42"/>
      <c r="QWQ55" s="42"/>
      <c r="QWR55" s="42"/>
      <c r="QWS55" s="42"/>
      <c r="QWT55" s="42"/>
      <c r="QWU55" s="42"/>
      <c r="QWV55" s="42"/>
      <c r="QWW55" s="2"/>
      <c r="QWX55" s="15"/>
      <c r="QWY55" s="42"/>
      <c r="QWZ55" s="2"/>
      <c r="QXA55" s="2"/>
      <c r="QXB55" s="2"/>
      <c r="QXC55" s="2"/>
      <c r="QXD55" s="42"/>
      <c r="QXE55" s="42"/>
      <c r="QXF55" s="42"/>
      <c r="QXG55" s="42"/>
      <c r="QXH55" s="42"/>
      <c r="QXI55" s="42"/>
      <c r="QXJ55" s="42"/>
      <c r="QXK55" s="42"/>
      <c r="QXL55" s="42"/>
      <c r="QXM55" s="42"/>
      <c r="QXN55" s="42"/>
      <c r="QXO55" s="42"/>
      <c r="QXP55" s="42"/>
      <c r="QXQ55" s="42"/>
      <c r="QXR55" s="42"/>
      <c r="QXS55" s="42"/>
      <c r="QXT55" s="42"/>
      <c r="QXU55" s="42"/>
      <c r="QXV55" s="42"/>
      <c r="QXW55" s="42"/>
      <c r="QXX55" s="42"/>
      <c r="QXY55" s="42"/>
      <c r="QXZ55" s="42"/>
      <c r="QYA55" s="2"/>
      <c r="QYB55" s="15"/>
      <c r="QYC55" s="42"/>
      <c r="QYD55" s="2"/>
      <c r="QYE55" s="2"/>
      <c r="QYF55" s="2"/>
      <c r="QYG55" s="2"/>
      <c r="QYH55" s="42"/>
      <c r="QYI55" s="42"/>
      <c r="QYJ55" s="42"/>
      <c r="QYK55" s="42"/>
      <c r="QYL55" s="42"/>
      <c r="QYM55" s="42"/>
      <c r="QYN55" s="42"/>
      <c r="QYO55" s="42"/>
      <c r="QYP55" s="42"/>
      <c r="QYQ55" s="42"/>
      <c r="QYR55" s="42"/>
      <c r="QYS55" s="42"/>
      <c r="QYT55" s="42"/>
      <c r="QYU55" s="42"/>
      <c r="QYV55" s="42"/>
      <c r="QYW55" s="42"/>
      <c r="QYX55" s="42"/>
      <c r="QYY55" s="42"/>
      <c r="QYZ55" s="42"/>
      <c r="QZA55" s="42"/>
      <c r="QZB55" s="42"/>
      <c r="QZC55" s="42"/>
      <c r="QZD55" s="42"/>
      <c r="QZE55" s="2"/>
      <c r="QZF55" s="15"/>
      <c r="QZG55" s="42"/>
      <c r="QZH55" s="2"/>
      <c r="QZI55" s="2"/>
      <c r="QZJ55" s="2"/>
      <c r="QZK55" s="2"/>
      <c r="QZL55" s="42"/>
      <c r="QZM55" s="42"/>
      <c r="QZN55" s="42"/>
      <c r="QZO55" s="42"/>
      <c r="QZP55" s="42"/>
      <c r="QZQ55" s="42"/>
      <c r="QZR55" s="42"/>
      <c r="QZS55" s="42"/>
      <c r="QZT55" s="42"/>
      <c r="QZU55" s="42"/>
      <c r="QZV55" s="42"/>
      <c r="QZW55" s="42"/>
      <c r="QZX55" s="42"/>
      <c r="QZY55" s="42"/>
      <c r="QZZ55" s="42"/>
      <c r="RAA55" s="42"/>
      <c r="RAB55" s="42"/>
      <c r="RAC55" s="42"/>
      <c r="RAD55" s="42"/>
      <c r="RAE55" s="42"/>
      <c r="RAF55" s="42"/>
      <c r="RAG55" s="42"/>
      <c r="RAH55" s="42"/>
      <c r="RAI55" s="2"/>
      <c r="RAJ55" s="15"/>
      <c r="RAK55" s="42"/>
      <c r="RAL55" s="2"/>
      <c r="RAM55" s="2"/>
      <c r="RAN55" s="2"/>
      <c r="RAO55" s="2"/>
      <c r="RAP55" s="42"/>
      <c r="RAQ55" s="42"/>
      <c r="RAR55" s="42"/>
      <c r="RAS55" s="42"/>
      <c r="RAT55" s="42"/>
      <c r="RAU55" s="42"/>
      <c r="RAV55" s="42"/>
      <c r="RAW55" s="42"/>
      <c r="RAX55" s="42"/>
      <c r="RAY55" s="42"/>
      <c r="RAZ55" s="42"/>
      <c r="RBA55" s="42"/>
      <c r="RBB55" s="42"/>
      <c r="RBC55" s="42"/>
      <c r="RBD55" s="42"/>
      <c r="RBE55" s="42"/>
      <c r="RBF55" s="42"/>
      <c r="RBG55" s="42"/>
      <c r="RBH55" s="42"/>
      <c r="RBI55" s="42"/>
      <c r="RBJ55" s="42"/>
      <c r="RBK55" s="42"/>
      <c r="RBL55" s="42"/>
      <c r="RBM55" s="2"/>
      <c r="RBN55" s="15"/>
      <c r="RBO55" s="42"/>
      <c r="RBP55" s="2"/>
      <c r="RBQ55" s="2"/>
      <c r="RBR55" s="2"/>
      <c r="RBS55" s="2"/>
      <c r="RBT55" s="42"/>
      <c r="RBU55" s="42"/>
      <c r="RBV55" s="42"/>
      <c r="RBW55" s="42"/>
      <c r="RBX55" s="42"/>
      <c r="RBY55" s="42"/>
      <c r="RBZ55" s="42"/>
      <c r="RCA55" s="42"/>
      <c r="RCB55" s="42"/>
      <c r="RCC55" s="42"/>
      <c r="RCD55" s="42"/>
      <c r="RCE55" s="42"/>
      <c r="RCF55" s="42"/>
      <c r="RCG55" s="42"/>
      <c r="RCH55" s="42"/>
      <c r="RCI55" s="42"/>
      <c r="RCJ55" s="42"/>
      <c r="RCK55" s="42"/>
      <c r="RCL55" s="42"/>
      <c r="RCM55" s="42"/>
      <c r="RCN55" s="42"/>
      <c r="RCO55" s="42"/>
      <c r="RCP55" s="42"/>
      <c r="RCQ55" s="2"/>
      <c r="RCR55" s="15"/>
      <c r="RCS55" s="42"/>
      <c r="RCT55" s="2"/>
      <c r="RCU55" s="2"/>
      <c r="RCV55" s="2"/>
      <c r="RCW55" s="2"/>
      <c r="RCX55" s="42"/>
      <c r="RCY55" s="42"/>
      <c r="RCZ55" s="42"/>
      <c r="RDA55" s="42"/>
      <c r="RDB55" s="42"/>
      <c r="RDC55" s="42"/>
      <c r="RDD55" s="42"/>
      <c r="RDE55" s="42"/>
      <c r="RDF55" s="42"/>
      <c r="RDG55" s="42"/>
      <c r="RDH55" s="42"/>
      <c r="RDI55" s="42"/>
      <c r="RDJ55" s="42"/>
      <c r="RDK55" s="42"/>
      <c r="RDL55" s="42"/>
      <c r="RDM55" s="42"/>
      <c r="RDN55" s="42"/>
      <c r="RDO55" s="42"/>
      <c r="RDP55" s="42"/>
      <c r="RDQ55" s="42"/>
      <c r="RDR55" s="42"/>
      <c r="RDS55" s="42"/>
      <c r="RDT55" s="42"/>
      <c r="RDU55" s="2"/>
      <c r="RDV55" s="15"/>
      <c r="RDW55" s="42"/>
      <c r="RDX55" s="2"/>
      <c r="RDY55" s="2"/>
      <c r="RDZ55" s="2"/>
      <c r="REA55" s="2"/>
      <c r="REB55" s="42"/>
      <c r="REC55" s="42"/>
      <c r="RED55" s="42"/>
      <c r="REE55" s="42"/>
      <c r="REF55" s="42"/>
      <c r="REG55" s="42"/>
      <c r="REH55" s="42"/>
      <c r="REI55" s="42"/>
      <c r="REJ55" s="42"/>
      <c r="REK55" s="42"/>
      <c r="REL55" s="42"/>
      <c r="REM55" s="42"/>
      <c r="REN55" s="42"/>
      <c r="REO55" s="42"/>
      <c r="REP55" s="42"/>
      <c r="REQ55" s="42"/>
      <c r="RER55" s="42"/>
      <c r="RES55" s="42"/>
      <c r="RET55" s="42"/>
      <c r="REU55" s="42"/>
      <c r="REV55" s="42"/>
      <c r="REW55" s="42"/>
      <c r="REX55" s="42"/>
      <c r="REY55" s="2"/>
      <c r="REZ55" s="15"/>
      <c r="RFA55" s="42"/>
      <c r="RFB55" s="2"/>
      <c r="RFC55" s="2"/>
      <c r="RFD55" s="2"/>
      <c r="RFE55" s="2"/>
      <c r="RFF55" s="42"/>
      <c r="RFG55" s="42"/>
      <c r="RFH55" s="42"/>
      <c r="RFI55" s="42"/>
      <c r="RFJ55" s="42"/>
      <c r="RFK55" s="42"/>
      <c r="RFL55" s="42"/>
      <c r="RFM55" s="42"/>
      <c r="RFN55" s="42"/>
      <c r="RFO55" s="42"/>
      <c r="RFP55" s="42"/>
      <c r="RFQ55" s="42"/>
      <c r="RFR55" s="42"/>
      <c r="RFS55" s="42"/>
      <c r="RFT55" s="42"/>
      <c r="RFU55" s="42"/>
      <c r="RFV55" s="42"/>
      <c r="RFW55" s="42"/>
      <c r="RFX55" s="42"/>
      <c r="RFY55" s="42"/>
      <c r="RFZ55" s="42"/>
      <c r="RGA55" s="42"/>
      <c r="RGB55" s="42"/>
      <c r="RGC55" s="2"/>
      <c r="RGD55" s="15"/>
      <c r="RGE55" s="42"/>
      <c r="RGF55" s="2"/>
      <c r="RGG55" s="2"/>
      <c r="RGH55" s="2"/>
      <c r="RGI55" s="2"/>
      <c r="RGJ55" s="42"/>
      <c r="RGK55" s="42"/>
      <c r="RGL55" s="42"/>
      <c r="RGM55" s="42"/>
      <c r="RGN55" s="42"/>
      <c r="RGO55" s="42"/>
      <c r="RGP55" s="42"/>
      <c r="RGQ55" s="42"/>
      <c r="RGR55" s="42"/>
      <c r="RGS55" s="42"/>
      <c r="RGT55" s="42"/>
      <c r="RGU55" s="42"/>
      <c r="RGV55" s="42"/>
      <c r="RGW55" s="42"/>
      <c r="RGX55" s="42"/>
      <c r="RGY55" s="42"/>
      <c r="RGZ55" s="42"/>
      <c r="RHA55" s="42"/>
      <c r="RHB55" s="42"/>
      <c r="RHC55" s="42"/>
      <c r="RHD55" s="42"/>
      <c r="RHE55" s="42"/>
      <c r="RHF55" s="42"/>
      <c r="RHG55" s="2"/>
      <c r="RHH55" s="15"/>
      <c r="RHI55" s="42"/>
      <c r="RHJ55" s="2"/>
      <c r="RHK55" s="2"/>
      <c r="RHL55" s="2"/>
      <c r="RHM55" s="2"/>
      <c r="RHN55" s="42"/>
      <c r="RHO55" s="42"/>
      <c r="RHP55" s="42"/>
      <c r="RHQ55" s="42"/>
      <c r="RHR55" s="42"/>
      <c r="RHS55" s="42"/>
      <c r="RHT55" s="42"/>
      <c r="RHU55" s="42"/>
      <c r="RHV55" s="42"/>
      <c r="RHW55" s="42"/>
      <c r="RHX55" s="42"/>
      <c r="RHY55" s="42"/>
      <c r="RHZ55" s="42"/>
      <c r="RIA55" s="42"/>
      <c r="RIB55" s="42"/>
      <c r="RIC55" s="42"/>
      <c r="RID55" s="42"/>
      <c r="RIE55" s="42"/>
      <c r="RIF55" s="42"/>
      <c r="RIG55" s="42"/>
      <c r="RIH55" s="42"/>
      <c r="RII55" s="42"/>
      <c r="RIJ55" s="42"/>
      <c r="RIK55" s="2"/>
      <c r="RIL55" s="15"/>
      <c r="RIM55" s="42"/>
      <c r="RIN55" s="2"/>
      <c r="RIO55" s="2"/>
      <c r="RIP55" s="2"/>
      <c r="RIQ55" s="2"/>
      <c r="RIR55" s="42"/>
      <c r="RIS55" s="42"/>
      <c r="RIT55" s="42"/>
      <c r="RIU55" s="42"/>
      <c r="RIV55" s="42"/>
      <c r="RIW55" s="42"/>
      <c r="RIX55" s="42"/>
      <c r="RIY55" s="42"/>
      <c r="RIZ55" s="42"/>
      <c r="RJA55" s="42"/>
      <c r="RJB55" s="42"/>
      <c r="RJC55" s="42"/>
      <c r="RJD55" s="42"/>
      <c r="RJE55" s="42"/>
      <c r="RJF55" s="42"/>
      <c r="RJG55" s="42"/>
      <c r="RJH55" s="42"/>
      <c r="RJI55" s="42"/>
      <c r="RJJ55" s="42"/>
      <c r="RJK55" s="42"/>
      <c r="RJL55" s="42"/>
      <c r="RJM55" s="42"/>
      <c r="RJN55" s="42"/>
      <c r="RJO55" s="2"/>
      <c r="RJP55" s="15"/>
      <c r="RJQ55" s="42"/>
      <c r="RJR55" s="2"/>
      <c r="RJS55" s="2"/>
      <c r="RJT55" s="2"/>
      <c r="RJU55" s="2"/>
      <c r="RJV55" s="42"/>
      <c r="RJW55" s="42"/>
      <c r="RJX55" s="42"/>
      <c r="RJY55" s="42"/>
      <c r="RJZ55" s="42"/>
      <c r="RKA55" s="42"/>
      <c r="RKB55" s="42"/>
      <c r="RKC55" s="42"/>
      <c r="RKD55" s="42"/>
      <c r="RKE55" s="42"/>
      <c r="RKF55" s="42"/>
      <c r="RKG55" s="42"/>
      <c r="RKH55" s="42"/>
      <c r="RKI55" s="42"/>
      <c r="RKJ55" s="42"/>
      <c r="RKK55" s="42"/>
      <c r="RKL55" s="42"/>
      <c r="RKM55" s="42"/>
      <c r="RKN55" s="42"/>
      <c r="RKO55" s="42"/>
      <c r="RKP55" s="42"/>
      <c r="RKQ55" s="42"/>
      <c r="RKR55" s="42"/>
      <c r="RKS55" s="2"/>
      <c r="RKT55" s="15"/>
      <c r="RKU55" s="42"/>
      <c r="RKV55" s="2"/>
      <c r="RKW55" s="2"/>
      <c r="RKX55" s="2"/>
      <c r="RKY55" s="2"/>
      <c r="RKZ55" s="42"/>
      <c r="RLA55" s="42"/>
      <c r="RLB55" s="42"/>
      <c r="RLC55" s="42"/>
      <c r="RLD55" s="42"/>
      <c r="RLE55" s="42"/>
      <c r="RLF55" s="42"/>
      <c r="RLG55" s="42"/>
      <c r="RLH55" s="42"/>
      <c r="RLI55" s="42"/>
      <c r="RLJ55" s="42"/>
      <c r="RLK55" s="42"/>
      <c r="RLL55" s="42"/>
      <c r="RLM55" s="42"/>
      <c r="RLN55" s="42"/>
      <c r="RLO55" s="42"/>
      <c r="RLP55" s="42"/>
      <c r="RLQ55" s="42"/>
      <c r="RLR55" s="42"/>
      <c r="RLS55" s="42"/>
      <c r="RLT55" s="42"/>
      <c r="RLU55" s="42"/>
      <c r="RLV55" s="42"/>
      <c r="RLW55" s="2"/>
      <c r="RLX55" s="15"/>
      <c r="RLY55" s="42"/>
      <c r="RLZ55" s="2"/>
      <c r="RMA55" s="2"/>
      <c r="RMB55" s="2"/>
      <c r="RMC55" s="2"/>
      <c r="RMD55" s="42"/>
      <c r="RME55" s="42"/>
      <c r="RMF55" s="42"/>
      <c r="RMG55" s="42"/>
      <c r="RMH55" s="42"/>
      <c r="RMI55" s="42"/>
      <c r="RMJ55" s="42"/>
      <c r="RMK55" s="42"/>
      <c r="RML55" s="42"/>
      <c r="RMM55" s="42"/>
      <c r="RMN55" s="42"/>
      <c r="RMO55" s="42"/>
      <c r="RMP55" s="42"/>
      <c r="RMQ55" s="42"/>
      <c r="RMR55" s="42"/>
      <c r="RMS55" s="42"/>
      <c r="RMT55" s="42"/>
      <c r="RMU55" s="42"/>
      <c r="RMV55" s="42"/>
      <c r="RMW55" s="42"/>
      <c r="RMX55" s="42"/>
      <c r="RMY55" s="42"/>
      <c r="RMZ55" s="42"/>
      <c r="RNA55" s="2"/>
      <c r="RNB55" s="15"/>
      <c r="RNC55" s="42"/>
      <c r="RND55" s="2"/>
      <c r="RNE55" s="2"/>
      <c r="RNF55" s="2"/>
      <c r="RNG55" s="2"/>
      <c r="RNH55" s="42"/>
      <c r="RNI55" s="42"/>
      <c r="RNJ55" s="42"/>
      <c r="RNK55" s="42"/>
      <c r="RNL55" s="42"/>
      <c r="RNM55" s="42"/>
      <c r="RNN55" s="42"/>
      <c r="RNO55" s="42"/>
      <c r="RNP55" s="42"/>
      <c r="RNQ55" s="42"/>
      <c r="RNR55" s="42"/>
      <c r="RNS55" s="42"/>
      <c r="RNT55" s="42"/>
      <c r="RNU55" s="42"/>
      <c r="RNV55" s="42"/>
      <c r="RNW55" s="42"/>
      <c r="RNX55" s="42"/>
      <c r="RNY55" s="42"/>
      <c r="RNZ55" s="42"/>
      <c r="ROA55" s="42"/>
      <c r="ROB55" s="42"/>
      <c r="ROC55" s="42"/>
      <c r="ROD55" s="42"/>
      <c r="ROE55" s="2"/>
      <c r="ROF55" s="15"/>
      <c r="ROG55" s="42"/>
      <c r="ROH55" s="2"/>
      <c r="ROI55" s="2"/>
      <c r="ROJ55" s="2"/>
      <c r="ROK55" s="2"/>
      <c r="ROL55" s="42"/>
      <c r="ROM55" s="42"/>
      <c r="RON55" s="42"/>
      <c r="ROO55" s="42"/>
      <c r="ROP55" s="42"/>
      <c r="ROQ55" s="42"/>
      <c r="ROR55" s="42"/>
      <c r="ROS55" s="42"/>
      <c r="ROT55" s="42"/>
      <c r="ROU55" s="42"/>
      <c r="ROV55" s="42"/>
      <c r="ROW55" s="42"/>
      <c r="ROX55" s="42"/>
      <c r="ROY55" s="42"/>
      <c r="ROZ55" s="42"/>
      <c r="RPA55" s="42"/>
      <c r="RPB55" s="42"/>
      <c r="RPC55" s="42"/>
      <c r="RPD55" s="42"/>
      <c r="RPE55" s="42"/>
      <c r="RPF55" s="42"/>
      <c r="RPG55" s="42"/>
      <c r="RPH55" s="42"/>
      <c r="RPI55" s="2"/>
      <c r="RPJ55" s="15"/>
      <c r="RPK55" s="42"/>
      <c r="RPL55" s="2"/>
      <c r="RPM55" s="2"/>
      <c r="RPN55" s="2"/>
      <c r="RPO55" s="2"/>
      <c r="RPP55" s="42"/>
      <c r="RPQ55" s="42"/>
      <c r="RPR55" s="42"/>
      <c r="RPS55" s="42"/>
      <c r="RPT55" s="42"/>
      <c r="RPU55" s="42"/>
      <c r="RPV55" s="42"/>
      <c r="RPW55" s="42"/>
      <c r="RPX55" s="42"/>
      <c r="RPY55" s="42"/>
      <c r="RPZ55" s="42"/>
      <c r="RQA55" s="42"/>
      <c r="RQB55" s="42"/>
      <c r="RQC55" s="42"/>
      <c r="RQD55" s="42"/>
      <c r="RQE55" s="42"/>
      <c r="RQF55" s="42"/>
      <c r="RQG55" s="42"/>
      <c r="RQH55" s="42"/>
      <c r="RQI55" s="42"/>
      <c r="RQJ55" s="42"/>
      <c r="RQK55" s="42"/>
      <c r="RQL55" s="42"/>
      <c r="RQM55" s="2"/>
      <c r="RQN55" s="15"/>
      <c r="RQO55" s="42"/>
      <c r="RQP55" s="2"/>
      <c r="RQQ55" s="2"/>
      <c r="RQR55" s="2"/>
      <c r="RQS55" s="2"/>
      <c r="RQT55" s="42"/>
      <c r="RQU55" s="42"/>
      <c r="RQV55" s="42"/>
      <c r="RQW55" s="42"/>
      <c r="RQX55" s="42"/>
      <c r="RQY55" s="42"/>
      <c r="RQZ55" s="42"/>
      <c r="RRA55" s="42"/>
      <c r="RRB55" s="42"/>
      <c r="RRC55" s="42"/>
      <c r="RRD55" s="42"/>
      <c r="RRE55" s="42"/>
      <c r="RRF55" s="42"/>
      <c r="RRG55" s="42"/>
      <c r="RRH55" s="42"/>
      <c r="RRI55" s="42"/>
      <c r="RRJ55" s="42"/>
      <c r="RRK55" s="42"/>
      <c r="RRL55" s="42"/>
      <c r="RRM55" s="42"/>
      <c r="RRN55" s="42"/>
      <c r="RRO55" s="42"/>
      <c r="RRP55" s="42"/>
      <c r="RRQ55" s="2"/>
      <c r="RRR55" s="15"/>
      <c r="RRS55" s="42"/>
      <c r="RRT55" s="2"/>
      <c r="RRU55" s="2"/>
      <c r="RRV55" s="2"/>
      <c r="RRW55" s="2"/>
      <c r="RRX55" s="42"/>
      <c r="RRY55" s="42"/>
      <c r="RRZ55" s="42"/>
      <c r="RSA55" s="42"/>
      <c r="RSB55" s="42"/>
      <c r="RSC55" s="42"/>
      <c r="RSD55" s="42"/>
      <c r="RSE55" s="42"/>
      <c r="RSF55" s="42"/>
      <c r="RSG55" s="42"/>
      <c r="RSH55" s="42"/>
      <c r="RSI55" s="42"/>
      <c r="RSJ55" s="42"/>
      <c r="RSK55" s="42"/>
      <c r="RSL55" s="42"/>
      <c r="RSM55" s="42"/>
      <c r="RSN55" s="42"/>
      <c r="RSO55" s="42"/>
      <c r="RSP55" s="42"/>
      <c r="RSQ55" s="42"/>
      <c r="RSR55" s="42"/>
      <c r="RSS55" s="42"/>
      <c r="RST55" s="42"/>
      <c r="RSU55" s="2"/>
      <c r="RSV55" s="15"/>
      <c r="RSW55" s="42"/>
      <c r="RSX55" s="2"/>
      <c r="RSY55" s="2"/>
      <c r="RSZ55" s="2"/>
      <c r="RTA55" s="2"/>
      <c r="RTB55" s="42"/>
      <c r="RTC55" s="42"/>
      <c r="RTD55" s="42"/>
      <c r="RTE55" s="42"/>
      <c r="RTF55" s="42"/>
      <c r="RTG55" s="42"/>
      <c r="RTH55" s="42"/>
      <c r="RTI55" s="42"/>
      <c r="RTJ55" s="42"/>
      <c r="RTK55" s="42"/>
      <c r="RTL55" s="42"/>
      <c r="RTM55" s="42"/>
      <c r="RTN55" s="42"/>
      <c r="RTO55" s="42"/>
      <c r="RTP55" s="42"/>
      <c r="RTQ55" s="42"/>
      <c r="RTR55" s="42"/>
      <c r="RTS55" s="42"/>
      <c r="RTT55" s="42"/>
      <c r="RTU55" s="42"/>
      <c r="RTV55" s="42"/>
      <c r="RTW55" s="42"/>
      <c r="RTX55" s="42"/>
      <c r="RTY55" s="2"/>
      <c r="RTZ55" s="15"/>
      <c r="RUA55" s="42"/>
      <c r="RUB55" s="2"/>
      <c r="RUC55" s="2"/>
      <c r="RUD55" s="2"/>
      <c r="RUE55" s="2"/>
      <c r="RUF55" s="42"/>
      <c r="RUG55" s="42"/>
      <c r="RUH55" s="42"/>
      <c r="RUI55" s="42"/>
      <c r="RUJ55" s="42"/>
      <c r="RUK55" s="42"/>
      <c r="RUL55" s="42"/>
      <c r="RUM55" s="42"/>
      <c r="RUN55" s="42"/>
      <c r="RUO55" s="42"/>
      <c r="RUP55" s="42"/>
      <c r="RUQ55" s="42"/>
      <c r="RUR55" s="42"/>
      <c r="RUS55" s="42"/>
      <c r="RUT55" s="42"/>
      <c r="RUU55" s="42"/>
      <c r="RUV55" s="42"/>
      <c r="RUW55" s="42"/>
      <c r="RUX55" s="42"/>
      <c r="RUY55" s="42"/>
      <c r="RUZ55" s="42"/>
      <c r="RVA55" s="42"/>
      <c r="RVB55" s="42"/>
      <c r="RVC55" s="2"/>
      <c r="RVD55" s="15"/>
      <c r="RVE55" s="42"/>
      <c r="RVF55" s="2"/>
      <c r="RVG55" s="2"/>
      <c r="RVH55" s="2"/>
      <c r="RVI55" s="2"/>
      <c r="RVJ55" s="42"/>
      <c r="RVK55" s="42"/>
      <c r="RVL55" s="42"/>
      <c r="RVM55" s="42"/>
      <c r="RVN55" s="42"/>
      <c r="RVO55" s="42"/>
      <c r="RVP55" s="42"/>
      <c r="RVQ55" s="42"/>
      <c r="RVR55" s="42"/>
      <c r="RVS55" s="42"/>
      <c r="RVT55" s="42"/>
      <c r="RVU55" s="42"/>
      <c r="RVV55" s="42"/>
      <c r="RVW55" s="42"/>
      <c r="RVX55" s="42"/>
      <c r="RVY55" s="42"/>
      <c r="RVZ55" s="42"/>
      <c r="RWA55" s="42"/>
      <c r="RWB55" s="42"/>
      <c r="RWC55" s="42"/>
      <c r="RWD55" s="42"/>
      <c r="RWE55" s="42"/>
      <c r="RWF55" s="42"/>
      <c r="RWG55" s="2"/>
      <c r="RWH55" s="15"/>
      <c r="RWI55" s="42"/>
      <c r="RWJ55" s="2"/>
      <c r="RWK55" s="2"/>
      <c r="RWL55" s="2"/>
      <c r="RWM55" s="2"/>
      <c r="RWN55" s="42"/>
      <c r="RWO55" s="42"/>
      <c r="RWP55" s="42"/>
      <c r="RWQ55" s="42"/>
      <c r="RWR55" s="42"/>
      <c r="RWS55" s="42"/>
      <c r="RWT55" s="42"/>
      <c r="RWU55" s="42"/>
      <c r="RWV55" s="42"/>
      <c r="RWW55" s="42"/>
      <c r="RWX55" s="42"/>
      <c r="RWY55" s="42"/>
      <c r="RWZ55" s="42"/>
      <c r="RXA55" s="42"/>
      <c r="RXB55" s="42"/>
      <c r="RXC55" s="42"/>
      <c r="RXD55" s="42"/>
      <c r="RXE55" s="42"/>
      <c r="RXF55" s="42"/>
      <c r="RXG55" s="42"/>
      <c r="RXH55" s="42"/>
      <c r="RXI55" s="42"/>
      <c r="RXJ55" s="42"/>
      <c r="RXK55" s="2"/>
      <c r="RXL55" s="15"/>
      <c r="RXM55" s="42"/>
      <c r="RXN55" s="2"/>
      <c r="RXO55" s="2"/>
      <c r="RXP55" s="2"/>
      <c r="RXQ55" s="2"/>
      <c r="RXR55" s="42"/>
      <c r="RXS55" s="42"/>
      <c r="RXT55" s="42"/>
      <c r="RXU55" s="42"/>
      <c r="RXV55" s="42"/>
      <c r="RXW55" s="42"/>
      <c r="RXX55" s="42"/>
      <c r="RXY55" s="42"/>
      <c r="RXZ55" s="42"/>
      <c r="RYA55" s="42"/>
      <c r="RYB55" s="42"/>
      <c r="RYC55" s="42"/>
      <c r="RYD55" s="42"/>
      <c r="RYE55" s="42"/>
      <c r="RYF55" s="42"/>
      <c r="RYG55" s="42"/>
      <c r="RYH55" s="42"/>
      <c r="RYI55" s="42"/>
      <c r="RYJ55" s="42"/>
      <c r="RYK55" s="42"/>
      <c r="RYL55" s="42"/>
      <c r="RYM55" s="42"/>
      <c r="RYN55" s="42"/>
      <c r="RYO55" s="2"/>
      <c r="RYP55" s="15"/>
      <c r="RYQ55" s="42"/>
      <c r="RYR55" s="2"/>
      <c r="RYS55" s="2"/>
      <c r="RYT55" s="2"/>
      <c r="RYU55" s="2"/>
      <c r="RYV55" s="42"/>
      <c r="RYW55" s="42"/>
      <c r="RYX55" s="42"/>
      <c r="RYY55" s="42"/>
      <c r="RYZ55" s="42"/>
      <c r="RZA55" s="42"/>
      <c r="RZB55" s="42"/>
      <c r="RZC55" s="42"/>
      <c r="RZD55" s="42"/>
      <c r="RZE55" s="42"/>
      <c r="RZF55" s="42"/>
      <c r="RZG55" s="42"/>
      <c r="RZH55" s="42"/>
      <c r="RZI55" s="42"/>
      <c r="RZJ55" s="42"/>
      <c r="RZK55" s="42"/>
      <c r="RZL55" s="42"/>
      <c r="RZM55" s="42"/>
      <c r="RZN55" s="42"/>
      <c r="RZO55" s="42"/>
      <c r="RZP55" s="42"/>
      <c r="RZQ55" s="42"/>
      <c r="RZR55" s="42"/>
      <c r="RZS55" s="2"/>
      <c r="RZT55" s="15"/>
      <c r="RZU55" s="42"/>
      <c r="RZV55" s="2"/>
      <c r="RZW55" s="2"/>
      <c r="RZX55" s="2"/>
      <c r="RZY55" s="2"/>
      <c r="RZZ55" s="42"/>
      <c r="SAA55" s="42"/>
      <c r="SAB55" s="42"/>
      <c r="SAC55" s="42"/>
      <c r="SAD55" s="42"/>
      <c r="SAE55" s="42"/>
      <c r="SAF55" s="42"/>
      <c r="SAG55" s="42"/>
      <c r="SAH55" s="42"/>
      <c r="SAI55" s="42"/>
      <c r="SAJ55" s="42"/>
      <c r="SAK55" s="42"/>
      <c r="SAL55" s="42"/>
      <c r="SAM55" s="42"/>
      <c r="SAN55" s="42"/>
      <c r="SAO55" s="42"/>
      <c r="SAP55" s="42"/>
      <c r="SAQ55" s="42"/>
      <c r="SAR55" s="42"/>
      <c r="SAS55" s="42"/>
      <c r="SAT55" s="42"/>
      <c r="SAU55" s="42"/>
      <c r="SAV55" s="42"/>
      <c r="SAW55" s="2"/>
      <c r="SAX55" s="15"/>
      <c r="SAY55" s="42"/>
      <c r="SAZ55" s="2"/>
      <c r="SBA55" s="2"/>
      <c r="SBB55" s="2"/>
      <c r="SBC55" s="2"/>
      <c r="SBD55" s="42"/>
      <c r="SBE55" s="42"/>
      <c r="SBF55" s="42"/>
      <c r="SBG55" s="42"/>
      <c r="SBH55" s="42"/>
      <c r="SBI55" s="42"/>
      <c r="SBJ55" s="42"/>
      <c r="SBK55" s="42"/>
      <c r="SBL55" s="42"/>
      <c r="SBM55" s="42"/>
      <c r="SBN55" s="42"/>
      <c r="SBO55" s="42"/>
      <c r="SBP55" s="42"/>
      <c r="SBQ55" s="42"/>
      <c r="SBR55" s="42"/>
      <c r="SBS55" s="42"/>
      <c r="SBT55" s="42"/>
      <c r="SBU55" s="42"/>
      <c r="SBV55" s="42"/>
      <c r="SBW55" s="42"/>
      <c r="SBX55" s="42"/>
      <c r="SBY55" s="42"/>
      <c r="SBZ55" s="42"/>
      <c r="SCA55" s="2"/>
      <c r="SCB55" s="15"/>
      <c r="SCC55" s="42"/>
      <c r="SCD55" s="2"/>
      <c r="SCE55" s="2"/>
      <c r="SCF55" s="2"/>
      <c r="SCG55" s="2"/>
      <c r="SCH55" s="42"/>
      <c r="SCI55" s="42"/>
      <c r="SCJ55" s="42"/>
      <c r="SCK55" s="42"/>
      <c r="SCL55" s="42"/>
      <c r="SCM55" s="42"/>
      <c r="SCN55" s="42"/>
      <c r="SCO55" s="42"/>
      <c r="SCP55" s="42"/>
      <c r="SCQ55" s="42"/>
      <c r="SCR55" s="42"/>
      <c r="SCS55" s="42"/>
      <c r="SCT55" s="42"/>
      <c r="SCU55" s="42"/>
      <c r="SCV55" s="42"/>
      <c r="SCW55" s="42"/>
      <c r="SCX55" s="42"/>
      <c r="SCY55" s="42"/>
      <c r="SCZ55" s="42"/>
      <c r="SDA55" s="42"/>
      <c r="SDB55" s="42"/>
      <c r="SDC55" s="42"/>
      <c r="SDD55" s="42"/>
      <c r="SDE55" s="2"/>
      <c r="SDF55" s="15"/>
      <c r="SDG55" s="42"/>
      <c r="SDH55" s="2"/>
      <c r="SDI55" s="2"/>
      <c r="SDJ55" s="2"/>
      <c r="SDK55" s="2"/>
      <c r="SDL55" s="42"/>
      <c r="SDM55" s="42"/>
      <c r="SDN55" s="42"/>
      <c r="SDO55" s="42"/>
      <c r="SDP55" s="42"/>
      <c r="SDQ55" s="42"/>
      <c r="SDR55" s="42"/>
      <c r="SDS55" s="42"/>
      <c r="SDT55" s="42"/>
      <c r="SDU55" s="42"/>
      <c r="SDV55" s="42"/>
      <c r="SDW55" s="42"/>
      <c r="SDX55" s="42"/>
      <c r="SDY55" s="42"/>
      <c r="SDZ55" s="42"/>
      <c r="SEA55" s="42"/>
      <c r="SEB55" s="42"/>
      <c r="SEC55" s="42"/>
      <c r="SED55" s="42"/>
      <c r="SEE55" s="42"/>
      <c r="SEF55" s="42"/>
      <c r="SEG55" s="42"/>
      <c r="SEH55" s="42"/>
      <c r="SEI55" s="2"/>
      <c r="SEJ55" s="15"/>
      <c r="SEK55" s="42"/>
      <c r="SEL55" s="2"/>
      <c r="SEM55" s="2"/>
      <c r="SEN55" s="2"/>
      <c r="SEO55" s="2"/>
      <c r="SEP55" s="42"/>
      <c r="SEQ55" s="42"/>
      <c r="SER55" s="42"/>
      <c r="SES55" s="42"/>
      <c r="SET55" s="42"/>
      <c r="SEU55" s="42"/>
      <c r="SEV55" s="42"/>
      <c r="SEW55" s="42"/>
      <c r="SEX55" s="42"/>
      <c r="SEY55" s="42"/>
      <c r="SEZ55" s="42"/>
      <c r="SFA55" s="42"/>
      <c r="SFB55" s="42"/>
      <c r="SFC55" s="42"/>
      <c r="SFD55" s="42"/>
      <c r="SFE55" s="42"/>
      <c r="SFF55" s="42"/>
      <c r="SFG55" s="42"/>
      <c r="SFH55" s="42"/>
      <c r="SFI55" s="42"/>
      <c r="SFJ55" s="42"/>
      <c r="SFK55" s="42"/>
      <c r="SFL55" s="42"/>
      <c r="SFM55" s="2"/>
      <c r="SFN55" s="15"/>
      <c r="SFO55" s="42"/>
      <c r="SFP55" s="2"/>
      <c r="SFQ55" s="2"/>
      <c r="SFR55" s="2"/>
      <c r="SFS55" s="2"/>
      <c r="SFT55" s="42"/>
      <c r="SFU55" s="42"/>
      <c r="SFV55" s="42"/>
      <c r="SFW55" s="42"/>
      <c r="SFX55" s="42"/>
      <c r="SFY55" s="42"/>
      <c r="SFZ55" s="42"/>
      <c r="SGA55" s="42"/>
      <c r="SGB55" s="42"/>
      <c r="SGC55" s="42"/>
      <c r="SGD55" s="42"/>
      <c r="SGE55" s="42"/>
      <c r="SGF55" s="42"/>
      <c r="SGG55" s="42"/>
      <c r="SGH55" s="42"/>
      <c r="SGI55" s="42"/>
      <c r="SGJ55" s="42"/>
      <c r="SGK55" s="42"/>
      <c r="SGL55" s="42"/>
      <c r="SGM55" s="42"/>
      <c r="SGN55" s="42"/>
      <c r="SGO55" s="42"/>
      <c r="SGP55" s="42"/>
      <c r="SGQ55" s="2"/>
      <c r="SGR55" s="15"/>
      <c r="SGS55" s="42"/>
      <c r="SGT55" s="2"/>
      <c r="SGU55" s="2"/>
      <c r="SGV55" s="2"/>
      <c r="SGW55" s="2"/>
      <c r="SGX55" s="42"/>
      <c r="SGY55" s="42"/>
      <c r="SGZ55" s="42"/>
      <c r="SHA55" s="42"/>
      <c r="SHB55" s="42"/>
      <c r="SHC55" s="42"/>
      <c r="SHD55" s="42"/>
      <c r="SHE55" s="42"/>
      <c r="SHF55" s="42"/>
      <c r="SHG55" s="42"/>
      <c r="SHH55" s="42"/>
      <c r="SHI55" s="42"/>
      <c r="SHJ55" s="42"/>
      <c r="SHK55" s="42"/>
      <c r="SHL55" s="42"/>
      <c r="SHM55" s="42"/>
      <c r="SHN55" s="42"/>
      <c r="SHO55" s="42"/>
      <c r="SHP55" s="42"/>
      <c r="SHQ55" s="42"/>
      <c r="SHR55" s="42"/>
      <c r="SHS55" s="42"/>
      <c r="SHT55" s="42"/>
      <c r="SHU55" s="2"/>
      <c r="SHV55" s="15"/>
      <c r="SHW55" s="42"/>
      <c r="SHX55" s="2"/>
      <c r="SHY55" s="2"/>
      <c r="SHZ55" s="2"/>
      <c r="SIA55" s="2"/>
      <c r="SIB55" s="42"/>
      <c r="SIC55" s="42"/>
      <c r="SID55" s="42"/>
      <c r="SIE55" s="42"/>
      <c r="SIF55" s="42"/>
      <c r="SIG55" s="42"/>
      <c r="SIH55" s="42"/>
      <c r="SII55" s="42"/>
      <c r="SIJ55" s="42"/>
      <c r="SIK55" s="42"/>
      <c r="SIL55" s="42"/>
      <c r="SIM55" s="42"/>
      <c r="SIN55" s="42"/>
      <c r="SIO55" s="42"/>
      <c r="SIP55" s="42"/>
      <c r="SIQ55" s="42"/>
      <c r="SIR55" s="42"/>
      <c r="SIS55" s="42"/>
      <c r="SIT55" s="42"/>
      <c r="SIU55" s="42"/>
      <c r="SIV55" s="42"/>
      <c r="SIW55" s="42"/>
      <c r="SIX55" s="42"/>
      <c r="SIY55" s="2"/>
      <c r="SIZ55" s="15"/>
      <c r="SJA55" s="42"/>
      <c r="SJB55" s="2"/>
      <c r="SJC55" s="2"/>
      <c r="SJD55" s="2"/>
      <c r="SJE55" s="2"/>
      <c r="SJF55" s="42"/>
      <c r="SJG55" s="42"/>
      <c r="SJH55" s="42"/>
      <c r="SJI55" s="42"/>
      <c r="SJJ55" s="42"/>
      <c r="SJK55" s="42"/>
      <c r="SJL55" s="42"/>
      <c r="SJM55" s="42"/>
      <c r="SJN55" s="42"/>
      <c r="SJO55" s="42"/>
      <c r="SJP55" s="42"/>
      <c r="SJQ55" s="42"/>
      <c r="SJR55" s="42"/>
      <c r="SJS55" s="42"/>
      <c r="SJT55" s="42"/>
      <c r="SJU55" s="42"/>
      <c r="SJV55" s="42"/>
      <c r="SJW55" s="42"/>
      <c r="SJX55" s="42"/>
      <c r="SJY55" s="42"/>
      <c r="SJZ55" s="42"/>
      <c r="SKA55" s="42"/>
      <c r="SKB55" s="42"/>
      <c r="SKC55" s="2"/>
      <c r="SKD55" s="15"/>
      <c r="SKE55" s="42"/>
      <c r="SKF55" s="2"/>
      <c r="SKG55" s="2"/>
      <c r="SKH55" s="2"/>
      <c r="SKI55" s="2"/>
      <c r="SKJ55" s="42"/>
      <c r="SKK55" s="42"/>
      <c r="SKL55" s="42"/>
      <c r="SKM55" s="42"/>
      <c r="SKN55" s="42"/>
      <c r="SKO55" s="42"/>
      <c r="SKP55" s="42"/>
      <c r="SKQ55" s="42"/>
      <c r="SKR55" s="42"/>
      <c r="SKS55" s="42"/>
      <c r="SKT55" s="42"/>
      <c r="SKU55" s="42"/>
      <c r="SKV55" s="42"/>
      <c r="SKW55" s="42"/>
      <c r="SKX55" s="42"/>
      <c r="SKY55" s="42"/>
      <c r="SKZ55" s="42"/>
      <c r="SLA55" s="42"/>
      <c r="SLB55" s="42"/>
      <c r="SLC55" s="42"/>
      <c r="SLD55" s="42"/>
      <c r="SLE55" s="42"/>
      <c r="SLF55" s="42"/>
      <c r="SLG55" s="2"/>
      <c r="SLH55" s="15"/>
      <c r="SLI55" s="42"/>
      <c r="SLJ55" s="2"/>
      <c r="SLK55" s="2"/>
      <c r="SLL55" s="2"/>
      <c r="SLM55" s="2"/>
      <c r="SLN55" s="42"/>
      <c r="SLO55" s="42"/>
      <c r="SLP55" s="42"/>
      <c r="SLQ55" s="42"/>
      <c r="SLR55" s="42"/>
      <c r="SLS55" s="42"/>
      <c r="SLT55" s="42"/>
      <c r="SLU55" s="42"/>
      <c r="SLV55" s="42"/>
      <c r="SLW55" s="42"/>
      <c r="SLX55" s="42"/>
      <c r="SLY55" s="42"/>
      <c r="SLZ55" s="42"/>
      <c r="SMA55" s="42"/>
      <c r="SMB55" s="42"/>
      <c r="SMC55" s="42"/>
      <c r="SMD55" s="42"/>
      <c r="SME55" s="42"/>
      <c r="SMF55" s="42"/>
      <c r="SMG55" s="42"/>
      <c r="SMH55" s="42"/>
      <c r="SMI55" s="42"/>
      <c r="SMJ55" s="42"/>
      <c r="SMK55" s="2"/>
      <c r="SML55" s="15"/>
      <c r="SMM55" s="42"/>
      <c r="SMN55" s="2"/>
      <c r="SMO55" s="2"/>
      <c r="SMP55" s="2"/>
      <c r="SMQ55" s="2"/>
      <c r="SMR55" s="42"/>
      <c r="SMS55" s="42"/>
      <c r="SMT55" s="42"/>
      <c r="SMU55" s="42"/>
      <c r="SMV55" s="42"/>
      <c r="SMW55" s="42"/>
      <c r="SMX55" s="42"/>
      <c r="SMY55" s="42"/>
      <c r="SMZ55" s="42"/>
      <c r="SNA55" s="42"/>
      <c r="SNB55" s="42"/>
      <c r="SNC55" s="42"/>
      <c r="SND55" s="42"/>
      <c r="SNE55" s="42"/>
      <c r="SNF55" s="42"/>
      <c r="SNG55" s="42"/>
      <c r="SNH55" s="42"/>
      <c r="SNI55" s="42"/>
      <c r="SNJ55" s="42"/>
      <c r="SNK55" s="42"/>
      <c r="SNL55" s="42"/>
      <c r="SNM55" s="42"/>
      <c r="SNN55" s="42"/>
      <c r="SNO55" s="2"/>
      <c r="SNP55" s="15"/>
      <c r="SNQ55" s="42"/>
      <c r="SNR55" s="2"/>
      <c r="SNS55" s="2"/>
      <c r="SNT55" s="2"/>
      <c r="SNU55" s="2"/>
      <c r="SNV55" s="42"/>
      <c r="SNW55" s="42"/>
      <c r="SNX55" s="42"/>
      <c r="SNY55" s="42"/>
      <c r="SNZ55" s="42"/>
      <c r="SOA55" s="42"/>
      <c r="SOB55" s="42"/>
      <c r="SOC55" s="42"/>
      <c r="SOD55" s="42"/>
      <c r="SOE55" s="42"/>
      <c r="SOF55" s="42"/>
      <c r="SOG55" s="42"/>
      <c r="SOH55" s="42"/>
      <c r="SOI55" s="42"/>
      <c r="SOJ55" s="42"/>
      <c r="SOK55" s="42"/>
      <c r="SOL55" s="42"/>
      <c r="SOM55" s="42"/>
      <c r="SON55" s="42"/>
      <c r="SOO55" s="42"/>
      <c r="SOP55" s="42"/>
      <c r="SOQ55" s="42"/>
      <c r="SOR55" s="42"/>
      <c r="SOS55" s="2"/>
      <c r="SOT55" s="15"/>
      <c r="SOU55" s="42"/>
      <c r="SOV55" s="2"/>
      <c r="SOW55" s="2"/>
      <c r="SOX55" s="2"/>
      <c r="SOY55" s="2"/>
      <c r="SOZ55" s="42"/>
      <c r="SPA55" s="42"/>
      <c r="SPB55" s="42"/>
      <c r="SPC55" s="42"/>
      <c r="SPD55" s="42"/>
      <c r="SPE55" s="42"/>
      <c r="SPF55" s="42"/>
      <c r="SPG55" s="42"/>
      <c r="SPH55" s="42"/>
      <c r="SPI55" s="42"/>
      <c r="SPJ55" s="42"/>
      <c r="SPK55" s="42"/>
      <c r="SPL55" s="42"/>
      <c r="SPM55" s="42"/>
      <c r="SPN55" s="42"/>
      <c r="SPO55" s="42"/>
      <c r="SPP55" s="42"/>
      <c r="SPQ55" s="42"/>
      <c r="SPR55" s="42"/>
      <c r="SPS55" s="42"/>
      <c r="SPT55" s="42"/>
      <c r="SPU55" s="42"/>
      <c r="SPV55" s="42"/>
      <c r="SPW55" s="2"/>
      <c r="SPX55" s="15"/>
      <c r="SPY55" s="42"/>
      <c r="SPZ55" s="2"/>
      <c r="SQA55" s="2"/>
      <c r="SQB55" s="2"/>
      <c r="SQC55" s="2"/>
      <c r="SQD55" s="42"/>
      <c r="SQE55" s="42"/>
      <c r="SQF55" s="42"/>
      <c r="SQG55" s="42"/>
      <c r="SQH55" s="42"/>
      <c r="SQI55" s="42"/>
      <c r="SQJ55" s="42"/>
      <c r="SQK55" s="42"/>
      <c r="SQL55" s="42"/>
      <c r="SQM55" s="42"/>
      <c r="SQN55" s="42"/>
      <c r="SQO55" s="42"/>
      <c r="SQP55" s="42"/>
      <c r="SQQ55" s="42"/>
      <c r="SQR55" s="42"/>
      <c r="SQS55" s="42"/>
      <c r="SQT55" s="42"/>
      <c r="SQU55" s="42"/>
      <c r="SQV55" s="42"/>
      <c r="SQW55" s="42"/>
      <c r="SQX55" s="42"/>
      <c r="SQY55" s="42"/>
      <c r="SQZ55" s="42"/>
      <c r="SRA55" s="2"/>
      <c r="SRB55" s="15"/>
      <c r="SRC55" s="42"/>
      <c r="SRD55" s="2"/>
      <c r="SRE55" s="2"/>
      <c r="SRF55" s="2"/>
      <c r="SRG55" s="2"/>
      <c r="SRH55" s="42"/>
      <c r="SRI55" s="42"/>
      <c r="SRJ55" s="42"/>
      <c r="SRK55" s="42"/>
      <c r="SRL55" s="42"/>
      <c r="SRM55" s="42"/>
      <c r="SRN55" s="42"/>
      <c r="SRO55" s="42"/>
      <c r="SRP55" s="42"/>
      <c r="SRQ55" s="42"/>
      <c r="SRR55" s="42"/>
      <c r="SRS55" s="42"/>
      <c r="SRT55" s="42"/>
      <c r="SRU55" s="42"/>
      <c r="SRV55" s="42"/>
      <c r="SRW55" s="42"/>
      <c r="SRX55" s="42"/>
      <c r="SRY55" s="42"/>
      <c r="SRZ55" s="42"/>
      <c r="SSA55" s="42"/>
      <c r="SSB55" s="42"/>
      <c r="SSC55" s="42"/>
      <c r="SSD55" s="42"/>
      <c r="SSE55" s="2"/>
      <c r="SSF55" s="15"/>
      <c r="SSG55" s="42"/>
      <c r="SSH55" s="2"/>
      <c r="SSI55" s="2"/>
      <c r="SSJ55" s="2"/>
      <c r="SSK55" s="2"/>
      <c r="SSL55" s="42"/>
      <c r="SSM55" s="42"/>
      <c r="SSN55" s="42"/>
      <c r="SSO55" s="42"/>
      <c r="SSP55" s="42"/>
      <c r="SSQ55" s="42"/>
      <c r="SSR55" s="42"/>
      <c r="SSS55" s="42"/>
      <c r="SST55" s="42"/>
      <c r="SSU55" s="42"/>
      <c r="SSV55" s="42"/>
      <c r="SSW55" s="42"/>
      <c r="SSX55" s="42"/>
      <c r="SSY55" s="42"/>
      <c r="SSZ55" s="42"/>
      <c r="STA55" s="42"/>
      <c r="STB55" s="42"/>
      <c r="STC55" s="42"/>
      <c r="STD55" s="42"/>
      <c r="STE55" s="42"/>
      <c r="STF55" s="42"/>
      <c r="STG55" s="42"/>
      <c r="STH55" s="42"/>
      <c r="STI55" s="2"/>
      <c r="STJ55" s="15"/>
      <c r="STK55" s="42"/>
      <c r="STL55" s="2"/>
      <c r="STM55" s="2"/>
      <c r="STN55" s="2"/>
      <c r="STO55" s="2"/>
      <c r="STP55" s="42"/>
      <c r="STQ55" s="42"/>
      <c r="STR55" s="42"/>
      <c r="STS55" s="42"/>
      <c r="STT55" s="42"/>
      <c r="STU55" s="42"/>
      <c r="STV55" s="42"/>
      <c r="STW55" s="42"/>
      <c r="STX55" s="42"/>
      <c r="STY55" s="42"/>
      <c r="STZ55" s="42"/>
      <c r="SUA55" s="42"/>
      <c r="SUB55" s="42"/>
      <c r="SUC55" s="42"/>
      <c r="SUD55" s="42"/>
      <c r="SUE55" s="42"/>
      <c r="SUF55" s="42"/>
      <c r="SUG55" s="42"/>
      <c r="SUH55" s="42"/>
      <c r="SUI55" s="42"/>
      <c r="SUJ55" s="42"/>
      <c r="SUK55" s="42"/>
      <c r="SUL55" s="42"/>
      <c r="SUM55" s="2"/>
      <c r="SUN55" s="15"/>
      <c r="SUO55" s="42"/>
      <c r="SUP55" s="2"/>
      <c r="SUQ55" s="2"/>
      <c r="SUR55" s="2"/>
      <c r="SUS55" s="2"/>
      <c r="SUT55" s="42"/>
      <c r="SUU55" s="42"/>
      <c r="SUV55" s="42"/>
      <c r="SUW55" s="42"/>
      <c r="SUX55" s="42"/>
      <c r="SUY55" s="42"/>
      <c r="SUZ55" s="42"/>
      <c r="SVA55" s="42"/>
      <c r="SVB55" s="42"/>
      <c r="SVC55" s="42"/>
      <c r="SVD55" s="42"/>
      <c r="SVE55" s="42"/>
      <c r="SVF55" s="42"/>
      <c r="SVG55" s="42"/>
      <c r="SVH55" s="42"/>
      <c r="SVI55" s="42"/>
      <c r="SVJ55" s="42"/>
      <c r="SVK55" s="42"/>
      <c r="SVL55" s="42"/>
      <c r="SVM55" s="42"/>
      <c r="SVN55" s="42"/>
      <c r="SVO55" s="42"/>
      <c r="SVP55" s="42"/>
      <c r="SVQ55" s="2"/>
      <c r="SVR55" s="15"/>
      <c r="SVS55" s="42"/>
      <c r="SVT55" s="2"/>
      <c r="SVU55" s="2"/>
      <c r="SVV55" s="2"/>
      <c r="SVW55" s="2"/>
      <c r="SVX55" s="42"/>
      <c r="SVY55" s="42"/>
      <c r="SVZ55" s="42"/>
      <c r="SWA55" s="42"/>
      <c r="SWB55" s="42"/>
      <c r="SWC55" s="42"/>
      <c r="SWD55" s="42"/>
      <c r="SWE55" s="42"/>
      <c r="SWF55" s="42"/>
      <c r="SWG55" s="42"/>
      <c r="SWH55" s="42"/>
      <c r="SWI55" s="42"/>
      <c r="SWJ55" s="42"/>
      <c r="SWK55" s="42"/>
      <c r="SWL55" s="42"/>
      <c r="SWM55" s="42"/>
      <c r="SWN55" s="42"/>
      <c r="SWO55" s="42"/>
      <c r="SWP55" s="42"/>
      <c r="SWQ55" s="42"/>
      <c r="SWR55" s="42"/>
      <c r="SWS55" s="42"/>
      <c r="SWT55" s="42"/>
      <c r="SWU55" s="2"/>
      <c r="SWV55" s="15"/>
      <c r="SWW55" s="42"/>
      <c r="SWX55" s="2"/>
      <c r="SWY55" s="2"/>
      <c r="SWZ55" s="2"/>
      <c r="SXA55" s="2"/>
      <c r="SXB55" s="42"/>
      <c r="SXC55" s="42"/>
      <c r="SXD55" s="42"/>
      <c r="SXE55" s="42"/>
      <c r="SXF55" s="42"/>
      <c r="SXG55" s="42"/>
      <c r="SXH55" s="42"/>
      <c r="SXI55" s="42"/>
      <c r="SXJ55" s="42"/>
      <c r="SXK55" s="42"/>
      <c r="SXL55" s="42"/>
      <c r="SXM55" s="42"/>
      <c r="SXN55" s="42"/>
      <c r="SXO55" s="42"/>
      <c r="SXP55" s="42"/>
      <c r="SXQ55" s="42"/>
      <c r="SXR55" s="42"/>
      <c r="SXS55" s="42"/>
      <c r="SXT55" s="42"/>
      <c r="SXU55" s="42"/>
      <c r="SXV55" s="42"/>
      <c r="SXW55" s="42"/>
      <c r="SXX55" s="42"/>
      <c r="SXY55" s="2"/>
      <c r="SXZ55" s="15"/>
      <c r="SYA55" s="42"/>
      <c r="SYB55" s="2"/>
      <c r="SYC55" s="2"/>
      <c r="SYD55" s="2"/>
      <c r="SYE55" s="2"/>
      <c r="SYF55" s="42"/>
      <c r="SYG55" s="42"/>
      <c r="SYH55" s="42"/>
      <c r="SYI55" s="42"/>
      <c r="SYJ55" s="42"/>
      <c r="SYK55" s="42"/>
      <c r="SYL55" s="42"/>
      <c r="SYM55" s="42"/>
      <c r="SYN55" s="42"/>
      <c r="SYO55" s="42"/>
      <c r="SYP55" s="42"/>
      <c r="SYQ55" s="42"/>
      <c r="SYR55" s="42"/>
      <c r="SYS55" s="42"/>
      <c r="SYT55" s="42"/>
      <c r="SYU55" s="42"/>
      <c r="SYV55" s="42"/>
      <c r="SYW55" s="42"/>
      <c r="SYX55" s="42"/>
      <c r="SYY55" s="42"/>
      <c r="SYZ55" s="42"/>
      <c r="SZA55" s="42"/>
      <c r="SZB55" s="42"/>
      <c r="SZC55" s="2"/>
      <c r="SZD55" s="15"/>
      <c r="SZE55" s="42"/>
      <c r="SZF55" s="2"/>
      <c r="SZG55" s="2"/>
      <c r="SZH55" s="2"/>
      <c r="SZI55" s="2"/>
      <c r="SZJ55" s="42"/>
      <c r="SZK55" s="42"/>
      <c r="SZL55" s="42"/>
      <c r="SZM55" s="42"/>
      <c r="SZN55" s="42"/>
      <c r="SZO55" s="42"/>
      <c r="SZP55" s="42"/>
      <c r="SZQ55" s="42"/>
      <c r="SZR55" s="42"/>
      <c r="SZS55" s="42"/>
      <c r="SZT55" s="42"/>
      <c r="SZU55" s="42"/>
      <c r="SZV55" s="42"/>
      <c r="SZW55" s="42"/>
      <c r="SZX55" s="42"/>
      <c r="SZY55" s="42"/>
      <c r="SZZ55" s="42"/>
      <c r="TAA55" s="42"/>
      <c r="TAB55" s="42"/>
      <c r="TAC55" s="42"/>
      <c r="TAD55" s="42"/>
      <c r="TAE55" s="42"/>
      <c r="TAF55" s="42"/>
      <c r="TAG55" s="2"/>
      <c r="TAH55" s="15"/>
      <c r="TAI55" s="42"/>
      <c r="TAJ55" s="2"/>
      <c r="TAK55" s="2"/>
      <c r="TAL55" s="2"/>
      <c r="TAM55" s="2"/>
      <c r="TAN55" s="42"/>
      <c r="TAO55" s="42"/>
      <c r="TAP55" s="42"/>
      <c r="TAQ55" s="42"/>
      <c r="TAR55" s="42"/>
      <c r="TAS55" s="42"/>
      <c r="TAT55" s="42"/>
      <c r="TAU55" s="42"/>
      <c r="TAV55" s="42"/>
      <c r="TAW55" s="42"/>
      <c r="TAX55" s="42"/>
      <c r="TAY55" s="42"/>
      <c r="TAZ55" s="42"/>
      <c r="TBA55" s="42"/>
      <c r="TBB55" s="42"/>
      <c r="TBC55" s="42"/>
      <c r="TBD55" s="42"/>
      <c r="TBE55" s="42"/>
      <c r="TBF55" s="42"/>
      <c r="TBG55" s="42"/>
      <c r="TBH55" s="42"/>
      <c r="TBI55" s="42"/>
      <c r="TBJ55" s="42"/>
      <c r="TBK55" s="2"/>
      <c r="TBL55" s="15"/>
      <c r="TBM55" s="42"/>
      <c r="TBN55" s="2"/>
      <c r="TBO55" s="2"/>
      <c r="TBP55" s="2"/>
      <c r="TBQ55" s="2"/>
      <c r="TBR55" s="42"/>
      <c r="TBS55" s="42"/>
      <c r="TBT55" s="42"/>
      <c r="TBU55" s="42"/>
      <c r="TBV55" s="42"/>
      <c r="TBW55" s="42"/>
      <c r="TBX55" s="42"/>
      <c r="TBY55" s="42"/>
      <c r="TBZ55" s="42"/>
      <c r="TCA55" s="42"/>
      <c r="TCB55" s="42"/>
      <c r="TCC55" s="42"/>
      <c r="TCD55" s="42"/>
      <c r="TCE55" s="42"/>
      <c r="TCF55" s="42"/>
      <c r="TCG55" s="42"/>
      <c r="TCH55" s="42"/>
      <c r="TCI55" s="42"/>
      <c r="TCJ55" s="42"/>
      <c r="TCK55" s="42"/>
      <c r="TCL55" s="42"/>
      <c r="TCM55" s="42"/>
      <c r="TCN55" s="42"/>
      <c r="TCO55" s="2"/>
      <c r="TCP55" s="15"/>
      <c r="TCQ55" s="42"/>
      <c r="TCR55" s="2"/>
      <c r="TCS55" s="2"/>
      <c r="TCT55" s="2"/>
      <c r="TCU55" s="2"/>
      <c r="TCV55" s="42"/>
      <c r="TCW55" s="42"/>
      <c r="TCX55" s="42"/>
      <c r="TCY55" s="42"/>
      <c r="TCZ55" s="42"/>
      <c r="TDA55" s="42"/>
      <c r="TDB55" s="42"/>
      <c r="TDC55" s="42"/>
      <c r="TDD55" s="42"/>
      <c r="TDE55" s="42"/>
      <c r="TDF55" s="42"/>
      <c r="TDG55" s="42"/>
      <c r="TDH55" s="42"/>
      <c r="TDI55" s="42"/>
      <c r="TDJ55" s="42"/>
      <c r="TDK55" s="42"/>
      <c r="TDL55" s="42"/>
      <c r="TDM55" s="42"/>
      <c r="TDN55" s="42"/>
      <c r="TDO55" s="42"/>
      <c r="TDP55" s="42"/>
      <c r="TDQ55" s="42"/>
      <c r="TDR55" s="42"/>
      <c r="TDS55" s="2"/>
      <c r="TDT55" s="15"/>
      <c r="TDU55" s="42"/>
      <c r="TDV55" s="2"/>
      <c r="TDW55" s="2"/>
      <c r="TDX55" s="2"/>
      <c r="TDY55" s="2"/>
      <c r="TDZ55" s="42"/>
      <c r="TEA55" s="42"/>
      <c r="TEB55" s="42"/>
      <c r="TEC55" s="42"/>
      <c r="TED55" s="42"/>
      <c r="TEE55" s="42"/>
      <c r="TEF55" s="42"/>
      <c r="TEG55" s="42"/>
      <c r="TEH55" s="42"/>
      <c r="TEI55" s="42"/>
      <c r="TEJ55" s="42"/>
      <c r="TEK55" s="42"/>
      <c r="TEL55" s="42"/>
      <c r="TEM55" s="42"/>
      <c r="TEN55" s="42"/>
      <c r="TEO55" s="42"/>
      <c r="TEP55" s="42"/>
      <c r="TEQ55" s="42"/>
      <c r="TER55" s="42"/>
      <c r="TES55" s="42"/>
      <c r="TET55" s="42"/>
      <c r="TEU55" s="42"/>
      <c r="TEV55" s="42"/>
      <c r="TEW55" s="2"/>
      <c r="TEX55" s="15"/>
      <c r="TEY55" s="42"/>
      <c r="TEZ55" s="2"/>
      <c r="TFA55" s="2"/>
      <c r="TFB55" s="2"/>
      <c r="TFC55" s="2"/>
      <c r="TFD55" s="42"/>
      <c r="TFE55" s="42"/>
      <c r="TFF55" s="42"/>
      <c r="TFG55" s="42"/>
      <c r="TFH55" s="42"/>
      <c r="TFI55" s="42"/>
      <c r="TFJ55" s="42"/>
      <c r="TFK55" s="42"/>
      <c r="TFL55" s="42"/>
      <c r="TFM55" s="42"/>
      <c r="TFN55" s="42"/>
      <c r="TFO55" s="42"/>
      <c r="TFP55" s="42"/>
      <c r="TFQ55" s="42"/>
      <c r="TFR55" s="42"/>
      <c r="TFS55" s="42"/>
      <c r="TFT55" s="42"/>
      <c r="TFU55" s="42"/>
      <c r="TFV55" s="42"/>
      <c r="TFW55" s="42"/>
      <c r="TFX55" s="42"/>
      <c r="TFY55" s="42"/>
      <c r="TFZ55" s="42"/>
      <c r="TGA55" s="2"/>
      <c r="TGB55" s="15"/>
      <c r="TGC55" s="42"/>
      <c r="TGD55" s="2"/>
      <c r="TGE55" s="2"/>
      <c r="TGF55" s="2"/>
      <c r="TGG55" s="2"/>
      <c r="TGH55" s="42"/>
      <c r="TGI55" s="42"/>
      <c r="TGJ55" s="42"/>
      <c r="TGK55" s="42"/>
      <c r="TGL55" s="42"/>
      <c r="TGM55" s="42"/>
      <c r="TGN55" s="42"/>
      <c r="TGO55" s="42"/>
      <c r="TGP55" s="42"/>
      <c r="TGQ55" s="42"/>
      <c r="TGR55" s="42"/>
      <c r="TGS55" s="42"/>
      <c r="TGT55" s="42"/>
      <c r="TGU55" s="42"/>
      <c r="TGV55" s="42"/>
      <c r="TGW55" s="42"/>
      <c r="TGX55" s="42"/>
      <c r="TGY55" s="42"/>
      <c r="TGZ55" s="42"/>
      <c r="THA55" s="42"/>
      <c r="THB55" s="42"/>
      <c r="THC55" s="42"/>
      <c r="THD55" s="42"/>
      <c r="THE55" s="2"/>
      <c r="THF55" s="15"/>
      <c r="THG55" s="42"/>
      <c r="THH55" s="2"/>
      <c r="THI55" s="2"/>
      <c r="THJ55" s="2"/>
      <c r="THK55" s="2"/>
      <c r="THL55" s="42"/>
      <c r="THM55" s="42"/>
      <c r="THN55" s="42"/>
      <c r="THO55" s="42"/>
      <c r="THP55" s="42"/>
      <c r="THQ55" s="42"/>
      <c r="THR55" s="42"/>
      <c r="THS55" s="42"/>
      <c r="THT55" s="42"/>
      <c r="THU55" s="42"/>
      <c r="THV55" s="42"/>
      <c r="THW55" s="42"/>
      <c r="THX55" s="42"/>
      <c r="THY55" s="42"/>
      <c r="THZ55" s="42"/>
      <c r="TIA55" s="42"/>
      <c r="TIB55" s="42"/>
      <c r="TIC55" s="42"/>
      <c r="TID55" s="42"/>
      <c r="TIE55" s="42"/>
      <c r="TIF55" s="42"/>
      <c r="TIG55" s="42"/>
      <c r="TIH55" s="42"/>
      <c r="TII55" s="2"/>
      <c r="TIJ55" s="15"/>
      <c r="TIK55" s="42"/>
      <c r="TIL55" s="2"/>
      <c r="TIM55" s="2"/>
      <c r="TIN55" s="2"/>
      <c r="TIO55" s="2"/>
      <c r="TIP55" s="42"/>
      <c r="TIQ55" s="42"/>
      <c r="TIR55" s="42"/>
      <c r="TIS55" s="42"/>
      <c r="TIT55" s="42"/>
      <c r="TIU55" s="42"/>
      <c r="TIV55" s="42"/>
      <c r="TIW55" s="42"/>
      <c r="TIX55" s="42"/>
      <c r="TIY55" s="42"/>
      <c r="TIZ55" s="42"/>
      <c r="TJA55" s="42"/>
      <c r="TJB55" s="42"/>
      <c r="TJC55" s="42"/>
      <c r="TJD55" s="42"/>
      <c r="TJE55" s="42"/>
      <c r="TJF55" s="42"/>
      <c r="TJG55" s="42"/>
      <c r="TJH55" s="42"/>
      <c r="TJI55" s="42"/>
      <c r="TJJ55" s="42"/>
      <c r="TJK55" s="42"/>
      <c r="TJL55" s="42"/>
      <c r="TJM55" s="2"/>
      <c r="TJN55" s="15"/>
      <c r="TJO55" s="42"/>
      <c r="TJP55" s="2"/>
      <c r="TJQ55" s="2"/>
      <c r="TJR55" s="2"/>
      <c r="TJS55" s="2"/>
      <c r="TJT55" s="42"/>
      <c r="TJU55" s="42"/>
      <c r="TJV55" s="42"/>
      <c r="TJW55" s="42"/>
      <c r="TJX55" s="42"/>
      <c r="TJY55" s="42"/>
      <c r="TJZ55" s="42"/>
      <c r="TKA55" s="42"/>
      <c r="TKB55" s="42"/>
      <c r="TKC55" s="42"/>
      <c r="TKD55" s="42"/>
      <c r="TKE55" s="42"/>
      <c r="TKF55" s="42"/>
      <c r="TKG55" s="42"/>
      <c r="TKH55" s="42"/>
      <c r="TKI55" s="42"/>
      <c r="TKJ55" s="42"/>
      <c r="TKK55" s="42"/>
      <c r="TKL55" s="42"/>
      <c r="TKM55" s="42"/>
      <c r="TKN55" s="42"/>
      <c r="TKO55" s="42"/>
      <c r="TKP55" s="42"/>
      <c r="TKQ55" s="2"/>
      <c r="TKR55" s="15"/>
      <c r="TKS55" s="42"/>
      <c r="TKT55" s="2"/>
      <c r="TKU55" s="2"/>
      <c r="TKV55" s="2"/>
      <c r="TKW55" s="2"/>
      <c r="TKX55" s="42"/>
      <c r="TKY55" s="42"/>
      <c r="TKZ55" s="42"/>
      <c r="TLA55" s="42"/>
      <c r="TLB55" s="42"/>
      <c r="TLC55" s="42"/>
      <c r="TLD55" s="42"/>
      <c r="TLE55" s="42"/>
      <c r="TLF55" s="42"/>
      <c r="TLG55" s="42"/>
      <c r="TLH55" s="42"/>
      <c r="TLI55" s="42"/>
      <c r="TLJ55" s="42"/>
      <c r="TLK55" s="42"/>
      <c r="TLL55" s="42"/>
      <c r="TLM55" s="42"/>
      <c r="TLN55" s="42"/>
      <c r="TLO55" s="42"/>
      <c r="TLP55" s="42"/>
      <c r="TLQ55" s="42"/>
      <c r="TLR55" s="42"/>
      <c r="TLS55" s="42"/>
      <c r="TLT55" s="42"/>
      <c r="TLU55" s="2"/>
      <c r="TLV55" s="15"/>
      <c r="TLW55" s="42"/>
      <c r="TLX55" s="2"/>
      <c r="TLY55" s="2"/>
      <c r="TLZ55" s="2"/>
      <c r="TMA55" s="2"/>
      <c r="TMB55" s="42"/>
      <c r="TMC55" s="42"/>
      <c r="TMD55" s="42"/>
      <c r="TME55" s="42"/>
      <c r="TMF55" s="42"/>
      <c r="TMG55" s="42"/>
      <c r="TMH55" s="42"/>
      <c r="TMI55" s="42"/>
      <c r="TMJ55" s="42"/>
      <c r="TMK55" s="42"/>
      <c r="TML55" s="42"/>
      <c r="TMM55" s="42"/>
      <c r="TMN55" s="42"/>
      <c r="TMO55" s="42"/>
      <c r="TMP55" s="42"/>
      <c r="TMQ55" s="42"/>
      <c r="TMR55" s="42"/>
      <c r="TMS55" s="42"/>
      <c r="TMT55" s="42"/>
      <c r="TMU55" s="42"/>
      <c r="TMV55" s="42"/>
      <c r="TMW55" s="42"/>
      <c r="TMX55" s="42"/>
      <c r="TMY55" s="2"/>
      <c r="TMZ55" s="15"/>
      <c r="TNA55" s="42"/>
      <c r="TNB55" s="2"/>
      <c r="TNC55" s="2"/>
      <c r="TND55" s="2"/>
      <c r="TNE55" s="2"/>
      <c r="TNF55" s="42"/>
      <c r="TNG55" s="42"/>
      <c r="TNH55" s="42"/>
      <c r="TNI55" s="42"/>
      <c r="TNJ55" s="42"/>
      <c r="TNK55" s="42"/>
      <c r="TNL55" s="42"/>
      <c r="TNM55" s="42"/>
      <c r="TNN55" s="42"/>
      <c r="TNO55" s="42"/>
      <c r="TNP55" s="42"/>
      <c r="TNQ55" s="42"/>
      <c r="TNR55" s="42"/>
      <c r="TNS55" s="42"/>
      <c r="TNT55" s="42"/>
      <c r="TNU55" s="42"/>
      <c r="TNV55" s="42"/>
      <c r="TNW55" s="42"/>
      <c r="TNX55" s="42"/>
      <c r="TNY55" s="42"/>
      <c r="TNZ55" s="42"/>
      <c r="TOA55" s="42"/>
      <c r="TOB55" s="42"/>
      <c r="TOC55" s="2"/>
      <c r="TOD55" s="15"/>
      <c r="TOE55" s="42"/>
      <c r="TOF55" s="2"/>
      <c r="TOG55" s="2"/>
      <c r="TOH55" s="2"/>
      <c r="TOI55" s="2"/>
      <c r="TOJ55" s="42"/>
      <c r="TOK55" s="42"/>
      <c r="TOL55" s="42"/>
      <c r="TOM55" s="42"/>
      <c r="TON55" s="42"/>
      <c r="TOO55" s="42"/>
      <c r="TOP55" s="42"/>
      <c r="TOQ55" s="42"/>
      <c r="TOR55" s="42"/>
      <c r="TOS55" s="42"/>
      <c r="TOT55" s="42"/>
      <c r="TOU55" s="42"/>
      <c r="TOV55" s="42"/>
      <c r="TOW55" s="42"/>
      <c r="TOX55" s="42"/>
      <c r="TOY55" s="42"/>
      <c r="TOZ55" s="42"/>
      <c r="TPA55" s="42"/>
      <c r="TPB55" s="42"/>
      <c r="TPC55" s="42"/>
      <c r="TPD55" s="42"/>
      <c r="TPE55" s="42"/>
      <c r="TPF55" s="42"/>
      <c r="TPG55" s="2"/>
      <c r="TPH55" s="15"/>
      <c r="TPI55" s="42"/>
      <c r="TPJ55" s="2"/>
      <c r="TPK55" s="2"/>
      <c r="TPL55" s="2"/>
      <c r="TPM55" s="2"/>
      <c r="TPN55" s="42"/>
      <c r="TPO55" s="42"/>
      <c r="TPP55" s="42"/>
      <c r="TPQ55" s="42"/>
      <c r="TPR55" s="42"/>
      <c r="TPS55" s="42"/>
      <c r="TPT55" s="42"/>
      <c r="TPU55" s="42"/>
      <c r="TPV55" s="42"/>
      <c r="TPW55" s="42"/>
      <c r="TPX55" s="42"/>
      <c r="TPY55" s="42"/>
      <c r="TPZ55" s="42"/>
      <c r="TQA55" s="42"/>
      <c r="TQB55" s="42"/>
      <c r="TQC55" s="42"/>
      <c r="TQD55" s="42"/>
      <c r="TQE55" s="42"/>
      <c r="TQF55" s="42"/>
      <c r="TQG55" s="42"/>
      <c r="TQH55" s="42"/>
      <c r="TQI55" s="42"/>
      <c r="TQJ55" s="42"/>
      <c r="TQK55" s="2"/>
      <c r="TQL55" s="15"/>
      <c r="TQM55" s="42"/>
      <c r="TQN55" s="2"/>
      <c r="TQO55" s="2"/>
      <c r="TQP55" s="2"/>
      <c r="TQQ55" s="2"/>
      <c r="TQR55" s="42"/>
      <c r="TQS55" s="42"/>
      <c r="TQT55" s="42"/>
      <c r="TQU55" s="42"/>
      <c r="TQV55" s="42"/>
      <c r="TQW55" s="42"/>
      <c r="TQX55" s="42"/>
      <c r="TQY55" s="42"/>
      <c r="TQZ55" s="42"/>
      <c r="TRA55" s="42"/>
      <c r="TRB55" s="42"/>
      <c r="TRC55" s="42"/>
      <c r="TRD55" s="42"/>
      <c r="TRE55" s="42"/>
      <c r="TRF55" s="42"/>
      <c r="TRG55" s="42"/>
      <c r="TRH55" s="42"/>
      <c r="TRI55" s="42"/>
      <c r="TRJ55" s="42"/>
      <c r="TRK55" s="42"/>
      <c r="TRL55" s="42"/>
      <c r="TRM55" s="42"/>
      <c r="TRN55" s="42"/>
      <c r="TRO55" s="2"/>
      <c r="TRP55" s="15"/>
      <c r="TRQ55" s="42"/>
      <c r="TRR55" s="2"/>
      <c r="TRS55" s="2"/>
      <c r="TRT55" s="2"/>
      <c r="TRU55" s="2"/>
      <c r="TRV55" s="42"/>
      <c r="TRW55" s="42"/>
      <c r="TRX55" s="42"/>
      <c r="TRY55" s="42"/>
      <c r="TRZ55" s="42"/>
      <c r="TSA55" s="42"/>
      <c r="TSB55" s="42"/>
      <c r="TSC55" s="42"/>
      <c r="TSD55" s="42"/>
      <c r="TSE55" s="42"/>
      <c r="TSF55" s="42"/>
      <c r="TSG55" s="42"/>
      <c r="TSH55" s="42"/>
      <c r="TSI55" s="42"/>
      <c r="TSJ55" s="42"/>
      <c r="TSK55" s="42"/>
      <c r="TSL55" s="42"/>
      <c r="TSM55" s="42"/>
      <c r="TSN55" s="42"/>
      <c r="TSO55" s="42"/>
      <c r="TSP55" s="42"/>
      <c r="TSQ55" s="42"/>
      <c r="TSR55" s="42"/>
      <c r="TSS55" s="2"/>
      <c r="TST55" s="15"/>
      <c r="TSU55" s="42"/>
      <c r="TSV55" s="2"/>
      <c r="TSW55" s="2"/>
      <c r="TSX55" s="2"/>
      <c r="TSY55" s="2"/>
      <c r="TSZ55" s="42"/>
      <c r="TTA55" s="42"/>
      <c r="TTB55" s="42"/>
      <c r="TTC55" s="42"/>
      <c r="TTD55" s="42"/>
      <c r="TTE55" s="42"/>
      <c r="TTF55" s="42"/>
      <c r="TTG55" s="42"/>
      <c r="TTH55" s="42"/>
      <c r="TTI55" s="42"/>
      <c r="TTJ55" s="42"/>
      <c r="TTK55" s="42"/>
      <c r="TTL55" s="42"/>
      <c r="TTM55" s="42"/>
      <c r="TTN55" s="42"/>
      <c r="TTO55" s="42"/>
      <c r="TTP55" s="42"/>
      <c r="TTQ55" s="42"/>
      <c r="TTR55" s="42"/>
      <c r="TTS55" s="42"/>
      <c r="TTT55" s="42"/>
      <c r="TTU55" s="42"/>
      <c r="TTV55" s="42"/>
      <c r="TTW55" s="2"/>
      <c r="TTX55" s="15"/>
      <c r="TTY55" s="42"/>
      <c r="TTZ55" s="2"/>
      <c r="TUA55" s="2"/>
      <c r="TUB55" s="2"/>
      <c r="TUC55" s="2"/>
      <c r="TUD55" s="42"/>
      <c r="TUE55" s="42"/>
      <c r="TUF55" s="42"/>
      <c r="TUG55" s="42"/>
      <c r="TUH55" s="42"/>
      <c r="TUI55" s="42"/>
      <c r="TUJ55" s="42"/>
      <c r="TUK55" s="42"/>
      <c r="TUL55" s="42"/>
      <c r="TUM55" s="42"/>
      <c r="TUN55" s="42"/>
      <c r="TUO55" s="42"/>
      <c r="TUP55" s="42"/>
      <c r="TUQ55" s="42"/>
      <c r="TUR55" s="42"/>
      <c r="TUS55" s="42"/>
      <c r="TUT55" s="42"/>
      <c r="TUU55" s="42"/>
      <c r="TUV55" s="42"/>
      <c r="TUW55" s="42"/>
      <c r="TUX55" s="42"/>
      <c r="TUY55" s="42"/>
      <c r="TUZ55" s="42"/>
      <c r="TVA55" s="2"/>
      <c r="TVB55" s="15"/>
      <c r="TVC55" s="42"/>
      <c r="TVD55" s="2"/>
      <c r="TVE55" s="2"/>
      <c r="TVF55" s="2"/>
      <c r="TVG55" s="2"/>
      <c r="TVH55" s="42"/>
      <c r="TVI55" s="42"/>
      <c r="TVJ55" s="42"/>
      <c r="TVK55" s="42"/>
      <c r="TVL55" s="42"/>
      <c r="TVM55" s="42"/>
      <c r="TVN55" s="42"/>
      <c r="TVO55" s="42"/>
      <c r="TVP55" s="42"/>
      <c r="TVQ55" s="42"/>
      <c r="TVR55" s="42"/>
      <c r="TVS55" s="42"/>
      <c r="TVT55" s="42"/>
      <c r="TVU55" s="42"/>
      <c r="TVV55" s="42"/>
      <c r="TVW55" s="42"/>
      <c r="TVX55" s="42"/>
      <c r="TVY55" s="42"/>
      <c r="TVZ55" s="42"/>
      <c r="TWA55" s="42"/>
      <c r="TWB55" s="42"/>
      <c r="TWC55" s="42"/>
      <c r="TWD55" s="42"/>
      <c r="TWE55" s="2"/>
      <c r="TWF55" s="15"/>
      <c r="TWG55" s="42"/>
      <c r="TWH55" s="2"/>
      <c r="TWI55" s="2"/>
      <c r="TWJ55" s="2"/>
      <c r="TWK55" s="2"/>
      <c r="TWL55" s="42"/>
      <c r="TWM55" s="42"/>
      <c r="TWN55" s="42"/>
      <c r="TWO55" s="42"/>
      <c r="TWP55" s="42"/>
      <c r="TWQ55" s="42"/>
      <c r="TWR55" s="42"/>
      <c r="TWS55" s="42"/>
      <c r="TWT55" s="42"/>
      <c r="TWU55" s="42"/>
      <c r="TWV55" s="42"/>
      <c r="TWW55" s="42"/>
      <c r="TWX55" s="42"/>
      <c r="TWY55" s="42"/>
      <c r="TWZ55" s="42"/>
      <c r="TXA55" s="42"/>
      <c r="TXB55" s="42"/>
      <c r="TXC55" s="42"/>
      <c r="TXD55" s="42"/>
      <c r="TXE55" s="42"/>
      <c r="TXF55" s="42"/>
      <c r="TXG55" s="42"/>
      <c r="TXH55" s="42"/>
      <c r="TXI55" s="2"/>
      <c r="TXJ55" s="15"/>
      <c r="TXK55" s="42"/>
      <c r="TXL55" s="2"/>
      <c r="TXM55" s="2"/>
      <c r="TXN55" s="2"/>
      <c r="TXO55" s="2"/>
      <c r="TXP55" s="42"/>
      <c r="TXQ55" s="42"/>
      <c r="TXR55" s="42"/>
      <c r="TXS55" s="42"/>
      <c r="TXT55" s="42"/>
      <c r="TXU55" s="42"/>
      <c r="TXV55" s="42"/>
      <c r="TXW55" s="42"/>
      <c r="TXX55" s="42"/>
      <c r="TXY55" s="42"/>
      <c r="TXZ55" s="42"/>
      <c r="TYA55" s="42"/>
      <c r="TYB55" s="42"/>
      <c r="TYC55" s="42"/>
      <c r="TYD55" s="42"/>
      <c r="TYE55" s="42"/>
      <c r="TYF55" s="42"/>
      <c r="TYG55" s="42"/>
      <c r="TYH55" s="42"/>
      <c r="TYI55" s="42"/>
      <c r="TYJ55" s="42"/>
      <c r="TYK55" s="42"/>
      <c r="TYL55" s="42"/>
      <c r="TYM55" s="2"/>
      <c r="TYN55" s="15"/>
      <c r="TYO55" s="42"/>
      <c r="TYP55" s="2"/>
      <c r="TYQ55" s="2"/>
      <c r="TYR55" s="2"/>
      <c r="TYS55" s="2"/>
      <c r="TYT55" s="42"/>
      <c r="TYU55" s="42"/>
      <c r="TYV55" s="42"/>
      <c r="TYW55" s="42"/>
      <c r="TYX55" s="42"/>
      <c r="TYY55" s="42"/>
      <c r="TYZ55" s="42"/>
      <c r="TZA55" s="42"/>
      <c r="TZB55" s="42"/>
      <c r="TZC55" s="42"/>
      <c r="TZD55" s="42"/>
      <c r="TZE55" s="42"/>
      <c r="TZF55" s="42"/>
      <c r="TZG55" s="42"/>
      <c r="TZH55" s="42"/>
      <c r="TZI55" s="42"/>
      <c r="TZJ55" s="42"/>
      <c r="TZK55" s="42"/>
      <c r="TZL55" s="42"/>
      <c r="TZM55" s="42"/>
      <c r="TZN55" s="42"/>
      <c r="TZO55" s="42"/>
      <c r="TZP55" s="42"/>
      <c r="TZQ55" s="2"/>
      <c r="TZR55" s="15"/>
      <c r="TZS55" s="42"/>
      <c r="TZT55" s="2"/>
      <c r="TZU55" s="2"/>
      <c r="TZV55" s="2"/>
      <c r="TZW55" s="2"/>
      <c r="TZX55" s="42"/>
      <c r="TZY55" s="42"/>
      <c r="TZZ55" s="42"/>
      <c r="UAA55" s="42"/>
      <c r="UAB55" s="42"/>
      <c r="UAC55" s="42"/>
      <c r="UAD55" s="42"/>
      <c r="UAE55" s="42"/>
      <c r="UAF55" s="42"/>
      <c r="UAG55" s="42"/>
      <c r="UAH55" s="42"/>
      <c r="UAI55" s="42"/>
      <c r="UAJ55" s="42"/>
      <c r="UAK55" s="42"/>
      <c r="UAL55" s="42"/>
      <c r="UAM55" s="42"/>
      <c r="UAN55" s="42"/>
      <c r="UAO55" s="42"/>
      <c r="UAP55" s="42"/>
      <c r="UAQ55" s="42"/>
      <c r="UAR55" s="42"/>
      <c r="UAS55" s="42"/>
      <c r="UAT55" s="42"/>
      <c r="UAU55" s="2"/>
      <c r="UAV55" s="15"/>
      <c r="UAW55" s="42"/>
      <c r="UAX55" s="2"/>
      <c r="UAY55" s="2"/>
      <c r="UAZ55" s="2"/>
      <c r="UBA55" s="2"/>
      <c r="UBB55" s="42"/>
      <c r="UBC55" s="42"/>
      <c r="UBD55" s="42"/>
      <c r="UBE55" s="42"/>
      <c r="UBF55" s="42"/>
      <c r="UBG55" s="42"/>
      <c r="UBH55" s="42"/>
      <c r="UBI55" s="42"/>
      <c r="UBJ55" s="42"/>
      <c r="UBK55" s="42"/>
      <c r="UBL55" s="42"/>
      <c r="UBM55" s="42"/>
      <c r="UBN55" s="42"/>
      <c r="UBO55" s="42"/>
      <c r="UBP55" s="42"/>
      <c r="UBQ55" s="42"/>
      <c r="UBR55" s="42"/>
      <c r="UBS55" s="42"/>
      <c r="UBT55" s="42"/>
      <c r="UBU55" s="42"/>
      <c r="UBV55" s="42"/>
      <c r="UBW55" s="42"/>
      <c r="UBX55" s="42"/>
      <c r="UBY55" s="2"/>
      <c r="UBZ55" s="15"/>
      <c r="UCA55" s="42"/>
      <c r="UCB55" s="2"/>
      <c r="UCC55" s="2"/>
      <c r="UCD55" s="2"/>
      <c r="UCE55" s="2"/>
      <c r="UCF55" s="42"/>
      <c r="UCG55" s="42"/>
      <c r="UCH55" s="42"/>
      <c r="UCI55" s="42"/>
      <c r="UCJ55" s="42"/>
      <c r="UCK55" s="42"/>
      <c r="UCL55" s="42"/>
      <c r="UCM55" s="42"/>
      <c r="UCN55" s="42"/>
      <c r="UCO55" s="42"/>
      <c r="UCP55" s="42"/>
      <c r="UCQ55" s="42"/>
      <c r="UCR55" s="42"/>
      <c r="UCS55" s="42"/>
      <c r="UCT55" s="42"/>
      <c r="UCU55" s="42"/>
      <c r="UCV55" s="42"/>
      <c r="UCW55" s="42"/>
      <c r="UCX55" s="42"/>
      <c r="UCY55" s="42"/>
      <c r="UCZ55" s="42"/>
      <c r="UDA55" s="42"/>
      <c r="UDB55" s="42"/>
      <c r="UDC55" s="2"/>
      <c r="UDD55" s="15"/>
      <c r="UDE55" s="42"/>
      <c r="UDF55" s="2"/>
      <c r="UDG55" s="2"/>
      <c r="UDH55" s="2"/>
      <c r="UDI55" s="2"/>
      <c r="UDJ55" s="42"/>
      <c r="UDK55" s="42"/>
      <c r="UDL55" s="42"/>
      <c r="UDM55" s="42"/>
      <c r="UDN55" s="42"/>
      <c r="UDO55" s="42"/>
      <c r="UDP55" s="42"/>
      <c r="UDQ55" s="42"/>
      <c r="UDR55" s="42"/>
      <c r="UDS55" s="42"/>
      <c r="UDT55" s="42"/>
      <c r="UDU55" s="42"/>
      <c r="UDV55" s="42"/>
      <c r="UDW55" s="42"/>
      <c r="UDX55" s="42"/>
      <c r="UDY55" s="42"/>
      <c r="UDZ55" s="42"/>
      <c r="UEA55" s="42"/>
      <c r="UEB55" s="42"/>
      <c r="UEC55" s="42"/>
      <c r="UED55" s="42"/>
      <c r="UEE55" s="42"/>
      <c r="UEF55" s="42"/>
      <c r="UEG55" s="2"/>
      <c r="UEH55" s="15"/>
      <c r="UEI55" s="42"/>
      <c r="UEJ55" s="2"/>
      <c r="UEK55" s="2"/>
      <c r="UEL55" s="2"/>
      <c r="UEM55" s="2"/>
      <c r="UEN55" s="42"/>
      <c r="UEO55" s="42"/>
      <c r="UEP55" s="42"/>
      <c r="UEQ55" s="42"/>
      <c r="UER55" s="42"/>
      <c r="UES55" s="42"/>
      <c r="UET55" s="42"/>
      <c r="UEU55" s="42"/>
      <c r="UEV55" s="42"/>
      <c r="UEW55" s="42"/>
      <c r="UEX55" s="42"/>
      <c r="UEY55" s="42"/>
      <c r="UEZ55" s="42"/>
      <c r="UFA55" s="42"/>
      <c r="UFB55" s="42"/>
      <c r="UFC55" s="42"/>
      <c r="UFD55" s="42"/>
      <c r="UFE55" s="42"/>
      <c r="UFF55" s="42"/>
      <c r="UFG55" s="42"/>
      <c r="UFH55" s="42"/>
      <c r="UFI55" s="42"/>
      <c r="UFJ55" s="42"/>
      <c r="UFK55" s="2"/>
      <c r="UFL55" s="15"/>
      <c r="UFM55" s="42"/>
      <c r="UFN55" s="2"/>
      <c r="UFO55" s="2"/>
      <c r="UFP55" s="2"/>
      <c r="UFQ55" s="2"/>
      <c r="UFR55" s="42"/>
      <c r="UFS55" s="42"/>
      <c r="UFT55" s="42"/>
      <c r="UFU55" s="42"/>
      <c r="UFV55" s="42"/>
      <c r="UFW55" s="42"/>
      <c r="UFX55" s="42"/>
      <c r="UFY55" s="42"/>
      <c r="UFZ55" s="42"/>
      <c r="UGA55" s="42"/>
      <c r="UGB55" s="42"/>
      <c r="UGC55" s="42"/>
      <c r="UGD55" s="42"/>
      <c r="UGE55" s="42"/>
      <c r="UGF55" s="42"/>
      <c r="UGG55" s="42"/>
      <c r="UGH55" s="42"/>
      <c r="UGI55" s="42"/>
      <c r="UGJ55" s="42"/>
      <c r="UGK55" s="42"/>
      <c r="UGL55" s="42"/>
      <c r="UGM55" s="42"/>
      <c r="UGN55" s="42"/>
      <c r="UGO55" s="2"/>
      <c r="UGP55" s="15"/>
      <c r="UGQ55" s="42"/>
      <c r="UGR55" s="2"/>
      <c r="UGS55" s="2"/>
      <c r="UGT55" s="2"/>
      <c r="UGU55" s="2"/>
      <c r="UGV55" s="42"/>
      <c r="UGW55" s="42"/>
      <c r="UGX55" s="42"/>
      <c r="UGY55" s="42"/>
      <c r="UGZ55" s="42"/>
      <c r="UHA55" s="42"/>
      <c r="UHB55" s="42"/>
      <c r="UHC55" s="42"/>
      <c r="UHD55" s="42"/>
      <c r="UHE55" s="42"/>
      <c r="UHF55" s="42"/>
      <c r="UHG55" s="42"/>
      <c r="UHH55" s="42"/>
      <c r="UHI55" s="42"/>
      <c r="UHJ55" s="42"/>
      <c r="UHK55" s="42"/>
      <c r="UHL55" s="42"/>
      <c r="UHM55" s="42"/>
      <c r="UHN55" s="42"/>
      <c r="UHO55" s="42"/>
      <c r="UHP55" s="42"/>
      <c r="UHQ55" s="42"/>
      <c r="UHR55" s="42"/>
      <c r="UHS55" s="2"/>
      <c r="UHT55" s="15"/>
      <c r="UHU55" s="42"/>
      <c r="UHV55" s="2"/>
      <c r="UHW55" s="2"/>
      <c r="UHX55" s="2"/>
      <c r="UHY55" s="2"/>
      <c r="UHZ55" s="42"/>
      <c r="UIA55" s="42"/>
      <c r="UIB55" s="42"/>
      <c r="UIC55" s="42"/>
      <c r="UID55" s="42"/>
      <c r="UIE55" s="42"/>
      <c r="UIF55" s="42"/>
      <c r="UIG55" s="42"/>
      <c r="UIH55" s="42"/>
      <c r="UII55" s="42"/>
      <c r="UIJ55" s="42"/>
      <c r="UIK55" s="42"/>
      <c r="UIL55" s="42"/>
      <c r="UIM55" s="42"/>
      <c r="UIN55" s="42"/>
      <c r="UIO55" s="42"/>
      <c r="UIP55" s="42"/>
      <c r="UIQ55" s="42"/>
      <c r="UIR55" s="42"/>
      <c r="UIS55" s="42"/>
      <c r="UIT55" s="42"/>
      <c r="UIU55" s="42"/>
      <c r="UIV55" s="42"/>
      <c r="UIW55" s="2"/>
      <c r="UIX55" s="15"/>
      <c r="UIY55" s="42"/>
      <c r="UIZ55" s="2"/>
      <c r="UJA55" s="2"/>
      <c r="UJB55" s="2"/>
      <c r="UJC55" s="2"/>
      <c r="UJD55" s="42"/>
      <c r="UJE55" s="42"/>
      <c r="UJF55" s="42"/>
      <c r="UJG55" s="42"/>
      <c r="UJH55" s="42"/>
      <c r="UJI55" s="42"/>
      <c r="UJJ55" s="42"/>
      <c r="UJK55" s="42"/>
      <c r="UJL55" s="42"/>
      <c r="UJM55" s="42"/>
      <c r="UJN55" s="42"/>
      <c r="UJO55" s="42"/>
      <c r="UJP55" s="42"/>
      <c r="UJQ55" s="42"/>
      <c r="UJR55" s="42"/>
      <c r="UJS55" s="42"/>
      <c r="UJT55" s="42"/>
      <c r="UJU55" s="42"/>
      <c r="UJV55" s="42"/>
      <c r="UJW55" s="42"/>
      <c r="UJX55" s="42"/>
      <c r="UJY55" s="42"/>
      <c r="UJZ55" s="42"/>
      <c r="UKA55" s="2"/>
      <c r="UKB55" s="15"/>
      <c r="UKC55" s="42"/>
      <c r="UKD55" s="2"/>
      <c r="UKE55" s="2"/>
      <c r="UKF55" s="2"/>
      <c r="UKG55" s="2"/>
      <c r="UKH55" s="42"/>
      <c r="UKI55" s="42"/>
      <c r="UKJ55" s="42"/>
      <c r="UKK55" s="42"/>
      <c r="UKL55" s="42"/>
      <c r="UKM55" s="42"/>
      <c r="UKN55" s="42"/>
      <c r="UKO55" s="42"/>
      <c r="UKP55" s="42"/>
      <c r="UKQ55" s="42"/>
      <c r="UKR55" s="42"/>
      <c r="UKS55" s="42"/>
      <c r="UKT55" s="42"/>
      <c r="UKU55" s="42"/>
      <c r="UKV55" s="42"/>
      <c r="UKW55" s="42"/>
      <c r="UKX55" s="42"/>
      <c r="UKY55" s="42"/>
      <c r="UKZ55" s="42"/>
      <c r="ULA55" s="42"/>
      <c r="ULB55" s="42"/>
      <c r="ULC55" s="42"/>
      <c r="ULD55" s="42"/>
      <c r="ULE55" s="2"/>
      <c r="ULF55" s="15"/>
      <c r="ULG55" s="42"/>
      <c r="ULH55" s="2"/>
      <c r="ULI55" s="2"/>
      <c r="ULJ55" s="2"/>
      <c r="ULK55" s="2"/>
      <c r="ULL55" s="42"/>
      <c r="ULM55" s="42"/>
      <c r="ULN55" s="42"/>
      <c r="ULO55" s="42"/>
      <c r="ULP55" s="42"/>
      <c r="ULQ55" s="42"/>
      <c r="ULR55" s="42"/>
      <c r="ULS55" s="42"/>
      <c r="ULT55" s="42"/>
      <c r="ULU55" s="42"/>
      <c r="ULV55" s="42"/>
      <c r="ULW55" s="42"/>
      <c r="ULX55" s="42"/>
      <c r="ULY55" s="42"/>
      <c r="ULZ55" s="42"/>
      <c r="UMA55" s="42"/>
      <c r="UMB55" s="42"/>
      <c r="UMC55" s="42"/>
      <c r="UMD55" s="42"/>
      <c r="UME55" s="42"/>
      <c r="UMF55" s="42"/>
      <c r="UMG55" s="42"/>
      <c r="UMH55" s="42"/>
      <c r="UMI55" s="2"/>
      <c r="UMJ55" s="15"/>
      <c r="UMK55" s="42"/>
      <c r="UML55" s="2"/>
      <c r="UMM55" s="2"/>
      <c r="UMN55" s="2"/>
      <c r="UMO55" s="2"/>
      <c r="UMP55" s="42"/>
      <c r="UMQ55" s="42"/>
      <c r="UMR55" s="42"/>
      <c r="UMS55" s="42"/>
      <c r="UMT55" s="42"/>
      <c r="UMU55" s="42"/>
      <c r="UMV55" s="42"/>
      <c r="UMW55" s="42"/>
      <c r="UMX55" s="42"/>
      <c r="UMY55" s="42"/>
      <c r="UMZ55" s="42"/>
      <c r="UNA55" s="42"/>
      <c r="UNB55" s="42"/>
      <c r="UNC55" s="42"/>
      <c r="UND55" s="42"/>
      <c r="UNE55" s="42"/>
      <c r="UNF55" s="42"/>
      <c r="UNG55" s="42"/>
      <c r="UNH55" s="42"/>
      <c r="UNI55" s="42"/>
      <c r="UNJ55" s="42"/>
      <c r="UNK55" s="42"/>
      <c r="UNL55" s="42"/>
      <c r="UNM55" s="2"/>
      <c r="UNN55" s="15"/>
      <c r="UNO55" s="42"/>
      <c r="UNP55" s="2"/>
      <c r="UNQ55" s="2"/>
      <c r="UNR55" s="2"/>
      <c r="UNS55" s="2"/>
      <c r="UNT55" s="42"/>
      <c r="UNU55" s="42"/>
      <c r="UNV55" s="42"/>
      <c r="UNW55" s="42"/>
      <c r="UNX55" s="42"/>
      <c r="UNY55" s="42"/>
      <c r="UNZ55" s="42"/>
      <c r="UOA55" s="42"/>
      <c r="UOB55" s="42"/>
      <c r="UOC55" s="42"/>
      <c r="UOD55" s="42"/>
      <c r="UOE55" s="42"/>
      <c r="UOF55" s="42"/>
      <c r="UOG55" s="42"/>
      <c r="UOH55" s="42"/>
      <c r="UOI55" s="42"/>
      <c r="UOJ55" s="42"/>
      <c r="UOK55" s="42"/>
      <c r="UOL55" s="42"/>
      <c r="UOM55" s="42"/>
      <c r="UON55" s="42"/>
      <c r="UOO55" s="42"/>
      <c r="UOP55" s="42"/>
      <c r="UOQ55" s="2"/>
      <c r="UOR55" s="15"/>
      <c r="UOS55" s="42"/>
      <c r="UOT55" s="2"/>
      <c r="UOU55" s="2"/>
      <c r="UOV55" s="2"/>
      <c r="UOW55" s="2"/>
      <c r="UOX55" s="42"/>
      <c r="UOY55" s="42"/>
      <c r="UOZ55" s="42"/>
      <c r="UPA55" s="42"/>
      <c r="UPB55" s="42"/>
      <c r="UPC55" s="42"/>
      <c r="UPD55" s="42"/>
      <c r="UPE55" s="42"/>
      <c r="UPF55" s="42"/>
      <c r="UPG55" s="42"/>
      <c r="UPH55" s="42"/>
      <c r="UPI55" s="42"/>
      <c r="UPJ55" s="42"/>
      <c r="UPK55" s="42"/>
      <c r="UPL55" s="42"/>
      <c r="UPM55" s="42"/>
      <c r="UPN55" s="42"/>
      <c r="UPO55" s="42"/>
      <c r="UPP55" s="42"/>
      <c r="UPQ55" s="42"/>
      <c r="UPR55" s="42"/>
      <c r="UPS55" s="42"/>
      <c r="UPT55" s="42"/>
      <c r="UPU55" s="2"/>
      <c r="UPV55" s="15"/>
      <c r="UPW55" s="42"/>
      <c r="UPX55" s="2"/>
      <c r="UPY55" s="2"/>
      <c r="UPZ55" s="2"/>
      <c r="UQA55" s="2"/>
      <c r="UQB55" s="42"/>
      <c r="UQC55" s="42"/>
      <c r="UQD55" s="42"/>
      <c r="UQE55" s="42"/>
      <c r="UQF55" s="42"/>
      <c r="UQG55" s="42"/>
      <c r="UQH55" s="42"/>
      <c r="UQI55" s="42"/>
      <c r="UQJ55" s="42"/>
      <c r="UQK55" s="42"/>
      <c r="UQL55" s="42"/>
      <c r="UQM55" s="42"/>
      <c r="UQN55" s="42"/>
      <c r="UQO55" s="42"/>
      <c r="UQP55" s="42"/>
      <c r="UQQ55" s="42"/>
      <c r="UQR55" s="42"/>
      <c r="UQS55" s="42"/>
      <c r="UQT55" s="42"/>
      <c r="UQU55" s="42"/>
      <c r="UQV55" s="42"/>
      <c r="UQW55" s="42"/>
      <c r="UQX55" s="42"/>
      <c r="UQY55" s="2"/>
      <c r="UQZ55" s="15"/>
      <c r="URA55" s="42"/>
      <c r="URB55" s="2"/>
      <c r="URC55" s="2"/>
      <c r="URD55" s="2"/>
      <c r="URE55" s="2"/>
      <c r="URF55" s="42"/>
      <c r="URG55" s="42"/>
      <c r="URH55" s="42"/>
      <c r="URI55" s="42"/>
      <c r="URJ55" s="42"/>
      <c r="URK55" s="42"/>
      <c r="URL55" s="42"/>
      <c r="URM55" s="42"/>
      <c r="URN55" s="42"/>
      <c r="URO55" s="42"/>
      <c r="URP55" s="42"/>
      <c r="URQ55" s="42"/>
      <c r="URR55" s="42"/>
      <c r="URS55" s="42"/>
      <c r="URT55" s="42"/>
      <c r="URU55" s="42"/>
      <c r="URV55" s="42"/>
      <c r="URW55" s="42"/>
      <c r="URX55" s="42"/>
      <c r="URY55" s="42"/>
      <c r="URZ55" s="42"/>
      <c r="USA55" s="42"/>
      <c r="USB55" s="42"/>
      <c r="USC55" s="2"/>
      <c r="USD55" s="15"/>
      <c r="USE55" s="42"/>
      <c r="USF55" s="2"/>
      <c r="USG55" s="2"/>
      <c r="USH55" s="2"/>
      <c r="USI55" s="2"/>
      <c r="USJ55" s="42"/>
      <c r="USK55" s="42"/>
      <c r="USL55" s="42"/>
      <c r="USM55" s="42"/>
      <c r="USN55" s="42"/>
      <c r="USO55" s="42"/>
      <c r="USP55" s="42"/>
      <c r="USQ55" s="42"/>
      <c r="USR55" s="42"/>
      <c r="USS55" s="42"/>
      <c r="UST55" s="42"/>
      <c r="USU55" s="42"/>
      <c r="USV55" s="42"/>
      <c r="USW55" s="42"/>
      <c r="USX55" s="42"/>
      <c r="USY55" s="42"/>
      <c r="USZ55" s="42"/>
      <c r="UTA55" s="42"/>
      <c r="UTB55" s="42"/>
      <c r="UTC55" s="42"/>
      <c r="UTD55" s="42"/>
      <c r="UTE55" s="42"/>
      <c r="UTF55" s="42"/>
      <c r="UTG55" s="2"/>
      <c r="UTH55" s="15"/>
      <c r="UTI55" s="42"/>
      <c r="UTJ55" s="2"/>
      <c r="UTK55" s="2"/>
      <c r="UTL55" s="2"/>
      <c r="UTM55" s="2"/>
      <c r="UTN55" s="42"/>
      <c r="UTO55" s="42"/>
      <c r="UTP55" s="42"/>
      <c r="UTQ55" s="42"/>
      <c r="UTR55" s="42"/>
      <c r="UTS55" s="42"/>
      <c r="UTT55" s="42"/>
      <c r="UTU55" s="42"/>
      <c r="UTV55" s="42"/>
      <c r="UTW55" s="42"/>
      <c r="UTX55" s="42"/>
      <c r="UTY55" s="42"/>
      <c r="UTZ55" s="42"/>
      <c r="UUA55" s="42"/>
      <c r="UUB55" s="42"/>
      <c r="UUC55" s="42"/>
      <c r="UUD55" s="42"/>
      <c r="UUE55" s="42"/>
      <c r="UUF55" s="42"/>
      <c r="UUG55" s="42"/>
      <c r="UUH55" s="42"/>
      <c r="UUI55" s="42"/>
      <c r="UUJ55" s="42"/>
      <c r="UUK55" s="2"/>
      <c r="UUL55" s="15"/>
      <c r="UUM55" s="42"/>
      <c r="UUN55" s="2"/>
      <c r="UUO55" s="2"/>
      <c r="UUP55" s="2"/>
      <c r="UUQ55" s="2"/>
      <c r="UUR55" s="42"/>
      <c r="UUS55" s="42"/>
      <c r="UUT55" s="42"/>
      <c r="UUU55" s="42"/>
      <c r="UUV55" s="42"/>
      <c r="UUW55" s="42"/>
      <c r="UUX55" s="42"/>
      <c r="UUY55" s="42"/>
      <c r="UUZ55" s="42"/>
      <c r="UVA55" s="42"/>
      <c r="UVB55" s="42"/>
      <c r="UVC55" s="42"/>
      <c r="UVD55" s="42"/>
      <c r="UVE55" s="42"/>
      <c r="UVF55" s="42"/>
      <c r="UVG55" s="42"/>
      <c r="UVH55" s="42"/>
      <c r="UVI55" s="42"/>
      <c r="UVJ55" s="42"/>
      <c r="UVK55" s="42"/>
      <c r="UVL55" s="42"/>
      <c r="UVM55" s="42"/>
      <c r="UVN55" s="42"/>
      <c r="UVO55" s="2"/>
      <c r="UVP55" s="15"/>
      <c r="UVQ55" s="42"/>
      <c r="UVR55" s="2"/>
      <c r="UVS55" s="2"/>
      <c r="UVT55" s="2"/>
      <c r="UVU55" s="2"/>
      <c r="UVV55" s="42"/>
      <c r="UVW55" s="42"/>
      <c r="UVX55" s="42"/>
      <c r="UVY55" s="42"/>
      <c r="UVZ55" s="42"/>
      <c r="UWA55" s="42"/>
      <c r="UWB55" s="42"/>
      <c r="UWC55" s="42"/>
      <c r="UWD55" s="42"/>
      <c r="UWE55" s="42"/>
      <c r="UWF55" s="42"/>
      <c r="UWG55" s="42"/>
      <c r="UWH55" s="42"/>
      <c r="UWI55" s="42"/>
      <c r="UWJ55" s="42"/>
      <c r="UWK55" s="42"/>
      <c r="UWL55" s="42"/>
      <c r="UWM55" s="42"/>
      <c r="UWN55" s="42"/>
      <c r="UWO55" s="42"/>
      <c r="UWP55" s="42"/>
      <c r="UWQ55" s="42"/>
      <c r="UWR55" s="42"/>
      <c r="UWS55" s="2"/>
      <c r="UWT55" s="15"/>
      <c r="UWU55" s="42"/>
      <c r="UWV55" s="2"/>
      <c r="UWW55" s="2"/>
      <c r="UWX55" s="2"/>
      <c r="UWY55" s="2"/>
      <c r="UWZ55" s="42"/>
      <c r="UXA55" s="42"/>
      <c r="UXB55" s="42"/>
      <c r="UXC55" s="42"/>
      <c r="UXD55" s="42"/>
      <c r="UXE55" s="42"/>
      <c r="UXF55" s="42"/>
      <c r="UXG55" s="42"/>
      <c r="UXH55" s="42"/>
      <c r="UXI55" s="42"/>
      <c r="UXJ55" s="42"/>
      <c r="UXK55" s="42"/>
      <c r="UXL55" s="42"/>
      <c r="UXM55" s="42"/>
      <c r="UXN55" s="42"/>
      <c r="UXO55" s="42"/>
      <c r="UXP55" s="42"/>
      <c r="UXQ55" s="42"/>
      <c r="UXR55" s="42"/>
      <c r="UXS55" s="42"/>
      <c r="UXT55" s="42"/>
      <c r="UXU55" s="42"/>
      <c r="UXV55" s="42"/>
      <c r="UXW55" s="2"/>
      <c r="UXX55" s="15"/>
      <c r="UXY55" s="42"/>
      <c r="UXZ55" s="2"/>
      <c r="UYA55" s="2"/>
      <c r="UYB55" s="2"/>
      <c r="UYC55" s="2"/>
      <c r="UYD55" s="42"/>
      <c r="UYE55" s="42"/>
      <c r="UYF55" s="42"/>
      <c r="UYG55" s="42"/>
      <c r="UYH55" s="42"/>
      <c r="UYI55" s="42"/>
      <c r="UYJ55" s="42"/>
      <c r="UYK55" s="42"/>
      <c r="UYL55" s="42"/>
      <c r="UYM55" s="42"/>
      <c r="UYN55" s="42"/>
      <c r="UYO55" s="42"/>
      <c r="UYP55" s="42"/>
      <c r="UYQ55" s="42"/>
      <c r="UYR55" s="42"/>
      <c r="UYS55" s="42"/>
      <c r="UYT55" s="42"/>
      <c r="UYU55" s="42"/>
      <c r="UYV55" s="42"/>
      <c r="UYW55" s="42"/>
      <c r="UYX55" s="42"/>
      <c r="UYY55" s="42"/>
      <c r="UYZ55" s="42"/>
      <c r="UZA55" s="2"/>
      <c r="UZB55" s="15"/>
      <c r="UZC55" s="42"/>
      <c r="UZD55" s="2"/>
      <c r="UZE55" s="2"/>
      <c r="UZF55" s="2"/>
      <c r="UZG55" s="2"/>
      <c r="UZH55" s="42"/>
      <c r="UZI55" s="42"/>
      <c r="UZJ55" s="42"/>
      <c r="UZK55" s="42"/>
      <c r="UZL55" s="42"/>
      <c r="UZM55" s="42"/>
      <c r="UZN55" s="42"/>
      <c r="UZO55" s="42"/>
      <c r="UZP55" s="42"/>
      <c r="UZQ55" s="42"/>
      <c r="UZR55" s="42"/>
      <c r="UZS55" s="42"/>
      <c r="UZT55" s="42"/>
      <c r="UZU55" s="42"/>
      <c r="UZV55" s="42"/>
      <c r="UZW55" s="42"/>
      <c r="UZX55" s="42"/>
      <c r="UZY55" s="42"/>
      <c r="UZZ55" s="42"/>
      <c r="VAA55" s="42"/>
      <c r="VAB55" s="42"/>
      <c r="VAC55" s="42"/>
      <c r="VAD55" s="42"/>
      <c r="VAE55" s="2"/>
      <c r="VAF55" s="15"/>
      <c r="VAG55" s="42"/>
      <c r="VAH55" s="2"/>
      <c r="VAI55" s="2"/>
      <c r="VAJ55" s="2"/>
      <c r="VAK55" s="2"/>
      <c r="VAL55" s="42"/>
      <c r="VAM55" s="42"/>
      <c r="VAN55" s="42"/>
      <c r="VAO55" s="42"/>
      <c r="VAP55" s="42"/>
      <c r="VAQ55" s="42"/>
      <c r="VAR55" s="42"/>
      <c r="VAS55" s="42"/>
      <c r="VAT55" s="42"/>
      <c r="VAU55" s="42"/>
      <c r="VAV55" s="42"/>
      <c r="VAW55" s="42"/>
      <c r="VAX55" s="42"/>
      <c r="VAY55" s="42"/>
      <c r="VAZ55" s="42"/>
      <c r="VBA55" s="42"/>
      <c r="VBB55" s="42"/>
      <c r="VBC55" s="42"/>
      <c r="VBD55" s="42"/>
      <c r="VBE55" s="42"/>
      <c r="VBF55" s="42"/>
      <c r="VBG55" s="42"/>
      <c r="VBH55" s="42"/>
      <c r="VBI55" s="2"/>
      <c r="VBJ55" s="15"/>
      <c r="VBK55" s="42"/>
      <c r="VBL55" s="2"/>
      <c r="VBM55" s="2"/>
      <c r="VBN55" s="2"/>
      <c r="VBO55" s="2"/>
      <c r="VBP55" s="42"/>
      <c r="VBQ55" s="42"/>
      <c r="VBR55" s="42"/>
      <c r="VBS55" s="42"/>
      <c r="VBT55" s="42"/>
      <c r="VBU55" s="42"/>
      <c r="VBV55" s="42"/>
      <c r="VBW55" s="42"/>
      <c r="VBX55" s="42"/>
      <c r="VBY55" s="42"/>
      <c r="VBZ55" s="42"/>
      <c r="VCA55" s="42"/>
      <c r="VCB55" s="42"/>
      <c r="VCC55" s="42"/>
      <c r="VCD55" s="42"/>
      <c r="VCE55" s="42"/>
      <c r="VCF55" s="42"/>
      <c r="VCG55" s="42"/>
      <c r="VCH55" s="42"/>
      <c r="VCI55" s="42"/>
      <c r="VCJ55" s="42"/>
      <c r="VCK55" s="42"/>
      <c r="VCL55" s="42"/>
      <c r="VCM55" s="2"/>
      <c r="VCN55" s="15"/>
      <c r="VCO55" s="42"/>
      <c r="VCP55" s="2"/>
      <c r="VCQ55" s="2"/>
      <c r="VCR55" s="2"/>
      <c r="VCS55" s="2"/>
      <c r="VCT55" s="42"/>
      <c r="VCU55" s="42"/>
      <c r="VCV55" s="42"/>
      <c r="VCW55" s="42"/>
      <c r="VCX55" s="42"/>
      <c r="VCY55" s="42"/>
      <c r="VCZ55" s="42"/>
      <c r="VDA55" s="42"/>
      <c r="VDB55" s="42"/>
      <c r="VDC55" s="42"/>
      <c r="VDD55" s="42"/>
      <c r="VDE55" s="42"/>
      <c r="VDF55" s="42"/>
      <c r="VDG55" s="42"/>
      <c r="VDH55" s="42"/>
      <c r="VDI55" s="42"/>
      <c r="VDJ55" s="42"/>
      <c r="VDK55" s="42"/>
      <c r="VDL55" s="42"/>
      <c r="VDM55" s="42"/>
      <c r="VDN55" s="42"/>
      <c r="VDO55" s="42"/>
      <c r="VDP55" s="42"/>
      <c r="VDQ55" s="2"/>
      <c r="VDR55" s="15"/>
      <c r="VDS55" s="42"/>
      <c r="VDT55" s="2"/>
      <c r="VDU55" s="2"/>
      <c r="VDV55" s="2"/>
      <c r="VDW55" s="2"/>
      <c r="VDX55" s="42"/>
      <c r="VDY55" s="42"/>
      <c r="VDZ55" s="42"/>
      <c r="VEA55" s="42"/>
      <c r="VEB55" s="42"/>
      <c r="VEC55" s="42"/>
      <c r="VED55" s="42"/>
      <c r="VEE55" s="42"/>
      <c r="VEF55" s="42"/>
      <c r="VEG55" s="42"/>
      <c r="VEH55" s="42"/>
      <c r="VEI55" s="42"/>
      <c r="VEJ55" s="42"/>
      <c r="VEK55" s="42"/>
      <c r="VEL55" s="42"/>
      <c r="VEM55" s="42"/>
      <c r="VEN55" s="42"/>
      <c r="VEO55" s="42"/>
      <c r="VEP55" s="42"/>
      <c r="VEQ55" s="42"/>
      <c r="VER55" s="42"/>
      <c r="VES55" s="42"/>
      <c r="VET55" s="42"/>
      <c r="VEU55" s="2"/>
      <c r="VEV55" s="15"/>
      <c r="VEW55" s="42"/>
      <c r="VEX55" s="2"/>
      <c r="VEY55" s="2"/>
      <c r="VEZ55" s="2"/>
      <c r="VFA55" s="2"/>
      <c r="VFB55" s="42"/>
      <c r="VFC55" s="42"/>
      <c r="VFD55" s="42"/>
      <c r="VFE55" s="42"/>
      <c r="VFF55" s="42"/>
      <c r="VFG55" s="42"/>
      <c r="VFH55" s="42"/>
      <c r="VFI55" s="42"/>
      <c r="VFJ55" s="42"/>
      <c r="VFK55" s="42"/>
      <c r="VFL55" s="42"/>
      <c r="VFM55" s="42"/>
      <c r="VFN55" s="42"/>
      <c r="VFO55" s="42"/>
      <c r="VFP55" s="42"/>
      <c r="VFQ55" s="42"/>
      <c r="VFR55" s="42"/>
      <c r="VFS55" s="42"/>
      <c r="VFT55" s="42"/>
      <c r="VFU55" s="42"/>
      <c r="VFV55" s="42"/>
      <c r="VFW55" s="42"/>
      <c r="VFX55" s="42"/>
      <c r="VFY55" s="2"/>
      <c r="VFZ55" s="15"/>
      <c r="VGA55" s="42"/>
      <c r="VGB55" s="2"/>
      <c r="VGC55" s="2"/>
      <c r="VGD55" s="2"/>
      <c r="VGE55" s="2"/>
      <c r="VGF55" s="42"/>
      <c r="VGG55" s="42"/>
      <c r="VGH55" s="42"/>
      <c r="VGI55" s="42"/>
      <c r="VGJ55" s="42"/>
      <c r="VGK55" s="42"/>
      <c r="VGL55" s="42"/>
      <c r="VGM55" s="42"/>
      <c r="VGN55" s="42"/>
      <c r="VGO55" s="42"/>
      <c r="VGP55" s="42"/>
      <c r="VGQ55" s="42"/>
      <c r="VGR55" s="42"/>
      <c r="VGS55" s="42"/>
      <c r="VGT55" s="42"/>
      <c r="VGU55" s="42"/>
      <c r="VGV55" s="42"/>
      <c r="VGW55" s="42"/>
      <c r="VGX55" s="42"/>
      <c r="VGY55" s="42"/>
      <c r="VGZ55" s="42"/>
      <c r="VHA55" s="42"/>
      <c r="VHB55" s="42"/>
      <c r="VHC55" s="2"/>
      <c r="VHD55" s="15"/>
      <c r="VHE55" s="42"/>
      <c r="VHF55" s="2"/>
      <c r="VHG55" s="2"/>
      <c r="VHH55" s="2"/>
      <c r="VHI55" s="2"/>
      <c r="VHJ55" s="42"/>
      <c r="VHK55" s="42"/>
      <c r="VHL55" s="42"/>
      <c r="VHM55" s="42"/>
      <c r="VHN55" s="42"/>
      <c r="VHO55" s="42"/>
      <c r="VHP55" s="42"/>
      <c r="VHQ55" s="42"/>
      <c r="VHR55" s="42"/>
      <c r="VHS55" s="42"/>
      <c r="VHT55" s="42"/>
      <c r="VHU55" s="42"/>
      <c r="VHV55" s="42"/>
      <c r="VHW55" s="42"/>
      <c r="VHX55" s="42"/>
      <c r="VHY55" s="42"/>
      <c r="VHZ55" s="42"/>
      <c r="VIA55" s="42"/>
      <c r="VIB55" s="42"/>
      <c r="VIC55" s="42"/>
      <c r="VID55" s="42"/>
      <c r="VIE55" s="42"/>
      <c r="VIF55" s="42"/>
      <c r="VIG55" s="2"/>
      <c r="VIH55" s="15"/>
      <c r="VII55" s="42"/>
      <c r="VIJ55" s="2"/>
      <c r="VIK55" s="2"/>
      <c r="VIL55" s="2"/>
      <c r="VIM55" s="2"/>
      <c r="VIN55" s="42"/>
      <c r="VIO55" s="42"/>
      <c r="VIP55" s="42"/>
      <c r="VIQ55" s="42"/>
      <c r="VIR55" s="42"/>
      <c r="VIS55" s="42"/>
      <c r="VIT55" s="42"/>
      <c r="VIU55" s="42"/>
      <c r="VIV55" s="42"/>
      <c r="VIW55" s="42"/>
      <c r="VIX55" s="42"/>
      <c r="VIY55" s="42"/>
      <c r="VIZ55" s="42"/>
      <c r="VJA55" s="42"/>
      <c r="VJB55" s="42"/>
      <c r="VJC55" s="42"/>
      <c r="VJD55" s="42"/>
      <c r="VJE55" s="42"/>
      <c r="VJF55" s="42"/>
      <c r="VJG55" s="42"/>
      <c r="VJH55" s="42"/>
      <c r="VJI55" s="42"/>
      <c r="VJJ55" s="42"/>
      <c r="VJK55" s="2"/>
      <c r="VJL55" s="15"/>
      <c r="VJM55" s="42"/>
      <c r="VJN55" s="2"/>
      <c r="VJO55" s="2"/>
      <c r="VJP55" s="2"/>
      <c r="VJQ55" s="2"/>
      <c r="VJR55" s="42"/>
      <c r="VJS55" s="42"/>
      <c r="VJT55" s="42"/>
      <c r="VJU55" s="42"/>
      <c r="VJV55" s="42"/>
      <c r="VJW55" s="42"/>
      <c r="VJX55" s="42"/>
      <c r="VJY55" s="42"/>
      <c r="VJZ55" s="42"/>
      <c r="VKA55" s="42"/>
      <c r="VKB55" s="42"/>
      <c r="VKC55" s="42"/>
      <c r="VKD55" s="42"/>
      <c r="VKE55" s="42"/>
      <c r="VKF55" s="42"/>
      <c r="VKG55" s="42"/>
      <c r="VKH55" s="42"/>
      <c r="VKI55" s="42"/>
      <c r="VKJ55" s="42"/>
      <c r="VKK55" s="42"/>
      <c r="VKL55" s="42"/>
      <c r="VKM55" s="42"/>
      <c r="VKN55" s="42"/>
      <c r="VKO55" s="2"/>
      <c r="VKP55" s="15"/>
      <c r="VKQ55" s="42"/>
      <c r="VKR55" s="2"/>
      <c r="VKS55" s="2"/>
      <c r="VKT55" s="2"/>
      <c r="VKU55" s="2"/>
      <c r="VKV55" s="42"/>
      <c r="VKW55" s="42"/>
      <c r="VKX55" s="42"/>
      <c r="VKY55" s="42"/>
      <c r="VKZ55" s="42"/>
      <c r="VLA55" s="42"/>
      <c r="VLB55" s="42"/>
      <c r="VLC55" s="42"/>
      <c r="VLD55" s="42"/>
      <c r="VLE55" s="42"/>
      <c r="VLF55" s="42"/>
      <c r="VLG55" s="42"/>
      <c r="VLH55" s="42"/>
      <c r="VLI55" s="42"/>
      <c r="VLJ55" s="42"/>
      <c r="VLK55" s="42"/>
      <c r="VLL55" s="42"/>
      <c r="VLM55" s="42"/>
      <c r="VLN55" s="42"/>
      <c r="VLO55" s="42"/>
      <c r="VLP55" s="42"/>
      <c r="VLQ55" s="42"/>
      <c r="VLR55" s="42"/>
      <c r="VLS55" s="2"/>
      <c r="VLT55" s="15"/>
      <c r="VLU55" s="42"/>
      <c r="VLV55" s="2"/>
      <c r="VLW55" s="2"/>
      <c r="VLX55" s="2"/>
      <c r="VLY55" s="2"/>
      <c r="VLZ55" s="42"/>
      <c r="VMA55" s="42"/>
      <c r="VMB55" s="42"/>
      <c r="VMC55" s="42"/>
      <c r="VMD55" s="42"/>
      <c r="VME55" s="42"/>
      <c r="VMF55" s="42"/>
      <c r="VMG55" s="42"/>
      <c r="VMH55" s="42"/>
      <c r="VMI55" s="42"/>
      <c r="VMJ55" s="42"/>
      <c r="VMK55" s="42"/>
      <c r="VML55" s="42"/>
      <c r="VMM55" s="42"/>
      <c r="VMN55" s="42"/>
      <c r="VMO55" s="42"/>
      <c r="VMP55" s="42"/>
      <c r="VMQ55" s="42"/>
      <c r="VMR55" s="42"/>
      <c r="VMS55" s="42"/>
      <c r="VMT55" s="42"/>
      <c r="VMU55" s="42"/>
      <c r="VMV55" s="42"/>
      <c r="VMW55" s="2"/>
      <c r="VMX55" s="15"/>
      <c r="VMY55" s="42"/>
      <c r="VMZ55" s="2"/>
      <c r="VNA55" s="2"/>
      <c r="VNB55" s="2"/>
      <c r="VNC55" s="2"/>
      <c r="VND55" s="42"/>
      <c r="VNE55" s="42"/>
      <c r="VNF55" s="42"/>
      <c r="VNG55" s="42"/>
      <c r="VNH55" s="42"/>
      <c r="VNI55" s="42"/>
      <c r="VNJ55" s="42"/>
      <c r="VNK55" s="42"/>
      <c r="VNL55" s="42"/>
      <c r="VNM55" s="42"/>
      <c r="VNN55" s="42"/>
      <c r="VNO55" s="42"/>
      <c r="VNP55" s="42"/>
      <c r="VNQ55" s="42"/>
      <c r="VNR55" s="42"/>
      <c r="VNS55" s="42"/>
      <c r="VNT55" s="42"/>
      <c r="VNU55" s="42"/>
      <c r="VNV55" s="42"/>
      <c r="VNW55" s="42"/>
      <c r="VNX55" s="42"/>
      <c r="VNY55" s="42"/>
      <c r="VNZ55" s="42"/>
      <c r="VOA55" s="2"/>
      <c r="VOB55" s="15"/>
      <c r="VOC55" s="42"/>
      <c r="VOD55" s="2"/>
      <c r="VOE55" s="2"/>
      <c r="VOF55" s="2"/>
      <c r="VOG55" s="2"/>
      <c r="VOH55" s="42"/>
      <c r="VOI55" s="42"/>
      <c r="VOJ55" s="42"/>
      <c r="VOK55" s="42"/>
      <c r="VOL55" s="42"/>
      <c r="VOM55" s="42"/>
      <c r="VON55" s="42"/>
      <c r="VOO55" s="42"/>
      <c r="VOP55" s="42"/>
      <c r="VOQ55" s="42"/>
      <c r="VOR55" s="42"/>
      <c r="VOS55" s="42"/>
      <c r="VOT55" s="42"/>
      <c r="VOU55" s="42"/>
      <c r="VOV55" s="42"/>
      <c r="VOW55" s="42"/>
      <c r="VOX55" s="42"/>
      <c r="VOY55" s="42"/>
      <c r="VOZ55" s="42"/>
      <c r="VPA55" s="42"/>
      <c r="VPB55" s="42"/>
      <c r="VPC55" s="42"/>
      <c r="VPD55" s="42"/>
      <c r="VPE55" s="2"/>
      <c r="VPF55" s="15"/>
      <c r="VPG55" s="42"/>
      <c r="VPH55" s="2"/>
      <c r="VPI55" s="2"/>
      <c r="VPJ55" s="2"/>
      <c r="VPK55" s="2"/>
      <c r="VPL55" s="42"/>
      <c r="VPM55" s="42"/>
      <c r="VPN55" s="42"/>
      <c r="VPO55" s="42"/>
      <c r="VPP55" s="42"/>
      <c r="VPQ55" s="42"/>
      <c r="VPR55" s="42"/>
      <c r="VPS55" s="42"/>
      <c r="VPT55" s="42"/>
      <c r="VPU55" s="42"/>
      <c r="VPV55" s="42"/>
      <c r="VPW55" s="42"/>
      <c r="VPX55" s="42"/>
      <c r="VPY55" s="42"/>
      <c r="VPZ55" s="42"/>
      <c r="VQA55" s="42"/>
      <c r="VQB55" s="42"/>
      <c r="VQC55" s="42"/>
      <c r="VQD55" s="42"/>
      <c r="VQE55" s="42"/>
      <c r="VQF55" s="42"/>
      <c r="VQG55" s="42"/>
      <c r="VQH55" s="42"/>
      <c r="VQI55" s="2"/>
      <c r="VQJ55" s="15"/>
      <c r="VQK55" s="42"/>
      <c r="VQL55" s="2"/>
      <c r="VQM55" s="2"/>
      <c r="VQN55" s="2"/>
      <c r="VQO55" s="2"/>
      <c r="VQP55" s="42"/>
      <c r="VQQ55" s="42"/>
      <c r="VQR55" s="42"/>
      <c r="VQS55" s="42"/>
      <c r="VQT55" s="42"/>
      <c r="VQU55" s="42"/>
      <c r="VQV55" s="42"/>
      <c r="VQW55" s="42"/>
      <c r="VQX55" s="42"/>
      <c r="VQY55" s="42"/>
      <c r="VQZ55" s="42"/>
      <c r="VRA55" s="42"/>
      <c r="VRB55" s="42"/>
      <c r="VRC55" s="42"/>
      <c r="VRD55" s="42"/>
      <c r="VRE55" s="42"/>
      <c r="VRF55" s="42"/>
      <c r="VRG55" s="42"/>
      <c r="VRH55" s="42"/>
      <c r="VRI55" s="42"/>
      <c r="VRJ55" s="42"/>
      <c r="VRK55" s="42"/>
      <c r="VRL55" s="42"/>
      <c r="VRM55" s="2"/>
      <c r="VRN55" s="15"/>
      <c r="VRO55" s="42"/>
      <c r="VRP55" s="2"/>
      <c r="VRQ55" s="2"/>
      <c r="VRR55" s="2"/>
      <c r="VRS55" s="2"/>
      <c r="VRT55" s="42"/>
      <c r="VRU55" s="42"/>
      <c r="VRV55" s="42"/>
      <c r="VRW55" s="42"/>
      <c r="VRX55" s="42"/>
      <c r="VRY55" s="42"/>
      <c r="VRZ55" s="42"/>
      <c r="VSA55" s="42"/>
      <c r="VSB55" s="42"/>
      <c r="VSC55" s="42"/>
      <c r="VSD55" s="42"/>
      <c r="VSE55" s="42"/>
      <c r="VSF55" s="42"/>
      <c r="VSG55" s="42"/>
      <c r="VSH55" s="42"/>
      <c r="VSI55" s="42"/>
      <c r="VSJ55" s="42"/>
      <c r="VSK55" s="42"/>
      <c r="VSL55" s="42"/>
      <c r="VSM55" s="42"/>
      <c r="VSN55" s="42"/>
      <c r="VSO55" s="42"/>
      <c r="VSP55" s="42"/>
      <c r="VSQ55" s="2"/>
      <c r="VSR55" s="15"/>
      <c r="VSS55" s="42"/>
      <c r="VST55" s="2"/>
      <c r="VSU55" s="2"/>
      <c r="VSV55" s="2"/>
      <c r="VSW55" s="2"/>
      <c r="VSX55" s="42"/>
      <c r="VSY55" s="42"/>
      <c r="VSZ55" s="42"/>
      <c r="VTA55" s="42"/>
      <c r="VTB55" s="42"/>
      <c r="VTC55" s="42"/>
      <c r="VTD55" s="42"/>
      <c r="VTE55" s="42"/>
      <c r="VTF55" s="42"/>
      <c r="VTG55" s="42"/>
      <c r="VTH55" s="42"/>
      <c r="VTI55" s="42"/>
      <c r="VTJ55" s="42"/>
      <c r="VTK55" s="42"/>
      <c r="VTL55" s="42"/>
      <c r="VTM55" s="42"/>
      <c r="VTN55" s="42"/>
      <c r="VTO55" s="42"/>
      <c r="VTP55" s="42"/>
      <c r="VTQ55" s="42"/>
      <c r="VTR55" s="42"/>
      <c r="VTS55" s="42"/>
      <c r="VTT55" s="42"/>
      <c r="VTU55" s="2"/>
      <c r="VTV55" s="15"/>
      <c r="VTW55" s="42"/>
      <c r="VTX55" s="2"/>
      <c r="VTY55" s="2"/>
      <c r="VTZ55" s="2"/>
      <c r="VUA55" s="2"/>
      <c r="VUB55" s="42"/>
      <c r="VUC55" s="42"/>
      <c r="VUD55" s="42"/>
      <c r="VUE55" s="42"/>
      <c r="VUF55" s="42"/>
      <c r="VUG55" s="42"/>
      <c r="VUH55" s="42"/>
      <c r="VUI55" s="42"/>
      <c r="VUJ55" s="42"/>
      <c r="VUK55" s="42"/>
      <c r="VUL55" s="42"/>
      <c r="VUM55" s="42"/>
      <c r="VUN55" s="42"/>
      <c r="VUO55" s="42"/>
      <c r="VUP55" s="42"/>
      <c r="VUQ55" s="42"/>
      <c r="VUR55" s="42"/>
      <c r="VUS55" s="42"/>
      <c r="VUT55" s="42"/>
      <c r="VUU55" s="42"/>
      <c r="VUV55" s="42"/>
      <c r="VUW55" s="42"/>
      <c r="VUX55" s="42"/>
      <c r="VUY55" s="2"/>
      <c r="VUZ55" s="15"/>
      <c r="VVA55" s="42"/>
      <c r="VVB55" s="2"/>
      <c r="VVC55" s="2"/>
      <c r="VVD55" s="2"/>
      <c r="VVE55" s="2"/>
      <c r="VVF55" s="42"/>
      <c r="VVG55" s="42"/>
      <c r="VVH55" s="42"/>
      <c r="VVI55" s="42"/>
      <c r="VVJ55" s="42"/>
      <c r="VVK55" s="42"/>
      <c r="VVL55" s="42"/>
      <c r="VVM55" s="42"/>
      <c r="VVN55" s="42"/>
      <c r="VVO55" s="42"/>
      <c r="VVP55" s="42"/>
      <c r="VVQ55" s="42"/>
      <c r="VVR55" s="42"/>
      <c r="VVS55" s="42"/>
      <c r="VVT55" s="42"/>
      <c r="VVU55" s="42"/>
      <c r="VVV55" s="42"/>
      <c r="VVW55" s="42"/>
      <c r="VVX55" s="42"/>
      <c r="VVY55" s="42"/>
      <c r="VVZ55" s="42"/>
      <c r="VWA55" s="42"/>
      <c r="VWB55" s="42"/>
      <c r="VWC55" s="2"/>
      <c r="VWD55" s="15"/>
      <c r="VWE55" s="42"/>
      <c r="VWF55" s="2"/>
      <c r="VWG55" s="2"/>
      <c r="VWH55" s="2"/>
      <c r="VWI55" s="2"/>
      <c r="VWJ55" s="42"/>
      <c r="VWK55" s="42"/>
      <c r="VWL55" s="42"/>
      <c r="VWM55" s="42"/>
      <c r="VWN55" s="42"/>
      <c r="VWO55" s="42"/>
      <c r="VWP55" s="42"/>
      <c r="VWQ55" s="42"/>
      <c r="VWR55" s="42"/>
      <c r="VWS55" s="42"/>
      <c r="VWT55" s="42"/>
      <c r="VWU55" s="42"/>
      <c r="VWV55" s="42"/>
      <c r="VWW55" s="42"/>
      <c r="VWX55" s="42"/>
      <c r="VWY55" s="42"/>
      <c r="VWZ55" s="42"/>
      <c r="VXA55" s="42"/>
      <c r="VXB55" s="42"/>
      <c r="VXC55" s="42"/>
      <c r="VXD55" s="42"/>
      <c r="VXE55" s="42"/>
      <c r="VXF55" s="42"/>
      <c r="VXG55" s="2"/>
      <c r="VXH55" s="15"/>
      <c r="VXI55" s="42"/>
      <c r="VXJ55" s="2"/>
      <c r="VXK55" s="2"/>
      <c r="VXL55" s="2"/>
      <c r="VXM55" s="2"/>
      <c r="VXN55" s="42"/>
      <c r="VXO55" s="42"/>
      <c r="VXP55" s="42"/>
      <c r="VXQ55" s="42"/>
      <c r="VXR55" s="42"/>
      <c r="VXS55" s="42"/>
      <c r="VXT55" s="42"/>
      <c r="VXU55" s="42"/>
      <c r="VXV55" s="42"/>
      <c r="VXW55" s="42"/>
      <c r="VXX55" s="42"/>
      <c r="VXY55" s="42"/>
      <c r="VXZ55" s="42"/>
      <c r="VYA55" s="42"/>
      <c r="VYB55" s="42"/>
      <c r="VYC55" s="42"/>
      <c r="VYD55" s="42"/>
      <c r="VYE55" s="42"/>
      <c r="VYF55" s="42"/>
      <c r="VYG55" s="42"/>
      <c r="VYH55" s="42"/>
      <c r="VYI55" s="42"/>
      <c r="VYJ55" s="42"/>
      <c r="VYK55" s="2"/>
      <c r="VYL55" s="15"/>
      <c r="VYM55" s="42"/>
      <c r="VYN55" s="2"/>
      <c r="VYO55" s="2"/>
      <c r="VYP55" s="2"/>
      <c r="VYQ55" s="2"/>
      <c r="VYR55" s="42"/>
      <c r="VYS55" s="42"/>
      <c r="VYT55" s="42"/>
      <c r="VYU55" s="42"/>
      <c r="VYV55" s="42"/>
      <c r="VYW55" s="42"/>
      <c r="VYX55" s="42"/>
      <c r="VYY55" s="42"/>
      <c r="VYZ55" s="42"/>
      <c r="VZA55" s="42"/>
      <c r="VZB55" s="42"/>
      <c r="VZC55" s="42"/>
      <c r="VZD55" s="42"/>
      <c r="VZE55" s="42"/>
      <c r="VZF55" s="42"/>
      <c r="VZG55" s="42"/>
      <c r="VZH55" s="42"/>
      <c r="VZI55" s="42"/>
      <c r="VZJ55" s="42"/>
      <c r="VZK55" s="42"/>
      <c r="VZL55" s="42"/>
      <c r="VZM55" s="42"/>
      <c r="VZN55" s="42"/>
      <c r="VZO55" s="2"/>
      <c r="VZP55" s="15"/>
      <c r="VZQ55" s="42"/>
      <c r="VZR55" s="2"/>
      <c r="VZS55" s="2"/>
      <c r="VZT55" s="2"/>
      <c r="VZU55" s="2"/>
      <c r="VZV55" s="42"/>
      <c r="VZW55" s="42"/>
      <c r="VZX55" s="42"/>
      <c r="VZY55" s="42"/>
      <c r="VZZ55" s="42"/>
      <c r="WAA55" s="42"/>
      <c r="WAB55" s="42"/>
      <c r="WAC55" s="42"/>
      <c r="WAD55" s="42"/>
      <c r="WAE55" s="42"/>
      <c r="WAF55" s="42"/>
      <c r="WAG55" s="42"/>
      <c r="WAH55" s="42"/>
      <c r="WAI55" s="42"/>
      <c r="WAJ55" s="42"/>
      <c r="WAK55" s="42"/>
      <c r="WAL55" s="42"/>
      <c r="WAM55" s="42"/>
      <c r="WAN55" s="42"/>
      <c r="WAO55" s="42"/>
      <c r="WAP55" s="42"/>
      <c r="WAQ55" s="42"/>
      <c r="WAR55" s="42"/>
      <c r="WAS55" s="2"/>
      <c r="WAT55" s="15"/>
      <c r="WAU55" s="42"/>
      <c r="WAV55" s="2"/>
      <c r="WAW55" s="2"/>
      <c r="WAX55" s="2"/>
      <c r="WAY55" s="2"/>
      <c r="WAZ55" s="42"/>
      <c r="WBA55" s="42"/>
      <c r="WBB55" s="42"/>
      <c r="WBC55" s="42"/>
      <c r="WBD55" s="42"/>
      <c r="WBE55" s="42"/>
      <c r="WBF55" s="42"/>
      <c r="WBG55" s="42"/>
      <c r="WBH55" s="42"/>
      <c r="WBI55" s="42"/>
      <c r="WBJ55" s="42"/>
      <c r="WBK55" s="42"/>
      <c r="WBL55" s="42"/>
      <c r="WBM55" s="42"/>
      <c r="WBN55" s="42"/>
      <c r="WBO55" s="42"/>
      <c r="WBP55" s="42"/>
      <c r="WBQ55" s="42"/>
      <c r="WBR55" s="42"/>
      <c r="WBS55" s="42"/>
      <c r="WBT55" s="42"/>
      <c r="WBU55" s="42"/>
      <c r="WBV55" s="42"/>
      <c r="WBW55" s="2"/>
      <c r="WBX55" s="15"/>
      <c r="WBY55" s="42"/>
      <c r="WBZ55" s="2"/>
      <c r="WCA55" s="2"/>
      <c r="WCB55" s="2"/>
      <c r="WCC55" s="2"/>
      <c r="WCD55" s="42"/>
      <c r="WCE55" s="42"/>
      <c r="WCF55" s="42"/>
      <c r="WCG55" s="42"/>
      <c r="WCH55" s="42"/>
      <c r="WCI55" s="42"/>
      <c r="WCJ55" s="42"/>
      <c r="WCK55" s="42"/>
      <c r="WCL55" s="42"/>
      <c r="WCM55" s="42"/>
      <c r="WCN55" s="42"/>
      <c r="WCO55" s="42"/>
      <c r="WCP55" s="42"/>
      <c r="WCQ55" s="42"/>
      <c r="WCR55" s="42"/>
      <c r="WCS55" s="42"/>
      <c r="WCT55" s="42"/>
      <c r="WCU55" s="42"/>
      <c r="WCV55" s="42"/>
      <c r="WCW55" s="42"/>
      <c r="WCX55" s="42"/>
      <c r="WCY55" s="42"/>
      <c r="WCZ55" s="42"/>
      <c r="WDA55" s="2"/>
      <c r="WDB55" s="15"/>
      <c r="WDC55" s="42"/>
      <c r="WDD55" s="2"/>
      <c r="WDE55" s="2"/>
      <c r="WDF55" s="2"/>
      <c r="WDG55" s="2"/>
      <c r="WDH55" s="42"/>
      <c r="WDI55" s="42"/>
      <c r="WDJ55" s="42"/>
      <c r="WDK55" s="42"/>
      <c r="WDL55" s="42"/>
      <c r="WDM55" s="42"/>
      <c r="WDN55" s="42"/>
      <c r="WDO55" s="42"/>
      <c r="WDP55" s="42"/>
      <c r="WDQ55" s="42"/>
      <c r="WDR55" s="42"/>
      <c r="WDS55" s="42"/>
      <c r="WDT55" s="42"/>
      <c r="WDU55" s="42"/>
      <c r="WDV55" s="42"/>
      <c r="WDW55" s="42"/>
      <c r="WDX55" s="42"/>
      <c r="WDY55" s="42"/>
      <c r="WDZ55" s="42"/>
      <c r="WEA55" s="42"/>
      <c r="WEB55" s="42"/>
      <c r="WEC55" s="42"/>
      <c r="WED55" s="42"/>
      <c r="WEE55" s="2"/>
      <c r="WEF55" s="15"/>
      <c r="WEG55" s="42"/>
      <c r="WEH55" s="2"/>
      <c r="WEI55" s="2"/>
      <c r="WEJ55" s="2"/>
      <c r="WEK55" s="2"/>
      <c r="WEL55" s="42"/>
      <c r="WEM55" s="42"/>
      <c r="WEN55" s="42"/>
      <c r="WEO55" s="42"/>
      <c r="WEP55" s="42"/>
      <c r="WEQ55" s="42"/>
      <c r="WER55" s="42"/>
      <c r="WES55" s="42"/>
      <c r="WET55" s="42"/>
      <c r="WEU55" s="42"/>
      <c r="WEV55" s="42"/>
      <c r="WEW55" s="42"/>
      <c r="WEX55" s="42"/>
      <c r="WEY55" s="42"/>
      <c r="WEZ55" s="42"/>
      <c r="WFA55" s="42"/>
      <c r="WFB55" s="42"/>
      <c r="WFC55" s="42"/>
      <c r="WFD55" s="42"/>
      <c r="WFE55" s="42"/>
      <c r="WFF55" s="42"/>
      <c r="WFG55" s="42"/>
      <c r="WFH55" s="42"/>
      <c r="WFI55" s="2"/>
      <c r="WFJ55" s="15"/>
      <c r="WFK55" s="42"/>
      <c r="WFL55" s="2"/>
      <c r="WFM55" s="2"/>
      <c r="WFN55" s="2"/>
      <c r="WFO55" s="2"/>
      <c r="WFP55" s="42"/>
      <c r="WFQ55" s="42"/>
      <c r="WFR55" s="42"/>
      <c r="WFS55" s="42"/>
      <c r="WFT55" s="42"/>
      <c r="WFU55" s="42"/>
      <c r="WFV55" s="42"/>
      <c r="WFW55" s="42"/>
      <c r="WFX55" s="42"/>
      <c r="WFY55" s="42"/>
      <c r="WFZ55" s="42"/>
      <c r="WGA55" s="42"/>
      <c r="WGB55" s="42"/>
      <c r="WGC55" s="42"/>
      <c r="WGD55" s="42"/>
      <c r="WGE55" s="42"/>
      <c r="WGF55" s="42"/>
      <c r="WGG55" s="42"/>
      <c r="WGH55" s="42"/>
      <c r="WGI55" s="42"/>
      <c r="WGJ55" s="42"/>
      <c r="WGK55" s="42"/>
      <c r="WGL55" s="42"/>
      <c r="WGM55" s="2"/>
      <c r="WGN55" s="15"/>
      <c r="WGO55" s="42"/>
      <c r="WGP55" s="2"/>
      <c r="WGQ55" s="2"/>
      <c r="WGR55" s="2"/>
      <c r="WGS55" s="2"/>
      <c r="WGT55" s="42"/>
      <c r="WGU55" s="42"/>
      <c r="WGV55" s="42"/>
      <c r="WGW55" s="42"/>
      <c r="WGX55" s="42"/>
      <c r="WGY55" s="42"/>
      <c r="WGZ55" s="42"/>
      <c r="WHA55" s="42"/>
      <c r="WHB55" s="42"/>
      <c r="WHC55" s="42"/>
      <c r="WHD55" s="42"/>
      <c r="WHE55" s="42"/>
      <c r="WHF55" s="42"/>
      <c r="WHG55" s="42"/>
      <c r="WHH55" s="42"/>
      <c r="WHI55" s="42"/>
      <c r="WHJ55" s="42"/>
      <c r="WHK55" s="42"/>
      <c r="WHL55" s="42"/>
      <c r="WHM55" s="42"/>
      <c r="WHN55" s="42"/>
      <c r="WHO55" s="42"/>
      <c r="WHP55" s="42"/>
      <c r="WHQ55" s="2"/>
      <c r="WHR55" s="15"/>
      <c r="WHS55" s="42"/>
      <c r="WHT55" s="2"/>
      <c r="WHU55" s="2"/>
      <c r="WHV55" s="2"/>
      <c r="WHW55" s="2"/>
      <c r="WHX55" s="42"/>
      <c r="WHY55" s="42"/>
      <c r="WHZ55" s="42"/>
      <c r="WIA55" s="42"/>
      <c r="WIB55" s="42"/>
      <c r="WIC55" s="42"/>
      <c r="WID55" s="42"/>
      <c r="WIE55" s="42"/>
      <c r="WIF55" s="42"/>
      <c r="WIG55" s="42"/>
      <c r="WIH55" s="42"/>
      <c r="WII55" s="42"/>
      <c r="WIJ55" s="42"/>
      <c r="WIK55" s="42"/>
      <c r="WIL55" s="42"/>
      <c r="WIM55" s="42"/>
      <c r="WIN55" s="42"/>
      <c r="WIO55" s="42"/>
      <c r="WIP55" s="42"/>
      <c r="WIQ55" s="42"/>
      <c r="WIR55" s="42"/>
      <c r="WIS55" s="42"/>
      <c r="WIT55" s="42"/>
      <c r="WIU55" s="2"/>
      <c r="WIV55" s="15"/>
      <c r="WIW55" s="42"/>
      <c r="WIX55" s="2"/>
      <c r="WIY55" s="2"/>
      <c r="WIZ55" s="2"/>
      <c r="WJA55" s="2"/>
      <c r="WJB55" s="42"/>
      <c r="WJC55" s="42"/>
      <c r="WJD55" s="42"/>
      <c r="WJE55" s="42"/>
      <c r="WJF55" s="42"/>
      <c r="WJG55" s="42"/>
      <c r="WJH55" s="42"/>
      <c r="WJI55" s="42"/>
      <c r="WJJ55" s="42"/>
      <c r="WJK55" s="42"/>
      <c r="WJL55" s="42"/>
      <c r="WJM55" s="42"/>
      <c r="WJN55" s="42"/>
      <c r="WJO55" s="42"/>
      <c r="WJP55" s="42"/>
      <c r="WJQ55" s="42"/>
      <c r="WJR55" s="42"/>
      <c r="WJS55" s="42"/>
      <c r="WJT55" s="42"/>
      <c r="WJU55" s="42"/>
      <c r="WJV55" s="42"/>
      <c r="WJW55" s="42"/>
      <c r="WJX55" s="42"/>
      <c r="WJY55" s="2"/>
      <c r="WJZ55" s="15"/>
      <c r="WKA55" s="42"/>
      <c r="WKB55" s="2"/>
      <c r="WKC55" s="2"/>
      <c r="WKD55" s="2"/>
      <c r="WKE55" s="2"/>
      <c r="WKF55" s="42"/>
      <c r="WKG55" s="42"/>
      <c r="WKH55" s="42"/>
      <c r="WKI55" s="42"/>
      <c r="WKJ55" s="42"/>
      <c r="WKK55" s="42"/>
      <c r="WKL55" s="42"/>
      <c r="WKM55" s="42"/>
      <c r="WKN55" s="42"/>
      <c r="WKO55" s="42"/>
      <c r="WKP55" s="42"/>
      <c r="WKQ55" s="42"/>
      <c r="WKR55" s="42"/>
      <c r="WKS55" s="42"/>
      <c r="WKT55" s="42"/>
      <c r="WKU55" s="42"/>
      <c r="WKV55" s="42"/>
      <c r="WKW55" s="42"/>
      <c r="WKX55" s="42"/>
      <c r="WKY55" s="42"/>
      <c r="WKZ55" s="42"/>
      <c r="WLA55" s="42"/>
      <c r="WLB55" s="42"/>
      <c r="WLC55" s="2"/>
      <c r="WLD55" s="15"/>
      <c r="WLE55" s="42"/>
      <c r="WLF55" s="2"/>
      <c r="WLG55" s="2"/>
      <c r="WLH55" s="2"/>
      <c r="WLI55" s="2"/>
      <c r="WLJ55" s="42"/>
      <c r="WLK55" s="42"/>
      <c r="WLL55" s="42"/>
      <c r="WLM55" s="42"/>
      <c r="WLN55" s="42"/>
      <c r="WLO55" s="42"/>
      <c r="WLP55" s="42"/>
      <c r="WLQ55" s="42"/>
      <c r="WLR55" s="42"/>
      <c r="WLS55" s="42"/>
      <c r="WLT55" s="42"/>
      <c r="WLU55" s="42"/>
      <c r="WLV55" s="42"/>
      <c r="WLW55" s="42"/>
      <c r="WLX55" s="42"/>
      <c r="WLY55" s="42"/>
      <c r="WLZ55" s="42"/>
      <c r="WMA55" s="42"/>
      <c r="WMB55" s="42"/>
      <c r="WMC55" s="42"/>
      <c r="WMD55" s="42"/>
      <c r="WME55" s="42"/>
      <c r="WMF55" s="42"/>
      <c r="WMG55" s="2"/>
      <c r="WMH55" s="15"/>
      <c r="WMI55" s="42"/>
      <c r="WMJ55" s="2"/>
      <c r="WMK55" s="2"/>
      <c r="WML55" s="2"/>
      <c r="WMM55" s="2"/>
      <c r="WMN55" s="42"/>
      <c r="WMO55" s="42"/>
      <c r="WMP55" s="42"/>
      <c r="WMQ55" s="42"/>
      <c r="WMR55" s="42"/>
      <c r="WMS55" s="42"/>
      <c r="WMT55" s="42"/>
      <c r="WMU55" s="42"/>
      <c r="WMV55" s="42"/>
      <c r="WMW55" s="42"/>
      <c r="WMX55" s="42"/>
      <c r="WMY55" s="42"/>
      <c r="WMZ55" s="42"/>
      <c r="WNA55" s="42"/>
      <c r="WNB55" s="42"/>
      <c r="WNC55" s="42"/>
      <c r="WND55" s="42"/>
      <c r="WNE55" s="42"/>
      <c r="WNF55" s="42"/>
      <c r="WNG55" s="42"/>
      <c r="WNH55" s="42"/>
      <c r="WNI55" s="42"/>
      <c r="WNJ55" s="42"/>
      <c r="WNK55" s="2"/>
      <c r="WNL55" s="15"/>
      <c r="WNM55" s="42"/>
      <c r="WNN55" s="2"/>
      <c r="WNO55" s="2"/>
      <c r="WNP55" s="2"/>
      <c r="WNQ55" s="2"/>
      <c r="WNR55" s="42"/>
      <c r="WNS55" s="42"/>
      <c r="WNT55" s="42"/>
      <c r="WNU55" s="42"/>
      <c r="WNV55" s="42"/>
      <c r="WNW55" s="42"/>
      <c r="WNX55" s="42"/>
      <c r="WNY55" s="42"/>
      <c r="WNZ55" s="42"/>
      <c r="WOA55" s="42"/>
      <c r="WOB55" s="42"/>
      <c r="WOC55" s="42"/>
      <c r="WOD55" s="42"/>
      <c r="WOE55" s="42"/>
      <c r="WOF55" s="42"/>
      <c r="WOG55" s="42"/>
      <c r="WOH55" s="42"/>
      <c r="WOI55" s="42"/>
      <c r="WOJ55" s="42"/>
      <c r="WOK55" s="42"/>
      <c r="WOL55" s="42"/>
      <c r="WOM55" s="42"/>
      <c r="WON55" s="42"/>
      <c r="WOO55" s="2"/>
      <c r="WOP55" s="15"/>
      <c r="WOQ55" s="42"/>
      <c r="WOR55" s="2"/>
      <c r="WOS55" s="2"/>
      <c r="WOT55" s="2"/>
      <c r="WOU55" s="2"/>
      <c r="WOV55" s="42"/>
      <c r="WOW55" s="42"/>
      <c r="WOX55" s="42"/>
      <c r="WOY55" s="42"/>
      <c r="WOZ55" s="42"/>
      <c r="WPA55" s="42"/>
      <c r="WPB55" s="42"/>
      <c r="WPC55" s="42"/>
      <c r="WPD55" s="42"/>
      <c r="WPE55" s="42"/>
      <c r="WPF55" s="42"/>
      <c r="WPG55" s="42"/>
      <c r="WPH55" s="42"/>
      <c r="WPI55" s="42"/>
      <c r="WPJ55" s="42"/>
      <c r="WPK55" s="42"/>
      <c r="WPL55" s="42"/>
      <c r="WPM55" s="42"/>
      <c r="WPN55" s="42"/>
      <c r="WPO55" s="42"/>
      <c r="WPP55" s="42"/>
      <c r="WPQ55" s="42"/>
      <c r="WPR55" s="42"/>
      <c r="WPS55" s="2"/>
      <c r="WPT55" s="15"/>
      <c r="WPU55" s="42"/>
      <c r="WPV55" s="2"/>
      <c r="WPW55" s="2"/>
      <c r="WPX55" s="2"/>
      <c r="WPY55" s="2"/>
      <c r="WPZ55" s="42"/>
      <c r="WQA55" s="42"/>
      <c r="WQB55" s="42"/>
      <c r="WQC55" s="42"/>
      <c r="WQD55" s="42"/>
      <c r="WQE55" s="42"/>
      <c r="WQF55" s="42"/>
      <c r="WQG55" s="42"/>
      <c r="WQH55" s="42"/>
      <c r="WQI55" s="42"/>
      <c r="WQJ55" s="42"/>
      <c r="WQK55" s="42"/>
      <c r="WQL55" s="42"/>
      <c r="WQM55" s="42"/>
      <c r="WQN55" s="42"/>
      <c r="WQO55" s="42"/>
      <c r="WQP55" s="42"/>
      <c r="WQQ55" s="42"/>
      <c r="WQR55" s="42"/>
      <c r="WQS55" s="42"/>
      <c r="WQT55" s="42"/>
      <c r="WQU55" s="42"/>
      <c r="WQV55" s="42"/>
      <c r="WQW55" s="2"/>
      <c r="WQX55" s="15"/>
      <c r="WQY55" s="42"/>
      <c r="WQZ55" s="2"/>
      <c r="WRA55" s="2"/>
      <c r="WRB55" s="2"/>
      <c r="WRC55" s="2"/>
      <c r="WRD55" s="42"/>
      <c r="WRE55" s="42"/>
      <c r="WRF55" s="42"/>
      <c r="WRG55" s="42"/>
      <c r="WRH55" s="42"/>
      <c r="WRI55" s="42"/>
      <c r="WRJ55" s="42"/>
      <c r="WRK55" s="42"/>
      <c r="WRL55" s="42"/>
      <c r="WRM55" s="42"/>
      <c r="WRN55" s="42"/>
      <c r="WRO55" s="42"/>
      <c r="WRP55" s="42"/>
      <c r="WRQ55" s="42"/>
      <c r="WRR55" s="42"/>
      <c r="WRS55" s="42"/>
      <c r="WRT55" s="42"/>
      <c r="WRU55" s="42"/>
      <c r="WRV55" s="42"/>
      <c r="WRW55" s="42"/>
      <c r="WRX55" s="42"/>
      <c r="WRY55" s="42"/>
      <c r="WRZ55" s="42"/>
      <c r="WSA55" s="2"/>
      <c r="WSB55" s="15"/>
      <c r="WSC55" s="42"/>
      <c r="WSD55" s="2"/>
      <c r="WSE55" s="2"/>
      <c r="WSF55" s="2"/>
      <c r="WSG55" s="2"/>
      <c r="WSH55" s="42"/>
      <c r="WSI55" s="42"/>
      <c r="WSJ55" s="42"/>
      <c r="WSK55" s="42"/>
      <c r="WSL55" s="42"/>
      <c r="WSM55" s="42"/>
      <c r="WSN55" s="42"/>
      <c r="WSO55" s="42"/>
      <c r="WSP55" s="42"/>
      <c r="WSQ55" s="42"/>
      <c r="WSR55" s="42"/>
      <c r="WSS55" s="42"/>
      <c r="WST55" s="42"/>
      <c r="WSU55" s="42"/>
      <c r="WSV55" s="42"/>
      <c r="WSW55" s="42"/>
      <c r="WSX55" s="42"/>
      <c r="WSY55" s="42"/>
      <c r="WSZ55" s="42"/>
      <c r="WTA55" s="42"/>
      <c r="WTB55" s="42"/>
      <c r="WTC55" s="42"/>
      <c r="WTD55" s="42"/>
      <c r="WTE55" s="2"/>
      <c r="WTF55" s="15"/>
      <c r="WTG55" s="42"/>
      <c r="WTH55" s="2"/>
      <c r="WTI55" s="2"/>
      <c r="WTJ55" s="2"/>
      <c r="WTK55" s="2"/>
      <c r="WTL55" s="42"/>
      <c r="WTM55" s="42"/>
      <c r="WTN55" s="42"/>
      <c r="WTO55" s="42"/>
      <c r="WTP55" s="42"/>
      <c r="WTQ55" s="42"/>
      <c r="WTR55" s="42"/>
      <c r="WTS55" s="42"/>
      <c r="WTT55" s="42"/>
      <c r="WTU55" s="42"/>
      <c r="WTV55" s="42"/>
      <c r="WTW55" s="42"/>
      <c r="WTX55" s="42"/>
      <c r="WTY55" s="42"/>
      <c r="WTZ55" s="42"/>
      <c r="WUA55" s="42"/>
      <c r="WUB55" s="42"/>
      <c r="WUC55" s="42"/>
      <c r="WUD55" s="42"/>
      <c r="WUE55" s="42"/>
      <c r="WUF55" s="42"/>
      <c r="WUG55" s="42"/>
      <c r="WUH55" s="42"/>
      <c r="WUI55" s="2"/>
      <c r="WUJ55" s="15"/>
      <c r="WUK55" s="42"/>
      <c r="WUL55" s="2"/>
      <c r="WUM55" s="2"/>
      <c r="WUN55" s="2"/>
      <c r="WUO55" s="2"/>
      <c r="WUP55" s="42"/>
      <c r="WUQ55" s="42"/>
      <c r="WUR55" s="42"/>
      <c r="WUS55" s="42"/>
      <c r="WUT55" s="42"/>
      <c r="WUU55" s="42"/>
      <c r="WUV55" s="42"/>
      <c r="WUW55" s="42"/>
      <c r="WUX55" s="42"/>
      <c r="WUY55" s="42"/>
      <c r="WUZ55" s="42"/>
      <c r="WVA55" s="42"/>
      <c r="WVB55" s="42"/>
      <c r="WVC55" s="42"/>
      <c r="WVD55" s="42"/>
      <c r="WVE55" s="42"/>
      <c r="WVF55" s="42"/>
      <c r="WVG55" s="42"/>
      <c r="WVH55" s="42"/>
      <c r="WVI55" s="42"/>
      <c r="WVJ55" s="42"/>
      <c r="WVK55" s="42"/>
      <c r="WVL55" s="42"/>
      <c r="WVM55" s="2"/>
      <c r="WVN55" s="15"/>
      <c r="WVO55" s="42"/>
      <c r="WVP55" s="2"/>
      <c r="WVQ55" s="2"/>
      <c r="WVR55" s="2"/>
      <c r="WVS55" s="2"/>
      <c r="WVT55" s="42"/>
      <c r="WVU55" s="42"/>
      <c r="WVV55" s="42"/>
      <c r="WVW55" s="42"/>
      <c r="WVX55" s="42"/>
      <c r="WVY55" s="42"/>
      <c r="WVZ55" s="42"/>
      <c r="WWA55" s="42"/>
      <c r="WWB55" s="42"/>
      <c r="WWC55" s="42"/>
      <c r="WWD55" s="42"/>
      <c r="WWE55" s="42"/>
      <c r="WWF55" s="42"/>
      <c r="WWG55" s="42"/>
      <c r="WWH55" s="42"/>
      <c r="WWI55" s="42"/>
      <c r="WWJ55" s="42"/>
      <c r="WWK55" s="42"/>
      <c r="WWL55" s="42"/>
      <c r="WWM55" s="42"/>
      <c r="WWN55" s="42"/>
      <c r="WWO55" s="42"/>
      <c r="WWP55" s="42"/>
      <c r="WWQ55" s="2"/>
      <c r="WWR55" s="15"/>
      <c r="WWS55" s="42"/>
      <c r="WWT55" s="2"/>
      <c r="WWU55" s="2"/>
      <c r="WWV55" s="2"/>
      <c r="WWW55" s="2"/>
      <c r="WWX55" s="42"/>
      <c r="WWY55" s="42"/>
      <c r="WWZ55" s="42"/>
      <c r="WXA55" s="42"/>
      <c r="WXB55" s="42"/>
      <c r="WXC55" s="42"/>
      <c r="WXD55" s="42"/>
      <c r="WXE55" s="42"/>
      <c r="WXF55" s="42"/>
      <c r="WXG55" s="42"/>
      <c r="WXH55" s="42"/>
      <c r="WXI55" s="42"/>
      <c r="WXJ55" s="42"/>
      <c r="WXK55" s="42"/>
      <c r="WXL55" s="42"/>
      <c r="WXM55" s="42"/>
      <c r="WXN55" s="42"/>
      <c r="WXO55" s="42"/>
      <c r="WXP55" s="42"/>
      <c r="WXQ55" s="42"/>
      <c r="WXR55" s="42"/>
      <c r="WXS55" s="42"/>
      <c r="WXT55" s="42"/>
      <c r="WXU55" s="2"/>
      <c r="WXV55" s="15"/>
      <c r="WXW55" s="42"/>
      <c r="WXX55" s="2"/>
      <c r="WXY55" s="2"/>
      <c r="WXZ55" s="2"/>
      <c r="WYA55" s="2"/>
      <c r="WYB55" s="42"/>
      <c r="WYC55" s="42"/>
      <c r="WYD55" s="42"/>
      <c r="WYE55" s="42"/>
      <c r="WYF55" s="42"/>
      <c r="WYG55" s="42"/>
      <c r="WYH55" s="42"/>
      <c r="WYI55" s="42"/>
      <c r="WYJ55" s="42"/>
      <c r="WYK55" s="42"/>
      <c r="WYL55" s="42"/>
      <c r="WYM55" s="42"/>
      <c r="WYN55" s="42"/>
      <c r="WYO55" s="42"/>
      <c r="WYP55" s="42"/>
      <c r="WYQ55" s="42"/>
      <c r="WYR55" s="42"/>
      <c r="WYS55" s="42"/>
      <c r="WYT55" s="42"/>
      <c r="WYU55" s="42"/>
      <c r="WYV55" s="42"/>
      <c r="WYW55" s="42"/>
      <c r="WYX55" s="42"/>
      <c r="WYY55" s="2"/>
      <c r="WYZ55" s="15"/>
      <c r="WZA55" s="42"/>
      <c r="WZB55" s="2"/>
      <c r="WZC55" s="2"/>
      <c r="WZD55" s="2"/>
      <c r="WZE55" s="2"/>
      <c r="WZF55" s="42"/>
      <c r="WZG55" s="42"/>
      <c r="WZH55" s="42"/>
      <c r="WZI55" s="42"/>
      <c r="WZJ55" s="42"/>
      <c r="WZK55" s="42"/>
      <c r="WZL55" s="42"/>
      <c r="WZM55" s="42"/>
      <c r="WZN55" s="42"/>
      <c r="WZO55" s="42"/>
      <c r="WZP55" s="42"/>
      <c r="WZQ55" s="42"/>
      <c r="WZR55" s="42"/>
      <c r="WZS55" s="42"/>
      <c r="WZT55" s="42"/>
      <c r="WZU55" s="42"/>
      <c r="WZV55" s="42"/>
      <c r="WZW55" s="42"/>
      <c r="WZX55" s="42"/>
      <c r="WZY55" s="42"/>
      <c r="WZZ55" s="42"/>
      <c r="XAA55" s="42"/>
      <c r="XAB55" s="42"/>
      <c r="XAC55" s="2"/>
      <c r="XAD55" s="15"/>
      <c r="XAE55" s="42"/>
      <c r="XAF55" s="2"/>
      <c r="XAG55" s="2"/>
      <c r="XAH55" s="2"/>
      <c r="XAI55" s="2"/>
      <c r="XAJ55" s="42"/>
      <c r="XAK55" s="42"/>
      <c r="XAL55" s="42"/>
      <c r="XAM55" s="42"/>
      <c r="XAN55" s="42"/>
      <c r="XAO55" s="42"/>
      <c r="XAP55" s="42"/>
      <c r="XAQ55" s="42"/>
      <c r="XAR55" s="42"/>
      <c r="XAS55" s="42"/>
      <c r="XAT55" s="42"/>
      <c r="XAU55" s="42"/>
      <c r="XAV55" s="42"/>
      <c r="XAW55" s="42"/>
      <c r="XAX55" s="42"/>
      <c r="XAY55" s="42"/>
      <c r="XAZ55" s="42"/>
      <c r="XBA55" s="42"/>
      <c r="XBB55" s="42"/>
      <c r="XBC55" s="42"/>
      <c r="XBD55" s="42"/>
      <c r="XBE55" s="42"/>
      <c r="XBF55" s="42"/>
      <c r="XBG55" s="2"/>
      <c r="XBH55" s="15"/>
      <c r="XBI55" s="42"/>
      <c r="XBJ55" s="2"/>
      <c r="XBK55" s="2"/>
      <c r="XBL55" s="2"/>
      <c r="XBM55" s="2"/>
      <c r="XBN55" s="42"/>
      <c r="XBO55" s="42"/>
      <c r="XBP55" s="42"/>
      <c r="XBQ55" s="42"/>
      <c r="XBR55" s="42"/>
      <c r="XBS55" s="42"/>
      <c r="XBT55" s="42"/>
      <c r="XBU55" s="42"/>
      <c r="XBV55" s="42"/>
      <c r="XBW55" s="42"/>
      <c r="XBX55" s="42"/>
      <c r="XBY55" s="42"/>
      <c r="XBZ55" s="42"/>
      <c r="XCA55" s="42"/>
      <c r="XCB55" s="42"/>
      <c r="XCC55" s="42"/>
      <c r="XCD55" s="42"/>
      <c r="XCE55" s="42"/>
      <c r="XCF55" s="42"/>
      <c r="XCG55" s="42"/>
      <c r="XCH55" s="42"/>
      <c r="XCI55" s="42"/>
      <c r="XCJ55" s="42"/>
      <c r="XCK55" s="2"/>
      <c r="XCL55" s="15"/>
      <c r="XCM55" s="42"/>
      <c r="XCN55" s="2"/>
      <c r="XCO55" s="2"/>
      <c r="XCP55" s="2"/>
      <c r="XCQ55" s="2"/>
      <c r="XCR55" s="42"/>
      <c r="XCS55" s="42"/>
      <c r="XCT55" s="42"/>
      <c r="XCU55" s="42"/>
      <c r="XCV55" s="42"/>
      <c r="XCW55" s="42"/>
      <c r="XCX55" s="42"/>
      <c r="XCY55" s="42"/>
      <c r="XCZ55" s="42"/>
      <c r="XDA55" s="42"/>
      <c r="XDB55" s="42"/>
      <c r="XDC55" s="42"/>
      <c r="XDD55" s="42"/>
      <c r="XDE55" s="42"/>
      <c r="XDF55" s="42"/>
      <c r="XDG55" s="42"/>
      <c r="XDH55" s="42"/>
      <c r="XDI55" s="42"/>
      <c r="XDJ55" s="42"/>
      <c r="XDK55" s="42"/>
      <c r="XDL55" s="42"/>
      <c r="XDM55" s="42"/>
      <c r="XDN55" s="42"/>
      <c r="XDO55" s="2"/>
      <c r="XDP55" s="15"/>
      <c r="XDQ55" s="42"/>
      <c r="XDR55" s="2"/>
      <c r="XDS55" s="2"/>
      <c r="XDT55" s="2"/>
      <c r="XDU55" s="2"/>
      <c r="XDV55" s="42"/>
      <c r="XDW55" s="42"/>
      <c r="XDX55" s="42"/>
      <c r="XDY55" s="42"/>
      <c r="XDZ55" s="42"/>
      <c r="XEA55" s="42"/>
      <c r="XEB55" s="42"/>
      <c r="XEC55" s="42"/>
      <c r="XED55" s="42"/>
      <c r="XEE55" s="42"/>
      <c r="XEF55" s="42"/>
      <c r="XEG55" s="42"/>
      <c r="XEH55" s="42"/>
      <c r="XEI55" s="42"/>
      <c r="XEJ55" s="42"/>
      <c r="XEK55" s="42"/>
      <c r="XEL55" s="42"/>
      <c r="XEM55" s="42"/>
      <c r="XEN55" s="42"/>
      <c r="XEO55" s="42"/>
      <c r="XEP55" s="42"/>
      <c r="XEQ55" s="42"/>
      <c r="XER55" s="42"/>
      <c r="XES55" s="2"/>
      <c r="XET55" s="15"/>
      <c r="XEU55" s="42"/>
      <c r="XEV55" s="2"/>
    </row>
    <row r="56" spans="1:16376">
      <c r="C56" s="15"/>
      <c r="D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Z56" s="42"/>
      <c r="BA56" s="42"/>
    </row>
    <row r="57" spans="1:16376">
      <c r="C57" s="15"/>
      <c r="D57" s="42"/>
      <c r="I57" s="42"/>
      <c r="J57" s="42"/>
      <c r="K57" s="42"/>
      <c r="L57" s="42"/>
      <c r="M57" s="42"/>
      <c r="N57" s="42"/>
      <c r="O57" s="42"/>
      <c r="P57" s="42"/>
      <c r="Q57" s="42"/>
      <c r="R57" s="1067"/>
      <c r="S57" s="42"/>
      <c r="T57" s="42"/>
      <c r="U57" s="42"/>
      <c r="V57" s="42"/>
      <c r="W57" s="42"/>
      <c r="X57" s="42"/>
      <c r="Y57" s="42"/>
      <c r="Z57" s="42"/>
      <c r="AA57" s="42"/>
      <c r="AB57" s="1069"/>
      <c r="AC57" s="42"/>
      <c r="AD57" s="42"/>
      <c r="AE57" s="42"/>
      <c r="AF57" s="42"/>
      <c r="AH57" s="42"/>
      <c r="AJ57" s="42"/>
      <c r="AL57" s="1068"/>
      <c r="AZ57" s="42"/>
      <c r="BA57" s="42"/>
    </row>
    <row r="58" spans="1:16376">
      <c r="B58" s="576" t="s">
        <v>964</v>
      </c>
      <c r="C58" s="173" t="s">
        <v>217</v>
      </c>
      <c r="D58" s="174" t="s">
        <v>71</v>
      </c>
      <c r="AG58" s="590"/>
      <c r="AJ58" s="42"/>
      <c r="AZ58" s="42"/>
      <c r="BA58" s="42"/>
    </row>
    <row r="59" spans="1:16376">
      <c r="B59" s="175"/>
      <c r="C59" s="582" t="str">
        <f>IF('Input '!$F$9=1,"US$","=N=")</f>
        <v>US$</v>
      </c>
      <c r="D59" s="176"/>
      <c r="AJ59" s="42"/>
      <c r="AZ59" s="42"/>
      <c r="BA59" s="42"/>
    </row>
    <row r="60" spans="1:16376">
      <c r="B60" s="177" t="s">
        <v>118</v>
      </c>
      <c r="C60" s="118">
        <f>IF('Input '!$F$9=1,('Input '!E88+'Input '!E87)/Exchange_Rate,('Input '!E88+'Input '!E87)*Sens_projectcost)</f>
        <v>3209000</v>
      </c>
      <c r="D60" s="178">
        <f>SUM(I60:AY60)</f>
        <v>0.99999999999999989</v>
      </c>
      <c r="I60" s="106">
        <f>IF(Capex_Phasing_sensitivity=1,Sheet4!L10,IF(Capex_Phasing_sensitivity=2,Sheet4!L21,IF(Capex_Phasing_sensitivity=3,Sheet4!L32,IF(Capex_Phasing_sensitivity=4,Sheet4!L43,IF(Capex_Phasing_sensitivity=5,Sheet4!L54,IF(Capex_Phasing_sensitivity=6,Sheet4!L65,0))))))</f>
        <v>0</v>
      </c>
      <c r="J60" s="106">
        <f>IF(Capex_Phasing_sensitivity=1,Sheet4!M10,IF(Capex_Phasing_sensitivity=2,Sheet4!M21,IF(Capex_Phasing_sensitivity=3,Sheet4!M32,IF(Capex_Phasing_sensitivity=4,Sheet4!M43,IF(Capex_Phasing_sensitivity=5,Sheet4!M54,IF(Capex_Phasing_sensitivity=6,Sheet4!M65,0))))))</f>
        <v>0</v>
      </c>
      <c r="K60" s="106">
        <f>IF(Capex_Phasing_sensitivity=1,Sheet4!N10,IF(Capex_Phasing_sensitivity=2,Sheet4!N21,IF(Capex_Phasing_sensitivity=3,Sheet4!N32,IF(Capex_Phasing_sensitivity=4,Sheet4!N43,IF(Capex_Phasing_sensitivity=5,Sheet4!N54,IF(Capex_Phasing_sensitivity=6,Sheet4!N65,0))))))</f>
        <v>0</v>
      </c>
      <c r="L60" s="106">
        <f>IF(Capex_Phasing_sensitivity=1,Sheet4!O10,IF(Capex_Phasing_sensitivity=2,Sheet4!O21,IF(Capex_Phasing_sensitivity=3,Sheet4!O32,IF(Capex_Phasing_sensitivity=4,Sheet4!O43,IF(Capex_Phasing_sensitivity=5,Sheet4!O54,IF(Capex_Phasing_sensitivity=6,Sheet4!O65,0))))))</f>
        <v>0</v>
      </c>
      <c r="M60" s="106">
        <f>IF(Capex_Phasing_sensitivity=1,Sheet4!P10,IF(Capex_Phasing_sensitivity=2,Sheet4!P21,IF(Capex_Phasing_sensitivity=3,Sheet4!P32,IF(Capex_Phasing_sensitivity=4,Sheet4!P43,IF(Capex_Phasing_sensitivity=5,Sheet4!P54,IF(Capex_Phasing_sensitivity=6,Sheet4!P65,0))))))</f>
        <v>0</v>
      </c>
      <c r="N60" s="106">
        <f>IF(Capex_Phasing_sensitivity=1,Sheet4!Q10,IF(Capex_Phasing_sensitivity=2,Sheet4!Q21,IF(Capex_Phasing_sensitivity=3,Sheet4!Q32,IF(Capex_Phasing_sensitivity=4,Sheet4!Q43,IF(Capex_Phasing_sensitivity=5,Sheet4!Q54,IF(Capex_Phasing_sensitivity=6,Sheet4!Q65,0))))))</f>
        <v>0</v>
      </c>
      <c r="O60" s="106">
        <f>IF(Capex_Phasing_sensitivity=1,Sheet4!R10,IF(Capex_Phasing_sensitivity=2,Sheet4!R21,IF(Capex_Phasing_sensitivity=3,Sheet4!R32,IF(Capex_Phasing_sensitivity=4,Sheet4!R43,IF(Capex_Phasing_sensitivity=5,Sheet4!R54,IF(Capex_Phasing_sensitivity=6,Sheet4!R65,0))))))</f>
        <v>0</v>
      </c>
      <c r="P60" s="106">
        <f>IF(Capex_Phasing_sensitivity=1,Sheet4!S10,IF(Capex_Phasing_sensitivity=2,Sheet4!S21,IF(Capex_Phasing_sensitivity=3,Sheet4!S32,IF(Capex_Phasing_sensitivity=4,Sheet4!S43,IF(Capex_Phasing_sensitivity=5,Sheet4!S54,IF(Capex_Phasing_sensitivity=6,Sheet4!S65,0))))))</f>
        <v>0</v>
      </c>
      <c r="Q60" s="106">
        <f>IF(Capex_Phasing_sensitivity=1,Sheet4!T10,IF(Capex_Phasing_sensitivity=2,Sheet4!T21,IF(Capex_Phasing_sensitivity=3,Sheet4!T32,IF(Capex_Phasing_sensitivity=4,Sheet4!T43,IF(Capex_Phasing_sensitivity=5,Sheet4!T54,IF(Capex_Phasing_sensitivity=6,Sheet4!T65,0))))))</f>
        <v>0</v>
      </c>
      <c r="R60" s="106">
        <f>IF(Capex_Phasing_sensitivity=1,Sheet4!U10,IF(Capex_Phasing_sensitivity=2,Sheet4!U21,IF(Capex_Phasing_sensitivity=3,Sheet4!U32,IF(Capex_Phasing_sensitivity=4,Sheet4!U43,IF(Capex_Phasing_sensitivity=5,Sheet4!U54,IF(Capex_Phasing_sensitivity=6,Sheet4!U65,0))))))</f>
        <v>0</v>
      </c>
      <c r="S60" s="106">
        <f>IF(Capex_Phasing_sensitivity=1,Sheet4!V10,IF(Capex_Phasing_sensitivity=2,Sheet4!V21,IF(Capex_Phasing_sensitivity=3,Sheet4!V32,IF(Capex_Phasing_sensitivity=4,Sheet4!V43,IF(Capex_Phasing_sensitivity=5,Sheet4!V54,IF(Capex_Phasing_sensitivity=6,Sheet4!V65,0))))))</f>
        <v>0</v>
      </c>
      <c r="T60" s="106">
        <f>IF(Capex_Phasing_sensitivity=1,Sheet4!W10,IF(Capex_Phasing_sensitivity=2,Sheet4!W21,IF(Capex_Phasing_sensitivity=3,Sheet4!W32,IF(Capex_Phasing_sensitivity=4,Sheet4!W43,IF(Capex_Phasing_sensitivity=5,Sheet4!W54,IF(Capex_Phasing_sensitivity=6,Sheet4!W65,0))))))</f>
        <v>0</v>
      </c>
      <c r="U60" s="106">
        <f>IF(Capex_Phasing_sensitivity=1,Sheet4!X10,IF(Capex_Phasing_sensitivity=2,Sheet4!X21,IF(Capex_Phasing_sensitivity=3,Sheet4!X32,IF(Capex_Phasing_sensitivity=4,Sheet4!X43,IF(Capex_Phasing_sensitivity=5,Sheet4!X54,IF(Capex_Phasing_sensitivity=6,Sheet4!X65,0))))))</f>
        <v>0</v>
      </c>
      <c r="V60" s="106">
        <f>IF(Capex_Phasing_sensitivity=1,Sheet4!Y10,IF(Capex_Phasing_sensitivity=2,Sheet4!Y21,IF(Capex_Phasing_sensitivity=3,Sheet4!Y32,IF(Capex_Phasing_sensitivity=4,Sheet4!Y43,IF(Capex_Phasing_sensitivity=5,Sheet4!Y54,IF(Capex_Phasing_sensitivity=6,Sheet4!Y65,0))))))</f>
        <v>0</v>
      </c>
      <c r="W60" s="106">
        <f>IF(Capex_Phasing_sensitivity=1,Sheet4!Z10,IF(Capex_Phasing_sensitivity=2,Sheet4!Z21,IF(Capex_Phasing_sensitivity=3,Sheet4!Z32,IF(Capex_Phasing_sensitivity=4,Sheet4!Z43,IF(Capex_Phasing_sensitivity=5,Sheet4!Z54,IF(Capex_Phasing_sensitivity=6,Sheet4!Z65,0))))))</f>
        <v>0</v>
      </c>
      <c r="X60" s="106">
        <f>IF(Capex_Phasing_sensitivity=1,Sheet4!AA10,IF(Capex_Phasing_sensitivity=2,Sheet4!AA21,IF(Capex_Phasing_sensitivity=3,Sheet4!AA32,IF(Capex_Phasing_sensitivity=4,Sheet4!AA43,IF(Capex_Phasing_sensitivity=5,Sheet4!AA54,IF(Capex_Phasing_sensitivity=6,Sheet4!AA65,0))))))</f>
        <v>0</v>
      </c>
      <c r="Y60" s="106">
        <f>IF(Capex_Phasing_sensitivity=1,Sheet4!AB10,IF(Capex_Phasing_sensitivity=2,Sheet4!AB21,IF(Capex_Phasing_sensitivity=3,Sheet4!AB32,IF(Capex_Phasing_sensitivity=4,Sheet4!AB43,IF(Capex_Phasing_sensitivity=5,Sheet4!AB54,IF(Capex_Phasing_sensitivity=6,Sheet4!AB65,0))))))</f>
        <v>0</v>
      </c>
      <c r="Z60" s="106">
        <f>IF(Capex_Phasing_sensitivity=1,Sheet4!AC10,IF(Capex_Phasing_sensitivity=2,Sheet4!AC21,IF(Capex_Phasing_sensitivity=3,Sheet4!AC32,IF(Capex_Phasing_sensitivity=4,Sheet4!AC43,IF(Capex_Phasing_sensitivity=5,Sheet4!AC54,IF(Capex_Phasing_sensitivity=6,Sheet4!AC65,0))))))</f>
        <v>0.02</v>
      </c>
      <c r="AA60" s="106">
        <f>IF(Capex_Phasing_sensitivity=1,Sheet4!AD10,IF(Capex_Phasing_sensitivity=2,Sheet4!AD21,IF(Capex_Phasing_sensitivity=3,Sheet4!AD32,IF(Capex_Phasing_sensitivity=4,Sheet4!AD43,IF(Capex_Phasing_sensitivity=5,Sheet4!AD54,IF(Capex_Phasing_sensitivity=6,Sheet4!AD65,0))))))</f>
        <v>0.02</v>
      </c>
      <c r="AB60" s="106">
        <f>IF(Capex_Phasing_sensitivity=1,Sheet4!AE10,IF(Capex_Phasing_sensitivity=2,Sheet4!AE21,IF(Capex_Phasing_sensitivity=3,Sheet4!AE32,IF(Capex_Phasing_sensitivity=4,Sheet4!AE43,IF(Capex_Phasing_sensitivity=5,Sheet4!AE54,IF(Capex_Phasing_sensitivity=6,Sheet4!AE65,0))))))</f>
        <v>0.02</v>
      </c>
      <c r="AC60" s="106">
        <f>IF(Capex_Phasing_sensitivity=1,Sheet4!AF10,IF(Capex_Phasing_sensitivity=2,Sheet4!AF21,IF(Capex_Phasing_sensitivity=3,Sheet4!AF32,IF(Capex_Phasing_sensitivity=4,Sheet4!AF43,IF(Capex_Phasing_sensitivity=5,Sheet4!AF54,IF(Capex_Phasing_sensitivity=6,Sheet4!AF65,0))))))</f>
        <v>0.02</v>
      </c>
      <c r="AD60" s="106">
        <f>IF(Capex_Phasing_sensitivity=1,Sheet4!AG10,IF(Capex_Phasing_sensitivity=2,Sheet4!AG21,IF(Capex_Phasing_sensitivity=3,Sheet4!AG32,IF(Capex_Phasing_sensitivity=4,Sheet4!AG43,IF(Capex_Phasing_sensitivity=5,Sheet4!AG54,IF(Capex_Phasing_sensitivity=6,Sheet4!AG65,0))))))</f>
        <v>0.02</v>
      </c>
      <c r="AE60" s="106">
        <f>IF(Capex_Phasing_sensitivity=1,Sheet4!AH10,IF(Capex_Phasing_sensitivity=2,Sheet4!AH21,IF(Capex_Phasing_sensitivity=3,Sheet4!AH32,IF(Capex_Phasing_sensitivity=4,Sheet4!AH43,IF(Capex_Phasing_sensitivity=5,Sheet4!AH54,IF(Capex_Phasing_sensitivity=6,Sheet4!AH65,0))))))</f>
        <v>0.02</v>
      </c>
      <c r="AF60" s="2502">
        <f>IF(Capex_Phasing_sensitivity=1,Sheet4!AI10,IF(Capex_Phasing_sensitivity=2,Sheet4!AI21,IF(Capex_Phasing_sensitivity=3,Sheet4!AI32,IF(Capex_Phasing_sensitivity=4,Sheet4!AI43,IF(Capex_Phasing_sensitivity=5,Sheet4!AI54,IF(Capex_Phasing_sensitivity=6,Sheet4!AI65,0))))))</f>
        <v>0.03</v>
      </c>
      <c r="AG60" s="2502">
        <f>IF(Capex_Phasing_sensitivity=1,Sheet4!AJ10,IF(Capex_Phasing_sensitivity=2,Sheet4!AJ21,IF(Capex_Phasing_sensitivity=3,Sheet4!AJ32,IF(Capex_Phasing_sensitivity=4,Sheet4!AJ43,IF(Capex_Phasing_sensitivity=5,Sheet4!AJ54,IF(Capex_Phasing_sensitivity=6,Sheet4!AJ65,0))))))</f>
        <v>0.05</v>
      </c>
      <c r="AH60" s="2502">
        <f>IF(Capex_Phasing_sensitivity=1,Sheet4!AK10,IF(Capex_Phasing_sensitivity=2,Sheet4!AK21,IF(Capex_Phasing_sensitivity=3,Sheet4!AK32,IF(Capex_Phasing_sensitivity=4,Sheet4!AK43,IF(Capex_Phasing_sensitivity=5,Sheet4!AK54,IF(Capex_Phasing_sensitivity=6,Sheet4!AK65,0))))))</f>
        <v>0.05</v>
      </c>
      <c r="AI60" s="2502">
        <f>IF(Capex_Phasing_sensitivity=1,Sheet4!AL10,IF(Capex_Phasing_sensitivity=2,Sheet4!AL21,IF(Capex_Phasing_sensitivity=3,Sheet4!AL32,IF(Capex_Phasing_sensitivity=4,Sheet4!AL43,IF(Capex_Phasing_sensitivity=5,Sheet4!AL54,IF(Capex_Phasing_sensitivity=6,Sheet4!AL65,0))))))</f>
        <v>0.05</v>
      </c>
      <c r="AJ60" s="2502">
        <f>IF(Capex_Phasing_sensitivity=1,Sheet4!AM10,IF(Capex_Phasing_sensitivity=2,Sheet4!AM21,IF(Capex_Phasing_sensitivity=3,Sheet4!AM32,IF(Capex_Phasing_sensitivity=4,Sheet4!AM43,IF(Capex_Phasing_sensitivity=5,Sheet4!AM54,IF(Capex_Phasing_sensitivity=6,Sheet4!AM65,0))))))</f>
        <v>0.05</v>
      </c>
      <c r="AK60" s="106">
        <f>IF(Capex_Phasing_sensitivity=1,Sheet4!AN10,IF(Capex_Phasing_sensitivity=2,Sheet4!AN21,IF(Capex_Phasing_sensitivity=3,Sheet4!AN32,IF(Capex_Phasing_sensitivity=4,Sheet4!AN43,IF(Capex_Phasing_sensitivity=5,Sheet4!AN54,IF(Capex_Phasing_sensitivity=6,Sheet4!AN65,0))))))</f>
        <v>0.05</v>
      </c>
      <c r="AL60" s="106">
        <f>IF(Capex_Phasing_sensitivity=1,Sheet4!AO10,IF(Capex_Phasing_sensitivity=2,Sheet4!AO21,IF(Capex_Phasing_sensitivity=3,Sheet4!AO32,IF(Capex_Phasing_sensitivity=4,Sheet4!AO43,IF(Capex_Phasing_sensitivity=5,Sheet4!AO54,IF(Capex_Phasing_sensitivity=6,Sheet4!AO65,0))))))</f>
        <v>0.05</v>
      </c>
      <c r="AM60" s="106">
        <f>IF(Capex_Phasing_sensitivity=1,Sheet4!AP10,IF(Capex_Phasing_sensitivity=2,Sheet4!AP21,IF(Capex_Phasing_sensitivity=3,Sheet4!AP32,IF(Capex_Phasing_sensitivity=4,Sheet4!AP43,IF(Capex_Phasing_sensitivity=5,Sheet4!AP54,IF(Capex_Phasing_sensitivity=6,Sheet4!AP65,0))))))</f>
        <v>0.05</v>
      </c>
      <c r="AN60" s="106">
        <f>IF(Capex_Phasing_sensitivity=1,Sheet4!AQ10,IF(Capex_Phasing_sensitivity=2,Sheet4!AQ21,IF(Capex_Phasing_sensitivity=3,Sheet4!AQ32,IF(Capex_Phasing_sensitivity=4,Sheet4!AQ43,IF(Capex_Phasing_sensitivity=5,Sheet4!AQ54,IF(Capex_Phasing_sensitivity=6,Sheet4!AQ65,0))))))</f>
        <v>0.1</v>
      </c>
      <c r="AO60" s="106">
        <f>IF(Capex_Phasing_sensitivity=1,Sheet4!AR10,IF(Capex_Phasing_sensitivity=2,Sheet4!AR21,IF(Capex_Phasing_sensitivity=3,Sheet4!AR32,IF(Capex_Phasing_sensitivity=4,Sheet4!AR43,IF(Capex_Phasing_sensitivity=5,Sheet4!AR54,IF(Capex_Phasing_sensitivity=6,Sheet4!AR65,0))))))</f>
        <v>0.1</v>
      </c>
      <c r="AP60" s="106">
        <f>IF(Capex_Phasing_sensitivity=1,Sheet4!AS10,IF(Capex_Phasing_sensitivity=2,Sheet4!AS21,IF(Capex_Phasing_sensitivity=3,Sheet4!AS32,IF(Capex_Phasing_sensitivity=4,Sheet4!AS43,IF(Capex_Phasing_sensitivity=5,Sheet4!AS54,IF(Capex_Phasing_sensitivity=6,Sheet4!AS65,0))))))</f>
        <v>0.1</v>
      </c>
      <c r="AQ60" s="106">
        <f>IF(Capex_Phasing_sensitivity=1,Sheet4!AT10,IF(Capex_Phasing_sensitivity=2,Sheet4!AT21,IF(Capex_Phasing_sensitivity=3,Sheet4!AT32,IF(Capex_Phasing_sensitivity=4,Sheet4!AT43,IF(Capex_Phasing_sensitivity=5,Sheet4!AT54,IF(Capex_Phasing_sensitivity=6,Sheet4!AT65,0))))))</f>
        <v>0.1</v>
      </c>
      <c r="AR60" s="106">
        <f>IF(Capex_Phasing_sensitivity=1,Sheet4!AU10,IF(Capex_Phasing_sensitivity=2,Sheet4!AU21,IF(Capex_Phasing_sensitivity=3,Sheet4!AU32,IF(Capex_Phasing_sensitivity=4,Sheet4!AU43,IF(Capex_Phasing_sensitivity=5,Sheet4!AU54,IF(Capex_Phasing_sensitivity=6,Sheet4!AU65,0))))))</f>
        <v>0.1</v>
      </c>
      <c r="AS60" s="106">
        <f>IF(Capex_Phasing_sensitivity=1,Sheet4!AV10,IF(Capex_Phasing_sensitivity=2,Sheet4!AV21,IF(Capex_Phasing_sensitivity=3,Sheet4!AV32,IF(Capex_Phasing_sensitivity=4,Sheet4!AV43,IF(Capex_Phasing_sensitivity=5,Sheet4!AV54,IF(Capex_Phasing_sensitivity=6,Sheet4!AV65,0))))))</f>
        <v>0</v>
      </c>
      <c r="AT60" s="106">
        <f>IF(Capex_Phasing_sensitivity=1,Sheet4!AW10,IF(Capex_Phasing_sensitivity=2,Sheet4!AW21,IF(Capex_Phasing_sensitivity=3,Sheet4!AW32,IF(Capex_Phasing_sensitivity=4,Sheet4!AW43,IF(Capex_Phasing_sensitivity=5,Sheet4!AW54,IF(Capex_Phasing_sensitivity=6,Sheet4!AW65,0))))))</f>
        <v>0</v>
      </c>
      <c r="AU60" s="106">
        <f>IF(Capex_Phasing_sensitivity=1,Sheet4!AX10,IF(Capex_Phasing_sensitivity=2,Sheet4!AX21,IF(Capex_Phasing_sensitivity=3,Sheet4!AX32,IF(Capex_Phasing_sensitivity=4,Sheet4!AX43,IF(Capex_Phasing_sensitivity=5,Sheet4!AX54,IF(Capex_Phasing_sensitivity=6,Sheet4!AX65,0))))))</f>
        <v>0</v>
      </c>
      <c r="AV60" s="106">
        <f>IF(Capex_Phasing_sensitivity=1,Sheet4!AY10,IF(Capex_Phasing_sensitivity=2,Sheet4!AY21,IF(Capex_Phasing_sensitivity=3,Sheet4!AY32,IF(Capex_Phasing_sensitivity=4,Sheet4!AY43,IF(Capex_Phasing_sensitivity=5,Sheet4!AY54,IF(Capex_Phasing_sensitivity=6,Sheet4!AY65,0))))))</f>
        <v>0</v>
      </c>
      <c r="AW60" s="106">
        <f>IF(Capex_Phasing_sensitivity=1,Sheet4!AZ10,IF(Capex_Phasing_sensitivity=2,Sheet4!AZ21,IF(Capex_Phasing_sensitivity=3,Sheet4!AZ32,IF(Capex_Phasing_sensitivity=4,Sheet4!AZ43,IF(Capex_Phasing_sensitivity=5,Sheet4!AZ54,IF(Capex_Phasing_sensitivity=6,Sheet4!AZ65,0))))))</f>
        <v>0</v>
      </c>
      <c r="AX60" s="106">
        <f>IF(Capex_Phasing_sensitivity=1,Sheet4!BA10,IF(Capex_Phasing_sensitivity=2,Sheet4!BA21,IF(Capex_Phasing_sensitivity=3,Sheet4!BA32,IF(Capex_Phasing_sensitivity=4,Sheet4!BA43,IF(Capex_Phasing_sensitivity=5,Sheet4!BA54,IF(Capex_Phasing_sensitivity=6,Sheet4!BA65,0))))))</f>
        <v>0</v>
      </c>
      <c r="AY60" s="106">
        <f>IF(Capex_Phasing_sensitivity=1,Sheet4!BB10,IF(Capex_Phasing_sensitivity=2,Sheet4!BB21,IF(Capex_Phasing_sensitivity=3,Sheet4!BB32,IF(Capex_Phasing_sensitivity=4,Sheet4!BB43,IF(Capex_Phasing_sensitivity=5,Sheet4!BB54,IF(Capex_Phasing_sensitivity=6,Sheet4!BB65,0))))))</f>
        <v>0</v>
      </c>
      <c r="AZ60" s="106">
        <f>IF(Capex_Phasing_sensitivity=1,Sheet4!BC10,IF(Capex_Phasing_sensitivity=2,Sheet4!BC21,IF(Capex_Phasing_sensitivity=3,Sheet4!BC32,IF(Capex_Phasing_sensitivity=4,Sheet4!BC43,IF(Capex_Phasing_sensitivity=5,Sheet4!BC54,IF(Capex_Phasing_sensitivity=6,Sheet4!BC65,0))))))</f>
        <v>0</v>
      </c>
      <c r="BA60" s="106">
        <f>IF(Capex_Phasing_sensitivity=1,Sheet4!BD10,IF(Capex_Phasing_sensitivity=2,Sheet4!BD21,IF(Capex_Phasing_sensitivity=3,Sheet4!BD32,IF(Capex_Phasing_sensitivity=4,Sheet4!BD43,IF(Capex_Phasing_sensitivity=5,Sheet4!BD54,IF(Capex_Phasing_sensitivity=6,Sheet4!BD65,0))))))</f>
        <v>0</v>
      </c>
      <c r="BB60" s="106">
        <f>IF(Capex_Phasing_sensitivity=1,Sheet4!BE10,IF(Capex_Phasing_sensitivity=2,Sheet4!BE21,IF(Capex_Phasing_sensitivity=3,Sheet4!BE32,IF(Capex_Phasing_sensitivity=4,Sheet4!BE43,IF(Capex_Phasing_sensitivity=5,Sheet4!BE54,IF(Capex_Phasing_sensitivity=6,Sheet4!BE65,0))))))</f>
        <v>0</v>
      </c>
      <c r="BC60" s="106">
        <f>IF(Capex_Phasing_sensitivity=1,Sheet4!BF10,IF(Capex_Phasing_sensitivity=2,Sheet4!BF21,IF(Capex_Phasing_sensitivity=3,Sheet4!BF32,IF(Capex_Phasing_sensitivity=4,Sheet4!BF43,IF(Capex_Phasing_sensitivity=5,Sheet4!BF54,IF(Capex_Phasing_sensitivity=6,Sheet4!BF65,0))))))</f>
        <v>0</v>
      </c>
      <c r="BD60" s="106">
        <f>IF(Capex_Phasing_sensitivity=1,Sheet4!BG10,IF(Capex_Phasing_sensitivity=2,Sheet4!BG21,IF(Capex_Phasing_sensitivity=3,Sheet4!BG32,IF(Capex_Phasing_sensitivity=4,Sheet4!BG43,IF(Capex_Phasing_sensitivity=5,Sheet4!BG54,IF(Capex_Phasing_sensitivity=6,Sheet4!BG65,0))))))</f>
        <v>0</v>
      </c>
      <c r="BE60" s="106">
        <f>IF(Capex_Phasing_sensitivity=1,Sheet4!BH10,IF(Capex_Phasing_sensitivity=2,Sheet4!BH21,IF(Capex_Phasing_sensitivity=3,Sheet4!BH32,IF(Capex_Phasing_sensitivity=4,Sheet4!BH43,IF(Capex_Phasing_sensitivity=5,Sheet4!BH54,IF(Capex_Phasing_sensitivity=6,Sheet4!BH65,0))))))</f>
        <v>0</v>
      </c>
      <c r="BF60" s="106">
        <f>IF(Capex_Phasing_sensitivity=1,Sheet4!BI10,IF(Capex_Phasing_sensitivity=2,Sheet4!BI21,IF(Capex_Phasing_sensitivity=3,Sheet4!BI32,IF(Capex_Phasing_sensitivity=4,Sheet4!BI43,IF(Capex_Phasing_sensitivity=5,Sheet4!BI54,IF(Capex_Phasing_sensitivity=6,Sheet4!BI65,0))))))</f>
        <v>0</v>
      </c>
      <c r="BG60" s="106">
        <f>IF(Capex_Phasing_sensitivity=1,Sheet4!BJ10,IF(Capex_Phasing_sensitivity=2,Sheet4!BJ21,IF(Capex_Phasing_sensitivity=3,Sheet4!BJ32,IF(Capex_Phasing_sensitivity=4,Sheet4!BJ43,IF(Capex_Phasing_sensitivity=5,Sheet4!BJ54,IF(Capex_Phasing_sensitivity=6,Sheet4!BJ65,0))))))</f>
        <v>0</v>
      </c>
      <c r="BH60" s="106">
        <f>IF(Capex_Phasing_sensitivity=1,Sheet4!BK10,IF(Capex_Phasing_sensitivity=2,Sheet4!BK21,IF(Capex_Phasing_sensitivity=3,Sheet4!BK32,IF(Capex_Phasing_sensitivity=4,Sheet4!BK43,IF(Capex_Phasing_sensitivity=5,Sheet4!BK54,IF(Capex_Phasing_sensitivity=6,Sheet4!BK65,0))))))</f>
        <v>0</v>
      </c>
      <c r="BI60" s="2495">
        <f>IF(Capex_Phasing_sensitivity=1,Sheet4!BL10,IF(Capex_Phasing_sensitivity=2,Sheet4!BL21,IF(Capex_Phasing_sensitivity=3,Sheet4!BL32,IF(Capex_Phasing_sensitivity=4,Sheet4!BL43,IF(Capex_Phasing_sensitivity=5,Sheet4!BL54,IF(Capex_Phasing_sensitivity=6,Sheet4!BL65,0))))))</f>
        <v>0</v>
      </c>
      <c r="BJ60" s="2495">
        <f>IF(Capex_Phasing_sensitivity=1,Sheet4!BM10,IF(Capex_Phasing_sensitivity=2,Sheet4!BM21,IF(Capex_Phasing_sensitivity=3,Sheet4!BM32,IF(Capex_Phasing_sensitivity=4,Sheet4!BM43,IF(Capex_Phasing_sensitivity=5,Sheet4!BM54,IF(Capex_Phasing_sensitivity=6,Sheet4!BM65,0))))))</f>
        <v>0</v>
      </c>
      <c r="BK60" s="2495">
        <f>IF(Capex_Phasing_sensitivity=1,Sheet4!BN10,IF(Capex_Phasing_sensitivity=2,Sheet4!BN21,IF(Capex_Phasing_sensitivity=3,Sheet4!BN32,IF(Capex_Phasing_sensitivity=4,Sheet4!BN43,IF(Capex_Phasing_sensitivity=5,Sheet4!BN54,IF(Capex_Phasing_sensitivity=6,Sheet4!BN65,0))))))</f>
        <v>0</v>
      </c>
      <c r="BL60" s="2495">
        <f>IF(Capex_Phasing_sensitivity=1,Sheet4!BO10,IF(Capex_Phasing_sensitivity=2,Sheet4!BO21,IF(Capex_Phasing_sensitivity=3,Sheet4!BO32,IF(Capex_Phasing_sensitivity=4,Sheet4!BO43,IF(Capex_Phasing_sensitivity=5,Sheet4!BO54,IF(Capex_Phasing_sensitivity=6,Sheet4!BO65,0))))))</f>
        <v>0</v>
      </c>
      <c r="BM60" s="2495">
        <f>IF(Capex_Phasing_sensitivity=1,Sheet4!BP10,IF(Capex_Phasing_sensitivity=2,Sheet4!BP21,IF(Capex_Phasing_sensitivity=3,Sheet4!BP32,IF(Capex_Phasing_sensitivity=4,Sheet4!BP43,IF(Capex_Phasing_sensitivity=5,Sheet4!BP54,IF(Capex_Phasing_sensitivity=6,Sheet4!BP65,0))))))</f>
        <v>0</v>
      </c>
      <c r="BN60" s="2495">
        <f>IF(Capex_Phasing_sensitivity=1,Sheet4!BQ10,IF(Capex_Phasing_sensitivity=2,Sheet4!BQ21,IF(Capex_Phasing_sensitivity=3,Sheet4!BQ32,IF(Capex_Phasing_sensitivity=4,Sheet4!BQ43,IF(Capex_Phasing_sensitivity=5,Sheet4!BQ54,IF(Capex_Phasing_sensitivity=6,Sheet4!BQ65,0))))))</f>
        <v>0</v>
      </c>
      <c r="BO60" s="106">
        <f>IF(Capex_Phasing_sensitivity=1,Sheet4!BR10,IF(Capex_Phasing_sensitivity=2,Sheet4!BR21,IF(Capex_Phasing_sensitivity=3,Sheet4!BR32,IF(Capex_Phasing_sensitivity=4,Sheet4!BR43,IF(Capex_Phasing_sensitivity=5,Sheet4!BR54,IF(Capex_Phasing_sensitivity=6,Sheet4!BR65,0))))))</f>
        <v>0</v>
      </c>
      <c r="BP60" s="106">
        <f>IF(Capex_Phasing_sensitivity=1,Sheet4!BS10,IF(Capex_Phasing_sensitivity=2,Sheet4!BS21,IF(Capex_Phasing_sensitivity=3,Sheet4!BS32,IF(Capex_Phasing_sensitivity=4,Sheet4!BS43,IF(Capex_Phasing_sensitivity=5,Sheet4!BS54,IF(Capex_Phasing_sensitivity=6,Sheet4!BS65,0))))))</f>
        <v>0</v>
      </c>
      <c r="BQ60" s="106">
        <f>IF(Capex_Phasing_sensitivity=1,Sheet4!BT10,IF(Capex_Phasing_sensitivity=2,Sheet4!BT21,IF(Capex_Phasing_sensitivity=3,Sheet4!BT32,IF(Capex_Phasing_sensitivity=4,Sheet4!BT43,IF(Capex_Phasing_sensitivity=5,Sheet4!BT54,IF(Capex_Phasing_sensitivity=6,Sheet4!BT65,0))))))</f>
        <v>0</v>
      </c>
      <c r="BR60" s="106">
        <f>IF(Capex_Phasing_sensitivity=1,Sheet4!BU10,IF(Capex_Phasing_sensitivity=2,Sheet4!BU21,IF(Capex_Phasing_sensitivity=3,Sheet4!BU32,IF(Capex_Phasing_sensitivity=4,Sheet4!BU43,IF(Capex_Phasing_sensitivity=5,Sheet4!BU54,IF(Capex_Phasing_sensitivity=6,Sheet4!BU65,0))))))</f>
        <v>0</v>
      </c>
      <c r="BS60" s="106">
        <f>IF(Capex_Phasing_sensitivity=1,Sheet4!BV10,IF(Capex_Phasing_sensitivity=2,Sheet4!BV21,IF(Capex_Phasing_sensitivity=3,Sheet4!BV32,IF(Capex_Phasing_sensitivity=4,Sheet4!BV43,IF(Capex_Phasing_sensitivity=5,Sheet4!BV54,IF(Capex_Phasing_sensitivity=6,Sheet4!BV65,0))))))</f>
        <v>0</v>
      </c>
      <c r="BT60" s="106">
        <f>IF(Capex_Phasing_sensitivity=1,Sheet4!BW10,IF(Capex_Phasing_sensitivity=2,Sheet4!BW21,IF(Capex_Phasing_sensitivity=3,Sheet4!BW32,IF(Capex_Phasing_sensitivity=4,Sheet4!BW43,IF(Capex_Phasing_sensitivity=5,Sheet4!BW54,IF(Capex_Phasing_sensitivity=6,Sheet4!BW65,0))))))</f>
        <v>0</v>
      </c>
      <c r="BU60" s="106">
        <f>IF(Capex_Phasing_sensitivity=1,Sheet4!BX10,IF(Capex_Phasing_sensitivity=2,Sheet4!BX21,IF(Capex_Phasing_sensitivity=3,Sheet4!BX32,IF(Capex_Phasing_sensitivity=4,Sheet4!BX43,IF(Capex_Phasing_sensitivity=5,Sheet4!BX54,IF(Capex_Phasing_sensitivity=6,Sheet4!BX65,0))))))</f>
        <v>0</v>
      </c>
      <c r="BV60" s="106">
        <f>IF(Capex_Phasing_sensitivity=1,Sheet4!BY10,IF(Capex_Phasing_sensitivity=2,Sheet4!BY21,IF(Capex_Phasing_sensitivity=3,Sheet4!BY32,IF(Capex_Phasing_sensitivity=4,Sheet4!BY43,IF(Capex_Phasing_sensitivity=5,Sheet4!BY54,IF(Capex_Phasing_sensitivity=6,Sheet4!BY65,0))))))</f>
        <v>0</v>
      </c>
      <c r="BW60" s="106">
        <f>IF(Capex_Phasing_sensitivity=1,Sheet4!BZ10,IF(Capex_Phasing_sensitivity=2,Sheet4!BZ21,IF(Capex_Phasing_sensitivity=3,Sheet4!BZ32,IF(Capex_Phasing_sensitivity=4,Sheet4!BZ43,IF(Capex_Phasing_sensitivity=5,Sheet4!BZ54,IF(Capex_Phasing_sensitivity=6,Sheet4!BZ65,0))))))</f>
        <v>0</v>
      </c>
      <c r="BX60" s="106">
        <f>IF(Capex_Phasing_sensitivity=1,Sheet4!CA10,IF(Capex_Phasing_sensitivity=2,Sheet4!CA21,IF(Capex_Phasing_sensitivity=3,Sheet4!CA32,IF(Capex_Phasing_sensitivity=4,Sheet4!CA43,IF(Capex_Phasing_sensitivity=5,Sheet4!CA54,IF(Capex_Phasing_sensitivity=6,Sheet4!CA65,0))))))</f>
        <v>0</v>
      </c>
      <c r="BY60" s="106">
        <f>IF(Capex_Phasing_sensitivity=1,Sheet4!CB10,IF(Capex_Phasing_sensitivity=2,Sheet4!CB21,IF(Capex_Phasing_sensitivity=3,Sheet4!CB32,IF(Capex_Phasing_sensitivity=4,Sheet4!CB43,IF(Capex_Phasing_sensitivity=5,Sheet4!CB54,IF(Capex_Phasing_sensitivity=6,Sheet4!CB65,0))))))</f>
        <v>0</v>
      </c>
      <c r="BZ60" s="106">
        <f>IF(Capex_Phasing_sensitivity=1,Sheet4!CC10,IF(Capex_Phasing_sensitivity=2,Sheet4!CC21,IF(Capex_Phasing_sensitivity=3,Sheet4!CC32,IF(Capex_Phasing_sensitivity=4,Sheet4!CC43,IF(Capex_Phasing_sensitivity=5,Sheet4!CC54,IF(Capex_Phasing_sensitivity=6,Sheet4!CC65,0))))))</f>
        <v>0</v>
      </c>
      <c r="CA60" s="106">
        <f>IF(Capex_Phasing_sensitivity=1,Sheet4!CD10,IF(Capex_Phasing_sensitivity=2,Sheet4!CD21,IF(Capex_Phasing_sensitivity=3,Sheet4!CD32,IF(Capex_Phasing_sensitivity=4,Sheet4!CD43,IF(Capex_Phasing_sensitivity=5,Sheet4!CD54,IF(Capex_Phasing_sensitivity=6,Sheet4!CD65,0))))))</f>
        <v>0</v>
      </c>
      <c r="CB60" s="106">
        <f>IF(Capex_Phasing_sensitivity=1,Sheet4!CE10,IF(Capex_Phasing_sensitivity=2,Sheet4!CE21,IF(Capex_Phasing_sensitivity=3,Sheet4!CE32,IF(Capex_Phasing_sensitivity=4,Sheet4!CE43,IF(Capex_Phasing_sensitivity=5,Sheet4!CE54,IF(Capex_Phasing_sensitivity=6,Sheet4!CE65,0))))))</f>
        <v>0</v>
      </c>
      <c r="CD60" s="14">
        <f>SUM(I60:CB60)</f>
        <v>0.99999999999999989</v>
      </c>
    </row>
    <row r="61" spans="1:16376">
      <c r="B61" s="177" t="s">
        <v>2037</v>
      </c>
      <c r="C61" s="118">
        <f>IF('Input '!$F$9=1,'Input '!E89/Exchange_Rate,'Input '!E89)*Sens_projectcost</f>
        <v>577117600</v>
      </c>
      <c r="D61" s="178">
        <f t="shared" ref="D61:D68" si="32">SUM(I61:AY61)</f>
        <v>0.99999999999999989</v>
      </c>
      <c r="I61" s="106">
        <f>IF(Capex_Phasing_sensitivity=1,Sheet4!L11,IF(Capex_Phasing_sensitivity=2,Sheet4!L22,IF(Capex_Phasing_sensitivity=3,Sheet4!L33,IF(Capex_Phasing_sensitivity=4,Sheet4!L44,IF(Capex_Phasing_sensitivity=5,Sheet4!L55,IF(Capex_Phasing_sensitivity=6,Sheet4!L66,0))))))</f>
        <v>0</v>
      </c>
      <c r="J61" s="106">
        <f>IF(Capex_Phasing_sensitivity=1,Sheet4!M11,IF(Capex_Phasing_sensitivity=2,Sheet4!M22,IF(Capex_Phasing_sensitivity=3,Sheet4!M33,IF(Capex_Phasing_sensitivity=4,Sheet4!M44,IF(Capex_Phasing_sensitivity=5,Sheet4!M55,IF(Capex_Phasing_sensitivity=6,Sheet4!M66,0))))))</f>
        <v>0</v>
      </c>
      <c r="K61" s="106">
        <f>IF(Capex_Phasing_sensitivity=1,Sheet4!N11,IF(Capex_Phasing_sensitivity=2,Sheet4!N22,IF(Capex_Phasing_sensitivity=3,Sheet4!N33,IF(Capex_Phasing_sensitivity=4,Sheet4!N44,IF(Capex_Phasing_sensitivity=5,Sheet4!N55,IF(Capex_Phasing_sensitivity=6,Sheet4!N66,0))))))</f>
        <v>0</v>
      </c>
      <c r="L61" s="106">
        <f>IF(Capex_Phasing_sensitivity=1,Sheet4!O11,IF(Capex_Phasing_sensitivity=2,Sheet4!O22,IF(Capex_Phasing_sensitivity=3,Sheet4!O33,IF(Capex_Phasing_sensitivity=4,Sheet4!O44,IF(Capex_Phasing_sensitivity=5,Sheet4!O55,IF(Capex_Phasing_sensitivity=6,Sheet4!O66,0))))))</f>
        <v>0</v>
      </c>
      <c r="M61" s="106">
        <f>IF(Capex_Phasing_sensitivity=1,Sheet4!P11,IF(Capex_Phasing_sensitivity=2,Sheet4!P22,IF(Capex_Phasing_sensitivity=3,Sheet4!P33,IF(Capex_Phasing_sensitivity=4,Sheet4!P44,IF(Capex_Phasing_sensitivity=5,Sheet4!P55,IF(Capex_Phasing_sensitivity=6,Sheet4!P66,0))))))</f>
        <v>0</v>
      </c>
      <c r="N61" s="106">
        <f>IF(Capex_Phasing_sensitivity=1,Sheet4!Q11,IF(Capex_Phasing_sensitivity=2,Sheet4!Q22,IF(Capex_Phasing_sensitivity=3,Sheet4!Q33,IF(Capex_Phasing_sensitivity=4,Sheet4!Q44,IF(Capex_Phasing_sensitivity=5,Sheet4!Q55,IF(Capex_Phasing_sensitivity=6,Sheet4!Q66,0))))))</f>
        <v>0</v>
      </c>
      <c r="O61" s="106">
        <f>IF(Capex_Phasing_sensitivity=1,Sheet4!R11,IF(Capex_Phasing_sensitivity=2,Sheet4!R22,IF(Capex_Phasing_sensitivity=3,Sheet4!R33,IF(Capex_Phasing_sensitivity=4,Sheet4!R44,IF(Capex_Phasing_sensitivity=5,Sheet4!R55,IF(Capex_Phasing_sensitivity=6,Sheet4!R66,0))))))</f>
        <v>0</v>
      </c>
      <c r="P61" s="106">
        <f>IF(Capex_Phasing_sensitivity=1,Sheet4!S11,IF(Capex_Phasing_sensitivity=2,Sheet4!S22,IF(Capex_Phasing_sensitivity=3,Sheet4!S33,IF(Capex_Phasing_sensitivity=4,Sheet4!S44,IF(Capex_Phasing_sensitivity=5,Sheet4!S55,IF(Capex_Phasing_sensitivity=6,Sheet4!S66,0))))))</f>
        <v>0</v>
      </c>
      <c r="Q61" s="106">
        <f>IF(Capex_Phasing_sensitivity=1,Sheet4!T11,IF(Capex_Phasing_sensitivity=2,Sheet4!T22,IF(Capex_Phasing_sensitivity=3,Sheet4!T33,IF(Capex_Phasing_sensitivity=4,Sheet4!T44,IF(Capex_Phasing_sensitivity=5,Sheet4!T55,IF(Capex_Phasing_sensitivity=6,Sheet4!T66,0))))))</f>
        <v>0</v>
      </c>
      <c r="R61" s="106">
        <f>IF(Capex_Phasing_sensitivity=1,Sheet4!U11,IF(Capex_Phasing_sensitivity=2,Sheet4!U22,IF(Capex_Phasing_sensitivity=3,Sheet4!U33,IF(Capex_Phasing_sensitivity=4,Sheet4!U44,IF(Capex_Phasing_sensitivity=5,Sheet4!U55,IF(Capex_Phasing_sensitivity=6,Sheet4!U66,0))))))</f>
        <v>0</v>
      </c>
      <c r="S61" s="106">
        <f>IF(Capex_Phasing_sensitivity=1,Sheet4!V11,IF(Capex_Phasing_sensitivity=2,Sheet4!V22,IF(Capex_Phasing_sensitivity=3,Sheet4!V33,IF(Capex_Phasing_sensitivity=4,Sheet4!V44,IF(Capex_Phasing_sensitivity=5,Sheet4!V55,IF(Capex_Phasing_sensitivity=6,Sheet4!V66,0))))))</f>
        <v>0</v>
      </c>
      <c r="T61" s="106">
        <f>IF(Capex_Phasing_sensitivity=1,Sheet4!W11,IF(Capex_Phasing_sensitivity=2,Sheet4!W22,IF(Capex_Phasing_sensitivity=3,Sheet4!W33,IF(Capex_Phasing_sensitivity=4,Sheet4!W44,IF(Capex_Phasing_sensitivity=5,Sheet4!W55,IF(Capex_Phasing_sensitivity=6,Sheet4!W66,0))))))</f>
        <v>0</v>
      </c>
      <c r="U61" s="106">
        <f>IF(Capex_Phasing_sensitivity=1,Sheet4!X11,IF(Capex_Phasing_sensitivity=2,Sheet4!X22,IF(Capex_Phasing_sensitivity=3,Sheet4!X33,IF(Capex_Phasing_sensitivity=4,Sheet4!X44,IF(Capex_Phasing_sensitivity=5,Sheet4!X55,IF(Capex_Phasing_sensitivity=6,Sheet4!X66,0))))))</f>
        <v>0</v>
      </c>
      <c r="V61" s="106">
        <f>IF(Capex_Phasing_sensitivity=1,Sheet4!Y11,IF(Capex_Phasing_sensitivity=2,Sheet4!Y22,IF(Capex_Phasing_sensitivity=3,Sheet4!Y33,IF(Capex_Phasing_sensitivity=4,Sheet4!Y44,IF(Capex_Phasing_sensitivity=5,Sheet4!Y55,IF(Capex_Phasing_sensitivity=6,Sheet4!Y66,0))))))</f>
        <v>0</v>
      </c>
      <c r="W61" s="106">
        <f>IF(Capex_Phasing_sensitivity=1,Sheet4!Z11,IF(Capex_Phasing_sensitivity=2,Sheet4!Z22,IF(Capex_Phasing_sensitivity=3,Sheet4!Z33,IF(Capex_Phasing_sensitivity=4,Sheet4!Z44,IF(Capex_Phasing_sensitivity=5,Sheet4!Z55,IF(Capex_Phasing_sensitivity=6,Sheet4!Z66,0))))))</f>
        <v>0</v>
      </c>
      <c r="X61" s="106">
        <f>IF(Capex_Phasing_sensitivity=1,Sheet4!AA11,IF(Capex_Phasing_sensitivity=2,Sheet4!AA22,IF(Capex_Phasing_sensitivity=3,Sheet4!AA33,IF(Capex_Phasing_sensitivity=4,Sheet4!AA44,IF(Capex_Phasing_sensitivity=5,Sheet4!AA55,IF(Capex_Phasing_sensitivity=6,Sheet4!AA66,0))))))</f>
        <v>0</v>
      </c>
      <c r="Y61" s="106">
        <f>IF(Capex_Phasing_sensitivity=1,Sheet4!AB11,IF(Capex_Phasing_sensitivity=2,Sheet4!AB22,IF(Capex_Phasing_sensitivity=3,Sheet4!AB33,IF(Capex_Phasing_sensitivity=4,Sheet4!AB44,IF(Capex_Phasing_sensitivity=5,Sheet4!AB55,IF(Capex_Phasing_sensitivity=6,Sheet4!AB66,0))))))</f>
        <v>0</v>
      </c>
      <c r="Z61" s="106">
        <f>IF(Capex_Phasing_sensitivity=1,Sheet4!AC11,IF(Capex_Phasing_sensitivity=2,Sheet4!AC22,IF(Capex_Phasing_sensitivity=3,Sheet4!AC33,IF(Capex_Phasing_sensitivity=4,Sheet4!AC44,IF(Capex_Phasing_sensitivity=5,Sheet4!AC55,IF(Capex_Phasing_sensitivity=6,Sheet4!AC66,0))))))</f>
        <v>0.02</v>
      </c>
      <c r="AA61" s="106">
        <f>IF(Capex_Phasing_sensitivity=1,Sheet4!AD11,IF(Capex_Phasing_sensitivity=2,Sheet4!AD22,IF(Capex_Phasing_sensitivity=3,Sheet4!AD33,IF(Capex_Phasing_sensitivity=4,Sheet4!AD44,IF(Capex_Phasing_sensitivity=5,Sheet4!AD55,IF(Capex_Phasing_sensitivity=6,Sheet4!AD66,0))))))</f>
        <v>0.02</v>
      </c>
      <c r="AB61" s="106">
        <f>IF(Capex_Phasing_sensitivity=1,Sheet4!AE11,IF(Capex_Phasing_sensitivity=2,Sheet4!AE22,IF(Capex_Phasing_sensitivity=3,Sheet4!AE33,IF(Capex_Phasing_sensitivity=4,Sheet4!AE44,IF(Capex_Phasing_sensitivity=5,Sheet4!AE55,IF(Capex_Phasing_sensitivity=6,Sheet4!AE66,0))))))</f>
        <v>0.02</v>
      </c>
      <c r="AC61" s="106">
        <f>IF(Capex_Phasing_sensitivity=1,Sheet4!AF11,IF(Capex_Phasing_sensitivity=2,Sheet4!AF22,IF(Capex_Phasing_sensitivity=3,Sheet4!AF33,IF(Capex_Phasing_sensitivity=4,Sheet4!AF44,IF(Capex_Phasing_sensitivity=5,Sheet4!AF55,IF(Capex_Phasing_sensitivity=6,Sheet4!AF66,0))))))</f>
        <v>0.02</v>
      </c>
      <c r="AD61" s="106">
        <f>IF(Capex_Phasing_sensitivity=1,Sheet4!AG11,IF(Capex_Phasing_sensitivity=2,Sheet4!AG22,IF(Capex_Phasing_sensitivity=3,Sheet4!AG33,IF(Capex_Phasing_sensitivity=4,Sheet4!AG44,IF(Capex_Phasing_sensitivity=5,Sheet4!AG55,IF(Capex_Phasing_sensitivity=6,Sheet4!AG66,0))))))</f>
        <v>0.02</v>
      </c>
      <c r="AE61" s="106">
        <f>IF(Capex_Phasing_sensitivity=1,Sheet4!AH11,IF(Capex_Phasing_sensitivity=2,Sheet4!AH22,IF(Capex_Phasing_sensitivity=3,Sheet4!AH33,IF(Capex_Phasing_sensitivity=4,Sheet4!AH44,IF(Capex_Phasing_sensitivity=5,Sheet4!AH55,IF(Capex_Phasing_sensitivity=6,Sheet4!AH66,0))))))</f>
        <v>0.02</v>
      </c>
      <c r="AF61" s="2502">
        <f>IF(Capex_Phasing_sensitivity=1,Sheet4!AI11,IF(Capex_Phasing_sensitivity=2,Sheet4!AI22,IF(Capex_Phasing_sensitivity=3,Sheet4!AI33,IF(Capex_Phasing_sensitivity=4,Sheet4!AI44,IF(Capex_Phasing_sensitivity=5,Sheet4!AI55,IF(Capex_Phasing_sensitivity=6,Sheet4!AI66,0))))))</f>
        <v>0.03</v>
      </c>
      <c r="AG61" s="2502">
        <f>IF(Capex_Phasing_sensitivity=1,Sheet4!AJ11,IF(Capex_Phasing_sensitivity=2,Sheet4!AJ22,IF(Capex_Phasing_sensitivity=3,Sheet4!AJ33,IF(Capex_Phasing_sensitivity=4,Sheet4!AJ44,IF(Capex_Phasing_sensitivity=5,Sheet4!AJ55,IF(Capex_Phasing_sensitivity=6,Sheet4!AJ66,0))))))</f>
        <v>0.05</v>
      </c>
      <c r="AH61" s="2502">
        <f>IF(Capex_Phasing_sensitivity=1,Sheet4!AK11,IF(Capex_Phasing_sensitivity=2,Sheet4!AK22,IF(Capex_Phasing_sensitivity=3,Sheet4!AK33,IF(Capex_Phasing_sensitivity=4,Sheet4!AK44,IF(Capex_Phasing_sensitivity=5,Sheet4!AK55,IF(Capex_Phasing_sensitivity=6,Sheet4!AK66,0))))))</f>
        <v>0.05</v>
      </c>
      <c r="AI61" s="2502">
        <f>IF(Capex_Phasing_sensitivity=1,Sheet4!AL11,IF(Capex_Phasing_sensitivity=2,Sheet4!AL22,IF(Capex_Phasing_sensitivity=3,Sheet4!AL33,IF(Capex_Phasing_sensitivity=4,Sheet4!AL44,IF(Capex_Phasing_sensitivity=5,Sheet4!AL55,IF(Capex_Phasing_sensitivity=6,Sheet4!AL66,0))))))</f>
        <v>0.05</v>
      </c>
      <c r="AJ61" s="2502">
        <f>IF(Capex_Phasing_sensitivity=1,Sheet4!AM11,IF(Capex_Phasing_sensitivity=2,Sheet4!AM22,IF(Capex_Phasing_sensitivity=3,Sheet4!AM33,IF(Capex_Phasing_sensitivity=4,Sheet4!AM44,IF(Capex_Phasing_sensitivity=5,Sheet4!AM55,IF(Capex_Phasing_sensitivity=6,Sheet4!AM66,0))))))</f>
        <v>0.05</v>
      </c>
      <c r="AK61" s="106">
        <f>IF(Capex_Phasing_sensitivity=1,Sheet4!AN11,IF(Capex_Phasing_sensitivity=2,Sheet4!AN22,IF(Capex_Phasing_sensitivity=3,Sheet4!AN33,IF(Capex_Phasing_sensitivity=4,Sheet4!AN44,IF(Capex_Phasing_sensitivity=5,Sheet4!AN55,IF(Capex_Phasing_sensitivity=6,Sheet4!AN66,0))))))</f>
        <v>0.05</v>
      </c>
      <c r="AL61" s="106">
        <f>IF(Capex_Phasing_sensitivity=1,Sheet4!AO11,IF(Capex_Phasing_sensitivity=2,Sheet4!AO22,IF(Capex_Phasing_sensitivity=3,Sheet4!AO33,IF(Capex_Phasing_sensitivity=4,Sheet4!AO44,IF(Capex_Phasing_sensitivity=5,Sheet4!AO55,IF(Capex_Phasing_sensitivity=6,Sheet4!AO66,0))))))</f>
        <v>0.05</v>
      </c>
      <c r="AM61" s="106">
        <f>IF(Capex_Phasing_sensitivity=1,Sheet4!AP11,IF(Capex_Phasing_sensitivity=2,Sheet4!AP22,IF(Capex_Phasing_sensitivity=3,Sheet4!AP33,IF(Capex_Phasing_sensitivity=4,Sheet4!AP44,IF(Capex_Phasing_sensitivity=5,Sheet4!AP55,IF(Capex_Phasing_sensitivity=6,Sheet4!AP66,0))))))</f>
        <v>0.05</v>
      </c>
      <c r="AN61" s="106">
        <f>IF(Capex_Phasing_sensitivity=1,Sheet4!AQ11,IF(Capex_Phasing_sensitivity=2,Sheet4!AQ22,IF(Capex_Phasing_sensitivity=3,Sheet4!AQ33,IF(Capex_Phasing_sensitivity=4,Sheet4!AQ44,IF(Capex_Phasing_sensitivity=5,Sheet4!AQ55,IF(Capex_Phasing_sensitivity=6,Sheet4!AQ66,0))))))</f>
        <v>0.1</v>
      </c>
      <c r="AO61" s="106">
        <f>IF(Capex_Phasing_sensitivity=1,Sheet4!AR11,IF(Capex_Phasing_sensitivity=2,Sheet4!AR22,IF(Capex_Phasing_sensitivity=3,Sheet4!AR33,IF(Capex_Phasing_sensitivity=4,Sheet4!AR44,IF(Capex_Phasing_sensitivity=5,Sheet4!AR55,IF(Capex_Phasing_sensitivity=6,Sheet4!AR66,0))))))</f>
        <v>0.1</v>
      </c>
      <c r="AP61" s="106">
        <f>IF(Capex_Phasing_sensitivity=1,Sheet4!AS11,IF(Capex_Phasing_sensitivity=2,Sheet4!AS22,IF(Capex_Phasing_sensitivity=3,Sheet4!AS33,IF(Capex_Phasing_sensitivity=4,Sheet4!AS44,IF(Capex_Phasing_sensitivity=5,Sheet4!AS55,IF(Capex_Phasing_sensitivity=6,Sheet4!AS66,0))))))</f>
        <v>0.1</v>
      </c>
      <c r="AQ61" s="106">
        <f>IF(Capex_Phasing_sensitivity=1,Sheet4!AT11,IF(Capex_Phasing_sensitivity=2,Sheet4!AT22,IF(Capex_Phasing_sensitivity=3,Sheet4!AT33,IF(Capex_Phasing_sensitivity=4,Sheet4!AT44,IF(Capex_Phasing_sensitivity=5,Sheet4!AT55,IF(Capex_Phasing_sensitivity=6,Sheet4!AT66,0))))))</f>
        <v>0.1</v>
      </c>
      <c r="AR61" s="106">
        <f>IF(Capex_Phasing_sensitivity=1,Sheet4!AU11,IF(Capex_Phasing_sensitivity=2,Sheet4!AU22,IF(Capex_Phasing_sensitivity=3,Sheet4!AU33,IF(Capex_Phasing_sensitivity=4,Sheet4!AU44,IF(Capex_Phasing_sensitivity=5,Sheet4!AU55,IF(Capex_Phasing_sensitivity=6,Sheet4!AU66,0))))))</f>
        <v>0.1</v>
      </c>
      <c r="AS61" s="106">
        <f>IF(Capex_Phasing_sensitivity=1,Sheet4!AV11,IF(Capex_Phasing_sensitivity=2,Sheet4!AV22,IF(Capex_Phasing_sensitivity=3,Sheet4!AV33,IF(Capex_Phasing_sensitivity=4,Sheet4!AV44,IF(Capex_Phasing_sensitivity=5,Sheet4!AV55,IF(Capex_Phasing_sensitivity=6,Sheet4!AV66,0))))))</f>
        <v>0</v>
      </c>
      <c r="AT61" s="106">
        <f>IF(Capex_Phasing_sensitivity=1,Sheet4!AW11,IF(Capex_Phasing_sensitivity=2,Sheet4!AW22,IF(Capex_Phasing_sensitivity=3,Sheet4!AW33,IF(Capex_Phasing_sensitivity=4,Sheet4!AW44,IF(Capex_Phasing_sensitivity=5,Sheet4!AW55,IF(Capex_Phasing_sensitivity=6,Sheet4!AW66,0))))))</f>
        <v>0</v>
      </c>
      <c r="AU61" s="106">
        <f>IF(Capex_Phasing_sensitivity=1,Sheet4!AX11,IF(Capex_Phasing_sensitivity=2,Sheet4!AX22,IF(Capex_Phasing_sensitivity=3,Sheet4!AX33,IF(Capex_Phasing_sensitivity=4,Sheet4!AX44,IF(Capex_Phasing_sensitivity=5,Sheet4!AX55,IF(Capex_Phasing_sensitivity=6,Sheet4!AX66,0))))))</f>
        <v>0</v>
      </c>
      <c r="AV61" s="106">
        <f>IF(Capex_Phasing_sensitivity=1,Sheet4!AY11,IF(Capex_Phasing_sensitivity=2,Sheet4!AY22,IF(Capex_Phasing_sensitivity=3,Sheet4!AY33,IF(Capex_Phasing_sensitivity=4,Sheet4!AY44,IF(Capex_Phasing_sensitivity=5,Sheet4!AY55,IF(Capex_Phasing_sensitivity=6,Sheet4!AY66,0))))))</f>
        <v>0</v>
      </c>
      <c r="AW61" s="106">
        <f>IF(Capex_Phasing_sensitivity=1,Sheet4!AZ11,IF(Capex_Phasing_sensitivity=2,Sheet4!AZ22,IF(Capex_Phasing_sensitivity=3,Sheet4!AZ33,IF(Capex_Phasing_sensitivity=4,Sheet4!AZ44,IF(Capex_Phasing_sensitivity=5,Sheet4!AZ55,IF(Capex_Phasing_sensitivity=6,Sheet4!AZ66,0))))))</f>
        <v>0</v>
      </c>
      <c r="AX61" s="106">
        <f>IF(Capex_Phasing_sensitivity=1,Sheet4!BA11,IF(Capex_Phasing_sensitivity=2,Sheet4!BA22,IF(Capex_Phasing_sensitivity=3,Sheet4!BA33,IF(Capex_Phasing_sensitivity=4,Sheet4!BA44,IF(Capex_Phasing_sensitivity=5,Sheet4!BA55,IF(Capex_Phasing_sensitivity=6,Sheet4!BA66,0))))))</f>
        <v>0</v>
      </c>
      <c r="AY61" s="106">
        <f>IF(Capex_Phasing_sensitivity=1,Sheet4!BB11,IF(Capex_Phasing_sensitivity=2,Sheet4!BB22,IF(Capex_Phasing_sensitivity=3,Sheet4!BB33,IF(Capex_Phasing_sensitivity=4,Sheet4!BB44,IF(Capex_Phasing_sensitivity=5,Sheet4!BB55,IF(Capex_Phasing_sensitivity=6,Sheet4!BB66,0))))))</f>
        <v>0</v>
      </c>
      <c r="AZ61" s="106">
        <f>IF(Capex_Phasing_sensitivity=1,Sheet4!BC11,IF(Capex_Phasing_sensitivity=2,Sheet4!BC22,IF(Capex_Phasing_sensitivity=3,Sheet4!BC33,IF(Capex_Phasing_sensitivity=4,Sheet4!BC44,IF(Capex_Phasing_sensitivity=5,Sheet4!BC55,IF(Capex_Phasing_sensitivity=6,Sheet4!BC66,0))))))</f>
        <v>0</v>
      </c>
      <c r="BA61" s="106">
        <f>IF(Capex_Phasing_sensitivity=1,Sheet4!BD11,IF(Capex_Phasing_sensitivity=2,Sheet4!BD22,IF(Capex_Phasing_sensitivity=3,Sheet4!BD33,IF(Capex_Phasing_sensitivity=4,Sheet4!BD44,IF(Capex_Phasing_sensitivity=5,Sheet4!BD55,IF(Capex_Phasing_sensitivity=6,Sheet4!BD66,0))))))</f>
        <v>0</v>
      </c>
      <c r="BB61" s="106">
        <f>IF(Capex_Phasing_sensitivity=1,Sheet4!BE11,IF(Capex_Phasing_sensitivity=2,Sheet4!BE22,IF(Capex_Phasing_sensitivity=3,Sheet4!BE33,IF(Capex_Phasing_sensitivity=4,Sheet4!BE44,IF(Capex_Phasing_sensitivity=5,Sheet4!BE55,IF(Capex_Phasing_sensitivity=6,Sheet4!BE66,0))))))</f>
        <v>0</v>
      </c>
      <c r="BC61" s="106">
        <f>IF(Capex_Phasing_sensitivity=1,Sheet4!BF11,IF(Capex_Phasing_sensitivity=2,Sheet4!BF22,IF(Capex_Phasing_sensitivity=3,Sheet4!BF33,IF(Capex_Phasing_sensitivity=4,Sheet4!BF44,IF(Capex_Phasing_sensitivity=5,Sheet4!BF55,IF(Capex_Phasing_sensitivity=6,Sheet4!BF66,0))))))</f>
        <v>0</v>
      </c>
      <c r="BD61" s="106">
        <f>IF(Capex_Phasing_sensitivity=1,Sheet4!BG11,IF(Capex_Phasing_sensitivity=2,Sheet4!BG22,IF(Capex_Phasing_sensitivity=3,Sheet4!BG33,IF(Capex_Phasing_sensitivity=4,Sheet4!BG44,IF(Capex_Phasing_sensitivity=5,Sheet4!BG55,IF(Capex_Phasing_sensitivity=6,Sheet4!BG66,0))))))</f>
        <v>0</v>
      </c>
      <c r="BE61" s="106">
        <f>IF(Capex_Phasing_sensitivity=1,Sheet4!BH11,IF(Capex_Phasing_sensitivity=2,Sheet4!BH22,IF(Capex_Phasing_sensitivity=3,Sheet4!BH33,IF(Capex_Phasing_sensitivity=4,Sheet4!BH44,IF(Capex_Phasing_sensitivity=5,Sheet4!BH55,IF(Capex_Phasing_sensitivity=6,Sheet4!BH66,0))))))</f>
        <v>0</v>
      </c>
      <c r="BF61" s="106">
        <f>IF(Capex_Phasing_sensitivity=1,Sheet4!BI11,IF(Capex_Phasing_sensitivity=2,Sheet4!BI22,IF(Capex_Phasing_sensitivity=3,Sheet4!BI33,IF(Capex_Phasing_sensitivity=4,Sheet4!BI44,IF(Capex_Phasing_sensitivity=5,Sheet4!BI55,IF(Capex_Phasing_sensitivity=6,Sheet4!BI66,0))))))</f>
        <v>0</v>
      </c>
      <c r="BG61" s="106">
        <f>IF(Capex_Phasing_sensitivity=1,Sheet4!BJ11,IF(Capex_Phasing_sensitivity=2,Sheet4!BJ22,IF(Capex_Phasing_sensitivity=3,Sheet4!BJ33,IF(Capex_Phasing_sensitivity=4,Sheet4!BJ44,IF(Capex_Phasing_sensitivity=5,Sheet4!BJ55,IF(Capex_Phasing_sensitivity=6,Sheet4!BJ66,0))))))</f>
        <v>0</v>
      </c>
      <c r="BH61" s="106">
        <f>IF(Capex_Phasing_sensitivity=1,Sheet4!BK11,IF(Capex_Phasing_sensitivity=2,Sheet4!BK22,IF(Capex_Phasing_sensitivity=3,Sheet4!BK33,IF(Capex_Phasing_sensitivity=4,Sheet4!BK44,IF(Capex_Phasing_sensitivity=5,Sheet4!BK55,IF(Capex_Phasing_sensitivity=6,Sheet4!BK66,0))))))</f>
        <v>0</v>
      </c>
      <c r="BI61" s="2495">
        <f>IF(Capex_Phasing_sensitivity=1,Sheet4!BL11,IF(Capex_Phasing_sensitivity=2,Sheet4!BL22,IF(Capex_Phasing_sensitivity=3,Sheet4!BL33,IF(Capex_Phasing_sensitivity=4,Sheet4!BL44,IF(Capex_Phasing_sensitivity=5,Sheet4!BL55,IF(Capex_Phasing_sensitivity=6,Sheet4!BL66,0))))))</f>
        <v>0</v>
      </c>
      <c r="BJ61" s="2495">
        <f>IF(Capex_Phasing_sensitivity=1,Sheet4!BM11,IF(Capex_Phasing_sensitivity=2,Sheet4!BM22,IF(Capex_Phasing_sensitivity=3,Sheet4!BM33,IF(Capex_Phasing_sensitivity=4,Sheet4!BM44,IF(Capex_Phasing_sensitivity=5,Sheet4!BM55,IF(Capex_Phasing_sensitivity=6,Sheet4!BM66,0))))))</f>
        <v>0</v>
      </c>
      <c r="BK61" s="2495">
        <f>IF(Capex_Phasing_sensitivity=1,Sheet4!BN11,IF(Capex_Phasing_sensitivity=2,Sheet4!BN22,IF(Capex_Phasing_sensitivity=3,Sheet4!BN33,IF(Capex_Phasing_sensitivity=4,Sheet4!BN44,IF(Capex_Phasing_sensitivity=5,Sheet4!BN55,IF(Capex_Phasing_sensitivity=6,Sheet4!BN66,0))))))</f>
        <v>0</v>
      </c>
      <c r="BL61" s="2495">
        <f>IF(Capex_Phasing_sensitivity=1,Sheet4!BO11,IF(Capex_Phasing_sensitivity=2,Sheet4!BO22,IF(Capex_Phasing_sensitivity=3,Sheet4!BO33,IF(Capex_Phasing_sensitivity=4,Sheet4!BO44,IF(Capex_Phasing_sensitivity=5,Sheet4!BO55,IF(Capex_Phasing_sensitivity=6,Sheet4!BO66,0))))))</f>
        <v>0</v>
      </c>
      <c r="BM61" s="2495">
        <f>IF(Capex_Phasing_sensitivity=1,Sheet4!BP11,IF(Capex_Phasing_sensitivity=2,Sheet4!BP22,IF(Capex_Phasing_sensitivity=3,Sheet4!BP33,IF(Capex_Phasing_sensitivity=4,Sheet4!BP44,IF(Capex_Phasing_sensitivity=5,Sheet4!BP55,IF(Capex_Phasing_sensitivity=6,Sheet4!BP66,0))))))</f>
        <v>0</v>
      </c>
      <c r="BN61" s="2495">
        <f>IF(Capex_Phasing_sensitivity=1,Sheet4!BQ11,IF(Capex_Phasing_sensitivity=2,Sheet4!BQ22,IF(Capex_Phasing_sensitivity=3,Sheet4!BQ33,IF(Capex_Phasing_sensitivity=4,Sheet4!BQ44,IF(Capex_Phasing_sensitivity=5,Sheet4!BQ55,IF(Capex_Phasing_sensitivity=6,Sheet4!BQ66,0))))))</f>
        <v>0</v>
      </c>
      <c r="BO61" s="106">
        <f>IF(Capex_Phasing_sensitivity=1,Sheet4!BR11,IF(Capex_Phasing_sensitivity=2,Sheet4!BR22,IF(Capex_Phasing_sensitivity=3,Sheet4!BR33,IF(Capex_Phasing_sensitivity=4,Sheet4!BR44,IF(Capex_Phasing_sensitivity=5,Sheet4!BR55,IF(Capex_Phasing_sensitivity=6,Sheet4!BR66,0))))))</f>
        <v>0</v>
      </c>
      <c r="BP61" s="106">
        <f>IF(Capex_Phasing_sensitivity=1,Sheet4!BS11,IF(Capex_Phasing_sensitivity=2,Sheet4!BS22,IF(Capex_Phasing_sensitivity=3,Sheet4!BS33,IF(Capex_Phasing_sensitivity=4,Sheet4!BS44,IF(Capex_Phasing_sensitivity=5,Sheet4!BS55,IF(Capex_Phasing_sensitivity=6,Sheet4!BS66,0))))))</f>
        <v>0</v>
      </c>
      <c r="BQ61" s="106">
        <f>IF(Capex_Phasing_sensitivity=1,Sheet4!BT11,IF(Capex_Phasing_sensitivity=2,Sheet4!BT22,IF(Capex_Phasing_sensitivity=3,Sheet4!BT33,IF(Capex_Phasing_sensitivity=4,Sheet4!BT44,IF(Capex_Phasing_sensitivity=5,Sheet4!BT55,IF(Capex_Phasing_sensitivity=6,Sheet4!BT66,0))))))</f>
        <v>0</v>
      </c>
      <c r="BR61" s="106">
        <f>IF(Capex_Phasing_sensitivity=1,Sheet4!BU11,IF(Capex_Phasing_sensitivity=2,Sheet4!BU22,IF(Capex_Phasing_sensitivity=3,Sheet4!BU33,IF(Capex_Phasing_sensitivity=4,Sheet4!BU44,IF(Capex_Phasing_sensitivity=5,Sheet4!BU55,IF(Capex_Phasing_sensitivity=6,Sheet4!BU66,0))))))</f>
        <v>0</v>
      </c>
      <c r="BS61" s="106">
        <f>IF(Capex_Phasing_sensitivity=1,Sheet4!BV11,IF(Capex_Phasing_sensitivity=2,Sheet4!BV22,IF(Capex_Phasing_sensitivity=3,Sheet4!BV33,IF(Capex_Phasing_sensitivity=4,Sheet4!BV44,IF(Capex_Phasing_sensitivity=5,Sheet4!BV55,IF(Capex_Phasing_sensitivity=6,Sheet4!BV66,0))))))</f>
        <v>0</v>
      </c>
      <c r="BT61" s="106">
        <f>IF(Capex_Phasing_sensitivity=1,Sheet4!BW11,IF(Capex_Phasing_sensitivity=2,Sheet4!BW22,IF(Capex_Phasing_sensitivity=3,Sheet4!BW33,IF(Capex_Phasing_sensitivity=4,Sheet4!BW44,IF(Capex_Phasing_sensitivity=5,Sheet4!BW55,IF(Capex_Phasing_sensitivity=6,Sheet4!BW66,0))))))</f>
        <v>0</v>
      </c>
      <c r="BU61" s="106">
        <f>IF(Capex_Phasing_sensitivity=1,Sheet4!BX11,IF(Capex_Phasing_sensitivity=2,Sheet4!BX22,IF(Capex_Phasing_sensitivity=3,Sheet4!BX33,IF(Capex_Phasing_sensitivity=4,Sheet4!BX44,IF(Capex_Phasing_sensitivity=5,Sheet4!BX55,IF(Capex_Phasing_sensitivity=6,Sheet4!BX66,0))))))</f>
        <v>0</v>
      </c>
      <c r="BV61" s="106">
        <f>IF(Capex_Phasing_sensitivity=1,Sheet4!BY11,IF(Capex_Phasing_sensitivity=2,Sheet4!BY22,IF(Capex_Phasing_sensitivity=3,Sheet4!BY33,IF(Capex_Phasing_sensitivity=4,Sheet4!BY44,IF(Capex_Phasing_sensitivity=5,Sheet4!BY55,IF(Capex_Phasing_sensitivity=6,Sheet4!BY66,0))))))</f>
        <v>0</v>
      </c>
      <c r="BW61" s="106">
        <f>IF(Capex_Phasing_sensitivity=1,Sheet4!BZ11,IF(Capex_Phasing_sensitivity=2,Sheet4!BZ22,IF(Capex_Phasing_sensitivity=3,Sheet4!BZ33,IF(Capex_Phasing_sensitivity=4,Sheet4!BZ44,IF(Capex_Phasing_sensitivity=5,Sheet4!BZ55,IF(Capex_Phasing_sensitivity=6,Sheet4!BZ66,0))))))</f>
        <v>0</v>
      </c>
      <c r="BX61" s="106">
        <f>IF(Capex_Phasing_sensitivity=1,Sheet4!CA11,IF(Capex_Phasing_sensitivity=2,Sheet4!CA22,IF(Capex_Phasing_sensitivity=3,Sheet4!CA33,IF(Capex_Phasing_sensitivity=4,Sheet4!CA44,IF(Capex_Phasing_sensitivity=5,Sheet4!CA55,IF(Capex_Phasing_sensitivity=6,Sheet4!CA66,0))))))</f>
        <v>0</v>
      </c>
      <c r="BY61" s="106">
        <f>IF(Capex_Phasing_sensitivity=1,Sheet4!CB11,IF(Capex_Phasing_sensitivity=2,Sheet4!CB22,IF(Capex_Phasing_sensitivity=3,Sheet4!CB33,IF(Capex_Phasing_sensitivity=4,Sheet4!CB44,IF(Capex_Phasing_sensitivity=5,Sheet4!CB55,IF(Capex_Phasing_sensitivity=6,Sheet4!CB66,0))))))</f>
        <v>0</v>
      </c>
      <c r="BZ61" s="106">
        <f>IF(Capex_Phasing_sensitivity=1,Sheet4!CC11,IF(Capex_Phasing_sensitivity=2,Sheet4!CC22,IF(Capex_Phasing_sensitivity=3,Sheet4!CC33,IF(Capex_Phasing_sensitivity=4,Sheet4!CC44,IF(Capex_Phasing_sensitivity=5,Sheet4!CC55,IF(Capex_Phasing_sensitivity=6,Sheet4!CC66,0))))))</f>
        <v>0</v>
      </c>
      <c r="CA61" s="106">
        <f>IF(Capex_Phasing_sensitivity=1,Sheet4!CD11,IF(Capex_Phasing_sensitivity=2,Sheet4!CD22,IF(Capex_Phasing_sensitivity=3,Sheet4!CD33,IF(Capex_Phasing_sensitivity=4,Sheet4!CD44,IF(Capex_Phasing_sensitivity=5,Sheet4!CD55,IF(Capex_Phasing_sensitivity=6,Sheet4!CD66,0))))))</f>
        <v>0</v>
      </c>
      <c r="CB61" s="106">
        <f>IF(Capex_Phasing_sensitivity=1,Sheet4!CE11,IF(Capex_Phasing_sensitivity=2,Sheet4!CE22,IF(Capex_Phasing_sensitivity=3,Sheet4!CE33,IF(Capex_Phasing_sensitivity=4,Sheet4!CE44,IF(Capex_Phasing_sensitivity=5,Sheet4!CE55,IF(Capex_Phasing_sensitivity=6,Sheet4!CE66,0))))))</f>
        <v>0</v>
      </c>
      <c r="CD61" s="14">
        <f t="shared" ref="CD61:CD68" si="33">SUM(I61:CB61)</f>
        <v>0.99999999999999989</v>
      </c>
    </row>
    <row r="62" spans="1:16376">
      <c r="B62" s="177" t="s">
        <v>657</v>
      </c>
      <c r="C62" s="118">
        <f>IF('Input '!$F$9=1,'Input '!E90/Exchange_Rate,'Input '!E90)*Sens_projectcost</f>
        <v>37836312.244897962</v>
      </c>
      <c r="D62" s="178">
        <f t="shared" si="32"/>
        <v>0.99999999999999989</v>
      </c>
      <c r="I62" s="106">
        <f>IF(Capex_Phasing_sensitivity=1,Sheet4!L12,IF(Capex_Phasing_sensitivity=2,Sheet4!L23,IF(Capex_Phasing_sensitivity=3,Sheet4!L34,IF(Capex_Phasing_sensitivity=4,Sheet4!L45,IF(Capex_Phasing_sensitivity=5,Sheet4!L56,IF(Capex_Phasing_sensitivity=6,Sheet4!L67,0))))))</f>
        <v>0</v>
      </c>
      <c r="J62" s="106">
        <f>IF(Capex_Phasing_sensitivity=1,Sheet4!M12,IF(Capex_Phasing_sensitivity=2,Sheet4!M23,IF(Capex_Phasing_sensitivity=3,Sheet4!M34,IF(Capex_Phasing_sensitivity=4,Sheet4!M45,IF(Capex_Phasing_sensitivity=5,Sheet4!M56,IF(Capex_Phasing_sensitivity=6,Sheet4!M67,0))))))</f>
        <v>0</v>
      </c>
      <c r="K62" s="106">
        <f>IF(Capex_Phasing_sensitivity=1,Sheet4!N12,IF(Capex_Phasing_sensitivity=2,Sheet4!N23,IF(Capex_Phasing_sensitivity=3,Sheet4!N34,IF(Capex_Phasing_sensitivity=4,Sheet4!N45,IF(Capex_Phasing_sensitivity=5,Sheet4!N56,IF(Capex_Phasing_sensitivity=6,Sheet4!N67,0))))))</f>
        <v>0</v>
      </c>
      <c r="L62" s="106">
        <f>IF(Capex_Phasing_sensitivity=1,Sheet4!O12,IF(Capex_Phasing_sensitivity=2,Sheet4!O23,IF(Capex_Phasing_sensitivity=3,Sheet4!O34,IF(Capex_Phasing_sensitivity=4,Sheet4!O45,IF(Capex_Phasing_sensitivity=5,Sheet4!O56,IF(Capex_Phasing_sensitivity=6,Sheet4!O67,0))))))</f>
        <v>0</v>
      </c>
      <c r="M62" s="106">
        <f>IF(Capex_Phasing_sensitivity=1,Sheet4!P12,IF(Capex_Phasing_sensitivity=2,Sheet4!P23,IF(Capex_Phasing_sensitivity=3,Sheet4!P34,IF(Capex_Phasing_sensitivity=4,Sheet4!P45,IF(Capex_Phasing_sensitivity=5,Sheet4!P56,IF(Capex_Phasing_sensitivity=6,Sheet4!P67,0))))))</f>
        <v>0</v>
      </c>
      <c r="N62" s="106">
        <f>IF(Capex_Phasing_sensitivity=1,Sheet4!Q12,IF(Capex_Phasing_sensitivity=2,Sheet4!Q23,IF(Capex_Phasing_sensitivity=3,Sheet4!Q34,IF(Capex_Phasing_sensitivity=4,Sheet4!Q45,IF(Capex_Phasing_sensitivity=5,Sheet4!Q56,IF(Capex_Phasing_sensitivity=6,Sheet4!Q67,0))))))</f>
        <v>0</v>
      </c>
      <c r="O62" s="106">
        <f>IF(Capex_Phasing_sensitivity=1,Sheet4!R12,IF(Capex_Phasing_sensitivity=2,Sheet4!R23,IF(Capex_Phasing_sensitivity=3,Sheet4!R34,IF(Capex_Phasing_sensitivity=4,Sheet4!R45,IF(Capex_Phasing_sensitivity=5,Sheet4!R56,IF(Capex_Phasing_sensitivity=6,Sheet4!R67,0))))))</f>
        <v>0</v>
      </c>
      <c r="P62" s="106">
        <f>IF(Capex_Phasing_sensitivity=1,Sheet4!S12,IF(Capex_Phasing_sensitivity=2,Sheet4!S23,IF(Capex_Phasing_sensitivity=3,Sheet4!S34,IF(Capex_Phasing_sensitivity=4,Sheet4!S45,IF(Capex_Phasing_sensitivity=5,Sheet4!S56,IF(Capex_Phasing_sensitivity=6,Sheet4!S67,0))))))</f>
        <v>0</v>
      </c>
      <c r="Q62" s="106">
        <f>IF(Capex_Phasing_sensitivity=1,Sheet4!T12,IF(Capex_Phasing_sensitivity=2,Sheet4!T23,IF(Capex_Phasing_sensitivity=3,Sheet4!T34,IF(Capex_Phasing_sensitivity=4,Sheet4!T45,IF(Capex_Phasing_sensitivity=5,Sheet4!T56,IF(Capex_Phasing_sensitivity=6,Sheet4!T67,0))))))</f>
        <v>0</v>
      </c>
      <c r="R62" s="106">
        <f>IF(Capex_Phasing_sensitivity=1,Sheet4!U12,IF(Capex_Phasing_sensitivity=2,Sheet4!U23,IF(Capex_Phasing_sensitivity=3,Sheet4!U34,IF(Capex_Phasing_sensitivity=4,Sheet4!U45,IF(Capex_Phasing_sensitivity=5,Sheet4!U56,IF(Capex_Phasing_sensitivity=6,Sheet4!U67,0))))))</f>
        <v>0</v>
      </c>
      <c r="S62" s="106">
        <f>IF(Capex_Phasing_sensitivity=1,Sheet4!V12,IF(Capex_Phasing_sensitivity=2,Sheet4!V23,IF(Capex_Phasing_sensitivity=3,Sheet4!V34,IF(Capex_Phasing_sensitivity=4,Sheet4!V45,IF(Capex_Phasing_sensitivity=5,Sheet4!V56,IF(Capex_Phasing_sensitivity=6,Sheet4!V67,0))))))</f>
        <v>0</v>
      </c>
      <c r="T62" s="106">
        <f>IF(Capex_Phasing_sensitivity=1,Sheet4!W12,IF(Capex_Phasing_sensitivity=2,Sheet4!W23,IF(Capex_Phasing_sensitivity=3,Sheet4!W34,IF(Capex_Phasing_sensitivity=4,Sheet4!W45,IF(Capex_Phasing_sensitivity=5,Sheet4!W56,IF(Capex_Phasing_sensitivity=6,Sheet4!W67,0))))))</f>
        <v>0</v>
      </c>
      <c r="U62" s="106">
        <f>IF(Capex_Phasing_sensitivity=1,Sheet4!X12,IF(Capex_Phasing_sensitivity=2,Sheet4!X23,IF(Capex_Phasing_sensitivity=3,Sheet4!X34,IF(Capex_Phasing_sensitivity=4,Sheet4!X45,IF(Capex_Phasing_sensitivity=5,Sheet4!X56,IF(Capex_Phasing_sensitivity=6,Sheet4!X67,0))))))</f>
        <v>0</v>
      </c>
      <c r="V62" s="106">
        <f>IF(Capex_Phasing_sensitivity=1,Sheet4!Y12,IF(Capex_Phasing_sensitivity=2,Sheet4!Y23,IF(Capex_Phasing_sensitivity=3,Sheet4!Y34,IF(Capex_Phasing_sensitivity=4,Sheet4!Y45,IF(Capex_Phasing_sensitivity=5,Sheet4!Y56,IF(Capex_Phasing_sensitivity=6,Sheet4!Y67,0))))))</f>
        <v>0</v>
      </c>
      <c r="W62" s="106">
        <f>IF(Capex_Phasing_sensitivity=1,Sheet4!Z12,IF(Capex_Phasing_sensitivity=2,Sheet4!Z23,IF(Capex_Phasing_sensitivity=3,Sheet4!Z34,IF(Capex_Phasing_sensitivity=4,Sheet4!Z45,IF(Capex_Phasing_sensitivity=5,Sheet4!Z56,IF(Capex_Phasing_sensitivity=6,Sheet4!Z67,0))))))</f>
        <v>0</v>
      </c>
      <c r="X62" s="106">
        <f>IF(Capex_Phasing_sensitivity=1,Sheet4!AA12,IF(Capex_Phasing_sensitivity=2,Sheet4!AA23,IF(Capex_Phasing_sensitivity=3,Sheet4!AA34,IF(Capex_Phasing_sensitivity=4,Sheet4!AA45,IF(Capex_Phasing_sensitivity=5,Sheet4!AA56,IF(Capex_Phasing_sensitivity=6,Sheet4!AA67,0))))))</f>
        <v>0</v>
      </c>
      <c r="Y62" s="106">
        <f>IF(Capex_Phasing_sensitivity=1,Sheet4!AB12,IF(Capex_Phasing_sensitivity=2,Sheet4!AB23,IF(Capex_Phasing_sensitivity=3,Sheet4!AB34,IF(Capex_Phasing_sensitivity=4,Sheet4!AB45,IF(Capex_Phasing_sensitivity=5,Sheet4!AB56,IF(Capex_Phasing_sensitivity=6,Sheet4!AB67,0))))))</f>
        <v>0</v>
      </c>
      <c r="Z62" s="106">
        <f>IF(Capex_Phasing_sensitivity=1,Sheet4!AC12,IF(Capex_Phasing_sensitivity=2,Sheet4!AC23,IF(Capex_Phasing_sensitivity=3,Sheet4!AC34,IF(Capex_Phasing_sensitivity=4,Sheet4!AC45,IF(Capex_Phasing_sensitivity=5,Sheet4!AC56,IF(Capex_Phasing_sensitivity=6,Sheet4!AC67,0))))))</f>
        <v>0.02</v>
      </c>
      <c r="AA62" s="106">
        <f>IF(Capex_Phasing_sensitivity=1,Sheet4!AD12,IF(Capex_Phasing_sensitivity=2,Sheet4!AD23,IF(Capex_Phasing_sensitivity=3,Sheet4!AD34,IF(Capex_Phasing_sensitivity=4,Sheet4!AD45,IF(Capex_Phasing_sensitivity=5,Sheet4!AD56,IF(Capex_Phasing_sensitivity=6,Sheet4!AD67,0))))))</f>
        <v>0.02</v>
      </c>
      <c r="AB62" s="106">
        <f>IF(Capex_Phasing_sensitivity=1,Sheet4!AE12,IF(Capex_Phasing_sensitivity=2,Sheet4!AE23,IF(Capex_Phasing_sensitivity=3,Sheet4!AE34,IF(Capex_Phasing_sensitivity=4,Sheet4!AE45,IF(Capex_Phasing_sensitivity=5,Sheet4!AE56,IF(Capex_Phasing_sensitivity=6,Sheet4!AE67,0))))))</f>
        <v>0.02</v>
      </c>
      <c r="AC62" s="106">
        <f>IF(Capex_Phasing_sensitivity=1,Sheet4!AF12,IF(Capex_Phasing_sensitivity=2,Sheet4!AF23,IF(Capex_Phasing_sensitivity=3,Sheet4!AF34,IF(Capex_Phasing_sensitivity=4,Sheet4!AF45,IF(Capex_Phasing_sensitivity=5,Sheet4!AF56,IF(Capex_Phasing_sensitivity=6,Sheet4!AF67,0))))))</f>
        <v>0.02</v>
      </c>
      <c r="AD62" s="106">
        <f>IF(Capex_Phasing_sensitivity=1,Sheet4!AG12,IF(Capex_Phasing_sensitivity=2,Sheet4!AG23,IF(Capex_Phasing_sensitivity=3,Sheet4!AG34,IF(Capex_Phasing_sensitivity=4,Sheet4!AG45,IF(Capex_Phasing_sensitivity=5,Sheet4!AG56,IF(Capex_Phasing_sensitivity=6,Sheet4!AG67,0))))))</f>
        <v>0.02</v>
      </c>
      <c r="AE62" s="106">
        <f>IF(Capex_Phasing_sensitivity=1,Sheet4!AH12,IF(Capex_Phasing_sensitivity=2,Sheet4!AH23,IF(Capex_Phasing_sensitivity=3,Sheet4!AH34,IF(Capex_Phasing_sensitivity=4,Sheet4!AH45,IF(Capex_Phasing_sensitivity=5,Sheet4!AH56,IF(Capex_Phasing_sensitivity=6,Sheet4!AH67,0))))))</f>
        <v>0.02</v>
      </c>
      <c r="AF62" s="2502">
        <f>IF(Capex_Phasing_sensitivity=1,Sheet4!AI12,IF(Capex_Phasing_sensitivity=2,Sheet4!AI23,IF(Capex_Phasing_sensitivity=3,Sheet4!AI34,IF(Capex_Phasing_sensitivity=4,Sheet4!AI45,IF(Capex_Phasing_sensitivity=5,Sheet4!AI56,IF(Capex_Phasing_sensitivity=6,Sheet4!AI67,0))))))</f>
        <v>0.03</v>
      </c>
      <c r="AG62" s="2502">
        <f>IF(Capex_Phasing_sensitivity=1,Sheet4!AJ12,IF(Capex_Phasing_sensitivity=2,Sheet4!AJ23,IF(Capex_Phasing_sensitivity=3,Sheet4!AJ34,IF(Capex_Phasing_sensitivity=4,Sheet4!AJ45,IF(Capex_Phasing_sensitivity=5,Sheet4!AJ56,IF(Capex_Phasing_sensitivity=6,Sheet4!AJ67,0))))))</f>
        <v>0.05</v>
      </c>
      <c r="AH62" s="2502">
        <f>IF(Capex_Phasing_sensitivity=1,Sheet4!AK12,IF(Capex_Phasing_sensitivity=2,Sheet4!AK23,IF(Capex_Phasing_sensitivity=3,Sheet4!AK34,IF(Capex_Phasing_sensitivity=4,Sheet4!AK45,IF(Capex_Phasing_sensitivity=5,Sheet4!AK56,IF(Capex_Phasing_sensitivity=6,Sheet4!AK67,0))))))</f>
        <v>0.05</v>
      </c>
      <c r="AI62" s="2502">
        <f>IF(Capex_Phasing_sensitivity=1,Sheet4!AL12,IF(Capex_Phasing_sensitivity=2,Sheet4!AL23,IF(Capex_Phasing_sensitivity=3,Sheet4!AL34,IF(Capex_Phasing_sensitivity=4,Sheet4!AL45,IF(Capex_Phasing_sensitivity=5,Sheet4!AL56,IF(Capex_Phasing_sensitivity=6,Sheet4!AL67,0))))))</f>
        <v>0.05</v>
      </c>
      <c r="AJ62" s="2502">
        <f>IF(Capex_Phasing_sensitivity=1,Sheet4!AM12,IF(Capex_Phasing_sensitivity=2,Sheet4!AM23,IF(Capex_Phasing_sensitivity=3,Sheet4!AM34,IF(Capex_Phasing_sensitivity=4,Sheet4!AM45,IF(Capex_Phasing_sensitivity=5,Sheet4!AM56,IF(Capex_Phasing_sensitivity=6,Sheet4!AM67,0))))))</f>
        <v>0.05</v>
      </c>
      <c r="AK62" s="106">
        <f>IF(Capex_Phasing_sensitivity=1,Sheet4!AN12,IF(Capex_Phasing_sensitivity=2,Sheet4!AN23,IF(Capex_Phasing_sensitivity=3,Sheet4!AN34,IF(Capex_Phasing_sensitivity=4,Sheet4!AN45,IF(Capex_Phasing_sensitivity=5,Sheet4!AN56,IF(Capex_Phasing_sensitivity=6,Sheet4!AN67,0))))))</f>
        <v>0.05</v>
      </c>
      <c r="AL62" s="106">
        <f>IF(Capex_Phasing_sensitivity=1,Sheet4!AO12,IF(Capex_Phasing_sensitivity=2,Sheet4!AO23,IF(Capex_Phasing_sensitivity=3,Sheet4!AO34,IF(Capex_Phasing_sensitivity=4,Sheet4!AO45,IF(Capex_Phasing_sensitivity=5,Sheet4!AO56,IF(Capex_Phasing_sensitivity=6,Sheet4!AO67,0))))))</f>
        <v>0.05</v>
      </c>
      <c r="AM62" s="106">
        <f>IF(Capex_Phasing_sensitivity=1,Sheet4!AP12,IF(Capex_Phasing_sensitivity=2,Sheet4!AP23,IF(Capex_Phasing_sensitivity=3,Sheet4!AP34,IF(Capex_Phasing_sensitivity=4,Sheet4!AP45,IF(Capex_Phasing_sensitivity=5,Sheet4!AP56,IF(Capex_Phasing_sensitivity=6,Sheet4!AP67,0))))))</f>
        <v>0.05</v>
      </c>
      <c r="AN62" s="106">
        <f>IF(Capex_Phasing_sensitivity=1,Sheet4!AQ12,IF(Capex_Phasing_sensitivity=2,Sheet4!AQ23,IF(Capex_Phasing_sensitivity=3,Sheet4!AQ34,IF(Capex_Phasing_sensitivity=4,Sheet4!AQ45,IF(Capex_Phasing_sensitivity=5,Sheet4!AQ56,IF(Capex_Phasing_sensitivity=6,Sheet4!AQ67,0))))))</f>
        <v>0.1</v>
      </c>
      <c r="AO62" s="106">
        <f>IF(Capex_Phasing_sensitivity=1,Sheet4!AR12,IF(Capex_Phasing_sensitivity=2,Sheet4!AR23,IF(Capex_Phasing_sensitivity=3,Sheet4!AR34,IF(Capex_Phasing_sensitivity=4,Sheet4!AR45,IF(Capex_Phasing_sensitivity=5,Sheet4!AR56,IF(Capex_Phasing_sensitivity=6,Sheet4!AR67,0))))))</f>
        <v>0.1</v>
      </c>
      <c r="AP62" s="106">
        <f>IF(Capex_Phasing_sensitivity=1,Sheet4!AS12,IF(Capex_Phasing_sensitivity=2,Sheet4!AS23,IF(Capex_Phasing_sensitivity=3,Sheet4!AS34,IF(Capex_Phasing_sensitivity=4,Sheet4!AS45,IF(Capex_Phasing_sensitivity=5,Sheet4!AS56,IF(Capex_Phasing_sensitivity=6,Sheet4!AS67,0))))))</f>
        <v>0.1</v>
      </c>
      <c r="AQ62" s="106">
        <f>IF(Capex_Phasing_sensitivity=1,Sheet4!AT12,IF(Capex_Phasing_sensitivity=2,Sheet4!AT23,IF(Capex_Phasing_sensitivity=3,Sheet4!AT34,IF(Capex_Phasing_sensitivity=4,Sheet4!AT45,IF(Capex_Phasing_sensitivity=5,Sheet4!AT56,IF(Capex_Phasing_sensitivity=6,Sheet4!AT67,0))))))</f>
        <v>0.1</v>
      </c>
      <c r="AR62" s="106">
        <f>IF(Capex_Phasing_sensitivity=1,Sheet4!AU12,IF(Capex_Phasing_sensitivity=2,Sheet4!AU23,IF(Capex_Phasing_sensitivity=3,Sheet4!AU34,IF(Capex_Phasing_sensitivity=4,Sheet4!AU45,IF(Capex_Phasing_sensitivity=5,Sheet4!AU56,IF(Capex_Phasing_sensitivity=6,Sheet4!AU67,0))))))</f>
        <v>0.1</v>
      </c>
      <c r="AS62" s="106">
        <f>IF(Capex_Phasing_sensitivity=1,Sheet4!AV12,IF(Capex_Phasing_sensitivity=2,Sheet4!AV23,IF(Capex_Phasing_sensitivity=3,Sheet4!AV34,IF(Capex_Phasing_sensitivity=4,Sheet4!AV45,IF(Capex_Phasing_sensitivity=5,Sheet4!AV56,IF(Capex_Phasing_sensitivity=6,Sheet4!AV67,0))))))</f>
        <v>0</v>
      </c>
      <c r="AT62" s="106">
        <f>IF(Capex_Phasing_sensitivity=1,Sheet4!AW12,IF(Capex_Phasing_sensitivity=2,Sheet4!AW23,IF(Capex_Phasing_sensitivity=3,Sheet4!AW34,IF(Capex_Phasing_sensitivity=4,Sheet4!AW45,IF(Capex_Phasing_sensitivity=5,Sheet4!AW56,IF(Capex_Phasing_sensitivity=6,Sheet4!AW67,0))))))</f>
        <v>0</v>
      </c>
      <c r="AU62" s="106">
        <f>IF(Capex_Phasing_sensitivity=1,Sheet4!AX12,IF(Capex_Phasing_sensitivity=2,Sheet4!AX23,IF(Capex_Phasing_sensitivity=3,Sheet4!AX34,IF(Capex_Phasing_sensitivity=4,Sheet4!AX45,IF(Capex_Phasing_sensitivity=5,Sheet4!AX56,IF(Capex_Phasing_sensitivity=6,Sheet4!AX67,0))))))</f>
        <v>0</v>
      </c>
      <c r="AV62" s="106">
        <f>IF(Capex_Phasing_sensitivity=1,Sheet4!AY12,IF(Capex_Phasing_sensitivity=2,Sheet4!AY23,IF(Capex_Phasing_sensitivity=3,Sheet4!AY34,IF(Capex_Phasing_sensitivity=4,Sheet4!AY45,IF(Capex_Phasing_sensitivity=5,Sheet4!AY56,IF(Capex_Phasing_sensitivity=6,Sheet4!AY67,0))))))</f>
        <v>0</v>
      </c>
      <c r="AW62" s="106">
        <f>IF(Capex_Phasing_sensitivity=1,Sheet4!AZ12,IF(Capex_Phasing_sensitivity=2,Sheet4!AZ23,IF(Capex_Phasing_sensitivity=3,Sheet4!AZ34,IF(Capex_Phasing_sensitivity=4,Sheet4!AZ45,IF(Capex_Phasing_sensitivity=5,Sheet4!AZ56,IF(Capex_Phasing_sensitivity=6,Sheet4!AZ67,0))))))</f>
        <v>0</v>
      </c>
      <c r="AX62" s="106">
        <f>IF(Capex_Phasing_sensitivity=1,Sheet4!BA12,IF(Capex_Phasing_sensitivity=2,Sheet4!BA23,IF(Capex_Phasing_sensitivity=3,Sheet4!BA34,IF(Capex_Phasing_sensitivity=4,Sheet4!BA45,IF(Capex_Phasing_sensitivity=5,Sheet4!BA56,IF(Capex_Phasing_sensitivity=6,Sheet4!BA67,0))))))</f>
        <v>0</v>
      </c>
      <c r="AY62" s="106">
        <f>IF(Capex_Phasing_sensitivity=1,Sheet4!BB12,IF(Capex_Phasing_sensitivity=2,Sheet4!BB23,IF(Capex_Phasing_sensitivity=3,Sheet4!BB34,IF(Capex_Phasing_sensitivity=4,Sheet4!BB45,IF(Capex_Phasing_sensitivity=5,Sheet4!BB56,IF(Capex_Phasing_sensitivity=6,Sheet4!BB67,0))))))</f>
        <v>0</v>
      </c>
      <c r="AZ62" s="106">
        <f>IF(Capex_Phasing_sensitivity=1,Sheet4!BC12,IF(Capex_Phasing_sensitivity=2,Sheet4!BC23,IF(Capex_Phasing_sensitivity=3,Sheet4!BC34,IF(Capex_Phasing_sensitivity=4,Sheet4!BC45,IF(Capex_Phasing_sensitivity=5,Sheet4!BC56,IF(Capex_Phasing_sensitivity=6,Sheet4!BC67,0))))))</f>
        <v>0</v>
      </c>
      <c r="BA62" s="106">
        <f>IF(Capex_Phasing_sensitivity=1,Sheet4!BD12,IF(Capex_Phasing_sensitivity=2,Sheet4!BD23,IF(Capex_Phasing_sensitivity=3,Sheet4!BD34,IF(Capex_Phasing_sensitivity=4,Sheet4!BD45,IF(Capex_Phasing_sensitivity=5,Sheet4!BD56,IF(Capex_Phasing_sensitivity=6,Sheet4!BD67,0))))))</f>
        <v>0</v>
      </c>
      <c r="BB62" s="106">
        <f>IF(Capex_Phasing_sensitivity=1,Sheet4!BE12,IF(Capex_Phasing_sensitivity=2,Sheet4!BE23,IF(Capex_Phasing_sensitivity=3,Sheet4!BE34,IF(Capex_Phasing_sensitivity=4,Sheet4!BE45,IF(Capex_Phasing_sensitivity=5,Sheet4!BE56,IF(Capex_Phasing_sensitivity=6,Sheet4!BE67,0))))))</f>
        <v>0</v>
      </c>
      <c r="BC62" s="106">
        <f>IF(Capex_Phasing_sensitivity=1,Sheet4!BF12,IF(Capex_Phasing_sensitivity=2,Sheet4!BF23,IF(Capex_Phasing_sensitivity=3,Sheet4!BF34,IF(Capex_Phasing_sensitivity=4,Sheet4!BF45,IF(Capex_Phasing_sensitivity=5,Sheet4!BF56,IF(Capex_Phasing_sensitivity=6,Sheet4!BF67,0))))))</f>
        <v>0</v>
      </c>
      <c r="BD62" s="106">
        <f>IF(Capex_Phasing_sensitivity=1,Sheet4!BG12,IF(Capex_Phasing_sensitivity=2,Sheet4!BG23,IF(Capex_Phasing_sensitivity=3,Sheet4!BG34,IF(Capex_Phasing_sensitivity=4,Sheet4!BG45,IF(Capex_Phasing_sensitivity=5,Sheet4!BG56,IF(Capex_Phasing_sensitivity=6,Sheet4!BG67,0))))))</f>
        <v>0</v>
      </c>
      <c r="BE62" s="106">
        <f>IF(Capex_Phasing_sensitivity=1,Sheet4!BH12,IF(Capex_Phasing_sensitivity=2,Sheet4!BH23,IF(Capex_Phasing_sensitivity=3,Sheet4!BH34,IF(Capex_Phasing_sensitivity=4,Sheet4!BH45,IF(Capex_Phasing_sensitivity=5,Sheet4!BH56,IF(Capex_Phasing_sensitivity=6,Sheet4!BH67,0))))))</f>
        <v>0</v>
      </c>
      <c r="BF62" s="106">
        <f>IF(Capex_Phasing_sensitivity=1,Sheet4!BI12,IF(Capex_Phasing_sensitivity=2,Sheet4!BI23,IF(Capex_Phasing_sensitivity=3,Sheet4!BI34,IF(Capex_Phasing_sensitivity=4,Sheet4!BI45,IF(Capex_Phasing_sensitivity=5,Sheet4!BI56,IF(Capex_Phasing_sensitivity=6,Sheet4!BI67,0))))))</f>
        <v>0</v>
      </c>
      <c r="BG62" s="106">
        <f>IF(Capex_Phasing_sensitivity=1,Sheet4!BJ12,IF(Capex_Phasing_sensitivity=2,Sheet4!BJ23,IF(Capex_Phasing_sensitivity=3,Sheet4!BJ34,IF(Capex_Phasing_sensitivity=4,Sheet4!BJ45,IF(Capex_Phasing_sensitivity=5,Sheet4!BJ56,IF(Capex_Phasing_sensitivity=6,Sheet4!BJ67,0))))))</f>
        <v>0</v>
      </c>
      <c r="BH62" s="106">
        <f>IF(Capex_Phasing_sensitivity=1,Sheet4!BK12,IF(Capex_Phasing_sensitivity=2,Sheet4!BK23,IF(Capex_Phasing_sensitivity=3,Sheet4!BK34,IF(Capex_Phasing_sensitivity=4,Sheet4!BK45,IF(Capex_Phasing_sensitivity=5,Sheet4!BK56,IF(Capex_Phasing_sensitivity=6,Sheet4!BK67,0))))))</f>
        <v>0</v>
      </c>
      <c r="BI62" s="2495">
        <f>IF(Capex_Phasing_sensitivity=1,Sheet4!BL12,IF(Capex_Phasing_sensitivity=2,Sheet4!BL23,IF(Capex_Phasing_sensitivity=3,Sheet4!BL34,IF(Capex_Phasing_sensitivity=4,Sheet4!BL45,IF(Capex_Phasing_sensitivity=5,Sheet4!BL56,IF(Capex_Phasing_sensitivity=6,Sheet4!BL67,0))))))</f>
        <v>0</v>
      </c>
      <c r="BJ62" s="2495">
        <f>IF(Capex_Phasing_sensitivity=1,Sheet4!BM12,IF(Capex_Phasing_sensitivity=2,Sheet4!BM23,IF(Capex_Phasing_sensitivity=3,Sheet4!BM34,IF(Capex_Phasing_sensitivity=4,Sheet4!BM45,IF(Capex_Phasing_sensitivity=5,Sheet4!BM56,IF(Capex_Phasing_sensitivity=6,Sheet4!BM67,0))))))</f>
        <v>0</v>
      </c>
      <c r="BK62" s="2495">
        <f>IF(Capex_Phasing_sensitivity=1,Sheet4!BN12,IF(Capex_Phasing_sensitivity=2,Sheet4!BN23,IF(Capex_Phasing_sensitivity=3,Sheet4!BN34,IF(Capex_Phasing_sensitivity=4,Sheet4!BN45,IF(Capex_Phasing_sensitivity=5,Sheet4!BN56,IF(Capex_Phasing_sensitivity=6,Sheet4!BN67,0))))))</f>
        <v>0</v>
      </c>
      <c r="BL62" s="2495">
        <f>IF(Capex_Phasing_sensitivity=1,Sheet4!BO12,IF(Capex_Phasing_sensitivity=2,Sheet4!BO23,IF(Capex_Phasing_sensitivity=3,Sheet4!BO34,IF(Capex_Phasing_sensitivity=4,Sheet4!BO45,IF(Capex_Phasing_sensitivity=5,Sheet4!BO56,IF(Capex_Phasing_sensitivity=6,Sheet4!BO67,0))))))</f>
        <v>0</v>
      </c>
      <c r="BM62" s="2495">
        <f>IF(Capex_Phasing_sensitivity=1,Sheet4!BP12,IF(Capex_Phasing_sensitivity=2,Sheet4!BP23,IF(Capex_Phasing_sensitivity=3,Sheet4!BP34,IF(Capex_Phasing_sensitivity=4,Sheet4!BP45,IF(Capex_Phasing_sensitivity=5,Sheet4!BP56,IF(Capex_Phasing_sensitivity=6,Sheet4!BP67,0))))))</f>
        <v>0</v>
      </c>
      <c r="BN62" s="2495">
        <f>IF(Capex_Phasing_sensitivity=1,Sheet4!BQ12,IF(Capex_Phasing_sensitivity=2,Sheet4!BQ23,IF(Capex_Phasing_sensitivity=3,Sheet4!BQ34,IF(Capex_Phasing_sensitivity=4,Sheet4!BQ45,IF(Capex_Phasing_sensitivity=5,Sheet4!BQ56,IF(Capex_Phasing_sensitivity=6,Sheet4!BQ67,0))))))</f>
        <v>0</v>
      </c>
      <c r="BO62" s="106">
        <f>IF(Capex_Phasing_sensitivity=1,Sheet4!BR12,IF(Capex_Phasing_sensitivity=2,Sheet4!BR23,IF(Capex_Phasing_sensitivity=3,Sheet4!BR34,IF(Capex_Phasing_sensitivity=4,Sheet4!BR45,IF(Capex_Phasing_sensitivity=5,Sheet4!BR56,IF(Capex_Phasing_sensitivity=6,Sheet4!BR67,0))))))</f>
        <v>0</v>
      </c>
      <c r="BP62" s="106">
        <f>IF(Capex_Phasing_sensitivity=1,Sheet4!BS12,IF(Capex_Phasing_sensitivity=2,Sheet4!BS23,IF(Capex_Phasing_sensitivity=3,Sheet4!BS34,IF(Capex_Phasing_sensitivity=4,Sheet4!BS45,IF(Capex_Phasing_sensitivity=5,Sheet4!BS56,IF(Capex_Phasing_sensitivity=6,Sheet4!BS67,0))))))</f>
        <v>0</v>
      </c>
      <c r="BQ62" s="106">
        <f>IF(Capex_Phasing_sensitivity=1,Sheet4!BT12,IF(Capex_Phasing_sensitivity=2,Sheet4!BT23,IF(Capex_Phasing_sensitivity=3,Sheet4!BT34,IF(Capex_Phasing_sensitivity=4,Sheet4!BT45,IF(Capex_Phasing_sensitivity=5,Sheet4!BT56,IF(Capex_Phasing_sensitivity=6,Sheet4!BT67,0))))))</f>
        <v>0</v>
      </c>
      <c r="BR62" s="106">
        <f>IF(Capex_Phasing_sensitivity=1,Sheet4!BU12,IF(Capex_Phasing_sensitivity=2,Sheet4!BU23,IF(Capex_Phasing_sensitivity=3,Sheet4!BU34,IF(Capex_Phasing_sensitivity=4,Sheet4!BU45,IF(Capex_Phasing_sensitivity=5,Sheet4!BU56,IF(Capex_Phasing_sensitivity=6,Sheet4!BU67,0))))))</f>
        <v>0</v>
      </c>
      <c r="BS62" s="106">
        <f>IF(Capex_Phasing_sensitivity=1,Sheet4!BV12,IF(Capex_Phasing_sensitivity=2,Sheet4!BV23,IF(Capex_Phasing_sensitivity=3,Sheet4!BV34,IF(Capex_Phasing_sensitivity=4,Sheet4!BV45,IF(Capex_Phasing_sensitivity=5,Sheet4!BV56,IF(Capex_Phasing_sensitivity=6,Sheet4!BV67,0))))))</f>
        <v>0</v>
      </c>
      <c r="BT62" s="106">
        <f>IF(Capex_Phasing_sensitivity=1,Sheet4!BW12,IF(Capex_Phasing_sensitivity=2,Sheet4!BW23,IF(Capex_Phasing_sensitivity=3,Sheet4!BW34,IF(Capex_Phasing_sensitivity=4,Sheet4!BW45,IF(Capex_Phasing_sensitivity=5,Sheet4!BW56,IF(Capex_Phasing_sensitivity=6,Sheet4!BW67,0))))))</f>
        <v>0</v>
      </c>
      <c r="BU62" s="106">
        <f>IF(Capex_Phasing_sensitivity=1,Sheet4!BX12,IF(Capex_Phasing_sensitivity=2,Sheet4!BX23,IF(Capex_Phasing_sensitivity=3,Sheet4!BX34,IF(Capex_Phasing_sensitivity=4,Sheet4!BX45,IF(Capex_Phasing_sensitivity=5,Sheet4!BX56,IF(Capex_Phasing_sensitivity=6,Sheet4!BX67,0))))))</f>
        <v>0</v>
      </c>
      <c r="BV62" s="106">
        <f>IF(Capex_Phasing_sensitivity=1,Sheet4!BY12,IF(Capex_Phasing_sensitivity=2,Sheet4!BY23,IF(Capex_Phasing_sensitivity=3,Sheet4!BY34,IF(Capex_Phasing_sensitivity=4,Sheet4!BY45,IF(Capex_Phasing_sensitivity=5,Sheet4!BY56,IF(Capex_Phasing_sensitivity=6,Sheet4!BY67,0))))))</f>
        <v>0</v>
      </c>
      <c r="BW62" s="106">
        <f>IF(Capex_Phasing_sensitivity=1,Sheet4!BZ12,IF(Capex_Phasing_sensitivity=2,Sheet4!BZ23,IF(Capex_Phasing_sensitivity=3,Sheet4!BZ34,IF(Capex_Phasing_sensitivity=4,Sheet4!BZ45,IF(Capex_Phasing_sensitivity=5,Sheet4!BZ56,IF(Capex_Phasing_sensitivity=6,Sheet4!BZ67,0))))))</f>
        <v>0</v>
      </c>
      <c r="BX62" s="106">
        <f>IF(Capex_Phasing_sensitivity=1,Sheet4!CA12,IF(Capex_Phasing_sensitivity=2,Sheet4!CA23,IF(Capex_Phasing_sensitivity=3,Sheet4!CA34,IF(Capex_Phasing_sensitivity=4,Sheet4!CA45,IF(Capex_Phasing_sensitivity=5,Sheet4!CA56,IF(Capex_Phasing_sensitivity=6,Sheet4!CA67,0))))))</f>
        <v>0</v>
      </c>
      <c r="BY62" s="106">
        <f>IF(Capex_Phasing_sensitivity=1,Sheet4!CB12,IF(Capex_Phasing_sensitivity=2,Sheet4!CB23,IF(Capex_Phasing_sensitivity=3,Sheet4!CB34,IF(Capex_Phasing_sensitivity=4,Sheet4!CB45,IF(Capex_Phasing_sensitivity=5,Sheet4!CB56,IF(Capex_Phasing_sensitivity=6,Sheet4!CB67,0))))))</f>
        <v>0</v>
      </c>
      <c r="BZ62" s="106">
        <f>IF(Capex_Phasing_sensitivity=1,Sheet4!CC12,IF(Capex_Phasing_sensitivity=2,Sheet4!CC23,IF(Capex_Phasing_sensitivity=3,Sheet4!CC34,IF(Capex_Phasing_sensitivity=4,Sheet4!CC45,IF(Capex_Phasing_sensitivity=5,Sheet4!CC56,IF(Capex_Phasing_sensitivity=6,Sheet4!CC67,0))))))</f>
        <v>0</v>
      </c>
      <c r="CA62" s="106">
        <f>IF(Capex_Phasing_sensitivity=1,Sheet4!CD12,IF(Capex_Phasing_sensitivity=2,Sheet4!CD23,IF(Capex_Phasing_sensitivity=3,Sheet4!CD34,IF(Capex_Phasing_sensitivity=4,Sheet4!CD45,IF(Capex_Phasing_sensitivity=5,Sheet4!CD56,IF(Capex_Phasing_sensitivity=6,Sheet4!CD67,0))))))</f>
        <v>0</v>
      </c>
      <c r="CB62" s="106">
        <f>IF(Capex_Phasing_sensitivity=1,Sheet4!CE12,IF(Capex_Phasing_sensitivity=2,Sheet4!CE23,IF(Capex_Phasing_sensitivity=3,Sheet4!CE34,IF(Capex_Phasing_sensitivity=4,Sheet4!CE45,IF(Capex_Phasing_sensitivity=5,Sheet4!CE56,IF(Capex_Phasing_sensitivity=6,Sheet4!CE67,0))))))</f>
        <v>0</v>
      </c>
      <c r="CD62" s="14">
        <f t="shared" si="33"/>
        <v>0.99999999999999989</v>
      </c>
    </row>
    <row r="63" spans="1:16376">
      <c r="B63" s="177" t="s">
        <v>119</v>
      </c>
      <c r="C63" s="118">
        <f>IF('Input '!$F$9=1,'Input '!E91/Exchange_Rate,'Input '!E91)*Sens_projectcost</f>
        <v>42651000</v>
      </c>
      <c r="D63" s="178">
        <f t="shared" si="32"/>
        <v>0.99999999999999989</v>
      </c>
      <c r="I63" s="106">
        <f>IF(Capex_Phasing_sensitivity=1,Sheet4!L13,IF(Capex_Phasing_sensitivity=2,Sheet4!L24,IF(Capex_Phasing_sensitivity=3,Sheet4!L35,IF(Capex_Phasing_sensitivity=4,Sheet4!L46,IF(Capex_Phasing_sensitivity=5,Sheet4!L57,IF(Capex_Phasing_sensitivity=6,Sheet4!L68,0))))))</f>
        <v>0</v>
      </c>
      <c r="J63" s="106">
        <f>IF(Capex_Phasing_sensitivity=1,Sheet4!M13,IF(Capex_Phasing_sensitivity=2,Sheet4!M24,IF(Capex_Phasing_sensitivity=3,Sheet4!M35,IF(Capex_Phasing_sensitivity=4,Sheet4!M46,IF(Capex_Phasing_sensitivity=5,Sheet4!M57,IF(Capex_Phasing_sensitivity=6,Sheet4!M68,0))))))</f>
        <v>0</v>
      </c>
      <c r="K63" s="106">
        <f>IF(Capex_Phasing_sensitivity=1,Sheet4!N13,IF(Capex_Phasing_sensitivity=2,Sheet4!N24,IF(Capex_Phasing_sensitivity=3,Sheet4!N35,IF(Capex_Phasing_sensitivity=4,Sheet4!N46,IF(Capex_Phasing_sensitivity=5,Sheet4!N57,IF(Capex_Phasing_sensitivity=6,Sheet4!N68,0))))))</f>
        <v>0</v>
      </c>
      <c r="L63" s="106">
        <f>IF(Capex_Phasing_sensitivity=1,Sheet4!O13,IF(Capex_Phasing_sensitivity=2,Sheet4!O24,IF(Capex_Phasing_sensitivity=3,Sheet4!O35,IF(Capex_Phasing_sensitivity=4,Sheet4!O46,IF(Capex_Phasing_sensitivity=5,Sheet4!O57,IF(Capex_Phasing_sensitivity=6,Sheet4!O68,0))))))</f>
        <v>0</v>
      </c>
      <c r="M63" s="106">
        <f>IF(Capex_Phasing_sensitivity=1,Sheet4!P13,IF(Capex_Phasing_sensitivity=2,Sheet4!P24,IF(Capex_Phasing_sensitivity=3,Sheet4!P35,IF(Capex_Phasing_sensitivity=4,Sheet4!P46,IF(Capex_Phasing_sensitivity=5,Sheet4!P57,IF(Capex_Phasing_sensitivity=6,Sheet4!P68,0))))))</f>
        <v>0</v>
      </c>
      <c r="N63" s="106">
        <f>IF(Capex_Phasing_sensitivity=1,Sheet4!Q13,IF(Capex_Phasing_sensitivity=2,Sheet4!Q24,IF(Capex_Phasing_sensitivity=3,Sheet4!Q35,IF(Capex_Phasing_sensitivity=4,Sheet4!Q46,IF(Capex_Phasing_sensitivity=5,Sheet4!Q57,IF(Capex_Phasing_sensitivity=6,Sheet4!Q68,0))))))</f>
        <v>0</v>
      </c>
      <c r="O63" s="106">
        <f>IF(Capex_Phasing_sensitivity=1,Sheet4!R13,IF(Capex_Phasing_sensitivity=2,Sheet4!R24,IF(Capex_Phasing_sensitivity=3,Sheet4!R35,IF(Capex_Phasing_sensitivity=4,Sheet4!R46,IF(Capex_Phasing_sensitivity=5,Sheet4!R57,IF(Capex_Phasing_sensitivity=6,Sheet4!R68,0))))))</f>
        <v>0</v>
      </c>
      <c r="P63" s="106">
        <f>IF(Capex_Phasing_sensitivity=1,Sheet4!S13,IF(Capex_Phasing_sensitivity=2,Sheet4!S24,IF(Capex_Phasing_sensitivity=3,Sheet4!S35,IF(Capex_Phasing_sensitivity=4,Sheet4!S46,IF(Capex_Phasing_sensitivity=5,Sheet4!S57,IF(Capex_Phasing_sensitivity=6,Sheet4!S68,0))))))</f>
        <v>0</v>
      </c>
      <c r="Q63" s="106">
        <f>IF(Capex_Phasing_sensitivity=1,Sheet4!T13,IF(Capex_Phasing_sensitivity=2,Sheet4!T24,IF(Capex_Phasing_sensitivity=3,Sheet4!T35,IF(Capex_Phasing_sensitivity=4,Sheet4!T46,IF(Capex_Phasing_sensitivity=5,Sheet4!T57,IF(Capex_Phasing_sensitivity=6,Sheet4!T68,0))))))</f>
        <v>0</v>
      </c>
      <c r="R63" s="106">
        <f>IF(Capex_Phasing_sensitivity=1,Sheet4!U13,IF(Capex_Phasing_sensitivity=2,Sheet4!U24,IF(Capex_Phasing_sensitivity=3,Sheet4!U35,IF(Capex_Phasing_sensitivity=4,Sheet4!U46,IF(Capex_Phasing_sensitivity=5,Sheet4!U57,IF(Capex_Phasing_sensitivity=6,Sheet4!U68,0))))))</f>
        <v>0</v>
      </c>
      <c r="S63" s="106">
        <f>IF(Capex_Phasing_sensitivity=1,Sheet4!V13,IF(Capex_Phasing_sensitivity=2,Sheet4!V24,IF(Capex_Phasing_sensitivity=3,Sheet4!V35,IF(Capex_Phasing_sensitivity=4,Sheet4!V46,IF(Capex_Phasing_sensitivity=5,Sheet4!V57,IF(Capex_Phasing_sensitivity=6,Sheet4!V68,0))))))</f>
        <v>0</v>
      </c>
      <c r="T63" s="106">
        <f>IF(Capex_Phasing_sensitivity=1,Sheet4!W13,IF(Capex_Phasing_sensitivity=2,Sheet4!W24,IF(Capex_Phasing_sensitivity=3,Sheet4!W35,IF(Capex_Phasing_sensitivity=4,Sheet4!W46,IF(Capex_Phasing_sensitivity=5,Sheet4!W57,IF(Capex_Phasing_sensitivity=6,Sheet4!W68,0))))))</f>
        <v>0</v>
      </c>
      <c r="U63" s="106">
        <f>IF(Capex_Phasing_sensitivity=1,Sheet4!X13,IF(Capex_Phasing_sensitivity=2,Sheet4!X24,IF(Capex_Phasing_sensitivity=3,Sheet4!X35,IF(Capex_Phasing_sensitivity=4,Sheet4!X46,IF(Capex_Phasing_sensitivity=5,Sheet4!X57,IF(Capex_Phasing_sensitivity=6,Sheet4!X68,0))))))</f>
        <v>0</v>
      </c>
      <c r="V63" s="106">
        <f>IF(Capex_Phasing_sensitivity=1,Sheet4!Y13,IF(Capex_Phasing_sensitivity=2,Sheet4!Y24,IF(Capex_Phasing_sensitivity=3,Sheet4!Y35,IF(Capex_Phasing_sensitivity=4,Sheet4!Y46,IF(Capex_Phasing_sensitivity=5,Sheet4!Y57,IF(Capex_Phasing_sensitivity=6,Sheet4!Y68,0))))))</f>
        <v>0</v>
      </c>
      <c r="W63" s="106">
        <f>IF(Capex_Phasing_sensitivity=1,Sheet4!Z13,IF(Capex_Phasing_sensitivity=2,Sheet4!Z24,IF(Capex_Phasing_sensitivity=3,Sheet4!Z35,IF(Capex_Phasing_sensitivity=4,Sheet4!Z46,IF(Capex_Phasing_sensitivity=5,Sheet4!Z57,IF(Capex_Phasing_sensitivity=6,Sheet4!Z68,0))))))</f>
        <v>0</v>
      </c>
      <c r="X63" s="106">
        <f>IF(Capex_Phasing_sensitivity=1,Sheet4!AA13,IF(Capex_Phasing_sensitivity=2,Sheet4!AA24,IF(Capex_Phasing_sensitivity=3,Sheet4!AA35,IF(Capex_Phasing_sensitivity=4,Sheet4!AA46,IF(Capex_Phasing_sensitivity=5,Sheet4!AA57,IF(Capex_Phasing_sensitivity=6,Sheet4!AA68,0))))))</f>
        <v>0</v>
      </c>
      <c r="Y63" s="106">
        <f>IF(Capex_Phasing_sensitivity=1,Sheet4!AB13,IF(Capex_Phasing_sensitivity=2,Sheet4!AB24,IF(Capex_Phasing_sensitivity=3,Sheet4!AB35,IF(Capex_Phasing_sensitivity=4,Sheet4!AB46,IF(Capex_Phasing_sensitivity=5,Sheet4!AB57,IF(Capex_Phasing_sensitivity=6,Sheet4!AB68,0))))))</f>
        <v>0</v>
      </c>
      <c r="Z63" s="106">
        <f>IF(Capex_Phasing_sensitivity=1,Sheet4!AC13,IF(Capex_Phasing_sensitivity=2,Sheet4!AC24,IF(Capex_Phasing_sensitivity=3,Sheet4!AC35,IF(Capex_Phasing_sensitivity=4,Sheet4!AC46,IF(Capex_Phasing_sensitivity=5,Sheet4!AC57,IF(Capex_Phasing_sensitivity=6,Sheet4!AC68,0))))))</f>
        <v>0.02</v>
      </c>
      <c r="AA63" s="106">
        <f>IF(Capex_Phasing_sensitivity=1,Sheet4!AD13,IF(Capex_Phasing_sensitivity=2,Sheet4!AD24,IF(Capex_Phasing_sensitivity=3,Sheet4!AD35,IF(Capex_Phasing_sensitivity=4,Sheet4!AD46,IF(Capex_Phasing_sensitivity=5,Sheet4!AD57,IF(Capex_Phasing_sensitivity=6,Sheet4!AD68,0))))))</f>
        <v>0.02</v>
      </c>
      <c r="AB63" s="106">
        <f>IF(Capex_Phasing_sensitivity=1,Sheet4!AE13,IF(Capex_Phasing_sensitivity=2,Sheet4!AE24,IF(Capex_Phasing_sensitivity=3,Sheet4!AE35,IF(Capex_Phasing_sensitivity=4,Sheet4!AE46,IF(Capex_Phasing_sensitivity=5,Sheet4!AE57,IF(Capex_Phasing_sensitivity=6,Sheet4!AE68,0))))))</f>
        <v>0.02</v>
      </c>
      <c r="AC63" s="106">
        <f>IF(Capex_Phasing_sensitivity=1,Sheet4!AF13,IF(Capex_Phasing_sensitivity=2,Sheet4!AF24,IF(Capex_Phasing_sensitivity=3,Sheet4!AF35,IF(Capex_Phasing_sensitivity=4,Sheet4!AF46,IF(Capex_Phasing_sensitivity=5,Sheet4!AF57,IF(Capex_Phasing_sensitivity=6,Sheet4!AF68,0))))))</f>
        <v>0.02</v>
      </c>
      <c r="AD63" s="106">
        <f>IF(Capex_Phasing_sensitivity=1,Sheet4!AG13,IF(Capex_Phasing_sensitivity=2,Sheet4!AG24,IF(Capex_Phasing_sensitivity=3,Sheet4!AG35,IF(Capex_Phasing_sensitivity=4,Sheet4!AG46,IF(Capex_Phasing_sensitivity=5,Sheet4!AG57,IF(Capex_Phasing_sensitivity=6,Sheet4!AG68,0))))))</f>
        <v>0.02</v>
      </c>
      <c r="AE63" s="106">
        <f>IF(Capex_Phasing_sensitivity=1,Sheet4!AH13,IF(Capex_Phasing_sensitivity=2,Sheet4!AH24,IF(Capex_Phasing_sensitivity=3,Sheet4!AH35,IF(Capex_Phasing_sensitivity=4,Sheet4!AH46,IF(Capex_Phasing_sensitivity=5,Sheet4!AH57,IF(Capex_Phasing_sensitivity=6,Sheet4!AH68,0))))))</f>
        <v>0.02</v>
      </c>
      <c r="AF63" s="2502">
        <f>IF(Capex_Phasing_sensitivity=1,Sheet4!AI13,IF(Capex_Phasing_sensitivity=2,Sheet4!AI24,IF(Capex_Phasing_sensitivity=3,Sheet4!AI35,IF(Capex_Phasing_sensitivity=4,Sheet4!AI46,IF(Capex_Phasing_sensitivity=5,Sheet4!AI57,IF(Capex_Phasing_sensitivity=6,Sheet4!AI68,0))))))</f>
        <v>0.03</v>
      </c>
      <c r="AG63" s="2502">
        <f>IF(Capex_Phasing_sensitivity=1,Sheet4!AJ13,IF(Capex_Phasing_sensitivity=2,Sheet4!AJ24,IF(Capex_Phasing_sensitivity=3,Sheet4!AJ35,IF(Capex_Phasing_sensitivity=4,Sheet4!AJ46,IF(Capex_Phasing_sensitivity=5,Sheet4!AJ57,IF(Capex_Phasing_sensitivity=6,Sheet4!AJ68,0))))))</f>
        <v>0.05</v>
      </c>
      <c r="AH63" s="2502">
        <f>IF(Capex_Phasing_sensitivity=1,Sheet4!AK13,IF(Capex_Phasing_sensitivity=2,Sheet4!AK24,IF(Capex_Phasing_sensitivity=3,Sheet4!AK35,IF(Capex_Phasing_sensitivity=4,Sheet4!AK46,IF(Capex_Phasing_sensitivity=5,Sheet4!AK57,IF(Capex_Phasing_sensitivity=6,Sheet4!AK68,0))))))</f>
        <v>0.05</v>
      </c>
      <c r="AI63" s="2502">
        <f>IF(Capex_Phasing_sensitivity=1,Sheet4!AL13,IF(Capex_Phasing_sensitivity=2,Sheet4!AL24,IF(Capex_Phasing_sensitivity=3,Sheet4!AL35,IF(Capex_Phasing_sensitivity=4,Sheet4!AL46,IF(Capex_Phasing_sensitivity=5,Sheet4!AL57,IF(Capex_Phasing_sensitivity=6,Sheet4!AL68,0))))))</f>
        <v>0.05</v>
      </c>
      <c r="AJ63" s="2502">
        <f>IF(Capex_Phasing_sensitivity=1,Sheet4!AM13,IF(Capex_Phasing_sensitivity=2,Sheet4!AM24,IF(Capex_Phasing_sensitivity=3,Sheet4!AM35,IF(Capex_Phasing_sensitivity=4,Sheet4!AM46,IF(Capex_Phasing_sensitivity=5,Sheet4!AM57,IF(Capex_Phasing_sensitivity=6,Sheet4!AM68,0))))))</f>
        <v>0.05</v>
      </c>
      <c r="AK63" s="106">
        <f>IF(Capex_Phasing_sensitivity=1,Sheet4!AN13,IF(Capex_Phasing_sensitivity=2,Sheet4!AN24,IF(Capex_Phasing_sensitivity=3,Sheet4!AN35,IF(Capex_Phasing_sensitivity=4,Sheet4!AN46,IF(Capex_Phasing_sensitivity=5,Sheet4!AN57,IF(Capex_Phasing_sensitivity=6,Sheet4!AN68,0))))))</f>
        <v>0.05</v>
      </c>
      <c r="AL63" s="106">
        <f>IF(Capex_Phasing_sensitivity=1,Sheet4!AO13,IF(Capex_Phasing_sensitivity=2,Sheet4!AO24,IF(Capex_Phasing_sensitivity=3,Sheet4!AO35,IF(Capex_Phasing_sensitivity=4,Sheet4!AO46,IF(Capex_Phasing_sensitivity=5,Sheet4!AO57,IF(Capex_Phasing_sensitivity=6,Sheet4!AO68,0))))))</f>
        <v>0.05</v>
      </c>
      <c r="AM63" s="106">
        <f>IF(Capex_Phasing_sensitivity=1,Sheet4!AP13,IF(Capex_Phasing_sensitivity=2,Sheet4!AP24,IF(Capex_Phasing_sensitivity=3,Sheet4!AP35,IF(Capex_Phasing_sensitivity=4,Sheet4!AP46,IF(Capex_Phasing_sensitivity=5,Sheet4!AP57,IF(Capex_Phasing_sensitivity=6,Sheet4!AP68,0))))))</f>
        <v>0.05</v>
      </c>
      <c r="AN63" s="106">
        <f>IF(Capex_Phasing_sensitivity=1,Sheet4!AQ13,IF(Capex_Phasing_sensitivity=2,Sheet4!AQ24,IF(Capex_Phasing_sensitivity=3,Sheet4!AQ35,IF(Capex_Phasing_sensitivity=4,Sheet4!AQ46,IF(Capex_Phasing_sensitivity=5,Sheet4!AQ57,IF(Capex_Phasing_sensitivity=6,Sheet4!AQ68,0))))))</f>
        <v>0.1</v>
      </c>
      <c r="AO63" s="106">
        <f>IF(Capex_Phasing_sensitivity=1,Sheet4!AR13,IF(Capex_Phasing_sensitivity=2,Sheet4!AR24,IF(Capex_Phasing_sensitivity=3,Sheet4!AR35,IF(Capex_Phasing_sensitivity=4,Sheet4!AR46,IF(Capex_Phasing_sensitivity=5,Sheet4!AR57,IF(Capex_Phasing_sensitivity=6,Sheet4!AR68,0))))))</f>
        <v>0.1</v>
      </c>
      <c r="AP63" s="106">
        <f>IF(Capex_Phasing_sensitivity=1,Sheet4!AS13,IF(Capex_Phasing_sensitivity=2,Sheet4!AS24,IF(Capex_Phasing_sensitivity=3,Sheet4!AS35,IF(Capex_Phasing_sensitivity=4,Sheet4!AS46,IF(Capex_Phasing_sensitivity=5,Sheet4!AS57,IF(Capex_Phasing_sensitivity=6,Sheet4!AS68,0))))))</f>
        <v>0.1</v>
      </c>
      <c r="AQ63" s="106">
        <f>IF(Capex_Phasing_sensitivity=1,Sheet4!AT13,IF(Capex_Phasing_sensitivity=2,Sheet4!AT24,IF(Capex_Phasing_sensitivity=3,Sheet4!AT35,IF(Capex_Phasing_sensitivity=4,Sheet4!AT46,IF(Capex_Phasing_sensitivity=5,Sheet4!AT57,IF(Capex_Phasing_sensitivity=6,Sheet4!AT68,0))))))</f>
        <v>0.1</v>
      </c>
      <c r="AR63" s="106">
        <f>IF(Capex_Phasing_sensitivity=1,Sheet4!AU13,IF(Capex_Phasing_sensitivity=2,Sheet4!AU24,IF(Capex_Phasing_sensitivity=3,Sheet4!AU35,IF(Capex_Phasing_sensitivity=4,Sheet4!AU46,IF(Capex_Phasing_sensitivity=5,Sheet4!AU57,IF(Capex_Phasing_sensitivity=6,Sheet4!AU68,0))))))</f>
        <v>0.1</v>
      </c>
      <c r="AS63" s="106">
        <f>IF(Capex_Phasing_sensitivity=1,Sheet4!AV13,IF(Capex_Phasing_sensitivity=2,Sheet4!AV24,IF(Capex_Phasing_sensitivity=3,Sheet4!AV35,IF(Capex_Phasing_sensitivity=4,Sheet4!AV46,IF(Capex_Phasing_sensitivity=5,Sheet4!AV57,IF(Capex_Phasing_sensitivity=6,Sheet4!AV68,0))))))</f>
        <v>0</v>
      </c>
      <c r="AT63" s="106">
        <f>IF(Capex_Phasing_sensitivity=1,Sheet4!AW13,IF(Capex_Phasing_sensitivity=2,Sheet4!AW24,IF(Capex_Phasing_sensitivity=3,Sheet4!AW35,IF(Capex_Phasing_sensitivity=4,Sheet4!AW46,IF(Capex_Phasing_sensitivity=5,Sheet4!AW57,IF(Capex_Phasing_sensitivity=6,Sheet4!AW68,0))))))</f>
        <v>0</v>
      </c>
      <c r="AU63" s="106">
        <f>IF(Capex_Phasing_sensitivity=1,Sheet4!AX13,IF(Capex_Phasing_sensitivity=2,Sheet4!AX24,IF(Capex_Phasing_sensitivity=3,Sheet4!AX35,IF(Capex_Phasing_sensitivity=4,Sheet4!AX46,IF(Capex_Phasing_sensitivity=5,Sheet4!AX57,IF(Capex_Phasing_sensitivity=6,Sheet4!AX68,0))))))</f>
        <v>0</v>
      </c>
      <c r="AV63" s="106">
        <f>IF(Capex_Phasing_sensitivity=1,Sheet4!AY13,IF(Capex_Phasing_sensitivity=2,Sheet4!AY24,IF(Capex_Phasing_sensitivity=3,Sheet4!AY35,IF(Capex_Phasing_sensitivity=4,Sheet4!AY46,IF(Capex_Phasing_sensitivity=5,Sheet4!AY57,IF(Capex_Phasing_sensitivity=6,Sheet4!AY68,0))))))</f>
        <v>0</v>
      </c>
      <c r="AW63" s="106">
        <f>IF(Capex_Phasing_sensitivity=1,Sheet4!AZ13,IF(Capex_Phasing_sensitivity=2,Sheet4!AZ24,IF(Capex_Phasing_sensitivity=3,Sheet4!AZ35,IF(Capex_Phasing_sensitivity=4,Sheet4!AZ46,IF(Capex_Phasing_sensitivity=5,Sheet4!AZ57,IF(Capex_Phasing_sensitivity=6,Sheet4!AZ68,0))))))</f>
        <v>0</v>
      </c>
      <c r="AX63" s="106">
        <f>IF(Capex_Phasing_sensitivity=1,Sheet4!BA13,IF(Capex_Phasing_sensitivity=2,Sheet4!BA24,IF(Capex_Phasing_sensitivity=3,Sheet4!BA35,IF(Capex_Phasing_sensitivity=4,Sheet4!BA46,IF(Capex_Phasing_sensitivity=5,Sheet4!BA57,IF(Capex_Phasing_sensitivity=6,Sheet4!BA68,0))))))</f>
        <v>0</v>
      </c>
      <c r="AY63" s="106">
        <f>IF(Capex_Phasing_sensitivity=1,Sheet4!BB13,IF(Capex_Phasing_sensitivity=2,Sheet4!BB24,IF(Capex_Phasing_sensitivity=3,Sheet4!BB35,IF(Capex_Phasing_sensitivity=4,Sheet4!BB46,IF(Capex_Phasing_sensitivity=5,Sheet4!BB57,IF(Capex_Phasing_sensitivity=6,Sheet4!BB68,0))))))</f>
        <v>0</v>
      </c>
      <c r="AZ63" s="106">
        <f>IF(Capex_Phasing_sensitivity=1,Sheet4!BC13,IF(Capex_Phasing_sensitivity=2,Sheet4!BC24,IF(Capex_Phasing_sensitivity=3,Sheet4!BC35,IF(Capex_Phasing_sensitivity=4,Sheet4!BC46,IF(Capex_Phasing_sensitivity=5,Sheet4!BC57,IF(Capex_Phasing_sensitivity=6,Sheet4!BC68,0))))))</f>
        <v>0</v>
      </c>
      <c r="BA63" s="106">
        <f>IF(Capex_Phasing_sensitivity=1,Sheet4!BD13,IF(Capex_Phasing_sensitivity=2,Sheet4!BD24,IF(Capex_Phasing_sensitivity=3,Sheet4!BD35,IF(Capex_Phasing_sensitivity=4,Sheet4!BD46,IF(Capex_Phasing_sensitivity=5,Sheet4!BD57,IF(Capex_Phasing_sensitivity=6,Sheet4!BD68,0))))))</f>
        <v>0</v>
      </c>
      <c r="BB63" s="106">
        <f>IF(Capex_Phasing_sensitivity=1,Sheet4!BE13,IF(Capex_Phasing_sensitivity=2,Sheet4!BE24,IF(Capex_Phasing_sensitivity=3,Sheet4!BE35,IF(Capex_Phasing_sensitivity=4,Sheet4!BE46,IF(Capex_Phasing_sensitivity=5,Sheet4!BE57,IF(Capex_Phasing_sensitivity=6,Sheet4!BE68,0))))))</f>
        <v>0</v>
      </c>
      <c r="BC63" s="106">
        <f>IF(Capex_Phasing_sensitivity=1,Sheet4!BF13,IF(Capex_Phasing_sensitivity=2,Sheet4!BF24,IF(Capex_Phasing_sensitivity=3,Sheet4!BF35,IF(Capex_Phasing_sensitivity=4,Sheet4!BF46,IF(Capex_Phasing_sensitivity=5,Sheet4!BF57,IF(Capex_Phasing_sensitivity=6,Sheet4!BF68,0))))))</f>
        <v>0</v>
      </c>
      <c r="BD63" s="106">
        <f>IF(Capex_Phasing_sensitivity=1,Sheet4!BG13,IF(Capex_Phasing_sensitivity=2,Sheet4!BG24,IF(Capex_Phasing_sensitivity=3,Sheet4!BG35,IF(Capex_Phasing_sensitivity=4,Sheet4!BG46,IF(Capex_Phasing_sensitivity=5,Sheet4!BG57,IF(Capex_Phasing_sensitivity=6,Sheet4!BG68,0))))))</f>
        <v>0</v>
      </c>
      <c r="BE63" s="106">
        <f>IF(Capex_Phasing_sensitivity=1,Sheet4!BH13,IF(Capex_Phasing_sensitivity=2,Sheet4!BH24,IF(Capex_Phasing_sensitivity=3,Sheet4!BH35,IF(Capex_Phasing_sensitivity=4,Sheet4!BH46,IF(Capex_Phasing_sensitivity=5,Sheet4!BH57,IF(Capex_Phasing_sensitivity=6,Sheet4!BH68,0))))))</f>
        <v>0</v>
      </c>
      <c r="BF63" s="106">
        <f>IF(Capex_Phasing_sensitivity=1,Sheet4!BI13,IF(Capex_Phasing_sensitivity=2,Sheet4!BI24,IF(Capex_Phasing_sensitivity=3,Sheet4!BI35,IF(Capex_Phasing_sensitivity=4,Sheet4!BI46,IF(Capex_Phasing_sensitivity=5,Sheet4!BI57,IF(Capex_Phasing_sensitivity=6,Sheet4!BI68,0))))))</f>
        <v>0</v>
      </c>
      <c r="BG63" s="106">
        <f>IF(Capex_Phasing_sensitivity=1,Sheet4!BJ13,IF(Capex_Phasing_sensitivity=2,Sheet4!BJ24,IF(Capex_Phasing_sensitivity=3,Sheet4!BJ35,IF(Capex_Phasing_sensitivity=4,Sheet4!BJ46,IF(Capex_Phasing_sensitivity=5,Sheet4!BJ57,IF(Capex_Phasing_sensitivity=6,Sheet4!BJ68,0))))))</f>
        <v>0</v>
      </c>
      <c r="BH63" s="106">
        <f>IF(Capex_Phasing_sensitivity=1,Sheet4!BK13,IF(Capex_Phasing_sensitivity=2,Sheet4!BK24,IF(Capex_Phasing_sensitivity=3,Sheet4!BK35,IF(Capex_Phasing_sensitivity=4,Sheet4!BK46,IF(Capex_Phasing_sensitivity=5,Sheet4!BK57,IF(Capex_Phasing_sensitivity=6,Sheet4!BK68,0))))))</f>
        <v>0</v>
      </c>
      <c r="BI63" s="2495">
        <f>IF(Capex_Phasing_sensitivity=1,Sheet4!BL13,IF(Capex_Phasing_sensitivity=2,Sheet4!BL24,IF(Capex_Phasing_sensitivity=3,Sheet4!BL35,IF(Capex_Phasing_sensitivity=4,Sheet4!BL46,IF(Capex_Phasing_sensitivity=5,Sheet4!BL57,IF(Capex_Phasing_sensitivity=6,Sheet4!BL68,0))))))</f>
        <v>0</v>
      </c>
      <c r="BJ63" s="2495">
        <f>IF(Capex_Phasing_sensitivity=1,Sheet4!BM13,IF(Capex_Phasing_sensitivity=2,Sheet4!BM24,IF(Capex_Phasing_sensitivity=3,Sheet4!BM35,IF(Capex_Phasing_sensitivity=4,Sheet4!BM46,IF(Capex_Phasing_sensitivity=5,Sheet4!BM57,IF(Capex_Phasing_sensitivity=6,Sheet4!BM68,0))))))</f>
        <v>0</v>
      </c>
      <c r="BK63" s="2495">
        <f>IF(Capex_Phasing_sensitivity=1,Sheet4!BN13,IF(Capex_Phasing_sensitivity=2,Sheet4!BN24,IF(Capex_Phasing_sensitivity=3,Sheet4!BN35,IF(Capex_Phasing_sensitivity=4,Sheet4!BN46,IF(Capex_Phasing_sensitivity=5,Sheet4!BN57,IF(Capex_Phasing_sensitivity=6,Sheet4!BN68,0))))))</f>
        <v>0</v>
      </c>
      <c r="BL63" s="2495">
        <f>IF(Capex_Phasing_sensitivity=1,Sheet4!BO13,IF(Capex_Phasing_sensitivity=2,Sheet4!BO24,IF(Capex_Phasing_sensitivity=3,Sheet4!BO35,IF(Capex_Phasing_sensitivity=4,Sheet4!BO46,IF(Capex_Phasing_sensitivity=5,Sheet4!BO57,IF(Capex_Phasing_sensitivity=6,Sheet4!BO68,0))))))</f>
        <v>0</v>
      </c>
      <c r="BM63" s="2495">
        <f>IF(Capex_Phasing_sensitivity=1,Sheet4!BP13,IF(Capex_Phasing_sensitivity=2,Sheet4!BP24,IF(Capex_Phasing_sensitivity=3,Sheet4!BP35,IF(Capex_Phasing_sensitivity=4,Sheet4!BP46,IF(Capex_Phasing_sensitivity=5,Sheet4!BP57,IF(Capex_Phasing_sensitivity=6,Sheet4!BP68,0))))))</f>
        <v>0</v>
      </c>
      <c r="BN63" s="2495">
        <f>IF(Capex_Phasing_sensitivity=1,Sheet4!BQ13,IF(Capex_Phasing_sensitivity=2,Sheet4!BQ24,IF(Capex_Phasing_sensitivity=3,Sheet4!BQ35,IF(Capex_Phasing_sensitivity=4,Sheet4!BQ46,IF(Capex_Phasing_sensitivity=5,Sheet4!BQ57,IF(Capex_Phasing_sensitivity=6,Sheet4!BQ68,0))))))</f>
        <v>0</v>
      </c>
      <c r="BO63" s="106">
        <f>IF(Capex_Phasing_sensitivity=1,Sheet4!BR13,IF(Capex_Phasing_sensitivity=2,Sheet4!BR24,IF(Capex_Phasing_sensitivity=3,Sheet4!BR35,IF(Capex_Phasing_sensitivity=4,Sheet4!BR46,IF(Capex_Phasing_sensitivity=5,Sheet4!BR57,IF(Capex_Phasing_sensitivity=6,Sheet4!BR68,0))))))</f>
        <v>0</v>
      </c>
      <c r="BP63" s="106">
        <f>IF(Capex_Phasing_sensitivity=1,Sheet4!BS13,IF(Capex_Phasing_sensitivity=2,Sheet4!BS24,IF(Capex_Phasing_sensitivity=3,Sheet4!BS35,IF(Capex_Phasing_sensitivity=4,Sheet4!BS46,IF(Capex_Phasing_sensitivity=5,Sheet4!BS57,IF(Capex_Phasing_sensitivity=6,Sheet4!BS68,0))))))</f>
        <v>0</v>
      </c>
      <c r="BQ63" s="106">
        <f>IF(Capex_Phasing_sensitivity=1,Sheet4!BT13,IF(Capex_Phasing_sensitivity=2,Sheet4!BT24,IF(Capex_Phasing_sensitivity=3,Sheet4!BT35,IF(Capex_Phasing_sensitivity=4,Sheet4!BT46,IF(Capex_Phasing_sensitivity=5,Sheet4!BT57,IF(Capex_Phasing_sensitivity=6,Sheet4!BT68,0))))))</f>
        <v>0</v>
      </c>
      <c r="BR63" s="106">
        <f>IF(Capex_Phasing_sensitivity=1,Sheet4!BU13,IF(Capex_Phasing_sensitivity=2,Sheet4!BU24,IF(Capex_Phasing_sensitivity=3,Sheet4!BU35,IF(Capex_Phasing_sensitivity=4,Sheet4!BU46,IF(Capex_Phasing_sensitivity=5,Sheet4!BU57,IF(Capex_Phasing_sensitivity=6,Sheet4!BU68,0))))))</f>
        <v>0</v>
      </c>
      <c r="BS63" s="106">
        <f>IF(Capex_Phasing_sensitivity=1,Sheet4!BV13,IF(Capex_Phasing_sensitivity=2,Sheet4!BV24,IF(Capex_Phasing_sensitivity=3,Sheet4!BV35,IF(Capex_Phasing_sensitivity=4,Sheet4!BV46,IF(Capex_Phasing_sensitivity=5,Sheet4!BV57,IF(Capex_Phasing_sensitivity=6,Sheet4!BV68,0))))))</f>
        <v>0</v>
      </c>
      <c r="BT63" s="106">
        <f>IF(Capex_Phasing_sensitivity=1,Sheet4!BW13,IF(Capex_Phasing_sensitivity=2,Sheet4!BW24,IF(Capex_Phasing_sensitivity=3,Sheet4!BW35,IF(Capex_Phasing_sensitivity=4,Sheet4!BW46,IF(Capex_Phasing_sensitivity=5,Sheet4!BW57,IF(Capex_Phasing_sensitivity=6,Sheet4!BW68,0))))))</f>
        <v>0</v>
      </c>
      <c r="BU63" s="106">
        <f>IF(Capex_Phasing_sensitivity=1,Sheet4!BX13,IF(Capex_Phasing_sensitivity=2,Sheet4!BX24,IF(Capex_Phasing_sensitivity=3,Sheet4!BX35,IF(Capex_Phasing_sensitivity=4,Sheet4!BX46,IF(Capex_Phasing_sensitivity=5,Sheet4!BX57,IF(Capex_Phasing_sensitivity=6,Sheet4!BX68,0))))))</f>
        <v>0</v>
      </c>
      <c r="BV63" s="106">
        <f>IF(Capex_Phasing_sensitivity=1,Sheet4!BY13,IF(Capex_Phasing_sensitivity=2,Sheet4!BY24,IF(Capex_Phasing_sensitivity=3,Sheet4!BY35,IF(Capex_Phasing_sensitivity=4,Sheet4!BY46,IF(Capex_Phasing_sensitivity=5,Sheet4!BY57,IF(Capex_Phasing_sensitivity=6,Sheet4!BY68,0))))))</f>
        <v>0</v>
      </c>
      <c r="BW63" s="106">
        <f>IF(Capex_Phasing_sensitivity=1,Sheet4!BZ13,IF(Capex_Phasing_sensitivity=2,Sheet4!BZ24,IF(Capex_Phasing_sensitivity=3,Sheet4!BZ35,IF(Capex_Phasing_sensitivity=4,Sheet4!BZ46,IF(Capex_Phasing_sensitivity=5,Sheet4!BZ57,IF(Capex_Phasing_sensitivity=6,Sheet4!BZ68,0))))))</f>
        <v>0</v>
      </c>
      <c r="BX63" s="106">
        <f>IF(Capex_Phasing_sensitivity=1,Sheet4!CA13,IF(Capex_Phasing_sensitivity=2,Sheet4!CA24,IF(Capex_Phasing_sensitivity=3,Sheet4!CA35,IF(Capex_Phasing_sensitivity=4,Sheet4!CA46,IF(Capex_Phasing_sensitivity=5,Sheet4!CA57,IF(Capex_Phasing_sensitivity=6,Sheet4!CA68,0))))))</f>
        <v>0</v>
      </c>
      <c r="BY63" s="106">
        <f>IF(Capex_Phasing_sensitivity=1,Sheet4!CB13,IF(Capex_Phasing_sensitivity=2,Sheet4!CB24,IF(Capex_Phasing_sensitivity=3,Sheet4!CB35,IF(Capex_Phasing_sensitivity=4,Sheet4!CB46,IF(Capex_Phasing_sensitivity=5,Sheet4!CB57,IF(Capex_Phasing_sensitivity=6,Sheet4!CB68,0))))))</f>
        <v>0</v>
      </c>
      <c r="BZ63" s="106">
        <f>IF(Capex_Phasing_sensitivity=1,Sheet4!CC13,IF(Capex_Phasing_sensitivity=2,Sheet4!CC24,IF(Capex_Phasing_sensitivity=3,Sheet4!CC35,IF(Capex_Phasing_sensitivity=4,Sheet4!CC46,IF(Capex_Phasing_sensitivity=5,Sheet4!CC57,IF(Capex_Phasing_sensitivity=6,Sheet4!CC68,0))))))</f>
        <v>0</v>
      </c>
      <c r="CA63" s="106">
        <f>IF(Capex_Phasing_sensitivity=1,Sheet4!CD13,IF(Capex_Phasing_sensitivity=2,Sheet4!CD24,IF(Capex_Phasing_sensitivity=3,Sheet4!CD35,IF(Capex_Phasing_sensitivity=4,Sheet4!CD46,IF(Capex_Phasing_sensitivity=5,Sheet4!CD57,IF(Capex_Phasing_sensitivity=6,Sheet4!CD68,0))))))</f>
        <v>0</v>
      </c>
      <c r="CB63" s="106">
        <f>IF(Capex_Phasing_sensitivity=1,Sheet4!CE13,IF(Capex_Phasing_sensitivity=2,Sheet4!CE24,IF(Capex_Phasing_sensitivity=3,Sheet4!CE35,IF(Capex_Phasing_sensitivity=4,Sheet4!CE46,IF(Capex_Phasing_sensitivity=5,Sheet4!CE57,IF(Capex_Phasing_sensitivity=6,Sheet4!CE68,0))))))</f>
        <v>0</v>
      </c>
      <c r="CD63" s="14">
        <f t="shared" si="33"/>
        <v>0.99999999999999989</v>
      </c>
    </row>
    <row r="64" spans="1:16376">
      <c r="B64" s="177" t="s">
        <v>122</v>
      </c>
      <c r="C64" s="118">
        <f>IF('Input '!$F$9=1,'Input '!E92/Exchange_Rate,'Input '!E92)*Sens_projectcost</f>
        <v>78793700</v>
      </c>
      <c r="D64" s="178">
        <f t="shared" si="32"/>
        <v>0.99999999999999989</v>
      </c>
      <c r="I64" s="106">
        <f>IF(Capex_Phasing_sensitivity=1,Sheet4!L14,IF(Capex_Phasing_sensitivity=2,Sheet4!L25,IF(Capex_Phasing_sensitivity=3,Sheet4!L36,IF(Capex_Phasing_sensitivity=4,Sheet4!L47,IF(Capex_Phasing_sensitivity=5,Sheet4!L58,IF(Capex_Phasing_sensitivity=6,Sheet4!L69,0))))))</f>
        <v>0</v>
      </c>
      <c r="J64" s="106">
        <f>IF(Capex_Phasing_sensitivity=1,Sheet4!M14,IF(Capex_Phasing_sensitivity=2,Sheet4!M25,IF(Capex_Phasing_sensitivity=3,Sheet4!M36,IF(Capex_Phasing_sensitivity=4,Sheet4!M47,IF(Capex_Phasing_sensitivity=5,Sheet4!M58,IF(Capex_Phasing_sensitivity=6,Sheet4!M69,0))))))</f>
        <v>0</v>
      </c>
      <c r="K64" s="106">
        <f>IF(Capex_Phasing_sensitivity=1,Sheet4!N14,IF(Capex_Phasing_sensitivity=2,Sheet4!N25,IF(Capex_Phasing_sensitivity=3,Sheet4!N36,IF(Capex_Phasing_sensitivity=4,Sheet4!N47,IF(Capex_Phasing_sensitivity=5,Sheet4!N58,IF(Capex_Phasing_sensitivity=6,Sheet4!N69,0))))))</f>
        <v>0</v>
      </c>
      <c r="L64" s="106">
        <f>IF(Capex_Phasing_sensitivity=1,Sheet4!O14,IF(Capex_Phasing_sensitivity=2,Sheet4!O25,IF(Capex_Phasing_sensitivity=3,Sheet4!O36,IF(Capex_Phasing_sensitivity=4,Sheet4!O47,IF(Capex_Phasing_sensitivity=5,Sheet4!O58,IF(Capex_Phasing_sensitivity=6,Sheet4!O69,0))))))</f>
        <v>0</v>
      </c>
      <c r="M64" s="106">
        <f>IF(Capex_Phasing_sensitivity=1,Sheet4!P14,IF(Capex_Phasing_sensitivity=2,Sheet4!P25,IF(Capex_Phasing_sensitivity=3,Sheet4!P36,IF(Capex_Phasing_sensitivity=4,Sheet4!P47,IF(Capex_Phasing_sensitivity=5,Sheet4!P58,IF(Capex_Phasing_sensitivity=6,Sheet4!P69,0))))))</f>
        <v>0</v>
      </c>
      <c r="N64" s="106">
        <f>IF(Capex_Phasing_sensitivity=1,Sheet4!Q14,IF(Capex_Phasing_sensitivity=2,Sheet4!Q25,IF(Capex_Phasing_sensitivity=3,Sheet4!Q36,IF(Capex_Phasing_sensitivity=4,Sheet4!Q47,IF(Capex_Phasing_sensitivity=5,Sheet4!Q58,IF(Capex_Phasing_sensitivity=6,Sheet4!Q69,0))))))</f>
        <v>0</v>
      </c>
      <c r="O64" s="106">
        <f>IF(Capex_Phasing_sensitivity=1,Sheet4!R14,IF(Capex_Phasing_sensitivity=2,Sheet4!R25,IF(Capex_Phasing_sensitivity=3,Sheet4!R36,IF(Capex_Phasing_sensitivity=4,Sheet4!R47,IF(Capex_Phasing_sensitivity=5,Sheet4!R58,IF(Capex_Phasing_sensitivity=6,Sheet4!R69,0))))))</f>
        <v>0</v>
      </c>
      <c r="P64" s="106">
        <f>IF(Capex_Phasing_sensitivity=1,Sheet4!S14,IF(Capex_Phasing_sensitivity=2,Sheet4!S25,IF(Capex_Phasing_sensitivity=3,Sheet4!S36,IF(Capex_Phasing_sensitivity=4,Sheet4!S47,IF(Capex_Phasing_sensitivity=5,Sheet4!S58,IF(Capex_Phasing_sensitivity=6,Sheet4!S69,0))))))</f>
        <v>0</v>
      </c>
      <c r="Q64" s="106">
        <f>IF(Capex_Phasing_sensitivity=1,Sheet4!T14,IF(Capex_Phasing_sensitivity=2,Sheet4!T25,IF(Capex_Phasing_sensitivity=3,Sheet4!T36,IF(Capex_Phasing_sensitivity=4,Sheet4!T47,IF(Capex_Phasing_sensitivity=5,Sheet4!T58,IF(Capex_Phasing_sensitivity=6,Sheet4!T69,0))))))</f>
        <v>0</v>
      </c>
      <c r="R64" s="106">
        <f>IF(Capex_Phasing_sensitivity=1,Sheet4!U14,IF(Capex_Phasing_sensitivity=2,Sheet4!U25,IF(Capex_Phasing_sensitivity=3,Sheet4!U36,IF(Capex_Phasing_sensitivity=4,Sheet4!U47,IF(Capex_Phasing_sensitivity=5,Sheet4!U58,IF(Capex_Phasing_sensitivity=6,Sheet4!U69,0))))))</f>
        <v>0</v>
      </c>
      <c r="S64" s="106">
        <f>IF(Capex_Phasing_sensitivity=1,Sheet4!V14,IF(Capex_Phasing_sensitivity=2,Sheet4!V25,IF(Capex_Phasing_sensitivity=3,Sheet4!V36,IF(Capex_Phasing_sensitivity=4,Sheet4!V47,IF(Capex_Phasing_sensitivity=5,Sheet4!V58,IF(Capex_Phasing_sensitivity=6,Sheet4!V69,0))))))</f>
        <v>0</v>
      </c>
      <c r="T64" s="106">
        <f>IF(Capex_Phasing_sensitivity=1,Sheet4!W14,IF(Capex_Phasing_sensitivity=2,Sheet4!W25,IF(Capex_Phasing_sensitivity=3,Sheet4!W36,IF(Capex_Phasing_sensitivity=4,Sheet4!W47,IF(Capex_Phasing_sensitivity=5,Sheet4!W58,IF(Capex_Phasing_sensitivity=6,Sheet4!W69,0))))))</f>
        <v>0</v>
      </c>
      <c r="U64" s="106">
        <f>IF(Capex_Phasing_sensitivity=1,Sheet4!X14,IF(Capex_Phasing_sensitivity=2,Sheet4!X25,IF(Capex_Phasing_sensitivity=3,Sheet4!X36,IF(Capex_Phasing_sensitivity=4,Sheet4!X47,IF(Capex_Phasing_sensitivity=5,Sheet4!X58,IF(Capex_Phasing_sensitivity=6,Sheet4!X69,0))))))</f>
        <v>0</v>
      </c>
      <c r="V64" s="106">
        <f>IF(Capex_Phasing_sensitivity=1,Sheet4!Y14,IF(Capex_Phasing_sensitivity=2,Sheet4!Y25,IF(Capex_Phasing_sensitivity=3,Sheet4!Y36,IF(Capex_Phasing_sensitivity=4,Sheet4!Y47,IF(Capex_Phasing_sensitivity=5,Sheet4!Y58,IF(Capex_Phasing_sensitivity=6,Sheet4!Y69,0))))))</f>
        <v>0</v>
      </c>
      <c r="W64" s="106">
        <f>IF(Capex_Phasing_sensitivity=1,Sheet4!Z14,IF(Capex_Phasing_sensitivity=2,Sheet4!Z25,IF(Capex_Phasing_sensitivity=3,Sheet4!Z36,IF(Capex_Phasing_sensitivity=4,Sheet4!Z47,IF(Capex_Phasing_sensitivity=5,Sheet4!Z58,IF(Capex_Phasing_sensitivity=6,Sheet4!Z69,0))))))</f>
        <v>0</v>
      </c>
      <c r="X64" s="106">
        <f>IF(Capex_Phasing_sensitivity=1,Sheet4!AA14,IF(Capex_Phasing_sensitivity=2,Sheet4!AA25,IF(Capex_Phasing_sensitivity=3,Sheet4!AA36,IF(Capex_Phasing_sensitivity=4,Sheet4!AA47,IF(Capex_Phasing_sensitivity=5,Sheet4!AA58,IF(Capex_Phasing_sensitivity=6,Sheet4!AA69,0))))))</f>
        <v>0</v>
      </c>
      <c r="Y64" s="106">
        <f>IF(Capex_Phasing_sensitivity=1,Sheet4!AB14,IF(Capex_Phasing_sensitivity=2,Sheet4!AB25,IF(Capex_Phasing_sensitivity=3,Sheet4!AB36,IF(Capex_Phasing_sensitivity=4,Sheet4!AB47,IF(Capex_Phasing_sensitivity=5,Sheet4!AB58,IF(Capex_Phasing_sensitivity=6,Sheet4!AB69,0))))))</f>
        <v>0</v>
      </c>
      <c r="Z64" s="106">
        <f>IF(Capex_Phasing_sensitivity=1,Sheet4!AC14,IF(Capex_Phasing_sensitivity=2,Sheet4!AC25,IF(Capex_Phasing_sensitivity=3,Sheet4!AC36,IF(Capex_Phasing_sensitivity=4,Sheet4!AC47,IF(Capex_Phasing_sensitivity=5,Sheet4!AC58,IF(Capex_Phasing_sensitivity=6,Sheet4!AC69,0))))))</f>
        <v>0.02</v>
      </c>
      <c r="AA64" s="106">
        <f>IF(Capex_Phasing_sensitivity=1,Sheet4!AD14,IF(Capex_Phasing_sensitivity=2,Sheet4!AD25,IF(Capex_Phasing_sensitivity=3,Sheet4!AD36,IF(Capex_Phasing_sensitivity=4,Sheet4!AD47,IF(Capex_Phasing_sensitivity=5,Sheet4!AD58,IF(Capex_Phasing_sensitivity=6,Sheet4!AD69,0))))))</f>
        <v>0.02</v>
      </c>
      <c r="AB64" s="106">
        <f>IF(Capex_Phasing_sensitivity=1,Sheet4!AE14,IF(Capex_Phasing_sensitivity=2,Sheet4!AE25,IF(Capex_Phasing_sensitivity=3,Sheet4!AE36,IF(Capex_Phasing_sensitivity=4,Sheet4!AE47,IF(Capex_Phasing_sensitivity=5,Sheet4!AE58,IF(Capex_Phasing_sensitivity=6,Sheet4!AE69,0))))))</f>
        <v>0.02</v>
      </c>
      <c r="AC64" s="106">
        <f>IF(Capex_Phasing_sensitivity=1,Sheet4!AF14,IF(Capex_Phasing_sensitivity=2,Sheet4!AF25,IF(Capex_Phasing_sensitivity=3,Sheet4!AF36,IF(Capex_Phasing_sensitivity=4,Sheet4!AF47,IF(Capex_Phasing_sensitivity=5,Sheet4!AF58,IF(Capex_Phasing_sensitivity=6,Sheet4!AF69,0))))))</f>
        <v>0.02</v>
      </c>
      <c r="AD64" s="106">
        <f>IF(Capex_Phasing_sensitivity=1,Sheet4!AG14,IF(Capex_Phasing_sensitivity=2,Sheet4!AG25,IF(Capex_Phasing_sensitivity=3,Sheet4!AG36,IF(Capex_Phasing_sensitivity=4,Sheet4!AG47,IF(Capex_Phasing_sensitivity=5,Sheet4!AG58,IF(Capex_Phasing_sensitivity=6,Sheet4!AG69,0))))))</f>
        <v>0.02</v>
      </c>
      <c r="AE64" s="106">
        <f>IF(Capex_Phasing_sensitivity=1,Sheet4!AH14,IF(Capex_Phasing_sensitivity=2,Sheet4!AH25,IF(Capex_Phasing_sensitivity=3,Sheet4!AH36,IF(Capex_Phasing_sensitivity=4,Sheet4!AH47,IF(Capex_Phasing_sensitivity=5,Sheet4!AH58,IF(Capex_Phasing_sensitivity=6,Sheet4!AH69,0))))))</f>
        <v>0.02</v>
      </c>
      <c r="AF64" s="2502">
        <f>IF(Capex_Phasing_sensitivity=1,Sheet4!AI14,IF(Capex_Phasing_sensitivity=2,Sheet4!AI25,IF(Capex_Phasing_sensitivity=3,Sheet4!AI36,IF(Capex_Phasing_sensitivity=4,Sheet4!AI47,IF(Capex_Phasing_sensitivity=5,Sheet4!AI58,IF(Capex_Phasing_sensitivity=6,Sheet4!AI69,0))))))</f>
        <v>0.03</v>
      </c>
      <c r="AG64" s="2502">
        <f>IF(Capex_Phasing_sensitivity=1,Sheet4!AJ14,IF(Capex_Phasing_sensitivity=2,Sheet4!AJ25,IF(Capex_Phasing_sensitivity=3,Sheet4!AJ36,IF(Capex_Phasing_sensitivity=4,Sheet4!AJ47,IF(Capex_Phasing_sensitivity=5,Sheet4!AJ58,IF(Capex_Phasing_sensitivity=6,Sheet4!AJ69,0))))))</f>
        <v>0.05</v>
      </c>
      <c r="AH64" s="2502">
        <f>IF(Capex_Phasing_sensitivity=1,Sheet4!AK14,IF(Capex_Phasing_sensitivity=2,Sheet4!AK25,IF(Capex_Phasing_sensitivity=3,Sheet4!AK36,IF(Capex_Phasing_sensitivity=4,Sheet4!AK47,IF(Capex_Phasing_sensitivity=5,Sheet4!AK58,IF(Capex_Phasing_sensitivity=6,Sheet4!AK69,0))))))</f>
        <v>0.05</v>
      </c>
      <c r="AI64" s="2502">
        <f>IF(Capex_Phasing_sensitivity=1,Sheet4!AL14,IF(Capex_Phasing_sensitivity=2,Sheet4!AL25,IF(Capex_Phasing_sensitivity=3,Sheet4!AL36,IF(Capex_Phasing_sensitivity=4,Sheet4!AL47,IF(Capex_Phasing_sensitivity=5,Sheet4!AL58,IF(Capex_Phasing_sensitivity=6,Sheet4!AL69,0))))))</f>
        <v>0.05</v>
      </c>
      <c r="AJ64" s="2502">
        <f>IF(Capex_Phasing_sensitivity=1,Sheet4!AM14,IF(Capex_Phasing_sensitivity=2,Sheet4!AM25,IF(Capex_Phasing_sensitivity=3,Sheet4!AM36,IF(Capex_Phasing_sensitivity=4,Sheet4!AM47,IF(Capex_Phasing_sensitivity=5,Sheet4!AM58,IF(Capex_Phasing_sensitivity=6,Sheet4!AM69,0))))))</f>
        <v>0.05</v>
      </c>
      <c r="AK64" s="106">
        <f>IF(Capex_Phasing_sensitivity=1,Sheet4!AN14,IF(Capex_Phasing_sensitivity=2,Sheet4!AN25,IF(Capex_Phasing_sensitivity=3,Sheet4!AN36,IF(Capex_Phasing_sensitivity=4,Sheet4!AN47,IF(Capex_Phasing_sensitivity=5,Sheet4!AN58,IF(Capex_Phasing_sensitivity=6,Sheet4!AN69,0))))))</f>
        <v>0.05</v>
      </c>
      <c r="AL64" s="106">
        <f>IF(Capex_Phasing_sensitivity=1,Sheet4!AO14,IF(Capex_Phasing_sensitivity=2,Sheet4!AO25,IF(Capex_Phasing_sensitivity=3,Sheet4!AO36,IF(Capex_Phasing_sensitivity=4,Sheet4!AO47,IF(Capex_Phasing_sensitivity=5,Sheet4!AO58,IF(Capex_Phasing_sensitivity=6,Sheet4!AO69,0))))))</f>
        <v>0.05</v>
      </c>
      <c r="AM64" s="106">
        <f>IF(Capex_Phasing_sensitivity=1,Sheet4!AP14,IF(Capex_Phasing_sensitivity=2,Sheet4!AP25,IF(Capex_Phasing_sensitivity=3,Sheet4!AP36,IF(Capex_Phasing_sensitivity=4,Sheet4!AP47,IF(Capex_Phasing_sensitivity=5,Sheet4!AP58,IF(Capex_Phasing_sensitivity=6,Sheet4!AP69,0))))))</f>
        <v>0.05</v>
      </c>
      <c r="AN64" s="106">
        <f>IF(Capex_Phasing_sensitivity=1,Sheet4!AQ14,IF(Capex_Phasing_sensitivity=2,Sheet4!AQ25,IF(Capex_Phasing_sensitivity=3,Sheet4!AQ36,IF(Capex_Phasing_sensitivity=4,Sheet4!AQ47,IF(Capex_Phasing_sensitivity=5,Sheet4!AQ58,IF(Capex_Phasing_sensitivity=6,Sheet4!AQ69,0))))))</f>
        <v>0.1</v>
      </c>
      <c r="AO64" s="106">
        <f>IF(Capex_Phasing_sensitivity=1,Sheet4!AR14,IF(Capex_Phasing_sensitivity=2,Sheet4!AR25,IF(Capex_Phasing_sensitivity=3,Sheet4!AR36,IF(Capex_Phasing_sensitivity=4,Sheet4!AR47,IF(Capex_Phasing_sensitivity=5,Sheet4!AR58,IF(Capex_Phasing_sensitivity=6,Sheet4!AR69,0))))))</f>
        <v>0.1</v>
      </c>
      <c r="AP64" s="106">
        <f>IF(Capex_Phasing_sensitivity=1,Sheet4!AS14,IF(Capex_Phasing_sensitivity=2,Sheet4!AS25,IF(Capex_Phasing_sensitivity=3,Sheet4!AS36,IF(Capex_Phasing_sensitivity=4,Sheet4!AS47,IF(Capex_Phasing_sensitivity=5,Sheet4!AS58,IF(Capex_Phasing_sensitivity=6,Sheet4!AS69,0))))))</f>
        <v>0.1</v>
      </c>
      <c r="AQ64" s="106">
        <f>IF(Capex_Phasing_sensitivity=1,Sheet4!AT14,IF(Capex_Phasing_sensitivity=2,Sheet4!AT25,IF(Capex_Phasing_sensitivity=3,Sheet4!AT36,IF(Capex_Phasing_sensitivity=4,Sheet4!AT47,IF(Capex_Phasing_sensitivity=5,Sheet4!AT58,IF(Capex_Phasing_sensitivity=6,Sheet4!AT69,0))))))</f>
        <v>0.1</v>
      </c>
      <c r="AR64" s="106">
        <f>IF(Capex_Phasing_sensitivity=1,Sheet4!AU14,IF(Capex_Phasing_sensitivity=2,Sheet4!AU25,IF(Capex_Phasing_sensitivity=3,Sheet4!AU36,IF(Capex_Phasing_sensitivity=4,Sheet4!AU47,IF(Capex_Phasing_sensitivity=5,Sheet4!AU58,IF(Capex_Phasing_sensitivity=6,Sheet4!AU69,0))))))</f>
        <v>0.1</v>
      </c>
      <c r="AS64" s="106">
        <f>IF(Capex_Phasing_sensitivity=1,Sheet4!AV14,IF(Capex_Phasing_sensitivity=2,Sheet4!AV25,IF(Capex_Phasing_sensitivity=3,Sheet4!AV36,IF(Capex_Phasing_sensitivity=4,Sheet4!AV47,IF(Capex_Phasing_sensitivity=5,Sheet4!AV58,IF(Capex_Phasing_sensitivity=6,Sheet4!AV69,0))))))</f>
        <v>0</v>
      </c>
      <c r="AT64" s="106">
        <f>IF(Capex_Phasing_sensitivity=1,Sheet4!AW14,IF(Capex_Phasing_sensitivity=2,Sheet4!AW25,IF(Capex_Phasing_sensitivity=3,Sheet4!AW36,IF(Capex_Phasing_sensitivity=4,Sheet4!AW47,IF(Capex_Phasing_sensitivity=5,Sheet4!AW58,IF(Capex_Phasing_sensitivity=6,Sheet4!AW69,0))))))</f>
        <v>0</v>
      </c>
      <c r="AU64" s="106">
        <f>IF(Capex_Phasing_sensitivity=1,Sheet4!AX14,IF(Capex_Phasing_sensitivity=2,Sheet4!AX25,IF(Capex_Phasing_sensitivity=3,Sheet4!AX36,IF(Capex_Phasing_sensitivity=4,Sheet4!AX47,IF(Capex_Phasing_sensitivity=5,Sheet4!AX58,IF(Capex_Phasing_sensitivity=6,Sheet4!AX69,0))))))</f>
        <v>0</v>
      </c>
      <c r="AV64" s="106">
        <f>IF(Capex_Phasing_sensitivity=1,Sheet4!AY14,IF(Capex_Phasing_sensitivity=2,Sheet4!AY25,IF(Capex_Phasing_sensitivity=3,Sheet4!AY36,IF(Capex_Phasing_sensitivity=4,Sheet4!AY47,IF(Capex_Phasing_sensitivity=5,Sheet4!AY58,IF(Capex_Phasing_sensitivity=6,Sheet4!AY69,0))))))</f>
        <v>0</v>
      </c>
      <c r="AW64" s="106">
        <f>IF(Capex_Phasing_sensitivity=1,Sheet4!AZ14,IF(Capex_Phasing_sensitivity=2,Sheet4!AZ25,IF(Capex_Phasing_sensitivity=3,Sheet4!AZ36,IF(Capex_Phasing_sensitivity=4,Sheet4!AZ47,IF(Capex_Phasing_sensitivity=5,Sheet4!AZ58,IF(Capex_Phasing_sensitivity=6,Sheet4!AZ69,0))))))</f>
        <v>0</v>
      </c>
      <c r="AX64" s="106">
        <f>IF(Capex_Phasing_sensitivity=1,Sheet4!BA14,IF(Capex_Phasing_sensitivity=2,Sheet4!BA25,IF(Capex_Phasing_sensitivity=3,Sheet4!BA36,IF(Capex_Phasing_sensitivity=4,Sheet4!BA47,IF(Capex_Phasing_sensitivity=5,Sheet4!BA58,IF(Capex_Phasing_sensitivity=6,Sheet4!BA69,0))))))</f>
        <v>0</v>
      </c>
      <c r="AY64" s="106">
        <f>IF(Capex_Phasing_sensitivity=1,Sheet4!BB14,IF(Capex_Phasing_sensitivity=2,Sheet4!BB25,IF(Capex_Phasing_sensitivity=3,Sheet4!BB36,IF(Capex_Phasing_sensitivity=4,Sheet4!BB47,IF(Capex_Phasing_sensitivity=5,Sheet4!BB58,IF(Capex_Phasing_sensitivity=6,Sheet4!BB69,0))))))</f>
        <v>0</v>
      </c>
      <c r="AZ64" s="106">
        <f>IF(Capex_Phasing_sensitivity=1,Sheet4!BC14,IF(Capex_Phasing_sensitivity=2,Sheet4!BC25,IF(Capex_Phasing_sensitivity=3,Sheet4!BC36,IF(Capex_Phasing_sensitivity=4,Sheet4!BC47,IF(Capex_Phasing_sensitivity=5,Sheet4!BC58,IF(Capex_Phasing_sensitivity=6,Sheet4!BC69,0))))))</f>
        <v>0</v>
      </c>
      <c r="BA64" s="106">
        <f>IF(Capex_Phasing_sensitivity=1,Sheet4!BD14,IF(Capex_Phasing_sensitivity=2,Sheet4!BD25,IF(Capex_Phasing_sensitivity=3,Sheet4!BD36,IF(Capex_Phasing_sensitivity=4,Sheet4!BD47,IF(Capex_Phasing_sensitivity=5,Sheet4!BD58,IF(Capex_Phasing_sensitivity=6,Sheet4!BD69,0))))))</f>
        <v>0</v>
      </c>
      <c r="BB64" s="106">
        <f>IF(Capex_Phasing_sensitivity=1,Sheet4!BE14,IF(Capex_Phasing_sensitivity=2,Sheet4!BE25,IF(Capex_Phasing_sensitivity=3,Sheet4!BE36,IF(Capex_Phasing_sensitivity=4,Sheet4!BE47,IF(Capex_Phasing_sensitivity=5,Sheet4!BE58,IF(Capex_Phasing_sensitivity=6,Sheet4!BE69,0))))))</f>
        <v>0</v>
      </c>
      <c r="BC64" s="106">
        <f>IF(Capex_Phasing_sensitivity=1,Sheet4!BF14,IF(Capex_Phasing_sensitivity=2,Sheet4!BF25,IF(Capex_Phasing_sensitivity=3,Sheet4!BF36,IF(Capex_Phasing_sensitivity=4,Sheet4!BF47,IF(Capex_Phasing_sensitivity=5,Sheet4!BF58,IF(Capex_Phasing_sensitivity=6,Sheet4!BF69,0))))))</f>
        <v>0</v>
      </c>
      <c r="BD64" s="106">
        <f>IF(Capex_Phasing_sensitivity=1,Sheet4!BG14,IF(Capex_Phasing_sensitivity=2,Sheet4!BG25,IF(Capex_Phasing_sensitivity=3,Sheet4!BG36,IF(Capex_Phasing_sensitivity=4,Sheet4!BG47,IF(Capex_Phasing_sensitivity=5,Sheet4!BG58,IF(Capex_Phasing_sensitivity=6,Sheet4!BG69,0))))))</f>
        <v>0</v>
      </c>
      <c r="BE64" s="106">
        <f>IF(Capex_Phasing_sensitivity=1,Sheet4!BH14,IF(Capex_Phasing_sensitivity=2,Sheet4!BH25,IF(Capex_Phasing_sensitivity=3,Sheet4!BH36,IF(Capex_Phasing_sensitivity=4,Sheet4!BH47,IF(Capex_Phasing_sensitivity=5,Sheet4!BH58,IF(Capex_Phasing_sensitivity=6,Sheet4!BH69,0))))))</f>
        <v>0</v>
      </c>
      <c r="BF64" s="106">
        <f>IF(Capex_Phasing_sensitivity=1,Sheet4!BI14,IF(Capex_Phasing_sensitivity=2,Sheet4!BI25,IF(Capex_Phasing_sensitivity=3,Sheet4!BI36,IF(Capex_Phasing_sensitivity=4,Sheet4!BI47,IF(Capex_Phasing_sensitivity=5,Sheet4!BI58,IF(Capex_Phasing_sensitivity=6,Sheet4!BI69,0))))))</f>
        <v>0</v>
      </c>
      <c r="BG64" s="106">
        <f>IF(Capex_Phasing_sensitivity=1,Sheet4!BJ14,IF(Capex_Phasing_sensitivity=2,Sheet4!BJ25,IF(Capex_Phasing_sensitivity=3,Sheet4!BJ36,IF(Capex_Phasing_sensitivity=4,Sheet4!BJ47,IF(Capex_Phasing_sensitivity=5,Sheet4!BJ58,IF(Capex_Phasing_sensitivity=6,Sheet4!BJ69,0))))))</f>
        <v>0</v>
      </c>
      <c r="BH64" s="106">
        <f>IF(Capex_Phasing_sensitivity=1,Sheet4!BK14,IF(Capex_Phasing_sensitivity=2,Sheet4!BK25,IF(Capex_Phasing_sensitivity=3,Sheet4!BK36,IF(Capex_Phasing_sensitivity=4,Sheet4!BK47,IF(Capex_Phasing_sensitivity=5,Sheet4!BK58,IF(Capex_Phasing_sensitivity=6,Sheet4!BK69,0))))))</f>
        <v>0</v>
      </c>
      <c r="BI64" s="2495">
        <f>IF(Capex_Phasing_sensitivity=1,Sheet4!BL14,IF(Capex_Phasing_sensitivity=2,Sheet4!BL25,IF(Capex_Phasing_sensitivity=3,Sheet4!BL36,IF(Capex_Phasing_sensitivity=4,Sheet4!BL47,IF(Capex_Phasing_sensitivity=5,Sheet4!BL58,IF(Capex_Phasing_sensitivity=6,Sheet4!BL69,0))))))</f>
        <v>0</v>
      </c>
      <c r="BJ64" s="2495">
        <f>IF(Capex_Phasing_sensitivity=1,Sheet4!BM14,IF(Capex_Phasing_sensitivity=2,Sheet4!BM25,IF(Capex_Phasing_sensitivity=3,Sheet4!BM36,IF(Capex_Phasing_sensitivity=4,Sheet4!BM47,IF(Capex_Phasing_sensitivity=5,Sheet4!BM58,IF(Capex_Phasing_sensitivity=6,Sheet4!BM69,0))))))</f>
        <v>0</v>
      </c>
      <c r="BK64" s="2495">
        <f>IF(Capex_Phasing_sensitivity=1,Sheet4!BN14,IF(Capex_Phasing_sensitivity=2,Sheet4!BN25,IF(Capex_Phasing_sensitivity=3,Sheet4!BN36,IF(Capex_Phasing_sensitivity=4,Sheet4!BN47,IF(Capex_Phasing_sensitivity=5,Sheet4!BN58,IF(Capex_Phasing_sensitivity=6,Sheet4!BN69,0))))))</f>
        <v>0</v>
      </c>
      <c r="BL64" s="2495">
        <f>IF(Capex_Phasing_sensitivity=1,Sheet4!BO14,IF(Capex_Phasing_sensitivity=2,Sheet4!BO25,IF(Capex_Phasing_sensitivity=3,Sheet4!BO36,IF(Capex_Phasing_sensitivity=4,Sheet4!BO47,IF(Capex_Phasing_sensitivity=5,Sheet4!BO58,IF(Capex_Phasing_sensitivity=6,Sheet4!BO69,0))))))</f>
        <v>0</v>
      </c>
      <c r="BM64" s="2495">
        <f>IF(Capex_Phasing_sensitivity=1,Sheet4!BP14,IF(Capex_Phasing_sensitivity=2,Sheet4!BP25,IF(Capex_Phasing_sensitivity=3,Sheet4!BP36,IF(Capex_Phasing_sensitivity=4,Sheet4!BP47,IF(Capex_Phasing_sensitivity=5,Sheet4!BP58,IF(Capex_Phasing_sensitivity=6,Sheet4!BP69,0))))))</f>
        <v>0</v>
      </c>
      <c r="BN64" s="2495">
        <f>IF(Capex_Phasing_sensitivity=1,Sheet4!BQ14,IF(Capex_Phasing_sensitivity=2,Sheet4!BQ25,IF(Capex_Phasing_sensitivity=3,Sheet4!BQ36,IF(Capex_Phasing_sensitivity=4,Sheet4!BQ47,IF(Capex_Phasing_sensitivity=5,Sheet4!BQ58,IF(Capex_Phasing_sensitivity=6,Sheet4!BQ69,0))))))</f>
        <v>0</v>
      </c>
      <c r="BO64" s="106">
        <f>IF(Capex_Phasing_sensitivity=1,Sheet4!BR14,IF(Capex_Phasing_sensitivity=2,Sheet4!BR25,IF(Capex_Phasing_sensitivity=3,Sheet4!BR36,IF(Capex_Phasing_sensitivity=4,Sheet4!BR47,IF(Capex_Phasing_sensitivity=5,Sheet4!BR58,IF(Capex_Phasing_sensitivity=6,Sheet4!BR69,0))))))</f>
        <v>0</v>
      </c>
      <c r="BP64" s="106">
        <f>IF(Capex_Phasing_sensitivity=1,Sheet4!BS14,IF(Capex_Phasing_sensitivity=2,Sheet4!BS25,IF(Capex_Phasing_sensitivity=3,Sheet4!BS36,IF(Capex_Phasing_sensitivity=4,Sheet4!BS47,IF(Capex_Phasing_sensitivity=5,Sheet4!BS58,IF(Capex_Phasing_sensitivity=6,Sheet4!BS69,0))))))</f>
        <v>0</v>
      </c>
      <c r="BQ64" s="106">
        <f>IF(Capex_Phasing_sensitivity=1,Sheet4!BT14,IF(Capex_Phasing_sensitivity=2,Sheet4!BT25,IF(Capex_Phasing_sensitivity=3,Sheet4!BT36,IF(Capex_Phasing_sensitivity=4,Sheet4!BT47,IF(Capex_Phasing_sensitivity=5,Sheet4!BT58,IF(Capex_Phasing_sensitivity=6,Sheet4!BT69,0))))))</f>
        <v>0</v>
      </c>
      <c r="BR64" s="106">
        <f>IF(Capex_Phasing_sensitivity=1,Sheet4!BU14,IF(Capex_Phasing_sensitivity=2,Sheet4!BU25,IF(Capex_Phasing_sensitivity=3,Sheet4!BU36,IF(Capex_Phasing_sensitivity=4,Sheet4!BU47,IF(Capex_Phasing_sensitivity=5,Sheet4!BU58,IF(Capex_Phasing_sensitivity=6,Sheet4!BU69,0))))))</f>
        <v>0</v>
      </c>
      <c r="BS64" s="106">
        <f>IF(Capex_Phasing_sensitivity=1,Sheet4!BV14,IF(Capex_Phasing_sensitivity=2,Sheet4!BV25,IF(Capex_Phasing_sensitivity=3,Sheet4!BV36,IF(Capex_Phasing_sensitivity=4,Sheet4!BV47,IF(Capex_Phasing_sensitivity=5,Sheet4!BV58,IF(Capex_Phasing_sensitivity=6,Sheet4!BV69,0))))))</f>
        <v>0</v>
      </c>
      <c r="BT64" s="106">
        <f>IF(Capex_Phasing_sensitivity=1,Sheet4!BW14,IF(Capex_Phasing_sensitivity=2,Sheet4!BW25,IF(Capex_Phasing_sensitivity=3,Sheet4!BW36,IF(Capex_Phasing_sensitivity=4,Sheet4!BW47,IF(Capex_Phasing_sensitivity=5,Sheet4!BW58,IF(Capex_Phasing_sensitivity=6,Sheet4!BW69,0))))))</f>
        <v>0</v>
      </c>
      <c r="BU64" s="106">
        <f>IF(Capex_Phasing_sensitivity=1,Sheet4!BX14,IF(Capex_Phasing_sensitivity=2,Sheet4!BX25,IF(Capex_Phasing_sensitivity=3,Sheet4!BX36,IF(Capex_Phasing_sensitivity=4,Sheet4!BX47,IF(Capex_Phasing_sensitivity=5,Sheet4!BX58,IF(Capex_Phasing_sensitivity=6,Sheet4!BX69,0))))))</f>
        <v>0</v>
      </c>
      <c r="BV64" s="106">
        <f>IF(Capex_Phasing_sensitivity=1,Sheet4!BY14,IF(Capex_Phasing_sensitivity=2,Sheet4!BY25,IF(Capex_Phasing_sensitivity=3,Sheet4!BY36,IF(Capex_Phasing_sensitivity=4,Sheet4!BY47,IF(Capex_Phasing_sensitivity=5,Sheet4!BY58,IF(Capex_Phasing_sensitivity=6,Sheet4!BY69,0))))))</f>
        <v>0</v>
      </c>
      <c r="BW64" s="106">
        <f>IF(Capex_Phasing_sensitivity=1,Sheet4!BZ14,IF(Capex_Phasing_sensitivity=2,Sheet4!BZ25,IF(Capex_Phasing_sensitivity=3,Sheet4!BZ36,IF(Capex_Phasing_sensitivity=4,Sheet4!BZ47,IF(Capex_Phasing_sensitivity=5,Sheet4!BZ58,IF(Capex_Phasing_sensitivity=6,Sheet4!BZ69,0))))))</f>
        <v>0</v>
      </c>
      <c r="BX64" s="106">
        <f>IF(Capex_Phasing_sensitivity=1,Sheet4!CA14,IF(Capex_Phasing_sensitivity=2,Sheet4!CA25,IF(Capex_Phasing_sensitivity=3,Sheet4!CA36,IF(Capex_Phasing_sensitivity=4,Sheet4!CA47,IF(Capex_Phasing_sensitivity=5,Sheet4!CA58,IF(Capex_Phasing_sensitivity=6,Sheet4!CA69,0))))))</f>
        <v>0</v>
      </c>
      <c r="BY64" s="106">
        <f>IF(Capex_Phasing_sensitivity=1,Sheet4!CB14,IF(Capex_Phasing_sensitivity=2,Sheet4!CB25,IF(Capex_Phasing_sensitivity=3,Sheet4!CB36,IF(Capex_Phasing_sensitivity=4,Sheet4!CB47,IF(Capex_Phasing_sensitivity=5,Sheet4!CB58,IF(Capex_Phasing_sensitivity=6,Sheet4!CB69,0))))))</f>
        <v>0</v>
      </c>
      <c r="BZ64" s="106">
        <f>IF(Capex_Phasing_sensitivity=1,Sheet4!CC14,IF(Capex_Phasing_sensitivity=2,Sheet4!CC25,IF(Capex_Phasing_sensitivity=3,Sheet4!CC36,IF(Capex_Phasing_sensitivity=4,Sheet4!CC47,IF(Capex_Phasing_sensitivity=5,Sheet4!CC58,IF(Capex_Phasing_sensitivity=6,Sheet4!CC69,0))))))</f>
        <v>0</v>
      </c>
      <c r="CA64" s="106">
        <f>IF(Capex_Phasing_sensitivity=1,Sheet4!CD14,IF(Capex_Phasing_sensitivity=2,Sheet4!CD25,IF(Capex_Phasing_sensitivity=3,Sheet4!CD36,IF(Capex_Phasing_sensitivity=4,Sheet4!CD47,IF(Capex_Phasing_sensitivity=5,Sheet4!CD58,IF(Capex_Phasing_sensitivity=6,Sheet4!CD69,0))))))</f>
        <v>0</v>
      </c>
      <c r="CB64" s="106">
        <f>IF(Capex_Phasing_sensitivity=1,Sheet4!CE14,IF(Capex_Phasing_sensitivity=2,Sheet4!CE25,IF(Capex_Phasing_sensitivity=3,Sheet4!CE36,IF(Capex_Phasing_sensitivity=4,Sheet4!CE47,IF(Capex_Phasing_sensitivity=5,Sheet4!CE58,IF(Capex_Phasing_sensitivity=6,Sheet4!CE69,0))))))</f>
        <v>0</v>
      </c>
      <c r="CD64" s="14">
        <f t="shared" si="33"/>
        <v>0.99999999999999989</v>
      </c>
    </row>
    <row r="65" spans="2:82">
      <c r="B65" s="177" t="s">
        <v>120</v>
      </c>
      <c r="C65" s="118">
        <f>IF('Input '!$F$9=1,'Input '!E93/Exchange_Rate,'Input '!E93)*Sens_projectcost</f>
        <v>56815900</v>
      </c>
      <c r="D65" s="178">
        <f t="shared" si="32"/>
        <v>0.99999999999999989</v>
      </c>
      <c r="I65" s="106">
        <f>IF(Capex_Phasing_sensitivity=1,Sheet4!L15,IF(Capex_Phasing_sensitivity=2,Sheet4!L26,IF(Capex_Phasing_sensitivity=3,Sheet4!L37,IF(Capex_Phasing_sensitivity=4,Sheet4!L48,IF(Capex_Phasing_sensitivity=5,Sheet4!L59,IF(Capex_Phasing_sensitivity=6,Sheet4!L70,0))))))</f>
        <v>0</v>
      </c>
      <c r="J65" s="106">
        <f>IF(Capex_Phasing_sensitivity=1,Sheet4!M15,IF(Capex_Phasing_sensitivity=2,Sheet4!M26,IF(Capex_Phasing_sensitivity=3,Sheet4!M37,IF(Capex_Phasing_sensitivity=4,Sheet4!M48,IF(Capex_Phasing_sensitivity=5,Sheet4!M59,IF(Capex_Phasing_sensitivity=6,Sheet4!M70,0))))))</f>
        <v>0</v>
      </c>
      <c r="K65" s="106">
        <f>IF(Capex_Phasing_sensitivity=1,Sheet4!N15,IF(Capex_Phasing_sensitivity=2,Sheet4!N26,IF(Capex_Phasing_sensitivity=3,Sheet4!N37,IF(Capex_Phasing_sensitivity=4,Sheet4!N48,IF(Capex_Phasing_sensitivity=5,Sheet4!N59,IF(Capex_Phasing_sensitivity=6,Sheet4!N70,0))))))</f>
        <v>0</v>
      </c>
      <c r="L65" s="106">
        <f>IF(Capex_Phasing_sensitivity=1,Sheet4!O15,IF(Capex_Phasing_sensitivity=2,Sheet4!O26,IF(Capex_Phasing_sensitivity=3,Sheet4!O37,IF(Capex_Phasing_sensitivity=4,Sheet4!O48,IF(Capex_Phasing_sensitivity=5,Sheet4!O59,IF(Capex_Phasing_sensitivity=6,Sheet4!O70,0))))))</f>
        <v>0</v>
      </c>
      <c r="M65" s="106">
        <f>IF(Capex_Phasing_sensitivity=1,Sheet4!P15,IF(Capex_Phasing_sensitivity=2,Sheet4!P26,IF(Capex_Phasing_sensitivity=3,Sheet4!P37,IF(Capex_Phasing_sensitivity=4,Sheet4!P48,IF(Capex_Phasing_sensitivity=5,Sheet4!P59,IF(Capex_Phasing_sensitivity=6,Sheet4!P70,0))))))</f>
        <v>0</v>
      </c>
      <c r="N65" s="106">
        <f>IF(Capex_Phasing_sensitivity=1,Sheet4!Q15,IF(Capex_Phasing_sensitivity=2,Sheet4!Q26,IF(Capex_Phasing_sensitivity=3,Sheet4!Q37,IF(Capex_Phasing_sensitivity=4,Sheet4!Q48,IF(Capex_Phasing_sensitivity=5,Sheet4!Q59,IF(Capex_Phasing_sensitivity=6,Sheet4!Q70,0))))))</f>
        <v>0</v>
      </c>
      <c r="O65" s="106">
        <f>IF(Capex_Phasing_sensitivity=1,Sheet4!R15,IF(Capex_Phasing_sensitivity=2,Sheet4!R26,IF(Capex_Phasing_sensitivity=3,Sheet4!R37,IF(Capex_Phasing_sensitivity=4,Sheet4!R48,IF(Capex_Phasing_sensitivity=5,Sheet4!R59,IF(Capex_Phasing_sensitivity=6,Sheet4!R70,0))))))</f>
        <v>0</v>
      </c>
      <c r="P65" s="106">
        <f>IF(Capex_Phasing_sensitivity=1,Sheet4!S15,IF(Capex_Phasing_sensitivity=2,Sheet4!S26,IF(Capex_Phasing_sensitivity=3,Sheet4!S37,IF(Capex_Phasing_sensitivity=4,Sheet4!S48,IF(Capex_Phasing_sensitivity=5,Sheet4!S59,IF(Capex_Phasing_sensitivity=6,Sheet4!S70,0))))))</f>
        <v>0</v>
      </c>
      <c r="Q65" s="106">
        <f>IF(Capex_Phasing_sensitivity=1,Sheet4!T15,IF(Capex_Phasing_sensitivity=2,Sheet4!T26,IF(Capex_Phasing_sensitivity=3,Sheet4!T37,IF(Capex_Phasing_sensitivity=4,Sheet4!T48,IF(Capex_Phasing_sensitivity=5,Sheet4!T59,IF(Capex_Phasing_sensitivity=6,Sheet4!T70,0))))))</f>
        <v>0</v>
      </c>
      <c r="R65" s="106">
        <f>IF(Capex_Phasing_sensitivity=1,Sheet4!U15,IF(Capex_Phasing_sensitivity=2,Sheet4!U26,IF(Capex_Phasing_sensitivity=3,Sheet4!U37,IF(Capex_Phasing_sensitivity=4,Sheet4!U48,IF(Capex_Phasing_sensitivity=5,Sheet4!U59,IF(Capex_Phasing_sensitivity=6,Sheet4!U70,0))))))</f>
        <v>0</v>
      </c>
      <c r="S65" s="106">
        <f>IF(Capex_Phasing_sensitivity=1,Sheet4!V15,IF(Capex_Phasing_sensitivity=2,Sheet4!V26,IF(Capex_Phasing_sensitivity=3,Sheet4!V37,IF(Capex_Phasing_sensitivity=4,Sheet4!V48,IF(Capex_Phasing_sensitivity=5,Sheet4!V59,IF(Capex_Phasing_sensitivity=6,Sheet4!V70,0))))))</f>
        <v>0</v>
      </c>
      <c r="T65" s="106">
        <f>IF(Capex_Phasing_sensitivity=1,Sheet4!W15,IF(Capex_Phasing_sensitivity=2,Sheet4!W26,IF(Capex_Phasing_sensitivity=3,Sheet4!W37,IF(Capex_Phasing_sensitivity=4,Sheet4!W48,IF(Capex_Phasing_sensitivity=5,Sheet4!W59,IF(Capex_Phasing_sensitivity=6,Sheet4!W70,0))))))</f>
        <v>0</v>
      </c>
      <c r="U65" s="106">
        <f>IF(Capex_Phasing_sensitivity=1,Sheet4!X15,IF(Capex_Phasing_sensitivity=2,Sheet4!X26,IF(Capex_Phasing_sensitivity=3,Sheet4!X37,IF(Capex_Phasing_sensitivity=4,Sheet4!X48,IF(Capex_Phasing_sensitivity=5,Sheet4!X59,IF(Capex_Phasing_sensitivity=6,Sheet4!X70,0))))))</f>
        <v>0</v>
      </c>
      <c r="V65" s="106">
        <f>IF(Capex_Phasing_sensitivity=1,Sheet4!Y15,IF(Capex_Phasing_sensitivity=2,Sheet4!Y26,IF(Capex_Phasing_sensitivity=3,Sheet4!Y37,IF(Capex_Phasing_sensitivity=4,Sheet4!Y48,IF(Capex_Phasing_sensitivity=5,Sheet4!Y59,IF(Capex_Phasing_sensitivity=6,Sheet4!Y70,0))))))</f>
        <v>0</v>
      </c>
      <c r="W65" s="106">
        <f>IF(Capex_Phasing_sensitivity=1,Sheet4!Z15,IF(Capex_Phasing_sensitivity=2,Sheet4!Z26,IF(Capex_Phasing_sensitivity=3,Sheet4!Z37,IF(Capex_Phasing_sensitivity=4,Sheet4!Z48,IF(Capex_Phasing_sensitivity=5,Sheet4!Z59,IF(Capex_Phasing_sensitivity=6,Sheet4!Z70,0))))))</f>
        <v>0</v>
      </c>
      <c r="X65" s="106">
        <f>IF(Capex_Phasing_sensitivity=1,Sheet4!AA15,IF(Capex_Phasing_sensitivity=2,Sheet4!AA26,IF(Capex_Phasing_sensitivity=3,Sheet4!AA37,IF(Capex_Phasing_sensitivity=4,Sheet4!AA48,IF(Capex_Phasing_sensitivity=5,Sheet4!AA59,IF(Capex_Phasing_sensitivity=6,Sheet4!AA70,0))))))</f>
        <v>0</v>
      </c>
      <c r="Y65" s="106">
        <f>IF(Capex_Phasing_sensitivity=1,Sheet4!AB15,IF(Capex_Phasing_sensitivity=2,Sheet4!AB26,IF(Capex_Phasing_sensitivity=3,Sheet4!AB37,IF(Capex_Phasing_sensitivity=4,Sheet4!AB48,IF(Capex_Phasing_sensitivity=5,Sheet4!AB59,IF(Capex_Phasing_sensitivity=6,Sheet4!AB70,0))))))</f>
        <v>0</v>
      </c>
      <c r="Z65" s="106">
        <f>IF(Capex_Phasing_sensitivity=1,Sheet4!AC15,IF(Capex_Phasing_sensitivity=2,Sheet4!AC26,IF(Capex_Phasing_sensitivity=3,Sheet4!AC37,IF(Capex_Phasing_sensitivity=4,Sheet4!AC48,IF(Capex_Phasing_sensitivity=5,Sheet4!AC59,IF(Capex_Phasing_sensitivity=6,Sheet4!AC70,0))))))</f>
        <v>0.02</v>
      </c>
      <c r="AA65" s="106">
        <f>IF(Capex_Phasing_sensitivity=1,Sheet4!AD15,IF(Capex_Phasing_sensitivity=2,Sheet4!AD26,IF(Capex_Phasing_sensitivity=3,Sheet4!AD37,IF(Capex_Phasing_sensitivity=4,Sheet4!AD48,IF(Capex_Phasing_sensitivity=5,Sheet4!AD59,IF(Capex_Phasing_sensitivity=6,Sheet4!AD70,0))))))</f>
        <v>0.02</v>
      </c>
      <c r="AB65" s="106">
        <f>IF(Capex_Phasing_sensitivity=1,Sheet4!AE15,IF(Capex_Phasing_sensitivity=2,Sheet4!AE26,IF(Capex_Phasing_sensitivity=3,Sheet4!AE37,IF(Capex_Phasing_sensitivity=4,Sheet4!AE48,IF(Capex_Phasing_sensitivity=5,Sheet4!AE59,IF(Capex_Phasing_sensitivity=6,Sheet4!AE70,0))))))</f>
        <v>0.02</v>
      </c>
      <c r="AC65" s="106">
        <f>IF(Capex_Phasing_sensitivity=1,Sheet4!AF15,IF(Capex_Phasing_sensitivity=2,Sheet4!AF26,IF(Capex_Phasing_sensitivity=3,Sheet4!AF37,IF(Capex_Phasing_sensitivity=4,Sheet4!AF48,IF(Capex_Phasing_sensitivity=5,Sheet4!AF59,IF(Capex_Phasing_sensitivity=6,Sheet4!AF70,0))))))</f>
        <v>0.02</v>
      </c>
      <c r="AD65" s="106">
        <f>IF(Capex_Phasing_sensitivity=1,Sheet4!AG15,IF(Capex_Phasing_sensitivity=2,Sheet4!AG26,IF(Capex_Phasing_sensitivity=3,Sheet4!AG37,IF(Capex_Phasing_sensitivity=4,Sheet4!AG48,IF(Capex_Phasing_sensitivity=5,Sheet4!AG59,IF(Capex_Phasing_sensitivity=6,Sheet4!AG70,0))))))</f>
        <v>0.02</v>
      </c>
      <c r="AE65" s="106">
        <f>IF(Capex_Phasing_sensitivity=1,Sheet4!AH15,IF(Capex_Phasing_sensitivity=2,Sheet4!AH26,IF(Capex_Phasing_sensitivity=3,Sheet4!AH37,IF(Capex_Phasing_sensitivity=4,Sheet4!AH48,IF(Capex_Phasing_sensitivity=5,Sheet4!AH59,IF(Capex_Phasing_sensitivity=6,Sheet4!AH70,0))))))</f>
        <v>0.02</v>
      </c>
      <c r="AF65" s="2502">
        <f>IF(Capex_Phasing_sensitivity=1,Sheet4!AI15,IF(Capex_Phasing_sensitivity=2,Sheet4!AI26,IF(Capex_Phasing_sensitivity=3,Sheet4!AI37,IF(Capex_Phasing_sensitivity=4,Sheet4!AI48,IF(Capex_Phasing_sensitivity=5,Sheet4!AI59,IF(Capex_Phasing_sensitivity=6,Sheet4!AI70,0))))))</f>
        <v>0.03</v>
      </c>
      <c r="AG65" s="2502">
        <f>IF(Capex_Phasing_sensitivity=1,Sheet4!AJ15,IF(Capex_Phasing_sensitivity=2,Sheet4!AJ26,IF(Capex_Phasing_sensitivity=3,Sheet4!AJ37,IF(Capex_Phasing_sensitivity=4,Sheet4!AJ48,IF(Capex_Phasing_sensitivity=5,Sheet4!AJ59,IF(Capex_Phasing_sensitivity=6,Sheet4!AJ70,0))))))</f>
        <v>0.05</v>
      </c>
      <c r="AH65" s="2502">
        <f>IF(Capex_Phasing_sensitivity=1,Sheet4!AK15,IF(Capex_Phasing_sensitivity=2,Sheet4!AK26,IF(Capex_Phasing_sensitivity=3,Sheet4!AK37,IF(Capex_Phasing_sensitivity=4,Sheet4!AK48,IF(Capex_Phasing_sensitivity=5,Sheet4!AK59,IF(Capex_Phasing_sensitivity=6,Sheet4!AK70,0))))))</f>
        <v>0.05</v>
      </c>
      <c r="AI65" s="2502">
        <f>IF(Capex_Phasing_sensitivity=1,Sheet4!AL15,IF(Capex_Phasing_sensitivity=2,Sheet4!AL26,IF(Capex_Phasing_sensitivity=3,Sheet4!AL37,IF(Capex_Phasing_sensitivity=4,Sheet4!AL48,IF(Capex_Phasing_sensitivity=5,Sheet4!AL59,IF(Capex_Phasing_sensitivity=6,Sheet4!AL70,0))))))</f>
        <v>0.05</v>
      </c>
      <c r="AJ65" s="2502">
        <f>IF(Capex_Phasing_sensitivity=1,Sheet4!AM15,IF(Capex_Phasing_sensitivity=2,Sheet4!AM26,IF(Capex_Phasing_sensitivity=3,Sheet4!AM37,IF(Capex_Phasing_sensitivity=4,Sheet4!AM48,IF(Capex_Phasing_sensitivity=5,Sheet4!AM59,IF(Capex_Phasing_sensitivity=6,Sheet4!AM70,0))))))</f>
        <v>0.05</v>
      </c>
      <c r="AK65" s="106">
        <f>IF(Capex_Phasing_sensitivity=1,Sheet4!AN15,IF(Capex_Phasing_sensitivity=2,Sheet4!AN26,IF(Capex_Phasing_sensitivity=3,Sheet4!AN37,IF(Capex_Phasing_sensitivity=4,Sheet4!AN48,IF(Capex_Phasing_sensitivity=5,Sheet4!AN59,IF(Capex_Phasing_sensitivity=6,Sheet4!AN70,0))))))</f>
        <v>0.05</v>
      </c>
      <c r="AL65" s="106">
        <f>IF(Capex_Phasing_sensitivity=1,Sheet4!AO15,IF(Capex_Phasing_sensitivity=2,Sheet4!AO26,IF(Capex_Phasing_sensitivity=3,Sheet4!AO37,IF(Capex_Phasing_sensitivity=4,Sheet4!AO48,IF(Capex_Phasing_sensitivity=5,Sheet4!AO59,IF(Capex_Phasing_sensitivity=6,Sheet4!AO70,0))))))</f>
        <v>0.05</v>
      </c>
      <c r="AM65" s="106">
        <f>IF(Capex_Phasing_sensitivity=1,Sheet4!AP15,IF(Capex_Phasing_sensitivity=2,Sheet4!AP26,IF(Capex_Phasing_sensitivity=3,Sheet4!AP37,IF(Capex_Phasing_sensitivity=4,Sheet4!AP48,IF(Capex_Phasing_sensitivity=5,Sheet4!AP59,IF(Capex_Phasing_sensitivity=6,Sheet4!AP70,0))))))</f>
        <v>0.05</v>
      </c>
      <c r="AN65" s="106">
        <f>IF(Capex_Phasing_sensitivity=1,Sheet4!AQ15,IF(Capex_Phasing_sensitivity=2,Sheet4!AQ26,IF(Capex_Phasing_sensitivity=3,Sheet4!AQ37,IF(Capex_Phasing_sensitivity=4,Sheet4!AQ48,IF(Capex_Phasing_sensitivity=5,Sheet4!AQ59,IF(Capex_Phasing_sensitivity=6,Sheet4!AQ70,0))))))</f>
        <v>0.1</v>
      </c>
      <c r="AO65" s="106">
        <f>IF(Capex_Phasing_sensitivity=1,Sheet4!AR15,IF(Capex_Phasing_sensitivity=2,Sheet4!AR26,IF(Capex_Phasing_sensitivity=3,Sheet4!AR37,IF(Capex_Phasing_sensitivity=4,Sheet4!AR48,IF(Capex_Phasing_sensitivity=5,Sheet4!AR59,IF(Capex_Phasing_sensitivity=6,Sheet4!AR70,0))))))</f>
        <v>0.1</v>
      </c>
      <c r="AP65" s="106">
        <f>IF(Capex_Phasing_sensitivity=1,Sheet4!AS15,IF(Capex_Phasing_sensitivity=2,Sheet4!AS26,IF(Capex_Phasing_sensitivity=3,Sheet4!AS37,IF(Capex_Phasing_sensitivity=4,Sheet4!AS48,IF(Capex_Phasing_sensitivity=5,Sheet4!AS59,IF(Capex_Phasing_sensitivity=6,Sheet4!AS70,0))))))</f>
        <v>0.1</v>
      </c>
      <c r="AQ65" s="106">
        <f>IF(Capex_Phasing_sensitivity=1,Sheet4!AT15,IF(Capex_Phasing_sensitivity=2,Sheet4!AT26,IF(Capex_Phasing_sensitivity=3,Sheet4!AT37,IF(Capex_Phasing_sensitivity=4,Sheet4!AT48,IF(Capex_Phasing_sensitivity=5,Sheet4!AT59,IF(Capex_Phasing_sensitivity=6,Sheet4!AT70,0))))))</f>
        <v>0.1</v>
      </c>
      <c r="AR65" s="106">
        <f>IF(Capex_Phasing_sensitivity=1,Sheet4!AU15,IF(Capex_Phasing_sensitivity=2,Sheet4!AU26,IF(Capex_Phasing_sensitivity=3,Sheet4!AU37,IF(Capex_Phasing_sensitivity=4,Sheet4!AU48,IF(Capex_Phasing_sensitivity=5,Sheet4!AU59,IF(Capex_Phasing_sensitivity=6,Sheet4!AU70,0))))))</f>
        <v>0.1</v>
      </c>
      <c r="AS65" s="106">
        <f>IF(Capex_Phasing_sensitivity=1,Sheet4!AV15,IF(Capex_Phasing_sensitivity=2,Sheet4!AV26,IF(Capex_Phasing_sensitivity=3,Sheet4!AV37,IF(Capex_Phasing_sensitivity=4,Sheet4!AV48,IF(Capex_Phasing_sensitivity=5,Sheet4!AV59,IF(Capex_Phasing_sensitivity=6,Sheet4!AV70,0))))))</f>
        <v>0</v>
      </c>
      <c r="AT65" s="106">
        <f>IF(Capex_Phasing_sensitivity=1,Sheet4!AW15,IF(Capex_Phasing_sensitivity=2,Sheet4!AW26,IF(Capex_Phasing_sensitivity=3,Sheet4!AW37,IF(Capex_Phasing_sensitivity=4,Sheet4!AW48,IF(Capex_Phasing_sensitivity=5,Sheet4!AW59,IF(Capex_Phasing_sensitivity=6,Sheet4!AW70,0))))))</f>
        <v>0</v>
      </c>
      <c r="AU65" s="106">
        <f>IF(Capex_Phasing_sensitivity=1,Sheet4!AX15,IF(Capex_Phasing_sensitivity=2,Sheet4!AX26,IF(Capex_Phasing_sensitivity=3,Sheet4!AX37,IF(Capex_Phasing_sensitivity=4,Sheet4!AX48,IF(Capex_Phasing_sensitivity=5,Sheet4!AX59,IF(Capex_Phasing_sensitivity=6,Sheet4!AX70,0))))))</f>
        <v>0</v>
      </c>
      <c r="AV65" s="106">
        <f>IF(Capex_Phasing_sensitivity=1,Sheet4!AY15,IF(Capex_Phasing_sensitivity=2,Sheet4!AY26,IF(Capex_Phasing_sensitivity=3,Sheet4!AY37,IF(Capex_Phasing_sensitivity=4,Sheet4!AY48,IF(Capex_Phasing_sensitivity=5,Sheet4!AY59,IF(Capex_Phasing_sensitivity=6,Sheet4!AY70,0))))))</f>
        <v>0</v>
      </c>
      <c r="AW65" s="106">
        <f>IF(Capex_Phasing_sensitivity=1,Sheet4!AZ15,IF(Capex_Phasing_sensitivity=2,Sheet4!AZ26,IF(Capex_Phasing_sensitivity=3,Sheet4!AZ37,IF(Capex_Phasing_sensitivity=4,Sheet4!AZ48,IF(Capex_Phasing_sensitivity=5,Sheet4!AZ59,IF(Capex_Phasing_sensitivity=6,Sheet4!AZ70,0))))))</f>
        <v>0</v>
      </c>
      <c r="AX65" s="106">
        <f>IF(Capex_Phasing_sensitivity=1,Sheet4!BA15,IF(Capex_Phasing_sensitivity=2,Sheet4!BA26,IF(Capex_Phasing_sensitivity=3,Sheet4!BA37,IF(Capex_Phasing_sensitivity=4,Sheet4!BA48,IF(Capex_Phasing_sensitivity=5,Sheet4!BA59,IF(Capex_Phasing_sensitivity=6,Sheet4!BA70,0))))))</f>
        <v>0</v>
      </c>
      <c r="AY65" s="106">
        <f>IF(Capex_Phasing_sensitivity=1,Sheet4!BB15,IF(Capex_Phasing_sensitivity=2,Sheet4!BB26,IF(Capex_Phasing_sensitivity=3,Sheet4!BB37,IF(Capex_Phasing_sensitivity=4,Sheet4!BB48,IF(Capex_Phasing_sensitivity=5,Sheet4!BB59,IF(Capex_Phasing_sensitivity=6,Sheet4!BB70,0))))))</f>
        <v>0</v>
      </c>
      <c r="AZ65" s="106">
        <f>IF(Capex_Phasing_sensitivity=1,Sheet4!BC15,IF(Capex_Phasing_sensitivity=2,Sheet4!BC26,IF(Capex_Phasing_sensitivity=3,Sheet4!BC37,IF(Capex_Phasing_sensitivity=4,Sheet4!BC48,IF(Capex_Phasing_sensitivity=5,Sheet4!BC59,IF(Capex_Phasing_sensitivity=6,Sheet4!BC70,0))))))</f>
        <v>0</v>
      </c>
      <c r="BA65" s="106">
        <f>IF(Capex_Phasing_sensitivity=1,Sheet4!BD15,IF(Capex_Phasing_sensitivity=2,Sheet4!BD26,IF(Capex_Phasing_sensitivity=3,Sheet4!BD37,IF(Capex_Phasing_sensitivity=4,Sheet4!BD48,IF(Capex_Phasing_sensitivity=5,Sheet4!BD59,IF(Capex_Phasing_sensitivity=6,Sheet4!BD70,0))))))</f>
        <v>0</v>
      </c>
      <c r="BB65" s="106">
        <f>IF(Capex_Phasing_sensitivity=1,Sheet4!BE15,IF(Capex_Phasing_sensitivity=2,Sheet4!BE26,IF(Capex_Phasing_sensitivity=3,Sheet4!BE37,IF(Capex_Phasing_sensitivity=4,Sheet4!BE48,IF(Capex_Phasing_sensitivity=5,Sheet4!BE59,IF(Capex_Phasing_sensitivity=6,Sheet4!BE70,0))))))</f>
        <v>0</v>
      </c>
      <c r="BC65" s="106">
        <f>IF(Capex_Phasing_sensitivity=1,Sheet4!BF15,IF(Capex_Phasing_sensitivity=2,Sheet4!BF26,IF(Capex_Phasing_sensitivity=3,Sheet4!BF37,IF(Capex_Phasing_sensitivity=4,Sheet4!BF48,IF(Capex_Phasing_sensitivity=5,Sheet4!BF59,IF(Capex_Phasing_sensitivity=6,Sheet4!BF70,0))))))</f>
        <v>0</v>
      </c>
      <c r="BD65" s="106">
        <f>IF(Capex_Phasing_sensitivity=1,Sheet4!BG15,IF(Capex_Phasing_sensitivity=2,Sheet4!BG26,IF(Capex_Phasing_sensitivity=3,Sheet4!BG37,IF(Capex_Phasing_sensitivity=4,Sheet4!BG48,IF(Capex_Phasing_sensitivity=5,Sheet4!BG59,IF(Capex_Phasing_sensitivity=6,Sheet4!BG70,0))))))</f>
        <v>0</v>
      </c>
      <c r="BE65" s="106">
        <f>IF(Capex_Phasing_sensitivity=1,Sheet4!BH15,IF(Capex_Phasing_sensitivity=2,Sheet4!BH26,IF(Capex_Phasing_sensitivity=3,Sheet4!BH37,IF(Capex_Phasing_sensitivity=4,Sheet4!BH48,IF(Capex_Phasing_sensitivity=5,Sheet4!BH59,IF(Capex_Phasing_sensitivity=6,Sheet4!BH70,0))))))</f>
        <v>0</v>
      </c>
      <c r="BF65" s="106">
        <f>IF(Capex_Phasing_sensitivity=1,Sheet4!BI15,IF(Capex_Phasing_sensitivity=2,Sheet4!BI26,IF(Capex_Phasing_sensitivity=3,Sheet4!BI37,IF(Capex_Phasing_sensitivity=4,Sheet4!BI48,IF(Capex_Phasing_sensitivity=5,Sheet4!BI59,IF(Capex_Phasing_sensitivity=6,Sheet4!BI70,0))))))</f>
        <v>0</v>
      </c>
      <c r="BG65" s="106">
        <f>IF(Capex_Phasing_sensitivity=1,Sheet4!BJ15,IF(Capex_Phasing_sensitivity=2,Sheet4!BJ26,IF(Capex_Phasing_sensitivity=3,Sheet4!BJ37,IF(Capex_Phasing_sensitivity=4,Sheet4!BJ48,IF(Capex_Phasing_sensitivity=5,Sheet4!BJ59,IF(Capex_Phasing_sensitivity=6,Sheet4!BJ70,0))))))</f>
        <v>0</v>
      </c>
      <c r="BH65" s="106">
        <f>IF(Capex_Phasing_sensitivity=1,Sheet4!BK15,IF(Capex_Phasing_sensitivity=2,Sheet4!BK26,IF(Capex_Phasing_sensitivity=3,Sheet4!BK37,IF(Capex_Phasing_sensitivity=4,Sheet4!BK48,IF(Capex_Phasing_sensitivity=5,Sheet4!BK59,IF(Capex_Phasing_sensitivity=6,Sheet4!BK70,0))))))</f>
        <v>0</v>
      </c>
      <c r="BI65" s="2495">
        <f>IF(Capex_Phasing_sensitivity=1,Sheet4!BL15,IF(Capex_Phasing_sensitivity=2,Sheet4!BL26,IF(Capex_Phasing_sensitivity=3,Sheet4!BL37,IF(Capex_Phasing_sensitivity=4,Sheet4!BL48,IF(Capex_Phasing_sensitivity=5,Sheet4!BL59,IF(Capex_Phasing_sensitivity=6,Sheet4!BL70,0))))))</f>
        <v>0</v>
      </c>
      <c r="BJ65" s="2495">
        <f>IF(Capex_Phasing_sensitivity=1,Sheet4!BM15,IF(Capex_Phasing_sensitivity=2,Sheet4!BM26,IF(Capex_Phasing_sensitivity=3,Sheet4!BM37,IF(Capex_Phasing_sensitivity=4,Sheet4!BM48,IF(Capex_Phasing_sensitivity=5,Sheet4!BM59,IF(Capex_Phasing_sensitivity=6,Sheet4!BM70,0))))))</f>
        <v>0</v>
      </c>
      <c r="BK65" s="2495">
        <f>IF(Capex_Phasing_sensitivity=1,Sheet4!BN15,IF(Capex_Phasing_sensitivity=2,Sheet4!BN26,IF(Capex_Phasing_sensitivity=3,Sheet4!BN37,IF(Capex_Phasing_sensitivity=4,Sheet4!BN48,IF(Capex_Phasing_sensitivity=5,Sheet4!BN59,IF(Capex_Phasing_sensitivity=6,Sheet4!BN70,0))))))</f>
        <v>0</v>
      </c>
      <c r="BL65" s="2495">
        <f>IF(Capex_Phasing_sensitivity=1,Sheet4!BO15,IF(Capex_Phasing_sensitivity=2,Sheet4!BO26,IF(Capex_Phasing_sensitivity=3,Sheet4!BO37,IF(Capex_Phasing_sensitivity=4,Sheet4!BO48,IF(Capex_Phasing_sensitivity=5,Sheet4!BO59,IF(Capex_Phasing_sensitivity=6,Sheet4!BO70,0))))))</f>
        <v>0</v>
      </c>
      <c r="BM65" s="2495">
        <f>IF(Capex_Phasing_sensitivity=1,Sheet4!BP15,IF(Capex_Phasing_sensitivity=2,Sheet4!BP26,IF(Capex_Phasing_sensitivity=3,Sheet4!BP37,IF(Capex_Phasing_sensitivity=4,Sheet4!BP48,IF(Capex_Phasing_sensitivity=5,Sheet4!BP59,IF(Capex_Phasing_sensitivity=6,Sheet4!BP70,0))))))</f>
        <v>0</v>
      </c>
      <c r="BN65" s="2495">
        <f>IF(Capex_Phasing_sensitivity=1,Sheet4!BQ15,IF(Capex_Phasing_sensitivity=2,Sheet4!BQ26,IF(Capex_Phasing_sensitivity=3,Sheet4!BQ37,IF(Capex_Phasing_sensitivity=4,Sheet4!BQ48,IF(Capex_Phasing_sensitivity=5,Sheet4!BQ59,IF(Capex_Phasing_sensitivity=6,Sheet4!BQ70,0))))))</f>
        <v>0</v>
      </c>
      <c r="BO65" s="106">
        <f>IF(Capex_Phasing_sensitivity=1,Sheet4!BR15,IF(Capex_Phasing_sensitivity=2,Sheet4!BR26,IF(Capex_Phasing_sensitivity=3,Sheet4!BR37,IF(Capex_Phasing_sensitivity=4,Sheet4!BR48,IF(Capex_Phasing_sensitivity=5,Sheet4!BR59,IF(Capex_Phasing_sensitivity=6,Sheet4!BR70,0))))))</f>
        <v>0</v>
      </c>
      <c r="BP65" s="106">
        <f>IF(Capex_Phasing_sensitivity=1,Sheet4!BS15,IF(Capex_Phasing_sensitivity=2,Sheet4!BS26,IF(Capex_Phasing_sensitivity=3,Sheet4!BS37,IF(Capex_Phasing_sensitivity=4,Sheet4!BS48,IF(Capex_Phasing_sensitivity=5,Sheet4!BS59,IF(Capex_Phasing_sensitivity=6,Sheet4!BS70,0))))))</f>
        <v>0</v>
      </c>
      <c r="BQ65" s="106">
        <f>IF(Capex_Phasing_sensitivity=1,Sheet4!BT15,IF(Capex_Phasing_sensitivity=2,Sheet4!BT26,IF(Capex_Phasing_sensitivity=3,Sheet4!BT37,IF(Capex_Phasing_sensitivity=4,Sheet4!BT48,IF(Capex_Phasing_sensitivity=5,Sheet4!BT59,IF(Capex_Phasing_sensitivity=6,Sheet4!BT70,0))))))</f>
        <v>0</v>
      </c>
      <c r="BR65" s="106">
        <f>IF(Capex_Phasing_sensitivity=1,Sheet4!BU15,IF(Capex_Phasing_sensitivity=2,Sheet4!BU26,IF(Capex_Phasing_sensitivity=3,Sheet4!BU37,IF(Capex_Phasing_sensitivity=4,Sheet4!BU48,IF(Capex_Phasing_sensitivity=5,Sheet4!BU59,IF(Capex_Phasing_sensitivity=6,Sheet4!BU70,0))))))</f>
        <v>0</v>
      </c>
      <c r="BS65" s="106">
        <f>IF(Capex_Phasing_sensitivity=1,Sheet4!BV15,IF(Capex_Phasing_sensitivity=2,Sheet4!BV26,IF(Capex_Phasing_sensitivity=3,Sheet4!BV37,IF(Capex_Phasing_sensitivity=4,Sheet4!BV48,IF(Capex_Phasing_sensitivity=5,Sheet4!BV59,IF(Capex_Phasing_sensitivity=6,Sheet4!BV70,0))))))</f>
        <v>0</v>
      </c>
      <c r="BT65" s="106">
        <f>IF(Capex_Phasing_sensitivity=1,Sheet4!BW15,IF(Capex_Phasing_sensitivity=2,Sheet4!BW26,IF(Capex_Phasing_sensitivity=3,Sheet4!BW37,IF(Capex_Phasing_sensitivity=4,Sheet4!BW48,IF(Capex_Phasing_sensitivity=5,Sheet4!BW59,IF(Capex_Phasing_sensitivity=6,Sheet4!BW70,0))))))</f>
        <v>0</v>
      </c>
      <c r="BU65" s="106">
        <f>IF(Capex_Phasing_sensitivity=1,Sheet4!BX15,IF(Capex_Phasing_sensitivity=2,Sheet4!BX26,IF(Capex_Phasing_sensitivity=3,Sheet4!BX37,IF(Capex_Phasing_sensitivity=4,Sheet4!BX48,IF(Capex_Phasing_sensitivity=5,Sheet4!BX59,IF(Capex_Phasing_sensitivity=6,Sheet4!BX70,0))))))</f>
        <v>0</v>
      </c>
      <c r="BV65" s="106">
        <f>IF(Capex_Phasing_sensitivity=1,Sheet4!BY15,IF(Capex_Phasing_sensitivity=2,Sheet4!BY26,IF(Capex_Phasing_sensitivity=3,Sheet4!BY37,IF(Capex_Phasing_sensitivity=4,Sheet4!BY48,IF(Capex_Phasing_sensitivity=5,Sheet4!BY59,IF(Capex_Phasing_sensitivity=6,Sheet4!BY70,0))))))</f>
        <v>0</v>
      </c>
      <c r="BW65" s="106">
        <f>IF(Capex_Phasing_sensitivity=1,Sheet4!BZ15,IF(Capex_Phasing_sensitivity=2,Sheet4!BZ26,IF(Capex_Phasing_sensitivity=3,Sheet4!BZ37,IF(Capex_Phasing_sensitivity=4,Sheet4!BZ48,IF(Capex_Phasing_sensitivity=5,Sheet4!BZ59,IF(Capex_Phasing_sensitivity=6,Sheet4!BZ70,0))))))</f>
        <v>0</v>
      </c>
      <c r="BX65" s="106">
        <f>IF(Capex_Phasing_sensitivity=1,Sheet4!CA15,IF(Capex_Phasing_sensitivity=2,Sheet4!CA26,IF(Capex_Phasing_sensitivity=3,Sheet4!CA37,IF(Capex_Phasing_sensitivity=4,Sheet4!CA48,IF(Capex_Phasing_sensitivity=5,Sheet4!CA59,IF(Capex_Phasing_sensitivity=6,Sheet4!CA70,0))))))</f>
        <v>0</v>
      </c>
      <c r="BY65" s="106">
        <f>IF(Capex_Phasing_sensitivity=1,Sheet4!CB15,IF(Capex_Phasing_sensitivity=2,Sheet4!CB26,IF(Capex_Phasing_sensitivity=3,Sheet4!CB37,IF(Capex_Phasing_sensitivity=4,Sheet4!CB48,IF(Capex_Phasing_sensitivity=5,Sheet4!CB59,IF(Capex_Phasing_sensitivity=6,Sheet4!CB70,0))))))</f>
        <v>0</v>
      </c>
      <c r="BZ65" s="106">
        <f>IF(Capex_Phasing_sensitivity=1,Sheet4!CC15,IF(Capex_Phasing_sensitivity=2,Sheet4!CC26,IF(Capex_Phasing_sensitivity=3,Sheet4!CC37,IF(Capex_Phasing_sensitivity=4,Sheet4!CC48,IF(Capex_Phasing_sensitivity=5,Sheet4!CC59,IF(Capex_Phasing_sensitivity=6,Sheet4!CC70,0))))))</f>
        <v>0</v>
      </c>
      <c r="CA65" s="106">
        <f>IF(Capex_Phasing_sensitivity=1,Sheet4!CD15,IF(Capex_Phasing_sensitivity=2,Sheet4!CD26,IF(Capex_Phasing_sensitivity=3,Sheet4!CD37,IF(Capex_Phasing_sensitivity=4,Sheet4!CD48,IF(Capex_Phasing_sensitivity=5,Sheet4!CD59,IF(Capex_Phasing_sensitivity=6,Sheet4!CD70,0))))))</f>
        <v>0</v>
      </c>
      <c r="CB65" s="106">
        <f>IF(Capex_Phasing_sensitivity=1,Sheet4!CE15,IF(Capex_Phasing_sensitivity=2,Sheet4!CE26,IF(Capex_Phasing_sensitivity=3,Sheet4!CE37,IF(Capex_Phasing_sensitivity=4,Sheet4!CE48,IF(Capex_Phasing_sensitivity=5,Sheet4!CE59,IF(Capex_Phasing_sensitivity=6,Sheet4!CE70,0))))))</f>
        <v>0</v>
      </c>
      <c r="CD65" s="14">
        <f t="shared" si="33"/>
        <v>0.99999999999999989</v>
      </c>
    </row>
    <row r="66" spans="2:82">
      <c r="B66" s="179" t="s">
        <v>121</v>
      </c>
      <c r="C66" s="118">
        <f>IF('Input '!$F$9=1,'Input '!E94/Exchange_Rate,'Input '!E94)*Sens_projectcost</f>
        <v>796423512.24489796</v>
      </c>
      <c r="D66" s="178">
        <f>SUM(I66:AY66)</f>
        <v>0</v>
      </c>
      <c r="I66" s="106"/>
      <c r="J66" s="106"/>
      <c r="K66" s="106"/>
      <c r="L66" s="106"/>
      <c r="M66" s="106"/>
      <c r="N66" s="106"/>
      <c r="O66" s="106"/>
      <c r="P66" s="106"/>
      <c r="Q66" s="106"/>
      <c r="R66" s="106"/>
      <c r="S66" s="106"/>
      <c r="T66" s="106"/>
      <c r="U66" s="106"/>
      <c r="V66" s="106"/>
      <c r="W66" s="106"/>
      <c r="X66" s="106"/>
      <c r="Y66" s="106"/>
      <c r="Z66" s="106"/>
      <c r="AA66" s="106"/>
      <c r="AB66" s="106"/>
      <c r="AC66" s="106"/>
      <c r="AD66" s="106"/>
      <c r="AE66" s="106"/>
      <c r="AF66" s="2502"/>
      <c r="AG66" s="2502"/>
      <c r="AH66" s="2502"/>
      <c r="AI66" s="2502"/>
      <c r="AJ66" s="2502"/>
      <c r="AK66" s="106"/>
      <c r="AL66" s="106"/>
      <c r="AM66" s="106"/>
      <c r="AN66" s="106"/>
      <c r="AO66" s="106"/>
      <c r="AP66" s="106"/>
      <c r="AQ66" s="106"/>
      <c r="AR66" s="106"/>
      <c r="AS66" s="106"/>
      <c r="AT66" s="106"/>
      <c r="AU66" s="106"/>
      <c r="AV66" s="106"/>
      <c r="AW66" s="106"/>
      <c r="AX66" s="106"/>
      <c r="AY66" s="106"/>
      <c r="AZ66" s="106"/>
      <c r="BA66" s="106"/>
      <c r="BB66" s="106"/>
      <c r="BC66" s="106"/>
      <c r="BD66" s="106"/>
      <c r="BE66" s="106"/>
      <c r="BF66" s="106"/>
      <c r="BG66" s="106"/>
      <c r="BH66" s="106"/>
      <c r="BI66" s="2495"/>
      <c r="BJ66" s="2495"/>
      <c r="BK66" s="2495"/>
      <c r="BL66" s="2495"/>
      <c r="BM66" s="2495"/>
      <c r="BN66" s="2495"/>
      <c r="BO66" s="106"/>
      <c r="BP66" s="106"/>
      <c r="BQ66" s="106"/>
      <c r="BR66" s="106"/>
      <c r="BS66" s="106"/>
      <c r="BT66" s="106"/>
      <c r="BU66" s="106"/>
      <c r="BV66" s="106"/>
      <c r="BW66" s="106"/>
      <c r="BX66" s="106"/>
      <c r="BY66" s="106"/>
      <c r="BZ66" s="106"/>
      <c r="CA66" s="106"/>
      <c r="CB66" s="106"/>
      <c r="CD66" s="14">
        <f t="shared" si="33"/>
        <v>0</v>
      </c>
    </row>
    <row r="67" spans="2:82">
      <c r="B67" s="177" t="s">
        <v>123</v>
      </c>
      <c r="C67" s="118">
        <f>IF('Input '!$F$9=1,'Input '!E95/Exchange_Rate,'Input '!E95)*Sens_projectcost</f>
        <v>32667800</v>
      </c>
      <c r="D67" s="178">
        <f t="shared" si="32"/>
        <v>0.99999999999999989</v>
      </c>
      <c r="I67" s="106">
        <f>IF(Capex_Phasing_sensitivity=1,Sheet4!L17,IF(Capex_Phasing_sensitivity=2,Sheet4!L28,IF(Capex_Phasing_sensitivity=3,Sheet4!L39,IF(Capex_Phasing_sensitivity=4,Sheet4!L50,IF(Capex_Phasing_sensitivity=5,Sheet4!L61,IF(Capex_Phasing_sensitivity=6,Sheet4!L72,0))))))</f>
        <v>0</v>
      </c>
      <c r="J67" s="106">
        <f>IF(Capex_Phasing_sensitivity=1,Sheet4!M17,IF(Capex_Phasing_sensitivity=2,Sheet4!M28,IF(Capex_Phasing_sensitivity=3,Sheet4!M39,IF(Capex_Phasing_sensitivity=4,Sheet4!M50,IF(Capex_Phasing_sensitivity=5,Sheet4!M61,IF(Capex_Phasing_sensitivity=6,Sheet4!M72,0))))))</f>
        <v>0</v>
      </c>
      <c r="K67" s="106">
        <f>IF(Capex_Phasing_sensitivity=1,Sheet4!N17,IF(Capex_Phasing_sensitivity=2,Sheet4!N28,IF(Capex_Phasing_sensitivity=3,Sheet4!N39,IF(Capex_Phasing_sensitivity=4,Sheet4!N50,IF(Capex_Phasing_sensitivity=5,Sheet4!N61,IF(Capex_Phasing_sensitivity=6,Sheet4!N72,0))))))</f>
        <v>0</v>
      </c>
      <c r="L67" s="106">
        <f>IF(Capex_Phasing_sensitivity=1,Sheet4!O17,IF(Capex_Phasing_sensitivity=2,Sheet4!O28,IF(Capex_Phasing_sensitivity=3,Sheet4!O39,IF(Capex_Phasing_sensitivity=4,Sheet4!O50,IF(Capex_Phasing_sensitivity=5,Sheet4!O61,IF(Capex_Phasing_sensitivity=6,Sheet4!O72,0))))))</f>
        <v>0</v>
      </c>
      <c r="M67" s="106">
        <f>IF(Capex_Phasing_sensitivity=1,Sheet4!P17,IF(Capex_Phasing_sensitivity=2,Sheet4!P28,IF(Capex_Phasing_sensitivity=3,Sheet4!P39,IF(Capex_Phasing_sensitivity=4,Sheet4!P50,IF(Capex_Phasing_sensitivity=5,Sheet4!P61,IF(Capex_Phasing_sensitivity=6,Sheet4!P72,0))))))</f>
        <v>0</v>
      </c>
      <c r="N67" s="106">
        <f>IF(Capex_Phasing_sensitivity=1,Sheet4!Q17,IF(Capex_Phasing_sensitivity=2,Sheet4!Q28,IF(Capex_Phasing_sensitivity=3,Sheet4!Q39,IF(Capex_Phasing_sensitivity=4,Sheet4!Q50,IF(Capex_Phasing_sensitivity=5,Sheet4!Q61,IF(Capex_Phasing_sensitivity=6,Sheet4!Q72,0))))))</f>
        <v>0</v>
      </c>
      <c r="O67" s="106">
        <f>IF(Capex_Phasing_sensitivity=1,Sheet4!R17,IF(Capex_Phasing_sensitivity=2,Sheet4!R28,IF(Capex_Phasing_sensitivity=3,Sheet4!R39,IF(Capex_Phasing_sensitivity=4,Sheet4!R50,IF(Capex_Phasing_sensitivity=5,Sheet4!R61,IF(Capex_Phasing_sensitivity=6,Sheet4!R72,0))))))</f>
        <v>0</v>
      </c>
      <c r="P67" s="106">
        <f>IF(Capex_Phasing_sensitivity=1,Sheet4!S17,IF(Capex_Phasing_sensitivity=2,Sheet4!S28,IF(Capex_Phasing_sensitivity=3,Sheet4!S39,IF(Capex_Phasing_sensitivity=4,Sheet4!S50,IF(Capex_Phasing_sensitivity=5,Sheet4!S61,IF(Capex_Phasing_sensitivity=6,Sheet4!S72,0))))))</f>
        <v>0</v>
      </c>
      <c r="Q67" s="106">
        <f>IF(Capex_Phasing_sensitivity=1,Sheet4!T17,IF(Capex_Phasing_sensitivity=2,Sheet4!T28,IF(Capex_Phasing_sensitivity=3,Sheet4!T39,IF(Capex_Phasing_sensitivity=4,Sheet4!T50,IF(Capex_Phasing_sensitivity=5,Sheet4!T61,IF(Capex_Phasing_sensitivity=6,Sheet4!T72,0))))))</f>
        <v>0</v>
      </c>
      <c r="R67" s="106">
        <f>IF(Capex_Phasing_sensitivity=1,Sheet4!U17,IF(Capex_Phasing_sensitivity=2,Sheet4!U28,IF(Capex_Phasing_sensitivity=3,Sheet4!U39,IF(Capex_Phasing_sensitivity=4,Sheet4!U50,IF(Capex_Phasing_sensitivity=5,Sheet4!U61,IF(Capex_Phasing_sensitivity=6,Sheet4!U72,0))))))</f>
        <v>0</v>
      </c>
      <c r="S67" s="106">
        <f>IF(Capex_Phasing_sensitivity=1,Sheet4!V17,IF(Capex_Phasing_sensitivity=2,Sheet4!V28,IF(Capex_Phasing_sensitivity=3,Sheet4!V39,IF(Capex_Phasing_sensitivity=4,Sheet4!V50,IF(Capex_Phasing_sensitivity=5,Sheet4!V61,IF(Capex_Phasing_sensitivity=6,Sheet4!V72,0))))))</f>
        <v>0</v>
      </c>
      <c r="T67" s="106">
        <f>IF(Capex_Phasing_sensitivity=1,Sheet4!W17,IF(Capex_Phasing_sensitivity=2,Sheet4!W28,IF(Capex_Phasing_sensitivity=3,Sheet4!W39,IF(Capex_Phasing_sensitivity=4,Sheet4!W50,IF(Capex_Phasing_sensitivity=5,Sheet4!W61,IF(Capex_Phasing_sensitivity=6,Sheet4!W72,0))))))</f>
        <v>0</v>
      </c>
      <c r="U67" s="106">
        <f>IF(Capex_Phasing_sensitivity=1,Sheet4!X17,IF(Capex_Phasing_sensitivity=2,Sheet4!X28,IF(Capex_Phasing_sensitivity=3,Sheet4!X39,IF(Capex_Phasing_sensitivity=4,Sheet4!X50,IF(Capex_Phasing_sensitivity=5,Sheet4!X61,IF(Capex_Phasing_sensitivity=6,Sheet4!X72,0))))))</f>
        <v>0</v>
      </c>
      <c r="V67" s="106">
        <f>IF(Capex_Phasing_sensitivity=1,Sheet4!Y17,IF(Capex_Phasing_sensitivity=2,Sheet4!Y28,IF(Capex_Phasing_sensitivity=3,Sheet4!Y39,IF(Capex_Phasing_sensitivity=4,Sheet4!Y50,IF(Capex_Phasing_sensitivity=5,Sheet4!Y61,IF(Capex_Phasing_sensitivity=6,Sheet4!Y72,0))))))</f>
        <v>0</v>
      </c>
      <c r="W67" s="106">
        <f>IF(Capex_Phasing_sensitivity=1,Sheet4!Z17,IF(Capex_Phasing_sensitivity=2,Sheet4!Z28,IF(Capex_Phasing_sensitivity=3,Sheet4!Z39,IF(Capex_Phasing_sensitivity=4,Sheet4!Z50,IF(Capex_Phasing_sensitivity=5,Sheet4!Z61,IF(Capex_Phasing_sensitivity=6,Sheet4!Z72,0))))))</f>
        <v>0</v>
      </c>
      <c r="X67" s="106">
        <f>IF(Capex_Phasing_sensitivity=1,Sheet4!AA17,IF(Capex_Phasing_sensitivity=2,Sheet4!AA28,IF(Capex_Phasing_sensitivity=3,Sheet4!AA39,IF(Capex_Phasing_sensitivity=4,Sheet4!AA50,IF(Capex_Phasing_sensitivity=5,Sheet4!AA61,IF(Capex_Phasing_sensitivity=6,Sheet4!AA72,0))))))</f>
        <v>0</v>
      </c>
      <c r="Y67" s="106">
        <f>IF(Capex_Phasing_sensitivity=1,Sheet4!AB17,IF(Capex_Phasing_sensitivity=2,Sheet4!AB28,IF(Capex_Phasing_sensitivity=3,Sheet4!AB39,IF(Capex_Phasing_sensitivity=4,Sheet4!AB50,IF(Capex_Phasing_sensitivity=5,Sheet4!AB61,IF(Capex_Phasing_sensitivity=6,Sheet4!AB72,0))))))</f>
        <v>0</v>
      </c>
      <c r="Z67" s="106">
        <f>IF(Capex_Phasing_sensitivity=1,Sheet4!AC17,IF(Capex_Phasing_sensitivity=2,Sheet4!AC28,IF(Capex_Phasing_sensitivity=3,Sheet4!AC39,IF(Capex_Phasing_sensitivity=4,Sheet4!AC50,IF(Capex_Phasing_sensitivity=5,Sheet4!AC61,IF(Capex_Phasing_sensitivity=6,Sheet4!AC72,0))))))</f>
        <v>0.02</v>
      </c>
      <c r="AA67" s="106">
        <f>IF(Capex_Phasing_sensitivity=1,Sheet4!AD17,IF(Capex_Phasing_sensitivity=2,Sheet4!AD28,IF(Capex_Phasing_sensitivity=3,Sheet4!AD39,IF(Capex_Phasing_sensitivity=4,Sheet4!AD50,IF(Capex_Phasing_sensitivity=5,Sheet4!AD61,IF(Capex_Phasing_sensitivity=6,Sheet4!AD72,0))))))</f>
        <v>0.02</v>
      </c>
      <c r="AB67" s="106">
        <f>IF(Capex_Phasing_sensitivity=1,Sheet4!AE17,IF(Capex_Phasing_sensitivity=2,Sheet4!AE28,IF(Capex_Phasing_sensitivity=3,Sheet4!AE39,IF(Capex_Phasing_sensitivity=4,Sheet4!AE50,IF(Capex_Phasing_sensitivity=5,Sheet4!AE61,IF(Capex_Phasing_sensitivity=6,Sheet4!AE72,0))))))</f>
        <v>0.02</v>
      </c>
      <c r="AC67" s="106">
        <f>IF(Capex_Phasing_sensitivity=1,Sheet4!AF17,IF(Capex_Phasing_sensitivity=2,Sheet4!AF28,IF(Capex_Phasing_sensitivity=3,Sheet4!AF39,IF(Capex_Phasing_sensitivity=4,Sheet4!AF50,IF(Capex_Phasing_sensitivity=5,Sheet4!AF61,IF(Capex_Phasing_sensitivity=6,Sheet4!AF72,0))))))</f>
        <v>0.02</v>
      </c>
      <c r="AD67" s="106">
        <f>IF(Capex_Phasing_sensitivity=1,Sheet4!AG17,IF(Capex_Phasing_sensitivity=2,Sheet4!AG28,IF(Capex_Phasing_sensitivity=3,Sheet4!AG39,IF(Capex_Phasing_sensitivity=4,Sheet4!AG50,IF(Capex_Phasing_sensitivity=5,Sheet4!AG61,IF(Capex_Phasing_sensitivity=6,Sheet4!AG72,0))))))</f>
        <v>0.02</v>
      </c>
      <c r="AE67" s="106">
        <f>IF(Capex_Phasing_sensitivity=1,Sheet4!AH17,IF(Capex_Phasing_sensitivity=2,Sheet4!AH28,IF(Capex_Phasing_sensitivity=3,Sheet4!AH39,IF(Capex_Phasing_sensitivity=4,Sheet4!AH50,IF(Capex_Phasing_sensitivity=5,Sheet4!AH61,IF(Capex_Phasing_sensitivity=6,Sheet4!AH72,0))))))</f>
        <v>0.02</v>
      </c>
      <c r="AF67" s="2502">
        <f>IF(Capex_Phasing_sensitivity=1,Sheet4!AI17,IF(Capex_Phasing_sensitivity=2,Sheet4!AI28,IF(Capex_Phasing_sensitivity=3,Sheet4!AI39,IF(Capex_Phasing_sensitivity=4,Sheet4!AI50,IF(Capex_Phasing_sensitivity=5,Sheet4!AI61,IF(Capex_Phasing_sensitivity=6,Sheet4!AI72,0))))))</f>
        <v>0.03</v>
      </c>
      <c r="AG67" s="2502">
        <f>IF(Capex_Phasing_sensitivity=1,Sheet4!AJ17,IF(Capex_Phasing_sensitivity=2,Sheet4!AJ28,IF(Capex_Phasing_sensitivity=3,Sheet4!AJ39,IF(Capex_Phasing_sensitivity=4,Sheet4!AJ50,IF(Capex_Phasing_sensitivity=5,Sheet4!AJ61,IF(Capex_Phasing_sensitivity=6,Sheet4!AJ72,0))))))</f>
        <v>0.05</v>
      </c>
      <c r="AH67" s="2502">
        <f>IF(Capex_Phasing_sensitivity=1,Sheet4!AK17,IF(Capex_Phasing_sensitivity=2,Sheet4!AK28,IF(Capex_Phasing_sensitivity=3,Sheet4!AK39,IF(Capex_Phasing_sensitivity=4,Sheet4!AK50,IF(Capex_Phasing_sensitivity=5,Sheet4!AK61,IF(Capex_Phasing_sensitivity=6,Sheet4!AK72,0))))))</f>
        <v>0.05</v>
      </c>
      <c r="AI67" s="2502">
        <f>IF(Capex_Phasing_sensitivity=1,Sheet4!AL17,IF(Capex_Phasing_sensitivity=2,Sheet4!AL28,IF(Capex_Phasing_sensitivity=3,Sheet4!AL39,IF(Capex_Phasing_sensitivity=4,Sheet4!AL50,IF(Capex_Phasing_sensitivity=5,Sheet4!AL61,IF(Capex_Phasing_sensitivity=6,Sheet4!AL72,0))))))</f>
        <v>0.05</v>
      </c>
      <c r="AJ67" s="2502">
        <f>IF(Capex_Phasing_sensitivity=1,Sheet4!AM17,IF(Capex_Phasing_sensitivity=2,Sheet4!AM28,IF(Capex_Phasing_sensitivity=3,Sheet4!AM39,IF(Capex_Phasing_sensitivity=4,Sheet4!AM50,IF(Capex_Phasing_sensitivity=5,Sheet4!AM61,IF(Capex_Phasing_sensitivity=6,Sheet4!AM72,0))))))</f>
        <v>0.05</v>
      </c>
      <c r="AK67" s="106">
        <f>IF(Capex_Phasing_sensitivity=1,Sheet4!AN17,IF(Capex_Phasing_sensitivity=2,Sheet4!AN28,IF(Capex_Phasing_sensitivity=3,Sheet4!AN39,IF(Capex_Phasing_sensitivity=4,Sheet4!AN50,IF(Capex_Phasing_sensitivity=5,Sheet4!AN61,IF(Capex_Phasing_sensitivity=6,Sheet4!AN72,0))))))</f>
        <v>0.05</v>
      </c>
      <c r="AL67" s="106">
        <f>IF(Capex_Phasing_sensitivity=1,Sheet4!AO17,IF(Capex_Phasing_sensitivity=2,Sheet4!AO28,IF(Capex_Phasing_sensitivity=3,Sheet4!AO39,IF(Capex_Phasing_sensitivity=4,Sheet4!AO50,IF(Capex_Phasing_sensitivity=5,Sheet4!AO61,IF(Capex_Phasing_sensitivity=6,Sheet4!AO72,0))))))</f>
        <v>0.05</v>
      </c>
      <c r="AM67" s="106">
        <f>IF(Capex_Phasing_sensitivity=1,Sheet4!AP17,IF(Capex_Phasing_sensitivity=2,Sheet4!AP28,IF(Capex_Phasing_sensitivity=3,Sheet4!AP39,IF(Capex_Phasing_sensitivity=4,Sheet4!AP50,IF(Capex_Phasing_sensitivity=5,Sheet4!AP61,IF(Capex_Phasing_sensitivity=6,Sheet4!AP72,0))))))</f>
        <v>0.05</v>
      </c>
      <c r="AN67" s="106">
        <f>IF(Capex_Phasing_sensitivity=1,Sheet4!AQ17,IF(Capex_Phasing_sensitivity=2,Sheet4!AQ28,IF(Capex_Phasing_sensitivity=3,Sheet4!AQ39,IF(Capex_Phasing_sensitivity=4,Sheet4!AQ50,IF(Capex_Phasing_sensitivity=5,Sheet4!AQ61,IF(Capex_Phasing_sensitivity=6,Sheet4!AQ72,0))))))</f>
        <v>0.1</v>
      </c>
      <c r="AO67" s="106">
        <f>IF(Capex_Phasing_sensitivity=1,Sheet4!AR17,IF(Capex_Phasing_sensitivity=2,Sheet4!AR28,IF(Capex_Phasing_sensitivity=3,Sheet4!AR39,IF(Capex_Phasing_sensitivity=4,Sheet4!AR50,IF(Capex_Phasing_sensitivity=5,Sheet4!AR61,IF(Capex_Phasing_sensitivity=6,Sheet4!AR72,0))))))</f>
        <v>0.1</v>
      </c>
      <c r="AP67" s="106">
        <f>IF(Capex_Phasing_sensitivity=1,Sheet4!AS17,IF(Capex_Phasing_sensitivity=2,Sheet4!AS28,IF(Capex_Phasing_sensitivity=3,Sheet4!AS39,IF(Capex_Phasing_sensitivity=4,Sheet4!AS50,IF(Capex_Phasing_sensitivity=5,Sheet4!AS61,IF(Capex_Phasing_sensitivity=6,Sheet4!AS72,0))))))</f>
        <v>0.1</v>
      </c>
      <c r="AQ67" s="106">
        <f>IF(Capex_Phasing_sensitivity=1,Sheet4!AT17,IF(Capex_Phasing_sensitivity=2,Sheet4!AT28,IF(Capex_Phasing_sensitivity=3,Sheet4!AT39,IF(Capex_Phasing_sensitivity=4,Sheet4!AT50,IF(Capex_Phasing_sensitivity=5,Sheet4!AT61,IF(Capex_Phasing_sensitivity=6,Sheet4!AT72,0))))))</f>
        <v>0.1</v>
      </c>
      <c r="AR67" s="106">
        <f>IF(Capex_Phasing_sensitivity=1,Sheet4!AU17,IF(Capex_Phasing_sensitivity=2,Sheet4!AU28,IF(Capex_Phasing_sensitivity=3,Sheet4!AU39,IF(Capex_Phasing_sensitivity=4,Sheet4!AU50,IF(Capex_Phasing_sensitivity=5,Sheet4!AU61,IF(Capex_Phasing_sensitivity=6,Sheet4!AU72,0))))))</f>
        <v>0.1</v>
      </c>
      <c r="AS67" s="106">
        <f>IF(Capex_Phasing_sensitivity=1,Sheet4!AV17,IF(Capex_Phasing_sensitivity=2,Sheet4!AV28,IF(Capex_Phasing_sensitivity=3,Sheet4!AV39,IF(Capex_Phasing_sensitivity=4,Sheet4!AV50,IF(Capex_Phasing_sensitivity=5,Sheet4!AV61,IF(Capex_Phasing_sensitivity=6,Sheet4!AV72,0))))))</f>
        <v>0</v>
      </c>
      <c r="AT67" s="106">
        <f>IF(Capex_Phasing_sensitivity=1,Sheet4!AW17,IF(Capex_Phasing_sensitivity=2,Sheet4!AW28,IF(Capex_Phasing_sensitivity=3,Sheet4!AW39,IF(Capex_Phasing_sensitivity=4,Sheet4!AW50,IF(Capex_Phasing_sensitivity=5,Sheet4!AW61,IF(Capex_Phasing_sensitivity=6,Sheet4!AW72,0))))))</f>
        <v>0</v>
      </c>
      <c r="AU67" s="106">
        <f>IF(Capex_Phasing_sensitivity=1,Sheet4!AX17,IF(Capex_Phasing_sensitivity=2,Sheet4!AX28,IF(Capex_Phasing_sensitivity=3,Sheet4!AX39,IF(Capex_Phasing_sensitivity=4,Sheet4!AX50,IF(Capex_Phasing_sensitivity=5,Sheet4!AX61,IF(Capex_Phasing_sensitivity=6,Sheet4!AX72,0))))))</f>
        <v>0</v>
      </c>
      <c r="AV67" s="106">
        <f>IF(Capex_Phasing_sensitivity=1,Sheet4!AY17,IF(Capex_Phasing_sensitivity=2,Sheet4!AY28,IF(Capex_Phasing_sensitivity=3,Sheet4!AY39,IF(Capex_Phasing_sensitivity=4,Sheet4!AY50,IF(Capex_Phasing_sensitivity=5,Sheet4!AY61,IF(Capex_Phasing_sensitivity=6,Sheet4!AY72,0))))))</f>
        <v>0</v>
      </c>
      <c r="AW67" s="106">
        <f>IF(Capex_Phasing_sensitivity=1,Sheet4!AZ17,IF(Capex_Phasing_sensitivity=2,Sheet4!AZ28,IF(Capex_Phasing_sensitivity=3,Sheet4!AZ39,IF(Capex_Phasing_sensitivity=4,Sheet4!AZ50,IF(Capex_Phasing_sensitivity=5,Sheet4!AZ61,IF(Capex_Phasing_sensitivity=6,Sheet4!AZ72,0))))))</f>
        <v>0</v>
      </c>
      <c r="AX67" s="106">
        <f>IF(Capex_Phasing_sensitivity=1,Sheet4!BA17,IF(Capex_Phasing_sensitivity=2,Sheet4!BA28,IF(Capex_Phasing_sensitivity=3,Sheet4!BA39,IF(Capex_Phasing_sensitivity=4,Sheet4!BA50,IF(Capex_Phasing_sensitivity=5,Sheet4!BA61,IF(Capex_Phasing_sensitivity=6,Sheet4!BA72,0))))))</f>
        <v>0</v>
      </c>
      <c r="AY67" s="106">
        <f>IF(Capex_Phasing_sensitivity=1,Sheet4!BB17,IF(Capex_Phasing_sensitivity=2,Sheet4!BB28,IF(Capex_Phasing_sensitivity=3,Sheet4!BB39,IF(Capex_Phasing_sensitivity=4,Sheet4!BB50,IF(Capex_Phasing_sensitivity=5,Sheet4!BB61,IF(Capex_Phasing_sensitivity=6,Sheet4!BB72,0))))))</f>
        <v>0</v>
      </c>
      <c r="AZ67" s="106">
        <f>IF(Capex_Phasing_sensitivity=1,Sheet4!BC17,IF(Capex_Phasing_sensitivity=2,Sheet4!BC28,IF(Capex_Phasing_sensitivity=3,Sheet4!BC39,IF(Capex_Phasing_sensitivity=4,Sheet4!BC50,IF(Capex_Phasing_sensitivity=5,Sheet4!BC61,IF(Capex_Phasing_sensitivity=6,Sheet4!BC72,0))))))</f>
        <v>0</v>
      </c>
      <c r="BA67" s="106">
        <f>IF(Capex_Phasing_sensitivity=1,Sheet4!BD17,IF(Capex_Phasing_sensitivity=2,Sheet4!BD28,IF(Capex_Phasing_sensitivity=3,Sheet4!BD39,IF(Capex_Phasing_sensitivity=4,Sheet4!BD50,IF(Capex_Phasing_sensitivity=5,Sheet4!BD61,IF(Capex_Phasing_sensitivity=6,Sheet4!BD72,0))))))</f>
        <v>0</v>
      </c>
      <c r="BB67" s="106">
        <f>IF(Capex_Phasing_sensitivity=1,Sheet4!BE17,IF(Capex_Phasing_sensitivity=2,Sheet4!BE28,IF(Capex_Phasing_sensitivity=3,Sheet4!BE39,IF(Capex_Phasing_sensitivity=4,Sheet4!BE50,IF(Capex_Phasing_sensitivity=5,Sheet4!BE61,IF(Capex_Phasing_sensitivity=6,Sheet4!BE72,0))))))</f>
        <v>0</v>
      </c>
      <c r="BC67" s="106">
        <f>IF(Capex_Phasing_sensitivity=1,Sheet4!BF17,IF(Capex_Phasing_sensitivity=2,Sheet4!BF28,IF(Capex_Phasing_sensitivity=3,Sheet4!BF39,IF(Capex_Phasing_sensitivity=4,Sheet4!BF50,IF(Capex_Phasing_sensitivity=5,Sheet4!BF61,IF(Capex_Phasing_sensitivity=6,Sheet4!BF72,0))))))</f>
        <v>0</v>
      </c>
      <c r="BD67" s="106">
        <f>IF(Capex_Phasing_sensitivity=1,Sheet4!BG17,IF(Capex_Phasing_sensitivity=2,Sheet4!BG28,IF(Capex_Phasing_sensitivity=3,Sheet4!BG39,IF(Capex_Phasing_sensitivity=4,Sheet4!BG50,IF(Capex_Phasing_sensitivity=5,Sheet4!BG61,IF(Capex_Phasing_sensitivity=6,Sheet4!BG72,0))))))</f>
        <v>0</v>
      </c>
      <c r="BE67" s="106">
        <f>IF(Capex_Phasing_sensitivity=1,Sheet4!BH17,IF(Capex_Phasing_sensitivity=2,Sheet4!BH28,IF(Capex_Phasing_sensitivity=3,Sheet4!BH39,IF(Capex_Phasing_sensitivity=4,Sheet4!BH50,IF(Capex_Phasing_sensitivity=5,Sheet4!BH61,IF(Capex_Phasing_sensitivity=6,Sheet4!BH72,0))))))</f>
        <v>0</v>
      </c>
      <c r="BF67" s="106">
        <f>IF(Capex_Phasing_sensitivity=1,Sheet4!BI17,IF(Capex_Phasing_sensitivity=2,Sheet4!BI28,IF(Capex_Phasing_sensitivity=3,Sheet4!BI39,IF(Capex_Phasing_sensitivity=4,Sheet4!BI50,IF(Capex_Phasing_sensitivity=5,Sheet4!BI61,IF(Capex_Phasing_sensitivity=6,Sheet4!BI72,0))))))</f>
        <v>0</v>
      </c>
      <c r="BG67" s="106">
        <f>IF(Capex_Phasing_sensitivity=1,Sheet4!BJ17,IF(Capex_Phasing_sensitivity=2,Sheet4!BJ28,IF(Capex_Phasing_sensitivity=3,Sheet4!BJ39,IF(Capex_Phasing_sensitivity=4,Sheet4!BJ50,IF(Capex_Phasing_sensitivity=5,Sheet4!BJ61,IF(Capex_Phasing_sensitivity=6,Sheet4!BJ72,0))))))</f>
        <v>0</v>
      </c>
      <c r="BH67" s="106">
        <f>IF(Capex_Phasing_sensitivity=1,Sheet4!BK17,IF(Capex_Phasing_sensitivity=2,Sheet4!BK28,IF(Capex_Phasing_sensitivity=3,Sheet4!BK39,IF(Capex_Phasing_sensitivity=4,Sheet4!BK50,IF(Capex_Phasing_sensitivity=5,Sheet4!BK61,IF(Capex_Phasing_sensitivity=6,Sheet4!BK72,0))))))</f>
        <v>0</v>
      </c>
      <c r="BI67" s="2495">
        <f>IF(Capex_Phasing_sensitivity=1,Sheet4!BL17,IF(Capex_Phasing_sensitivity=2,Sheet4!BL28,IF(Capex_Phasing_sensitivity=3,Sheet4!BL39,IF(Capex_Phasing_sensitivity=4,Sheet4!BL50,IF(Capex_Phasing_sensitivity=5,Sheet4!BL61,IF(Capex_Phasing_sensitivity=6,Sheet4!BL72,0))))))</f>
        <v>0</v>
      </c>
      <c r="BJ67" s="2495">
        <f>IF(Capex_Phasing_sensitivity=1,Sheet4!BM17,IF(Capex_Phasing_sensitivity=2,Sheet4!BM28,IF(Capex_Phasing_sensitivity=3,Sheet4!BM39,IF(Capex_Phasing_sensitivity=4,Sheet4!BM50,IF(Capex_Phasing_sensitivity=5,Sheet4!BM61,IF(Capex_Phasing_sensitivity=6,Sheet4!BM72,0))))))</f>
        <v>0</v>
      </c>
      <c r="BK67" s="2495">
        <f>IF(Capex_Phasing_sensitivity=1,Sheet4!BN17,IF(Capex_Phasing_sensitivity=2,Sheet4!BN28,IF(Capex_Phasing_sensitivity=3,Sheet4!BN39,IF(Capex_Phasing_sensitivity=4,Sheet4!BN50,IF(Capex_Phasing_sensitivity=5,Sheet4!BN61,IF(Capex_Phasing_sensitivity=6,Sheet4!BN72,0))))))</f>
        <v>0</v>
      </c>
      <c r="BL67" s="2495">
        <f>IF(Capex_Phasing_sensitivity=1,Sheet4!BO17,IF(Capex_Phasing_sensitivity=2,Sheet4!BO28,IF(Capex_Phasing_sensitivity=3,Sheet4!BO39,IF(Capex_Phasing_sensitivity=4,Sheet4!BO50,IF(Capex_Phasing_sensitivity=5,Sheet4!BO61,IF(Capex_Phasing_sensitivity=6,Sheet4!BO72,0))))))</f>
        <v>0</v>
      </c>
      <c r="BM67" s="2495">
        <f>IF(Capex_Phasing_sensitivity=1,Sheet4!BP17,IF(Capex_Phasing_sensitivity=2,Sheet4!BP28,IF(Capex_Phasing_sensitivity=3,Sheet4!BP39,IF(Capex_Phasing_sensitivity=4,Sheet4!BP50,IF(Capex_Phasing_sensitivity=5,Sheet4!BP61,IF(Capex_Phasing_sensitivity=6,Sheet4!BP72,0))))))</f>
        <v>0</v>
      </c>
      <c r="BN67" s="2495">
        <f>IF(Capex_Phasing_sensitivity=1,Sheet4!BQ17,IF(Capex_Phasing_sensitivity=2,Sheet4!BQ28,IF(Capex_Phasing_sensitivity=3,Sheet4!BQ39,IF(Capex_Phasing_sensitivity=4,Sheet4!BQ50,IF(Capex_Phasing_sensitivity=5,Sheet4!BQ61,IF(Capex_Phasing_sensitivity=6,Sheet4!BQ72,0))))))</f>
        <v>0</v>
      </c>
      <c r="BO67" s="106">
        <f>IF(Capex_Phasing_sensitivity=1,Sheet4!BR17,IF(Capex_Phasing_sensitivity=2,Sheet4!BR28,IF(Capex_Phasing_sensitivity=3,Sheet4!BR39,IF(Capex_Phasing_sensitivity=4,Sheet4!BR50,IF(Capex_Phasing_sensitivity=5,Sheet4!BR61,IF(Capex_Phasing_sensitivity=6,Sheet4!BR72,0))))))</f>
        <v>0</v>
      </c>
      <c r="BP67" s="106">
        <f>IF(Capex_Phasing_sensitivity=1,Sheet4!BS17,IF(Capex_Phasing_sensitivity=2,Sheet4!BS28,IF(Capex_Phasing_sensitivity=3,Sheet4!BS39,IF(Capex_Phasing_sensitivity=4,Sheet4!BS50,IF(Capex_Phasing_sensitivity=5,Sheet4!BS61,IF(Capex_Phasing_sensitivity=6,Sheet4!BS72,0))))))</f>
        <v>0</v>
      </c>
      <c r="BQ67" s="106">
        <f>IF(Capex_Phasing_sensitivity=1,Sheet4!BT17,IF(Capex_Phasing_sensitivity=2,Sheet4!BT28,IF(Capex_Phasing_sensitivity=3,Sheet4!BT39,IF(Capex_Phasing_sensitivity=4,Sheet4!BT50,IF(Capex_Phasing_sensitivity=5,Sheet4!BT61,IF(Capex_Phasing_sensitivity=6,Sheet4!BT72,0))))))</f>
        <v>0</v>
      </c>
      <c r="BR67" s="106">
        <f>IF(Capex_Phasing_sensitivity=1,Sheet4!BU17,IF(Capex_Phasing_sensitivity=2,Sheet4!BU28,IF(Capex_Phasing_sensitivity=3,Sheet4!BU39,IF(Capex_Phasing_sensitivity=4,Sheet4!BU50,IF(Capex_Phasing_sensitivity=5,Sheet4!BU61,IF(Capex_Phasing_sensitivity=6,Sheet4!BU72,0))))))</f>
        <v>0</v>
      </c>
      <c r="BS67" s="106">
        <f>IF(Capex_Phasing_sensitivity=1,Sheet4!BV17,IF(Capex_Phasing_sensitivity=2,Sheet4!BV28,IF(Capex_Phasing_sensitivity=3,Sheet4!BV39,IF(Capex_Phasing_sensitivity=4,Sheet4!BV50,IF(Capex_Phasing_sensitivity=5,Sheet4!BV61,IF(Capex_Phasing_sensitivity=6,Sheet4!BV72,0))))))</f>
        <v>0</v>
      </c>
      <c r="BT67" s="106">
        <f>IF(Capex_Phasing_sensitivity=1,Sheet4!BW17,IF(Capex_Phasing_sensitivity=2,Sheet4!BW28,IF(Capex_Phasing_sensitivity=3,Sheet4!BW39,IF(Capex_Phasing_sensitivity=4,Sheet4!BW50,IF(Capex_Phasing_sensitivity=5,Sheet4!BW61,IF(Capex_Phasing_sensitivity=6,Sheet4!BW72,0))))))</f>
        <v>0</v>
      </c>
      <c r="BU67" s="106">
        <f>IF(Capex_Phasing_sensitivity=1,Sheet4!BX17,IF(Capex_Phasing_sensitivity=2,Sheet4!BX28,IF(Capex_Phasing_sensitivity=3,Sheet4!BX39,IF(Capex_Phasing_sensitivity=4,Sheet4!BX50,IF(Capex_Phasing_sensitivity=5,Sheet4!BX61,IF(Capex_Phasing_sensitivity=6,Sheet4!BX72,0))))))</f>
        <v>0</v>
      </c>
      <c r="BV67" s="106">
        <f>IF(Capex_Phasing_sensitivity=1,Sheet4!BY17,IF(Capex_Phasing_sensitivity=2,Sheet4!BY28,IF(Capex_Phasing_sensitivity=3,Sheet4!BY39,IF(Capex_Phasing_sensitivity=4,Sheet4!BY50,IF(Capex_Phasing_sensitivity=5,Sheet4!BY61,IF(Capex_Phasing_sensitivity=6,Sheet4!BY72,0))))))</f>
        <v>0</v>
      </c>
      <c r="BW67" s="106">
        <f>IF(Capex_Phasing_sensitivity=1,Sheet4!BZ17,IF(Capex_Phasing_sensitivity=2,Sheet4!BZ28,IF(Capex_Phasing_sensitivity=3,Sheet4!BZ39,IF(Capex_Phasing_sensitivity=4,Sheet4!BZ50,IF(Capex_Phasing_sensitivity=5,Sheet4!BZ61,IF(Capex_Phasing_sensitivity=6,Sheet4!BZ72,0))))))</f>
        <v>0</v>
      </c>
      <c r="BX67" s="106">
        <f>IF(Capex_Phasing_sensitivity=1,Sheet4!CA17,IF(Capex_Phasing_sensitivity=2,Sheet4!CA28,IF(Capex_Phasing_sensitivity=3,Sheet4!CA39,IF(Capex_Phasing_sensitivity=4,Sheet4!CA50,IF(Capex_Phasing_sensitivity=5,Sheet4!CA61,IF(Capex_Phasing_sensitivity=6,Sheet4!CA72,0))))))</f>
        <v>0</v>
      </c>
      <c r="BY67" s="106">
        <f>IF(Capex_Phasing_sensitivity=1,Sheet4!CB17,IF(Capex_Phasing_sensitivity=2,Sheet4!CB28,IF(Capex_Phasing_sensitivity=3,Sheet4!CB39,IF(Capex_Phasing_sensitivity=4,Sheet4!CB50,IF(Capex_Phasing_sensitivity=5,Sheet4!CB61,IF(Capex_Phasing_sensitivity=6,Sheet4!CB72,0))))))</f>
        <v>0</v>
      </c>
      <c r="BZ67" s="106">
        <f>IF(Capex_Phasing_sensitivity=1,Sheet4!CC17,IF(Capex_Phasing_sensitivity=2,Sheet4!CC28,IF(Capex_Phasing_sensitivity=3,Sheet4!CC39,IF(Capex_Phasing_sensitivity=4,Sheet4!CC50,IF(Capex_Phasing_sensitivity=5,Sheet4!CC61,IF(Capex_Phasing_sensitivity=6,Sheet4!CC72,0))))))</f>
        <v>0</v>
      </c>
      <c r="CA67" s="106">
        <f>IF(Capex_Phasing_sensitivity=1,Sheet4!CD17,IF(Capex_Phasing_sensitivity=2,Sheet4!CD28,IF(Capex_Phasing_sensitivity=3,Sheet4!CD39,IF(Capex_Phasing_sensitivity=4,Sheet4!CD50,IF(Capex_Phasing_sensitivity=5,Sheet4!CD61,IF(Capex_Phasing_sensitivity=6,Sheet4!CD72,0))))))</f>
        <v>0</v>
      </c>
      <c r="CB67" s="106">
        <f>IF(Capex_Phasing_sensitivity=1,Sheet4!CE17,IF(Capex_Phasing_sensitivity=2,Sheet4!CE28,IF(Capex_Phasing_sensitivity=3,Sheet4!CE39,IF(Capex_Phasing_sensitivity=4,Sheet4!CE50,IF(Capex_Phasing_sensitivity=5,Sheet4!CE61,IF(Capex_Phasing_sensitivity=6,Sheet4!CE72,0))))))</f>
        <v>0</v>
      </c>
      <c r="CD67" s="14">
        <f t="shared" si="33"/>
        <v>0.99999999999999989</v>
      </c>
    </row>
    <row r="68" spans="2:82">
      <c r="B68" s="180" t="s">
        <v>9</v>
      </c>
      <c r="C68" s="126">
        <f>IF('Input '!$F$9=1,'Input '!E96/Exchange_Rate,'Input '!E96)*Sens_projectcost</f>
        <v>62181848.418367341</v>
      </c>
      <c r="D68" s="178">
        <f t="shared" si="32"/>
        <v>0.99999999999999989</v>
      </c>
      <c r="I68" s="106">
        <f>IF(Capex_Phasing_sensitivity=1,Sheet4!L18,IF(Capex_Phasing_sensitivity=2,Sheet4!L29,IF(Capex_Phasing_sensitivity=3,Sheet4!L40,IF(Capex_Phasing_sensitivity=4,Sheet4!L51,IF(Capex_Phasing_sensitivity=5,Sheet4!L62,IF(Capex_Phasing_sensitivity=6,Sheet4!L73,0))))))</f>
        <v>0</v>
      </c>
      <c r="J68" s="106">
        <f>IF(Capex_Phasing_sensitivity=1,Sheet4!M18,IF(Capex_Phasing_sensitivity=2,Sheet4!M29,IF(Capex_Phasing_sensitivity=3,Sheet4!M40,IF(Capex_Phasing_sensitivity=4,Sheet4!M51,IF(Capex_Phasing_sensitivity=5,Sheet4!M62,IF(Capex_Phasing_sensitivity=6,Sheet4!M73,0))))))</f>
        <v>0</v>
      </c>
      <c r="K68" s="106">
        <f>IF(Capex_Phasing_sensitivity=1,Sheet4!N18,IF(Capex_Phasing_sensitivity=2,Sheet4!N29,IF(Capex_Phasing_sensitivity=3,Sheet4!N40,IF(Capex_Phasing_sensitivity=4,Sheet4!N51,IF(Capex_Phasing_sensitivity=5,Sheet4!N62,IF(Capex_Phasing_sensitivity=6,Sheet4!N73,0))))))</f>
        <v>0</v>
      </c>
      <c r="L68" s="106">
        <f>IF(Capex_Phasing_sensitivity=1,Sheet4!O18,IF(Capex_Phasing_sensitivity=2,Sheet4!O29,IF(Capex_Phasing_sensitivity=3,Sheet4!O40,IF(Capex_Phasing_sensitivity=4,Sheet4!O51,IF(Capex_Phasing_sensitivity=5,Sheet4!O62,IF(Capex_Phasing_sensitivity=6,Sheet4!O73,0))))))</f>
        <v>0</v>
      </c>
      <c r="M68" s="106">
        <f>IF(Capex_Phasing_sensitivity=1,Sheet4!P18,IF(Capex_Phasing_sensitivity=2,Sheet4!P29,IF(Capex_Phasing_sensitivity=3,Sheet4!P40,IF(Capex_Phasing_sensitivity=4,Sheet4!P51,IF(Capex_Phasing_sensitivity=5,Sheet4!P62,IF(Capex_Phasing_sensitivity=6,Sheet4!P73,0))))))</f>
        <v>0</v>
      </c>
      <c r="N68" s="106">
        <f>IF(Capex_Phasing_sensitivity=1,Sheet4!Q18,IF(Capex_Phasing_sensitivity=2,Sheet4!Q29,IF(Capex_Phasing_sensitivity=3,Sheet4!Q40,IF(Capex_Phasing_sensitivity=4,Sheet4!Q51,IF(Capex_Phasing_sensitivity=5,Sheet4!Q62,IF(Capex_Phasing_sensitivity=6,Sheet4!Q73,0))))))</f>
        <v>0</v>
      </c>
      <c r="O68" s="106">
        <f>IF(Capex_Phasing_sensitivity=1,Sheet4!R18,IF(Capex_Phasing_sensitivity=2,Sheet4!R29,IF(Capex_Phasing_sensitivity=3,Sheet4!R40,IF(Capex_Phasing_sensitivity=4,Sheet4!R51,IF(Capex_Phasing_sensitivity=5,Sheet4!R62,IF(Capex_Phasing_sensitivity=6,Sheet4!R73,0))))))</f>
        <v>0</v>
      </c>
      <c r="P68" s="106">
        <f>IF(Capex_Phasing_sensitivity=1,Sheet4!S18,IF(Capex_Phasing_sensitivity=2,Sheet4!S29,IF(Capex_Phasing_sensitivity=3,Sheet4!S40,IF(Capex_Phasing_sensitivity=4,Sheet4!S51,IF(Capex_Phasing_sensitivity=5,Sheet4!S62,IF(Capex_Phasing_sensitivity=6,Sheet4!S73,0))))))</f>
        <v>0</v>
      </c>
      <c r="Q68" s="106">
        <f>IF(Capex_Phasing_sensitivity=1,Sheet4!T18,IF(Capex_Phasing_sensitivity=2,Sheet4!T29,IF(Capex_Phasing_sensitivity=3,Sheet4!T40,IF(Capex_Phasing_sensitivity=4,Sheet4!T51,IF(Capex_Phasing_sensitivity=5,Sheet4!T62,IF(Capex_Phasing_sensitivity=6,Sheet4!T73,0))))))</f>
        <v>0</v>
      </c>
      <c r="R68" s="106">
        <f>IF(Capex_Phasing_sensitivity=1,Sheet4!U18,IF(Capex_Phasing_sensitivity=2,Sheet4!U29,IF(Capex_Phasing_sensitivity=3,Sheet4!U40,IF(Capex_Phasing_sensitivity=4,Sheet4!U51,IF(Capex_Phasing_sensitivity=5,Sheet4!U62,IF(Capex_Phasing_sensitivity=6,Sheet4!U73,0))))))</f>
        <v>0</v>
      </c>
      <c r="S68" s="106">
        <f>IF(Capex_Phasing_sensitivity=1,Sheet4!V18,IF(Capex_Phasing_sensitivity=2,Sheet4!V29,IF(Capex_Phasing_sensitivity=3,Sheet4!V40,IF(Capex_Phasing_sensitivity=4,Sheet4!V51,IF(Capex_Phasing_sensitivity=5,Sheet4!V62,IF(Capex_Phasing_sensitivity=6,Sheet4!V73,0))))))</f>
        <v>0</v>
      </c>
      <c r="T68" s="106">
        <f>IF(Capex_Phasing_sensitivity=1,Sheet4!W18,IF(Capex_Phasing_sensitivity=2,Sheet4!W29,IF(Capex_Phasing_sensitivity=3,Sheet4!W40,IF(Capex_Phasing_sensitivity=4,Sheet4!W51,IF(Capex_Phasing_sensitivity=5,Sheet4!W62,IF(Capex_Phasing_sensitivity=6,Sheet4!W73,0))))))</f>
        <v>0</v>
      </c>
      <c r="U68" s="106">
        <f>IF(Capex_Phasing_sensitivity=1,Sheet4!X18,IF(Capex_Phasing_sensitivity=2,Sheet4!X29,IF(Capex_Phasing_sensitivity=3,Sheet4!X40,IF(Capex_Phasing_sensitivity=4,Sheet4!X51,IF(Capex_Phasing_sensitivity=5,Sheet4!X62,IF(Capex_Phasing_sensitivity=6,Sheet4!X73,0))))))</f>
        <v>0</v>
      </c>
      <c r="V68" s="106">
        <f>IF(Capex_Phasing_sensitivity=1,Sheet4!Y18,IF(Capex_Phasing_sensitivity=2,Sheet4!Y29,IF(Capex_Phasing_sensitivity=3,Sheet4!Y40,IF(Capex_Phasing_sensitivity=4,Sheet4!Y51,IF(Capex_Phasing_sensitivity=5,Sheet4!Y62,IF(Capex_Phasing_sensitivity=6,Sheet4!Y73,0))))))</f>
        <v>0</v>
      </c>
      <c r="W68" s="106">
        <f>IF(Capex_Phasing_sensitivity=1,Sheet4!Z18,IF(Capex_Phasing_sensitivity=2,Sheet4!Z29,IF(Capex_Phasing_sensitivity=3,Sheet4!Z40,IF(Capex_Phasing_sensitivity=4,Sheet4!Z51,IF(Capex_Phasing_sensitivity=5,Sheet4!Z62,IF(Capex_Phasing_sensitivity=6,Sheet4!Z73,0))))))</f>
        <v>0</v>
      </c>
      <c r="X68" s="106">
        <f>IF(Capex_Phasing_sensitivity=1,Sheet4!AA18,IF(Capex_Phasing_sensitivity=2,Sheet4!AA29,IF(Capex_Phasing_sensitivity=3,Sheet4!AA40,IF(Capex_Phasing_sensitivity=4,Sheet4!AA51,IF(Capex_Phasing_sensitivity=5,Sheet4!AA62,IF(Capex_Phasing_sensitivity=6,Sheet4!AA73,0))))))</f>
        <v>0</v>
      </c>
      <c r="Y68" s="106">
        <f>IF(Capex_Phasing_sensitivity=1,Sheet4!AB18,IF(Capex_Phasing_sensitivity=2,Sheet4!AB29,IF(Capex_Phasing_sensitivity=3,Sheet4!AB40,IF(Capex_Phasing_sensitivity=4,Sheet4!AB51,IF(Capex_Phasing_sensitivity=5,Sheet4!AB62,IF(Capex_Phasing_sensitivity=6,Sheet4!AB73,0))))))</f>
        <v>0</v>
      </c>
      <c r="Z68" s="106">
        <f>IF(Capex_Phasing_sensitivity=1,Sheet4!AC18,IF(Capex_Phasing_sensitivity=2,Sheet4!AC29,IF(Capex_Phasing_sensitivity=3,Sheet4!AC40,IF(Capex_Phasing_sensitivity=4,Sheet4!AC51,IF(Capex_Phasing_sensitivity=5,Sheet4!AC62,IF(Capex_Phasing_sensitivity=6,Sheet4!AC73,0))))))</f>
        <v>0.02</v>
      </c>
      <c r="AA68" s="106">
        <f>IF(Capex_Phasing_sensitivity=1,Sheet4!AD18,IF(Capex_Phasing_sensitivity=2,Sheet4!AD29,IF(Capex_Phasing_sensitivity=3,Sheet4!AD40,IF(Capex_Phasing_sensitivity=4,Sheet4!AD51,IF(Capex_Phasing_sensitivity=5,Sheet4!AD62,IF(Capex_Phasing_sensitivity=6,Sheet4!AD73,0))))))</f>
        <v>0.02</v>
      </c>
      <c r="AB68" s="106">
        <f>IF(Capex_Phasing_sensitivity=1,Sheet4!AE18,IF(Capex_Phasing_sensitivity=2,Sheet4!AE29,IF(Capex_Phasing_sensitivity=3,Sheet4!AE40,IF(Capex_Phasing_sensitivity=4,Sheet4!AE51,IF(Capex_Phasing_sensitivity=5,Sheet4!AE62,IF(Capex_Phasing_sensitivity=6,Sheet4!AE73,0))))))</f>
        <v>0.02</v>
      </c>
      <c r="AC68" s="106">
        <f>IF(Capex_Phasing_sensitivity=1,Sheet4!AF18,IF(Capex_Phasing_sensitivity=2,Sheet4!AF29,IF(Capex_Phasing_sensitivity=3,Sheet4!AF40,IF(Capex_Phasing_sensitivity=4,Sheet4!AF51,IF(Capex_Phasing_sensitivity=5,Sheet4!AF62,IF(Capex_Phasing_sensitivity=6,Sheet4!AF73,0))))))</f>
        <v>0.02</v>
      </c>
      <c r="AD68" s="106">
        <f>IF(Capex_Phasing_sensitivity=1,Sheet4!AG18,IF(Capex_Phasing_sensitivity=2,Sheet4!AG29,IF(Capex_Phasing_sensitivity=3,Sheet4!AG40,IF(Capex_Phasing_sensitivity=4,Sheet4!AG51,IF(Capex_Phasing_sensitivity=5,Sheet4!AG62,IF(Capex_Phasing_sensitivity=6,Sheet4!AG73,0))))))</f>
        <v>0.02</v>
      </c>
      <c r="AE68" s="106">
        <f>IF(Capex_Phasing_sensitivity=1,Sheet4!AH18,IF(Capex_Phasing_sensitivity=2,Sheet4!AH29,IF(Capex_Phasing_sensitivity=3,Sheet4!AH40,IF(Capex_Phasing_sensitivity=4,Sheet4!AH51,IF(Capex_Phasing_sensitivity=5,Sheet4!AH62,IF(Capex_Phasing_sensitivity=6,Sheet4!AH73,0))))))</f>
        <v>0.02</v>
      </c>
      <c r="AF68" s="2502">
        <f>IF(Capex_Phasing_sensitivity=1,Sheet4!AI18,IF(Capex_Phasing_sensitivity=2,Sheet4!AI29,IF(Capex_Phasing_sensitivity=3,Sheet4!AI40,IF(Capex_Phasing_sensitivity=4,Sheet4!AI51,IF(Capex_Phasing_sensitivity=5,Sheet4!AI62,IF(Capex_Phasing_sensitivity=6,Sheet4!AI73,0))))))</f>
        <v>0.03</v>
      </c>
      <c r="AG68" s="2502">
        <f>IF(Capex_Phasing_sensitivity=1,Sheet4!AJ18,IF(Capex_Phasing_sensitivity=2,Sheet4!AJ29,IF(Capex_Phasing_sensitivity=3,Sheet4!AJ40,IF(Capex_Phasing_sensitivity=4,Sheet4!AJ51,IF(Capex_Phasing_sensitivity=5,Sheet4!AJ62,IF(Capex_Phasing_sensitivity=6,Sheet4!AJ73,0))))))</f>
        <v>0.05</v>
      </c>
      <c r="AH68" s="2502">
        <f>IF(Capex_Phasing_sensitivity=1,Sheet4!AK18,IF(Capex_Phasing_sensitivity=2,Sheet4!AK29,IF(Capex_Phasing_sensitivity=3,Sheet4!AK40,IF(Capex_Phasing_sensitivity=4,Sheet4!AK51,IF(Capex_Phasing_sensitivity=5,Sheet4!AK62,IF(Capex_Phasing_sensitivity=6,Sheet4!AK73,0))))))</f>
        <v>0.05</v>
      </c>
      <c r="AI68" s="2502">
        <f>IF(Capex_Phasing_sensitivity=1,Sheet4!AL18,IF(Capex_Phasing_sensitivity=2,Sheet4!AL29,IF(Capex_Phasing_sensitivity=3,Sheet4!AL40,IF(Capex_Phasing_sensitivity=4,Sheet4!AL51,IF(Capex_Phasing_sensitivity=5,Sheet4!AL62,IF(Capex_Phasing_sensitivity=6,Sheet4!AL73,0))))))</f>
        <v>0.05</v>
      </c>
      <c r="AJ68" s="2502">
        <f>IF(Capex_Phasing_sensitivity=1,Sheet4!AM18,IF(Capex_Phasing_sensitivity=2,Sheet4!AM29,IF(Capex_Phasing_sensitivity=3,Sheet4!AM40,IF(Capex_Phasing_sensitivity=4,Sheet4!AM51,IF(Capex_Phasing_sensitivity=5,Sheet4!AM62,IF(Capex_Phasing_sensitivity=6,Sheet4!AM73,0))))))</f>
        <v>0.05</v>
      </c>
      <c r="AK68" s="106">
        <f>IF(Capex_Phasing_sensitivity=1,Sheet4!AN18,IF(Capex_Phasing_sensitivity=2,Sheet4!AN29,IF(Capex_Phasing_sensitivity=3,Sheet4!AN40,IF(Capex_Phasing_sensitivity=4,Sheet4!AN51,IF(Capex_Phasing_sensitivity=5,Sheet4!AN62,IF(Capex_Phasing_sensitivity=6,Sheet4!AN73,0))))))</f>
        <v>0.05</v>
      </c>
      <c r="AL68" s="106">
        <f>IF(Capex_Phasing_sensitivity=1,Sheet4!AO18,IF(Capex_Phasing_sensitivity=2,Sheet4!AO29,IF(Capex_Phasing_sensitivity=3,Sheet4!AO40,IF(Capex_Phasing_sensitivity=4,Sheet4!AO51,IF(Capex_Phasing_sensitivity=5,Sheet4!AO62,IF(Capex_Phasing_sensitivity=6,Sheet4!AO73,0))))))</f>
        <v>0.05</v>
      </c>
      <c r="AM68" s="106">
        <f>IF(Capex_Phasing_sensitivity=1,Sheet4!AP18,IF(Capex_Phasing_sensitivity=2,Sheet4!AP29,IF(Capex_Phasing_sensitivity=3,Sheet4!AP40,IF(Capex_Phasing_sensitivity=4,Sheet4!AP51,IF(Capex_Phasing_sensitivity=5,Sheet4!AP62,IF(Capex_Phasing_sensitivity=6,Sheet4!AP73,0))))))</f>
        <v>0.05</v>
      </c>
      <c r="AN68" s="106">
        <f>IF(Capex_Phasing_sensitivity=1,Sheet4!AQ18,IF(Capex_Phasing_sensitivity=2,Sheet4!AQ29,IF(Capex_Phasing_sensitivity=3,Sheet4!AQ40,IF(Capex_Phasing_sensitivity=4,Sheet4!AQ51,IF(Capex_Phasing_sensitivity=5,Sheet4!AQ62,IF(Capex_Phasing_sensitivity=6,Sheet4!AQ73,0))))))</f>
        <v>0.1</v>
      </c>
      <c r="AO68" s="106">
        <f>IF(Capex_Phasing_sensitivity=1,Sheet4!AR18,IF(Capex_Phasing_sensitivity=2,Sheet4!AR29,IF(Capex_Phasing_sensitivity=3,Sheet4!AR40,IF(Capex_Phasing_sensitivity=4,Sheet4!AR51,IF(Capex_Phasing_sensitivity=5,Sheet4!AR62,IF(Capex_Phasing_sensitivity=6,Sheet4!AR73,0))))))</f>
        <v>0.1</v>
      </c>
      <c r="AP68" s="106">
        <f>IF(Capex_Phasing_sensitivity=1,Sheet4!AS18,IF(Capex_Phasing_sensitivity=2,Sheet4!AS29,IF(Capex_Phasing_sensitivity=3,Sheet4!AS40,IF(Capex_Phasing_sensitivity=4,Sheet4!AS51,IF(Capex_Phasing_sensitivity=5,Sheet4!AS62,IF(Capex_Phasing_sensitivity=6,Sheet4!AS73,0))))))</f>
        <v>0.1</v>
      </c>
      <c r="AQ68" s="106">
        <f>IF(Capex_Phasing_sensitivity=1,Sheet4!AT18,IF(Capex_Phasing_sensitivity=2,Sheet4!AT29,IF(Capex_Phasing_sensitivity=3,Sheet4!AT40,IF(Capex_Phasing_sensitivity=4,Sheet4!AT51,IF(Capex_Phasing_sensitivity=5,Sheet4!AT62,IF(Capex_Phasing_sensitivity=6,Sheet4!AT73,0))))))</f>
        <v>0.1</v>
      </c>
      <c r="AR68" s="106">
        <f>IF(Capex_Phasing_sensitivity=1,Sheet4!AU18,IF(Capex_Phasing_sensitivity=2,Sheet4!AU29,IF(Capex_Phasing_sensitivity=3,Sheet4!AU40,IF(Capex_Phasing_sensitivity=4,Sheet4!AU51,IF(Capex_Phasing_sensitivity=5,Sheet4!AU62,IF(Capex_Phasing_sensitivity=6,Sheet4!AU73,0))))))</f>
        <v>0.1</v>
      </c>
      <c r="AS68" s="106">
        <f>IF(Capex_Phasing_sensitivity=1,Sheet4!AV18,IF(Capex_Phasing_sensitivity=2,Sheet4!AV29,IF(Capex_Phasing_sensitivity=3,Sheet4!AV40,IF(Capex_Phasing_sensitivity=4,Sheet4!AV51,IF(Capex_Phasing_sensitivity=5,Sheet4!AV62,IF(Capex_Phasing_sensitivity=6,Sheet4!AV73,0))))))</f>
        <v>0</v>
      </c>
      <c r="AT68" s="106">
        <f>IF(Capex_Phasing_sensitivity=1,Sheet4!AW18,IF(Capex_Phasing_sensitivity=2,Sheet4!AW29,IF(Capex_Phasing_sensitivity=3,Sheet4!AW40,IF(Capex_Phasing_sensitivity=4,Sheet4!AW51,IF(Capex_Phasing_sensitivity=5,Sheet4!AW62,IF(Capex_Phasing_sensitivity=6,Sheet4!AW73,0))))))</f>
        <v>0</v>
      </c>
      <c r="AU68" s="106">
        <f>IF(Capex_Phasing_sensitivity=1,Sheet4!AX18,IF(Capex_Phasing_sensitivity=2,Sheet4!AX29,IF(Capex_Phasing_sensitivity=3,Sheet4!AX40,IF(Capex_Phasing_sensitivity=4,Sheet4!AX51,IF(Capex_Phasing_sensitivity=5,Sheet4!AX62,IF(Capex_Phasing_sensitivity=6,Sheet4!AX73,0))))))</f>
        <v>0</v>
      </c>
      <c r="AV68" s="106">
        <f>IF(Capex_Phasing_sensitivity=1,Sheet4!AY18,IF(Capex_Phasing_sensitivity=2,Sheet4!AY29,IF(Capex_Phasing_sensitivity=3,Sheet4!AY40,IF(Capex_Phasing_sensitivity=4,Sheet4!AY51,IF(Capex_Phasing_sensitivity=5,Sheet4!AY62,IF(Capex_Phasing_sensitivity=6,Sheet4!AY73,0))))))</f>
        <v>0</v>
      </c>
      <c r="AW68" s="106">
        <f>IF(Capex_Phasing_sensitivity=1,Sheet4!AZ18,IF(Capex_Phasing_sensitivity=2,Sheet4!AZ29,IF(Capex_Phasing_sensitivity=3,Sheet4!AZ40,IF(Capex_Phasing_sensitivity=4,Sheet4!AZ51,IF(Capex_Phasing_sensitivity=5,Sheet4!AZ62,IF(Capex_Phasing_sensitivity=6,Sheet4!AZ73,0))))))</f>
        <v>0</v>
      </c>
      <c r="AX68" s="106">
        <f>IF(Capex_Phasing_sensitivity=1,Sheet4!BA18,IF(Capex_Phasing_sensitivity=2,Sheet4!BA29,IF(Capex_Phasing_sensitivity=3,Sheet4!BA40,IF(Capex_Phasing_sensitivity=4,Sheet4!BA51,IF(Capex_Phasing_sensitivity=5,Sheet4!BA62,IF(Capex_Phasing_sensitivity=6,Sheet4!BA73,0))))))</f>
        <v>0</v>
      </c>
      <c r="AY68" s="106">
        <f>IF(Capex_Phasing_sensitivity=1,Sheet4!BB18,IF(Capex_Phasing_sensitivity=2,Sheet4!BB29,IF(Capex_Phasing_sensitivity=3,Sheet4!BB40,IF(Capex_Phasing_sensitivity=4,Sheet4!BB51,IF(Capex_Phasing_sensitivity=5,Sheet4!BB62,IF(Capex_Phasing_sensitivity=6,Sheet4!BB73,0))))))</f>
        <v>0</v>
      </c>
      <c r="AZ68" s="106">
        <f>IF(Capex_Phasing_sensitivity=1,Sheet4!BC18,IF(Capex_Phasing_sensitivity=2,Sheet4!BC29,IF(Capex_Phasing_sensitivity=3,Sheet4!BC40,IF(Capex_Phasing_sensitivity=4,Sheet4!BC51,IF(Capex_Phasing_sensitivity=5,Sheet4!BC62,IF(Capex_Phasing_sensitivity=6,Sheet4!BC73,0))))))</f>
        <v>0</v>
      </c>
      <c r="BA68" s="106">
        <f>IF(Capex_Phasing_sensitivity=1,Sheet4!BD18,IF(Capex_Phasing_sensitivity=2,Sheet4!BD29,IF(Capex_Phasing_sensitivity=3,Sheet4!BD40,IF(Capex_Phasing_sensitivity=4,Sheet4!BD51,IF(Capex_Phasing_sensitivity=5,Sheet4!BD62,IF(Capex_Phasing_sensitivity=6,Sheet4!BD73,0))))))</f>
        <v>0</v>
      </c>
      <c r="BB68" s="106">
        <f>IF(Capex_Phasing_sensitivity=1,Sheet4!BE18,IF(Capex_Phasing_sensitivity=2,Sheet4!BE29,IF(Capex_Phasing_sensitivity=3,Sheet4!BE40,IF(Capex_Phasing_sensitivity=4,Sheet4!BE51,IF(Capex_Phasing_sensitivity=5,Sheet4!BE62,IF(Capex_Phasing_sensitivity=6,Sheet4!BE73,0))))))</f>
        <v>0</v>
      </c>
      <c r="BC68" s="106">
        <f>IF(Capex_Phasing_sensitivity=1,Sheet4!BF18,IF(Capex_Phasing_sensitivity=2,Sheet4!BF29,IF(Capex_Phasing_sensitivity=3,Sheet4!BF40,IF(Capex_Phasing_sensitivity=4,Sheet4!BF51,IF(Capex_Phasing_sensitivity=5,Sheet4!BF62,IF(Capex_Phasing_sensitivity=6,Sheet4!BF73,0))))))</f>
        <v>0</v>
      </c>
      <c r="BD68" s="106">
        <f>IF(Capex_Phasing_sensitivity=1,Sheet4!BG18,IF(Capex_Phasing_sensitivity=2,Sheet4!BG29,IF(Capex_Phasing_sensitivity=3,Sheet4!BG40,IF(Capex_Phasing_sensitivity=4,Sheet4!BG51,IF(Capex_Phasing_sensitivity=5,Sheet4!BG62,IF(Capex_Phasing_sensitivity=6,Sheet4!BG73,0))))))</f>
        <v>0</v>
      </c>
      <c r="BE68" s="106">
        <f>IF(Capex_Phasing_sensitivity=1,Sheet4!BH18,IF(Capex_Phasing_sensitivity=2,Sheet4!BH29,IF(Capex_Phasing_sensitivity=3,Sheet4!BH40,IF(Capex_Phasing_sensitivity=4,Sheet4!BH51,IF(Capex_Phasing_sensitivity=5,Sheet4!BH62,IF(Capex_Phasing_sensitivity=6,Sheet4!BH73,0))))))</f>
        <v>0</v>
      </c>
      <c r="BF68" s="106">
        <f>IF(Capex_Phasing_sensitivity=1,Sheet4!BI18,IF(Capex_Phasing_sensitivity=2,Sheet4!BI29,IF(Capex_Phasing_sensitivity=3,Sheet4!BI40,IF(Capex_Phasing_sensitivity=4,Sheet4!BI51,IF(Capex_Phasing_sensitivity=5,Sheet4!BI62,IF(Capex_Phasing_sensitivity=6,Sheet4!BI73,0))))))</f>
        <v>0</v>
      </c>
      <c r="BG68" s="106">
        <f>IF(Capex_Phasing_sensitivity=1,Sheet4!BJ18,IF(Capex_Phasing_sensitivity=2,Sheet4!BJ29,IF(Capex_Phasing_sensitivity=3,Sheet4!BJ40,IF(Capex_Phasing_sensitivity=4,Sheet4!BJ51,IF(Capex_Phasing_sensitivity=5,Sheet4!BJ62,IF(Capex_Phasing_sensitivity=6,Sheet4!BJ73,0))))))</f>
        <v>0</v>
      </c>
      <c r="BH68" s="106">
        <f>IF(Capex_Phasing_sensitivity=1,Sheet4!BK18,IF(Capex_Phasing_sensitivity=2,Sheet4!BK29,IF(Capex_Phasing_sensitivity=3,Sheet4!BK40,IF(Capex_Phasing_sensitivity=4,Sheet4!BK51,IF(Capex_Phasing_sensitivity=5,Sheet4!BK62,IF(Capex_Phasing_sensitivity=6,Sheet4!BK73,0))))))</f>
        <v>0</v>
      </c>
      <c r="BI68" s="2495">
        <f>IF(Capex_Phasing_sensitivity=1,Sheet4!BL18,IF(Capex_Phasing_sensitivity=2,Sheet4!BL29,IF(Capex_Phasing_sensitivity=3,Sheet4!BL40,IF(Capex_Phasing_sensitivity=4,Sheet4!BL51,IF(Capex_Phasing_sensitivity=5,Sheet4!BL62,IF(Capex_Phasing_sensitivity=6,Sheet4!BL73,0))))))</f>
        <v>0</v>
      </c>
      <c r="BJ68" s="2495">
        <f>IF(Capex_Phasing_sensitivity=1,Sheet4!BM18,IF(Capex_Phasing_sensitivity=2,Sheet4!BM29,IF(Capex_Phasing_sensitivity=3,Sheet4!BM40,IF(Capex_Phasing_sensitivity=4,Sheet4!BM51,IF(Capex_Phasing_sensitivity=5,Sheet4!BM62,IF(Capex_Phasing_sensitivity=6,Sheet4!BM73,0))))))</f>
        <v>0</v>
      </c>
      <c r="BK68" s="2495">
        <f>IF(Capex_Phasing_sensitivity=1,Sheet4!BN18,IF(Capex_Phasing_sensitivity=2,Sheet4!BN29,IF(Capex_Phasing_sensitivity=3,Sheet4!BN40,IF(Capex_Phasing_sensitivity=4,Sheet4!BN51,IF(Capex_Phasing_sensitivity=5,Sheet4!BN62,IF(Capex_Phasing_sensitivity=6,Sheet4!BN73,0))))))</f>
        <v>0</v>
      </c>
      <c r="BL68" s="2495">
        <f>IF(Capex_Phasing_sensitivity=1,Sheet4!BO18,IF(Capex_Phasing_sensitivity=2,Sheet4!BO29,IF(Capex_Phasing_sensitivity=3,Sheet4!BO40,IF(Capex_Phasing_sensitivity=4,Sheet4!BO51,IF(Capex_Phasing_sensitivity=5,Sheet4!BO62,IF(Capex_Phasing_sensitivity=6,Sheet4!BO73,0))))))</f>
        <v>0</v>
      </c>
      <c r="BM68" s="2495">
        <f>IF(Capex_Phasing_sensitivity=1,Sheet4!BP18,IF(Capex_Phasing_sensitivity=2,Sheet4!BP29,IF(Capex_Phasing_sensitivity=3,Sheet4!BP40,IF(Capex_Phasing_sensitivity=4,Sheet4!BP51,IF(Capex_Phasing_sensitivity=5,Sheet4!BP62,IF(Capex_Phasing_sensitivity=6,Sheet4!BP73,0))))))</f>
        <v>0</v>
      </c>
      <c r="BN68" s="2495">
        <f>IF(Capex_Phasing_sensitivity=1,Sheet4!BQ18,IF(Capex_Phasing_sensitivity=2,Sheet4!BQ29,IF(Capex_Phasing_sensitivity=3,Sheet4!BQ40,IF(Capex_Phasing_sensitivity=4,Sheet4!BQ51,IF(Capex_Phasing_sensitivity=5,Sheet4!BQ62,IF(Capex_Phasing_sensitivity=6,Sheet4!BQ73,0))))))</f>
        <v>0</v>
      </c>
      <c r="BO68" s="106">
        <f>IF(Capex_Phasing_sensitivity=1,Sheet4!BR18,IF(Capex_Phasing_sensitivity=2,Sheet4!BR29,IF(Capex_Phasing_sensitivity=3,Sheet4!BR40,IF(Capex_Phasing_sensitivity=4,Sheet4!BR51,IF(Capex_Phasing_sensitivity=5,Sheet4!BR62,IF(Capex_Phasing_sensitivity=6,Sheet4!BR73,0))))))</f>
        <v>0</v>
      </c>
      <c r="BP68" s="106">
        <f>IF(Capex_Phasing_sensitivity=1,Sheet4!BS18,IF(Capex_Phasing_sensitivity=2,Sheet4!BS29,IF(Capex_Phasing_sensitivity=3,Sheet4!BS40,IF(Capex_Phasing_sensitivity=4,Sheet4!BS51,IF(Capex_Phasing_sensitivity=5,Sheet4!BS62,IF(Capex_Phasing_sensitivity=6,Sheet4!BS73,0))))))</f>
        <v>0</v>
      </c>
      <c r="BQ68" s="106">
        <f>IF(Capex_Phasing_sensitivity=1,Sheet4!BT18,IF(Capex_Phasing_sensitivity=2,Sheet4!BT29,IF(Capex_Phasing_sensitivity=3,Sheet4!BT40,IF(Capex_Phasing_sensitivity=4,Sheet4!BT51,IF(Capex_Phasing_sensitivity=5,Sheet4!BT62,IF(Capex_Phasing_sensitivity=6,Sheet4!BT73,0))))))</f>
        <v>0</v>
      </c>
      <c r="BR68" s="106">
        <f>IF(Capex_Phasing_sensitivity=1,Sheet4!BU18,IF(Capex_Phasing_sensitivity=2,Sheet4!BU29,IF(Capex_Phasing_sensitivity=3,Sheet4!BU40,IF(Capex_Phasing_sensitivity=4,Sheet4!BU51,IF(Capex_Phasing_sensitivity=5,Sheet4!BU62,IF(Capex_Phasing_sensitivity=6,Sheet4!BU73,0))))))</f>
        <v>0</v>
      </c>
      <c r="BS68" s="106">
        <f>IF(Capex_Phasing_sensitivity=1,Sheet4!BV18,IF(Capex_Phasing_sensitivity=2,Sheet4!BV29,IF(Capex_Phasing_sensitivity=3,Sheet4!BV40,IF(Capex_Phasing_sensitivity=4,Sheet4!BV51,IF(Capex_Phasing_sensitivity=5,Sheet4!BV62,IF(Capex_Phasing_sensitivity=6,Sheet4!BV73,0))))))</f>
        <v>0</v>
      </c>
      <c r="BT68" s="106">
        <f>IF(Capex_Phasing_sensitivity=1,Sheet4!BW18,IF(Capex_Phasing_sensitivity=2,Sheet4!BW29,IF(Capex_Phasing_sensitivity=3,Sheet4!BW40,IF(Capex_Phasing_sensitivity=4,Sheet4!BW51,IF(Capex_Phasing_sensitivity=5,Sheet4!BW62,IF(Capex_Phasing_sensitivity=6,Sheet4!BW73,0))))))</f>
        <v>0</v>
      </c>
      <c r="BU68" s="106">
        <f>IF(Capex_Phasing_sensitivity=1,Sheet4!BX18,IF(Capex_Phasing_sensitivity=2,Sheet4!BX29,IF(Capex_Phasing_sensitivity=3,Sheet4!BX40,IF(Capex_Phasing_sensitivity=4,Sheet4!BX51,IF(Capex_Phasing_sensitivity=5,Sheet4!BX62,IF(Capex_Phasing_sensitivity=6,Sheet4!BX73,0))))))</f>
        <v>0</v>
      </c>
      <c r="BV68" s="106">
        <f>IF(Capex_Phasing_sensitivity=1,Sheet4!BY18,IF(Capex_Phasing_sensitivity=2,Sheet4!BY29,IF(Capex_Phasing_sensitivity=3,Sheet4!BY40,IF(Capex_Phasing_sensitivity=4,Sheet4!BY51,IF(Capex_Phasing_sensitivity=5,Sheet4!BY62,IF(Capex_Phasing_sensitivity=6,Sheet4!BY73,0))))))</f>
        <v>0</v>
      </c>
      <c r="BW68" s="106">
        <f>IF(Capex_Phasing_sensitivity=1,Sheet4!BZ18,IF(Capex_Phasing_sensitivity=2,Sheet4!BZ29,IF(Capex_Phasing_sensitivity=3,Sheet4!BZ40,IF(Capex_Phasing_sensitivity=4,Sheet4!BZ51,IF(Capex_Phasing_sensitivity=5,Sheet4!BZ62,IF(Capex_Phasing_sensitivity=6,Sheet4!BZ73,0))))))</f>
        <v>0</v>
      </c>
      <c r="BX68" s="106">
        <f>IF(Capex_Phasing_sensitivity=1,Sheet4!CA18,IF(Capex_Phasing_sensitivity=2,Sheet4!CA29,IF(Capex_Phasing_sensitivity=3,Sheet4!CA40,IF(Capex_Phasing_sensitivity=4,Sheet4!CA51,IF(Capex_Phasing_sensitivity=5,Sheet4!CA62,IF(Capex_Phasing_sensitivity=6,Sheet4!CA73,0))))))</f>
        <v>0</v>
      </c>
      <c r="BY68" s="106">
        <f>IF(Capex_Phasing_sensitivity=1,Sheet4!CB18,IF(Capex_Phasing_sensitivity=2,Sheet4!CB29,IF(Capex_Phasing_sensitivity=3,Sheet4!CB40,IF(Capex_Phasing_sensitivity=4,Sheet4!CB51,IF(Capex_Phasing_sensitivity=5,Sheet4!CB62,IF(Capex_Phasing_sensitivity=6,Sheet4!CB73,0))))))</f>
        <v>0</v>
      </c>
      <c r="BZ68" s="106">
        <f>IF(Capex_Phasing_sensitivity=1,Sheet4!CC18,IF(Capex_Phasing_sensitivity=2,Sheet4!CC29,IF(Capex_Phasing_sensitivity=3,Sheet4!CC40,IF(Capex_Phasing_sensitivity=4,Sheet4!CC51,IF(Capex_Phasing_sensitivity=5,Sheet4!CC62,IF(Capex_Phasing_sensitivity=6,Sheet4!CC73,0))))))</f>
        <v>0</v>
      </c>
      <c r="CA68" s="106">
        <f>IF(Capex_Phasing_sensitivity=1,Sheet4!CD18,IF(Capex_Phasing_sensitivity=2,Sheet4!CD29,IF(Capex_Phasing_sensitivity=3,Sheet4!CD40,IF(Capex_Phasing_sensitivity=4,Sheet4!CD51,IF(Capex_Phasing_sensitivity=5,Sheet4!CD62,IF(Capex_Phasing_sensitivity=6,Sheet4!CD73,0))))))</f>
        <v>0</v>
      </c>
      <c r="CB68" s="106">
        <f>IF(Capex_Phasing_sensitivity=1,Sheet4!CE18,IF(Capex_Phasing_sensitivity=2,Sheet4!CE29,IF(Capex_Phasing_sensitivity=3,Sheet4!CE40,IF(Capex_Phasing_sensitivity=4,Sheet4!CE51,IF(Capex_Phasing_sensitivity=5,Sheet4!CE62,IF(Capex_Phasing_sensitivity=6,Sheet4!CE73,0))))))</f>
        <v>0</v>
      </c>
      <c r="CD68" s="14">
        <f t="shared" si="33"/>
        <v>0.99999999999999989</v>
      </c>
    </row>
    <row r="69" spans="2:82">
      <c r="B69" s="489" t="s">
        <v>71</v>
      </c>
      <c r="C69" s="45">
        <f>SUM(C66:C68)</f>
        <v>891273160.66326535</v>
      </c>
      <c r="D69" s="592"/>
      <c r="I69" s="922"/>
      <c r="J69" s="922"/>
      <c r="K69" s="922"/>
      <c r="L69" s="922"/>
      <c r="M69" s="922"/>
      <c r="N69" s="922"/>
      <c r="O69" s="922"/>
      <c r="P69" s="922"/>
      <c r="Q69" s="922"/>
      <c r="R69" s="922"/>
      <c r="S69" s="922"/>
      <c r="T69" s="922"/>
      <c r="U69" s="922"/>
      <c r="V69" s="922"/>
      <c r="W69" s="922"/>
      <c r="X69" s="922"/>
      <c r="Y69" s="922"/>
      <c r="Z69" s="922"/>
      <c r="AA69" s="922"/>
      <c r="AB69" s="922"/>
      <c r="AC69" s="922"/>
      <c r="AD69" s="922"/>
      <c r="AE69" s="922"/>
      <c r="AF69" s="922"/>
      <c r="AG69" s="922"/>
      <c r="AH69" s="42"/>
      <c r="AI69" s="42"/>
      <c r="AJ69" s="42"/>
      <c r="AK69" s="42"/>
      <c r="AL69" s="42"/>
      <c r="AM69" s="42"/>
      <c r="AN69" s="42"/>
      <c r="AO69" s="42"/>
      <c r="AP69" s="42"/>
      <c r="AQ69" s="42"/>
      <c r="AR69" s="42"/>
      <c r="AS69" s="42"/>
      <c r="AT69" s="42"/>
      <c r="AU69" s="42"/>
      <c r="AV69" s="42"/>
      <c r="AW69" s="42"/>
      <c r="AX69" s="42"/>
      <c r="AY69" s="42"/>
      <c r="AZ69" s="42"/>
      <c r="BA69" s="42"/>
    </row>
    <row r="70" spans="2:82">
      <c r="AH70" s="42"/>
      <c r="AI70" s="42"/>
      <c r="AJ70" s="42"/>
      <c r="AK70" s="42"/>
      <c r="AL70" s="42"/>
      <c r="AM70" s="42"/>
      <c r="AN70" s="42"/>
      <c r="AO70" s="42"/>
      <c r="AP70" s="42"/>
      <c r="AQ70" s="42"/>
      <c r="AR70" s="42"/>
      <c r="AS70" s="42"/>
      <c r="AT70" s="42"/>
      <c r="AU70" s="42"/>
      <c r="AV70" s="42"/>
      <c r="AW70" s="42"/>
      <c r="AX70" s="42"/>
      <c r="AY70" s="42"/>
      <c r="AZ70" s="42"/>
      <c r="BA70" s="42"/>
    </row>
    <row r="71" spans="2:82">
      <c r="C71" s="15"/>
      <c r="D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Z71" s="42"/>
      <c r="BA71" s="42"/>
    </row>
    <row r="72" spans="2:82">
      <c r="C72" s="15"/>
      <c r="D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Z72" s="42"/>
      <c r="BA72" s="42"/>
    </row>
    <row r="73" spans="2:82">
      <c r="B73" s="2" t="s">
        <v>218</v>
      </c>
      <c r="C73" s="15"/>
      <c r="AJ73" s="42"/>
      <c r="AZ73" s="42"/>
      <c r="BA73" s="42"/>
    </row>
    <row r="74" spans="2:82" ht="12" customHeight="1">
      <c r="B74" s="2" t="s">
        <v>118</v>
      </c>
      <c r="C74" s="15" t="str">
        <f>$C$20</f>
        <v>US$</v>
      </c>
      <c r="D74" s="42">
        <f t="shared" ref="D74:D83" si="34">SUM(I74:CB74)</f>
        <v>3209000</v>
      </c>
      <c r="E74" s="2" t="s">
        <v>1073</v>
      </c>
      <c r="I74" s="42">
        <f>I60*$C$60</f>
        <v>0</v>
      </c>
      <c r="J74" s="42">
        <f t="shared" ref="J74:AW74" si="35">J60*$C$60</f>
        <v>0</v>
      </c>
      <c r="K74" s="42">
        <f t="shared" si="35"/>
        <v>0</v>
      </c>
      <c r="L74" s="42">
        <f t="shared" si="35"/>
        <v>0</v>
      </c>
      <c r="M74" s="42">
        <f t="shared" si="35"/>
        <v>0</v>
      </c>
      <c r="N74" s="42">
        <f t="shared" si="35"/>
        <v>0</v>
      </c>
      <c r="O74" s="42">
        <f t="shared" si="35"/>
        <v>0</v>
      </c>
      <c r="P74" s="42">
        <f t="shared" si="35"/>
        <v>0</v>
      </c>
      <c r="Q74" s="42">
        <f t="shared" si="35"/>
        <v>0</v>
      </c>
      <c r="R74" s="42">
        <f t="shared" si="35"/>
        <v>0</v>
      </c>
      <c r="S74" s="42">
        <f t="shared" si="35"/>
        <v>0</v>
      </c>
      <c r="T74" s="42">
        <f t="shared" si="35"/>
        <v>0</v>
      </c>
      <c r="U74" s="42">
        <f t="shared" si="35"/>
        <v>0</v>
      </c>
      <c r="V74" s="42">
        <f t="shared" si="35"/>
        <v>0</v>
      </c>
      <c r="W74" s="42">
        <f t="shared" si="35"/>
        <v>0</v>
      </c>
      <c r="X74" s="42">
        <f t="shared" si="35"/>
        <v>0</v>
      </c>
      <c r="Y74" s="42">
        <f t="shared" si="35"/>
        <v>0</v>
      </c>
      <c r="Z74" s="42">
        <f t="shared" si="35"/>
        <v>64180</v>
      </c>
      <c r="AA74" s="42">
        <f t="shared" si="35"/>
        <v>64180</v>
      </c>
      <c r="AB74" s="42">
        <f t="shared" si="35"/>
        <v>64180</v>
      </c>
      <c r="AC74" s="42">
        <f t="shared" si="35"/>
        <v>64180</v>
      </c>
      <c r="AD74" s="42">
        <f t="shared" si="35"/>
        <v>64180</v>
      </c>
      <c r="AE74" s="42">
        <f t="shared" si="35"/>
        <v>64180</v>
      </c>
      <c r="AF74" s="42">
        <f t="shared" si="35"/>
        <v>96270</v>
      </c>
      <c r="AG74" s="42">
        <f t="shared" si="35"/>
        <v>160450</v>
      </c>
      <c r="AH74" s="42">
        <f t="shared" si="35"/>
        <v>160450</v>
      </c>
      <c r="AI74" s="42">
        <f t="shared" si="35"/>
        <v>160450</v>
      </c>
      <c r="AJ74" s="42">
        <f t="shared" si="35"/>
        <v>160450</v>
      </c>
      <c r="AK74" s="42">
        <f t="shared" si="35"/>
        <v>160450</v>
      </c>
      <c r="AL74" s="42">
        <f t="shared" si="35"/>
        <v>160450</v>
      </c>
      <c r="AM74" s="42">
        <f t="shared" si="35"/>
        <v>160450</v>
      </c>
      <c r="AN74" s="42">
        <f t="shared" si="35"/>
        <v>320900</v>
      </c>
      <c r="AO74" s="42">
        <f t="shared" si="35"/>
        <v>320900</v>
      </c>
      <c r="AP74" s="42">
        <f t="shared" si="35"/>
        <v>320900</v>
      </c>
      <c r="AQ74" s="42">
        <f t="shared" si="35"/>
        <v>320900</v>
      </c>
      <c r="AR74" s="42">
        <f t="shared" si="35"/>
        <v>320900</v>
      </c>
      <c r="AS74" s="42">
        <f t="shared" si="35"/>
        <v>0</v>
      </c>
      <c r="AT74" s="42">
        <f t="shared" si="35"/>
        <v>0</v>
      </c>
      <c r="AU74" s="42">
        <f t="shared" si="35"/>
        <v>0</v>
      </c>
      <c r="AV74" s="42">
        <f t="shared" si="35"/>
        <v>0</v>
      </c>
      <c r="AW74" s="42">
        <f t="shared" si="35"/>
        <v>0</v>
      </c>
      <c r="AX74" s="42">
        <f t="shared" ref="AX74:CB74" si="36">AX60*$C$60</f>
        <v>0</v>
      </c>
      <c r="AY74" s="42">
        <f t="shared" si="36"/>
        <v>0</v>
      </c>
      <c r="AZ74" s="42">
        <f t="shared" si="36"/>
        <v>0</v>
      </c>
      <c r="BA74" s="42">
        <f t="shared" si="36"/>
        <v>0</v>
      </c>
      <c r="BB74" s="42">
        <f t="shared" si="36"/>
        <v>0</v>
      </c>
      <c r="BC74" s="42">
        <f t="shared" si="36"/>
        <v>0</v>
      </c>
      <c r="BD74" s="42">
        <f t="shared" si="36"/>
        <v>0</v>
      </c>
      <c r="BE74" s="42">
        <f t="shared" si="36"/>
        <v>0</v>
      </c>
      <c r="BF74" s="42">
        <f t="shared" si="36"/>
        <v>0</v>
      </c>
      <c r="BG74" s="42">
        <f t="shared" si="36"/>
        <v>0</v>
      </c>
      <c r="BH74" s="42">
        <f t="shared" si="36"/>
        <v>0</v>
      </c>
      <c r="BI74" s="42">
        <f t="shared" si="36"/>
        <v>0</v>
      </c>
      <c r="BJ74" s="42">
        <f t="shared" si="36"/>
        <v>0</v>
      </c>
      <c r="BK74" s="42">
        <f t="shared" si="36"/>
        <v>0</v>
      </c>
      <c r="BL74" s="42">
        <f t="shared" si="36"/>
        <v>0</v>
      </c>
      <c r="BM74" s="42">
        <f t="shared" si="36"/>
        <v>0</v>
      </c>
      <c r="BN74" s="42">
        <f t="shared" si="36"/>
        <v>0</v>
      </c>
      <c r="BO74" s="42">
        <f t="shared" si="36"/>
        <v>0</v>
      </c>
      <c r="BP74" s="42">
        <f t="shared" si="36"/>
        <v>0</v>
      </c>
      <c r="BQ74" s="42">
        <f t="shared" si="36"/>
        <v>0</v>
      </c>
      <c r="BR74" s="42">
        <f t="shared" si="36"/>
        <v>0</v>
      </c>
      <c r="BS74" s="42">
        <f t="shared" si="36"/>
        <v>0</v>
      </c>
      <c r="BT74" s="42">
        <f t="shared" si="36"/>
        <v>0</v>
      </c>
      <c r="BU74" s="42">
        <f t="shared" si="36"/>
        <v>0</v>
      </c>
      <c r="BV74" s="42">
        <f t="shared" si="36"/>
        <v>0</v>
      </c>
      <c r="BW74" s="42">
        <f t="shared" si="36"/>
        <v>0</v>
      </c>
      <c r="BX74" s="42">
        <f t="shared" si="36"/>
        <v>0</v>
      </c>
      <c r="BY74" s="42">
        <f t="shared" si="36"/>
        <v>0</v>
      </c>
      <c r="BZ74" s="42">
        <f t="shared" si="36"/>
        <v>0</v>
      </c>
      <c r="CA74" s="42">
        <f t="shared" si="36"/>
        <v>0</v>
      </c>
      <c r="CB74" s="42">
        <f t="shared" si="36"/>
        <v>0</v>
      </c>
    </row>
    <row r="75" spans="2:82">
      <c r="B75" s="177" t="s">
        <v>2037</v>
      </c>
      <c r="C75" s="15" t="str">
        <f t="shared" ref="C75:C89" si="37">$C$20</f>
        <v>US$</v>
      </c>
      <c r="D75" s="42">
        <f t="shared" si="34"/>
        <v>577117600</v>
      </c>
      <c r="I75" s="42">
        <f>I61*$C$61</f>
        <v>0</v>
      </c>
      <c r="J75" s="42">
        <f t="shared" ref="J75:AW75" si="38">J61*$C$61</f>
        <v>0</v>
      </c>
      <c r="K75" s="42">
        <f t="shared" si="38"/>
        <v>0</v>
      </c>
      <c r="L75" s="42">
        <f t="shared" si="38"/>
        <v>0</v>
      </c>
      <c r="M75" s="42">
        <f t="shared" si="38"/>
        <v>0</v>
      </c>
      <c r="N75" s="42">
        <f t="shared" si="38"/>
        <v>0</v>
      </c>
      <c r="O75" s="42">
        <f t="shared" si="38"/>
        <v>0</v>
      </c>
      <c r="P75" s="42">
        <f t="shared" si="38"/>
        <v>0</v>
      </c>
      <c r="Q75" s="42">
        <f t="shared" si="38"/>
        <v>0</v>
      </c>
      <c r="R75" s="42">
        <f t="shared" si="38"/>
        <v>0</v>
      </c>
      <c r="S75" s="42">
        <f t="shared" si="38"/>
        <v>0</v>
      </c>
      <c r="T75" s="42">
        <f t="shared" si="38"/>
        <v>0</v>
      </c>
      <c r="U75" s="42">
        <f t="shared" si="38"/>
        <v>0</v>
      </c>
      <c r="V75" s="42">
        <f t="shared" si="38"/>
        <v>0</v>
      </c>
      <c r="W75" s="42">
        <f t="shared" si="38"/>
        <v>0</v>
      </c>
      <c r="X75" s="42">
        <f t="shared" si="38"/>
        <v>0</v>
      </c>
      <c r="Y75" s="42">
        <f t="shared" si="38"/>
        <v>0</v>
      </c>
      <c r="Z75" s="42">
        <f t="shared" si="38"/>
        <v>11542352</v>
      </c>
      <c r="AA75" s="42">
        <f t="shared" si="38"/>
        <v>11542352</v>
      </c>
      <c r="AB75" s="42">
        <f t="shared" si="38"/>
        <v>11542352</v>
      </c>
      <c r="AC75" s="42">
        <f t="shared" si="38"/>
        <v>11542352</v>
      </c>
      <c r="AD75" s="42">
        <f t="shared" si="38"/>
        <v>11542352</v>
      </c>
      <c r="AE75" s="42">
        <f t="shared" si="38"/>
        <v>11542352</v>
      </c>
      <c r="AF75" s="42">
        <f t="shared" si="38"/>
        <v>17313528</v>
      </c>
      <c r="AG75" s="42">
        <f t="shared" si="38"/>
        <v>28855880</v>
      </c>
      <c r="AH75" s="42">
        <f t="shared" si="38"/>
        <v>28855880</v>
      </c>
      <c r="AI75" s="42">
        <f t="shared" si="38"/>
        <v>28855880</v>
      </c>
      <c r="AJ75" s="42">
        <f t="shared" si="38"/>
        <v>28855880</v>
      </c>
      <c r="AK75" s="42">
        <f t="shared" si="38"/>
        <v>28855880</v>
      </c>
      <c r="AL75" s="42">
        <f t="shared" si="38"/>
        <v>28855880</v>
      </c>
      <c r="AM75" s="42">
        <f t="shared" si="38"/>
        <v>28855880</v>
      </c>
      <c r="AN75" s="42">
        <f t="shared" si="38"/>
        <v>57711760</v>
      </c>
      <c r="AO75" s="42">
        <f t="shared" si="38"/>
        <v>57711760</v>
      </c>
      <c r="AP75" s="42">
        <f t="shared" si="38"/>
        <v>57711760</v>
      </c>
      <c r="AQ75" s="42">
        <f t="shared" si="38"/>
        <v>57711760</v>
      </c>
      <c r="AR75" s="42">
        <f t="shared" si="38"/>
        <v>57711760</v>
      </c>
      <c r="AS75" s="42">
        <f t="shared" si="38"/>
        <v>0</v>
      </c>
      <c r="AT75" s="42">
        <f t="shared" si="38"/>
        <v>0</v>
      </c>
      <c r="AU75" s="42">
        <f t="shared" si="38"/>
        <v>0</v>
      </c>
      <c r="AV75" s="42">
        <f t="shared" si="38"/>
        <v>0</v>
      </c>
      <c r="AW75" s="42">
        <f t="shared" si="38"/>
        <v>0</v>
      </c>
      <c r="AX75" s="42">
        <f t="shared" ref="AX75:CB75" si="39">AX61*$C$61</f>
        <v>0</v>
      </c>
      <c r="AY75" s="42">
        <f t="shared" si="39"/>
        <v>0</v>
      </c>
      <c r="AZ75" s="42">
        <f t="shared" si="39"/>
        <v>0</v>
      </c>
      <c r="BA75" s="42">
        <f t="shared" si="39"/>
        <v>0</v>
      </c>
      <c r="BB75" s="42">
        <f t="shared" si="39"/>
        <v>0</v>
      </c>
      <c r="BC75" s="42">
        <f t="shared" si="39"/>
        <v>0</v>
      </c>
      <c r="BD75" s="42">
        <f t="shared" si="39"/>
        <v>0</v>
      </c>
      <c r="BE75" s="42">
        <f t="shared" si="39"/>
        <v>0</v>
      </c>
      <c r="BF75" s="42">
        <f t="shared" si="39"/>
        <v>0</v>
      </c>
      <c r="BG75" s="42">
        <f t="shared" si="39"/>
        <v>0</v>
      </c>
      <c r="BH75" s="42">
        <f t="shared" si="39"/>
        <v>0</v>
      </c>
      <c r="BI75" s="42">
        <f t="shared" si="39"/>
        <v>0</v>
      </c>
      <c r="BJ75" s="42">
        <f t="shared" si="39"/>
        <v>0</v>
      </c>
      <c r="BK75" s="42">
        <f t="shared" si="39"/>
        <v>0</v>
      </c>
      <c r="BL75" s="42">
        <f t="shared" si="39"/>
        <v>0</v>
      </c>
      <c r="BM75" s="42">
        <f t="shared" si="39"/>
        <v>0</v>
      </c>
      <c r="BN75" s="42">
        <f t="shared" si="39"/>
        <v>0</v>
      </c>
      <c r="BO75" s="42">
        <f t="shared" si="39"/>
        <v>0</v>
      </c>
      <c r="BP75" s="42">
        <f t="shared" si="39"/>
        <v>0</v>
      </c>
      <c r="BQ75" s="42">
        <f t="shared" si="39"/>
        <v>0</v>
      </c>
      <c r="BR75" s="42">
        <f t="shared" si="39"/>
        <v>0</v>
      </c>
      <c r="BS75" s="42">
        <f t="shared" si="39"/>
        <v>0</v>
      </c>
      <c r="BT75" s="42">
        <f t="shared" si="39"/>
        <v>0</v>
      </c>
      <c r="BU75" s="42">
        <f t="shared" si="39"/>
        <v>0</v>
      </c>
      <c r="BV75" s="42">
        <f t="shared" si="39"/>
        <v>0</v>
      </c>
      <c r="BW75" s="42">
        <f t="shared" si="39"/>
        <v>0</v>
      </c>
      <c r="BX75" s="42">
        <f t="shared" si="39"/>
        <v>0</v>
      </c>
      <c r="BY75" s="42">
        <f t="shared" si="39"/>
        <v>0</v>
      </c>
      <c r="BZ75" s="42">
        <f t="shared" si="39"/>
        <v>0</v>
      </c>
      <c r="CA75" s="42">
        <f t="shared" si="39"/>
        <v>0</v>
      </c>
      <c r="CB75" s="42">
        <f t="shared" si="39"/>
        <v>0</v>
      </c>
    </row>
    <row r="76" spans="2:82">
      <c r="B76" s="2" t="s">
        <v>657</v>
      </c>
      <c r="C76" s="15" t="str">
        <f t="shared" si="37"/>
        <v>US$</v>
      </c>
      <c r="D76" s="42">
        <f t="shared" si="34"/>
        <v>37836312.244897962</v>
      </c>
      <c r="I76" s="42">
        <f>I62*$C$62</f>
        <v>0</v>
      </c>
      <c r="J76" s="42">
        <f t="shared" ref="J76:AW76" si="40">J62*$C$62</f>
        <v>0</v>
      </c>
      <c r="K76" s="42">
        <f t="shared" si="40"/>
        <v>0</v>
      </c>
      <c r="L76" s="42">
        <f t="shared" si="40"/>
        <v>0</v>
      </c>
      <c r="M76" s="42">
        <f t="shared" si="40"/>
        <v>0</v>
      </c>
      <c r="N76" s="42">
        <f t="shared" si="40"/>
        <v>0</v>
      </c>
      <c r="O76" s="42">
        <f t="shared" si="40"/>
        <v>0</v>
      </c>
      <c r="P76" s="42">
        <f t="shared" si="40"/>
        <v>0</v>
      </c>
      <c r="Q76" s="42">
        <f t="shared" si="40"/>
        <v>0</v>
      </c>
      <c r="R76" s="42">
        <f t="shared" si="40"/>
        <v>0</v>
      </c>
      <c r="S76" s="42">
        <f t="shared" si="40"/>
        <v>0</v>
      </c>
      <c r="T76" s="42">
        <f t="shared" si="40"/>
        <v>0</v>
      </c>
      <c r="U76" s="42">
        <f t="shared" si="40"/>
        <v>0</v>
      </c>
      <c r="V76" s="42">
        <f t="shared" si="40"/>
        <v>0</v>
      </c>
      <c r="W76" s="42">
        <f t="shared" si="40"/>
        <v>0</v>
      </c>
      <c r="X76" s="42">
        <f t="shared" si="40"/>
        <v>0</v>
      </c>
      <c r="Y76" s="42">
        <f t="shared" si="40"/>
        <v>0</v>
      </c>
      <c r="Z76" s="42">
        <f t="shared" si="40"/>
        <v>756726.24489795929</v>
      </c>
      <c r="AA76" s="42">
        <f t="shared" si="40"/>
        <v>756726.24489795929</v>
      </c>
      <c r="AB76" s="42">
        <f t="shared" si="40"/>
        <v>756726.24489795929</v>
      </c>
      <c r="AC76" s="42">
        <f t="shared" si="40"/>
        <v>756726.24489795929</v>
      </c>
      <c r="AD76" s="42">
        <f t="shared" si="40"/>
        <v>756726.24489795929</v>
      </c>
      <c r="AE76" s="42">
        <f t="shared" si="40"/>
        <v>756726.24489795929</v>
      </c>
      <c r="AF76" s="42">
        <f t="shared" si="40"/>
        <v>1135089.3673469387</v>
      </c>
      <c r="AG76" s="42">
        <f t="shared" si="40"/>
        <v>1891815.6122448982</v>
      </c>
      <c r="AH76" s="42">
        <f t="shared" si="40"/>
        <v>1891815.6122448982</v>
      </c>
      <c r="AI76" s="42">
        <f t="shared" si="40"/>
        <v>1891815.6122448982</v>
      </c>
      <c r="AJ76" s="42">
        <f t="shared" si="40"/>
        <v>1891815.6122448982</v>
      </c>
      <c r="AK76" s="42">
        <f t="shared" si="40"/>
        <v>1891815.6122448982</v>
      </c>
      <c r="AL76" s="42">
        <f t="shared" si="40"/>
        <v>1891815.6122448982</v>
      </c>
      <c r="AM76" s="42">
        <f t="shared" si="40"/>
        <v>1891815.6122448982</v>
      </c>
      <c r="AN76" s="42">
        <f t="shared" si="40"/>
        <v>3783631.2244897964</v>
      </c>
      <c r="AO76" s="42">
        <f t="shared" si="40"/>
        <v>3783631.2244897964</v>
      </c>
      <c r="AP76" s="42">
        <f t="shared" si="40"/>
        <v>3783631.2244897964</v>
      </c>
      <c r="AQ76" s="42">
        <f t="shared" si="40"/>
        <v>3783631.2244897964</v>
      </c>
      <c r="AR76" s="42">
        <f t="shared" si="40"/>
        <v>3783631.2244897964</v>
      </c>
      <c r="AS76" s="42">
        <f t="shared" si="40"/>
        <v>0</v>
      </c>
      <c r="AT76" s="42">
        <f t="shared" si="40"/>
        <v>0</v>
      </c>
      <c r="AU76" s="42">
        <f t="shared" si="40"/>
        <v>0</v>
      </c>
      <c r="AV76" s="42">
        <f t="shared" si="40"/>
        <v>0</v>
      </c>
      <c r="AW76" s="42">
        <f t="shared" si="40"/>
        <v>0</v>
      </c>
      <c r="AX76" s="42">
        <f t="shared" ref="AX76:CB76" si="41">AX62*$C$62</f>
        <v>0</v>
      </c>
      <c r="AY76" s="42">
        <f t="shared" si="41"/>
        <v>0</v>
      </c>
      <c r="AZ76" s="42">
        <f t="shared" si="41"/>
        <v>0</v>
      </c>
      <c r="BA76" s="42">
        <f t="shared" si="41"/>
        <v>0</v>
      </c>
      <c r="BB76" s="42">
        <f t="shared" si="41"/>
        <v>0</v>
      </c>
      <c r="BC76" s="42">
        <f t="shared" si="41"/>
        <v>0</v>
      </c>
      <c r="BD76" s="42">
        <f t="shared" si="41"/>
        <v>0</v>
      </c>
      <c r="BE76" s="42">
        <f t="shared" si="41"/>
        <v>0</v>
      </c>
      <c r="BF76" s="42">
        <f t="shared" si="41"/>
        <v>0</v>
      </c>
      <c r="BG76" s="42">
        <f t="shared" si="41"/>
        <v>0</v>
      </c>
      <c r="BH76" s="42">
        <f t="shared" si="41"/>
        <v>0</v>
      </c>
      <c r="BI76" s="42">
        <f t="shared" si="41"/>
        <v>0</v>
      </c>
      <c r="BJ76" s="42">
        <f t="shared" si="41"/>
        <v>0</v>
      </c>
      <c r="BK76" s="42">
        <f t="shared" si="41"/>
        <v>0</v>
      </c>
      <c r="BL76" s="42">
        <f t="shared" si="41"/>
        <v>0</v>
      </c>
      <c r="BM76" s="42">
        <f t="shared" si="41"/>
        <v>0</v>
      </c>
      <c r="BN76" s="42">
        <f t="shared" si="41"/>
        <v>0</v>
      </c>
      <c r="BO76" s="42">
        <f t="shared" si="41"/>
        <v>0</v>
      </c>
      <c r="BP76" s="42">
        <f t="shared" si="41"/>
        <v>0</v>
      </c>
      <c r="BQ76" s="42">
        <f t="shared" si="41"/>
        <v>0</v>
      </c>
      <c r="BR76" s="42">
        <f t="shared" si="41"/>
        <v>0</v>
      </c>
      <c r="BS76" s="42">
        <f t="shared" si="41"/>
        <v>0</v>
      </c>
      <c r="BT76" s="42">
        <f t="shared" si="41"/>
        <v>0</v>
      </c>
      <c r="BU76" s="42">
        <f t="shared" si="41"/>
        <v>0</v>
      </c>
      <c r="BV76" s="42">
        <f t="shared" si="41"/>
        <v>0</v>
      </c>
      <c r="BW76" s="42">
        <f t="shared" si="41"/>
        <v>0</v>
      </c>
      <c r="BX76" s="42">
        <f t="shared" si="41"/>
        <v>0</v>
      </c>
      <c r="BY76" s="42">
        <f t="shared" si="41"/>
        <v>0</v>
      </c>
      <c r="BZ76" s="42">
        <f t="shared" si="41"/>
        <v>0</v>
      </c>
      <c r="CA76" s="42">
        <f t="shared" si="41"/>
        <v>0</v>
      </c>
      <c r="CB76" s="42">
        <f t="shared" si="41"/>
        <v>0</v>
      </c>
    </row>
    <row r="77" spans="2:82">
      <c r="B77" s="2" t="s">
        <v>119</v>
      </c>
      <c r="C77" s="15" t="str">
        <f t="shared" si="37"/>
        <v>US$</v>
      </c>
      <c r="D77" s="42">
        <f t="shared" si="34"/>
        <v>42651000</v>
      </c>
      <c r="I77" s="42">
        <f>I63*$C$63</f>
        <v>0</v>
      </c>
      <c r="J77" s="42">
        <f t="shared" ref="J77:AW77" si="42">J63*$C$63</f>
        <v>0</v>
      </c>
      <c r="K77" s="42">
        <f t="shared" si="42"/>
        <v>0</v>
      </c>
      <c r="L77" s="42">
        <f t="shared" si="42"/>
        <v>0</v>
      </c>
      <c r="M77" s="42">
        <f t="shared" si="42"/>
        <v>0</v>
      </c>
      <c r="N77" s="42">
        <f t="shared" si="42"/>
        <v>0</v>
      </c>
      <c r="O77" s="42">
        <f t="shared" si="42"/>
        <v>0</v>
      </c>
      <c r="P77" s="42">
        <f t="shared" si="42"/>
        <v>0</v>
      </c>
      <c r="Q77" s="42">
        <f t="shared" si="42"/>
        <v>0</v>
      </c>
      <c r="R77" s="42">
        <f t="shared" si="42"/>
        <v>0</v>
      </c>
      <c r="S77" s="42">
        <f t="shared" si="42"/>
        <v>0</v>
      </c>
      <c r="T77" s="42">
        <f t="shared" si="42"/>
        <v>0</v>
      </c>
      <c r="U77" s="42">
        <f t="shared" si="42"/>
        <v>0</v>
      </c>
      <c r="V77" s="42">
        <f t="shared" si="42"/>
        <v>0</v>
      </c>
      <c r="W77" s="42">
        <f t="shared" si="42"/>
        <v>0</v>
      </c>
      <c r="X77" s="42">
        <f t="shared" si="42"/>
        <v>0</v>
      </c>
      <c r="Y77" s="42">
        <f t="shared" si="42"/>
        <v>0</v>
      </c>
      <c r="Z77" s="42">
        <f t="shared" si="42"/>
        <v>853020</v>
      </c>
      <c r="AA77" s="42">
        <f t="shared" si="42"/>
        <v>853020</v>
      </c>
      <c r="AB77" s="42">
        <f t="shared" si="42"/>
        <v>853020</v>
      </c>
      <c r="AC77" s="42">
        <f t="shared" si="42"/>
        <v>853020</v>
      </c>
      <c r="AD77" s="42">
        <f t="shared" si="42"/>
        <v>853020</v>
      </c>
      <c r="AE77" s="42">
        <f t="shared" si="42"/>
        <v>853020</v>
      </c>
      <c r="AF77" s="42">
        <f t="shared" si="42"/>
        <v>1279530</v>
      </c>
      <c r="AG77" s="42">
        <f t="shared" si="42"/>
        <v>2132550</v>
      </c>
      <c r="AH77" s="42">
        <f t="shared" si="42"/>
        <v>2132550</v>
      </c>
      <c r="AI77" s="42">
        <f t="shared" si="42"/>
        <v>2132550</v>
      </c>
      <c r="AJ77" s="42">
        <f t="shared" si="42"/>
        <v>2132550</v>
      </c>
      <c r="AK77" s="42">
        <f t="shared" si="42"/>
        <v>2132550</v>
      </c>
      <c r="AL77" s="42">
        <f t="shared" si="42"/>
        <v>2132550</v>
      </c>
      <c r="AM77" s="42">
        <f t="shared" si="42"/>
        <v>2132550</v>
      </c>
      <c r="AN77" s="42">
        <f t="shared" si="42"/>
        <v>4265100</v>
      </c>
      <c r="AO77" s="42">
        <f t="shared" si="42"/>
        <v>4265100</v>
      </c>
      <c r="AP77" s="42">
        <f t="shared" si="42"/>
        <v>4265100</v>
      </c>
      <c r="AQ77" s="42">
        <f t="shared" si="42"/>
        <v>4265100</v>
      </c>
      <c r="AR77" s="42">
        <f t="shared" si="42"/>
        <v>4265100</v>
      </c>
      <c r="AS77" s="42">
        <f t="shared" si="42"/>
        <v>0</v>
      </c>
      <c r="AT77" s="42">
        <f t="shared" si="42"/>
        <v>0</v>
      </c>
      <c r="AU77" s="42">
        <f t="shared" si="42"/>
        <v>0</v>
      </c>
      <c r="AV77" s="42">
        <f t="shared" si="42"/>
        <v>0</v>
      </c>
      <c r="AW77" s="42">
        <f t="shared" si="42"/>
        <v>0</v>
      </c>
      <c r="AX77" s="42">
        <f t="shared" ref="AX77:CB77" si="43">AX63*$C$63</f>
        <v>0</v>
      </c>
      <c r="AY77" s="42">
        <f t="shared" si="43"/>
        <v>0</v>
      </c>
      <c r="AZ77" s="42">
        <f t="shared" si="43"/>
        <v>0</v>
      </c>
      <c r="BA77" s="42">
        <f t="shared" si="43"/>
        <v>0</v>
      </c>
      <c r="BB77" s="42">
        <f t="shared" si="43"/>
        <v>0</v>
      </c>
      <c r="BC77" s="42">
        <f t="shared" si="43"/>
        <v>0</v>
      </c>
      <c r="BD77" s="42">
        <f t="shared" si="43"/>
        <v>0</v>
      </c>
      <c r="BE77" s="42">
        <f t="shared" si="43"/>
        <v>0</v>
      </c>
      <c r="BF77" s="42">
        <f t="shared" si="43"/>
        <v>0</v>
      </c>
      <c r="BG77" s="42">
        <f t="shared" si="43"/>
        <v>0</v>
      </c>
      <c r="BH77" s="42">
        <f t="shared" si="43"/>
        <v>0</v>
      </c>
      <c r="BI77" s="42">
        <f t="shared" si="43"/>
        <v>0</v>
      </c>
      <c r="BJ77" s="42">
        <f t="shared" si="43"/>
        <v>0</v>
      </c>
      <c r="BK77" s="42">
        <f t="shared" si="43"/>
        <v>0</v>
      </c>
      <c r="BL77" s="42">
        <f t="shared" si="43"/>
        <v>0</v>
      </c>
      <c r="BM77" s="42">
        <f t="shared" si="43"/>
        <v>0</v>
      </c>
      <c r="BN77" s="42">
        <f t="shared" si="43"/>
        <v>0</v>
      </c>
      <c r="BO77" s="42">
        <f t="shared" si="43"/>
        <v>0</v>
      </c>
      <c r="BP77" s="42">
        <f t="shared" si="43"/>
        <v>0</v>
      </c>
      <c r="BQ77" s="42">
        <f t="shared" si="43"/>
        <v>0</v>
      </c>
      <c r="BR77" s="42">
        <f t="shared" si="43"/>
        <v>0</v>
      </c>
      <c r="BS77" s="42">
        <f t="shared" si="43"/>
        <v>0</v>
      </c>
      <c r="BT77" s="42">
        <f t="shared" si="43"/>
        <v>0</v>
      </c>
      <c r="BU77" s="42">
        <f t="shared" si="43"/>
        <v>0</v>
      </c>
      <c r="BV77" s="42">
        <f t="shared" si="43"/>
        <v>0</v>
      </c>
      <c r="BW77" s="42">
        <f t="shared" si="43"/>
        <v>0</v>
      </c>
      <c r="BX77" s="42">
        <f t="shared" si="43"/>
        <v>0</v>
      </c>
      <c r="BY77" s="42">
        <f t="shared" si="43"/>
        <v>0</v>
      </c>
      <c r="BZ77" s="42">
        <f t="shared" si="43"/>
        <v>0</v>
      </c>
      <c r="CA77" s="42">
        <f t="shared" si="43"/>
        <v>0</v>
      </c>
      <c r="CB77" s="42">
        <f t="shared" si="43"/>
        <v>0</v>
      </c>
    </row>
    <row r="78" spans="2:82">
      <c r="B78" s="2" t="s">
        <v>122</v>
      </c>
      <c r="C78" s="15" t="str">
        <f t="shared" si="37"/>
        <v>US$</v>
      </c>
      <c r="D78" s="42">
        <f t="shared" si="34"/>
        <v>78793700</v>
      </c>
      <c r="I78" s="42">
        <f>I64*$C$64</f>
        <v>0</v>
      </c>
      <c r="J78" s="42">
        <f t="shared" ref="J78:AW78" si="44">J64*$C$64</f>
        <v>0</v>
      </c>
      <c r="K78" s="42">
        <f t="shared" si="44"/>
        <v>0</v>
      </c>
      <c r="L78" s="42">
        <f t="shared" si="44"/>
        <v>0</v>
      </c>
      <c r="M78" s="42">
        <f t="shared" si="44"/>
        <v>0</v>
      </c>
      <c r="N78" s="42">
        <f t="shared" si="44"/>
        <v>0</v>
      </c>
      <c r="O78" s="42">
        <f t="shared" si="44"/>
        <v>0</v>
      </c>
      <c r="P78" s="42">
        <f t="shared" si="44"/>
        <v>0</v>
      </c>
      <c r="Q78" s="42">
        <f t="shared" si="44"/>
        <v>0</v>
      </c>
      <c r="R78" s="42">
        <f t="shared" si="44"/>
        <v>0</v>
      </c>
      <c r="S78" s="42">
        <f t="shared" si="44"/>
        <v>0</v>
      </c>
      <c r="T78" s="42">
        <f t="shared" si="44"/>
        <v>0</v>
      </c>
      <c r="U78" s="42">
        <f t="shared" si="44"/>
        <v>0</v>
      </c>
      <c r="V78" s="42">
        <f t="shared" si="44"/>
        <v>0</v>
      </c>
      <c r="W78" s="42">
        <f t="shared" si="44"/>
        <v>0</v>
      </c>
      <c r="X78" s="42">
        <f t="shared" si="44"/>
        <v>0</v>
      </c>
      <c r="Y78" s="42">
        <f t="shared" si="44"/>
        <v>0</v>
      </c>
      <c r="Z78" s="42">
        <f t="shared" si="44"/>
        <v>1575874</v>
      </c>
      <c r="AA78" s="42">
        <f t="shared" si="44"/>
        <v>1575874</v>
      </c>
      <c r="AB78" s="42">
        <f t="shared" si="44"/>
        <v>1575874</v>
      </c>
      <c r="AC78" s="42">
        <f t="shared" si="44"/>
        <v>1575874</v>
      </c>
      <c r="AD78" s="42">
        <f t="shared" si="44"/>
        <v>1575874</v>
      </c>
      <c r="AE78" s="42">
        <f t="shared" si="44"/>
        <v>1575874</v>
      </c>
      <c r="AF78" s="42">
        <f t="shared" si="44"/>
        <v>2363811</v>
      </c>
      <c r="AG78" s="42">
        <f t="shared" si="44"/>
        <v>3939685</v>
      </c>
      <c r="AH78" s="42">
        <f t="shared" si="44"/>
        <v>3939685</v>
      </c>
      <c r="AI78" s="42">
        <f t="shared" si="44"/>
        <v>3939685</v>
      </c>
      <c r="AJ78" s="42">
        <f t="shared" si="44"/>
        <v>3939685</v>
      </c>
      <c r="AK78" s="42">
        <f t="shared" si="44"/>
        <v>3939685</v>
      </c>
      <c r="AL78" s="42">
        <f t="shared" si="44"/>
        <v>3939685</v>
      </c>
      <c r="AM78" s="42">
        <f t="shared" si="44"/>
        <v>3939685</v>
      </c>
      <c r="AN78" s="42">
        <f t="shared" si="44"/>
        <v>7879370</v>
      </c>
      <c r="AO78" s="42">
        <f t="shared" si="44"/>
        <v>7879370</v>
      </c>
      <c r="AP78" s="42">
        <f t="shared" si="44"/>
        <v>7879370</v>
      </c>
      <c r="AQ78" s="42">
        <f t="shared" si="44"/>
        <v>7879370</v>
      </c>
      <c r="AR78" s="42">
        <f t="shared" si="44"/>
        <v>7879370</v>
      </c>
      <c r="AS78" s="42">
        <f t="shared" si="44"/>
        <v>0</v>
      </c>
      <c r="AT78" s="42">
        <f t="shared" si="44"/>
        <v>0</v>
      </c>
      <c r="AU78" s="42">
        <f t="shared" si="44"/>
        <v>0</v>
      </c>
      <c r="AV78" s="42">
        <f t="shared" si="44"/>
        <v>0</v>
      </c>
      <c r="AW78" s="42">
        <f t="shared" si="44"/>
        <v>0</v>
      </c>
      <c r="AX78" s="42">
        <f t="shared" ref="AX78:CB78" si="45">AX64*$C$64</f>
        <v>0</v>
      </c>
      <c r="AY78" s="42">
        <f t="shared" si="45"/>
        <v>0</v>
      </c>
      <c r="AZ78" s="42">
        <f t="shared" si="45"/>
        <v>0</v>
      </c>
      <c r="BA78" s="42">
        <f t="shared" si="45"/>
        <v>0</v>
      </c>
      <c r="BB78" s="42">
        <f t="shared" si="45"/>
        <v>0</v>
      </c>
      <c r="BC78" s="42">
        <f t="shared" si="45"/>
        <v>0</v>
      </c>
      <c r="BD78" s="42">
        <f t="shared" si="45"/>
        <v>0</v>
      </c>
      <c r="BE78" s="42">
        <f t="shared" si="45"/>
        <v>0</v>
      </c>
      <c r="BF78" s="42">
        <f t="shared" si="45"/>
        <v>0</v>
      </c>
      <c r="BG78" s="42">
        <f t="shared" si="45"/>
        <v>0</v>
      </c>
      <c r="BH78" s="42">
        <f t="shared" si="45"/>
        <v>0</v>
      </c>
      <c r="BI78" s="42">
        <f t="shared" si="45"/>
        <v>0</v>
      </c>
      <c r="BJ78" s="42">
        <f t="shared" si="45"/>
        <v>0</v>
      </c>
      <c r="BK78" s="42">
        <f t="shared" si="45"/>
        <v>0</v>
      </c>
      <c r="BL78" s="42">
        <f t="shared" si="45"/>
        <v>0</v>
      </c>
      <c r="BM78" s="42">
        <f t="shared" si="45"/>
        <v>0</v>
      </c>
      <c r="BN78" s="42">
        <f t="shared" si="45"/>
        <v>0</v>
      </c>
      <c r="BO78" s="42">
        <f t="shared" si="45"/>
        <v>0</v>
      </c>
      <c r="BP78" s="42">
        <f t="shared" si="45"/>
        <v>0</v>
      </c>
      <c r="BQ78" s="42">
        <f t="shared" si="45"/>
        <v>0</v>
      </c>
      <c r="BR78" s="42">
        <f t="shared" si="45"/>
        <v>0</v>
      </c>
      <c r="BS78" s="42">
        <f t="shared" si="45"/>
        <v>0</v>
      </c>
      <c r="BT78" s="42">
        <f t="shared" si="45"/>
        <v>0</v>
      </c>
      <c r="BU78" s="42">
        <f t="shared" si="45"/>
        <v>0</v>
      </c>
      <c r="BV78" s="42">
        <f t="shared" si="45"/>
        <v>0</v>
      </c>
      <c r="BW78" s="42">
        <f t="shared" si="45"/>
        <v>0</v>
      </c>
      <c r="BX78" s="42">
        <f t="shared" si="45"/>
        <v>0</v>
      </c>
      <c r="BY78" s="42">
        <f t="shared" si="45"/>
        <v>0</v>
      </c>
      <c r="BZ78" s="42">
        <f t="shared" si="45"/>
        <v>0</v>
      </c>
      <c r="CA78" s="42">
        <f t="shared" si="45"/>
        <v>0</v>
      </c>
      <c r="CB78" s="42">
        <f t="shared" si="45"/>
        <v>0</v>
      </c>
    </row>
    <row r="79" spans="2:82">
      <c r="B79" s="2" t="s">
        <v>120</v>
      </c>
      <c r="C79" s="15" t="str">
        <f t="shared" si="37"/>
        <v>US$</v>
      </c>
      <c r="D79" s="42">
        <f t="shared" si="34"/>
        <v>56815900</v>
      </c>
      <c r="I79" s="42">
        <f>I65*$C$65</f>
        <v>0</v>
      </c>
      <c r="J79" s="42">
        <f t="shared" ref="J79:AW79" si="46">J65*$C$65</f>
        <v>0</v>
      </c>
      <c r="K79" s="42">
        <f t="shared" si="46"/>
        <v>0</v>
      </c>
      <c r="L79" s="42">
        <f t="shared" si="46"/>
        <v>0</v>
      </c>
      <c r="M79" s="42">
        <f t="shared" si="46"/>
        <v>0</v>
      </c>
      <c r="N79" s="42">
        <f t="shared" si="46"/>
        <v>0</v>
      </c>
      <c r="O79" s="42">
        <f t="shared" si="46"/>
        <v>0</v>
      </c>
      <c r="P79" s="42">
        <f t="shared" si="46"/>
        <v>0</v>
      </c>
      <c r="Q79" s="42">
        <f t="shared" si="46"/>
        <v>0</v>
      </c>
      <c r="R79" s="42">
        <f t="shared" si="46"/>
        <v>0</v>
      </c>
      <c r="S79" s="42">
        <f t="shared" si="46"/>
        <v>0</v>
      </c>
      <c r="T79" s="42">
        <f t="shared" si="46"/>
        <v>0</v>
      </c>
      <c r="U79" s="42">
        <f t="shared" si="46"/>
        <v>0</v>
      </c>
      <c r="V79" s="42">
        <f t="shared" si="46"/>
        <v>0</v>
      </c>
      <c r="W79" s="42">
        <f t="shared" si="46"/>
        <v>0</v>
      </c>
      <c r="X79" s="42">
        <f t="shared" si="46"/>
        <v>0</v>
      </c>
      <c r="Y79" s="42">
        <f t="shared" si="46"/>
        <v>0</v>
      </c>
      <c r="Z79" s="42">
        <f t="shared" si="46"/>
        <v>1136318</v>
      </c>
      <c r="AA79" s="42">
        <f t="shared" si="46"/>
        <v>1136318</v>
      </c>
      <c r="AB79" s="42">
        <f t="shared" si="46"/>
        <v>1136318</v>
      </c>
      <c r="AC79" s="42">
        <f t="shared" si="46"/>
        <v>1136318</v>
      </c>
      <c r="AD79" s="42">
        <f t="shared" si="46"/>
        <v>1136318</v>
      </c>
      <c r="AE79" s="42">
        <f t="shared" si="46"/>
        <v>1136318</v>
      </c>
      <c r="AF79" s="42">
        <f t="shared" si="46"/>
        <v>1704477</v>
      </c>
      <c r="AG79" s="42">
        <f t="shared" si="46"/>
        <v>2840795</v>
      </c>
      <c r="AH79" s="42">
        <f t="shared" si="46"/>
        <v>2840795</v>
      </c>
      <c r="AI79" s="42">
        <f t="shared" si="46"/>
        <v>2840795</v>
      </c>
      <c r="AJ79" s="42">
        <f t="shared" si="46"/>
        <v>2840795</v>
      </c>
      <c r="AK79" s="42">
        <f t="shared" si="46"/>
        <v>2840795</v>
      </c>
      <c r="AL79" s="42">
        <f t="shared" si="46"/>
        <v>2840795</v>
      </c>
      <c r="AM79" s="42">
        <f t="shared" si="46"/>
        <v>2840795</v>
      </c>
      <c r="AN79" s="42">
        <f t="shared" si="46"/>
        <v>5681590</v>
      </c>
      <c r="AO79" s="42">
        <f t="shared" si="46"/>
        <v>5681590</v>
      </c>
      <c r="AP79" s="42">
        <f t="shared" si="46"/>
        <v>5681590</v>
      </c>
      <c r="AQ79" s="42">
        <f t="shared" si="46"/>
        <v>5681590</v>
      </c>
      <c r="AR79" s="42">
        <f t="shared" si="46"/>
        <v>5681590</v>
      </c>
      <c r="AS79" s="42">
        <f t="shared" si="46"/>
        <v>0</v>
      </c>
      <c r="AT79" s="42">
        <f t="shared" si="46"/>
        <v>0</v>
      </c>
      <c r="AU79" s="42">
        <f t="shared" si="46"/>
        <v>0</v>
      </c>
      <c r="AV79" s="42">
        <f t="shared" si="46"/>
        <v>0</v>
      </c>
      <c r="AW79" s="42">
        <f t="shared" si="46"/>
        <v>0</v>
      </c>
      <c r="AX79" s="42">
        <f t="shared" ref="AX79:CB79" si="47">AX65*$C$65</f>
        <v>0</v>
      </c>
      <c r="AY79" s="42">
        <f t="shared" si="47"/>
        <v>0</v>
      </c>
      <c r="AZ79" s="42">
        <f t="shared" si="47"/>
        <v>0</v>
      </c>
      <c r="BA79" s="42">
        <f t="shared" si="47"/>
        <v>0</v>
      </c>
      <c r="BB79" s="42">
        <f t="shared" si="47"/>
        <v>0</v>
      </c>
      <c r="BC79" s="42">
        <f t="shared" si="47"/>
        <v>0</v>
      </c>
      <c r="BD79" s="42">
        <f t="shared" si="47"/>
        <v>0</v>
      </c>
      <c r="BE79" s="42">
        <f t="shared" si="47"/>
        <v>0</v>
      </c>
      <c r="BF79" s="42">
        <f t="shared" si="47"/>
        <v>0</v>
      </c>
      <c r="BG79" s="42">
        <f t="shared" si="47"/>
        <v>0</v>
      </c>
      <c r="BH79" s="42">
        <f t="shared" si="47"/>
        <v>0</v>
      </c>
      <c r="BI79" s="42">
        <f t="shared" si="47"/>
        <v>0</v>
      </c>
      <c r="BJ79" s="42">
        <f t="shared" si="47"/>
        <v>0</v>
      </c>
      <c r="BK79" s="42">
        <f t="shared" si="47"/>
        <v>0</v>
      </c>
      <c r="BL79" s="42">
        <f t="shared" si="47"/>
        <v>0</v>
      </c>
      <c r="BM79" s="42">
        <f t="shared" si="47"/>
        <v>0</v>
      </c>
      <c r="BN79" s="42">
        <f t="shared" si="47"/>
        <v>0</v>
      </c>
      <c r="BO79" s="42">
        <f t="shared" si="47"/>
        <v>0</v>
      </c>
      <c r="BP79" s="42">
        <f t="shared" si="47"/>
        <v>0</v>
      </c>
      <c r="BQ79" s="42">
        <f t="shared" si="47"/>
        <v>0</v>
      </c>
      <c r="BR79" s="42">
        <f t="shared" si="47"/>
        <v>0</v>
      </c>
      <c r="BS79" s="42">
        <f t="shared" si="47"/>
        <v>0</v>
      </c>
      <c r="BT79" s="42">
        <f t="shared" si="47"/>
        <v>0</v>
      </c>
      <c r="BU79" s="42">
        <f t="shared" si="47"/>
        <v>0</v>
      </c>
      <c r="BV79" s="42">
        <f t="shared" si="47"/>
        <v>0</v>
      </c>
      <c r="BW79" s="42">
        <f t="shared" si="47"/>
        <v>0</v>
      </c>
      <c r="BX79" s="42">
        <f t="shared" si="47"/>
        <v>0</v>
      </c>
      <c r="BY79" s="42">
        <f t="shared" si="47"/>
        <v>0</v>
      </c>
      <c r="BZ79" s="42">
        <f t="shared" si="47"/>
        <v>0</v>
      </c>
      <c r="CA79" s="42">
        <f t="shared" si="47"/>
        <v>0</v>
      </c>
      <c r="CB79" s="42">
        <f t="shared" si="47"/>
        <v>0</v>
      </c>
    </row>
    <row r="80" spans="2:82">
      <c r="B80" s="2" t="s">
        <v>121</v>
      </c>
      <c r="C80" s="15" t="str">
        <f t="shared" si="37"/>
        <v>US$</v>
      </c>
      <c r="D80" s="42">
        <f t="shared" si="34"/>
        <v>0</v>
      </c>
      <c r="I80" s="42">
        <f>I66*$C$65</f>
        <v>0</v>
      </c>
      <c r="J80" s="42">
        <f t="shared" ref="J80:AW80" si="48">J66*$C$65</f>
        <v>0</v>
      </c>
      <c r="K80" s="42">
        <f t="shared" si="48"/>
        <v>0</v>
      </c>
      <c r="L80" s="42">
        <f t="shared" si="48"/>
        <v>0</v>
      </c>
      <c r="M80" s="42">
        <f t="shared" si="48"/>
        <v>0</v>
      </c>
      <c r="N80" s="42">
        <f t="shared" si="48"/>
        <v>0</v>
      </c>
      <c r="O80" s="42">
        <f t="shared" si="48"/>
        <v>0</v>
      </c>
      <c r="P80" s="42">
        <f t="shared" si="48"/>
        <v>0</v>
      </c>
      <c r="Q80" s="42">
        <f t="shared" si="48"/>
        <v>0</v>
      </c>
      <c r="R80" s="42">
        <f t="shared" si="48"/>
        <v>0</v>
      </c>
      <c r="S80" s="42">
        <f t="shared" si="48"/>
        <v>0</v>
      </c>
      <c r="T80" s="42">
        <f t="shared" si="48"/>
        <v>0</v>
      </c>
      <c r="U80" s="42">
        <f t="shared" si="48"/>
        <v>0</v>
      </c>
      <c r="V80" s="42">
        <f t="shared" si="48"/>
        <v>0</v>
      </c>
      <c r="W80" s="42">
        <f t="shared" si="48"/>
        <v>0</v>
      </c>
      <c r="X80" s="42">
        <f t="shared" si="48"/>
        <v>0</v>
      </c>
      <c r="Y80" s="42">
        <f t="shared" si="48"/>
        <v>0</v>
      </c>
      <c r="Z80" s="42">
        <f t="shared" si="48"/>
        <v>0</v>
      </c>
      <c r="AA80" s="42">
        <f t="shared" si="48"/>
        <v>0</v>
      </c>
      <c r="AB80" s="42">
        <f t="shared" si="48"/>
        <v>0</v>
      </c>
      <c r="AC80" s="42">
        <f t="shared" si="48"/>
        <v>0</v>
      </c>
      <c r="AD80" s="42">
        <f t="shared" si="48"/>
        <v>0</v>
      </c>
      <c r="AE80" s="42">
        <f t="shared" si="48"/>
        <v>0</v>
      </c>
      <c r="AF80" s="42">
        <f t="shared" si="48"/>
        <v>0</v>
      </c>
      <c r="AG80" s="42">
        <f t="shared" si="48"/>
        <v>0</v>
      </c>
      <c r="AH80" s="42">
        <f t="shared" si="48"/>
        <v>0</v>
      </c>
      <c r="AI80" s="42">
        <f t="shared" si="48"/>
        <v>0</v>
      </c>
      <c r="AJ80" s="42">
        <f t="shared" si="48"/>
        <v>0</v>
      </c>
      <c r="AK80" s="42">
        <f t="shared" si="48"/>
        <v>0</v>
      </c>
      <c r="AL80" s="42">
        <f t="shared" si="48"/>
        <v>0</v>
      </c>
      <c r="AM80" s="42">
        <f t="shared" si="48"/>
        <v>0</v>
      </c>
      <c r="AN80" s="42">
        <f t="shared" si="48"/>
        <v>0</v>
      </c>
      <c r="AO80" s="42">
        <f t="shared" si="48"/>
        <v>0</v>
      </c>
      <c r="AP80" s="42">
        <f t="shared" si="48"/>
        <v>0</v>
      </c>
      <c r="AQ80" s="42">
        <f t="shared" si="48"/>
        <v>0</v>
      </c>
      <c r="AR80" s="42">
        <f t="shared" si="48"/>
        <v>0</v>
      </c>
      <c r="AS80" s="42">
        <f t="shared" si="48"/>
        <v>0</v>
      </c>
      <c r="AT80" s="42">
        <f t="shared" si="48"/>
        <v>0</v>
      </c>
      <c r="AU80" s="42">
        <f t="shared" si="48"/>
        <v>0</v>
      </c>
      <c r="AV80" s="42">
        <f t="shared" si="48"/>
        <v>0</v>
      </c>
      <c r="AW80" s="42">
        <f t="shared" si="48"/>
        <v>0</v>
      </c>
      <c r="AX80" s="42">
        <f t="shared" ref="AX80:CB80" si="49">AX66*$C$65</f>
        <v>0</v>
      </c>
      <c r="AY80" s="42">
        <f t="shared" si="49"/>
        <v>0</v>
      </c>
      <c r="AZ80" s="42">
        <f t="shared" si="49"/>
        <v>0</v>
      </c>
      <c r="BA80" s="42">
        <f t="shared" si="49"/>
        <v>0</v>
      </c>
      <c r="BB80" s="42">
        <f t="shared" si="49"/>
        <v>0</v>
      </c>
      <c r="BC80" s="42">
        <f t="shared" si="49"/>
        <v>0</v>
      </c>
      <c r="BD80" s="42">
        <f t="shared" si="49"/>
        <v>0</v>
      </c>
      <c r="BE80" s="42">
        <f t="shared" si="49"/>
        <v>0</v>
      </c>
      <c r="BF80" s="42">
        <f t="shared" si="49"/>
        <v>0</v>
      </c>
      <c r="BG80" s="42">
        <f t="shared" si="49"/>
        <v>0</v>
      </c>
      <c r="BH80" s="42">
        <f t="shared" si="49"/>
        <v>0</v>
      </c>
      <c r="BI80" s="42">
        <f t="shared" si="49"/>
        <v>0</v>
      </c>
      <c r="BJ80" s="42">
        <f t="shared" si="49"/>
        <v>0</v>
      </c>
      <c r="BK80" s="42">
        <f t="shared" si="49"/>
        <v>0</v>
      </c>
      <c r="BL80" s="42">
        <f t="shared" si="49"/>
        <v>0</v>
      </c>
      <c r="BM80" s="42">
        <f t="shared" si="49"/>
        <v>0</v>
      </c>
      <c r="BN80" s="42">
        <f t="shared" si="49"/>
        <v>0</v>
      </c>
      <c r="BO80" s="42">
        <f t="shared" si="49"/>
        <v>0</v>
      </c>
      <c r="BP80" s="42">
        <f t="shared" si="49"/>
        <v>0</v>
      </c>
      <c r="BQ80" s="42">
        <f t="shared" si="49"/>
        <v>0</v>
      </c>
      <c r="BR80" s="42">
        <f t="shared" si="49"/>
        <v>0</v>
      </c>
      <c r="BS80" s="42">
        <f t="shared" si="49"/>
        <v>0</v>
      </c>
      <c r="BT80" s="42">
        <f t="shared" si="49"/>
        <v>0</v>
      </c>
      <c r="BU80" s="42">
        <f t="shared" si="49"/>
        <v>0</v>
      </c>
      <c r="BV80" s="42">
        <f t="shared" si="49"/>
        <v>0</v>
      </c>
      <c r="BW80" s="42">
        <f t="shared" si="49"/>
        <v>0</v>
      </c>
      <c r="BX80" s="42">
        <f t="shared" si="49"/>
        <v>0</v>
      </c>
      <c r="BY80" s="42">
        <f t="shared" si="49"/>
        <v>0</v>
      </c>
      <c r="BZ80" s="42">
        <f t="shared" si="49"/>
        <v>0</v>
      </c>
      <c r="CA80" s="42">
        <f t="shared" si="49"/>
        <v>0</v>
      </c>
      <c r="CB80" s="42">
        <f t="shared" si="49"/>
        <v>0</v>
      </c>
    </row>
    <row r="81" spans="2:270">
      <c r="B81" s="2" t="s">
        <v>123</v>
      </c>
      <c r="C81" s="15" t="str">
        <f t="shared" si="37"/>
        <v>US$</v>
      </c>
      <c r="D81" s="42">
        <f t="shared" si="34"/>
        <v>32667800</v>
      </c>
      <c r="I81" s="42">
        <f>I67*$C$67</f>
        <v>0</v>
      </c>
      <c r="J81" s="42">
        <f t="shared" ref="J81:AW81" si="50">J67*$C$67</f>
        <v>0</v>
      </c>
      <c r="K81" s="42">
        <f t="shared" si="50"/>
        <v>0</v>
      </c>
      <c r="L81" s="42">
        <f t="shared" si="50"/>
        <v>0</v>
      </c>
      <c r="M81" s="42">
        <f t="shared" si="50"/>
        <v>0</v>
      </c>
      <c r="N81" s="42">
        <f t="shared" si="50"/>
        <v>0</v>
      </c>
      <c r="O81" s="42">
        <f t="shared" si="50"/>
        <v>0</v>
      </c>
      <c r="P81" s="42">
        <f t="shared" si="50"/>
        <v>0</v>
      </c>
      <c r="Q81" s="42">
        <f t="shared" si="50"/>
        <v>0</v>
      </c>
      <c r="R81" s="42">
        <f t="shared" si="50"/>
        <v>0</v>
      </c>
      <c r="S81" s="42">
        <f t="shared" si="50"/>
        <v>0</v>
      </c>
      <c r="T81" s="42">
        <f t="shared" si="50"/>
        <v>0</v>
      </c>
      <c r="U81" s="42">
        <f t="shared" si="50"/>
        <v>0</v>
      </c>
      <c r="V81" s="42">
        <f t="shared" si="50"/>
        <v>0</v>
      </c>
      <c r="W81" s="42">
        <f t="shared" si="50"/>
        <v>0</v>
      </c>
      <c r="X81" s="42">
        <f t="shared" si="50"/>
        <v>0</v>
      </c>
      <c r="Y81" s="42">
        <f t="shared" si="50"/>
        <v>0</v>
      </c>
      <c r="Z81" s="42">
        <f t="shared" si="50"/>
        <v>653356</v>
      </c>
      <c r="AA81" s="42">
        <f t="shared" si="50"/>
        <v>653356</v>
      </c>
      <c r="AB81" s="42">
        <f t="shared" si="50"/>
        <v>653356</v>
      </c>
      <c r="AC81" s="42">
        <f t="shared" si="50"/>
        <v>653356</v>
      </c>
      <c r="AD81" s="42">
        <f t="shared" si="50"/>
        <v>653356</v>
      </c>
      <c r="AE81" s="42">
        <f t="shared" si="50"/>
        <v>653356</v>
      </c>
      <c r="AF81" s="42">
        <f t="shared" si="50"/>
        <v>980034</v>
      </c>
      <c r="AG81" s="42">
        <f t="shared" si="50"/>
        <v>1633390</v>
      </c>
      <c r="AH81" s="42">
        <f t="shared" si="50"/>
        <v>1633390</v>
      </c>
      <c r="AI81" s="42">
        <f t="shared" si="50"/>
        <v>1633390</v>
      </c>
      <c r="AJ81" s="42">
        <f t="shared" si="50"/>
        <v>1633390</v>
      </c>
      <c r="AK81" s="42">
        <f t="shared" si="50"/>
        <v>1633390</v>
      </c>
      <c r="AL81" s="42">
        <f t="shared" si="50"/>
        <v>1633390</v>
      </c>
      <c r="AM81" s="42">
        <f t="shared" si="50"/>
        <v>1633390</v>
      </c>
      <c r="AN81" s="42">
        <f t="shared" si="50"/>
        <v>3266780</v>
      </c>
      <c r="AO81" s="42">
        <f t="shared" si="50"/>
        <v>3266780</v>
      </c>
      <c r="AP81" s="42">
        <f t="shared" si="50"/>
        <v>3266780</v>
      </c>
      <c r="AQ81" s="42">
        <f t="shared" si="50"/>
        <v>3266780</v>
      </c>
      <c r="AR81" s="42">
        <f t="shared" si="50"/>
        <v>3266780</v>
      </c>
      <c r="AS81" s="42">
        <f t="shared" si="50"/>
        <v>0</v>
      </c>
      <c r="AT81" s="42">
        <f t="shared" si="50"/>
        <v>0</v>
      </c>
      <c r="AU81" s="42">
        <f t="shared" si="50"/>
        <v>0</v>
      </c>
      <c r="AV81" s="42">
        <f t="shared" si="50"/>
        <v>0</v>
      </c>
      <c r="AW81" s="42">
        <f t="shared" si="50"/>
        <v>0</v>
      </c>
      <c r="AX81" s="42">
        <f t="shared" ref="AX81:CB81" si="51">AX67*$C$67</f>
        <v>0</v>
      </c>
      <c r="AY81" s="42">
        <f t="shared" si="51"/>
        <v>0</v>
      </c>
      <c r="AZ81" s="42">
        <f t="shared" si="51"/>
        <v>0</v>
      </c>
      <c r="BA81" s="42">
        <f t="shared" si="51"/>
        <v>0</v>
      </c>
      <c r="BB81" s="42">
        <f t="shared" si="51"/>
        <v>0</v>
      </c>
      <c r="BC81" s="42">
        <f t="shared" si="51"/>
        <v>0</v>
      </c>
      <c r="BD81" s="42">
        <f t="shared" si="51"/>
        <v>0</v>
      </c>
      <c r="BE81" s="42">
        <f t="shared" si="51"/>
        <v>0</v>
      </c>
      <c r="BF81" s="42">
        <f t="shared" si="51"/>
        <v>0</v>
      </c>
      <c r="BG81" s="42">
        <f t="shared" si="51"/>
        <v>0</v>
      </c>
      <c r="BH81" s="42">
        <f t="shared" si="51"/>
        <v>0</v>
      </c>
      <c r="BI81" s="42">
        <f t="shared" si="51"/>
        <v>0</v>
      </c>
      <c r="BJ81" s="42">
        <f t="shared" si="51"/>
        <v>0</v>
      </c>
      <c r="BK81" s="42">
        <f t="shared" si="51"/>
        <v>0</v>
      </c>
      <c r="BL81" s="42">
        <f t="shared" si="51"/>
        <v>0</v>
      </c>
      <c r="BM81" s="42">
        <f t="shared" si="51"/>
        <v>0</v>
      </c>
      <c r="BN81" s="42">
        <f t="shared" si="51"/>
        <v>0</v>
      </c>
      <c r="BO81" s="42">
        <f t="shared" si="51"/>
        <v>0</v>
      </c>
      <c r="BP81" s="42">
        <f t="shared" si="51"/>
        <v>0</v>
      </c>
      <c r="BQ81" s="42">
        <f t="shared" si="51"/>
        <v>0</v>
      </c>
      <c r="BR81" s="42">
        <f t="shared" si="51"/>
        <v>0</v>
      </c>
      <c r="BS81" s="42">
        <f t="shared" si="51"/>
        <v>0</v>
      </c>
      <c r="BT81" s="42">
        <f t="shared" si="51"/>
        <v>0</v>
      </c>
      <c r="BU81" s="42">
        <f t="shared" si="51"/>
        <v>0</v>
      </c>
      <c r="BV81" s="42">
        <f t="shared" si="51"/>
        <v>0</v>
      </c>
      <c r="BW81" s="42">
        <f t="shared" si="51"/>
        <v>0</v>
      </c>
      <c r="BX81" s="42">
        <f t="shared" si="51"/>
        <v>0</v>
      </c>
      <c r="BY81" s="42">
        <f t="shared" si="51"/>
        <v>0</v>
      </c>
      <c r="BZ81" s="42">
        <f t="shared" si="51"/>
        <v>0</v>
      </c>
      <c r="CA81" s="42">
        <f t="shared" si="51"/>
        <v>0</v>
      </c>
      <c r="CB81" s="42">
        <f t="shared" si="51"/>
        <v>0</v>
      </c>
    </row>
    <row r="82" spans="2:270">
      <c r="B82" s="2" t="s">
        <v>9</v>
      </c>
      <c r="C82" s="15" t="str">
        <f t="shared" si="37"/>
        <v>US$</v>
      </c>
      <c r="D82" s="42">
        <f t="shared" si="34"/>
        <v>62181848.418367349</v>
      </c>
      <c r="I82" s="42">
        <f>I68*$C$68</f>
        <v>0</v>
      </c>
      <c r="J82" s="42">
        <f>J68*$C$68</f>
        <v>0</v>
      </c>
      <c r="K82" s="42">
        <f t="shared" ref="K82:AW82" si="52">K68*$C$68</f>
        <v>0</v>
      </c>
      <c r="L82" s="42">
        <f t="shared" si="52"/>
        <v>0</v>
      </c>
      <c r="M82" s="42">
        <f t="shared" si="52"/>
        <v>0</v>
      </c>
      <c r="N82" s="42">
        <f t="shared" si="52"/>
        <v>0</v>
      </c>
      <c r="O82" s="42">
        <f t="shared" si="52"/>
        <v>0</v>
      </c>
      <c r="P82" s="42">
        <f t="shared" si="52"/>
        <v>0</v>
      </c>
      <c r="Q82" s="42">
        <f t="shared" si="52"/>
        <v>0</v>
      </c>
      <c r="R82" s="42">
        <f t="shared" si="52"/>
        <v>0</v>
      </c>
      <c r="S82" s="42">
        <f t="shared" si="52"/>
        <v>0</v>
      </c>
      <c r="T82" s="42">
        <f t="shared" si="52"/>
        <v>0</v>
      </c>
      <c r="U82" s="42">
        <f t="shared" si="52"/>
        <v>0</v>
      </c>
      <c r="V82" s="42">
        <f t="shared" si="52"/>
        <v>0</v>
      </c>
      <c r="W82" s="42">
        <f t="shared" si="52"/>
        <v>0</v>
      </c>
      <c r="X82" s="42">
        <f t="shared" si="52"/>
        <v>0</v>
      </c>
      <c r="Y82" s="42">
        <f t="shared" si="52"/>
        <v>0</v>
      </c>
      <c r="Z82" s="42">
        <f t="shared" si="52"/>
        <v>1243636.9683673468</v>
      </c>
      <c r="AA82" s="42">
        <f t="shared" si="52"/>
        <v>1243636.9683673468</v>
      </c>
      <c r="AB82" s="42">
        <f t="shared" si="52"/>
        <v>1243636.9683673468</v>
      </c>
      <c r="AC82" s="42">
        <f t="shared" si="52"/>
        <v>1243636.9683673468</v>
      </c>
      <c r="AD82" s="42">
        <f t="shared" si="52"/>
        <v>1243636.9683673468</v>
      </c>
      <c r="AE82" s="42">
        <f t="shared" si="52"/>
        <v>1243636.9683673468</v>
      </c>
      <c r="AF82" s="42">
        <f t="shared" si="52"/>
        <v>1865455.4525510201</v>
      </c>
      <c r="AG82" s="42">
        <f t="shared" si="52"/>
        <v>3109092.4209183673</v>
      </c>
      <c r="AH82" s="42">
        <f t="shared" si="52"/>
        <v>3109092.4209183673</v>
      </c>
      <c r="AI82" s="42">
        <f t="shared" si="52"/>
        <v>3109092.4209183673</v>
      </c>
      <c r="AJ82" s="42">
        <f t="shared" si="52"/>
        <v>3109092.4209183673</v>
      </c>
      <c r="AK82" s="42">
        <f t="shared" si="52"/>
        <v>3109092.4209183673</v>
      </c>
      <c r="AL82" s="42">
        <f t="shared" si="52"/>
        <v>3109092.4209183673</v>
      </c>
      <c r="AM82" s="42">
        <f t="shared" si="52"/>
        <v>3109092.4209183673</v>
      </c>
      <c r="AN82" s="42">
        <f t="shared" si="52"/>
        <v>6218184.8418367347</v>
      </c>
      <c r="AO82" s="42">
        <f t="shared" si="52"/>
        <v>6218184.8418367347</v>
      </c>
      <c r="AP82" s="42">
        <f t="shared" si="52"/>
        <v>6218184.8418367347</v>
      </c>
      <c r="AQ82" s="42">
        <f t="shared" si="52"/>
        <v>6218184.8418367347</v>
      </c>
      <c r="AR82" s="42">
        <f t="shared" si="52"/>
        <v>6218184.8418367347</v>
      </c>
      <c r="AS82" s="42">
        <f t="shared" si="52"/>
        <v>0</v>
      </c>
      <c r="AT82" s="42">
        <f t="shared" si="52"/>
        <v>0</v>
      </c>
      <c r="AU82" s="42">
        <f t="shared" si="52"/>
        <v>0</v>
      </c>
      <c r="AV82" s="42">
        <f t="shared" si="52"/>
        <v>0</v>
      </c>
      <c r="AW82" s="42">
        <f t="shared" si="52"/>
        <v>0</v>
      </c>
      <c r="AX82" s="42">
        <f t="shared" ref="AX82:CB82" si="53">AX68*$C$68</f>
        <v>0</v>
      </c>
      <c r="AY82" s="42">
        <f t="shared" si="53"/>
        <v>0</v>
      </c>
      <c r="AZ82" s="42">
        <f t="shared" si="53"/>
        <v>0</v>
      </c>
      <c r="BA82" s="42">
        <f t="shared" si="53"/>
        <v>0</v>
      </c>
      <c r="BB82" s="42">
        <f t="shared" si="53"/>
        <v>0</v>
      </c>
      <c r="BC82" s="42">
        <f t="shared" si="53"/>
        <v>0</v>
      </c>
      <c r="BD82" s="42">
        <f t="shared" si="53"/>
        <v>0</v>
      </c>
      <c r="BE82" s="42">
        <f t="shared" si="53"/>
        <v>0</v>
      </c>
      <c r="BF82" s="42">
        <f t="shared" si="53"/>
        <v>0</v>
      </c>
      <c r="BG82" s="42">
        <f t="shared" si="53"/>
        <v>0</v>
      </c>
      <c r="BH82" s="42">
        <f t="shared" si="53"/>
        <v>0</v>
      </c>
      <c r="BI82" s="42">
        <f t="shared" si="53"/>
        <v>0</v>
      </c>
      <c r="BJ82" s="42">
        <f t="shared" si="53"/>
        <v>0</v>
      </c>
      <c r="BK82" s="42">
        <f t="shared" si="53"/>
        <v>0</v>
      </c>
      <c r="BL82" s="42">
        <f t="shared" si="53"/>
        <v>0</v>
      </c>
      <c r="BM82" s="42">
        <f t="shared" si="53"/>
        <v>0</v>
      </c>
      <c r="BN82" s="42">
        <f t="shared" si="53"/>
        <v>0</v>
      </c>
      <c r="BO82" s="42">
        <f t="shared" si="53"/>
        <v>0</v>
      </c>
      <c r="BP82" s="42">
        <f t="shared" si="53"/>
        <v>0</v>
      </c>
      <c r="BQ82" s="42">
        <f t="shared" si="53"/>
        <v>0</v>
      </c>
      <c r="BR82" s="42">
        <f t="shared" si="53"/>
        <v>0</v>
      </c>
      <c r="BS82" s="42">
        <f t="shared" si="53"/>
        <v>0</v>
      </c>
      <c r="BT82" s="42">
        <f t="shared" si="53"/>
        <v>0</v>
      </c>
      <c r="BU82" s="42">
        <f t="shared" si="53"/>
        <v>0</v>
      </c>
      <c r="BV82" s="42">
        <f t="shared" si="53"/>
        <v>0</v>
      </c>
      <c r="BW82" s="42">
        <f t="shared" si="53"/>
        <v>0</v>
      </c>
      <c r="BX82" s="42">
        <f t="shared" si="53"/>
        <v>0</v>
      </c>
      <c r="BY82" s="42">
        <f t="shared" si="53"/>
        <v>0</v>
      </c>
      <c r="BZ82" s="42">
        <f t="shared" si="53"/>
        <v>0</v>
      </c>
      <c r="CA82" s="42">
        <f t="shared" si="53"/>
        <v>0</v>
      </c>
      <c r="CB82" s="42">
        <f t="shared" si="53"/>
        <v>0</v>
      </c>
    </row>
    <row r="83" spans="2:270">
      <c r="B83" s="124" t="s">
        <v>71</v>
      </c>
      <c r="C83" s="132" t="str">
        <f t="shared" si="37"/>
        <v>US$</v>
      </c>
      <c r="D83" s="471">
        <f t="shared" si="34"/>
        <v>891273160.66326511</v>
      </c>
      <c r="E83" s="124"/>
      <c r="F83" s="124"/>
      <c r="G83" s="124"/>
      <c r="H83" s="124"/>
      <c r="I83" s="471">
        <f>SUM(I74:I82)</f>
        <v>0</v>
      </c>
      <c r="J83" s="471">
        <f t="shared" ref="J83:BU83" si="54">SUM(J74:J82)</f>
        <v>0</v>
      </c>
      <c r="K83" s="471">
        <f t="shared" si="54"/>
        <v>0</v>
      </c>
      <c r="L83" s="471">
        <f t="shared" si="54"/>
        <v>0</v>
      </c>
      <c r="M83" s="471">
        <f t="shared" si="54"/>
        <v>0</v>
      </c>
      <c r="N83" s="471">
        <f t="shared" si="54"/>
        <v>0</v>
      </c>
      <c r="O83" s="471">
        <f t="shared" si="54"/>
        <v>0</v>
      </c>
      <c r="P83" s="471">
        <f t="shared" si="54"/>
        <v>0</v>
      </c>
      <c r="Q83" s="471">
        <f t="shared" si="54"/>
        <v>0</v>
      </c>
      <c r="R83" s="471">
        <f t="shared" si="54"/>
        <v>0</v>
      </c>
      <c r="S83" s="471">
        <f t="shared" si="54"/>
        <v>0</v>
      </c>
      <c r="T83" s="471">
        <f t="shared" si="54"/>
        <v>0</v>
      </c>
      <c r="U83" s="471">
        <f t="shared" si="54"/>
        <v>0</v>
      </c>
      <c r="V83" s="471">
        <f t="shared" si="54"/>
        <v>0</v>
      </c>
      <c r="W83" s="471">
        <f t="shared" si="54"/>
        <v>0</v>
      </c>
      <c r="X83" s="471">
        <f t="shared" si="54"/>
        <v>0</v>
      </c>
      <c r="Y83" s="471">
        <f t="shared" si="54"/>
        <v>0</v>
      </c>
      <c r="Z83" s="471">
        <f t="shared" si="54"/>
        <v>17825463.213265307</v>
      </c>
      <c r="AA83" s="471">
        <f t="shared" si="54"/>
        <v>17825463.213265307</v>
      </c>
      <c r="AB83" s="471">
        <f t="shared" si="54"/>
        <v>17825463.213265307</v>
      </c>
      <c r="AC83" s="471">
        <f t="shared" si="54"/>
        <v>17825463.213265307</v>
      </c>
      <c r="AD83" s="471">
        <f t="shared" si="54"/>
        <v>17825463.213265307</v>
      </c>
      <c r="AE83" s="471">
        <f t="shared" si="54"/>
        <v>17825463.213265307</v>
      </c>
      <c r="AF83" s="471">
        <f t="shared" si="54"/>
        <v>26738194.819897957</v>
      </c>
      <c r="AG83" s="471">
        <f t="shared" si="54"/>
        <v>44563658.033163264</v>
      </c>
      <c r="AH83" s="471">
        <f t="shared" si="54"/>
        <v>44563658.033163264</v>
      </c>
      <c r="AI83" s="471">
        <f t="shared" si="54"/>
        <v>44563658.033163264</v>
      </c>
      <c r="AJ83" s="471">
        <f t="shared" si="54"/>
        <v>44563658.033163264</v>
      </c>
      <c r="AK83" s="471">
        <f t="shared" si="54"/>
        <v>44563658.033163264</v>
      </c>
      <c r="AL83" s="471">
        <f t="shared" si="54"/>
        <v>44563658.033163264</v>
      </c>
      <c r="AM83" s="471">
        <f t="shared" si="54"/>
        <v>44563658.033163264</v>
      </c>
      <c r="AN83" s="471">
        <f t="shared" si="54"/>
        <v>89127316.066326529</v>
      </c>
      <c r="AO83" s="471">
        <f t="shared" si="54"/>
        <v>89127316.066326529</v>
      </c>
      <c r="AP83" s="471">
        <f t="shared" si="54"/>
        <v>89127316.066326529</v>
      </c>
      <c r="AQ83" s="471">
        <f t="shared" si="54"/>
        <v>89127316.066326529</v>
      </c>
      <c r="AR83" s="471">
        <f t="shared" si="54"/>
        <v>89127316.066326529</v>
      </c>
      <c r="AS83" s="471">
        <f t="shared" si="54"/>
        <v>0</v>
      </c>
      <c r="AT83" s="471">
        <f t="shared" si="54"/>
        <v>0</v>
      </c>
      <c r="AU83" s="471">
        <f t="shared" si="54"/>
        <v>0</v>
      </c>
      <c r="AV83" s="471">
        <f t="shared" si="54"/>
        <v>0</v>
      </c>
      <c r="AW83" s="471">
        <f t="shared" si="54"/>
        <v>0</v>
      </c>
      <c r="AX83" s="471">
        <f t="shared" si="54"/>
        <v>0</v>
      </c>
      <c r="AY83" s="471">
        <f t="shared" si="54"/>
        <v>0</v>
      </c>
      <c r="AZ83" s="471">
        <f t="shared" si="54"/>
        <v>0</v>
      </c>
      <c r="BA83" s="471">
        <f t="shared" si="54"/>
        <v>0</v>
      </c>
      <c r="BB83" s="471">
        <f t="shared" si="54"/>
        <v>0</v>
      </c>
      <c r="BC83" s="471">
        <f t="shared" si="54"/>
        <v>0</v>
      </c>
      <c r="BD83" s="471">
        <f t="shared" si="54"/>
        <v>0</v>
      </c>
      <c r="BE83" s="471">
        <f t="shared" si="54"/>
        <v>0</v>
      </c>
      <c r="BF83" s="471">
        <f t="shared" si="54"/>
        <v>0</v>
      </c>
      <c r="BG83" s="471">
        <f t="shared" si="54"/>
        <v>0</v>
      </c>
      <c r="BH83" s="471">
        <f t="shared" si="54"/>
        <v>0</v>
      </c>
      <c r="BI83" s="471">
        <f t="shared" si="54"/>
        <v>0</v>
      </c>
      <c r="BJ83" s="471">
        <f t="shared" si="54"/>
        <v>0</v>
      </c>
      <c r="BK83" s="471">
        <f t="shared" si="54"/>
        <v>0</v>
      </c>
      <c r="BL83" s="471">
        <f t="shared" si="54"/>
        <v>0</v>
      </c>
      <c r="BM83" s="471">
        <f t="shared" si="54"/>
        <v>0</v>
      </c>
      <c r="BN83" s="471">
        <f t="shared" si="54"/>
        <v>0</v>
      </c>
      <c r="BO83" s="471">
        <f t="shared" si="54"/>
        <v>0</v>
      </c>
      <c r="BP83" s="471">
        <f t="shared" si="54"/>
        <v>0</v>
      </c>
      <c r="BQ83" s="471">
        <f t="shared" si="54"/>
        <v>0</v>
      </c>
      <c r="BR83" s="471">
        <f t="shared" si="54"/>
        <v>0</v>
      </c>
      <c r="BS83" s="471">
        <f t="shared" si="54"/>
        <v>0</v>
      </c>
      <c r="BT83" s="471">
        <f t="shared" si="54"/>
        <v>0</v>
      </c>
      <c r="BU83" s="471">
        <f t="shared" si="54"/>
        <v>0</v>
      </c>
      <c r="BV83" s="471">
        <f t="shared" ref="BV83:CB83" si="55">SUM(BV74:BV82)</f>
        <v>0</v>
      </c>
      <c r="BW83" s="471">
        <f t="shared" si="55"/>
        <v>0</v>
      </c>
      <c r="BX83" s="471">
        <f t="shared" si="55"/>
        <v>0</v>
      </c>
      <c r="BY83" s="471">
        <f t="shared" si="55"/>
        <v>0</v>
      </c>
      <c r="BZ83" s="471">
        <f t="shared" si="55"/>
        <v>0</v>
      </c>
      <c r="CA83" s="471">
        <f t="shared" si="55"/>
        <v>0</v>
      </c>
      <c r="CB83" s="471">
        <f t="shared" si="55"/>
        <v>0</v>
      </c>
    </row>
    <row r="84" spans="2:270">
      <c r="B84" s="223"/>
      <c r="C84" s="15"/>
      <c r="AJ84" s="42"/>
    </row>
    <row r="85" spans="2:270">
      <c r="B85" s="2" t="s">
        <v>219</v>
      </c>
      <c r="C85" s="15"/>
      <c r="AJ85" s="42"/>
    </row>
    <row r="86" spans="2:270">
      <c r="B86" s="2" t="s">
        <v>220</v>
      </c>
      <c r="C86" s="15" t="str">
        <f t="shared" si="37"/>
        <v>US$</v>
      </c>
      <c r="D86" s="42">
        <f>SUM(I86:CB86)</f>
        <v>891273160.66326511</v>
      </c>
      <c r="I86" s="42">
        <f>I83</f>
        <v>0</v>
      </c>
      <c r="J86" s="42">
        <f t="shared" ref="J86:BU86" si="56">J83</f>
        <v>0</v>
      </c>
      <c r="K86" s="42">
        <f t="shared" si="56"/>
        <v>0</v>
      </c>
      <c r="L86" s="42">
        <f t="shared" si="56"/>
        <v>0</v>
      </c>
      <c r="M86" s="42">
        <f t="shared" si="56"/>
        <v>0</v>
      </c>
      <c r="N86" s="42">
        <f t="shared" si="56"/>
        <v>0</v>
      </c>
      <c r="O86" s="42">
        <f t="shared" si="56"/>
        <v>0</v>
      </c>
      <c r="P86" s="42">
        <f t="shared" si="56"/>
        <v>0</v>
      </c>
      <c r="Q86" s="42">
        <f t="shared" si="56"/>
        <v>0</v>
      </c>
      <c r="R86" s="42">
        <f t="shared" si="56"/>
        <v>0</v>
      </c>
      <c r="S86" s="42">
        <f t="shared" si="56"/>
        <v>0</v>
      </c>
      <c r="T86" s="42">
        <f t="shared" si="56"/>
        <v>0</v>
      </c>
      <c r="U86" s="42">
        <f t="shared" si="56"/>
        <v>0</v>
      </c>
      <c r="V86" s="42">
        <f t="shared" si="56"/>
        <v>0</v>
      </c>
      <c r="W86" s="42">
        <f t="shared" si="56"/>
        <v>0</v>
      </c>
      <c r="X86" s="42">
        <f t="shared" si="56"/>
        <v>0</v>
      </c>
      <c r="Y86" s="42">
        <f t="shared" si="56"/>
        <v>0</v>
      </c>
      <c r="Z86" s="42">
        <f t="shared" si="56"/>
        <v>17825463.213265307</v>
      </c>
      <c r="AA86" s="42">
        <f t="shared" si="56"/>
        <v>17825463.213265307</v>
      </c>
      <c r="AB86" s="42">
        <f t="shared" si="56"/>
        <v>17825463.213265307</v>
      </c>
      <c r="AC86" s="42">
        <f t="shared" si="56"/>
        <v>17825463.213265307</v>
      </c>
      <c r="AD86" s="42">
        <f t="shared" si="56"/>
        <v>17825463.213265307</v>
      </c>
      <c r="AE86" s="42">
        <f t="shared" si="56"/>
        <v>17825463.213265307</v>
      </c>
      <c r="AF86" s="42">
        <f t="shared" si="56"/>
        <v>26738194.819897957</v>
      </c>
      <c r="AG86" s="42">
        <f t="shared" si="56"/>
        <v>44563658.033163264</v>
      </c>
      <c r="AH86" s="42">
        <f t="shared" si="56"/>
        <v>44563658.033163264</v>
      </c>
      <c r="AI86" s="42">
        <f t="shared" si="56"/>
        <v>44563658.033163264</v>
      </c>
      <c r="AJ86" s="42">
        <f t="shared" si="56"/>
        <v>44563658.033163264</v>
      </c>
      <c r="AK86" s="42">
        <f t="shared" si="56"/>
        <v>44563658.033163264</v>
      </c>
      <c r="AL86" s="42">
        <f t="shared" si="56"/>
        <v>44563658.033163264</v>
      </c>
      <c r="AM86" s="42">
        <f t="shared" si="56"/>
        <v>44563658.033163264</v>
      </c>
      <c r="AN86" s="42">
        <f t="shared" si="56"/>
        <v>89127316.066326529</v>
      </c>
      <c r="AO86" s="42">
        <f t="shared" si="56"/>
        <v>89127316.066326529</v>
      </c>
      <c r="AP86" s="42">
        <f t="shared" si="56"/>
        <v>89127316.066326529</v>
      </c>
      <c r="AQ86" s="42">
        <f t="shared" si="56"/>
        <v>89127316.066326529</v>
      </c>
      <c r="AR86" s="42">
        <f t="shared" si="56"/>
        <v>89127316.066326529</v>
      </c>
      <c r="AS86" s="42">
        <f t="shared" si="56"/>
        <v>0</v>
      </c>
      <c r="AT86" s="42">
        <f t="shared" si="56"/>
        <v>0</v>
      </c>
      <c r="AU86" s="42">
        <f t="shared" si="56"/>
        <v>0</v>
      </c>
      <c r="AV86" s="42">
        <f t="shared" si="56"/>
        <v>0</v>
      </c>
      <c r="AW86" s="42">
        <f t="shared" si="56"/>
        <v>0</v>
      </c>
      <c r="AX86" s="42">
        <f t="shared" si="56"/>
        <v>0</v>
      </c>
      <c r="AY86" s="42">
        <f t="shared" si="56"/>
        <v>0</v>
      </c>
      <c r="AZ86" s="42">
        <f t="shared" si="56"/>
        <v>0</v>
      </c>
      <c r="BA86" s="42">
        <f t="shared" si="56"/>
        <v>0</v>
      </c>
      <c r="BB86" s="42">
        <f t="shared" si="56"/>
        <v>0</v>
      </c>
      <c r="BC86" s="42">
        <f t="shared" si="56"/>
        <v>0</v>
      </c>
      <c r="BD86" s="42">
        <f t="shared" si="56"/>
        <v>0</v>
      </c>
      <c r="BE86" s="42">
        <f t="shared" si="56"/>
        <v>0</v>
      </c>
      <c r="BF86" s="42">
        <f t="shared" si="56"/>
        <v>0</v>
      </c>
      <c r="BG86" s="42">
        <f t="shared" si="56"/>
        <v>0</v>
      </c>
      <c r="BH86" s="42">
        <f t="shared" si="56"/>
        <v>0</v>
      </c>
      <c r="BI86" s="42">
        <f t="shared" si="56"/>
        <v>0</v>
      </c>
      <c r="BJ86" s="42">
        <f t="shared" si="56"/>
        <v>0</v>
      </c>
      <c r="BK86" s="42">
        <f t="shared" si="56"/>
        <v>0</v>
      </c>
      <c r="BL86" s="42">
        <f t="shared" si="56"/>
        <v>0</v>
      </c>
      <c r="BM86" s="42">
        <f t="shared" si="56"/>
        <v>0</v>
      </c>
      <c r="BN86" s="42">
        <f t="shared" si="56"/>
        <v>0</v>
      </c>
      <c r="BO86" s="42">
        <f t="shared" si="56"/>
        <v>0</v>
      </c>
      <c r="BP86" s="42">
        <f t="shared" si="56"/>
        <v>0</v>
      </c>
      <c r="BQ86" s="42">
        <f t="shared" si="56"/>
        <v>0</v>
      </c>
      <c r="BR86" s="42">
        <f t="shared" si="56"/>
        <v>0</v>
      </c>
      <c r="BS86" s="42">
        <f t="shared" si="56"/>
        <v>0</v>
      </c>
      <c r="BT86" s="42">
        <f t="shared" si="56"/>
        <v>0</v>
      </c>
      <c r="BU86" s="42">
        <f t="shared" si="56"/>
        <v>0</v>
      </c>
      <c r="BV86" s="42">
        <f t="shared" ref="BV86:CB86" si="57">BV83</f>
        <v>0</v>
      </c>
      <c r="BW86" s="42">
        <f t="shared" si="57"/>
        <v>0</v>
      </c>
      <c r="BX86" s="42">
        <f t="shared" si="57"/>
        <v>0</v>
      </c>
      <c r="BY86" s="42">
        <f t="shared" si="57"/>
        <v>0</v>
      </c>
      <c r="BZ86" s="42">
        <f t="shared" si="57"/>
        <v>0</v>
      </c>
      <c r="CA86" s="42">
        <f t="shared" si="57"/>
        <v>0</v>
      </c>
      <c r="CB86" s="42">
        <f t="shared" si="57"/>
        <v>0</v>
      </c>
    </row>
    <row r="87" spans="2:270">
      <c r="B87" s="2" t="s">
        <v>221</v>
      </c>
      <c r="C87" s="15" t="str">
        <f t="shared" si="37"/>
        <v>US$</v>
      </c>
      <c r="D87" s="42">
        <f>SUM(I87:CB87)</f>
        <v>0</v>
      </c>
      <c r="I87" s="42">
        <f>I313</f>
        <v>0</v>
      </c>
      <c r="J87" s="42">
        <f t="shared" ref="J87:BU87" si="58">J313</f>
        <v>0</v>
      </c>
      <c r="K87" s="42">
        <f t="shared" si="58"/>
        <v>0</v>
      </c>
      <c r="L87" s="42">
        <f t="shared" si="58"/>
        <v>0</v>
      </c>
      <c r="M87" s="42">
        <f t="shared" si="58"/>
        <v>0</v>
      </c>
      <c r="N87" s="42">
        <f t="shared" si="58"/>
        <v>0</v>
      </c>
      <c r="O87" s="42">
        <f t="shared" si="58"/>
        <v>0</v>
      </c>
      <c r="P87" s="42">
        <f t="shared" si="58"/>
        <v>0</v>
      </c>
      <c r="Q87" s="42">
        <f t="shared" si="58"/>
        <v>0</v>
      </c>
      <c r="R87" s="42">
        <f t="shared" si="58"/>
        <v>0</v>
      </c>
      <c r="S87" s="42">
        <f t="shared" si="58"/>
        <v>0</v>
      </c>
      <c r="T87" s="42">
        <f t="shared" si="58"/>
        <v>0</v>
      </c>
      <c r="U87" s="42">
        <f t="shared" si="58"/>
        <v>0</v>
      </c>
      <c r="V87" s="42">
        <f t="shared" si="58"/>
        <v>0</v>
      </c>
      <c r="W87" s="42">
        <f t="shared" si="58"/>
        <v>0</v>
      </c>
      <c r="X87" s="42">
        <f t="shared" si="58"/>
        <v>0</v>
      </c>
      <c r="Y87" s="42">
        <f t="shared" si="58"/>
        <v>0</v>
      </c>
      <c r="Z87" s="42">
        <f t="shared" si="58"/>
        <v>0</v>
      </c>
      <c r="AA87" s="42">
        <f t="shared" si="58"/>
        <v>0</v>
      </c>
      <c r="AB87" s="42">
        <f t="shared" si="58"/>
        <v>0</v>
      </c>
      <c r="AC87" s="42">
        <f t="shared" si="58"/>
        <v>0</v>
      </c>
      <c r="AD87" s="42">
        <f t="shared" si="58"/>
        <v>0</v>
      </c>
      <c r="AE87" s="42">
        <f t="shared" si="58"/>
        <v>0</v>
      </c>
      <c r="AF87" s="42">
        <f t="shared" si="58"/>
        <v>0</v>
      </c>
      <c r="AG87" s="42">
        <f t="shared" si="58"/>
        <v>0</v>
      </c>
      <c r="AH87" s="42">
        <f t="shared" si="58"/>
        <v>0</v>
      </c>
      <c r="AI87" s="42">
        <f t="shared" si="58"/>
        <v>0</v>
      </c>
      <c r="AJ87" s="42">
        <f t="shared" si="58"/>
        <v>0</v>
      </c>
      <c r="AK87" s="42">
        <f t="shared" si="58"/>
        <v>0</v>
      </c>
      <c r="AL87" s="42">
        <f t="shared" si="58"/>
        <v>0</v>
      </c>
      <c r="AM87" s="42">
        <f t="shared" si="58"/>
        <v>0</v>
      </c>
      <c r="AN87" s="42">
        <f t="shared" si="58"/>
        <v>0</v>
      </c>
      <c r="AO87" s="42">
        <f t="shared" si="58"/>
        <v>0</v>
      </c>
      <c r="AP87" s="42">
        <f t="shared" si="58"/>
        <v>0</v>
      </c>
      <c r="AQ87" s="42">
        <f t="shared" si="58"/>
        <v>0</v>
      </c>
      <c r="AR87" s="42">
        <f t="shared" si="58"/>
        <v>0</v>
      </c>
      <c r="AS87" s="42">
        <f t="shared" si="58"/>
        <v>0</v>
      </c>
      <c r="AT87" s="42">
        <f t="shared" si="58"/>
        <v>0</v>
      </c>
      <c r="AU87" s="42">
        <f t="shared" si="58"/>
        <v>0</v>
      </c>
      <c r="AV87" s="42">
        <f t="shared" si="58"/>
        <v>0</v>
      </c>
      <c r="AW87" s="42">
        <f t="shared" si="58"/>
        <v>0</v>
      </c>
      <c r="AX87" s="42">
        <f t="shared" si="58"/>
        <v>0</v>
      </c>
      <c r="AY87" s="42">
        <f t="shared" si="58"/>
        <v>0</v>
      </c>
      <c r="AZ87" s="42">
        <f t="shared" si="58"/>
        <v>0</v>
      </c>
      <c r="BA87" s="42">
        <f t="shared" si="58"/>
        <v>0</v>
      </c>
      <c r="BB87" s="42">
        <f t="shared" si="58"/>
        <v>0</v>
      </c>
      <c r="BC87" s="42">
        <f t="shared" si="58"/>
        <v>0</v>
      </c>
      <c r="BD87" s="42">
        <f t="shared" si="58"/>
        <v>0</v>
      </c>
      <c r="BE87" s="42">
        <f t="shared" si="58"/>
        <v>0</v>
      </c>
      <c r="BF87" s="42">
        <f t="shared" si="58"/>
        <v>0</v>
      </c>
      <c r="BG87" s="42">
        <f t="shared" si="58"/>
        <v>0</v>
      </c>
      <c r="BH87" s="42">
        <f t="shared" si="58"/>
        <v>0</v>
      </c>
      <c r="BI87" s="42">
        <f t="shared" si="58"/>
        <v>0</v>
      </c>
      <c r="BJ87" s="42">
        <f t="shared" si="58"/>
        <v>0</v>
      </c>
      <c r="BK87" s="42">
        <f t="shared" si="58"/>
        <v>0</v>
      </c>
      <c r="BL87" s="42">
        <f t="shared" si="58"/>
        <v>0</v>
      </c>
      <c r="BM87" s="42">
        <f t="shared" si="58"/>
        <v>0</v>
      </c>
      <c r="BN87" s="42">
        <f t="shared" si="58"/>
        <v>0</v>
      </c>
      <c r="BO87" s="42">
        <f t="shared" si="58"/>
        <v>0</v>
      </c>
      <c r="BP87" s="42">
        <f t="shared" si="58"/>
        <v>0</v>
      </c>
      <c r="BQ87" s="42">
        <f t="shared" si="58"/>
        <v>0</v>
      </c>
      <c r="BR87" s="42">
        <f t="shared" si="58"/>
        <v>0</v>
      </c>
      <c r="BS87" s="42">
        <f t="shared" si="58"/>
        <v>0</v>
      </c>
      <c r="BT87" s="42">
        <f t="shared" si="58"/>
        <v>0</v>
      </c>
      <c r="BU87" s="42">
        <f t="shared" si="58"/>
        <v>0</v>
      </c>
      <c r="BV87" s="42">
        <f t="shared" ref="BV87:CB87" si="59">BV313</f>
        <v>0</v>
      </c>
      <c r="BW87" s="42">
        <f t="shared" si="59"/>
        <v>0</v>
      </c>
      <c r="BX87" s="42">
        <f t="shared" si="59"/>
        <v>0</v>
      </c>
      <c r="BY87" s="42">
        <f t="shared" si="59"/>
        <v>0</v>
      </c>
      <c r="BZ87" s="42">
        <f t="shared" si="59"/>
        <v>0</v>
      </c>
      <c r="CA87" s="42">
        <f t="shared" si="59"/>
        <v>0</v>
      </c>
      <c r="CB87" s="42">
        <f t="shared" si="59"/>
        <v>0</v>
      </c>
    </row>
    <row r="88" spans="2:270">
      <c r="B88" s="2" t="s">
        <v>222</v>
      </c>
      <c r="C88" s="15" t="str">
        <f t="shared" si="37"/>
        <v>US$</v>
      </c>
      <c r="D88" s="42">
        <f>SUM(I88:CB88)</f>
        <v>0</v>
      </c>
      <c r="I88" s="42">
        <f>I342</f>
        <v>0</v>
      </c>
      <c r="J88" s="42">
        <f t="shared" ref="J88:BU88" si="60">J342</f>
        <v>0</v>
      </c>
      <c r="K88" s="42">
        <f t="shared" si="60"/>
        <v>0</v>
      </c>
      <c r="L88" s="42">
        <f t="shared" si="60"/>
        <v>0</v>
      </c>
      <c r="M88" s="42">
        <f t="shared" si="60"/>
        <v>0</v>
      </c>
      <c r="N88" s="42">
        <f t="shared" si="60"/>
        <v>0</v>
      </c>
      <c r="O88" s="42">
        <f t="shared" si="60"/>
        <v>0</v>
      </c>
      <c r="P88" s="42">
        <f t="shared" si="60"/>
        <v>0</v>
      </c>
      <c r="Q88" s="42">
        <f t="shared" si="60"/>
        <v>0</v>
      </c>
      <c r="R88" s="42">
        <f t="shared" si="60"/>
        <v>0</v>
      </c>
      <c r="S88" s="42">
        <f t="shared" si="60"/>
        <v>0</v>
      </c>
      <c r="T88" s="42">
        <f t="shared" si="60"/>
        <v>0</v>
      </c>
      <c r="U88" s="42">
        <f t="shared" si="60"/>
        <v>0</v>
      </c>
      <c r="V88" s="42">
        <f t="shared" si="60"/>
        <v>0</v>
      </c>
      <c r="W88" s="42">
        <f t="shared" si="60"/>
        <v>0</v>
      </c>
      <c r="X88" s="42">
        <f t="shared" si="60"/>
        <v>0</v>
      </c>
      <c r="Y88" s="42">
        <f t="shared" si="60"/>
        <v>0</v>
      </c>
      <c r="Z88" s="42">
        <f t="shared" si="60"/>
        <v>0</v>
      </c>
      <c r="AA88" s="42">
        <f t="shared" si="60"/>
        <v>0</v>
      </c>
      <c r="AB88" s="42">
        <f t="shared" si="60"/>
        <v>0</v>
      </c>
      <c r="AC88" s="42">
        <f t="shared" si="60"/>
        <v>0</v>
      </c>
      <c r="AD88" s="42">
        <f t="shared" si="60"/>
        <v>0</v>
      </c>
      <c r="AE88" s="42">
        <f t="shared" si="60"/>
        <v>0</v>
      </c>
      <c r="AF88" s="42">
        <f t="shared" si="60"/>
        <v>0</v>
      </c>
      <c r="AG88" s="42">
        <f t="shared" si="60"/>
        <v>0</v>
      </c>
      <c r="AH88" s="42">
        <f t="shared" si="60"/>
        <v>0</v>
      </c>
      <c r="AI88" s="42">
        <f t="shared" si="60"/>
        <v>0</v>
      </c>
      <c r="AJ88" s="42">
        <f t="shared" si="60"/>
        <v>0</v>
      </c>
      <c r="AK88" s="42">
        <f t="shared" si="60"/>
        <v>0</v>
      </c>
      <c r="AL88" s="42">
        <f t="shared" si="60"/>
        <v>0</v>
      </c>
      <c r="AM88" s="42">
        <f t="shared" si="60"/>
        <v>0</v>
      </c>
      <c r="AN88" s="42">
        <f t="shared" si="60"/>
        <v>0</v>
      </c>
      <c r="AO88" s="42">
        <f t="shared" si="60"/>
        <v>0</v>
      </c>
      <c r="AP88" s="42">
        <f t="shared" si="60"/>
        <v>0</v>
      </c>
      <c r="AQ88" s="42">
        <f t="shared" si="60"/>
        <v>0</v>
      </c>
      <c r="AR88" s="42">
        <f t="shared" si="60"/>
        <v>0</v>
      </c>
      <c r="AS88" s="42">
        <f t="shared" si="60"/>
        <v>0</v>
      </c>
      <c r="AT88" s="42">
        <f t="shared" si="60"/>
        <v>0</v>
      </c>
      <c r="AU88" s="42">
        <f t="shared" si="60"/>
        <v>0</v>
      </c>
      <c r="AV88" s="42">
        <f t="shared" si="60"/>
        <v>0</v>
      </c>
      <c r="AW88" s="42">
        <f t="shared" si="60"/>
        <v>0</v>
      </c>
      <c r="AX88" s="42">
        <f t="shared" si="60"/>
        <v>0</v>
      </c>
      <c r="AY88" s="42">
        <f t="shared" si="60"/>
        <v>0</v>
      </c>
      <c r="AZ88" s="42">
        <f t="shared" si="60"/>
        <v>0</v>
      </c>
      <c r="BA88" s="42">
        <f t="shared" si="60"/>
        <v>0</v>
      </c>
      <c r="BB88" s="42">
        <f t="shared" si="60"/>
        <v>0</v>
      </c>
      <c r="BC88" s="42">
        <f t="shared" si="60"/>
        <v>0</v>
      </c>
      <c r="BD88" s="42">
        <f t="shared" si="60"/>
        <v>0</v>
      </c>
      <c r="BE88" s="42">
        <f t="shared" si="60"/>
        <v>0</v>
      </c>
      <c r="BF88" s="42">
        <f t="shared" si="60"/>
        <v>0</v>
      </c>
      <c r="BG88" s="42">
        <f t="shared" si="60"/>
        <v>0</v>
      </c>
      <c r="BH88" s="42">
        <f t="shared" si="60"/>
        <v>0</v>
      </c>
      <c r="BI88" s="42">
        <f t="shared" si="60"/>
        <v>0</v>
      </c>
      <c r="BJ88" s="42">
        <f t="shared" si="60"/>
        <v>0</v>
      </c>
      <c r="BK88" s="42">
        <f t="shared" si="60"/>
        <v>0</v>
      </c>
      <c r="BL88" s="42">
        <f t="shared" si="60"/>
        <v>0</v>
      </c>
      <c r="BM88" s="42">
        <f t="shared" si="60"/>
        <v>0</v>
      </c>
      <c r="BN88" s="42">
        <f t="shared" si="60"/>
        <v>0</v>
      </c>
      <c r="BO88" s="42">
        <f t="shared" si="60"/>
        <v>0</v>
      </c>
      <c r="BP88" s="42">
        <f t="shared" si="60"/>
        <v>0</v>
      </c>
      <c r="BQ88" s="42">
        <f t="shared" si="60"/>
        <v>0</v>
      </c>
      <c r="BR88" s="42">
        <f t="shared" si="60"/>
        <v>0</v>
      </c>
      <c r="BS88" s="42">
        <f t="shared" si="60"/>
        <v>0</v>
      </c>
      <c r="BT88" s="42">
        <f t="shared" si="60"/>
        <v>0</v>
      </c>
      <c r="BU88" s="42">
        <f t="shared" si="60"/>
        <v>0</v>
      </c>
      <c r="BV88" s="42">
        <f t="shared" ref="BV88:CB88" si="61">BV342</f>
        <v>0</v>
      </c>
      <c r="BW88" s="42">
        <f t="shared" si="61"/>
        <v>0</v>
      </c>
      <c r="BX88" s="42">
        <f t="shared" si="61"/>
        <v>0</v>
      </c>
      <c r="BY88" s="42">
        <f t="shared" si="61"/>
        <v>0</v>
      </c>
      <c r="BZ88" s="42">
        <f t="shared" si="61"/>
        <v>0</v>
      </c>
      <c r="CA88" s="42">
        <f t="shared" si="61"/>
        <v>0</v>
      </c>
      <c r="CB88" s="42">
        <f t="shared" si="61"/>
        <v>0</v>
      </c>
    </row>
    <row r="89" spans="2:270" s="135" customFormat="1" ht="10.9" customHeight="1">
      <c r="B89" s="1358" t="s">
        <v>71</v>
      </c>
      <c r="C89" s="1515" t="str">
        <f t="shared" si="37"/>
        <v>US$</v>
      </c>
      <c r="D89" s="1516">
        <f>SUM(D86:D88)</f>
        <v>891273160.66326511</v>
      </c>
      <c r="E89" s="1358"/>
      <c r="F89" s="1358"/>
      <c r="G89" s="1358"/>
      <c r="H89" s="1358"/>
      <c r="I89" s="1516">
        <f>SUM(I86:I88)</f>
        <v>0</v>
      </c>
      <c r="J89" s="1516">
        <f t="shared" ref="J89:BU89" si="62">SUM(J86:J88)</f>
        <v>0</v>
      </c>
      <c r="K89" s="1516">
        <f t="shared" si="62"/>
        <v>0</v>
      </c>
      <c r="L89" s="1516">
        <f t="shared" si="62"/>
        <v>0</v>
      </c>
      <c r="M89" s="1516">
        <f t="shared" si="62"/>
        <v>0</v>
      </c>
      <c r="N89" s="1516">
        <f t="shared" si="62"/>
        <v>0</v>
      </c>
      <c r="O89" s="1516">
        <f t="shared" si="62"/>
        <v>0</v>
      </c>
      <c r="P89" s="1516">
        <f t="shared" si="62"/>
        <v>0</v>
      </c>
      <c r="Q89" s="1516">
        <f t="shared" si="62"/>
        <v>0</v>
      </c>
      <c r="R89" s="1516">
        <f t="shared" si="62"/>
        <v>0</v>
      </c>
      <c r="S89" s="1516">
        <f t="shared" si="62"/>
        <v>0</v>
      </c>
      <c r="T89" s="1516">
        <f t="shared" si="62"/>
        <v>0</v>
      </c>
      <c r="U89" s="1516">
        <f t="shared" si="62"/>
        <v>0</v>
      </c>
      <c r="V89" s="1516">
        <f t="shared" si="62"/>
        <v>0</v>
      </c>
      <c r="W89" s="1516">
        <f t="shared" si="62"/>
        <v>0</v>
      </c>
      <c r="X89" s="1516">
        <f t="shared" si="62"/>
        <v>0</v>
      </c>
      <c r="Y89" s="1516">
        <f t="shared" si="62"/>
        <v>0</v>
      </c>
      <c r="Z89" s="1516">
        <f t="shared" si="62"/>
        <v>17825463.213265307</v>
      </c>
      <c r="AA89" s="1516">
        <f t="shared" si="62"/>
        <v>17825463.213265307</v>
      </c>
      <c r="AB89" s="1516">
        <f t="shared" si="62"/>
        <v>17825463.213265307</v>
      </c>
      <c r="AC89" s="1516">
        <f t="shared" si="62"/>
        <v>17825463.213265307</v>
      </c>
      <c r="AD89" s="1516">
        <f t="shared" si="62"/>
        <v>17825463.213265307</v>
      </c>
      <c r="AE89" s="1516">
        <f t="shared" si="62"/>
        <v>17825463.213265307</v>
      </c>
      <c r="AF89" s="1516">
        <f t="shared" si="62"/>
        <v>26738194.819897957</v>
      </c>
      <c r="AG89" s="1516">
        <f t="shared" si="62"/>
        <v>44563658.033163264</v>
      </c>
      <c r="AH89" s="1516">
        <f t="shared" si="62"/>
        <v>44563658.033163264</v>
      </c>
      <c r="AI89" s="1516">
        <f t="shared" si="62"/>
        <v>44563658.033163264</v>
      </c>
      <c r="AJ89" s="1516">
        <f t="shared" si="62"/>
        <v>44563658.033163264</v>
      </c>
      <c r="AK89" s="1516">
        <f t="shared" si="62"/>
        <v>44563658.033163264</v>
      </c>
      <c r="AL89" s="1516">
        <f t="shared" si="62"/>
        <v>44563658.033163264</v>
      </c>
      <c r="AM89" s="1516">
        <f t="shared" si="62"/>
        <v>44563658.033163264</v>
      </c>
      <c r="AN89" s="1516">
        <f t="shared" si="62"/>
        <v>89127316.066326529</v>
      </c>
      <c r="AO89" s="1516">
        <f t="shared" si="62"/>
        <v>89127316.066326529</v>
      </c>
      <c r="AP89" s="1516">
        <f t="shared" si="62"/>
        <v>89127316.066326529</v>
      </c>
      <c r="AQ89" s="1516">
        <f t="shared" si="62"/>
        <v>89127316.066326529</v>
      </c>
      <c r="AR89" s="1516">
        <f t="shared" si="62"/>
        <v>89127316.066326529</v>
      </c>
      <c r="AS89" s="1516">
        <f t="shared" si="62"/>
        <v>0</v>
      </c>
      <c r="AT89" s="1516">
        <f t="shared" si="62"/>
        <v>0</v>
      </c>
      <c r="AU89" s="1516">
        <f t="shared" si="62"/>
        <v>0</v>
      </c>
      <c r="AV89" s="1516">
        <f t="shared" si="62"/>
        <v>0</v>
      </c>
      <c r="AW89" s="1516">
        <f t="shared" si="62"/>
        <v>0</v>
      </c>
      <c r="AX89" s="1516">
        <f t="shared" si="62"/>
        <v>0</v>
      </c>
      <c r="AY89" s="1516">
        <f t="shared" si="62"/>
        <v>0</v>
      </c>
      <c r="AZ89" s="1516">
        <f t="shared" si="62"/>
        <v>0</v>
      </c>
      <c r="BA89" s="1516">
        <f t="shared" si="62"/>
        <v>0</v>
      </c>
      <c r="BB89" s="1516">
        <f t="shared" si="62"/>
        <v>0</v>
      </c>
      <c r="BC89" s="1516">
        <f t="shared" si="62"/>
        <v>0</v>
      </c>
      <c r="BD89" s="1516">
        <f t="shared" si="62"/>
        <v>0</v>
      </c>
      <c r="BE89" s="1516">
        <f t="shared" si="62"/>
        <v>0</v>
      </c>
      <c r="BF89" s="1516">
        <f t="shared" si="62"/>
        <v>0</v>
      </c>
      <c r="BG89" s="1516">
        <f t="shared" si="62"/>
        <v>0</v>
      </c>
      <c r="BH89" s="1516">
        <f t="shared" si="62"/>
        <v>0</v>
      </c>
      <c r="BI89" s="1516">
        <f t="shared" si="62"/>
        <v>0</v>
      </c>
      <c r="BJ89" s="1516">
        <f t="shared" si="62"/>
        <v>0</v>
      </c>
      <c r="BK89" s="1516">
        <f t="shared" si="62"/>
        <v>0</v>
      </c>
      <c r="BL89" s="1516">
        <f t="shared" si="62"/>
        <v>0</v>
      </c>
      <c r="BM89" s="1516">
        <f t="shared" si="62"/>
        <v>0</v>
      </c>
      <c r="BN89" s="1516">
        <f t="shared" si="62"/>
        <v>0</v>
      </c>
      <c r="BO89" s="1516">
        <f t="shared" si="62"/>
        <v>0</v>
      </c>
      <c r="BP89" s="1516">
        <f t="shared" si="62"/>
        <v>0</v>
      </c>
      <c r="BQ89" s="1516">
        <f t="shared" si="62"/>
        <v>0</v>
      </c>
      <c r="BR89" s="1516">
        <f t="shared" si="62"/>
        <v>0</v>
      </c>
      <c r="BS89" s="1516">
        <f t="shared" si="62"/>
        <v>0</v>
      </c>
      <c r="BT89" s="1516">
        <f t="shared" si="62"/>
        <v>0</v>
      </c>
      <c r="BU89" s="1516">
        <f t="shared" si="62"/>
        <v>0</v>
      </c>
      <c r="BV89" s="1516">
        <f t="shared" ref="BV89:CB89" si="63">SUM(BV86:BV88)</f>
        <v>0</v>
      </c>
      <c r="BW89" s="1516">
        <f t="shared" si="63"/>
        <v>0</v>
      </c>
      <c r="BX89" s="1516">
        <f t="shared" si="63"/>
        <v>0</v>
      </c>
      <c r="BY89" s="1516">
        <f t="shared" si="63"/>
        <v>0</v>
      </c>
      <c r="BZ89" s="1516">
        <f t="shared" si="63"/>
        <v>0</v>
      </c>
      <c r="CA89" s="1516">
        <f t="shared" si="63"/>
        <v>0</v>
      </c>
      <c r="CB89" s="1516">
        <f t="shared" si="63"/>
        <v>0</v>
      </c>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2"/>
      <c r="FD89" s="2"/>
      <c r="FE89" s="2"/>
      <c r="FF89" s="2"/>
      <c r="FG89" s="2"/>
      <c r="FH89" s="2"/>
      <c r="FI89" s="2"/>
      <c r="FJ89" s="590"/>
      <c r="FK89" s="590"/>
      <c r="FL89" s="590"/>
      <c r="FM89" s="590"/>
      <c r="FN89" s="590"/>
      <c r="FO89" s="590"/>
      <c r="FP89" s="590"/>
      <c r="FQ89" s="590"/>
      <c r="FR89" s="590"/>
      <c r="FS89" s="590"/>
      <c r="FT89" s="590"/>
      <c r="FU89" s="590"/>
      <c r="FV89" s="590"/>
      <c r="FW89" s="590"/>
      <c r="FX89" s="590"/>
      <c r="FY89" s="590"/>
      <c r="FZ89" s="590"/>
      <c r="GA89" s="590"/>
      <c r="GB89" s="590"/>
      <c r="GC89" s="590"/>
      <c r="GD89" s="590"/>
      <c r="GE89" s="590"/>
      <c r="GF89" s="590"/>
      <c r="GG89" s="590"/>
      <c r="GH89" s="590"/>
      <c r="GI89" s="590"/>
      <c r="GJ89" s="590"/>
      <c r="GK89" s="590"/>
      <c r="GL89" s="590"/>
      <c r="GM89" s="590"/>
      <c r="GN89" s="590"/>
      <c r="GO89" s="590"/>
      <c r="GP89" s="590"/>
      <c r="GQ89" s="590"/>
      <c r="GR89" s="590"/>
      <c r="GS89" s="590"/>
      <c r="GT89" s="590"/>
      <c r="GU89" s="590"/>
      <c r="GV89" s="590"/>
      <c r="GW89" s="590"/>
      <c r="GX89" s="590"/>
      <c r="GY89" s="590"/>
      <c r="GZ89" s="590"/>
      <c r="HA89" s="590"/>
      <c r="HB89" s="590"/>
      <c r="HC89" s="590"/>
      <c r="HD89" s="590"/>
      <c r="HE89" s="590"/>
      <c r="HF89" s="590"/>
      <c r="HG89" s="590"/>
      <c r="HH89" s="590"/>
      <c r="HI89" s="590"/>
      <c r="HJ89" s="590"/>
      <c r="HK89" s="590"/>
      <c r="HL89" s="590"/>
      <c r="HM89" s="590"/>
      <c r="HN89" s="590"/>
      <c r="HO89" s="590"/>
      <c r="HP89" s="590"/>
      <c r="HQ89" s="590"/>
      <c r="HR89" s="590"/>
      <c r="HS89" s="590"/>
      <c r="HT89" s="590"/>
      <c r="HU89" s="590"/>
      <c r="HV89" s="590"/>
      <c r="HW89" s="590"/>
      <c r="HX89" s="590"/>
      <c r="HY89" s="590"/>
      <c r="HZ89" s="590"/>
      <c r="IA89" s="590"/>
      <c r="IB89" s="590"/>
      <c r="IC89" s="590"/>
      <c r="ID89" s="590"/>
      <c r="IE89" s="590"/>
      <c r="IF89" s="590"/>
      <c r="IG89" s="590"/>
      <c r="IH89" s="590"/>
      <c r="II89" s="590"/>
      <c r="IJ89" s="590"/>
      <c r="IK89" s="590"/>
      <c r="IL89" s="590"/>
      <c r="IM89" s="590"/>
      <c r="IN89" s="590"/>
      <c r="IO89" s="590"/>
      <c r="IP89" s="590"/>
      <c r="IQ89" s="590"/>
      <c r="IR89" s="590"/>
      <c r="IS89" s="590"/>
      <c r="IT89" s="590"/>
      <c r="IU89" s="590"/>
      <c r="IV89" s="590"/>
      <c r="IW89" s="590"/>
      <c r="IX89" s="590"/>
      <c r="IY89" s="590"/>
      <c r="IZ89" s="590"/>
      <c r="JA89" s="590"/>
      <c r="JB89" s="590"/>
      <c r="JC89" s="590"/>
      <c r="JD89" s="590"/>
      <c r="JE89" s="590"/>
      <c r="JF89" s="590"/>
      <c r="JG89" s="590"/>
      <c r="JH89" s="590"/>
      <c r="JI89" s="590"/>
      <c r="JJ89" s="590"/>
    </row>
    <row r="90" spans="2:270" ht="10.9" customHeight="1" thickBot="1">
      <c r="C90" s="15"/>
      <c r="D90" s="42"/>
      <c r="I90" s="42"/>
      <c r="J90" s="42"/>
      <c r="K90" s="42"/>
      <c r="L90" s="42"/>
      <c r="M90" s="42"/>
      <c r="N90" s="42"/>
      <c r="O90" s="42"/>
      <c r="P90" s="42"/>
      <c r="Q90" s="42"/>
      <c r="R90" s="42"/>
      <c r="S90" s="42"/>
      <c r="T90" s="42"/>
      <c r="U90" s="42"/>
      <c r="V90" s="42"/>
      <c r="W90" s="42"/>
      <c r="X90" s="42"/>
      <c r="Y90" s="42"/>
      <c r="Z90" s="42"/>
      <c r="AA90" s="42"/>
      <c r="AB90" s="42"/>
      <c r="AC90" s="42"/>
      <c r="AD90" s="42"/>
      <c r="AE90" s="42"/>
      <c r="AF90" s="42"/>
      <c r="AG90" s="42"/>
      <c r="AH90" s="42"/>
      <c r="AI90" s="42"/>
      <c r="AJ90" s="42"/>
    </row>
    <row r="91" spans="2:270" ht="10.9" customHeight="1" thickBot="1">
      <c r="B91" s="1500" t="s">
        <v>1595</v>
      </c>
      <c r="C91" s="15"/>
      <c r="D91" s="1514">
        <f>'Sens WIP'!D29</f>
        <v>0</v>
      </c>
      <c r="I91" s="42"/>
      <c r="J91" s="42"/>
      <c r="K91" s="42"/>
      <c r="L91" s="42"/>
      <c r="M91" s="42"/>
      <c r="N91" s="42"/>
      <c r="O91" s="42"/>
      <c r="P91" s="42"/>
      <c r="Q91" s="42"/>
      <c r="R91" s="42"/>
      <c r="S91" s="42"/>
      <c r="T91" s="42"/>
      <c r="U91" s="42"/>
      <c r="V91" s="42"/>
      <c r="W91" s="42"/>
      <c r="X91" s="42"/>
      <c r="Y91" s="42"/>
      <c r="Z91" s="42"/>
      <c r="AA91" s="42"/>
      <c r="AB91" s="42"/>
      <c r="AC91" s="42"/>
      <c r="AD91" s="42"/>
      <c r="AE91" s="42"/>
      <c r="AF91" s="42"/>
      <c r="AG91" s="42"/>
      <c r="AH91" s="42"/>
      <c r="AI91" s="42"/>
      <c r="AJ91" s="42"/>
    </row>
    <row r="92" spans="2:270" ht="10.9" customHeight="1">
      <c r="B92" s="2" t="s">
        <v>1596</v>
      </c>
      <c r="C92" s="15"/>
      <c r="D92" s="42"/>
      <c r="I92" s="42">
        <f>I89</f>
        <v>0</v>
      </c>
      <c r="J92" s="42">
        <f t="shared" ref="J92:BU92" si="64">J89</f>
        <v>0</v>
      </c>
      <c r="K92" s="42">
        <f t="shared" si="64"/>
        <v>0</v>
      </c>
      <c r="L92" s="42">
        <f t="shared" si="64"/>
        <v>0</v>
      </c>
      <c r="M92" s="42">
        <f t="shared" si="64"/>
        <v>0</v>
      </c>
      <c r="N92" s="42">
        <f t="shared" si="64"/>
        <v>0</v>
      </c>
      <c r="O92" s="42">
        <f t="shared" si="64"/>
        <v>0</v>
      </c>
      <c r="P92" s="42">
        <f t="shared" si="64"/>
        <v>0</v>
      </c>
      <c r="Q92" s="42">
        <f t="shared" si="64"/>
        <v>0</v>
      </c>
      <c r="R92" s="42">
        <f t="shared" si="64"/>
        <v>0</v>
      </c>
      <c r="S92" s="42">
        <f t="shared" si="64"/>
        <v>0</v>
      </c>
      <c r="T92" s="42">
        <f t="shared" si="64"/>
        <v>0</v>
      </c>
      <c r="U92" s="42">
        <f t="shared" si="64"/>
        <v>0</v>
      </c>
      <c r="V92" s="42">
        <f t="shared" si="64"/>
        <v>0</v>
      </c>
      <c r="W92" s="42">
        <f t="shared" si="64"/>
        <v>0</v>
      </c>
      <c r="X92" s="42">
        <f t="shared" si="64"/>
        <v>0</v>
      </c>
      <c r="Y92" s="42">
        <f t="shared" si="64"/>
        <v>0</v>
      </c>
      <c r="Z92" s="42">
        <f t="shared" si="64"/>
        <v>17825463.213265307</v>
      </c>
      <c r="AA92" s="42">
        <f t="shared" si="64"/>
        <v>17825463.213265307</v>
      </c>
      <c r="AB92" s="42">
        <f t="shared" si="64"/>
        <v>17825463.213265307</v>
      </c>
      <c r="AC92" s="42">
        <f t="shared" si="64"/>
        <v>17825463.213265307</v>
      </c>
      <c r="AD92" s="42">
        <f t="shared" si="64"/>
        <v>17825463.213265307</v>
      </c>
      <c r="AE92" s="42">
        <f t="shared" si="64"/>
        <v>17825463.213265307</v>
      </c>
      <c r="AF92" s="42">
        <f t="shared" si="64"/>
        <v>26738194.819897957</v>
      </c>
      <c r="AG92" s="42">
        <f t="shared" si="64"/>
        <v>44563658.033163264</v>
      </c>
      <c r="AH92" s="42">
        <f t="shared" si="64"/>
        <v>44563658.033163264</v>
      </c>
      <c r="AI92" s="42">
        <f t="shared" si="64"/>
        <v>44563658.033163264</v>
      </c>
      <c r="AJ92" s="42">
        <f t="shared" si="64"/>
        <v>44563658.033163264</v>
      </c>
      <c r="AK92" s="42">
        <f t="shared" si="64"/>
        <v>44563658.033163264</v>
      </c>
      <c r="AL92" s="42">
        <f t="shared" si="64"/>
        <v>44563658.033163264</v>
      </c>
      <c r="AM92" s="42">
        <f t="shared" si="64"/>
        <v>44563658.033163264</v>
      </c>
      <c r="AN92" s="42">
        <f t="shared" si="64"/>
        <v>89127316.066326529</v>
      </c>
      <c r="AO92" s="42">
        <f t="shared" si="64"/>
        <v>89127316.066326529</v>
      </c>
      <c r="AP92" s="42">
        <f t="shared" si="64"/>
        <v>89127316.066326529</v>
      </c>
      <c r="AQ92" s="42">
        <f t="shared" si="64"/>
        <v>89127316.066326529</v>
      </c>
      <c r="AR92" s="42">
        <f t="shared" si="64"/>
        <v>89127316.066326529</v>
      </c>
      <c r="AS92" s="42">
        <f t="shared" si="64"/>
        <v>0</v>
      </c>
      <c r="AT92" s="42">
        <f t="shared" si="64"/>
        <v>0</v>
      </c>
      <c r="AU92" s="42">
        <f t="shared" si="64"/>
        <v>0</v>
      </c>
      <c r="AV92" s="42">
        <f t="shared" si="64"/>
        <v>0</v>
      </c>
      <c r="AW92" s="42">
        <f t="shared" si="64"/>
        <v>0</v>
      </c>
      <c r="AX92" s="42">
        <f t="shared" si="64"/>
        <v>0</v>
      </c>
      <c r="AY92" s="42">
        <f t="shared" si="64"/>
        <v>0</v>
      </c>
      <c r="AZ92" s="42">
        <f t="shared" si="64"/>
        <v>0</v>
      </c>
      <c r="BA92" s="42">
        <f t="shared" si="64"/>
        <v>0</v>
      </c>
      <c r="BB92" s="42">
        <f t="shared" si="64"/>
        <v>0</v>
      </c>
      <c r="BC92" s="42">
        <f t="shared" si="64"/>
        <v>0</v>
      </c>
      <c r="BD92" s="42">
        <f t="shared" si="64"/>
        <v>0</v>
      </c>
      <c r="BE92" s="42">
        <f t="shared" si="64"/>
        <v>0</v>
      </c>
      <c r="BF92" s="42">
        <f t="shared" si="64"/>
        <v>0</v>
      </c>
      <c r="BG92" s="42">
        <f t="shared" si="64"/>
        <v>0</v>
      </c>
      <c r="BH92" s="42">
        <f t="shared" si="64"/>
        <v>0</v>
      </c>
      <c r="BI92" s="42">
        <f t="shared" si="64"/>
        <v>0</v>
      </c>
      <c r="BJ92" s="42">
        <f t="shared" si="64"/>
        <v>0</v>
      </c>
      <c r="BK92" s="42">
        <f t="shared" si="64"/>
        <v>0</v>
      </c>
      <c r="BL92" s="42">
        <f t="shared" si="64"/>
        <v>0</v>
      </c>
      <c r="BM92" s="42">
        <f t="shared" si="64"/>
        <v>0</v>
      </c>
      <c r="BN92" s="42">
        <f t="shared" si="64"/>
        <v>0</v>
      </c>
      <c r="BO92" s="42">
        <f t="shared" si="64"/>
        <v>0</v>
      </c>
      <c r="BP92" s="42">
        <f t="shared" si="64"/>
        <v>0</v>
      </c>
      <c r="BQ92" s="42">
        <f t="shared" si="64"/>
        <v>0</v>
      </c>
      <c r="BR92" s="42">
        <f t="shared" si="64"/>
        <v>0</v>
      </c>
      <c r="BS92" s="42">
        <f t="shared" si="64"/>
        <v>0</v>
      </c>
      <c r="BT92" s="42">
        <f t="shared" si="64"/>
        <v>0</v>
      </c>
      <c r="BU92" s="42">
        <f t="shared" si="64"/>
        <v>0</v>
      </c>
      <c r="BV92" s="42">
        <f t="shared" ref="BV92:CB92" si="65">BV89</f>
        <v>0</v>
      </c>
      <c r="BW92" s="42">
        <f t="shared" si="65"/>
        <v>0</v>
      </c>
      <c r="BX92" s="42">
        <f t="shared" si="65"/>
        <v>0</v>
      </c>
      <c r="BY92" s="42">
        <f t="shared" si="65"/>
        <v>0</v>
      </c>
      <c r="BZ92" s="42">
        <f t="shared" si="65"/>
        <v>0</v>
      </c>
      <c r="CA92" s="42">
        <f t="shared" si="65"/>
        <v>0</v>
      </c>
      <c r="CB92" s="42">
        <f t="shared" si="65"/>
        <v>0</v>
      </c>
    </row>
    <row r="93" spans="2:270" ht="10.9" customHeight="1">
      <c r="B93" s="2" t="s">
        <v>1597</v>
      </c>
      <c r="C93" s="15"/>
      <c r="D93" s="42"/>
      <c r="I93" s="42">
        <f>I92*(1+D91)</f>
        <v>0</v>
      </c>
      <c r="J93" s="42">
        <f t="shared" ref="J93:BU93" si="66">J92*(1+E91)</f>
        <v>0</v>
      </c>
      <c r="K93" s="42">
        <f t="shared" si="66"/>
        <v>0</v>
      </c>
      <c r="L93" s="42">
        <f t="shared" si="66"/>
        <v>0</v>
      </c>
      <c r="M93" s="42">
        <f t="shared" si="66"/>
        <v>0</v>
      </c>
      <c r="N93" s="42">
        <f t="shared" si="66"/>
        <v>0</v>
      </c>
      <c r="O93" s="42">
        <f t="shared" si="66"/>
        <v>0</v>
      </c>
      <c r="P93" s="42">
        <f t="shared" si="66"/>
        <v>0</v>
      </c>
      <c r="Q93" s="42">
        <f t="shared" si="66"/>
        <v>0</v>
      </c>
      <c r="R93" s="42">
        <f t="shared" si="66"/>
        <v>0</v>
      </c>
      <c r="S93" s="42">
        <f t="shared" si="66"/>
        <v>0</v>
      </c>
      <c r="T93" s="42">
        <f t="shared" si="66"/>
        <v>0</v>
      </c>
      <c r="U93" s="42">
        <f t="shared" si="66"/>
        <v>0</v>
      </c>
      <c r="V93" s="42">
        <f t="shared" si="66"/>
        <v>0</v>
      </c>
      <c r="W93" s="42">
        <f t="shared" si="66"/>
        <v>0</v>
      </c>
      <c r="X93" s="42">
        <f t="shared" si="66"/>
        <v>0</v>
      </c>
      <c r="Y93" s="42">
        <f t="shared" si="66"/>
        <v>0</v>
      </c>
      <c r="Z93" s="42">
        <f t="shared" si="66"/>
        <v>17825463.213265307</v>
      </c>
      <c r="AA93" s="42">
        <f t="shared" si="66"/>
        <v>17825463.213265307</v>
      </c>
      <c r="AB93" s="42">
        <f t="shared" si="66"/>
        <v>17825463.213265307</v>
      </c>
      <c r="AC93" s="42">
        <f t="shared" si="66"/>
        <v>17825463.213265307</v>
      </c>
      <c r="AD93" s="42">
        <f t="shared" si="66"/>
        <v>17825463.213265307</v>
      </c>
      <c r="AE93" s="42">
        <f t="shared" si="66"/>
        <v>17825463.213265307</v>
      </c>
      <c r="AF93" s="42">
        <f t="shared" si="66"/>
        <v>26738194.819897957</v>
      </c>
      <c r="AG93" s="42">
        <f t="shared" si="66"/>
        <v>44563658.033163264</v>
      </c>
      <c r="AH93" s="42">
        <f t="shared" si="66"/>
        <v>44563658.033163264</v>
      </c>
      <c r="AI93" s="42">
        <f t="shared" si="66"/>
        <v>44563658.033163264</v>
      </c>
      <c r="AJ93" s="42">
        <f t="shared" si="66"/>
        <v>44563658.033163264</v>
      </c>
      <c r="AK93" s="42">
        <f t="shared" si="66"/>
        <v>44563658.033163264</v>
      </c>
      <c r="AL93" s="42">
        <f t="shared" si="66"/>
        <v>44563658.033163264</v>
      </c>
      <c r="AM93" s="42">
        <f t="shared" si="66"/>
        <v>44563658.033163264</v>
      </c>
      <c r="AN93" s="42">
        <f t="shared" si="66"/>
        <v>89127316.066326529</v>
      </c>
      <c r="AO93" s="42">
        <f t="shared" si="66"/>
        <v>89127316.066326529</v>
      </c>
      <c r="AP93" s="42">
        <f t="shared" si="66"/>
        <v>89127316.066326529</v>
      </c>
      <c r="AQ93" s="42">
        <f t="shared" si="66"/>
        <v>89127316.066326529</v>
      </c>
      <c r="AR93" s="42">
        <f t="shared" si="66"/>
        <v>89127316.066326529</v>
      </c>
      <c r="AS93" s="42">
        <f t="shared" si="66"/>
        <v>0</v>
      </c>
      <c r="AT93" s="42">
        <f t="shared" si="66"/>
        <v>0</v>
      </c>
      <c r="AU93" s="42">
        <f t="shared" si="66"/>
        <v>0</v>
      </c>
      <c r="AV93" s="42">
        <f t="shared" si="66"/>
        <v>0</v>
      </c>
      <c r="AW93" s="42">
        <f t="shared" si="66"/>
        <v>0</v>
      </c>
      <c r="AX93" s="42">
        <f t="shared" si="66"/>
        <v>0</v>
      </c>
      <c r="AY93" s="42">
        <f t="shared" si="66"/>
        <v>0</v>
      </c>
      <c r="AZ93" s="42">
        <f t="shared" si="66"/>
        <v>0</v>
      </c>
      <c r="BA93" s="42">
        <f t="shared" si="66"/>
        <v>0</v>
      </c>
      <c r="BB93" s="42">
        <f t="shared" si="66"/>
        <v>0</v>
      </c>
      <c r="BC93" s="42">
        <f t="shared" si="66"/>
        <v>0</v>
      </c>
      <c r="BD93" s="42">
        <f t="shared" si="66"/>
        <v>0</v>
      </c>
      <c r="BE93" s="42">
        <f t="shared" si="66"/>
        <v>0</v>
      </c>
      <c r="BF93" s="42">
        <f t="shared" si="66"/>
        <v>0</v>
      </c>
      <c r="BG93" s="42">
        <f t="shared" si="66"/>
        <v>0</v>
      </c>
      <c r="BH93" s="42">
        <f t="shared" si="66"/>
        <v>0</v>
      </c>
      <c r="BI93" s="42">
        <f t="shared" si="66"/>
        <v>0</v>
      </c>
      <c r="BJ93" s="42">
        <f t="shared" si="66"/>
        <v>0</v>
      </c>
      <c r="BK93" s="42">
        <f t="shared" si="66"/>
        <v>0</v>
      </c>
      <c r="BL93" s="42">
        <f t="shared" si="66"/>
        <v>0</v>
      </c>
      <c r="BM93" s="42">
        <f t="shared" si="66"/>
        <v>0</v>
      </c>
      <c r="BN93" s="42">
        <f t="shared" si="66"/>
        <v>0</v>
      </c>
      <c r="BO93" s="42">
        <f t="shared" si="66"/>
        <v>0</v>
      </c>
      <c r="BP93" s="42">
        <f t="shared" si="66"/>
        <v>0</v>
      </c>
      <c r="BQ93" s="42">
        <f t="shared" si="66"/>
        <v>0</v>
      </c>
      <c r="BR93" s="42">
        <f t="shared" si="66"/>
        <v>0</v>
      </c>
      <c r="BS93" s="42">
        <f t="shared" si="66"/>
        <v>0</v>
      </c>
      <c r="BT93" s="42">
        <f t="shared" si="66"/>
        <v>0</v>
      </c>
      <c r="BU93" s="42">
        <f t="shared" si="66"/>
        <v>0</v>
      </c>
      <c r="BV93" s="42">
        <f t="shared" ref="BV93:CB93" si="67">BV92*(1+BQ91)</f>
        <v>0</v>
      </c>
      <c r="BW93" s="42">
        <f t="shared" si="67"/>
        <v>0</v>
      </c>
      <c r="BX93" s="42">
        <f t="shared" si="67"/>
        <v>0</v>
      </c>
      <c r="BY93" s="42">
        <f t="shared" si="67"/>
        <v>0</v>
      </c>
      <c r="BZ93" s="42">
        <f t="shared" si="67"/>
        <v>0</v>
      </c>
      <c r="CA93" s="42">
        <f t="shared" si="67"/>
        <v>0</v>
      </c>
      <c r="CB93" s="42">
        <f t="shared" si="67"/>
        <v>0</v>
      </c>
    </row>
    <row r="94" spans="2:270" ht="10.9" customHeight="1">
      <c r="C94" s="15"/>
      <c r="D94" s="42"/>
      <c r="I94" s="42"/>
      <c r="J94" s="42"/>
      <c r="K94" s="42"/>
      <c r="L94" s="42"/>
      <c r="M94" s="42"/>
      <c r="N94" s="42"/>
      <c r="O94" s="42"/>
      <c r="P94" s="42"/>
      <c r="Q94" s="42"/>
      <c r="R94" s="42"/>
      <c r="S94" s="42"/>
      <c r="T94" s="42"/>
      <c r="U94" s="42"/>
      <c r="V94" s="42"/>
      <c r="W94" s="42"/>
      <c r="X94" s="42"/>
      <c r="Y94" s="42"/>
      <c r="Z94" s="42"/>
      <c r="AA94" s="42"/>
      <c r="AB94" s="42"/>
      <c r="AC94" s="42"/>
      <c r="AD94" s="42"/>
      <c r="AE94" s="42"/>
      <c r="AF94" s="42"/>
      <c r="AG94" s="42"/>
      <c r="AH94" s="42"/>
      <c r="AI94" s="42"/>
      <c r="AJ94" s="42"/>
    </row>
    <row r="95" spans="2:270" ht="10.9" customHeight="1">
      <c r="C95" s="15"/>
      <c r="D95" s="42"/>
      <c r="I95" s="42"/>
      <c r="J95" s="42"/>
      <c r="K95" s="42"/>
      <c r="L95" s="42"/>
      <c r="M95" s="42"/>
      <c r="N95" s="42"/>
      <c r="O95" s="42"/>
      <c r="P95" s="42"/>
      <c r="Q95" s="42"/>
      <c r="R95" s="42"/>
      <c r="S95" s="42"/>
      <c r="T95" s="42"/>
      <c r="U95" s="42"/>
      <c r="V95" s="42"/>
      <c r="W95" s="42"/>
      <c r="X95" s="42"/>
      <c r="Y95" s="42"/>
      <c r="Z95" s="42"/>
      <c r="AA95" s="42"/>
      <c r="AB95" s="42"/>
      <c r="AC95" s="42"/>
      <c r="AD95" s="42"/>
      <c r="AE95" s="42"/>
      <c r="AF95" s="42"/>
      <c r="AG95" s="42"/>
      <c r="AH95" s="42"/>
      <c r="AI95" s="42"/>
      <c r="AJ95" s="42"/>
    </row>
    <row r="96" spans="2:270" ht="10.9" customHeight="1">
      <c r="C96" s="15"/>
      <c r="D96" s="42"/>
      <c r="I96" s="42"/>
      <c r="J96" s="42"/>
      <c r="K96" s="42"/>
      <c r="L96" s="42"/>
      <c r="M96" s="42"/>
      <c r="N96" s="42"/>
      <c r="O96" s="42"/>
      <c r="P96" s="42"/>
      <c r="Q96" s="42"/>
      <c r="R96" s="42"/>
      <c r="S96" s="42"/>
      <c r="T96" s="42"/>
      <c r="U96" s="42"/>
      <c r="V96" s="42"/>
      <c r="W96" s="42"/>
      <c r="X96" s="42"/>
      <c r="Y96" s="42"/>
      <c r="Z96" s="42"/>
      <c r="AA96" s="42"/>
      <c r="AB96" s="42"/>
      <c r="AC96" s="42"/>
      <c r="AD96" s="42"/>
      <c r="AE96" s="42"/>
      <c r="AF96" s="42"/>
      <c r="AG96" s="42"/>
      <c r="AH96" s="42"/>
      <c r="AI96" s="42"/>
      <c r="AJ96" s="42"/>
    </row>
    <row r="97" spans="2:53" ht="10.9" customHeight="1">
      <c r="C97" s="15"/>
      <c r="D97" s="42"/>
      <c r="I97" s="42"/>
      <c r="J97" s="42"/>
      <c r="K97" s="42"/>
      <c r="L97" s="42"/>
      <c r="M97" s="42"/>
      <c r="N97" s="42"/>
      <c r="O97" s="42"/>
      <c r="P97" s="42"/>
      <c r="Q97" s="42"/>
      <c r="R97" s="42"/>
      <c r="S97" s="42"/>
      <c r="T97" s="42"/>
      <c r="U97" s="42"/>
      <c r="V97" s="42"/>
      <c r="W97" s="42"/>
      <c r="X97" s="42"/>
      <c r="Y97" s="42"/>
      <c r="Z97" s="42"/>
      <c r="AA97" s="42"/>
      <c r="AB97" s="42"/>
      <c r="AC97" s="42"/>
      <c r="AD97" s="42"/>
      <c r="AE97" s="42"/>
      <c r="AF97" s="42"/>
      <c r="AG97" s="42"/>
      <c r="AH97" s="42"/>
      <c r="AI97" s="42"/>
      <c r="AJ97" s="42"/>
    </row>
    <row r="98" spans="2:53" ht="10.9" customHeight="1">
      <c r="B98" s="576" t="s">
        <v>1070</v>
      </c>
      <c r="C98" s="173" t="s">
        <v>217</v>
      </c>
      <c r="D98" s="174" t="s">
        <v>71</v>
      </c>
      <c r="AA98" s="1066"/>
      <c r="AL98" s="1068"/>
    </row>
    <row r="99" spans="2:53" ht="10.9" customHeight="1">
      <c r="B99" s="175"/>
      <c r="C99" s="582" t="str">
        <f>IF('Input '!$F$9=1,"US$","=N=")</f>
        <v>US$</v>
      </c>
      <c r="D99" s="176"/>
      <c r="AJ99" s="42"/>
    </row>
    <row r="100" spans="2:53" ht="10.9" customHeight="1">
      <c r="B100" s="177" t="s">
        <v>118</v>
      </c>
      <c r="C100" s="118">
        <f>IF('Input '!$F$9=1,'Input '!E104/Exchange_Rate,'Input '!E104)*Sens_projectcost</f>
        <v>0</v>
      </c>
      <c r="D100" s="178">
        <f>SUM(I100:AY100)</f>
        <v>1.0000000000000002</v>
      </c>
      <c r="I100" s="106">
        <v>0</v>
      </c>
      <c r="J100" s="106">
        <v>0</v>
      </c>
      <c r="K100" s="106">
        <v>0</v>
      </c>
      <c r="L100" s="106">
        <v>0</v>
      </c>
      <c r="M100" s="106">
        <v>0</v>
      </c>
      <c r="N100" s="106">
        <v>0</v>
      </c>
      <c r="O100" s="106">
        <v>0</v>
      </c>
      <c r="P100" s="106">
        <v>0</v>
      </c>
      <c r="Q100" s="106">
        <v>0</v>
      </c>
      <c r="R100" s="106">
        <v>0</v>
      </c>
      <c r="S100" s="106">
        <v>0</v>
      </c>
      <c r="T100" s="106">
        <v>0</v>
      </c>
      <c r="U100" s="106">
        <v>0</v>
      </c>
      <c r="V100" s="106">
        <v>0</v>
      </c>
      <c r="W100" s="106">
        <v>0</v>
      </c>
      <c r="X100" s="106">
        <v>0</v>
      </c>
      <c r="Y100" s="106">
        <v>0</v>
      </c>
      <c r="Z100" s="106">
        <v>0</v>
      </c>
      <c r="AA100" s="106">
        <v>0.1</v>
      </c>
      <c r="AB100" s="106">
        <v>0.1</v>
      </c>
      <c r="AC100" s="106">
        <v>0.1</v>
      </c>
      <c r="AD100" s="106">
        <v>0.1</v>
      </c>
      <c r="AE100" s="106">
        <v>0.1</v>
      </c>
      <c r="AF100" s="106">
        <v>0.1</v>
      </c>
      <c r="AG100" s="106">
        <v>0.05</v>
      </c>
      <c r="AH100" s="106">
        <v>0.05</v>
      </c>
      <c r="AI100" s="106">
        <v>0.05</v>
      </c>
      <c r="AJ100" s="106">
        <v>0.1</v>
      </c>
      <c r="AK100" s="106">
        <v>0.05</v>
      </c>
      <c r="AL100" s="106">
        <v>0.1</v>
      </c>
      <c r="AM100" s="106">
        <v>0</v>
      </c>
      <c r="AN100" s="106">
        <v>0</v>
      </c>
      <c r="AO100" s="106">
        <v>0</v>
      </c>
      <c r="AP100" s="106">
        <v>0</v>
      </c>
      <c r="AQ100" s="106">
        <v>0</v>
      </c>
      <c r="AR100" s="106">
        <v>0</v>
      </c>
      <c r="AS100" s="106">
        <v>0</v>
      </c>
      <c r="AT100" s="106">
        <v>0</v>
      </c>
      <c r="AU100" s="106">
        <v>0</v>
      </c>
      <c r="AV100" s="106">
        <v>0</v>
      </c>
      <c r="AW100" s="106">
        <v>0</v>
      </c>
      <c r="AX100" s="106">
        <v>0</v>
      </c>
      <c r="AY100" s="106">
        <v>0</v>
      </c>
      <c r="BA100" s="14">
        <f>SUM(I100:AY100)</f>
        <v>1.0000000000000002</v>
      </c>
    </row>
    <row r="101" spans="2:53" ht="10.9" customHeight="1">
      <c r="B101" s="177" t="s">
        <v>2038</v>
      </c>
      <c r="C101" s="118">
        <f>IF('Input '!$F$9=1,'Input '!E105/Exchange_Rate,'Input '!E105)*Sens_projectcost</f>
        <v>0</v>
      </c>
      <c r="D101" s="178">
        <f t="shared" ref="D101:D108" si="68">SUM(I101:AY101)</f>
        <v>1.0000000000000002</v>
      </c>
      <c r="I101" s="106">
        <v>0</v>
      </c>
      <c r="J101" s="106">
        <v>0</v>
      </c>
      <c r="K101" s="106">
        <v>0</v>
      </c>
      <c r="L101" s="106">
        <v>0</v>
      </c>
      <c r="M101" s="106">
        <v>0</v>
      </c>
      <c r="N101" s="106">
        <v>0</v>
      </c>
      <c r="O101" s="106">
        <v>0</v>
      </c>
      <c r="P101" s="106">
        <v>0</v>
      </c>
      <c r="Q101" s="106">
        <v>0</v>
      </c>
      <c r="R101" s="106">
        <v>0</v>
      </c>
      <c r="S101" s="106">
        <v>0</v>
      </c>
      <c r="T101" s="106">
        <v>0</v>
      </c>
      <c r="U101" s="106">
        <v>0</v>
      </c>
      <c r="V101" s="106">
        <v>0</v>
      </c>
      <c r="W101" s="106">
        <v>0</v>
      </c>
      <c r="X101" s="106">
        <v>0</v>
      </c>
      <c r="Y101" s="106">
        <v>0</v>
      </c>
      <c r="Z101" s="106">
        <v>0</v>
      </c>
      <c r="AA101" s="106">
        <v>0.1</v>
      </c>
      <c r="AB101" s="106">
        <v>0.1</v>
      </c>
      <c r="AC101" s="106">
        <v>0.1</v>
      </c>
      <c r="AD101" s="106">
        <v>0.1</v>
      </c>
      <c r="AE101" s="106">
        <v>0.1</v>
      </c>
      <c r="AF101" s="106">
        <v>0.1</v>
      </c>
      <c r="AG101" s="106">
        <v>0.05</v>
      </c>
      <c r="AH101" s="106">
        <v>0.05</v>
      </c>
      <c r="AI101" s="106">
        <v>0.05</v>
      </c>
      <c r="AJ101" s="106">
        <v>0.1</v>
      </c>
      <c r="AK101" s="106">
        <v>0.05</v>
      </c>
      <c r="AL101" s="106">
        <v>0.1</v>
      </c>
      <c r="AM101" s="106">
        <v>0</v>
      </c>
      <c r="AN101" s="106">
        <v>0</v>
      </c>
      <c r="AO101" s="106">
        <v>0</v>
      </c>
      <c r="AP101" s="106">
        <v>0</v>
      </c>
      <c r="AQ101" s="106">
        <v>0</v>
      </c>
      <c r="AR101" s="106">
        <v>0</v>
      </c>
      <c r="AS101" s="106">
        <v>0</v>
      </c>
      <c r="AT101" s="106">
        <v>0</v>
      </c>
      <c r="AU101" s="106">
        <v>0</v>
      </c>
      <c r="AV101" s="106">
        <v>0</v>
      </c>
      <c r="AW101" s="106">
        <v>0</v>
      </c>
      <c r="AX101" s="106">
        <v>0</v>
      </c>
      <c r="AY101" s="106">
        <v>0</v>
      </c>
      <c r="BA101" s="14">
        <f t="shared" ref="BA101:BA108" si="69">SUM(I101:AY101)</f>
        <v>1.0000000000000002</v>
      </c>
    </row>
    <row r="102" spans="2:53" ht="10.9" customHeight="1">
      <c r="B102" s="177" t="s">
        <v>657</v>
      </c>
      <c r="C102" s="118">
        <f>IF('Input '!$F$9=1,'Input '!E106/Exchange_Rate,'Input '!E106)*Sens_projectcost</f>
        <v>0</v>
      </c>
      <c r="D102" s="178">
        <f t="shared" si="68"/>
        <v>1.0000000000000002</v>
      </c>
      <c r="I102" s="106">
        <v>0</v>
      </c>
      <c r="J102" s="106">
        <v>0</v>
      </c>
      <c r="K102" s="106">
        <v>0</v>
      </c>
      <c r="L102" s="106">
        <v>0</v>
      </c>
      <c r="M102" s="106">
        <v>0</v>
      </c>
      <c r="N102" s="106">
        <v>0</v>
      </c>
      <c r="O102" s="106">
        <v>0</v>
      </c>
      <c r="P102" s="106">
        <v>0</v>
      </c>
      <c r="Q102" s="106">
        <v>0</v>
      </c>
      <c r="R102" s="106">
        <v>0</v>
      </c>
      <c r="S102" s="106">
        <v>0</v>
      </c>
      <c r="T102" s="106">
        <v>0</v>
      </c>
      <c r="U102" s="106">
        <v>0</v>
      </c>
      <c r="V102" s="106">
        <v>0</v>
      </c>
      <c r="W102" s="106">
        <v>0</v>
      </c>
      <c r="X102" s="106">
        <v>0</v>
      </c>
      <c r="Y102" s="106">
        <v>0</v>
      </c>
      <c r="Z102" s="106">
        <v>0</v>
      </c>
      <c r="AA102" s="106">
        <v>0.1</v>
      </c>
      <c r="AB102" s="106">
        <v>0.1</v>
      </c>
      <c r="AC102" s="106">
        <v>0.1</v>
      </c>
      <c r="AD102" s="106">
        <v>0.1</v>
      </c>
      <c r="AE102" s="106">
        <v>0.1</v>
      </c>
      <c r="AF102" s="106">
        <v>0.1</v>
      </c>
      <c r="AG102" s="106">
        <v>0.05</v>
      </c>
      <c r="AH102" s="106">
        <v>0.05</v>
      </c>
      <c r="AI102" s="106">
        <v>0.05</v>
      </c>
      <c r="AJ102" s="106">
        <v>0.1</v>
      </c>
      <c r="AK102" s="106">
        <v>0.05</v>
      </c>
      <c r="AL102" s="106">
        <v>0.1</v>
      </c>
      <c r="AM102" s="106">
        <v>0</v>
      </c>
      <c r="AN102" s="106">
        <v>0</v>
      </c>
      <c r="AO102" s="106">
        <v>0</v>
      </c>
      <c r="AP102" s="106">
        <v>0</v>
      </c>
      <c r="AQ102" s="106">
        <v>0</v>
      </c>
      <c r="AR102" s="106">
        <v>0</v>
      </c>
      <c r="AS102" s="106">
        <v>0</v>
      </c>
      <c r="AT102" s="106">
        <v>0</v>
      </c>
      <c r="AU102" s="106">
        <v>0</v>
      </c>
      <c r="AV102" s="106">
        <v>0</v>
      </c>
      <c r="AW102" s="106">
        <v>0</v>
      </c>
      <c r="AX102" s="106">
        <v>0</v>
      </c>
      <c r="AY102" s="106">
        <v>0</v>
      </c>
      <c r="BA102" s="14">
        <f t="shared" si="69"/>
        <v>1.0000000000000002</v>
      </c>
    </row>
    <row r="103" spans="2:53" ht="10.9" customHeight="1">
      <c r="B103" s="177" t="s">
        <v>119</v>
      </c>
      <c r="C103" s="118">
        <f>IF('Input '!$F$9=1,'Input '!E107/Exchange_Rate,'Input '!E107)*Sens_projectcost</f>
        <v>0</v>
      </c>
      <c r="D103" s="178">
        <f t="shared" si="68"/>
        <v>1.0000000000000002</v>
      </c>
      <c r="I103" s="106">
        <v>0</v>
      </c>
      <c r="J103" s="106">
        <v>0</v>
      </c>
      <c r="K103" s="106">
        <v>0</v>
      </c>
      <c r="L103" s="106">
        <v>0</v>
      </c>
      <c r="M103" s="106">
        <v>0</v>
      </c>
      <c r="N103" s="106">
        <v>0</v>
      </c>
      <c r="O103" s="106">
        <v>0</v>
      </c>
      <c r="P103" s="106">
        <v>0</v>
      </c>
      <c r="Q103" s="106">
        <v>0</v>
      </c>
      <c r="R103" s="106">
        <v>0</v>
      </c>
      <c r="S103" s="106">
        <v>0</v>
      </c>
      <c r="T103" s="106">
        <v>0</v>
      </c>
      <c r="U103" s="106">
        <v>0</v>
      </c>
      <c r="V103" s="106">
        <v>0</v>
      </c>
      <c r="W103" s="106">
        <v>0</v>
      </c>
      <c r="X103" s="106">
        <v>0</v>
      </c>
      <c r="Y103" s="106">
        <v>0</v>
      </c>
      <c r="Z103" s="106">
        <v>0</v>
      </c>
      <c r="AA103" s="106">
        <v>0.1</v>
      </c>
      <c r="AB103" s="106">
        <v>0.1</v>
      </c>
      <c r="AC103" s="106">
        <v>0.1</v>
      </c>
      <c r="AD103" s="106">
        <v>0.1</v>
      </c>
      <c r="AE103" s="106">
        <v>0.1</v>
      </c>
      <c r="AF103" s="106">
        <v>0.1</v>
      </c>
      <c r="AG103" s="106">
        <v>0.05</v>
      </c>
      <c r="AH103" s="106">
        <v>0.05</v>
      </c>
      <c r="AI103" s="106">
        <v>0.05</v>
      </c>
      <c r="AJ103" s="106">
        <v>0.1</v>
      </c>
      <c r="AK103" s="106">
        <v>0.05</v>
      </c>
      <c r="AL103" s="106">
        <v>0.1</v>
      </c>
      <c r="AM103" s="106">
        <v>0</v>
      </c>
      <c r="AN103" s="106">
        <v>0</v>
      </c>
      <c r="AO103" s="106">
        <v>0</v>
      </c>
      <c r="AP103" s="106">
        <v>0</v>
      </c>
      <c r="AQ103" s="106">
        <v>0</v>
      </c>
      <c r="AR103" s="106">
        <v>0</v>
      </c>
      <c r="AS103" s="106">
        <v>0</v>
      </c>
      <c r="AT103" s="106">
        <v>0</v>
      </c>
      <c r="AU103" s="106">
        <v>0</v>
      </c>
      <c r="AV103" s="106">
        <v>0</v>
      </c>
      <c r="AW103" s="106">
        <v>0</v>
      </c>
      <c r="AX103" s="106">
        <v>0</v>
      </c>
      <c r="AY103" s="106">
        <v>0</v>
      </c>
      <c r="BA103" s="14">
        <f t="shared" si="69"/>
        <v>1.0000000000000002</v>
      </c>
    </row>
    <row r="104" spans="2:53" ht="10.9" customHeight="1">
      <c r="B104" s="177" t="s">
        <v>122</v>
      </c>
      <c r="C104" s="118">
        <f>IF('Input '!$F$9=1,'Input '!E108/Exchange_Rate,'Input '!E108)*Sens_projectcost</f>
        <v>0</v>
      </c>
      <c r="D104" s="178">
        <f t="shared" si="68"/>
        <v>1.0000000000000002</v>
      </c>
      <c r="I104" s="106">
        <v>0</v>
      </c>
      <c r="J104" s="106">
        <v>0</v>
      </c>
      <c r="K104" s="106">
        <v>0</v>
      </c>
      <c r="L104" s="106">
        <v>0</v>
      </c>
      <c r="M104" s="106">
        <v>0</v>
      </c>
      <c r="N104" s="106">
        <v>0</v>
      </c>
      <c r="O104" s="106">
        <v>0</v>
      </c>
      <c r="P104" s="106">
        <v>0</v>
      </c>
      <c r="Q104" s="106">
        <v>0</v>
      </c>
      <c r="R104" s="106">
        <v>0</v>
      </c>
      <c r="S104" s="106">
        <v>0</v>
      </c>
      <c r="T104" s="106">
        <v>0</v>
      </c>
      <c r="U104" s="106">
        <v>0</v>
      </c>
      <c r="V104" s="106">
        <v>0</v>
      </c>
      <c r="W104" s="106">
        <v>0</v>
      </c>
      <c r="X104" s="106">
        <v>0</v>
      </c>
      <c r="Y104" s="106">
        <v>0</v>
      </c>
      <c r="Z104" s="106">
        <v>0</v>
      </c>
      <c r="AA104" s="106">
        <v>0.1</v>
      </c>
      <c r="AB104" s="106">
        <v>0.1</v>
      </c>
      <c r="AC104" s="106">
        <v>0.1</v>
      </c>
      <c r="AD104" s="106">
        <v>0.1</v>
      </c>
      <c r="AE104" s="106">
        <v>0.1</v>
      </c>
      <c r="AF104" s="106">
        <v>0.1</v>
      </c>
      <c r="AG104" s="106">
        <v>0.05</v>
      </c>
      <c r="AH104" s="106">
        <v>0.05</v>
      </c>
      <c r="AI104" s="106">
        <v>0.05</v>
      </c>
      <c r="AJ104" s="106">
        <v>0.1</v>
      </c>
      <c r="AK104" s="106">
        <v>0.05</v>
      </c>
      <c r="AL104" s="106">
        <v>0.1</v>
      </c>
      <c r="AM104" s="106">
        <v>0</v>
      </c>
      <c r="AN104" s="106">
        <v>0</v>
      </c>
      <c r="AO104" s="106">
        <v>0</v>
      </c>
      <c r="AP104" s="106">
        <v>0</v>
      </c>
      <c r="AQ104" s="106">
        <v>0</v>
      </c>
      <c r="AR104" s="106">
        <v>0</v>
      </c>
      <c r="AS104" s="106">
        <v>0</v>
      </c>
      <c r="AT104" s="106">
        <v>0</v>
      </c>
      <c r="AU104" s="106">
        <v>0</v>
      </c>
      <c r="AV104" s="106">
        <v>0</v>
      </c>
      <c r="AW104" s="106">
        <v>0</v>
      </c>
      <c r="AX104" s="106">
        <v>0</v>
      </c>
      <c r="AY104" s="106">
        <v>0</v>
      </c>
      <c r="BA104" s="14">
        <f t="shared" si="69"/>
        <v>1.0000000000000002</v>
      </c>
    </row>
    <row r="105" spans="2:53" ht="10.9" customHeight="1">
      <c r="B105" s="177" t="s">
        <v>120</v>
      </c>
      <c r="C105" s="118">
        <f>IF('Input '!$F$9=1,'Input '!E109/Exchange_Rate,'Input '!E109)*Sens_projectcost</f>
        <v>0</v>
      </c>
      <c r="D105" s="178">
        <f t="shared" si="68"/>
        <v>1.0000000000000002</v>
      </c>
      <c r="I105" s="106">
        <v>0</v>
      </c>
      <c r="J105" s="106">
        <v>0</v>
      </c>
      <c r="K105" s="106">
        <v>0</v>
      </c>
      <c r="L105" s="106">
        <v>0</v>
      </c>
      <c r="M105" s="106">
        <v>0</v>
      </c>
      <c r="N105" s="106">
        <v>0</v>
      </c>
      <c r="O105" s="106">
        <v>0</v>
      </c>
      <c r="P105" s="106">
        <v>0</v>
      </c>
      <c r="Q105" s="106">
        <v>0</v>
      </c>
      <c r="R105" s="106">
        <v>0</v>
      </c>
      <c r="S105" s="106">
        <v>0</v>
      </c>
      <c r="T105" s="106">
        <v>0</v>
      </c>
      <c r="U105" s="106">
        <v>0</v>
      </c>
      <c r="V105" s="106">
        <v>0</v>
      </c>
      <c r="W105" s="106">
        <v>0</v>
      </c>
      <c r="X105" s="106">
        <v>0</v>
      </c>
      <c r="Y105" s="106">
        <v>0</v>
      </c>
      <c r="Z105" s="106">
        <v>0</v>
      </c>
      <c r="AA105" s="106">
        <v>0.1</v>
      </c>
      <c r="AB105" s="106">
        <v>0.1</v>
      </c>
      <c r="AC105" s="106">
        <v>0.1</v>
      </c>
      <c r="AD105" s="106">
        <v>0.1</v>
      </c>
      <c r="AE105" s="106">
        <v>0.1</v>
      </c>
      <c r="AF105" s="106">
        <v>0.1</v>
      </c>
      <c r="AG105" s="106">
        <v>0.05</v>
      </c>
      <c r="AH105" s="106">
        <v>0.05</v>
      </c>
      <c r="AI105" s="106">
        <v>0.05</v>
      </c>
      <c r="AJ105" s="106">
        <v>0.1</v>
      </c>
      <c r="AK105" s="106">
        <v>0.05</v>
      </c>
      <c r="AL105" s="106">
        <v>0.1</v>
      </c>
      <c r="AM105" s="106">
        <v>0</v>
      </c>
      <c r="AN105" s="106">
        <v>0</v>
      </c>
      <c r="AO105" s="106">
        <v>0</v>
      </c>
      <c r="AP105" s="106">
        <v>0</v>
      </c>
      <c r="AQ105" s="106">
        <v>0</v>
      </c>
      <c r="AR105" s="106">
        <v>0</v>
      </c>
      <c r="AS105" s="106">
        <v>0</v>
      </c>
      <c r="AT105" s="106">
        <v>0</v>
      </c>
      <c r="AU105" s="106">
        <v>0</v>
      </c>
      <c r="AV105" s="106">
        <v>0</v>
      </c>
      <c r="AW105" s="106">
        <v>0</v>
      </c>
      <c r="AX105" s="106">
        <v>0</v>
      </c>
      <c r="AY105" s="106">
        <v>0</v>
      </c>
      <c r="BA105" s="14">
        <f t="shared" si="69"/>
        <v>1.0000000000000002</v>
      </c>
    </row>
    <row r="106" spans="2:53" ht="10.9" customHeight="1">
      <c r="B106" s="179" t="s">
        <v>121</v>
      </c>
      <c r="C106" s="118">
        <f>IF('Input '!$F$9=1,'Input '!E110/Exchange_Rate,'Input '!E110)*Sens_projectcost</f>
        <v>0</v>
      </c>
      <c r="D106" s="178">
        <f>SUM(I106:AY106)</f>
        <v>0</v>
      </c>
      <c r="I106" s="181"/>
      <c r="J106" s="181"/>
      <c r="K106" s="181"/>
      <c r="L106" s="181"/>
      <c r="M106" s="181"/>
      <c r="N106" s="181"/>
      <c r="O106" s="181"/>
      <c r="P106" s="181"/>
      <c r="Q106" s="181"/>
      <c r="R106" s="181"/>
      <c r="S106" s="181"/>
      <c r="T106" s="181"/>
      <c r="U106" s="181"/>
      <c r="V106" s="181"/>
      <c r="W106" s="181"/>
      <c r="X106" s="181"/>
      <c r="Y106" s="181"/>
      <c r="Z106" s="181"/>
      <c r="AA106" s="181"/>
      <c r="AB106" s="181"/>
      <c r="AC106" s="181"/>
      <c r="AD106" s="106"/>
      <c r="AE106" s="106"/>
      <c r="AF106" s="181"/>
      <c r="AG106" s="181"/>
      <c r="AH106" s="181"/>
      <c r="AI106" s="181"/>
      <c r="AJ106" s="181"/>
      <c r="AK106" s="181"/>
      <c r="AL106" s="106"/>
      <c r="AM106" s="181"/>
      <c r="AN106" s="181"/>
      <c r="AO106" s="181"/>
      <c r="AP106" s="181"/>
      <c r="AQ106" s="181"/>
      <c r="AR106" s="181"/>
      <c r="AS106" s="181"/>
      <c r="AT106" s="181"/>
      <c r="AU106" s="181"/>
      <c r="AV106" s="181"/>
      <c r="AW106" s="181"/>
      <c r="AX106" s="181"/>
      <c r="AY106" s="181"/>
      <c r="BA106" s="14">
        <f>SUM(I106:AY106)</f>
        <v>0</v>
      </c>
    </row>
    <row r="107" spans="2:53" ht="10.9" customHeight="1">
      <c r="B107" s="177" t="s">
        <v>123</v>
      </c>
      <c r="C107" s="118">
        <f>IF('Input '!$F$9=1,'Input '!E111/Exchange_Rate,'Input '!E111)*Sens_projectcost</f>
        <v>0</v>
      </c>
      <c r="D107" s="178">
        <f t="shared" si="68"/>
        <v>1.0000000000000002</v>
      </c>
      <c r="I107" s="106">
        <v>0</v>
      </c>
      <c r="J107" s="106">
        <v>0</v>
      </c>
      <c r="K107" s="106">
        <v>0</v>
      </c>
      <c r="L107" s="106">
        <v>0</v>
      </c>
      <c r="M107" s="106">
        <v>0</v>
      </c>
      <c r="N107" s="106">
        <v>0</v>
      </c>
      <c r="O107" s="106">
        <v>0</v>
      </c>
      <c r="P107" s="106">
        <v>0</v>
      </c>
      <c r="Q107" s="106">
        <v>0</v>
      </c>
      <c r="R107" s="106">
        <v>0</v>
      </c>
      <c r="S107" s="106">
        <v>0</v>
      </c>
      <c r="T107" s="106">
        <v>0</v>
      </c>
      <c r="U107" s="106">
        <v>0</v>
      </c>
      <c r="V107" s="106">
        <v>0</v>
      </c>
      <c r="W107" s="106">
        <v>0</v>
      </c>
      <c r="X107" s="106">
        <v>0</v>
      </c>
      <c r="Y107" s="106">
        <v>0</v>
      </c>
      <c r="Z107" s="106">
        <v>0</v>
      </c>
      <c r="AA107" s="106">
        <v>0.1</v>
      </c>
      <c r="AB107" s="106">
        <v>0.1</v>
      </c>
      <c r="AC107" s="106">
        <v>0.1</v>
      </c>
      <c r="AD107" s="106">
        <v>0.1</v>
      </c>
      <c r="AE107" s="106">
        <v>0.1</v>
      </c>
      <c r="AF107" s="106">
        <v>0.1</v>
      </c>
      <c r="AG107" s="106">
        <v>0.05</v>
      </c>
      <c r="AH107" s="106">
        <v>0.05</v>
      </c>
      <c r="AI107" s="106">
        <v>0.05</v>
      </c>
      <c r="AJ107" s="106">
        <v>0.1</v>
      </c>
      <c r="AK107" s="106">
        <v>0.05</v>
      </c>
      <c r="AL107" s="106">
        <v>0.1</v>
      </c>
      <c r="AM107" s="106">
        <v>0</v>
      </c>
      <c r="AN107" s="106">
        <v>0</v>
      </c>
      <c r="AO107" s="106">
        <v>0</v>
      </c>
      <c r="AP107" s="106">
        <v>0</v>
      </c>
      <c r="AQ107" s="106">
        <v>0</v>
      </c>
      <c r="AR107" s="106">
        <v>0</v>
      </c>
      <c r="AS107" s="106">
        <v>0</v>
      </c>
      <c r="AT107" s="106">
        <v>0</v>
      </c>
      <c r="AU107" s="106">
        <v>0</v>
      </c>
      <c r="AV107" s="106">
        <v>0</v>
      </c>
      <c r="AW107" s="106">
        <v>0</v>
      </c>
      <c r="AX107" s="106">
        <v>0</v>
      </c>
      <c r="AY107" s="106">
        <v>0</v>
      </c>
      <c r="BA107" s="14">
        <f t="shared" si="69"/>
        <v>1.0000000000000002</v>
      </c>
    </row>
    <row r="108" spans="2:53" ht="10.9" customHeight="1">
      <c r="B108" s="180" t="s">
        <v>9</v>
      </c>
      <c r="C108" s="126">
        <f>IF('Input '!$F$9=1,'Input '!E112/Exchange_Rate,'Input '!E112)*Sens_projectcost</f>
        <v>0</v>
      </c>
      <c r="D108" s="178">
        <f t="shared" si="68"/>
        <v>1.0000000000000002</v>
      </c>
      <c r="I108" s="106">
        <v>0</v>
      </c>
      <c r="J108" s="106">
        <v>0</v>
      </c>
      <c r="K108" s="106">
        <v>0</v>
      </c>
      <c r="L108" s="106">
        <v>0</v>
      </c>
      <c r="M108" s="106">
        <v>0</v>
      </c>
      <c r="N108" s="106">
        <v>0</v>
      </c>
      <c r="O108" s="106">
        <v>0</v>
      </c>
      <c r="P108" s="106">
        <v>0</v>
      </c>
      <c r="Q108" s="106">
        <v>0</v>
      </c>
      <c r="R108" s="106">
        <v>0</v>
      </c>
      <c r="S108" s="106">
        <v>0</v>
      </c>
      <c r="T108" s="106">
        <v>0</v>
      </c>
      <c r="U108" s="106">
        <v>0</v>
      </c>
      <c r="V108" s="106">
        <v>0</v>
      </c>
      <c r="W108" s="106">
        <v>0</v>
      </c>
      <c r="X108" s="106">
        <v>0</v>
      </c>
      <c r="Y108" s="106">
        <v>0</v>
      </c>
      <c r="Z108" s="106">
        <v>0</v>
      </c>
      <c r="AA108" s="106">
        <v>0.1</v>
      </c>
      <c r="AB108" s="106">
        <v>0.1</v>
      </c>
      <c r="AC108" s="106">
        <v>0.1</v>
      </c>
      <c r="AD108" s="106">
        <v>0.1</v>
      </c>
      <c r="AE108" s="106">
        <v>0.1</v>
      </c>
      <c r="AF108" s="106">
        <v>0.1</v>
      </c>
      <c r="AG108" s="106">
        <v>0.05</v>
      </c>
      <c r="AH108" s="106">
        <v>0.05</v>
      </c>
      <c r="AI108" s="106">
        <v>0.05</v>
      </c>
      <c r="AJ108" s="106">
        <v>0.1</v>
      </c>
      <c r="AK108" s="106">
        <v>0.05</v>
      </c>
      <c r="AL108" s="106">
        <v>0.1</v>
      </c>
      <c r="AM108" s="106">
        <v>0</v>
      </c>
      <c r="AN108" s="106">
        <v>0</v>
      </c>
      <c r="AO108" s="106">
        <v>0</v>
      </c>
      <c r="AP108" s="106">
        <v>0</v>
      </c>
      <c r="AQ108" s="106">
        <v>0</v>
      </c>
      <c r="AR108" s="106">
        <v>0</v>
      </c>
      <c r="AS108" s="106">
        <v>0</v>
      </c>
      <c r="AT108" s="106">
        <v>0</v>
      </c>
      <c r="AU108" s="106">
        <v>0</v>
      </c>
      <c r="AV108" s="106">
        <v>0</v>
      </c>
      <c r="AW108" s="106">
        <v>0</v>
      </c>
      <c r="AX108" s="106">
        <v>0</v>
      </c>
      <c r="AY108" s="106">
        <v>0</v>
      </c>
      <c r="BA108" s="14">
        <f t="shared" si="69"/>
        <v>1.0000000000000002</v>
      </c>
    </row>
    <row r="109" spans="2:53" ht="10.9" customHeight="1">
      <c r="B109" s="489" t="s">
        <v>71</v>
      </c>
      <c r="C109" s="54">
        <f>SUM(C106:C108)</f>
        <v>0</v>
      </c>
      <c r="D109" s="592"/>
      <c r="I109" s="42"/>
      <c r="J109" s="42"/>
      <c r="K109" s="42"/>
      <c r="L109" s="42"/>
      <c r="M109" s="42"/>
      <c r="N109" s="42"/>
      <c r="O109" s="42"/>
      <c r="P109" s="42"/>
      <c r="Q109" s="42"/>
      <c r="R109" s="42"/>
      <c r="S109" s="42"/>
      <c r="T109" s="42"/>
      <c r="U109" s="42"/>
      <c r="V109" s="42"/>
      <c r="W109" s="42"/>
      <c r="X109" s="42"/>
      <c r="Y109" s="42"/>
      <c r="Z109" s="42"/>
      <c r="AA109" s="42"/>
      <c r="AB109" s="42"/>
      <c r="AC109" s="42"/>
      <c r="AD109" s="42"/>
      <c r="AE109" s="42"/>
      <c r="AF109" s="42"/>
      <c r="AG109" s="42"/>
      <c r="AH109" s="42"/>
      <c r="AI109" s="42"/>
      <c r="AJ109" s="42"/>
    </row>
    <row r="110" spans="2:53" ht="10.9" customHeight="1">
      <c r="B110" s="489"/>
      <c r="C110" s="53"/>
      <c r="D110" s="592"/>
      <c r="I110" s="42"/>
      <c r="J110" s="42"/>
      <c r="K110" s="42"/>
      <c r="L110" s="42"/>
      <c r="M110" s="42"/>
      <c r="N110" s="42"/>
      <c r="O110" s="42"/>
      <c r="P110" s="42"/>
      <c r="Q110" s="42"/>
      <c r="R110" s="42"/>
      <c r="S110" s="42"/>
      <c r="T110" s="42"/>
      <c r="U110" s="42"/>
      <c r="V110" s="42"/>
      <c r="W110" s="42"/>
      <c r="X110" s="42"/>
      <c r="Y110" s="42"/>
      <c r="Z110" s="42"/>
      <c r="AA110" s="42"/>
      <c r="AB110" s="42"/>
      <c r="AC110" s="42"/>
      <c r="AD110" s="42"/>
      <c r="AE110" s="42"/>
      <c r="AF110" s="42"/>
      <c r="AG110" s="42"/>
      <c r="AH110" s="42"/>
      <c r="AI110" s="42"/>
      <c r="AJ110" s="42"/>
    </row>
    <row r="111" spans="2:53" ht="10.9" customHeight="1">
      <c r="C111" s="15"/>
      <c r="D111" s="42"/>
      <c r="I111" s="42"/>
      <c r="J111" s="42"/>
      <c r="K111" s="42"/>
      <c r="L111" s="42"/>
      <c r="M111" s="42"/>
      <c r="N111" s="42"/>
      <c r="O111" s="42"/>
      <c r="P111" s="42"/>
      <c r="Q111" s="42"/>
      <c r="R111" s="42"/>
      <c r="S111" s="42"/>
      <c r="T111" s="42"/>
      <c r="U111" s="42"/>
      <c r="V111" s="42"/>
      <c r="W111" s="42"/>
      <c r="X111" s="42"/>
      <c r="Y111" s="42"/>
      <c r="Z111" s="42"/>
      <c r="AA111" s="42"/>
      <c r="AB111" s="42"/>
      <c r="AC111" s="42"/>
      <c r="AD111" s="42"/>
      <c r="AE111" s="42"/>
      <c r="AF111" s="42"/>
      <c r="AG111" s="42"/>
      <c r="AH111" s="42"/>
      <c r="AI111" s="42"/>
      <c r="AJ111" s="42"/>
    </row>
    <row r="112" spans="2:53" ht="10.9" customHeight="1">
      <c r="B112" s="2" t="s">
        <v>218</v>
      </c>
      <c r="C112" s="15"/>
      <c r="I112" s="42"/>
      <c r="J112" s="42"/>
      <c r="K112" s="42"/>
      <c r="L112" s="42"/>
      <c r="M112" s="42"/>
      <c r="N112" s="42"/>
      <c r="O112" s="42"/>
      <c r="P112" s="42"/>
      <c r="Q112" s="42"/>
      <c r="R112" s="42"/>
      <c r="S112" s="42"/>
      <c r="T112" s="42"/>
      <c r="U112" s="42"/>
      <c r="V112" s="42"/>
      <c r="W112" s="42"/>
      <c r="X112" s="42"/>
      <c r="Y112" s="42"/>
      <c r="Z112" s="42"/>
      <c r="AA112" s="42"/>
      <c r="AB112" s="42"/>
      <c r="AC112" s="42"/>
      <c r="AD112" s="42"/>
      <c r="AE112" s="42"/>
      <c r="AF112" s="42"/>
      <c r="AG112" s="42"/>
      <c r="AH112" s="42"/>
      <c r="AI112" s="42"/>
      <c r="AJ112" s="42"/>
    </row>
    <row r="113" spans="2:253" ht="10.9" customHeight="1">
      <c r="B113" s="2" t="s">
        <v>118</v>
      </c>
      <c r="C113" s="15" t="str">
        <f>$C$20</f>
        <v>US$</v>
      </c>
      <c r="D113" s="42">
        <f>SUM(I113:AY113)</f>
        <v>0</v>
      </c>
      <c r="I113" s="42">
        <f>I100*$C$100</f>
        <v>0</v>
      </c>
      <c r="J113" s="42">
        <f t="shared" ref="J113:AY113" si="70">J100*$C$100</f>
        <v>0</v>
      </c>
      <c r="K113" s="42">
        <f t="shared" si="70"/>
        <v>0</v>
      </c>
      <c r="L113" s="42">
        <f t="shared" si="70"/>
        <v>0</v>
      </c>
      <c r="M113" s="42">
        <f t="shared" si="70"/>
        <v>0</v>
      </c>
      <c r="N113" s="42">
        <f t="shared" si="70"/>
        <v>0</v>
      </c>
      <c r="O113" s="42">
        <f t="shared" si="70"/>
        <v>0</v>
      </c>
      <c r="P113" s="42">
        <f t="shared" si="70"/>
        <v>0</v>
      </c>
      <c r="Q113" s="42">
        <f t="shared" si="70"/>
        <v>0</v>
      </c>
      <c r="R113" s="42">
        <f t="shared" si="70"/>
        <v>0</v>
      </c>
      <c r="S113" s="42">
        <f t="shared" si="70"/>
        <v>0</v>
      </c>
      <c r="T113" s="42">
        <f t="shared" si="70"/>
        <v>0</v>
      </c>
      <c r="U113" s="42">
        <f t="shared" si="70"/>
        <v>0</v>
      </c>
      <c r="V113" s="42">
        <f t="shared" si="70"/>
        <v>0</v>
      </c>
      <c r="W113" s="42">
        <f t="shared" si="70"/>
        <v>0</v>
      </c>
      <c r="X113" s="42">
        <f t="shared" si="70"/>
        <v>0</v>
      </c>
      <c r="Y113" s="42">
        <f t="shared" si="70"/>
        <v>0</v>
      </c>
      <c r="Z113" s="42">
        <f t="shared" si="70"/>
        <v>0</v>
      </c>
      <c r="AA113" s="42">
        <f t="shared" si="70"/>
        <v>0</v>
      </c>
      <c r="AB113" s="42">
        <f t="shared" si="70"/>
        <v>0</v>
      </c>
      <c r="AC113" s="42">
        <f t="shared" si="70"/>
        <v>0</v>
      </c>
      <c r="AD113" s="42">
        <f t="shared" si="70"/>
        <v>0</v>
      </c>
      <c r="AE113" s="42">
        <f t="shared" si="70"/>
        <v>0</v>
      </c>
      <c r="AF113" s="42">
        <f t="shared" si="70"/>
        <v>0</v>
      </c>
      <c r="AG113" s="42">
        <f t="shared" si="70"/>
        <v>0</v>
      </c>
      <c r="AH113" s="42">
        <f t="shared" si="70"/>
        <v>0</v>
      </c>
      <c r="AI113" s="42">
        <f t="shared" si="70"/>
        <v>0</v>
      </c>
      <c r="AJ113" s="42">
        <f t="shared" si="70"/>
        <v>0</v>
      </c>
      <c r="AK113" s="42">
        <f t="shared" si="70"/>
        <v>0</v>
      </c>
      <c r="AL113" s="42">
        <f t="shared" si="70"/>
        <v>0</v>
      </c>
      <c r="AM113" s="42">
        <f t="shared" si="70"/>
        <v>0</v>
      </c>
      <c r="AN113" s="42">
        <f t="shared" si="70"/>
        <v>0</v>
      </c>
      <c r="AO113" s="42">
        <f t="shared" si="70"/>
        <v>0</v>
      </c>
      <c r="AP113" s="42">
        <f t="shared" si="70"/>
        <v>0</v>
      </c>
      <c r="AQ113" s="42">
        <f t="shared" si="70"/>
        <v>0</v>
      </c>
      <c r="AR113" s="42">
        <f t="shared" si="70"/>
        <v>0</v>
      </c>
      <c r="AS113" s="42">
        <f t="shared" si="70"/>
        <v>0</v>
      </c>
      <c r="AT113" s="42">
        <f t="shared" si="70"/>
        <v>0</v>
      </c>
      <c r="AU113" s="42">
        <f t="shared" si="70"/>
        <v>0</v>
      </c>
      <c r="AV113" s="42">
        <f t="shared" si="70"/>
        <v>0</v>
      </c>
      <c r="AW113" s="42">
        <f t="shared" si="70"/>
        <v>0</v>
      </c>
      <c r="AX113" s="42">
        <f t="shared" si="70"/>
        <v>0</v>
      </c>
      <c r="AY113" s="42">
        <f t="shared" si="70"/>
        <v>0</v>
      </c>
    </row>
    <row r="114" spans="2:253" ht="10.9" customHeight="1">
      <c r="B114" s="177" t="s">
        <v>2038</v>
      </c>
      <c r="C114" s="15" t="str">
        <f t="shared" ref="C114:C128" si="71">$C$20</f>
        <v>US$</v>
      </c>
      <c r="D114" s="42">
        <f>SUM(I114:AY114)</f>
        <v>0</v>
      </c>
      <c r="I114" s="42">
        <f>I101*$C$101</f>
        <v>0</v>
      </c>
      <c r="J114" s="42">
        <f t="shared" ref="J114:AY114" si="72">J101*$C$101</f>
        <v>0</v>
      </c>
      <c r="K114" s="42">
        <f t="shared" si="72"/>
        <v>0</v>
      </c>
      <c r="L114" s="42">
        <f t="shared" si="72"/>
        <v>0</v>
      </c>
      <c r="M114" s="42">
        <f t="shared" si="72"/>
        <v>0</v>
      </c>
      <c r="N114" s="42">
        <f t="shared" si="72"/>
        <v>0</v>
      </c>
      <c r="O114" s="42">
        <f t="shared" si="72"/>
        <v>0</v>
      </c>
      <c r="P114" s="42">
        <f t="shared" si="72"/>
        <v>0</v>
      </c>
      <c r="Q114" s="42">
        <f t="shared" si="72"/>
        <v>0</v>
      </c>
      <c r="R114" s="42">
        <f t="shared" si="72"/>
        <v>0</v>
      </c>
      <c r="S114" s="42">
        <f t="shared" si="72"/>
        <v>0</v>
      </c>
      <c r="T114" s="42">
        <f t="shared" si="72"/>
        <v>0</v>
      </c>
      <c r="U114" s="42">
        <f t="shared" si="72"/>
        <v>0</v>
      </c>
      <c r="V114" s="42">
        <f t="shared" si="72"/>
        <v>0</v>
      </c>
      <c r="W114" s="42">
        <f t="shared" si="72"/>
        <v>0</v>
      </c>
      <c r="X114" s="42">
        <f t="shared" si="72"/>
        <v>0</v>
      </c>
      <c r="Y114" s="42">
        <f t="shared" si="72"/>
        <v>0</v>
      </c>
      <c r="Z114" s="42">
        <f t="shared" si="72"/>
        <v>0</v>
      </c>
      <c r="AA114" s="42">
        <f t="shared" si="72"/>
        <v>0</v>
      </c>
      <c r="AB114" s="42">
        <f t="shared" si="72"/>
        <v>0</v>
      </c>
      <c r="AC114" s="42">
        <f t="shared" si="72"/>
        <v>0</v>
      </c>
      <c r="AD114" s="42">
        <f t="shared" si="72"/>
        <v>0</v>
      </c>
      <c r="AE114" s="42">
        <f t="shared" si="72"/>
        <v>0</v>
      </c>
      <c r="AF114" s="42">
        <f t="shared" si="72"/>
        <v>0</v>
      </c>
      <c r="AG114" s="42">
        <f t="shared" si="72"/>
        <v>0</v>
      </c>
      <c r="AH114" s="42">
        <f t="shared" si="72"/>
        <v>0</v>
      </c>
      <c r="AI114" s="42">
        <f t="shared" si="72"/>
        <v>0</v>
      </c>
      <c r="AJ114" s="42">
        <f t="shared" si="72"/>
        <v>0</v>
      </c>
      <c r="AK114" s="42">
        <f t="shared" si="72"/>
        <v>0</v>
      </c>
      <c r="AL114" s="42">
        <f t="shared" si="72"/>
        <v>0</v>
      </c>
      <c r="AM114" s="42">
        <f t="shared" si="72"/>
        <v>0</v>
      </c>
      <c r="AN114" s="42">
        <f t="shared" si="72"/>
        <v>0</v>
      </c>
      <c r="AO114" s="42">
        <f t="shared" si="72"/>
        <v>0</v>
      </c>
      <c r="AP114" s="42">
        <f t="shared" si="72"/>
        <v>0</v>
      </c>
      <c r="AQ114" s="42">
        <f t="shared" si="72"/>
        <v>0</v>
      </c>
      <c r="AR114" s="42">
        <f t="shared" si="72"/>
        <v>0</v>
      </c>
      <c r="AS114" s="42">
        <f t="shared" si="72"/>
        <v>0</v>
      </c>
      <c r="AT114" s="42">
        <f t="shared" si="72"/>
        <v>0</v>
      </c>
      <c r="AU114" s="42">
        <f t="shared" si="72"/>
        <v>0</v>
      </c>
      <c r="AV114" s="42">
        <f t="shared" si="72"/>
        <v>0</v>
      </c>
      <c r="AW114" s="42">
        <f t="shared" si="72"/>
        <v>0</v>
      </c>
      <c r="AX114" s="42">
        <f t="shared" si="72"/>
        <v>0</v>
      </c>
      <c r="AY114" s="42">
        <f t="shared" si="72"/>
        <v>0</v>
      </c>
    </row>
    <row r="115" spans="2:253" ht="10.9" customHeight="1">
      <c r="B115" s="2" t="s">
        <v>657</v>
      </c>
      <c r="C115" s="15" t="str">
        <f t="shared" si="71"/>
        <v>US$</v>
      </c>
      <c r="D115" s="42">
        <f t="shared" ref="D115:D121" si="73">SUM(I115:AY115)</f>
        <v>0</v>
      </c>
      <c r="I115" s="42">
        <f>I102*$C$102</f>
        <v>0</v>
      </c>
      <c r="J115" s="42">
        <f t="shared" ref="J115:AY115" si="74">J102*$C$102</f>
        <v>0</v>
      </c>
      <c r="K115" s="42">
        <f t="shared" si="74"/>
        <v>0</v>
      </c>
      <c r="L115" s="42">
        <f t="shared" si="74"/>
        <v>0</v>
      </c>
      <c r="M115" s="42">
        <f t="shared" si="74"/>
        <v>0</v>
      </c>
      <c r="N115" s="42">
        <f t="shared" si="74"/>
        <v>0</v>
      </c>
      <c r="O115" s="42">
        <f t="shared" si="74"/>
        <v>0</v>
      </c>
      <c r="P115" s="42">
        <f t="shared" si="74"/>
        <v>0</v>
      </c>
      <c r="Q115" s="42">
        <f t="shared" si="74"/>
        <v>0</v>
      </c>
      <c r="R115" s="42">
        <f t="shared" si="74"/>
        <v>0</v>
      </c>
      <c r="S115" s="42">
        <f t="shared" si="74"/>
        <v>0</v>
      </c>
      <c r="T115" s="42">
        <f t="shared" si="74"/>
        <v>0</v>
      </c>
      <c r="U115" s="42">
        <f t="shared" si="74"/>
        <v>0</v>
      </c>
      <c r="V115" s="42">
        <f t="shared" si="74"/>
        <v>0</v>
      </c>
      <c r="W115" s="42">
        <f t="shared" si="74"/>
        <v>0</v>
      </c>
      <c r="X115" s="42">
        <f t="shared" si="74"/>
        <v>0</v>
      </c>
      <c r="Y115" s="42">
        <f t="shared" si="74"/>
        <v>0</v>
      </c>
      <c r="Z115" s="42">
        <f t="shared" si="74"/>
        <v>0</v>
      </c>
      <c r="AA115" s="42">
        <f t="shared" si="74"/>
        <v>0</v>
      </c>
      <c r="AB115" s="42">
        <f t="shared" si="74"/>
        <v>0</v>
      </c>
      <c r="AC115" s="42">
        <f t="shared" si="74"/>
        <v>0</v>
      </c>
      <c r="AD115" s="42">
        <f t="shared" si="74"/>
        <v>0</v>
      </c>
      <c r="AE115" s="42">
        <f t="shared" si="74"/>
        <v>0</v>
      </c>
      <c r="AF115" s="42">
        <f t="shared" si="74"/>
        <v>0</v>
      </c>
      <c r="AG115" s="42">
        <f t="shared" si="74"/>
        <v>0</v>
      </c>
      <c r="AH115" s="42">
        <f t="shared" si="74"/>
        <v>0</v>
      </c>
      <c r="AI115" s="42">
        <f t="shared" si="74"/>
        <v>0</v>
      </c>
      <c r="AJ115" s="42">
        <f t="shared" si="74"/>
        <v>0</v>
      </c>
      <c r="AK115" s="42">
        <f t="shared" si="74"/>
        <v>0</v>
      </c>
      <c r="AL115" s="42">
        <f t="shared" si="74"/>
        <v>0</v>
      </c>
      <c r="AM115" s="42">
        <f t="shared" si="74"/>
        <v>0</v>
      </c>
      <c r="AN115" s="42">
        <f t="shared" si="74"/>
        <v>0</v>
      </c>
      <c r="AO115" s="42">
        <f t="shared" si="74"/>
        <v>0</v>
      </c>
      <c r="AP115" s="42">
        <f t="shared" si="74"/>
        <v>0</v>
      </c>
      <c r="AQ115" s="42">
        <f t="shared" si="74"/>
        <v>0</v>
      </c>
      <c r="AR115" s="42">
        <f t="shared" si="74"/>
        <v>0</v>
      </c>
      <c r="AS115" s="42">
        <f t="shared" si="74"/>
        <v>0</v>
      </c>
      <c r="AT115" s="42">
        <f t="shared" si="74"/>
        <v>0</v>
      </c>
      <c r="AU115" s="42">
        <f t="shared" si="74"/>
        <v>0</v>
      </c>
      <c r="AV115" s="42">
        <f t="shared" si="74"/>
        <v>0</v>
      </c>
      <c r="AW115" s="42">
        <f t="shared" si="74"/>
        <v>0</v>
      </c>
      <c r="AX115" s="42">
        <f t="shared" si="74"/>
        <v>0</v>
      </c>
      <c r="AY115" s="42">
        <f t="shared" si="74"/>
        <v>0</v>
      </c>
    </row>
    <row r="116" spans="2:253" ht="10.9" customHeight="1">
      <c r="B116" s="2" t="s">
        <v>119</v>
      </c>
      <c r="C116" s="15" t="str">
        <f t="shared" si="71"/>
        <v>US$</v>
      </c>
      <c r="D116" s="42">
        <f t="shared" si="73"/>
        <v>0</v>
      </c>
      <c r="I116" s="42">
        <f>I103*$C$103</f>
        <v>0</v>
      </c>
      <c r="J116" s="42">
        <f t="shared" ref="J116:AY116" si="75">J103*$C$103</f>
        <v>0</v>
      </c>
      <c r="K116" s="42">
        <f t="shared" si="75"/>
        <v>0</v>
      </c>
      <c r="L116" s="42">
        <f t="shared" si="75"/>
        <v>0</v>
      </c>
      <c r="M116" s="42">
        <f t="shared" si="75"/>
        <v>0</v>
      </c>
      <c r="N116" s="42">
        <f t="shared" si="75"/>
        <v>0</v>
      </c>
      <c r="O116" s="42">
        <f t="shared" si="75"/>
        <v>0</v>
      </c>
      <c r="P116" s="42">
        <f t="shared" si="75"/>
        <v>0</v>
      </c>
      <c r="Q116" s="42">
        <f t="shared" si="75"/>
        <v>0</v>
      </c>
      <c r="R116" s="42">
        <f t="shared" si="75"/>
        <v>0</v>
      </c>
      <c r="S116" s="42">
        <f t="shared" si="75"/>
        <v>0</v>
      </c>
      <c r="T116" s="42">
        <f t="shared" si="75"/>
        <v>0</v>
      </c>
      <c r="U116" s="42">
        <f t="shared" si="75"/>
        <v>0</v>
      </c>
      <c r="V116" s="42">
        <f t="shared" si="75"/>
        <v>0</v>
      </c>
      <c r="W116" s="42">
        <f t="shared" si="75"/>
        <v>0</v>
      </c>
      <c r="X116" s="42">
        <f t="shared" si="75"/>
        <v>0</v>
      </c>
      <c r="Y116" s="42">
        <f t="shared" si="75"/>
        <v>0</v>
      </c>
      <c r="Z116" s="42">
        <f t="shared" si="75"/>
        <v>0</v>
      </c>
      <c r="AA116" s="42">
        <f t="shared" si="75"/>
        <v>0</v>
      </c>
      <c r="AB116" s="42">
        <f t="shared" si="75"/>
        <v>0</v>
      </c>
      <c r="AC116" s="42">
        <f t="shared" si="75"/>
        <v>0</v>
      </c>
      <c r="AD116" s="42">
        <f t="shared" si="75"/>
        <v>0</v>
      </c>
      <c r="AE116" s="42">
        <f t="shared" si="75"/>
        <v>0</v>
      </c>
      <c r="AF116" s="42">
        <f t="shared" si="75"/>
        <v>0</v>
      </c>
      <c r="AG116" s="42">
        <f t="shared" si="75"/>
        <v>0</v>
      </c>
      <c r="AH116" s="42">
        <f t="shared" si="75"/>
        <v>0</v>
      </c>
      <c r="AI116" s="42">
        <f t="shared" si="75"/>
        <v>0</v>
      </c>
      <c r="AJ116" s="42">
        <f t="shared" si="75"/>
        <v>0</v>
      </c>
      <c r="AK116" s="42">
        <f t="shared" si="75"/>
        <v>0</v>
      </c>
      <c r="AL116" s="42">
        <f t="shared" si="75"/>
        <v>0</v>
      </c>
      <c r="AM116" s="42">
        <f t="shared" si="75"/>
        <v>0</v>
      </c>
      <c r="AN116" s="42">
        <f t="shared" si="75"/>
        <v>0</v>
      </c>
      <c r="AO116" s="42">
        <f t="shared" si="75"/>
        <v>0</v>
      </c>
      <c r="AP116" s="42">
        <f t="shared" si="75"/>
        <v>0</v>
      </c>
      <c r="AQ116" s="42">
        <f t="shared" si="75"/>
        <v>0</v>
      </c>
      <c r="AR116" s="42">
        <f t="shared" si="75"/>
        <v>0</v>
      </c>
      <c r="AS116" s="42">
        <f t="shared" si="75"/>
        <v>0</v>
      </c>
      <c r="AT116" s="42">
        <f t="shared" si="75"/>
        <v>0</v>
      </c>
      <c r="AU116" s="42">
        <f t="shared" si="75"/>
        <v>0</v>
      </c>
      <c r="AV116" s="42">
        <f t="shared" si="75"/>
        <v>0</v>
      </c>
      <c r="AW116" s="42">
        <f t="shared" si="75"/>
        <v>0</v>
      </c>
      <c r="AX116" s="42">
        <f t="shared" si="75"/>
        <v>0</v>
      </c>
      <c r="AY116" s="42">
        <f t="shared" si="75"/>
        <v>0</v>
      </c>
    </row>
    <row r="117" spans="2:253" ht="10.9" customHeight="1">
      <c r="B117" s="2" t="s">
        <v>122</v>
      </c>
      <c r="C117" s="15" t="str">
        <f t="shared" si="71"/>
        <v>US$</v>
      </c>
      <c r="D117" s="42">
        <f t="shared" si="73"/>
        <v>0</v>
      </c>
      <c r="I117" s="42">
        <f>I104*$C$104</f>
        <v>0</v>
      </c>
      <c r="J117" s="42">
        <f t="shared" ref="J117:AY117" si="76">J104*$C$104</f>
        <v>0</v>
      </c>
      <c r="K117" s="42">
        <f t="shared" si="76"/>
        <v>0</v>
      </c>
      <c r="L117" s="42">
        <f t="shared" si="76"/>
        <v>0</v>
      </c>
      <c r="M117" s="42">
        <f t="shared" si="76"/>
        <v>0</v>
      </c>
      <c r="N117" s="42">
        <f t="shared" si="76"/>
        <v>0</v>
      </c>
      <c r="O117" s="42">
        <f t="shared" si="76"/>
        <v>0</v>
      </c>
      <c r="P117" s="42">
        <f t="shared" si="76"/>
        <v>0</v>
      </c>
      <c r="Q117" s="42">
        <f t="shared" si="76"/>
        <v>0</v>
      </c>
      <c r="R117" s="42">
        <f t="shared" si="76"/>
        <v>0</v>
      </c>
      <c r="S117" s="42">
        <f t="shared" si="76"/>
        <v>0</v>
      </c>
      <c r="T117" s="42">
        <f t="shared" si="76"/>
        <v>0</v>
      </c>
      <c r="U117" s="42">
        <f t="shared" si="76"/>
        <v>0</v>
      </c>
      <c r="V117" s="42">
        <f t="shared" si="76"/>
        <v>0</v>
      </c>
      <c r="W117" s="42">
        <f t="shared" si="76"/>
        <v>0</v>
      </c>
      <c r="X117" s="42">
        <f t="shared" si="76"/>
        <v>0</v>
      </c>
      <c r="Y117" s="42">
        <f t="shared" si="76"/>
        <v>0</v>
      </c>
      <c r="Z117" s="42">
        <f t="shared" si="76"/>
        <v>0</v>
      </c>
      <c r="AA117" s="42">
        <f t="shared" si="76"/>
        <v>0</v>
      </c>
      <c r="AB117" s="42">
        <f t="shared" si="76"/>
        <v>0</v>
      </c>
      <c r="AC117" s="42">
        <f t="shared" si="76"/>
        <v>0</v>
      </c>
      <c r="AD117" s="42">
        <f t="shared" si="76"/>
        <v>0</v>
      </c>
      <c r="AE117" s="42">
        <f t="shared" si="76"/>
        <v>0</v>
      </c>
      <c r="AF117" s="42">
        <f t="shared" si="76"/>
        <v>0</v>
      </c>
      <c r="AG117" s="42">
        <f t="shared" si="76"/>
        <v>0</v>
      </c>
      <c r="AH117" s="42">
        <f t="shared" si="76"/>
        <v>0</v>
      </c>
      <c r="AI117" s="42">
        <f t="shared" si="76"/>
        <v>0</v>
      </c>
      <c r="AJ117" s="42">
        <f t="shared" si="76"/>
        <v>0</v>
      </c>
      <c r="AK117" s="42">
        <f t="shared" si="76"/>
        <v>0</v>
      </c>
      <c r="AL117" s="42">
        <f t="shared" si="76"/>
        <v>0</v>
      </c>
      <c r="AM117" s="42">
        <f t="shared" si="76"/>
        <v>0</v>
      </c>
      <c r="AN117" s="42">
        <f t="shared" si="76"/>
        <v>0</v>
      </c>
      <c r="AO117" s="42">
        <f t="shared" si="76"/>
        <v>0</v>
      </c>
      <c r="AP117" s="42">
        <f t="shared" si="76"/>
        <v>0</v>
      </c>
      <c r="AQ117" s="42">
        <f t="shared" si="76"/>
        <v>0</v>
      </c>
      <c r="AR117" s="42">
        <f t="shared" si="76"/>
        <v>0</v>
      </c>
      <c r="AS117" s="42">
        <f t="shared" si="76"/>
        <v>0</v>
      </c>
      <c r="AT117" s="42">
        <f t="shared" si="76"/>
        <v>0</v>
      </c>
      <c r="AU117" s="42">
        <f t="shared" si="76"/>
        <v>0</v>
      </c>
      <c r="AV117" s="42">
        <f t="shared" si="76"/>
        <v>0</v>
      </c>
      <c r="AW117" s="42">
        <f t="shared" si="76"/>
        <v>0</v>
      </c>
      <c r="AX117" s="42">
        <f t="shared" si="76"/>
        <v>0</v>
      </c>
      <c r="AY117" s="42">
        <f t="shared" si="76"/>
        <v>0</v>
      </c>
    </row>
    <row r="118" spans="2:253" ht="10.9" customHeight="1">
      <c r="B118" s="2" t="s">
        <v>120</v>
      </c>
      <c r="C118" s="15" t="str">
        <f t="shared" si="71"/>
        <v>US$</v>
      </c>
      <c r="D118" s="42">
        <f t="shared" si="73"/>
        <v>0</v>
      </c>
      <c r="I118" s="42">
        <f>I105*$C$105</f>
        <v>0</v>
      </c>
      <c r="J118" s="42">
        <f t="shared" ref="J118:AY118" si="77">J105*$C$105</f>
        <v>0</v>
      </c>
      <c r="K118" s="42">
        <f t="shared" si="77"/>
        <v>0</v>
      </c>
      <c r="L118" s="42">
        <f t="shared" si="77"/>
        <v>0</v>
      </c>
      <c r="M118" s="42">
        <f t="shared" si="77"/>
        <v>0</v>
      </c>
      <c r="N118" s="42">
        <f t="shared" si="77"/>
        <v>0</v>
      </c>
      <c r="O118" s="42">
        <f t="shared" si="77"/>
        <v>0</v>
      </c>
      <c r="P118" s="42">
        <f t="shared" si="77"/>
        <v>0</v>
      </c>
      <c r="Q118" s="42">
        <f t="shared" si="77"/>
        <v>0</v>
      </c>
      <c r="R118" s="42">
        <f t="shared" si="77"/>
        <v>0</v>
      </c>
      <c r="S118" s="42">
        <f t="shared" si="77"/>
        <v>0</v>
      </c>
      <c r="T118" s="42">
        <f t="shared" si="77"/>
        <v>0</v>
      </c>
      <c r="U118" s="42">
        <f t="shared" si="77"/>
        <v>0</v>
      </c>
      <c r="V118" s="42">
        <f t="shared" si="77"/>
        <v>0</v>
      </c>
      <c r="W118" s="42">
        <f t="shared" si="77"/>
        <v>0</v>
      </c>
      <c r="X118" s="42">
        <f t="shared" si="77"/>
        <v>0</v>
      </c>
      <c r="Y118" s="42">
        <f t="shared" si="77"/>
        <v>0</v>
      </c>
      <c r="Z118" s="42">
        <f t="shared" si="77"/>
        <v>0</v>
      </c>
      <c r="AA118" s="42">
        <f t="shared" si="77"/>
        <v>0</v>
      </c>
      <c r="AB118" s="42">
        <f t="shared" si="77"/>
        <v>0</v>
      </c>
      <c r="AC118" s="42">
        <f t="shared" si="77"/>
        <v>0</v>
      </c>
      <c r="AD118" s="42">
        <f t="shared" si="77"/>
        <v>0</v>
      </c>
      <c r="AE118" s="42">
        <f t="shared" si="77"/>
        <v>0</v>
      </c>
      <c r="AF118" s="42">
        <f t="shared" si="77"/>
        <v>0</v>
      </c>
      <c r="AG118" s="42">
        <f t="shared" si="77"/>
        <v>0</v>
      </c>
      <c r="AH118" s="42">
        <f t="shared" si="77"/>
        <v>0</v>
      </c>
      <c r="AI118" s="42">
        <f t="shared" si="77"/>
        <v>0</v>
      </c>
      <c r="AJ118" s="42">
        <f t="shared" si="77"/>
        <v>0</v>
      </c>
      <c r="AK118" s="42">
        <f t="shared" si="77"/>
        <v>0</v>
      </c>
      <c r="AL118" s="42">
        <f t="shared" si="77"/>
        <v>0</v>
      </c>
      <c r="AM118" s="42">
        <f t="shared" si="77"/>
        <v>0</v>
      </c>
      <c r="AN118" s="42">
        <f t="shared" si="77"/>
        <v>0</v>
      </c>
      <c r="AO118" s="42">
        <f t="shared" si="77"/>
        <v>0</v>
      </c>
      <c r="AP118" s="42">
        <f t="shared" si="77"/>
        <v>0</v>
      </c>
      <c r="AQ118" s="42">
        <f t="shared" si="77"/>
        <v>0</v>
      </c>
      <c r="AR118" s="42">
        <f t="shared" si="77"/>
        <v>0</v>
      </c>
      <c r="AS118" s="42">
        <f t="shared" si="77"/>
        <v>0</v>
      </c>
      <c r="AT118" s="42">
        <f t="shared" si="77"/>
        <v>0</v>
      </c>
      <c r="AU118" s="42">
        <f t="shared" si="77"/>
        <v>0</v>
      </c>
      <c r="AV118" s="42">
        <f t="shared" si="77"/>
        <v>0</v>
      </c>
      <c r="AW118" s="42">
        <f t="shared" si="77"/>
        <v>0</v>
      </c>
      <c r="AX118" s="42">
        <f t="shared" si="77"/>
        <v>0</v>
      </c>
      <c r="AY118" s="42">
        <f t="shared" si="77"/>
        <v>0</v>
      </c>
    </row>
    <row r="119" spans="2:253" ht="10.9" customHeight="1">
      <c r="B119" s="2" t="s">
        <v>121</v>
      </c>
      <c r="C119" s="15" t="str">
        <f t="shared" si="71"/>
        <v>US$</v>
      </c>
      <c r="D119" s="42">
        <f t="shared" si="73"/>
        <v>0</v>
      </c>
      <c r="I119" s="42">
        <f>I106*$C$106</f>
        <v>0</v>
      </c>
      <c r="J119" s="42">
        <f t="shared" ref="J119:AY119" si="78">J106*$C$106</f>
        <v>0</v>
      </c>
      <c r="K119" s="42">
        <f t="shared" si="78"/>
        <v>0</v>
      </c>
      <c r="L119" s="42">
        <f t="shared" si="78"/>
        <v>0</v>
      </c>
      <c r="M119" s="42">
        <f t="shared" si="78"/>
        <v>0</v>
      </c>
      <c r="N119" s="42">
        <f t="shared" si="78"/>
        <v>0</v>
      </c>
      <c r="O119" s="42">
        <f t="shared" si="78"/>
        <v>0</v>
      </c>
      <c r="P119" s="42">
        <f t="shared" si="78"/>
        <v>0</v>
      </c>
      <c r="Q119" s="42">
        <f t="shared" si="78"/>
        <v>0</v>
      </c>
      <c r="R119" s="42">
        <f t="shared" si="78"/>
        <v>0</v>
      </c>
      <c r="S119" s="42">
        <f t="shared" si="78"/>
        <v>0</v>
      </c>
      <c r="T119" s="42">
        <f t="shared" si="78"/>
        <v>0</v>
      </c>
      <c r="U119" s="42">
        <f t="shared" si="78"/>
        <v>0</v>
      </c>
      <c r="V119" s="42">
        <f t="shared" si="78"/>
        <v>0</v>
      </c>
      <c r="W119" s="42">
        <f t="shared" si="78"/>
        <v>0</v>
      </c>
      <c r="X119" s="42">
        <f t="shared" si="78"/>
        <v>0</v>
      </c>
      <c r="Y119" s="42">
        <f t="shared" si="78"/>
        <v>0</v>
      </c>
      <c r="Z119" s="42">
        <f t="shared" si="78"/>
        <v>0</v>
      </c>
      <c r="AA119" s="42">
        <f t="shared" si="78"/>
        <v>0</v>
      </c>
      <c r="AB119" s="42">
        <f t="shared" si="78"/>
        <v>0</v>
      </c>
      <c r="AC119" s="42">
        <f t="shared" si="78"/>
        <v>0</v>
      </c>
      <c r="AD119" s="42">
        <f t="shared" si="78"/>
        <v>0</v>
      </c>
      <c r="AE119" s="42">
        <f t="shared" si="78"/>
        <v>0</v>
      </c>
      <c r="AF119" s="42">
        <f t="shared" si="78"/>
        <v>0</v>
      </c>
      <c r="AG119" s="42">
        <f t="shared" si="78"/>
        <v>0</v>
      </c>
      <c r="AH119" s="42">
        <f t="shared" si="78"/>
        <v>0</v>
      </c>
      <c r="AI119" s="42">
        <f t="shared" si="78"/>
        <v>0</v>
      </c>
      <c r="AJ119" s="42">
        <f t="shared" si="78"/>
        <v>0</v>
      </c>
      <c r="AK119" s="42">
        <f t="shared" si="78"/>
        <v>0</v>
      </c>
      <c r="AL119" s="42">
        <f t="shared" si="78"/>
        <v>0</v>
      </c>
      <c r="AM119" s="42">
        <f t="shared" si="78"/>
        <v>0</v>
      </c>
      <c r="AN119" s="42">
        <f t="shared" si="78"/>
        <v>0</v>
      </c>
      <c r="AO119" s="42">
        <f t="shared" si="78"/>
        <v>0</v>
      </c>
      <c r="AP119" s="42">
        <f t="shared" si="78"/>
        <v>0</v>
      </c>
      <c r="AQ119" s="42">
        <f t="shared" si="78"/>
        <v>0</v>
      </c>
      <c r="AR119" s="42">
        <f t="shared" si="78"/>
        <v>0</v>
      </c>
      <c r="AS119" s="42">
        <f t="shared" si="78"/>
        <v>0</v>
      </c>
      <c r="AT119" s="42">
        <f t="shared" si="78"/>
        <v>0</v>
      </c>
      <c r="AU119" s="42">
        <f t="shared" si="78"/>
        <v>0</v>
      </c>
      <c r="AV119" s="42">
        <f t="shared" si="78"/>
        <v>0</v>
      </c>
      <c r="AW119" s="42">
        <f t="shared" si="78"/>
        <v>0</v>
      </c>
      <c r="AX119" s="42">
        <f t="shared" si="78"/>
        <v>0</v>
      </c>
      <c r="AY119" s="42">
        <f t="shared" si="78"/>
        <v>0</v>
      </c>
    </row>
    <row r="120" spans="2:253" ht="10.9" customHeight="1">
      <c r="B120" s="2" t="s">
        <v>123</v>
      </c>
      <c r="C120" s="15" t="str">
        <f t="shared" si="71"/>
        <v>US$</v>
      </c>
      <c r="D120" s="42">
        <f t="shared" si="73"/>
        <v>0</v>
      </c>
      <c r="I120" s="42">
        <f>I107*$C$107</f>
        <v>0</v>
      </c>
      <c r="J120" s="42">
        <f t="shared" ref="J120:AY120" si="79">J107*$C$107</f>
        <v>0</v>
      </c>
      <c r="K120" s="42">
        <f t="shared" si="79"/>
        <v>0</v>
      </c>
      <c r="L120" s="42">
        <f t="shared" si="79"/>
        <v>0</v>
      </c>
      <c r="M120" s="42">
        <f t="shared" si="79"/>
        <v>0</v>
      </c>
      <c r="N120" s="42">
        <f t="shared" si="79"/>
        <v>0</v>
      </c>
      <c r="O120" s="42">
        <f t="shared" si="79"/>
        <v>0</v>
      </c>
      <c r="P120" s="42">
        <f t="shared" si="79"/>
        <v>0</v>
      </c>
      <c r="Q120" s="42">
        <f t="shared" si="79"/>
        <v>0</v>
      </c>
      <c r="R120" s="42">
        <f t="shared" si="79"/>
        <v>0</v>
      </c>
      <c r="S120" s="42">
        <f t="shared" si="79"/>
        <v>0</v>
      </c>
      <c r="T120" s="42">
        <f t="shared" si="79"/>
        <v>0</v>
      </c>
      <c r="U120" s="42">
        <f t="shared" si="79"/>
        <v>0</v>
      </c>
      <c r="V120" s="42">
        <f t="shared" si="79"/>
        <v>0</v>
      </c>
      <c r="W120" s="42">
        <f t="shared" si="79"/>
        <v>0</v>
      </c>
      <c r="X120" s="42">
        <f t="shared" si="79"/>
        <v>0</v>
      </c>
      <c r="Y120" s="42">
        <f t="shared" si="79"/>
        <v>0</v>
      </c>
      <c r="Z120" s="42">
        <f t="shared" si="79"/>
        <v>0</v>
      </c>
      <c r="AA120" s="42">
        <f t="shared" si="79"/>
        <v>0</v>
      </c>
      <c r="AB120" s="42">
        <f t="shared" si="79"/>
        <v>0</v>
      </c>
      <c r="AC120" s="42">
        <f t="shared" si="79"/>
        <v>0</v>
      </c>
      <c r="AD120" s="42">
        <f t="shared" si="79"/>
        <v>0</v>
      </c>
      <c r="AE120" s="42">
        <f t="shared" si="79"/>
        <v>0</v>
      </c>
      <c r="AF120" s="42">
        <f t="shared" si="79"/>
        <v>0</v>
      </c>
      <c r="AG120" s="42">
        <f t="shared" si="79"/>
        <v>0</v>
      </c>
      <c r="AH120" s="42">
        <f t="shared" si="79"/>
        <v>0</v>
      </c>
      <c r="AI120" s="42">
        <f t="shared" si="79"/>
        <v>0</v>
      </c>
      <c r="AJ120" s="42">
        <f t="shared" si="79"/>
        <v>0</v>
      </c>
      <c r="AK120" s="42">
        <f t="shared" si="79"/>
        <v>0</v>
      </c>
      <c r="AL120" s="42">
        <f t="shared" si="79"/>
        <v>0</v>
      </c>
      <c r="AM120" s="42">
        <f t="shared" si="79"/>
        <v>0</v>
      </c>
      <c r="AN120" s="42">
        <f t="shared" si="79"/>
        <v>0</v>
      </c>
      <c r="AO120" s="42">
        <f t="shared" si="79"/>
        <v>0</v>
      </c>
      <c r="AP120" s="42">
        <f t="shared" si="79"/>
        <v>0</v>
      </c>
      <c r="AQ120" s="42">
        <f t="shared" si="79"/>
        <v>0</v>
      </c>
      <c r="AR120" s="42">
        <f t="shared" si="79"/>
        <v>0</v>
      </c>
      <c r="AS120" s="42">
        <f t="shared" si="79"/>
        <v>0</v>
      </c>
      <c r="AT120" s="42">
        <f t="shared" si="79"/>
        <v>0</v>
      </c>
      <c r="AU120" s="42">
        <f t="shared" si="79"/>
        <v>0</v>
      </c>
      <c r="AV120" s="42">
        <f t="shared" si="79"/>
        <v>0</v>
      </c>
      <c r="AW120" s="42">
        <f t="shared" si="79"/>
        <v>0</v>
      </c>
      <c r="AX120" s="42">
        <f t="shared" si="79"/>
        <v>0</v>
      </c>
      <c r="AY120" s="42">
        <f t="shared" si="79"/>
        <v>0</v>
      </c>
    </row>
    <row r="121" spans="2:253" ht="10.9" customHeight="1">
      <c r="B121" s="2" t="s">
        <v>9</v>
      </c>
      <c r="C121" s="15" t="str">
        <f t="shared" si="71"/>
        <v>US$</v>
      </c>
      <c r="D121" s="42">
        <f t="shared" si="73"/>
        <v>0</v>
      </c>
      <c r="I121" s="42">
        <f>I108*$C$108</f>
        <v>0</v>
      </c>
      <c r="J121" s="42">
        <f t="shared" ref="J121:AY121" si="80">J108*$C$108</f>
        <v>0</v>
      </c>
      <c r="K121" s="42">
        <f t="shared" si="80"/>
        <v>0</v>
      </c>
      <c r="L121" s="42">
        <f t="shared" si="80"/>
        <v>0</v>
      </c>
      <c r="M121" s="42">
        <f t="shared" si="80"/>
        <v>0</v>
      </c>
      <c r="N121" s="42">
        <f t="shared" si="80"/>
        <v>0</v>
      </c>
      <c r="O121" s="42">
        <f t="shared" si="80"/>
        <v>0</v>
      </c>
      <c r="P121" s="42">
        <f t="shared" si="80"/>
        <v>0</v>
      </c>
      <c r="Q121" s="42">
        <f t="shared" si="80"/>
        <v>0</v>
      </c>
      <c r="R121" s="42">
        <f t="shared" si="80"/>
        <v>0</v>
      </c>
      <c r="S121" s="42">
        <f t="shared" si="80"/>
        <v>0</v>
      </c>
      <c r="T121" s="42">
        <f t="shared" si="80"/>
        <v>0</v>
      </c>
      <c r="U121" s="42">
        <f t="shared" si="80"/>
        <v>0</v>
      </c>
      <c r="V121" s="42">
        <f t="shared" si="80"/>
        <v>0</v>
      </c>
      <c r="W121" s="42">
        <f t="shared" si="80"/>
        <v>0</v>
      </c>
      <c r="X121" s="42">
        <f t="shared" si="80"/>
        <v>0</v>
      </c>
      <c r="Y121" s="42">
        <f t="shared" si="80"/>
        <v>0</v>
      </c>
      <c r="Z121" s="42">
        <f t="shared" si="80"/>
        <v>0</v>
      </c>
      <c r="AA121" s="42">
        <f t="shared" si="80"/>
        <v>0</v>
      </c>
      <c r="AB121" s="42">
        <f t="shared" si="80"/>
        <v>0</v>
      </c>
      <c r="AC121" s="42">
        <f t="shared" si="80"/>
        <v>0</v>
      </c>
      <c r="AD121" s="42">
        <f t="shared" si="80"/>
        <v>0</v>
      </c>
      <c r="AE121" s="42">
        <f t="shared" si="80"/>
        <v>0</v>
      </c>
      <c r="AF121" s="42">
        <f t="shared" si="80"/>
        <v>0</v>
      </c>
      <c r="AG121" s="42">
        <f t="shared" si="80"/>
        <v>0</v>
      </c>
      <c r="AH121" s="42">
        <f t="shared" si="80"/>
        <v>0</v>
      </c>
      <c r="AI121" s="42">
        <f t="shared" si="80"/>
        <v>0</v>
      </c>
      <c r="AJ121" s="42">
        <f t="shared" si="80"/>
        <v>0</v>
      </c>
      <c r="AK121" s="42">
        <f t="shared" si="80"/>
        <v>0</v>
      </c>
      <c r="AL121" s="42">
        <f t="shared" si="80"/>
        <v>0</v>
      </c>
      <c r="AM121" s="42">
        <f t="shared" si="80"/>
        <v>0</v>
      </c>
      <c r="AN121" s="42">
        <f t="shared" si="80"/>
        <v>0</v>
      </c>
      <c r="AO121" s="42">
        <f t="shared" si="80"/>
        <v>0</v>
      </c>
      <c r="AP121" s="42">
        <f t="shared" si="80"/>
        <v>0</v>
      </c>
      <c r="AQ121" s="42">
        <f t="shared" si="80"/>
        <v>0</v>
      </c>
      <c r="AR121" s="42">
        <f t="shared" si="80"/>
        <v>0</v>
      </c>
      <c r="AS121" s="42">
        <f t="shared" si="80"/>
        <v>0</v>
      </c>
      <c r="AT121" s="42">
        <f t="shared" si="80"/>
        <v>0</v>
      </c>
      <c r="AU121" s="42">
        <f t="shared" si="80"/>
        <v>0</v>
      </c>
      <c r="AV121" s="42">
        <f t="shared" si="80"/>
        <v>0</v>
      </c>
      <c r="AW121" s="42">
        <f t="shared" si="80"/>
        <v>0</v>
      </c>
      <c r="AX121" s="42">
        <f t="shared" si="80"/>
        <v>0</v>
      </c>
      <c r="AY121" s="42">
        <f t="shared" si="80"/>
        <v>0</v>
      </c>
    </row>
    <row r="122" spans="2:253" ht="10.9" customHeight="1">
      <c r="B122" s="124" t="s">
        <v>71</v>
      </c>
      <c r="C122" s="132" t="str">
        <f t="shared" si="71"/>
        <v>US$</v>
      </c>
      <c r="D122" s="471">
        <f>SUM(D113:D121)</f>
        <v>0</v>
      </c>
      <c r="E122" s="124"/>
      <c r="F122" s="124"/>
      <c r="G122" s="124"/>
      <c r="H122" s="124"/>
      <c r="I122" s="471">
        <f>SUM(I113:I121)</f>
        <v>0</v>
      </c>
      <c r="J122" s="471">
        <f t="shared" ref="J122:AY122" si="81">SUM(J113:J121)</f>
        <v>0</v>
      </c>
      <c r="K122" s="471">
        <f t="shared" si="81"/>
        <v>0</v>
      </c>
      <c r="L122" s="471">
        <f t="shared" si="81"/>
        <v>0</v>
      </c>
      <c r="M122" s="471">
        <f t="shared" si="81"/>
        <v>0</v>
      </c>
      <c r="N122" s="471">
        <f t="shared" si="81"/>
        <v>0</v>
      </c>
      <c r="O122" s="471">
        <f t="shared" si="81"/>
        <v>0</v>
      </c>
      <c r="P122" s="471">
        <f t="shared" si="81"/>
        <v>0</v>
      </c>
      <c r="Q122" s="471">
        <f t="shared" si="81"/>
        <v>0</v>
      </c>
      <c r="R122" s="471">
        <f t="shared" si="81"/>
        <v>0</v>
      </c>
      <c r="S122" s="471">
        <f t="shared" si="81"/>
        <v>0</v>
      </c>
      <c r="T122" s="471">
        <f t="shared" si="81"/>
        <v>0</v>
      </c>
      <c r="U122" s="471">
        <f t="shared" si="81"/>
        <v>0</v>
      </c>
      <c r="V122" s="471">
        <f t="shared" si="81"/>
        <v>0</v>
      </c>
      <c r="W122" s="471">
        <f t="shared" si="81"/>
        <v>0</v>
      </c>
      <c r="X122" s="471">
        <f t="shared" si="81"/>
        <v>0</v>
      </c>
      <c r="Y122" s="471">
        <f t="shared" si="81"/>
        <v>0</v>
      </c>
      <c r="Z122" s="471">
        <f t="shared" si="81"/>
        <v>0</v>
      </c>
      <c r="AA122" s="471">
        <f t="shared" si="81"/>
        <v>0</v>
      </c>
      <c r="AB122" s="471">
        <f t="shared" si="81"/>
        <v>0</v>
      </c>
      <c r="AC122" s="471">
        <f t="shared" si="81"/>
        <v>0</v>
      </c>
      <c r="AD122" s="471">
        <f t="shared" si="81"/>
        <v>0</v>
      </c>
      <c r="AE122" s="471">
        <f t="shared" si="81"/>
        <v>0</v>
      </c>
      <c r="AF122" s="471">
        <f t="shared" si="81"/>
        <v>0</v>
      </c>
      <c r="AG122" s="471">
        <f t="shared" si="81"/>
        <v>0</v>
      </c>
      <c r="AH122" s="471">
        <f t="shared" si="81"/>
        <v>0</v>
      </c>
      <c r="AI122" s="471">
        <f t="shared" si="81"/>
        <v>0</v>
      </c>
      <c r="AJ122" s="471">
        <f t="shared" si="81"/>
        <v>0</v>
      </c>
      <c r="AK122" s="471">
        <f t="shared" si="81"/>
        <v>0</v>
      </c>
      <c r="AL122" s="471">
        <f t="shared" si="81"/>
        <v>0</v>
      </c>
      <c r="AM122" s="471">
        <f t="shared" si="81"/>
        <v>0</v>
      </c>
      <c r="AN122" s="471">
        <f t="shared" si="81"/>
        <v>0</v>
      </c>
      <c r="AO122" s="471">
        <f t="shared" si="81"/>
        <v>0</v>
      </c>
      <c r="AP122" s="471">
        <f t="shared" si="81"/>
        <v>0</v>
      </c>
      <c r="AQ122" s="471">
        <f t="shared" si="81"/>
        <v>0</v>
      </c>
      <c r="AR122" s="471">
        <f t="shared" si="81"/>
        <v>0</v>
      </c>
      <c r="AS122" s="471">
        <f t="shared" si="81"/>
        <v>0</v>
      </c>
      <c r="AT122" s="471">
        <f t="shared" si="81"/>
        <v>0</v>
      </c>
      <c r="AU122" s="471">
        <f t="shared" si="81"/>
        <v>0</v>
      </c>
      <c r="AV122" s="471">
        <f t="shared" si="81"/>
        <v>0</v>
      </c>
      <c r="AW122" s="471">
        <f t="shared" si="81"/>
        <v>0</v>
      </c>
      <c r="AX122" s="471">
        <f t="shared" si="81"/>
        <v>0</v>
      </c>
      <c r="AY122" s="471">
        <f t="shared" si="81"/>
        <v>0</v>
      </c>
    </row>
    <row r="123" spans="2:253" ht="10.9" customHeight="1">
      <c r="B123" s="223"/>
      <c r="C123" s="15"/>
      <c r="I123" s="42"/>
      <c r="J123" s="42"/>
      <c r="K123" s="42"/>
      <c r="L123" s="42"/>
      <c r="M123" s="42"/>
      <c r="N123" s="42"/>
      <c r="O123" s="42"/>
      <c r="P123" s="42"/>
      <c r="Q123" s="42"/>
      <c r="R123" s="42"/>
      <c r="S123" s="42"/>
      <c r="T123" s="42"/>
      <c r="U123" s="42"/>
      <c r="V123" s="42"/>
      <c r="W123" s="42"/>
      <c r="X123" s="42"/>
      <c r="Y123" s="42"/>
      <c r="Z123" s="42"/>
      <c r="AA123" s="42"/>
      <c r="AB123" s="42"/>
      <c r="AC123" s="42"/>
      <c r="AD123" s="42"/>
      <c r="AE123" s="42"/>
      <c r="AF123" s="42"/>
      <c r="AG123" s="42"/>
      <c r="AH123" s="42"/>
      <c r="AI123" s="42"/>
      <c r="AJ123" s="42"/>
    </row>
    <row r="124" spans="2:253" ht="10.9" customHeight="1">
      <c r="B124" s="2" t="s">
        <v>219</v>
      </c>
      <c r="C124" s="15"/>
      <c r="I124" s="42"/>
      <c r="J124" s="42"/>
      <c r="K124" s="42"/>
      <c r="L124" s="42"/>
      <c r="M124" s="42"/>
      <c r="N124" s="42"/>
      <c r="O124" s="42"/>
      <c r="P124" s="42"/>
      <c r="Q124" s="42"/>
      <c r="R124" s="42"/>
      <c r="S124" s="42"/>
      <c r="T124" s="42"/>
      <c r="U124" s="42"/>
      <c r="V124" s="42"/>
      <c r="W124" s="42"/>
      <c r="X124" s="42"/>
      <c r="Y124" s="42"/>
      <c r="Z124" s="42"/>
      <c r="AA124" s="42"/>
      <c r="AB124" s="42"/>
      <c r="AC124" s="42"/>
      <c r="AD124" s="42"/>
      <c r="AE124" s="42"/>
      <c r="AF124" s="42"/>
      <c r="AG124" s="42"/>
      <c r="AH124" s="42"/>
      <c r="AI124" s="42"/>
      <c r="AJ124" s="42"/>
    </row>
    <row r="125" spans="2:253" ht="10.9" customHeight="1">
      <c r="B125" s="2" t="s">
        <v>220</v>
      </c>
      <c r="C125" s="15" t="str">
        <f t="shared" si="71"/>
        <v>US$</v>
      </c>
      <c r="D125" s="42">
        <f>SUM(I125:AY125)</f>
        <v>0</v>
      </c>
      <c r="E125" s="42"/>
      <c r="F125" s="42"/>
      <c r="G125" s="42"/>
      <c r="H125" s="42"/>
      <c r="I125" s="42">
        <f>I122</f>
        <v>0</v>
      </c>
      <c r="J125" s="42">
        <f t="shared" ref="J125:AY125" si="82">J122</f>
        <v>0</v>
      </c>
      <c r="K125" s="42">
        <f t="shared" si="82"/>
        <v>0</v>
      </c>
      <c r="L125" s="42">
        <f t="shared" si="82"/>
        <v>0</v>
      </c>
      <c r="M125" s="42">
        <f t="shared" si="82"/>
        <v>0</v>
      </c>
      <c r="N125" s="42">
        <f t="shared" si="82"/>
        <v>0</v>
      </c>
      <c r="O125" s="42">
        <f t="shared" si="82"/>
        <v>0</v>
      </c>
      <c r="P125" s="42">
        <f t="shared" si="82"/>
        <v>0</v>
      </c>
      <c r="Q125" s="42">
        <f t="shared" si="82"/>
        <v>0</v>
      </c>
      <c r="R125" s="42">
        <f t="shared" si="82"/>
        <v>0</v>
      </c>
      <c r="S125" s="42">
        <f t="shared" si="82"/>
        <v>0</v>
      </c>
      <c r="T125" s="42">
        <f t="shared" si="82"/>
        <v>0</v>
      </c>
      <c r="U125" s="42">
        <f t="shared" si="82"/>
        <v>0</v>
      </c>
      <c r="V125" s="42">
        <f t="shared" si="82"/>
        <v>0</v>
      </c>
      <c r="W125" s="42">
        <f t="shared" si="82"/>
        <v>0</v>
      </c>
      <c r="X125" s="42">
        <f t="shared" si="82"/>
        <v>0</v>
      </c>
      <c r="Y125" s="42">
        <f t="shared" si="82"/>
        <v>0</v>
      </c>
      <c r="Z125" s="42">
        <f t="shared" si="82"/>
        <v>0</v>
      </c>
      <c r="AA125" s="42">
        <f t="shared" si="82"/>
        <v>0</v>
      </c>
      <c r="AB125" s="42">
        <f t="shared" si="82"/>
        <v>0</v>
      </c>
      <c r="AC125" s="42">
        <f t="shared" si="82"/>
        <v>0</v>
      </c>
      <c r="AD125" s="42">
        <f t="shared" si="82"/>
        <v>0</v>
      </c>
      <c r="AE125" s="42">
        <f t="shared" si="82"/>
        <v>0</v>
      </c>
      <c r="AF125" s="42">
        <f t="shared" si="82"/>
        <v>0</v>
      </c>
      <c r="AG125" s="42">
        <f t="shared" si="82"/>
        <v>0</v>
      </c>
      <c r="AH125" s="42">
        <f t="shared" si="82"/>
        <v>0</v>
      </c>
      <c r="AI125" s="42">
        <f t="shared" si="82"/>
        <v>0</v>
      </c>
      <c r="AJ125" s="42">
        <f t="shared" si="82"/>
        <v>0</v>
      </c>
      <c r="AK125" s="42">
        <f t="shared" si="82"/>
        <v>0</v>
      </c>
      <c r="AL125" s="42">
        <f t="shared" si="82"/>
        <v>0</v>
      </c>
      <c r="AM125" s="42">
        <f t="shared" si="82"/>
        <v>0</v>
      </c>
      <c r="AN125" s="42">
        <f t="shared" si="82"/>
        <v>0</v>
      </c>
      <c r="AO125" s="42">
        <f t="shared" si="82"/>
        <v>0</v>
      </c>
      <c r="AP125" s="42">
        <f t="shared" si="82"/>
        <v>0</v>
      </c>
      <c r="AQ125" s="42">
        <f t="shared" si="82"/>
        <v>0</v>
      </c>
      <c r="AR125" s="42">
        <f t="shared" si="82"/>
        <v>0</v>
      </c>
      <c r="AS125" s="42">
        <f t="shared" si="82"/>
        <v>0</v>
      </c>
      <c r="AT125" s="42">
        <f t="shared" si="82"/>
        <v>0</v>
      </c>
      <c r="AU125" s="42">
        <f t="shared" si="82"/>
        <v>0</v>
      </c>
      <c r="AV125" s="42">
        <f t="shared" si="82"/>
        <v>0</v>
      </c>
      <c r="AW125" s="42">
        <f t="shared" si="82"/>
        <v>0</v>
      </c>
      <c r="AX125" s="42">
        <f t="shared" si="82"/>
        <v>0</v>
      </c>
      <c r="AY125" s="42">
        <f t="shared" si="82"/>
        <v>0</v>
      </c>
    </row>
    <row r="126" spans="2:253" ht="10.9" customHeight="1">
      <c r="B126" s="2" t="s">
        <v>221</v>
      </c>
      <c r="C126" s="15" t="str">
        <f t="shared" si="71"/>
        <v>US$</v>
      </c>
      <c r="D126" s="42">
        <f>SUM(I126:AY126)</f>
        <v>0</v>
      </c>
      <c r="I126" s="42"/>
      <c r="J126" s="42"/>
      <c r="K126" s="42"/>
      <c r="L126" s="42"/>
      <c r="M126" s="42"/>
      <c r="N126" s="42"/>
      <c r="O126" s="42"/>
      <c r="P126" s="42"/>
      <c r="Q126" s="42"/>
      <c r="R126" s="42"/>
      <c r="S126" s="42"/>
      <c r="T126" s="42"/>
      <c r="U126" s="42"/>
      <c r="V126" s="42"/>
      <c r="W126" s="42"/>
      <c r="X126" s="42"/>
      <c r="Y126" s="42"/>
      <c r="Z126" s="42"/>
      <c r="AA126" s="42"/>
      <c r="AB126" s="42"/>
      <c r="AC126" s="42"/>
      <c r="AD126" s="42"/>
      <c r="AE126" s="42"/>
      <c r="AF126" s="42"/>
      <c r="AG126" s="42"/>
      <c r="AH126" s="42"/>
      <c r="AI126" s="42"/>
      <c r="AJ126" s="42"/>
    </row>
    <row r="127" spans="2:253" ht="10.9" customHeight="1">
      <c r="B127" s="2" t="s">
        <v>222</v>
      </c>
      <c r="C127" s="15" t="str">
        <f t="shared" si="71"/>
        <v>US$</v>
      </c>
      <c r="D127" s="42">
        <f>SUM(I127:AY127)</f>
        <v>0</v>
      </c>
      <c r="I127" s="42"/>
      <c r="J127" s="42"/>
      <c r="K127" s="42"/>
      <c r="L127" s="42"/>
      <c r="M127" s="42"/>
      <c r="N127" s="42"/>
      <c r="O127" s="42"/>
      <c r="P127" s="42"/>
      <c r="Q127" s="42"/>
      <c r="R127" s="42"/>
      <c r="S127" s="42"/>
      <c r="T127" s="42"/>
      <c r="U127" s="42"/>
      <c r="V127" s="42"/>
      <c r="W127" s="42"/>
      <c r="X127" s="42"/>
      <c r="Y127" s="42"/>
      <c r="Z127" s="42"/>
      <c r="AA127" s="42"/>
      <c r="AB127" s="42"/>
      <c r="AC127" s="42"/>
      <c r="AD127" s="42"/>
      <c r="AE127" s="42"/>
      <c r="AF127" s="42"/>
      <c r="AG127" s="42"/>
      <c r="AH127" s="42"/>
      <c r="AI127" s="42"/>
      <c r="AJ127" s="42"/>
    </row>
    <row r="128" spans="2:253" s="135" customFormat="1" ht="10.9" customHeight="1">
      <c r="B128" s="1358" t="s">
        <v>71</v>
      </c>
      <c r="C128" s="1515" t="str">
        <f t="shared" si="71"/>
        <v>US$</v>
      </c>
      <c r="D128" s="1516">
        <f t="shared" ref="D128:AY128" si="83">SUM(D125:D127)</f>
        <v>0</v>
      </c>
      <c r="E128" s="1516"/>
      <c r="F128" s="1516"/>
      <c r="G128" s="1516"/>
      <c r="H128" s="1516"/>
      <c r="I128" s="1516">
        <f t="shared" si="83"/>
        <v>0</v>
      </c>
      <c r="J128" s="1516">
        <f t="shared" si="83"/>
        <v>0</v>
      </c>
      <c r="K128" s="1516">
        <f t="shared" si="83"/>
        <v>0</v>
      </c>
      <c r="L128" s="1516">
        <f t="shared" si="83"/>
        <v>0</v>
      </c>
      <c r="M128" s="1516">
        <f t="shared" si="83"/>
        <v>0</v>
      </c>
      <c r="N128" s="1516">
        <f t="shared" si="83"/>
        <v>0</v>
      </c>
      <c r="O128" s="1516">
        <f t="shared" si="83"/>
        <v>0</v>
      </c>
      <c r="P128" s="1516">
        <f t="shared" si="83"/>
        <v>0</v>
      </c>
      <c r="Q128" s="1516">
        <f t="shared" si="83"/>
        <v>0</v>
      </c>
      <c r="R128" s="1516">
        <f t="shared" si="83"/>
        <v>0</v>
      </c>
      <c r="S128" s="1516">
        <f t="shared" si="83"/>
        <v>0</v>
      </c>
      <c r="T128" s="1516">
        <f t="shared" si="83"/>
        <v>0</v>
      </c>
      <c r="U128" s="1516">
        <f t="shared" si="83"/>
        <v>0</v>
      </c>
      <c r="V128" s="1516">
        <f t="shared" si="83"/>
        <v>0</v>
      </c>
      <c r="W128" s="1516">
        <f t="shared" si="83"/>
        <v>0</v>
      </c>
      <c r="X128" s="1516">
        <f t="shared" si="83"/>
        <v>0</v>
      </c>
      <c r="Y128" s="1516">
        <f t="shared" si="83"/>
        <v>0</v>
      </c>
      <c r="Z128" s="1516">
        <f t="shared" si="83"/>
        <v>0</v>
      </c>
      <c r="AA128" s="1516">
        <f t="shared" si="83"/>
        <v>0</v>
      </c>
      <c r="AB128" s="1516">
        <f t="shared" si="83"/>
        <v>0</v>
      </c>
      <c r="AC128" s="1516">
        <f t="shared" si="83"/>
        <v>0</v>
      </c>
      <c r="AD128" s="1516">
        <f t="shared" si="83"/>
        <v>0</v>
      </c>
      <c r="AE128" s="1516">
        <f t="shared" si="83"/>
        <v>0</v>
      </c>
      <c r="AF128" s="1516">
        <f t="shared" si="83"/>
        <v>0</v>
      </c>
      <c r="AG128" s="1516">
        <f t="shared" si="83"/>
        <v>0</v>
      </c>
      <c r="AH128" s="1516">
        <f t="shared" si="83"/>
        <v>0</v>
      </c>
      <c r="AI128" s="1516">
        <f t="shared" si="83"/>
        <v>0</v>
      </c>
      <c r="AJ128" s="1516">
        <f t="shared" si="83"/>
        <v>0</v>
      </c>
      <c r="AK128" s="1516">
        <f t="shared" si="83"/>
        <v>0</v>
      </c>
      <c r="AL128" s="1516">
        <f t="shared" si="83"/>
        <v>0</v>
      </c>
      <c r="AM128" s="1516">
        <f t="shared" si="83"/>
        <v>0</v>
      </c>
      <c r="AN128" s="1516">
        <f t="shared" si="83"/>
        <v>0</v>
      </c>
      <c r="AO128" s="1516">
        <f t="shared" si="83"/>
        <v>0</v>
      </c>
      <c r="AP128" s="1516">
        <f t="shared" si="83"/>
        <v>0</v>
      </c>
      <c r="AQ128" s="1516">
        <f t="shared" si="83"/>
        <v>0</v>
      </c>
      <c r="AR128" s="1516">
        <f t="shared" si="83"/>
        <v>0</v>
      </c>
      <c r="AS128" s="1516">
        <f t="shared" si="83"/>
        <v>0</v>
      </c>
      <c r="AT128" s="1516">
        <f t="shared" si="83"/>
        <v>0</v>
      </c>
      <c r="AU128" s="1516">
        <f t="shared" si="83"/>
        <v>0</v>
      </c>
      <c r="AV128" s="1516">
        <f t="shared" si="83"/>
        <v>0</v>
      </c>
      <c r="AW128" s="1516">
        <f t="shared" si="83"/>
        <v>0</v>
      </c>
      <c r="AX128" s="1516">
        <f t="shared" si="83"/>
        <v>0</v>
      </c>
      <c r="AY128" s="1516">
        <f t="shared" si="83"/>
        <v>0</v>
      </c>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EE128" s="2"/>
      <c r="EF128" s="2"/>
      <c r="EG128" s="2"/>
      <c r="EH128" s="2"/>
      <c r="EI128" s="2"/>
      <c r="EJ128" s="2"/>
      <c r="EK128" s="2"/>
      <c r="EL128" s="2"/>
      <c r="EM128" s="2"/>
      <c r="EN128" s="2"/>
      <c r="EO128" s="2"/>
      <c r="EP128" s="2"/>
      <c r="EQ128" s="2"/>
      <c r="ER128" s="2"/>
      <c r="ES128" s="2"/>
      <c r="ET128" s="2"/>
      <c r="EU128" s="2"/>
      <c r="EV128" s="2"/>
      <c r="EW128" s="2"/>
      <c r="EX128" s="2"/>
      <c r="EY128" s="2"/>
      <c r="EZ128" s="2"/>
      <c r="FA128" s="2"/>
      <c r="FB128" s="2"/>
      <c r="FC128" s="2"/>
      <c r="FD128" s="2"/>
      <c r="FE128" s="2"/>
      <c r="FF128" s="2"/>
      <c r="FG128" s="2"/>
      <c r="FH128" s="2"/>
      <c r="FI128" s="2"/>
      <c r="FJ128" s="2"/>
      <c r="FK128" s="2"/>
      <c r="FL128" s="2"/>
      <c r="FM128" s="2"/>
      <c r="FN128" s="2"/>
      <c r="FO128" s="2"/>
      <c r="FP128" s="2"/>
      <c r="FQ128" s="2"/>
      <c r="FR128" s="2"/>
      <c r="FS128" s="2"/>
      <c r="FT128" s="2"/>
      <c r="FU128" s="2"/>
      <c r="FV128" s="2"/>
      <c r="FW128" s="2"/>
      <c r="FX128" s="590"/>
      <c r="FY128" s="590"/>
      <c r="FZ128" s="590"/>
      <c r="GA128" s="590"/>
      <c r="GB128" s="590"/>
      <c r="GC128" s="590"/>
      <c r="GD128" s="590"/>
      <c r="GE128" s="590"/>
      <c r="GF128" s="590"/>
      <c r="GG128" s="590"/>
      <c r="GH128" s="590"/>
      <c r="GI128" s="590"/>
      <c r="GJ128" s="590"/>
      <c r="GK128" s="590"/>
      <c r="GL128" s="590"/>
      <c r="GM128" s="590"/>
      <c r="GN128" s="590"/>
      <c r="GO128" s="590"/>
      <c r="GP128" s="590"/>
      <c r="GQ128" s="590"/>
      <c r="GR128" s="590"/>
      <c r="GS128" s="590"/>
      <c r="GT128" s="590"/>
      <c r="GU128" s="590"/>
      <c r="GV128" s="590"/>
      <c r="GW128" s="590"/>
      <c r="GX128" s="590"/>
      <c r="GY128" s="590"/>
      <c r="GZ128" s="590"/>
      <c r="HA128" s="590"/>
      <c r="HB128" s="590"/>
      <c r="HC128" s="590"/>
      <c r="HD128" s="590"/>
      <c r="HE128" s="590"/>
      <c r="HF128" s="590"/>
      <c r="HG128" s="590"/>
      <c r="HH128" s="590"/>
      <c r="HI128" s="590"/>
      <c r="HJ128" s="590"/>
      <c r="HK128" s="590"/>
      <c r="HL128" s="590"/>
      <c r="HM128" s="590"/>
      <c r="HN128" s="590"/>
      <c r="HO128" s="590"/>
      <c r="HP128" s="590"/>
      <c r="HQ128" s="590"/>
      <c r="HR128" s="590"/>
      <c r="HS128" s="590"/>
      <c r="HT128" s="590"/>
      <c r="HU128" s="590"/>
      <c r="HV128" s="590"/>
      <c r="HW128" s="590"/>
      <c r="HX128" s="590"/>
      <c r="HY128" s="590"/>
      <c r="HZ128" s="590"/>
      <c r="IA128" s="590"/>
      <c r="IB128" s="590"/>
      <c r="IC128" s="590"/>
      <c r="ID128" s="590"/>
      <c r="IE128" s="590"/>
      <c r="IF128" s="590"/>
      <c r="IG128" s="590"/>
      <c r="IH128" s="590"/>
      <c r="II128" s="590"/>
      <c r="IJ128" s="590"/>
      <c r="IK128" s="590"/>
      <c r="IL128" s="590"/>
      <c r="IM128" s="590"/>
      <c r="IN128" s="590"/>
      <c r="IO128" s="590"/>
      <c r="IP128" s="590"/>
      <c r="IQ128" s="590"/>
      <c r="IR128" s="590"/>
      <c r="IS128" s="590"/>
    </row>
    <row r="129" spans="2:80" ht="10.9" customHeight="1" thickBot="1">
      <c r="C129" s="15"/>
      <c r="D129" s="42"/>
      <c r="I129" s="42"/>
      <c r="J129" s="42"/>
      <c r="K129" s="42"/>
      <c r="L129" s="42"/>
      <c r="M129" s="42"/>
      <c r="N129" s="42"/>
      <c r="O129" s="42"/>
      <c r="P129" s="42"/>
      <c r="Q129" s="42"/>
      <c r="R129" s="42"/>
      <c r="S129" s="42"/>
      <c r="T129" s="42"/>
      <c r="U129" s="42"/>
      <c r="V129" s="42"/>
      <c r="W129" s="42"/>
      <c r="X129" s="42"/>
      <c r="Y129" s="42"/>
      <c r="Z129" s="42"/>
      <c r="AA129" s="42"/>
      <c r="AB129" s="42"/>
      <c r="AC129" s="42"/>
      <c r="AD129" s="42"/>
      <c r="AE129" s="42"/>
      <c r="AF129" s="42"/>
      <c r="AG129" s="42"/>
      <c r="AH129" s="42"/>
      <c r="AI129" s="42"/>
      <c r="AJ129" s="42"/>
    </row>
    <row r="130" spans="2:80" ht="10.9" customHeight="1" thickBot="1">
      <c r="B130" s="1500" t="s">
        <v>1595</v>
      </c>
      <c r="C130" s="15"/>
      <c r="D130" s="1514">
        <f>'Sens WIP'!D31</f>
        <v>0</v>
      </c>
      <c r="I130" s="42"/>
      <c r="J130" s="42"/>
      <c r="K130" s="42"/>
      <c r="L130" s="42"/>
      <c r="M130" s="42"/>
      <c r="N130" s="42"/>
      <c r="O130" s="42"/>
      <c r="P130" s="42"/>
      <c r="Q130" s="42"/>
      <c r="R130" s="42"/>
      <c r="S130" s="42"/>
      <c r="T130" s="42"/>
      <c r="U130" s="42"/>
      <c r="V130" s="42"/>
      <c r="W130" s="42"/>
      <c r="X130" s="42"/>
      <c r="Y130" s="42"/>
      <c r="Z130" s="42"/>
      <c r="AA130" s="42"/>
      <c r="AB130" s="42"/>
      <c r="AC130" s="42"/>
      <c r="AD130" s="42"/>
      <c r="AE130" s="42"/>
      <c r="AF130" s="42"/>
      <c r="AG130" s="42"/>
      <c r="AH130" s="42"/>
      <c r="AI130" s="42"/>
      <c r="AJ130" s="42"/>
    </row>
    <row r="131" spans="2:80" ht="10.9" customHeight="1">
      <c r="B131" s="2" t="s">
        <v>1596</v>
      </c>
      <c r="C131" s="15"/>
      <c r="D131" s="42"/>
      <c r="I131" s="42">
        <f>I128</f>
        <v>0</v>
      </c>
      <c r="J131" s="42">
        <f t="shared" ref="J131:BU131" si="84">J128</f>
        <v>0</v>
      </c>
      <c r="K131" s="42">
        <f t="shared" si="84"/>
        <v>0</v>
      </c>
      <c r="L131" s="42">
        <f t="shared" si="84"/>
        <v>0</v>
      </c>
      <c r="M131" s="42">
        <f t="shared" si="84"/>
        <v>0</v>
      </c>
      <c r="N131" s="42">
        <f t="shared" si="84"/>
        <v>0</v>
      </c>
      <c r="O131" s="42">
        <f t="shared" si="84"/>
        <v>0</v>
      </c>
      <c r="P131" s="42">
        <f t="shared" si="84"/>
        <v>0</v>
      </c>
      <c r="Q131" s="42">
        <f t="shared" si="84"/>
        <v>0</v>
      </c>
      <c r="R131" s="42">
        <f t="shared" si="84"/>
        <v>0</v>
      </c>
      <c r="S131" s="42">
        <f t="shared" si="84"/>
        <v>0</v>
      </c>
      <c r="T131" s="42">
        <f t="shared" si="84"/>
        <v>0</v>
      </c>
      <c r="U131" s="42">
        <f t="shared" si="84"/>
        <v>0</v>
      </c>
      <c r="V131" s="42">
        <f t="shared" si="84"/>
        <v>0</v>
      </c>
      <c r="W131" s="42">
        <f t="shared" si="84"/>
        <v>0</v>
      </c>
      <c r="X131" s="42">
        <f t="shared" si="84"/>
        <v>0</v>
      </c>
      <c r="Y131" s="42">
        <f t="shared" si="84"/>
        <v>0</v>
      </c>
      <c r="Z131" s="42">
        <f t="shared" si="84"/>
        <v>0</v>
      </c>
      <c r="AA131" s="42">
        <f t="shared" si="84"/>
        <v>0</v>
      </c>
      <c r="AB131" s="42">
        <f t="shared" si="84"/>
        <v>0</v>
      </c>
      <c r="AC131" s="42">
        <f t="shared" si="84"/>
        <v>0</v>
      </c>
      <c r="AD131" s="42">
        <f t="shared" si="84"/>
        <v>0</v>
      </c>
      <c r="AE131" s="42">
        <f t="shared" si="84"/>
        <v>0</v>
      </c>
      <c r="AF131" s="42">
        <f t="shared" si="84"/>
        <v>0</v>
      </c>
      <c r="AG131" s="42">
        <f t="shared" si="84"/>
        <v>0</v>
      </c>
      <c r="AH131" s="42">
        <f t="shared" si="84"/>
        <v>0</v>
      </c>
      <c r="AI131" s="42">
        <f t="shared" si="84"/>
        <v>0</v>
      </c>
      <c r="AJ131" s="42">
        <f t="shared" si="84"/>
        <v>0</v>
      </c>
      <c r="AK131" s="42">
        <f t="shared" si="84"/>
        <v>0</v>
      </c>
      <c r="AL131" s="42">
        <f t="shared" si="84"/>
        <v>0</v>
      </c>
      <c r="AM131" s="42">
        <f t="shared" si="84"/>
        <v>0</v>
      </c>
      <c r="AN131" s="42">
        <f t="shared" si="84"/>
        <v>0</v>
      </c>
      <c r="AO131" s="42">
        <f t="shared" si="84"/>
        <v>0</v>
      </c>
      <c r="AP131" s="42">
        <f t="shared" si="84"/>
        <v>0</v>
      </c>
      <c r="AQ131" s="42">
        <f t="shared" si="84"/>
        <v>0</v>
      </c>
      <c r="AR131" s="42">
        <f t="shared" si="84"/>
        <v>0</v>
      </c>
      <c r="AS131" s="42">
        <f t="shared" si="84"/>
        <v>0</v>
      </c>
      <c r="AT131" s="42">
        <f t="shared" si="84"/>
        <v>0</v>
      </c>
      <c r="AU131" s="42">
        <f t="shared" si="84"/>
        <v>0</v>
      </c>
      <c r="AV131" s="42">
        <f t="shared" si="84"/>
        <v>0</v>
      </c>
      <c r="AW131" s="42">
        <f t="shared" si="84"/>
        <v>0</v>
      </c>
      <c r="AX131" s="42">
        <f t="shared" si="84"/>
        <v>0</v>
      </c>
      <c r="AY131" s="42">
        <f t="shared" si="84"/>
        <v>0</v>
      </c>
      <c r="AZ131" s="42">
        <f t="shared" si="84"/>
        <v>0</v>
      </c>
      <c r="BA131" s="42">
        <f t="shared" si="84"/>
        <v>0</v>
      </c>
      <c r="BB131" s="42">
        <f t="shared" si="84"/>
        <v>0</v>
      </c>
      <c r="BC131" s="42">
        <f t="shared" si="84"/>
        <v>0</v>
      </c>
      <c r="BD131" s="42">
        <f t="shared" si="84"/>
        <v>0</v>
      </c>
      <c r="BE131" s="42">
        <f t="shared" si="84"/>
        <v>0</v>
      </c>
      <c r="BF131" s="42">
        <f t="shared" si="84"/>
        <v>0</v>
      </c>
      <c r="BG131" s="42">
        <f t="shared" si="84"/>
        <v>0</v>
      </c>
      <c r="BH131" s="42">
        <f t="shared" si="84"/>
        <v>0</v>
      </c>
      <c r="BI131" s="42">
        <f t="shared" si="84"/>
        <v>0</v>
      </c>
      <c r="BJ131" s="42">
        <f t="shared" si="84"/>
        <v>0</v>
      </c>
      <c r="BK131" s="42">
        <f t="shared" si="84"/>
        <v>0</v>
      </c>
      <c r="BL131" s="42">
        <f t="shared" si="84"/>
        <v>0</v>
      </c>
      <c r="BM131" s="42">
        <f t="shared" si="84"/>
        <v>0</v>
      </c>
      <c r="BN131" s="42">
        <f t="shared" si="84"/>
        <v>0</v>
      </c>
      <c r="BO131" s="42">
        <f t="shared" si="84"/>
        <v>0</v>
      </c>
      <c r="BP131" s="42">
        <f t="shared" si="84"/>
        <v>0</v>
      </c>
      <c r="BQ131" s="42">
        <f t="shared" si="84"/>
        <v>0</v>
      </c>
      <c r="BR131" s="42">
        <f t="shared" si="84"/>
        <v>0</v>
      </c>
      <c r="BS131" s="42">
        <f t="shared" si="84"/>
        <v>0</v>
      </c>
      <c r="BT131" s="42">
        <f t="shared" si="84"/>
        <v>0</v>
      </c>
      <c r="BU131" s="42">
        <f t="shared" si="84"/>
        <v>0</v>
      </c>
      <c r="BV131" s="42">
        <f t="shared" ref="BV131:CB131" si="85">BV128</f>
        <v>0</v>
      </c>
      <c r="BW131" s="42">
        <f t="shared" si="85"/>
        <v>0</v>
      </c>
      <c r="BX131" s="42">
        <f t="shared" si="85"/>
        <v>0</v>
      </c>
      <c r="BY131" s="42">
        <f t="shared" si="85"/>
        <v>0</v>
      </c>
      <c r="BZ131" s="42">
        <f t="shared" si="85"/>
        <v>0</v>
      </c>
      <c r="CA131" s="42">
        <f t="shared" si="85"/>
        <v>0</v>
      </c>
      <c r="CB131" s="42">
        <f t="shared" si="85"/>
        <v>0</v>
      </c>
    </row>
    <row r="132" spans="2:80" ht="10.9" customHeight="1">
      <c r="B132" s="2" t="s">
        <v>1597</v>
      </c>
      <c r="C132" s="15"/>
      <c r="D132" s="42"/>
      <c r="I132" s="42">
        <f>I131*(1+D130)</f>
        <v>0</v>
      </c>
      <c r="J132" s="42">
        <f t="shared" ref="J132:BU132" si="86">J131*(1+E130)</f>
        <v>0</v>
      </c>
      <c r="K132" s="42">
        <f t="shared" si="86"/>
        <v>0</v>
      </c>
      <c r="L132" s="42">
        <f t="shared" si="86"/>
        <v>0</v>
      </c>
      <c r="M132" s="42">
        <f t="shared" si="86"/>
        <v>0</v>
      </c>
      <c r="N132" s="42">
        <f t="shared" si="86"/>
        <v>0</v>
      </c>
      <c r="O132" s="42">
        <f t="shared" si="86"/>
        <v>0</v>
      </c>
      <c r="P132" s="42">
        <f t="shared" si="86"/>
        <v>0</v>
      </c>
      <c r="Q132" s="42">
        <f t="shared" si="86"/>
        <v>0</v>
      </c>
      <c r="R132" s="42">
        <f t="shared" si="86"/>
        <v>0</v>
      </c>
      <c r="S132" s="42">
        <f t="shared" si="86"/>
        <v>0</v>
      </c>
      <c r="T132" s="42">
        <f t="shared" si="86"/>
        <v>0</v>
      </c>
      <c r="U132" s="42">
        <f t="shared" si="86"/>
        <v>0</v>
      </c>
      <c r="V132" s="42">
        <f t="shared" si="86"/>
        <v>0</v>
      </c>
      <c r="W132" s="42">
        <f t="shared" si="86"/>
        <v>0</v>
      </c>
      <c r="X132" s="42">
        <f t="shared" si="86"/>
        <v>0</v>
      </c>
      <c r="Y132" s="42">
        <f t="shared" si="86"/>
        <v>0</v>
      </c>
      <c r="Z132" s="42">
        <f t="shared" si="86"/>
        <v>0</v>
      </c>
      <c r="AA132" s="42">
        <f t="shared" si="86"/>
        <v>0</v>
      </c>
      <c r="AB132" s="42">
        <f t="shared" si="86"/>
        <v>0</v>
      </c>
      <c r="AC132" s="42">
        <f t="shared" si="86"/>
        <v>0</v>
      </c>
      <c r="AD132" s="42">
        <f t="shared" si="86"/>
        <v>0</v>
      </c>
      <c r="AE132" s="42">
        <f t="shared" si="86"/>
        <v>0</v>
      </c>
      <c r="AF132" s="42">
        <f t="shared" si="86"/>
        <v>0</v>
      </c>
      <c r="AG132" s="42">
        <f t="shared" si="86"/>
        <v>0</v>
      </c>
      <c r="AH132" s="42">
        <f t="shared" si="86"/>
        <v>0</v>
      </c>
      <c r="AI132" s="42">
        <f t="shared" si="86"/>
        <v>0</v>
      </c>
      <c r="AJ132" s="42">
        <f t="shared" si="86"/>
        <v>0</v>
      </c>
      <c r="AK132" s="42">
        <f t="shared" si="86"/>
        <v>0</v>
      </c>
      <c r="AL132" s="42">
        <f t="shared" si="86"/>
        <v>0</v>
      </c>
      <c r="AM132" s="42">
        <f t="shared" si="86"/>
        <v>0</v>
      </c>
      <c r="AN132" s="42">
        <f t="shared" si="86"/>
        <v>0</v>
      </c>
      <c r="AO132" s="42">
        <f t="shared" si="86"/>
        <v>0</v>
      </c>
      <c r="AP132" s="42">
        <f t="shared" si="86"/>
        <v>0</v>
      </c>
      <c r="AQ132" s="42">
        <f t="shared" si="86"/>
        <v>0</v>
      </c>
      <c r="AR132" s="42">
        <f t="shared" si="86"/>
        <v>0</v>
      </c>
      <c r="AS132" s="42">
        <f t="shared" si="86"/>
        <v>0</v>
      </c>
      <c r="AT132" s="42">
        <f t="shared" si="86"/>
        <v>0</v>
      </c>
      <c r="AU132" s="42">
        <f t="shared" si="86"/>
        <v>0</v>
      </c>
      <c r="AV132" s="42">
        <f t="shared" si="86"/>
        <v>0</v>
      </c>
      <c r="AW132" s="42">
        <f t="shared" si="86"/>
        <v>0</v>
      </c>
      <c r="AX132" s="42">
        <f t="shared" si="86"/>
        <v>0</v>
      </c>
      <c r="AY132" s="42">
        <f t="shared" si="86"/>
        <v>0</v>
      </c>
      <c r="AZ132" s="42">
        <f t="shared" si="86"/>
        <v>0</v>
      </c>
      <c r="BA132" s="42">
        <f t="shared" si="86"/>
        <v>0</v>
      </c>
      <c r="BB132" s="42">
        <f t="shared" si="86"/>
        <v>0</v>
      </c>
      <c r="BC132" s="42">
        <f t="shared" si="86"/>
        <v>0</v>
      </c>
      <c r="BD132" s="42">
        <f t="shared" si="86"/>
        <v>0</v>
      </c>
      <c r="BE132" s="42">
        <f t="shared" si="86"/>
        <v>0</v>
      </c>
      <c r="BF132" s="42">
        <f t="shared" si="86"/>
        <v>0</v>
      </c>
      <c r="BG132" s="42">
        <f t="shared" si="86"/>
        <v>0</v>
      </c>
      <c r="BH132" s="42">
        <f t="shared" si="86"/>
        <v>0</v>
      </c>
      <c r="BI132" s="42">
        <f t="shared" si="86"/>
        <v>0</v>
      </c>
      <c r="BJ132" s="42">
        <f t="shared" si="86"/>
        <v>0</v>
      </c>
      <c r="BK132" s="42">
        <f t="shared" si="86"/>
        <v>0</v>
      </c>
      <c r="BL132" s="42">
        <f t="shared" si="86"/>
        <v>0</v>
      </c>
      <c r="BM132" s="42">
        <f t="shared" si="86"/>
        <v>0</v>
      </c>
      <c r="BN132" s="42">
        <f t="shared" si="86"/>
        <v>0</v>
      </c>
      <c r="BO132" s="42">
        <f t="shared" si="86"/>
        <v>0</v>
      </c>
      <c r="BP132" s="42">
        <f t="shared" si="86"/>
        <v>0</v>
      </c>
      <c r="BQ132" s="42">
        <f t="shared" si="86"/>
        <v>0</v>
      </c>
      <c r="BR132" s="42">
        <f t="shared" si="86"/>
        <v>0</v>
      </c>
      <c r="BS132" s="42">
        <f t="shared" si="86"/>
        <v>0</v>
      </c>
      <c r="BT132" s="42">
        <f t="shared" si="86"/>
        <v>0</v>
      </c>
      <c r="BU132" s="42">
        <f t="shared" si="86"/>
        <v>0</v>
      </c>
      <c r="BV132" s="42">
        <f t="shared" ref="BV132:CB132" si="87">BV131*(1+BQ130)</f>
        <v>0</v>
      </c>
      <c r="BW132" s="42">
        <f t="shared" si="87"/>
        <v>0</v>
      </c>
      <c r="BX132" s="42">
        <f t="shared" si="87"/>
        <v>0</v>
      </c>
      <c r="BY132" s="42">
        <f t="shared" si="87"/>
        <v>0</v>
      </c>
      <c r="BZ132" s="42">
        <f t="shared" si="87"/>
        <v>0</v>
      </c>
      <c r="CA132" s="42">
        <f t="shared" si="87"/>
        <v>0</v>
      </c>
      <c r="CB132" s="42">
        <f t="shared" si="87"/>
        <v>0</v>
      </c>
    </row>
    <row r="133" spans="2:80" ht="10.9" customHeight="1">
      <c r="C133" s="15"/>
      <c r="D133" s="42"/>
      <c r="I133" s="42"/>
      <c r="J133" s="42"/>
      <c r="K133" s="42"/>
      <c r="L133" s="42"/>
      <c r="M133" s="42"/>
      <c r="N133" s="42"/>
      <c r="O133" s="42"/>
      <c r="P133" s="42"/>
      <c r="Q133" s="42"/>
      <c r="R133" s="42"/>
      <c r="S133" s="42"/>
      <c r="T133" s="42"/>
      <c r="U133" s="42"/>
      <c r="V133" s="42"/>
      <c r="W133" s="42"/>
      <c r="X133" s="42"/>
      <c r="Y133" s="42"/>
      <c r="Z133" s="42"/>
      <c r="AA133" s="42"/>
      <c r="AB133" s="42"/>
      <c r="AC133" s="42"/>
      <c r="AD133" s="42"/>
      <c r="AE133" s="42"/>
      <c r="AF133" s="42"/>
      <c r="AG133" s="42"/>
      <c r="AH133" s="42"/>
      <c r="AI133" s="42"/>
      <c r="AJ133" s="42"/>
    </row>
    <row r="134" spans="2:80" ht="10.9" customHeight="1">
      <c r="C134" s="15"/>
      <c r="D134" s="42"/>
      <c r="I134" s="42"/>
      <c r="J134" s="42"/>
      <c r="K134" s="42"/>
      <c r="L134" s="42"/>
      <c r="M134" s="42"/>
      <c r="N134" s="42"/>
      <c r="O134" s="42"/>
      <c r="P134" s="42"/>
      <c r="Q134" s="42"/>
      <c r="R134" s="42"/>
      <c r="S134" s="42"/>
      <c r="T134" s="42"/>
      <c r="U134" s="42"/>
      <c r="V134" s="42"/>
      <c r="W134" s="42"/>
      <c r="X134" s="42"/>
      <c r="Y134" s="42"/>
      <c r="Z134" s="42"/>
      <c r="AA134" s="42"/>
      <c r="AB134" s="42"/>
      <c r="AC134" s="42"/>
      <c r="AD134" s="42"/>
      <c r="AE134" s="42"/>
      <c r="AF134" s="42"/>
      <c r="AG134" s="42"/>
      <c r="AH134" s="42"/>
      <c r="AI134" s="42"/>
      <c r="AJ134" s="42"/>
    </row>
    <row r="135" spans="2:80">
      <c r="C135" s="15"/>
      <c r="D135" s="42"/>
      <c r="I135" s="42"/>
      <c r="J135" s="42"/>
      <c r="K135" s="42"/>
      <c r="L135" s="42"/>
      <c r="M135" s="42"/>
      <c r="N135" s="42"/>
      <c r="O135" s="42"/>
      <c r="P135" s="42"/>
      <c r="Q135" s="42"/>
      <c r="R135" s="42"/>
      <c r="S135" s="42"/>
      <c r="T135" s="42"/>
      <c r="U135" s="42"/>
      <c r="V135" s="42"/>
      <c r="W135" s="42"/>
      <c r="X135" s="42"/>
      <c r="Y135" s="42"/>
      <c r="Z135" s="42"/>
      <c r="AA135" s="42"/>
      <c r="AB135" s="42"/>
      <c r="AC135" s="42"/>
      <c r="AD135" s="42"/>
      <c r="AE135" s="42"/>
      <c r="AF135" s="42"/>
      <c r="AG135" s="42"/>
      <c r="AH135" s="42"/>
      <c r="AI135" s="42"/>
      <c r="AJ135" s="42"/>
    </row>
    <row r="136" spans="2:80">
      <c r="B136" s="172" t="s">
        <v>963</v>
      </c>
      <c r="C136" s="173" t="s">
        <v>217</v>
      </c>
      <c r="D136" s="174" t="s">
        <v>71</v>
      </c>
      <c r="I136" s="42"/>
      <c r="J136" s="42"/>
      <c r="K136" s="42"/>
      <c r="L136" s="42"/>
      <c r="M136" s="42"/>
      <c r="N136" s="42"/>
      <c r="O136" s="42"/>
      <c r="P136" s="42"/>
      <c r="Q136" s="42"/>
      <c r="R136" s="42"/>
      <c r="S136" s="42"/>
      <c r="T136" s="42"/>
      <c r="U136" s="42"/>
      <c r="V136" s="42"/>
      <c r="W136" s="42"/>
      <c r="X136" s="42"/>
      <c r="Y136" s="42"/>
      <c r="Z136" s="42"/>
      <c r="AA136" s="42"/>
      <c r="AB136" s="42"/>
      <c r="AC136" s="42"/>
      <c r="AD136" s="42"/>
      <c r="AE136" s="42"/>
      <c r="AF136" s="42"/>
      <c r="AG136" s="42"/>
      <c r="AH136" s="42"/>
      <c r="AI136" s="42"/>
      <c r="AJ136" s="42"/>
    </row>
    <row r="137" spans="2:80">
      <c r="B137" s="175"/>
      <c r="C137" s="582" t="str">
        <f>IF('Input '!$F$9=1,"US$","=N=")</f>
        <v>US$</v>
      </c>
      <c r="D137" s="176"/>
      <c r="I137" s="42"/>
      <c r="J137" s="42"/>
      <c r="K137" s="42"/>
      <c r="L137" s="42"/>
      <c r="M137" s="42"/>
      <c r="N137" s="42"/>
      <c r="O137" s="42"/>
      <c r="P137" s="42"/>
      <c r="Q137" s="42"/>
      <c r="R137" s="42"/>
      <c r="S137" s="42"/>
      <c r="T137" s="42"/>
      <c r="U137" s="42"/>
      <c r="V137" s="42"/>
      <c r="W137" s="42"/>
      <c r="X137" s="42"/>
      <c r="Y137" s="42"/>
      <c r="Z137" s="42"/>
      <c r="AA137" s="42"/>
      <c r="AB137" s="42"/>
      <c r="AC137" s="42"/>
      <c r="AD137" s="42"/>
      <c r="AE137" s="42"/>
      <c r="AF137" s="42"/>
      <c r="AG137" s="42"/>
      <c r="AH137" s="42"/>
      <c r="AI137" s="42"/>
      <c r="AJ137" s="42"/>
    </row>
    <row r="138" spans="2:80">
      <c r="B138" s="177" t="s">
        <v>826</v>
      </c>
      <c r="C138" s="118">
        <f>IF('Input '!$F$9=1,('Input '!E121+'Input '!E120)/(Exchange_Rate),('Input '!E121+'Input '!E120)*Sens_projectcost)</f>
        <v>8043600</v>
      </c>
      <c r="D138" s="178">
        <f>SUM(I138:AY138)</f>
        <v>1</v>
      </c>
      <c r="I138" s="106">
        <v>0.02</v>
      </c>
      <c r="J138" s="106">
        <v>0.02</v>
      </c>
      <c r="K138" s="106">
        <v>0.02</v>
      </c>
      <c r="L138" s="106">
        <v>0.02</v>
      </c>
      <c r="M138" s="106">
        <v>0.02</v>
      </c>
      <c r="N138" s="106">
        <v>0.02</v>
      </c>
      <c r="O138" s="106">
        <v>0.02</v>
      </c>
      <c r="P138" s="106">
        <v>0.02</v>
      </c>
      <c r="Q138" s="106">
        <v>0.02</v>
      </c>
      <c r="R138" s="106">
        <v>0.02</v>
      </c>
      <c r="S138" s="106">
        <v>0.02</v>
      </c>
      <c r="T138" s="106">
        <v>0.02</v>
      </c>
      <c r="U138" s="106">
        <v>0.05</v>
      </c>
      <c r="V138" s="106">
        <v>0.05</v>
      </c>
      <c r="W138" s="106">
        <v>0.05</v>
      </c>
      <c r="X138" s="106">
        <v>0.05</v>
      </c>
      <c r="Y138" s="106">
        <v>0.05</v>
      </c>
      <c r="Z138" s="106">
        <v>0.05</v>
      </c>
      <c r="AA138" s="106">
        <v>0.05</v>
      </c>
      <c r="AB138" s="106">
        <v>0.05</v>
      </c>
      <c r="AC138" s="106">
        <v>0.05</v>
      </c>
      <c r="AD138" s="106">
        <v>0.1</v>
      </c>
      <c r="AE138" s="106">
        <v>0.1</v>
      </c>
      <c r="AF138" s="106">
        <v>0.11</v>
      </c>
      <c r="AG138" s="106">
        <v>0</v>
      </c>
      <c r="AH138" s="106">
        <v>0</v>
      </c>
      <c r="AI138" s="106">
        <v>0</v>
      </c>
      <c r="AJ138" s="106">
        <v>0</v>
      </c>
      <c r="AK138" s="106">
        <v>0</v>
      </c>
      <c r="AL138" s="106">
        <v>0</v>
      </c>
      <c r="AM138" s="106">
        <v>0</v>
      </c>
      <c r="AN138" s="106">
        <v>0</v>
      </c>
      <c r="AO138" s="106">
        <v>0</v>
      </c>
      <c r="AP138" s="106">
        <v>0</v>
      </c>
      <c r="AQ138" s="106">
        <v>0</v>
      </c>
      <c r="AR138" s="106">
        <v>0</v>
      </c>
      <c r="AS138" s="106">
        <v>0</v>
      </c>
      <c r="AT138" s="106">
        <v>0</v>
      </c>
      <c r="AU138" s="106">
        <v>0</v>
      </c>
      <c r="AV138" s="106">
        <v>0</v>
      </c>
      <c r="AW138" s="106">
        <v>0</v>
      </c>
      <c r="AX138" s="106">
        <v>0</v>
      </c>
      <c r="AY138" s="106">
        <v>0</v>
      </c>
    </row>
    <row r="139" spans="2:80">
      <c r="B139" s="177" t="s">
        <v>2039</v>
      </c>
      <c r="C139" s="118">
        <f>IF('Input '!$F$9=1,'Input '!E122/Exchange_Rate,'Input '!E122)*Sens_projectcost</f>
        <v>728519700</v>
      </c>
      <c r="D139" s="178">
        <f t="shared" ref="D139:D146" si="88">SUM(I139:AY139)</f>
        <v>1</v>
      </c>
      <c r="I139" s="106">
        <v>0.02</v>
      </c>
      <c r="J139" s="106">
        <v>0.02</v>
      </c>
      <c r="K139" s="106">
        <v>0.02</v>
      </c>
      <c r="L139" s="106">
        <v>0.02</v>
      </c>
      <c r="M139" s="106">
        <v>0.02</v>
      </c>
      <c r="N139" s="106">
        <v>0.02</v>
      </c>
      <c r="O139" s="106">
        <v>0.02</v>
      </c>
      <c r="P139" s="106">
        <v>0.02</v>
      </c>
      <c r="Q139" s="106">
        <v>0.02</v>
      </c>
      <c r="R139" s="106">
        <v>0.02</v>
      </c>
      <c r="S139" s="106">
        <v>0.02</v>
      </c>
      <c r="T139" s="106">
        <v>0.02</v>
      </c>
      <c r="U139" s="106">
        <v>0.05</v>
      </c>
      <c r="V139" s="106">
        <v>0.05</v>
      </c>
      <c r="W139" s="106">
        <v>0.05</v>
      </c>
      <c r="X139" s="106">
        <v>0.05</v>
      </c>
      <c r="Y139" s="106">
        <v>0.05</v>
      </c>
      <c r="Z139" s="106">
        <v>0.05</v>
      </c>
      <c r="AA139" s="106">
        <v>0.05</v>
      </c>
      <c r="AB139" s="106">
        <v>0.05</v>
      </c>
      <c r="AC139" s="106">
        <v>0.05</v>
      </c>
      <c r="AD139" s="106">
        <v>0.1</v>
      </c>
      <c r="AE139" s="106">
        <v>0.1</v>
      </c>
      <c r="AF139" s="106">
        <v>0.11</v>
      </c>
      <c r="AG139" s="106">
        <v>0</v>
      </c>
      <c r="AH139" s="106">
        <v>0</v>
      </c>
      <c r="AI139" s="106">
        <v>0</v>
      </c>
      <c r="AJ139" s="106">
        <v>0</v>
      </c>
      <c r="AK139" s="106">
        <v>0</v>
      </c>
      <c r="AL139" s="106">
        <v>0</v>
      </c>
      <c r="AM139" s="106">
        <v>0</v>
      </c>
      <c r="AN139" s="106">
        <v>0</v>
      </c>
      <c r="AO139" s="106">
        <v>0</v>
      </c>
      <c r="AP139" s="106">
        <v>0</v>
      </c>
      <c r="AQ139" s="106">
        <v>0</v>
      </c>
      <c r="AR139" s="106">
        <v>0</v>
      </c>
      <c r="AS139" s="106">
        <v>0</v>
      </c>
      <c r="AT139" s="106">
        <v>0</v>
      </c>
      <c r="AU139" s="106">
        <v>0</v>
      </c>
      <c r="AV139" s="106">
        <v>0</v>
      </c>
      <c r="AW139" s="106">
        <v>0</v>
      </c>
      <c r="AX139" s="106">
        <v>0</v>
      </c>
      <c r="AY139" s="106">
        <v>0</v>
      </c>
    </row>
    <row r="140" spans="2:80">
      <c r="B140" s="177" t="s">
        <v>845</v>
      </c>
      <c r="C140" s="118">
        <f>IF('Input '!$F$9=1,'Input '!E123/Exchange_Rate,'Input '!E123)*Sens_projectcost</f>
        <v>72876518.367346942</v>
      </c>
      <c r="D140" s="178">
        <f t="shared" si="88"/>
        <v>1</v>
      </c>
      <c r="I140" s="106">
        <v>0.02</v>
      </c>
      <c r="J140" s="106">
        <v>0.02</v>
      </c>
      <c r="K140" s="106">
        <v>0.02</v>
      </c>
      <c r="L140" s="106">
        <v>0.02</v>
      </c>
      <c r="M140" s="106">
        <v>0.02</v>
      </c>
      <c r="N140" s="106">
        <v>0.02</v>
      </c>
      <c r="O140" s="106">
        <v>0.02</v>
      </c>
      <c r="P140" s="106">
        <v>0.02</v>
      </c>
      <c r="Q140" s="106">
        <v>0.02</v>
      </c>
      <c r="R140" s="106">
        <v>0.02</v>
      </c>
      <c r="S140" s="106">
        <v>0.02</v>
      </c>
      <c r="T140" s="106">
        <v>0.02</v>
      </c>
      <c r="U140" s="106">
        <v>0.05</v>
      </c>
      <c r="V140" s="106">
        <v>0.05</v>
      </c>
      <c r="W140" s="106">
        <v>0.05</v>
      </c>
      <c r="X140" s="106">
        <v>0.05</v>
      </c>
      <c r="Y140" s="106">
        <v>0.05</v>
      </c>
      <c r="Z140" s="106">
        <v>0.05</v>
      </c>
      <c r="AA140" s="106">
        <v>0.05</v>
      </c>
      <c r="AB140" s="106">
        <v>0.05</v>
      </c>
      <c r="AC140" s="106">
        <v>0.05</v>
      </c>
      <c r="AD140" s="106">
        <v>0.1</v>
      </c>
      <c r="AE140" s="106">
        <v>0.1</v>
      </c>
      <c r="AF140" s="106">
        <v>0.11</v>
      </c>
      <c r="AG140" s="106">
        <v>0</v>
      </c>
      <c r="AH140" s="106">
        <v>0</v>
      </c>
      <c r="AI140" s="106">
        <v>0</v>
      </c>
      <c r="AJ140" s="106">
        <v>0</v>
      </c>
      <c r="AK140" s="106">
        <v>0</v>
      </c>
      <c r="AL140" s="106">
        <v>0</v>
      </c>
      <c r="AM140" s="106">
        <v>0</v>
      </c>
      <c r="AN140" s="106">
        <v>0</v>
      </c>
      <c r="AO140" s="106">
        <v>0</v>
      </c>
      <c r="AP140" s="106">
        <v>0</v>
      </c>
      <c r="AQ140" s="106">
        <v>0</v>
      </c>
      <c r="AR140" s="106">
        <v>0</v>
      </c>
      <c r="AS140" s="106">
        <v>0</v>
      </c>
      <c r="AT140" s="106">
        <v>0</v>
      </c>
      <c r="AU140" s="106">
        <v>0</v>
      </c>
      <c r="AV140" s="106">
        <v>0</v>
      </c>
      <c r="AW140" s="106">
        <v>0</v>
      </c>
      <c r="AX140" s="106">
        <v>0</v>
      </c>
      <c r="AY140" s="106">
        <v>0</v>
      </c>
    </row>
    <row r="141" spans="2:80">
      <c r="B141" s="177" t="s">
        <v>119</v>
      </c>
      <c r="C141" s="118">
        <f>IF('Input '!$F$9=1,'Input '!E124/Exchange_Rate,'Input '!E124)*Sens_projectcost</f>
        <v>115364200</v>
      </c>
      <c r="D141" s="178">
        <f t="shared" si="88"/>
        <v>1</v>
      </c>
      <c r="I141" s="106">
        <v>0.02</v>
      </c>
      <c r="J141" s="106">
        <v>0.02</v>
      </c>
      <c r="K141" s="106">
        <v>0.02</v>
      </c>
      <c r="L141" s="106">
        <v>0.02</v>
      </c>
      <c r="M141" s="106">
        <v>0.02</v>
      </c>
      <c r="N141" s="106">
        <v>0.02</v>
      </c>
      <c r="O141" s="106">
        <v>0.02</v>
      </c>
      <c r="P141" s="106">
        <v>0.02</v>
      </c>
      <c r="Q141" s="106">
        <v>0.02</v>
      </c>
      <c r="R141" s="106">
        <v>0.02</v>
      </c>
      <c r="S141" s="106">
        <v>0.02</v>
      </c>
      <c r="T141" s="106">
        <v>0.02</v>
      </c>
      <c r="U141" s="106">
        <v>0.05</v>
      </c>
      <c r="V141" s="106">
        <v>0.05</v>
      </c>
      <c r="W141" s="106">
        <v>0.05</v>
      </c>
      <c r="X141" s="106">
        <v>0.05</v>
      </c>
      <c r="Y141" s="106">
        <v>0.05</v>
      </c>
      <c r="Z141" s="106">
        <v>0.05</v>
      </c>
      <c r="AA141" s="106">
        <v>0.05</v>
      </c>
      <c r="AB141" s="106">
        <v>0.05</v>
      </c>
      <c r="AC141" s="106">
        <v>0.05</v>
      </c>
      <c r="AD141" s="106">
        <v>0.1</v>
      </c>
      <c r="AE141" s="106">
        <v>0.1</v>
      </c>
      <c r="AF141" s="106">
        <v>0.11</v>
      </c>
      <c r="AG141" s="106">
        <v>0</v>
      </c>
      <c r="AH141" s="106">
        <v>0</v>
      </c>
      <c r="AI141" s="106">
        <v>0</v>
      </c>
      <c r="AJ141" s="106">
        <v>0</v>
      </c>
      <c r="AK141" s="106">
        <v>0</v>
      </c>
      <c r="AL141" s="106">
        <v>0</v>
      </c>
      <c r="AM141" s="106">
        <v>0</v>
      </c>
      <c r="AN141" s="106">
        <v>0</v>
      </c>
      <c r="AO141" s="106">
        <v>0</v>
      </c>
      <c r="AP141" s="106">
        <v>0</v>
      </c>
      <c r="AQ141" s="106">
        <v>0</v>
      </c>
      <c r="AR141" s="106">
        <v>0</v>
      </c>
      <c r="AS141" s="106">
        <v>0</v>
      </c>
      <c r="AT141" s="106">
        <v>0</v>
      </c>
      <c r="AU141" s="106">
        <v>0</v>
      </c>
      <c r="AV141" s="106">
        <v>0</v>
      </c>
      <c r="AW141" s="106">
        <v>0</v>
      </c>
      <c r="AX141" s="106">
        <v>0</v>
      </c>
      <c r="AY141" s="106">
        <v>0</v>
      </c>
    </row>
    <row r="142" spans="2:80">
      <c r="B142" s="177" t="s">
        <v>122</v>
      </c>
      <c r="C142" s="118">
        <f>IF('Input '!$F$9=1,'Input '!E125/Exchange_Rate,'Input '!E125)*Sens_projectcost</f>
        <v>117576700</v>
      </c>
      <c r="D142" s="178">
        <f t="shared" si="88"/>
        <v>1</v>
      </c>
      <c r="I142" s="106">
        <v>0.02</v>
      </c>
      <c r="J142" s="106">
        <v>0.02</v>
      </c>
      <c r="K142" s="106">
        <v>0.02</v>
      </c>
      <c r="L142" s="106">
        <v>0.02</v>
      </c>
      <c r="M142" s="106">
        <v>0.02</v>
      </c>
      <c r="N142" s="106">
        <v>0.02</v>
      </c>
      <c r="O142" s="106">
        <v>0.02</v>
      </c>
      <c r="P142" s="106">
        <v>0.02</v>
      </c>
      <c r="Q142" s="106">
        <v>0.02</v>
      </c>
      <c r="R142" s="106">
        <v>0.02</v>
      </c>
      <c r="S142" s="106">
        <v>0.02</v>
      </c>
      <c r="T142" s="106">
        <v>0.02</v>
      </c>
      <c r="U142" s="106">
        <v>0.05</v>
      </c>
      <c r="V142" s="106">
        <v>0.05</v>
      </c>
      <c r="W142" s="106">
        <v>0.05</v>
      </c>
      <c r="X142" s="106">
        <v>0.05</v>
      </c>
      <c r="Y142" s="106">
        <v>0.05</v>
      </c>
      <c r="Z142" s="106">
        <v>0.05</v>
      </c>
      <c r="AA142" s="106">
        <v>0.05</v>
      </c>
      <c r="AB142" s="106">
        <v>0.05</v>
      </c>
      <c r="AC142" s="106">
        <v>0.05</v>
      </c>
      <c r="AD142" s="106">
        <v>0.1</v>
      </c>
      <c r="AE142" s="106">
        <v>0.1</v>
      </c>
      <c r="AF142" s="106">
        <v>0.11</v>
      </c>
      <c r="AG142" s="106">
        <v>0</v>
      </c>
      <c r="AH142" s="106">
        <v>0</v>
      </c>
      <c r="AI142" s="106">
        <v>0</v>
      </c>
      <c r="AJ142" s="106">
        <v>0</v>
      </c>
      <c r="AK142" s="106">
        <v>0</v>
      </c>
      <c r="AL142" s="106">
        <v>0</v>
      </c>
      <c r="AM142" s="106">
        <v>0</v>
      </c>
      <c r="AN142" s="106">
        <v>0</v>
      </c>
      <c r="AO142" s="106">
        <v>0</v>
      </c>
      <c r="AP142" s="106">
        <v>0</v>
      </c>
      <c r="AQ142" s="106">
        <v>0</v>
      </c>
      <c r="AR142" s="106">
        <v>0</v>
      </c>
      <c r="AS142" s="106">
        <v>0</v>
      </c>
      <c r="AT142" s="106">
        <v>0</v>
      </c>
      <c r="AU142" s="106">
        <v>0</v>
      </c>
      <c r="AV142" s="106">
        <v>0</v>
      </c>
      <c r="AW142" s="106">
        <v>0</v>
      </c>
      <c r="AX142" s="106">
        <v>0</v>
      </c>
      <c r="AY142" s="106">
        <v>0</v>
      </c>
    </row>
    <row r="143" spans="2:80">
      <c r="B143" s="177" t="s">
        <v>120</v>
      </c>
      <c r="C143" s="118">
        <f>IF('Input '!$F$9=1,'Input '!E126/Exchange_Rate,'Input '!E126)*Sens_projectcost</f>
        <v>81853600</v>
      </c>
      <c r="D143" s="178">
        <f t="shared" si="88"/>
        <v>1</v>
      </c>
      <c r="I143" s="106">
        <v>0.02</v>
      </c>
      <c r="J143" s="106">
        <v>0.02</v>
      </c>
      <c r="K143" s="106">
        <v>0.02</v>
      </c>
      <c r="L143" s="106">
        <v>0.02</v>
      </c>
      <c r="M143" s="106">
        <v>0.02</v>
      </c>
      <c r="N143" s="106">
        <v>0.02</v>
      </c>
      <c r="O143" s="106">
        <v>0.02</v>
      </c>
      <c r="P143" s="106">
        <v>0.02</v>
      </c>
      <c r="Q143" s="106">
        <v>0.02</v>
      </c>
      <c r="R143" s="106">
        <v>0.02</v>
      </c>
      <c r="S143" s="106">
        <v>0.02</v>
      </c>
      <c r="T143" s="106">
        <v>0.02</v>
      </c>
      <c r="U143" s="106">
        <v>0.05</v>
      </c>
      <c r="V143" s="106">
        <v>0.05</v>
      </c>
      <c r="W143" s="106">
        <v>0.05</v>
      </c>
      <c r="X143" s="106">
        <v>0.05</v>
      </c>
      <c r="Y143" s="106">
        <v>0.05</v>
      </c>
      <c r="Z143" s="106">
        <v>0.05</v>
      </c>
      <c r="AA143" s="106">
        <v>0.05</v>
      </c>
      <c r="AB143" s="106">
        <v>0.05</v>
      </c>
      <c r="AC143" s="106">
        <v>0.05</v>
      </c>
      <c r="AD143" s="106">
        <v>0.1</v>
      </c>
      <c r="AE143" s="106">
        <v>0.1</v>
      </c>
      <c r="AF143" s="106">
        <v>0.11</v>
      </c>
      <c r="AG143" s="106">
        <v>0</v>
      </c>
      <c r="AH143" s="106">
        <v>0</v>
      </c>
      <c r="AI143" s="106">
        <v>0</v>
      </c>
      <c r="AJ143" s="106">
        <v>0</v>
      </c>
      <c r="AK143" s="106">
        <v>0</v>
      </c>
      <c r="AL143" s="106">
        <v>0</v>
      </c>
      <c r="AM143" s="106">
        <v>0</v>
      </c>
      <c r="AN143" s="106">
        <v>0</v>
      </c>
      <c r="AO143" s="106">
        <v>0</v>
      </c>
      <c r="AP143" s="106">
        <v>0</v>
      </c>
      <c r="AQ143" s="106">
        <v>0</v>
      </c>
      <c r="AR143" s="106">
        <v>0</v>
      </c>
      <c r="AS143" s="106">
        <v>0</v>
      </c>
      <c r="AT143" s="106">
        <v>0</v>
      </c>
      <c r="AU143" s="106">
        <v>0</v>
      </c>
      <c r="AV143" s="106">
        <v>0</v>
      </c>
      <c r="AW143" s="106">
        <v>0</v>
      </c>
      <c r="AX143" s="106">
        <v>0</v>
      </c>
      <c r="AY143" s="106">
        <v>0</v>
      </c>
    </row>
    <row r="144" spans="2:80">
      <c r="B144" s="179" t="s">
        <v>121</v>
      </c>
      <c r="C144" s="118">
        <f>SUM(C138:C143)</f>
        <v>1124234318.367347</v>
      </c>
      <c r="D144" s="178">
        <f t="shared" si="88"/>
        <v>0</v>
      </c>
      <c r="I144" s="106"/>
      <c r="J144" s="106"/>
      <c r="K144" s="106"/>
      <c r="L144" s="106"/>
      <c r="M144" s="106"/>
      <c r="N144" s="106"/>
      <c r="O144" s="106"/>
      <c r="P144" s="106"/>
      <c r="Q144" s="106"/>
      <c r="R144" s="106"/>
      <c r="S144" s="106"/>
      <c r="T144" s="106"/>
      <c r="U144" s="106"/>
      <c r="V144" s="106"/>
      <c r="W144" s="106"/>
      <c r="X144" s="106"/>
      <c r="Y144" s="106"/>
      <c r="Z144" s="106"/>
      <c r="AA144" s="106"/>
      <c r="AB144" s="106"/>
      <c r="AC144" s="106"/>
      <c r="AD144" s="106"/>
      <c r="AE144" s="106"/>
      <c r="AF144" s="106"/>
      <c r="AG144" s="106"/>
      <c r="AH144" s="106"/>
      <c r="AI144" s="106"/>
      <c r="AJ144" s="106"/>
      <c r="AK144" s="106"/>
      <c r="AL144" s="106"/>
      <c r="AM144" s="106"/>
      <c r="AN144" s="106"/>
      <c r="AO144" s="106"/>
      <c r="AP144" s="106"/>
      <c r="AQ144" s="106"/>
      <c r="AR144" s="106"/>
      <c r="AS144" s="106"/>
      <c r="AT144" s="106"/>
      <c r="AU144" s="106"/>
      <c r="AV144" s="106"/>
      <c r="AW144" s="106"/>
      <c r="AX144" s="106"/>
      <c r="AY144" s="106"/>
    </row>
    <row r="145" spans="2:74">
      <c r="B145" s="177" t="s">
        <v>123</v>
      </c>
      <c r="C145" s="118">
        <f>IF('Input '!$F$9=1,'Input '!E128/Exchange_Rate,'Input '!E128)*Sens_projectcost</f>
        <v>71096000</v>
      </c>
      <c r="D145" s="178">
        <f t="shared" si="88"/>
        <v>1</v>
      </c>
      <c r="I145" s="106">
        <v>0.02</v>
      </c>
      <c r="J145" s="106">
        <v>0.02</v>
      </c>
      <c r="K145" s="106">
        <v>0.02</v>
      </c>
      <c r="L145" s="106">
        <v>0.02</v>
      </c>
      <c r="M145" s="106">
        <v>0.02</v>
      </c>
      <c r="N145" s="106">
        <v>0.02</v>
      </c>
      <c r="O145" s="106">
        <v>0.02</v>
      </c>
      <c r="P145" s="106">
        <v>0.02</v>
      </c>
      <c r="Q145" s="106">
        <v>0.02</v>
      </c>
      <c r="R145" s="106">
        <v>0.02</v>
      </c>
      <c r="S145" s="106">
        <v>0.02</v>
      </c>
      <c r="T145" s="106">
        <v>0.02</v>
      </c>
      <c r="U145" s="106">
        <v>0.05</v>
      </c>
      <c r="V145" s="106">
        <v>0.05</v>
      </c>
      <c r="W145" s="106">
        <v>0.05</v>
      </c>
      <c r="X145" s="106">
        <v>0.05</v>
      </c>
      <c r="Y145" s="106">
        <v>0.05</v>
      </c>
      <c r="Z145" s="106">
        <v>0.05</v>
      </c>
      <c r="AA145" s="106">
        <v>0.05</v>
      </c>
      <c r="AB145" s="106">
        <v>0.05</v>
      </c>
      <c r="AC145" s="106">
        <v>0.05</v>
      </c>
      <c r="AD145" s="106">
        <v>0.1</v>
      </c>
      <c r="AE145" s="106">
        <v>0.1</v>
      </c>
      <c r="AF145" s="106">
        <v>0.11</v>
      </c>
      <c r="AG145" s="106">
        <v>0</v>
      </c>
      <c r="AH145" s="106">
        <v>0</v>
      </c>
      <c r="AI145" s="106">
        <v>0</v>
      </c>
      <c r="AJ145" s="106">
        <v>0</v>
      </c>
      <c r="AK145" s="106">
        <v>0</v>
      </c>
      <c r="AL145" s="106">
        <v>0</v>
      </c>
      <c r="AM145" s="106">
        <v>0</v>
      </c>
      <c r="AN145" s="106">
        <v>0</v>
      </c>
      <c r="AO145" s="106">
        <v>0</v>
      </c>
      <c r="AP145" s="106">
        <v>0</v>
      </c>
      <c r="AQ145" s="106">
        <v>0</v>
      </c>
      <c r="AR145" s="106">
        <v>0</v>
      </c>
      <c r="AS145" s="106">
        <v>0</v>
      </c>
      <c r="AT145" s="106">
        <v>0</v>
      </c>
      <c r="AU145" s="106">
        <v>0</v>
      </c>
      <c r="AV145" s="106">
        <v>0</v>
      </c>
      <c r="AW145" s="106">
        <v>0</v>
      </c>
      <c r="AX145" s="106">
        <v>0</v>
      </c>
      <c r="AY145" s="106">
        <v>0</v>
      </c>
    </row>
    <row r="146" spans="2:74">
      <c r="B146" s="180" t="s">
        <v>9</v>
      </c>
      <c r="C146" s="126">
        <f>IF('Input '!$F$9=1,'Input '!E129/Exchange_Rate,'Input '!E129)*Sens_projectcost</f>
        <v>89649773.877551019</v>
      </c>
      <c r="D146" s="178">
        <f t="shared" si="88"/>
        <v>1</v>
      </c>
      <c r="I146" s="106">
        <v>0.02</v>
      </c>
      <c r="J146" s="106">
        <v>0.02</v>
      </c>
      <c r="K146" s="106">
        <v>0.02</v>
      </c>
      <c r="L146" s="106">
        <v>0.02</v>
      </c>
      <c r="M146" s="106">
        <v>0.02</v>
      </c>
      <c r="N146" s="106">
        <v>0.02</v>
      </c>
      <c r="O146" s="106">
        <v>0.02</v>
      </c>
      <c r="P146" s="106">
        <v>0.02</v>
      </c>
      <c r="Q146" s="106">
        <v>0.02</v>
      </c>
      <c r="R146" s="106">
        <v>0.02</v>
      </c>
      <c r="S146" s="106">
        <v>0.02</v>
      </c>
      <c r="T146" s="106">
        <v>0.02</v>
      </c>
      <c r="U146" s="106">
        <v>0.05</v>
      </c>
      <c r="V146" s="106">
        <v>0.05</v>
      </c>
      <c r="W146" s="106">
        <v>0.05</v>
      </c>
      <c r="X146" s="106">
        <v>0.05</v>
      </c>
      <c r="Y146" s="106">
        <v>0.05</v>
      </c>
      <c r="Z146" s="106">
        <v>0.05</v>
      </c>
      <c r="AA146" s="106">
        <v>0.05</v>
      </c>
      <c r="AB146" s="106">
        <v>0.05</v>
      </c>
      <c r="AC146" s="106">
        <v>0.05</v>
      </c>
      <c r="AD146" s="106">
        <v>0.1</v>
      </c>
      <c r="AE146" s="106">
        <v>0.1</v>
      </c>
      <c r="AF146" s="106">
        <v>0.11</v>
      </c>
      <c r="AG146" s="106">
        <v>0</v>
      </c>
      <c r="AH146" s="106">
        <v>0</v>
      </c>
      <c r="AI146" s="106">
        <v>0</v>
      </c>
      <c r="AJ146" s="106">
        <v>0</v>
      </c>
      <c r="AK146" s="106">
        <v>0</v>
      </c>
      <c r="AL146" s="106">
        <v>0</v>
      </c>
      <c r="AM146" s="106">
        <v>0</v>
      </c>
      <c r="AN146" s="106">
        <v>0</v>
      </c>
      <c r="AO146" s="106">
        <v>0</v>
      </c>
      <c r="AP146" s="106">
        <v>0</v>
      </c>
      <c r="AQ146" s="106">
        <v>0</v>
      </c>
      <c r="AR146" s="106">
        <v>0</v>
      </c>
      <c r="AS146" s="106">
        <v>0</v>
      </c>
      <c r="AT146" s="106">
        <v>0</v>
      </c>
      <c r="AU146" s="106">
        <v>0</v>
      </c>
      <c r="AV146" s="106">
        <v>0</v>
      </c>
      <c r="AW146" s="106">
        <v>0</v>
      </c>
      <c r="AX146" s="106">
        <v>0</v>
      </c>
      <c r="AY146" s="106">
        <v>0</v>
      </c>
    </row>
    <row r="147" spans="2:74">
      <c r="B147" s="10" t="s">
        <v>71</v>
      </c>
      <c r="C147" s="45">
        <f>SUM(C144:C146)</f>
        <v>1284980092.2448981</v>
      </c>
      <c r="I147" s="42"/>
      <c r="J147" s="42"/>
      <c r="K147" s="42"/>
      <c r="L147" s="42"/>
      <c r="M147" s="42"/>
      <c r="N147" s="42"/>
      <c r="O147" s="42"/>
      <c r="P147" s="42"/>
      <c r="Q147" s="42"/>
      <c r="R147" s="42"/>
      <c r="S147" s="42"/>
      <c r="T147" s="42"/>
      <c r="U147" s="42"/>
      <c r="V147" s="42"/>
      <c r="W147" s="42"/>
      <c r="X147" s="42"/>
      <c r="Y147" s="42"/>
      <c r="Z147" s="42"/>
      <c r="AA147" s="42"/>
      <c r="AB147" s="42"/>
      <c r="AC147" s="42"/>
      <c r="AD147" s="42"/>
      <c r="AE147" s="42"/>
      <c r="AF147" s="42"/>
      <c r="AG147" s="42"/>
      <c r="AH147" s="42"/>
      <c r="AI147" s="42"/>
      <c r="AJ147" s="42"/>
    </row>
    <row r="148" spans="2:74">
      <c r="C148" s="15"/>
      <c r="D148" s="42"/>
      <c r="I148" s="42"/>
      <c r="J148" s="42"/>
      <c r="K148" s="42"/>
      <c r="L148" s="42"/>
      <c r="M148" s="42"/>
      <c r="N148" s="42"/>
      <c r="O148" s="42"/>
      <c r="P148" s="42"/>
      <c r="Q148" s="42"/>
      <c r="R148" s="42"/>
      <c r="S148" s="42"/>
      <c r="T148" s="42"/>
      <c r="U148" s="42"/>
      <c r="V148" s="42"/>
      <c r="W148" s="42"/>
      <c r="X148" s="42"/>
      <c r="Y148" s="42"/>
      <c r="Z148" s="42"/>
      <c r="AA148" s="42"/>
      <c r="AB148" s="42"/>
      <c r="AC148" s="42"/>
      <c r="AD148" s="42"/>
      <c r="AE148" s="42"/>
      <c r="AF148" s="42"/>
      <c r="AG148" s="42"/>
      <c r="AH148" s="42"/>
      <c r="AI148" s="42"/>
      <c r="AJ148" s="42"/>
    </row>
    <row r="149" spans="2:74">
      <c r="C149" s="15"/>
      <c r="D149" s="42"/>
      <c r="I149" s="42"/>
      <c r="J149" s="42"/>
      <c r="K149" s="42"/>
      <c r="L149" s="42"/>
      <c r="M149" s="42"/>
      <c r="N149" s="42"/>
      <c r="O149" s="42"/>
      <c r="P149" s="42"/>
      <c r="Q149" s="42"/>
      <c r="R149" s="42"/>
      <c r="S149" s="42"/>
      <c r="T149" s="42"/>
      <c r="U149" s="42"/>
      <c r="V149" s="42"/>
      <c r="W149" s="42"/>
      <c r="X149" s="42"/>
      <c r="Y149" s="42"/>
      <c r="Z149" s="42"/>
      <c r="AA149" s="42"/>
      <c r="AB149" s="42"/>
      <c r="AC149" s="42"/>
      <c r="AD149" s="42"/>
      <c r="AE149" s="42"/>
      <c r="AF149" s="42"/>
      <c r="AG149" s="42"/>
      <c r="AH149" s="42"/>
      <c r="AI149" s="42"/>
      <c r="AJ149" s="42"/>
    </row>
    <row r="150" spans="2:74">
      <c r="C150" s="15"/>
      <c r="D150" s="42"/>
      <c r="I150" s="42"/>
      <c r="J150" s="42"/>
      <c r="K150" s="42"/>
      <c r="L150" s="42"/>
      <c r="M150" s="42"/>
      <c r="N150" s="42"/>
      <c r="O150" s="42"/>
      <c r="P150" s="42"/>
      <c r="Q150" s="42"/>
      <c r="R150" s="42"/>
      <c r="S150" s="42"/>
      <c r="T150" s="42"/>
      <c r="U150" s="42"/>
      <c r="V150" s="42"/>
      <c r="W150" s="42"/>
      <c r="X150" s="42"/>
      <c r="Y150" s="42"/>
      <c r="Z150" s="42"/>
      <c r="AA150" s="42"/>
      <c r="AB150" s="42"/>
      <c r="AC150" s="42"/>
      <c r="AD150" s="42"/>
      <c r="AE150" s="42"/>
      <c r="AF150" s="42"/>
      <c r="AG150" s="42"/>
      <c r="AH150" s="42"/>
      <c r="AI150" s="42"/>
      <c r="AJ150" s="42"/>
    </row>
    <row r="151" spans="2:74">
      <c r="B151" s="26" t="s">
        <v>218</v>
      </c>
      <c r="I151" s="42"/>
      <c r="J151" s="42"/>
      <c r="K151" s="42"/>
      <c r="L151" s="42"/>
      <c r="M151" s="42"/>
      <c r="N151" s="42"/>
      <c r="O151" s="42"/>
      <c r="P151" s="42"/>
      <c r="Q151" s="42"/>
      <c r="R151" s="42"/>
      <c r="S151" s="42"/>
      <c r="T151" s="42"/>
      <c r="U151" s="42"/>
      <c r="V151" s="42"/>
      <c r="W151" s="42"/>
      <c r="X151" s="42"/>
      <c r="Y151" s="42"/>
      <c r="Z151" s="42"/>
      <c r="AA151" s="42"/>
      <c r="AB151" s="42"/>
      <c r="AC151" s="42"/>
      <c r="AD151" s="42"/>
      <c r="AE151" s="42"/>
      <c r="AF151" s="42"/>
      <c r="AG151" s="42"/>
      <c r="AH151" s="42"/>
      <c r="AI151" s="42"/>
      <c r="AJ151" s="42"/>
    </row>
    <row r="152" spans="2:74">
      <c r="B152" s="2" t="s">
        <v>826</v>
      </c>
      <c r="C152" s="15" t="str">
        <f>$C$20</f>
        <v>US$</v>
      </c>
      <c r="D152" s="42">
        <f>SUM(I152:AY152)</f>
        <v>8043600</v>
      </c>
      <c r="I152" s="41">
        <f>I138*$C$138</f>
        <v>160872</v>
      </c>
      <c r="J152" s="41">
        <f t="shared" ref="J152:O152" si="89">J138*$C$138</f>
        <v>160872</v>
      </c>
      <c r="K152" s="41">
        <f t="shared" si="89"/>
        <v>160872</v>
      </c>
      <c r="L152" s="41">
        <f t="shared" si="89"/>
        <v>160872</v>
      </c>
      <c r="M152" s="41">
        <f t="shared" si="89"/>
        <v>160872</v>
      </c>
      <c r="N152" s="41">
        <f t="shared" si="89"/>
        <v>160872</v>
      </c>
      <c r="O152" s="41">
        <f t="shared" si="89"/>
        <v>160872</v>
      </c>
      <c r="P152" s="41">
        <f t="shared" ref="P152:AI152" si="90">P138*$C$138</f>
        <v>160872</v>
      </c>
      <c r="Q152" s="41">
        <f t="shared" si="90"/>
        <v>160872</v>
      </c>
      <c r="R152" s="41">
        <f t="shared" si="90"/>
        <v>160872</v>
      </c>
      <c r="S152" s="41">
        <f t="shared" si="90"/>
        <v>160872</v>
      </c>
      <c r="T152" s="41">
        <f t="shared" si="90"/>
        <v>160872</v>
      </c>
      <c r="U152" s="41">
        <f t="shared" si="90"/>
        <v>402180</v>
      </c>
      <c r="V152" s="41">
        <f t="shared" si="90"/>
        <v>402180</v>
      </c>
      <c r="W152" s="41">
        <f t="shared" si="90"/>
        <v>402180</v>
      </c>
      <c r="X152" s="41">
        <f t="shared" si="90"/>
        <v>402180</v>
      </c>
      <c r="Y152" s="41">
        <f t="shared" si="90"/>
        <v>402180</v>
      </c>
      <c r="Z152" s="41">
        <f t="shared" si="90"/>
        <v>402180</v>
      </c>
      <c r="AA152" s="41">
        <f t="shared" si="90"/>
        <v>402180</v>
      </c>
      <c r="AB152" s="41">
        <f t="shared" si="90"/>
        <v>402180</v>
      </c>
      <c r="AC152" s="41">
        <f t="shared" si="90"/>
        <v>402180</v>
      </c>
      <c r="AD152" s="41">
        <f t="shared" si="90"/>
        <v>804360</v>
      </c>
      <c r="AE152" s="41">
        <f t="shared" si="90"/>
        <v>804360</v>
      </c>
      <c r="AF152" s="41">
        <f t="shared" si="90"/>
        <v>884796</v>
      </c>
      <c r="AG152" s="41">
        <f t="shared" si="90"/>
        <v>0</v>
      </c>
      <c r="AH152" s="41">
        <f t="shared" si="90"/>
        <v>0</v>
      </c>
      <c r="AI152" s="41">
        <f t="shared" si="90"/>
        <v>0</v>
      </c>
      <c r="AJ152" s="41">
        <f t="shared" ref="AJ152:AZ152" si="91">AJ138*$C$138</f>
        <v>0</v>
      </c>
      <c r="AK152" s="41">
        <f t="shared" si="91"/>
        <v>0</v>
      </c>
      <c r="AL152" s="41">
        <f t="shared" si="91"/>
        <v>0</v>
      </c>
      <c r="AM152" s="41">
        <f t="shared" si="91"/>
        <v>0</v>
      </c>
      <c r="AN152" s="41">
        <f t="shared" si="91"/>
        <v>0</v>
      </c>
      <c r="AO152" s="41">
        <f t="shared" si="91"/>
        <v>0</v>
      </c>
      <c r="AP152" s="41">
        <f t="shared" si="91"/>
        <v>0</v>
      </c>
      <c r="AQ152" s="41">
        <f t="shared" si="91"/>
        <v>0</v>
      </c>
      <c r="AR152" s="41">
        <f t="shared" si="91"/>
        <v>0</v>
      </c>
      <c r="AS152" s="41">
        <f t="shared" si="91"/>
        <v>0</v>
      </c>
      <c r="AT152" s="41">
        <f t="shared" si="91"/>
        <v>0</v>
      </c>
      <c r="AU152" s="41">
        <f t="shared" si="91"/>
        <v>0</v>
      </c>
      <c r="AV152" s="41">
        <f t="shared" si="91"/>
        <v>0</v>
      </c>
      <c r="AW152" s="41">
        <f t="shared" si="91"/>
        <v>0</v>
      </c>
      <c r="AX152" s="41">
        <f t="shared" si="91"/>
        <v>0</v>
      </c>
      <c r="AY152" s="41">
        <f t="shared" si="91"/>
        <v>0</v>
      </c>
      <c r="AZ152" s="1070">
        <f t="shared" si="91"/>
        <v>0</v>
      </c>
      <c r="BA152" s="41"/>
      <c r="BB152" s="41"/>
      <c r="BC152" s="41"/>
      <c r="BD152" s="41"/>
      <c r="BE152" s="41"/>
      <c r="BF152" s="41"/>
      <c r="BG152" s="41"/>
      <c r="BH152" s="41"/>
      <c r="BI152" s="41"/>
      <c r="BJ152" s="41"/>
      <c r="BK152" s="41"/>
      <c r="BL152" s="41"/>
      <c r="BM152" s="41"/>
      <c r="BN152" s="41"/>
      <c r="BO152" s="41"/>
      <c r="BP152" s="41"/>
      <c r="BQ152" s="41"/>
      <c r="BR152" s="41"/>
      <c r="BS152" s="41"/>
      <c r="BT152" s="41"/>
      <c r="BU152" s="41"/>
      <c r="BV152" s="41"/>
    </row>
    <row r="153" spans="2:74">
      <c r="B153" s="177" t="s">
        <v>2039</v>
      </c>
      <c r="C153" s="15" t="str">
        <f t="shared" ref="C153:C167" si="92">$C$20</f>
        <v>US$</v>
      </c>
      <c r="D153" s="42">
        <f t="shared" ref="D153:D160" si="93">SUM(I153:AY153)</f>
        <v>728519700</v>
      </c>
      <c r="I153" s="41">
        <f>I139*$C$139</f>
        <v>14570394</v>
      </c>
      <c r="J153" s="41">
        <f t="shared" ref="J153:O153" si="94">J139*$C$139</f>
        <v>14570394</v>
      </c>
      <c r="K153" s="41">
        <f t="shared" si="94"/>
        <v>14570394</v>
      </c>
      <c r="L153" s="41">
        <f t="shared" si="94"/>
        <v>14570394</v>
      </c>
      <c r="M153" s="41">
        <f t="shared" si="94"/>
        <v>14570394</v>
      </c>
      <c r="N153" s="41">
        <f t="shared" si="94"/>
        <v>14570394</v>
      </c>
      <c r="O153" s="41">
        <f t="shared" si="94"/>
        <v>14570394</v>
      </c>
      <c r="P153" s="41">
        <f t="shared" ref="P153:AI153" si="95">P139*$C$139</f>
        <v>14570394</v>
      </c>
      <c r="Q153" s="41">
        <f t="shared" si="95"/>
        <v>14570394</v>
      </c>
      <c r="R153" s="41">
        <f t="shared" si="95"/>
        <v>14570394</v>
      </c>
      <c r="S153" s="41">
        <f t="shared" si="95"/>
        <v>14570394</v>
      </c>
      <c r="T153" s="41">
        <f t="shared" si="95"/>
        <v>14570394</v>
      </c>
      <c r="U153" s="41">
        <f t="shared" si="95"/>
        <v>36425985</v>
      </c>
      <c r="V153" s="41">
        <f t="shared" si="95"/>
        <v>36425985</v>
      </c>
      <c r="W153" s="41">
        <f t="shared" si="95"/>
        <v>36425985</v>
      </c>
      <c r="X153" s="41">
        <f t="shared" si="95"/>
        <v>36425985</v>
      </c>
      <c r="Y153" s="41">
        <f t="shared" si="95"/>
        <v>36425985</v>
      </c>
      <c r="Z153" s="41">
        <f t="shared" si="95"/>
        <v>36425985</v>
      </c>
      <c r="AA153" s="41">
        <f t="shared" si="95"/>
        <v>36425985</v>
      </c>
      <c r="AB153" s="41">
        <f t="shared" si="95"/>
        <v>36425985</v>
      </c>
      <c r="AC153" s="41">
        <f t="shared" si="95"/>
        <v>36425985</v>
      </c>
      <c r="AD153" s="41">
        <f t="shared" si="95"/>
        <v>72851970</v>
      </c>
      <c r="AE153" s="41">
        <f t="shared" si="95"/>
        <v>72851970</v>
      </c>
      <c r="AF153" s="41">
        <f t="shared" si="95"/>
        <v>80137167</v>
      </c>
      <c r="AG153" s="41">
        <f t="shared" si="95"/>
        <v>0</v>
      </c>
      <c r="AH153" s="41">
        <f t="shared" si="95"/>
        <v>0</v>
      </c>
      <c r="AI153" s="41">
        <f t="shared" si="95"/>
        <v>0</v>
      </c>
      <c r="AJ153" s="41">
        <f t="shared" ref="AJ153:AZ153" si="96">AJ139*$C$139</f>
        <v>0</v>
      </c>
      <c r="AK153" s="41">
        <f t="shared" si="96"/>
        <v>0</v>
      </c>
      <c r="AL153" s="41">
        <f t="shared" si="96"/>
        <v>0</v>
      </c>
      <c r="AM153" s="41">
        <f t="shared" si="96"/>
        <v>0</v>
      </c>
      <c r="AN153" s="41">
        <f t="shared" si="96"/>
        <v>0</v>
      </c>
      <c r="AO153" s="41">
        <f t="shared" si="96"/>
        <v>0</v>
      </c>
      <c r="AP153" s="41">
        <f t="shared" si="96"/>
        <v>0</v>
      </c>
      <c r="AQ153" s="41">
        <f t="shared" si="96"/>
        <v>0</v>
      </c>
      <c r="AR153" s="41">
        <f t="shared" si="96"/>
        <v>0</v>
      </c>
      <c r="AS153" s="41">
        <f t="shared" si="96"/>
        <v>0</v>
      </c>
      <c r="AT153" s="41">
        <f t="shared" si="96"/>
        <v>0</v>
      </c>
      <c r="AU153" s="41">
        <f t="shared" si="96"/>
        <v>0</v>
      </c>
      <c r="AV153" s="41">
        <f t="shared" si="96"/>
        <v>0</v>
      </c>
      <c r="AW153" s="41">
        <f t="shared" si="96"/>
        <v>0</v>
      </c>
      <c r="AX153" s="41">
        <f t="shared" si="96"/>
        <v>0</v>
      </c>
      <c r="AY153" s="41">
        <f t="shared" si="96"/>
        <v>0</v>
      </c>
      <c r="AZ153" s="1070">
        <f t="shared" si="96"/>
        <v>0</v>
      </c>
      <c r="BA153" s="41"/>
      <c r="BB153" s="41"/>
      <c r="BC153" s="41"/>
      <c r="BD153" s="41"/>
      <c r="BE153" s="41"/>
      <c r="BF153" s="41"/>
      <c r="BG153" s="41"/>
      <c r="BH153" s="41"/>
      <c r="BI153" s="41"/>
      <c r="BJ153" s="41"/>
      <c r="BK153" s="41"/>
      <c r="BL153" s="41"/>
      <c r="BM153" s="41"/>
      <c r="BN153" s="41"/>
      <c r="BO153" s="41"/>
      <c r="BP153" s="41"/>
      <c r="BQ153" s="41"/>
      <c r="BR153" s="41"/>
      <c r="BS153" s="41"/>
      <c r="BT153" s="41"/>
      <c r="BU153" s="41"/>
      <c r="BV153" s="41"/>
    </row>
    <row r="154" spans="2:74">
      <c r="B154" s="2" t="s">
        <v>845</v>
      </c>
      <c r="C154" s="15" t="str">
        <f t="shared" si="92"/>
        <v>US$</v>
      </c>
      <c r="D154" s="42">
        <f t="shared" si="93"/>
        <v>72876518.367346957</v>
      </c>
      <c r="I154" s="41">
        <f>I140*$C$140</f>
        <v>1457530.3673469389</v>
      </c>
      <c r="J154" s="41">
        <f t="shared" ref="J154:O154" si="97">J140*$C$140</f>
        <v>1457530.3673469389</v>
      </c>
      <c r="K154" s="41">
        <f t="shared" si="97"/>
        <v>1457530.3673469389</v>
      </c>
      <c r="L154" s="41">
        <f t="shared" si="97"/>
        <v>1457530.3673469389</v>
      </c>
      <c r="M154" s="41">
        <f t="shared" si="97"/>
        <v>1457530.3673469389</v>
      </c>
      <c r="N154" s="41">
        <f t="shared" si="97"/>
        <v>1457530.3673469389</v>
      </c>
      <c r="O154" s="41">
        <f t="shared" si="97"/>
        <v>1457530.3673469389</v>
      </c>
      <c r="P154" s="41">
        <f t="shared" ref="P154:AI154" si="98">P140*$C$140</f>
        <v>1457530.3673469389</v>
      </c>
      <c r="Q154" s="41">
        <f t="shared" si="98"/>
        <v>1457530.3673469389</v>
      </c>
      <c r="R154" s="41">
        <f t="shared" si="98"/>
        <v>1457530.3673469389</v>
      </c>
      <c r="S154" s="41">
        <f t="shared" si="98"/>
        <v>1457530.3673469389</v>
      </c>
      <c r="T154" s="41">
        <f t="shared" si="98"/>
        <v>1457530.3673469389</v>
      </c>
      <c r="U154" s="41">
        <f t="shared" si="98"/>
        <v>3643825.9183673472</v>
      </c>
      <c r="V154" s="41">
        <f t="shared" si="98"/>
        <v>3643825.9183673472</v>
      </c>
      <c r="W154" s="41">
        <f t="shared" si="98"/>
        <v>3643825.9183673472</v>
      </c>
      <c r="X154" s="41">
        <f t="shared" si="98"/>
        <v>3643825.9183673472</v>
      </c>
      <c r="Y154" s="41">
        <f t="shared" si="98"/>
        <v>3643825.9183673472</v>
      </c>
      <c r="Z154" s="41">
        <f t="shared" si="98"/>
        <v>3643825.9183673472</v>
      </c>
      <c r="AA154" s="41">
        <f t="shared" si="98"/>
        <v>3643825.9183673472</v>
      </c>
      <c r="AB154" s="41">
        <f t="shared" si="98"/>
        <v>3643825.9183673472</v>
      </c>
      <c r="AC154" s="41">
        <f t="shared" si="98"/>
        <v>3643825.9183673472</v>
      </c>
      <c r="AD154" s="41">
        <f t="shared" si="98"/>
        <v>7287651.8367346944</v>
      </c>
      <c r="AE154" s="41">
        <f t="shared" si="98"/>
        <v>7287651.8367346944</v>
      </c>
      <c r="AF154" s="41">
        <f t="shared" si="98"/>
        <v>8016417.0204081638</v>
      </c>
      <c r="AG154" s="41">
        <f t="shared" si="98"/>
        <v>0</v>
      </c>
      <c r="AH154" s="41">
        <f t="shared" si="98"/>
        <v>0</v>
      </c>
      <c r="AI154" s="41">
        <f t="shared" si="98"/>
        <v>0</v>
      </c>
      <c r="AJ154" s="41">
        <f t="shared" ref="AJ154:AZ154" si="99">AJ140*$C$140</f>
        <v>0</v>
      </c>
      <c r="AK154" s="41">
        <f t="shared" si="99"/>
        <v>0</v>
      </c>
      <c r="AL154" s="41">
        <f t="shared" si="99"/>
        <v>0</v>
      </c>
      <c r="AM154" s="41">
        <f t="shared" si="99"/>
        <v>0</v>
      </c>
      <c r="AN154" s="41">
        <f t="shared" si="99"/>
        <v>0</v>
      </c>
      <c r="AO154" s="41">
        <f t="shared" si="99"/>
        <v>0</v>
      </c>
      <c r="AP154" s="41">
        <f t="shared" si="99"/>
        <v>0</v>
      </c>
      <c r="AQ154" s="41">
        <f t="shared" si="99"/>
        <v>0</v>
      </c>
      <c r="AR154" s="41">
        <f t="shared" si="99"/>
        <v>0</v>
      </c>
      <c r="AS154" s="41">
        <f t="shared" si="99"/>
        <v>0</v>
      </c>
      <c r="AT154" s="41">
        <f t="shared" si="99"/>
        <v>0</v>
      </c>
      <c r="AU154" s="41">
        <f t="shared" si="99"/>
        <v>0</v>
      </c>
      <c r="AV154" s="41">
        <f t="shared" si="99"/>
        <v>0</v>
      </c>
      <c r="AW154" s="41">
        <f t="shared" si="99"/>
        <v>0</v>
      </c>
      <c r="AX154" s="41">
        <f t="shared" si="99"/>
        <v>0</v>
      </c>
      <c r="AY154" s="41">
        <f t="shared" si="99"/>
        <v>0</v>
      </c>
      <c r="AZ154" s="1070">
        <f t="shared" si="99"/>
        <v>0</v>
      </c>
      <c r="BA154" s="41"/>
      <c r="BB154" s="41"/>
      <c r="BC154" s="41"/>
      <c r="BD154" s="41"/>
      <c r="BE154" s="41"/>
      <c r="BF154" s="41"/>
      <c r="BG154" s="41"/>
      <c r="BH154" s="41"/>
      <c r="BI154" s="41"/>
      <c r="BJ154" s="41"/>
      <c r="BK154" s="41"/>
      <c r="BL154" s="41"/>
      <c r="BM154" s="41"/>
      <c r="BN154" s="41"/>
      <c r="BO154" s="41"/>
      <c r="BP154" s="41"/>
      <c r="BQ154" s="41"/>
      <c r="BR154" s="41"/>
      <c r="BS154" s="41"/>
      <c r="BT154" s="41"/>
      <c r="BU154" s="41"/>
      <c r="BV154" s="41"/>
    </row>
    <row r="155" spans="2:74">
      <c r="B155" s="2" t="s">
        <v>119</v>
      </c>
      <c r="C155" s="15" t="str">
        <f t="shared" si="92"/>
        <v>US$</v>
      </c>
      <c r="D155" s="42">
        <f t="shared" si="93"/>
        <v>115364200</v>
      </c>
      <c r="I155" s="41">
        <f>I141*$C$141</f>
        <v>2307284</v>
      </c>
      <c r="J155" s="41">
        <f t="shared" ref="J155:O155" si="100">J141*$C$141</f>
        <v>2307284</v>
      </c>
      <c r="K155" s="41">
        <f t="shared" si="100"/>
        <v>2307284</v>
      </c>
      <c r="L155" s="41">
        <f t="shared" si="100"/>
        <v>2307284</v>
      </c>
      <c r="M155" s="41">
        <f t="shared" si="100"/>
        <v>2307284</v>
      </c>
      <c r="N155" s="41">
        <f t="shared" si="100"/>
        <v>2307284</v>
      </c>
      <c r="O155" s="41">
        <f t="shared" si="100"/>
        <v>2307284</v>
      </c>
      <c r="P155" s="41">
        <f t="shared" ref="P155:AI155" si="101">P141*$C$141</f>
        <v>2307284</v>
      </c>
      <c r="Q155" s="41">
        <f t="shared" si="101"/>
        <v>2307284</v>
      </c>
      <c r="R155" s="41">
        <f t="shared" si="101"/>
        <v>2307284</v>
      </c>
      <c r="S155" s="41">
        <f t="shared" si="101"/>
        <v>2307284</v>
      </c>
      <c r="T155" s="41">
        <f t="shared" si="101"/>
        <v>2307284</v>
      </c>
      <c r="U155" s="41">
        <f t="shared" si="101"/>
        <v>5768210</v>
      </c>
      <c r="V155" s="41">
        <f t="shared" si="101"/>
        <v>5768210</v>
      </c>
      <c r="W155" s="41">
        <f t="shared" si="101"/>
        <v>5768210</v>
      </c>
      <c r="X155" s="41">
        <f t="shared" si="101"/>
        <v>5768210</v>
      </c>
      <c r="Y155" s="41">
        <f t="shared" si="101"/>
        <v>5768210</v>
      </c>
      <c r="Z155" s="41">
        <f t="shared" si="101"/>
        <v>5768210</v>
      </c>
      <c r="AA155" s="41">
        <f t="shared" si="101"/>
        <v>5768210</v>
      </c>
      <c r="AB155" s="41">
        <f t="shared" si="101"/>
        <v>5768210</v>
      </c>
      <c r="AC155" s="41">
        <f t="shared" si="101"/>
        <v>5768210</v>
      </c>
      <c r="AD155" s="41">
        <f t="shared" si="101"/>
        <v>11536420</v>
      </c>
      <c r="AE155" s="41">
        <f t="shared" si="101"/>
        <v>11536420</v>
      </c>
      <c r="AF155" s="41">
        <f t="shared" si="101"/>
        <v>12690062</v>
      </c>
      <c r="AG155" s="41">
        <f t="shared" si="101"/>
        <v>0</v>
      </c>
      <c r="AH155" s="41">
        <f t="shared" si="101"/>
        <v>0</v>
      </c>
      <c r="AI155" s="41">
        <f t="shared" si="101"/>
        <v>0</v>
      </c>
      <c r="AJ155" s="41">
        <f t="shared" ref="AJ155:AZ155" si="102">AJ141*$C$141</f>
        <v>0</v>
      </c>
      <c r="AK155" s="41">
        <f t="shared" si="102"/>
        <v>0</v>
      </c>
      <c r="AL155" s="41">
        <f t="shared" si="102"/>
        <v>0</v>
      </c>
      <c r="AM155" s="41">
        <f t="shared" si="102"/>
        <v>0</v>
      </c>
      <c r="AN155" s="41">
        <f t="shared" si="102"/>
        <v>0</v>
      </c>
      <c r="AO155" s="41">
        <f t="shared" si="102"/>
        <v>0</v>
      </c>
      <c r="AP155" s="41">
        <f t="shared" si="102"/>
        <v>0</v>
      </c>
      <c r="AQ155" s="41">
        <f t="shared" si="102"/>
        <v>0</v>
      </c>
      <c r="AR155" s="41">
        <f t="shared" si="102"/>
        <v>0</v>
      </c>
      <c r="AS155" s="41">
        <f t="shared" si="102"/>
        <v>0</v>
      </c>
      <c r="AT155" s="41">
        <f t="shared" si="102"/>
        <v>0</v>
      </c>
      <c r="AU155" s="41">
        <f t="shared" si="102"/>
        <v>0</v>
      </c>
      <c r="AV155" s="41">
        <f t="shared" si="102"/>
        <v>0</v>
      </c>
      <c r="AW155" s="41">
        <f t="shared" si="102"/>
        <v>0</v>
      </c>
      <c r="AX155" s="41">
        <f t="shared" si="102"/>
        <v>0</v>
      </c>
      <c r="AY155" s="41">
        <f t="shared" si="102"/>
        <v>0</v>
      </c>
      <c r="AZ155" s="1070">
        <f t="shared" si="102"/>
        <v>0</v>
      </c>
      <c r="BA155" s="41"/>
      <c r="BB155" s="41"/>
      <c r="BC155" s="41"/>
      <c r="BD155" s="41"/>
      <c r="BE155" s="41"/>
      <c r="BF155" s="41"/>
      <c r="BG155" s="41"/>
      <c r="BH155" s="41"/>
      <c r="BI155" s="41"/>
      <c r="BJ155" s="41"/>
      <c r="BK155" s="41"/>
      <c r="BL155" s="41"/>
      <c r="BM155" s="41"/>
      <c r="BN155" s="41"/>
      <c r="BO155" s="41"/>
      <c r="BP155" s="41"/>
      <c r="BQ155" s="41"/>
      <c r="BR155" s="41"/>
      <c r="BS155" s="41"/>
      <c r="BT155" s="41"/>
      <c r="BU155" s="41"/>
      <c r="BV155" s="41"/>
    </row>
    <row r="156" spans="2:74">
      <c r="B156" s="2" t="s">
        <v>122</v>
      </c>
      <c r="C156" s="15" t="str">
        <f t="shared" si="92"/>
        <v>US$</v>
      </c>
      <c r="D156" s="42">
        <f t="shared" si="93"/>
        <v>117576700</v>
      </c>
      <c r="I156" s="41">
        <f>I142*$C$142</f>
        <v>2351534</v>
      </c>
      <c r="J156" s="41">
        <f t="shared" ref="J156:O156" si="103">J142*$C$142</f>
        <v>2351534</v>
      </c>
      <c r="K156" s="41">
        <f t="shared" si="103"/>
        <v>2351534</v>
      </c>
      <c r="L156" s="41">
        <f t="shared" si="103"/>
        <v>2351534</v>
      </c>
      <c r="M156" s="41">
        <f t="shared" si="103"/>
        <v>2351534</v>
      </c>
      <c r="N156" s="41">
        <f t="shared" si="103"/>
        <v>2351534</v>
      </c>
      <c r="O156" s="41">
        <f t="shared" si="103"/>
        <v>2351534</v>
      </c>
      <c r="P156" s="41">
        <f t="shared" ref="P156:AI156" si="104">P142*$C$142</f>
        <v>2351534</v>
      </c>
      <c r="Q156" s="41">
        <f t="shared" si="104"/>
        <v>2351534</v>
      </c>
      <c r="R156" s="41">
        <f t="shared" si="104"/>
        <v>2351534</v>
      </c>
      <c r="S156" s="41">
        <f t="shared" si="104"/>
        <v>2351534</v>
      </c>
      <c r="T156" s="41">
        <f t="shared" si="104"/>
        <v>2351534</v>
      </c>
      <c r="U156" s="41">
        <f t="shared" si="104"/>
        <v>5878835</v>
      </c>
      <c r="V156" s="41">
        <f t="shared" si="104"/>
        <v>5878835</v>
      </c>
      <c r="W156" s="41">
        <f t="shared" si="104"/>
        <v>5878835</v>
      </c>
      <c r="X156" s="41">
        <f t="shared" si="104"/>
        <v>5878835</v>
      </c>
      <c r="Y156" s="41">
        <f t="shared" si="104"/>
        <v>5878835</v>
      </c>
      <c r="Z156" s="41">
        <f t="shared" si="104"/>
        <v>5878835</v>
      </c>
      <c r="AA156" s="41">
        <f t="shared" si="104"/>
        <v>5878835</v>
      </c>
      <c r="AB156" s="41">
        <f t="shared" si="104"/>
        <v>5878835</v>
      </c>
      <c r="AC156" s="41">
        <f t="shared" si="104"/>
        <v>5878835</v>
      </c>
      <c r="AD156" s="41">
        <f t="shared" si="104"/>
        <v>11757670</v>
      </c>
      <c r="AE156" s="41">
        <f t="shared" si="104"/>
        <v>11757670</v>
      </c>
      <c r="AF156" s="41">
        <f t="shared" si="104"/>
        <v>12933437</v>
      </c>
      <c r="AG156" s="41">
        <f t="shared" si="104"/>
        <v>0</v>
      </c>
      <c r="AH156" s="41">
        <f t="shared" si="104"/>
        <v>0</v>
      </c>
      <c r="AI156" s="41">
        <f t="shared" si="104"/>
        <v>0</v>
      </c>
      <c r="AJ156" s="41">
        <f t="shared" ref="AJ156:AZ156" si="105">AJ142*$C$142</f>
        <v>0</v>
      </c>
      <c r="AK156" s="41">
        <f t="shared" si="105"/>
        <v>0</v>
      </c>
      <c r="AL156" s="41">
        <f t="shared" si="105"/>
        <v>0</v>
      </c>
      <c r="AM156" s="41">
        <f t="shared" si="105"/>
        <v>0</v>
      </c>
      <c r="AN156" s="41">
        <f t="shared" si="105"/>
        <v>0</v>
      </c>
      <c r="AO156" s="41">
        <f t="shared" si="105"/>
        <v>0</v>
      </c>
      <c r="AP156" s="41">
        <f t="shared" si="105"/>
        <v>0</v>
      </c>
      <c r="AQ156" s="41">
        <f t="shared" si="105"/>
        <v>0</v>
      </c>
      <c r="AR156" s="41">
        <f t="shared" si="105"/>
        <v>0</v>
      </c>
      <c r="AS156" s="41">
        <f t="shared" si="105"/>
        <v>0</v>
      </c>
      <c r="AT156" s="41">
        <f t="shared" si="105"/>
        <v>0</v>
      </c>
      <c r="AU156" s="41">
        <f t="shared" si="105"/>
        <v>0</v>
      </c>
      <c r="AV156" s="41">
        <f t="shared" si="105"/>
        <v>0</v>
      </c>
      <c r="AW156" s="41">
        <f t="shared" si="105"/>
        <v>0</v>
      </c>
      <c r="AX156" s="41">
        <f t="shared" si="105"/>
        <v>0</v>
      </c>
      <c r="AY156" s="41">
        <f t="shared" si="105"/>
        <v>0</v>
      </c>
      <c r="AZ156" s="1070">
        <f t="shared" si="105"/>
        <v>0</v>
      </c>
      <c r="BA156" s="41"/>
      <c r="BB156" s="41"/>
      <c r="BC156" s="41"/>
      <c r="BD156" s="41"/>
      <c r="BE156" s="41"/>
      <c r="BF156" s="41"/>
      <c r="BG156" s="41"/>
      <c r="BH156" s="41"/>
      <c r="BI156" s="41"/>
      <c r="BJ156" s="41"/>
      <c r="BK156" s="41"/>
      <c r="BL156" s="41"/>
      <c r="BM156" s="41"/>
      <c r="BN156" s="41"/>
      <c r="BO156" s="41"/>
      <c r="BP156" s="41"/>
      <c r="BQ156" s="41"/>
      <c r="BR156" s="41"/>
      <c r="BS156" s="41"/>
      <c r="BT156" s="41"/>
      <c r="BU156" s="41"/>
      <c r="BV156" s="41"/>
    </row>
    <row r="157" spans="2:74">
      <c r="B157" s="2" t="s">
        <v>120</v>
      </c>
      <c r="C157" s="15" t="str">
        <f t="shared" si="92"/>
        <v>US$</v>
      </c>
      <c r="D157" s="42">
        <f t="shared" si="93"/>
        <v>81853600</v>
      </c>
      <c r="I157" s="41">
        <f>I143*$C$143</f>
        <v>1637072</v>
      </c>
      <c r="J157" s="41">
        <f t="shared" ref="J157:O157" si="106">J143*$C$143</f>
        <v>1637072</v>
      </c>
      <c r="K157" s="41">
        <f t="shared" si="106"/>
        <v>1637072</v>
      </c>
      <c r="L157" s="41">
        <f t="shared" si="106"/>
        <v>1637072</v>
      </c>
      <c r="M157" s="41">
        <f t="shared" si="106"/>
        <v>1637072</v>
      </c>
      <c r="N157" s="41">
        <f t="shared" si="106"/>
        <v>1637072</v>
      </c>
      <c r="O157" s="41">
        <f t="shared" si="106"/>
        <v>1637072</v>
      </c>
      <c r="P157" s="41">
        <f t="shared" ref="P157:AI157" si="107">P143*$C$143</f>
        <v>1637072</v>
      </c>
      <c r="Q157" s="41">
        <f t="shared" si="107"/>
        <v>1637072</v>
      </c>
      <c r="R157" s="41">
        <f t="shared" si="107"/>
        <v>1637072</v>
      </c>
      <c r="S157" s="41">
        <f t="shared" si="107"/>
        <v>1637072</v>
      </c>
      <c r="T157" s="41">
        <f t="shared" si="107"/>
        <v>1637072</v>
      </c>
      <c r="U157" s="41">
        <f t="shared" si="107"/>
        <v>4092680</v>
      </c>
      <c r="V157" s="41">
        <f t="shared" si="107"/>
        <v>4092680</v>
      </c>
      <c r="W157" s="41">
        <f t="shared" si="107"/>
        <v>4092680</v>
      </c>
      <c r="X157" s="41">
        <f t="shared" si="107"/>
        <v>4092680</v>
      </c>
      <c r="Y157" s="41">
        <f t="shared" si="107"/>
        <v>4092680</v>
      </c>
      <c r="Z157" s="41">
        <f t="shared" si="107"/>
        <v>4092680</v>
      </c>
      <c r="AA157" s="41">
        <f t="shared" si="107"/>
        <v>4092680</v>
      </c>
      <c r="AB157" s="41">
        <f t="shared" si="107"/>
        <v>4092680</v>
      </c>
      <c r="AC157" s="41">
        <f t="shared" si="107"/>
        <v>4092680</v>
      </c>
      <c r="AD157" s="41">
        <f t="shared" si="107"/>
        <v>8185360</v>
      </c>
      <c r="AE157" s="41">
        <f t="shared" si="107"/>
        <v>8185360</v>
      </c>
      <c r="AF157" s="41">
        <f t="shared" si="107"/>
        <v>9003896</v>
      </c>
      <c r="AG157" s="41">
        <f t="shared" si="107"/>
        <v>0</v>
      </c>
      <c r="AH157" s="41">
        <f t="shared" si="107"/>
        <v>0</v>
      </c>
      <c r="AI157" s="41">
        <f t="shared" si="107"/>
        <v>0</v>
      </c>
      <c r="AJ157" s="41">
        <f t="shared" ref="AJ157:AZ157" si="108">AJ143*$C$143</f>
        <v>0</v>
      </c>
      <c r="AK157" s="41">
        <f t="shared" si="108"/>
        <v>0</v>
      </c>
      <c r="AL157" s="41">
        <f t="shared" si="108"/>
        <v>0</v>
      </c>
      <c r="AM157" s="41">
        <f t="shared" si="108"/>
        <v>0</v>
      </c>
      <c r="AN157" s="41">
        <f t="shared" si="108"/>
        <v>0</v>
      </c>
      <c r="AO157" s="41">
        <f t="shared" si="108"/>
        <v>0</v>
      </c>
      <c r="AP157" s="41">
        <f t="shared" si="108"/>
        <v>0</v>
      </c>
      <c r="AQ157" s="41">
        <f t="shared" si="108"/>
        <v>0</v>
      </c>
      <c r="AR157" s="41">
        <f t="shared" si="108"/>
        <v>0</v>
      </c>
      <c r="AS157" s="41">
        <f t="shared" si="108"/>
        <v>0</v>
      </c>
      <c r="AT157" s="41">
        <f t="shared" si="108"/>
        <v>0</v>
      </c>
      <c r="AU157" s="41">
        <f t="shared" si="108"/>
        <v>0</v>
      </c>
      <c r="AV157" s="41">
        <f t="shared" si="108"/>
        <v>0</v>
      </c>
      <c r="AW157" s="41">
        <f t="shared" si="108"/>
        <v>0</v>
      </c>
      <c r="AX157" s="41">
        <f t="shared" si="108"/>
        <v>0</v>
      </c>
      <c r="AY157" s="41">
        <f t="shared" si="108"/>
        <v>0</v>
      </c>
      <c r="AZ157" s="1070">
        <f t="shared" si="108"/>
        <v>0</v>
      </c>
      <c r="BA157" s="41"/>
      <c r="BB157" s="41"/>
      <c r="BC157" s="41"/>
      <c r="BD157" s="41"/>
      <c r="BE157" s="41"/>
      <c r="BF157" s="41"/>
      <c r="BG157" s="41"/>
      <c r="BH157" s="41"/>
      <c r="BI157" s="41"/>
      <c r="BJ157" s="41"/>
      <c r="BK157" s="41"/>
      <c r="BL157" s="41"/>
      <c r="BM157" s="41"/>
      <c r="BN157" s="41"/>
      <c r="BO157" s="41"/>
      <c r="BP157" s="41"/>
      <c r="BQ157" s="41"/>
      <c r="BR157" s="41"/>
      <c r="BS157" s="41"/>
      <c r="BT157" s="41"/>
      <c r="BU157" s="41"/>
      <c r="BV157" s="41"/>
    </row>
    <row r="158" spans="2:74">
      <c r="B158" s="2" t="s">
        <v>121</v>
      </c>
      <c r="C158" s="15" t="str">
        <f t="shared" si="92"/>
        <v>US$</v>
      </c>
      <c r="D158" s="42">
        <f t="shared" si="93"/>
        <v>0</v>
      </c>
      <c r="I158" s="41">
        <f>I144*$C$144</f>
        <v>0</v>
      </c>
      <c r="J158" s="41">
        <f t="shared" ref="J158:O158" si="109">J144*$C$144</f>
        <v>0</v>
      </c>
      <c r="K158" s="41">
        <f t="shared" si="109"/>
        <v>0</v>
      </c>
      <c r="L158" s="41">
        <f t="shared" si="109"/>
        <v>0</v>
      </c>
      <c r="M158" s="41">
        <f t="shared" si="109"/>
        <v>0</v>
      </c>
      <c r="N158" s="41">
        <f t="shared" si="109"/>
        <v>0</v>
      </c>
      <c r="O158" s="41">
        <f t="shared" si="109"/>
        <v>0</v>
      </c>
      <c r="P158" s="41">
        <f t="shared" ref="P158:AI158" si="110">P144*$C$144</f>
        <v>0</v>
      </c>
      <c r="Q158" s="41">
        <f t="shared" si="110"/>
        <v>0</v>
      </c>
      <c r="R158" s="41">
        <f t="shared" si="110"/>
        <v>0</v>
      </c>
      <c r="S158" s="41">
        <f t="shared" si="110"/>
        <v>0</v>
      </c>
      <c r="T158" s="41">
        <f t="shared" si="110"/>
        <v>0</v>
      </c>
      <c r="U158" s="41">
        <f t="shared" si="110"/>
        <v>0</v>
      </c>
      <c r="V158" s="41">
        <f t="shared" si="110"/>
        <v>0</v>
      </c>
      <c r="W158" s="41">
        <f t="shared" si="110"/>
        <v>0</v>
      </c>
      <c r="X158" s="41">
        <f t="shared" si="110"/>
        <v>0</v>
      </c>
      <c r="Y158" s="41">
        <f t="shared" si="110"/>
        <v>0</v>
      </c>
      <c r="Z158" s="41">
        <f t="shared" si="110"/>
        <v>0</v>
      </c>
      <c r="AA158" s="41">
        <f t="shared" si="110"/>
        <v>0</v>
      </c>
      <c r="AB158" s="41">
        <f t="shared" si="110"/>
        <v>0</v>
      </c>
      <c r="AC158" s="41">
        <f t="shared" si="110"/>
        <v>0</v>
      </c>
      <c r="AD158" s="41">
        <f t="shared" si="110"/>
        <v>0</v>
      </c>
      <c r="AE158" s="41">
        <f t="shared" si="110"/>
        <v>0</v>
      </c>
      <c r="AF158" s="41">
        <f t="shared" si="110"/>
        <v>0</v>
      </c>
      <c r="AG158" s="41">
        <f t="shared" si="110"/>
        <v>0</v>
      </c>
      <c r="AH158" s="41">
        <f t="shared" si="110"/>
        <v>0</v>
      </c>
      <c r="AI158" s="41">
        <f t="shared" si="110"/>
        <v>0</v>
      </c>
      <c r="AJ158" s="41">
        <f t="shared" ref="AJ158:AZ158" si="111">AJ144*$C$144</f>
        <v>0</v>
      </c>
      <c r="AK158" s="41">
        <f t="shared" si="111"/>
        <v>0</v>
      </c>
      <c r="AL158" s="41">
        <f t="shared" si="111"/>
        <v>0</v>
      </c>
      <c r="AM158" s="41">
        <f t="shared" si="111"/>
        <v>0</v>
      </c>
      <c r="AN158" s="41">
        <f t="shared" si="111"/>
        <v>0</v>
      </c>
      <c r="AO158" s="41">
        <f t="shared" si="111"/>
        <v>0</v>
      </c>
      <c r="AP158" s="41">
        <f t="shared" si="111"/>
        <v>0</v>
      </c>
      <c r="AQ158" s="41">
        <f t="shared" si="111"/>
        <v>0</v>
      </c>
      <c r="AR158" s="41">
        <f t="shared" si="111"/>
        <v>0</v>
      </c>
      <c r="AS158" s="41">
        <f t="shared" si="111"/>
        <v>0</v>
      </c>
      <c r="AT158" s="41">
        <f t="shared" si="111"/>
        <v>0</v>
      </c>
      <c r="AU158" s="41">
        <f t="shared" si="111"/>
        <v>0</v>
      </c>
      <c r="AV158" s="41">
        <f t="shared" si="111"/>
        <v>0</v>
      </c>
      <c r="AW158" s="41">
        <f t="shared" si="111"/>
        <v>0</v>
      </c>
      <c r="AX158" s="41">
        <f t="shared" si="111"/>
        <v>0</v>
      </c>
      <c r="AY158" s="41">
        <f t="shared" si="111"/>
        <v>0</v>
      </c>
      <c r="AZ158" s="1070">
        <f t="shared" si="111"/>
        <v>0</v>
      </c>
      <c r="BA158" s="41"/>
      <c r="BB158" s="41"/>
      <c r="BC158" s="41"/>
      <c r="BD158" s="41"/>
      <c r="BE158" s="41"/>
      <c r="BF158" s="41"/>
      <c r="BG158" s="41"/>
      <c r="BH158" s="41"/>
      <c r="BI158" s="41"/>
      <c r="BJ158" s="41"/>
      <c r="BK158" s="41"/>
      <c r="BL158" s="41"/>
      <c r="BM158" s="41"/>
      <c r="BN158" s="41"/>
      <c r="BO158" s="41"/>
      <c r="BP158" s="41"/>
      <c r="BQ158" s="41"/>
      <c r="BR158" s="41"/>
      <c r="BS158" s="41"/>
      <c r="BT158" s="41"/>
      <c r="BU158" s="41"/>
      <c r="BV158" s="41"/>
    </row>
    <row r="159" spans="2:74">
      <c r="B159" s="2" t="s">
        <v>123</v>
      </c>
      <c r="C159" s="15" t="str">
        <f t="shared" si="92"/>
        <v>US$</v>
      </c>
      <c r="D159" s="42">
        <f t="shared" si="93"/>
        <v>71096000</v>
      </c>
      <c r="I159" s="41">
        <f>I145*$C$145</f>
        <v>1421920</v>
      </c>
      <c r="J159" s="41">
        <f t="shared" ref="J159:O159" si="112">J145*$C$145</f>
        <v>1421920</v>
      </c>
      <c r="K159" s="41">
        <f t="shared" si="112"/>
        <v>1421920</v>
      </c>
      <c r="L159" s="41">
        <f t="shared" si="112"/>
        <v>1421920</v>
      </c>
      <c r="M159" s="41">
        <f t="shared" si="112"/>
        <v>1421920</v>
      </c>
      <c r="N159" s="41">
        <f t="shared" si="112"/>
        <v>1421920</v>
      </c>
      <c r="O159" s="41">
        <f t="shared" si="112"/>
        <v>1421920</v>
      </c>
      <c r="P159" s="41">
        <f t="shared" ref="P159:AI159" si="113">P145*$C$145</f>
        <v>1421920</v>
      </c>
      <c r="Q159" s="41">
        <f t="shared" si="113"/>
        <v>1421920</v>
      </c>
      <c r="R159" s="41">
        <f t="shared" si="113"/>
        <v>1421920</v>
      </c>
      <c r="S159" s="41">
        <f t="shared" si="113"/>
        <v>1421920</v>
      </c>
      <c r="T159" s="41">
        <f t="shared" si="113"/>
        <v>1421920</v>
      </c>
      <c r="U159" s="41">
        <f t="shared" si="113"/>
        <v>3554800</v>
      </c>
      <c r="V159" s="41">
        <f t="shared" si="113"/>
        <v>3554800</v>
      </c>
      <c r="W159" s="41">
        <f t="shared" si="113"/>
        <v>3554800</v>
      </c>
      <c r="X159" s="41">
        <f t="shared" si="113"/>
        <v>3554800</v>
      </c>
      <c r="Y159" s="41">
        <f t="shared" si="113"/>
        <v>3554800</v>
      </c>
      <c r="Z159" s="41">
        <f t="shared" si="113"/>
        <v>3554800</v>
      </c>
      <c r="AA159" s="41">
        <f t="shared" si="113"/>
        <v>3554800</v>
      </c>
      <c r="AB159" s="41">
        <f t="shared" si="113"/>
        <v>3554800</v>
      </c>
      <c r="AC159" s="41">
        <f t="shared" si="113"/>
        <v>3554800</v>
      </c>
      <c r="AD159" s="41">
        <f t="shared" si="113"/>
        <v>7109600</v>
      </c>
      <c r="AE159" s="41">
        <f t="shared" si="113"/>
        <v>7109600</v>
      </c>
      <c r="AF159" s="41">
        <f t="shared" si="113"/>
        <v>7820560</v>
      </c>
      <c r="AG159" s="41">
        <f t="shared" si="113"/>
        <v>0</v>
      </c>
      <c r="AH159" s="41">
        <f t="shared" si="113"/>
        <v>0</v>
      </c>
      <c r="AI159" s="41">
        <f t="shared" si="113"/>
        <v>0</v>
      </c>
      <c r="AJ159" s="41">
        <f t="shared" ref="AJ159:AZ159" si="114">AJ145*$C$145</f>
        <v>0</v>
      </c>
      <c r="AK159" s="41">
        <f t="shared" si="114"/>
        <v>0</v>
      </c>
      <c r="AL159" s="41">
        <f t="shared" si="114"/>
        <v>0</v>
      </c>
      <c r="AM159" s="41">
        <f t="shared" si="114"/>
        <v>0</v>
      </c>
      <c r="AN159" s="41">
        <f t="shared" si="114"/>
        <v>0</v>
      </c>
      <c r="AO159" s="41">
        <f t="shared" si="114"/>
        <v>0</v>
      </c>
      <c r="AP159" s="41">
        <f t="shared" si="114"/>
        <v>0</v>
      </c>
      <c r="AQ159" s="41">
        <f t="shared" si="114"/>
        <v>0</v>
      </c>
      <c r="AR159" s="41">
        <f t="shared" si="114"/>
        <v>0</v>
      </c>
      <c r="AS159" s="41">
        <f t="shared" si="114"/>
        <v>0</v>
      </c>
      <c r="AT159" s="41">
        <f t="shared" si="114"/>
        <v>0</v>
      </c>
      <c r="AU159" s="41">
        <f t="shared" si="114"/>
        <v>0</v>
      </c>
      <c r="AV159" s="41">
        <f t="shared" si="114"/>
        <v>0</v>
      </c>
      <c r="AW159" s="41">
        <f t="shared" si="114"/>
        <v>0</v>
      </c>
      <c r="AX159" s="41">
        <f t="shared" si="114"/>
        <v>0</v>
      </c>
      <c r="AY159" s="41">
        <f t="shared" si="114"/>
        <v>0</v>
      </c>
      <c r="AZ159" s="1070">
        <f t="shared" si="114"/>
        <v>0</v>
      </c>
      <c r="BA159" s="41"/>
      <c r="BB159" s="41"/>
      <c r="BC159" s="41"/>
      <c r="BD159" s="41"/>
      <c r="BE159" s="41"/>
      <c r="BF159" s="41"/>
      <c r="BG159" s="41"/>
      <c r="BH159" s="41"/>
      <c r="BI159" s="41"/>
      <c r="BJ159" s="41"/>
      <c r="BK159" s="41"/>
      <c r="BL159" s="41"/>
      <c r="BM159" s="41"/>
      <c r="BN159" s="41"/>
      <c r="BO159" s="41"/>
      <c r="BP159" s="41"/>
      <c r="BQ159" s="41"/>
      <c r="BR159" s="41"/>
      <c r="BS159" s="41"/>
      <c r="BT159" s="41"/>
      <c r="BU159" s="41"/>
      <c r="BV159" s="41"/>
    </row>
    <row r="160" spans="2:74">
      <c r="B160" s="489" t="s">
        <v>9</v>
      </c>
      <c r="C160" s="577" t="str">
        <f t="shared" si="92"/>
        <v>US$</v>
      </c>
      <c r="D160" s="42">
        <f t="shared" si="93"/>
        <v>89649773.877551004</v>
      </c>
      <c r="I160" s="41">
        <f>I146*$C$146</f>
        <v>1792995.4775510204</v>
      </c>
      <c r="J160" s="41">
        <f t="shared" ref="J160:O160" si="115">J146*$C$146</f>
        <v>1792995.4775510204</v>
      </c>
      <c r="K160" s="41">
        <f t="shared" si="115"/>
        <v>1792995.4775510204</v>
      </c>
      <c r="L160" s="41">
        <f t="shared" si="115"/>
        <v>1792995.4775510204</v>
      </c>
      <c r="M160" s="41">
        <f t="shared" si="115"/>
        <v>1792995.4775510204</v>
      </c>
      <c r="N160" s="41">
        <f t="shared" si="115"/>
        <v>1792995.4775510204</v>
      </c>
      <c r="O160" s="41">
        <f t="shared" si="115"/>
        <v>1792995.4775510204</v>
      </c>
      <c r="P160" s="41">
        <f t="shared" ref="P160:AL160" si="116">P146*$C$146</f>
        <v>1792995.4775510204</v>
      </c>
      <c r="Q160" s="41">
        <f t="shared" si="116"/>
        <v>1792995.4775510204</v>
      </c>
      <c r="R160" s="41">
        <f t="shared" si="116"/>
        <v>1792995.4775510204</v>
      </c>
      <c r="S160" s="41">
        <f t="shared" si="116"/>
        <v>1792995.4775510204</v>
      </c>
      <c r="T160" s="41">
        <f t="shared" si="116"/>
        <v>1792995.4775510204</v>
      </c>
      <c r="U160" s="41">
        <f t="shared" si="116"/>
        <v>4482488.6938775508</v>
      </c>
      <c r="V160" s="41">
        <f t="shared" si="116"/>
        <v>4482488.6938775508</v>
      </c>
      <c r="W160" s="41">
        <f t="shared" si="116"/>
        <v>4482488.6938775508</v>
      </c>
      <c r="X160" s="41">
        <f t="shared" si="116"/>
        <v>4482488.6938775508</v>
      </c>
      <c r="Y160" s="41">
        <f t="shared" si="116"/>
        <v>4482488.6938775508</v>
      </c>
      <c r="Z160" s="41">
        <f t="shared" si="116"/>
        <v>4482488.6938775508</v>
      </c>
      <c r="AA160" s="41">
        <f t="shared" si="116"/>
        <v>4482488.6938775508</v>
      </c>
      <c r="AB160" s="41">
        <f t="shared" si="116"/>
        <v>4482488.6938775508</v>
      </c>
      <c r="AC160" s="41">
        <f t="shared" si="116"/>
        <v>4482488.6938775508</v>
      </c>
      <c r="AD160" s="41">
        <f t="shared" si="116"/>
        <v>8964977.3877551015</v>
      </c>
      <c r="AE160" s="41">
        <f t="shared" si="116"/>
        <v>8964977.3877551015</v>
      </c>
      <c r="AF160" s="41">
        <f t="shared" si="116"/>
        <v>9861475.1265306119</v>
      </c>
      <c r="AG160" s="41">
        <f t="shared" si="116"/>
        <v>0</v>
      </c>
      <c r="AH160" s="41">
        <f t="shared" si="116"/>
        <v>0</v>
      </c>
      <c r="AI160" s="41">
        <f t="shared" si="116"/>
        <v>0</v>
      </c>
      <c r="AJ160" s="41">
        <f t="shared" si="116"/>
        <v>0</v>
      </c>
      <c r="AK160" s="41">
        <f t="shared" si="116"/>
        <v>0</v>
      </c>
      <c r="AL160" s="41">
        <f t="shared" si="116"/>
        <v>0</v>
      </c>
      <c r="AM160" s="41">
        <f t="shared" ref="AM160:AZ160" si="117">AM146*$C$146</f>
        <v>0</v>
      </c>
      <c r="AN160" s="41">
        <f t="shared" si="117"/>
        <v>0</v>
      </c>
      <c r="AO160" s="41">
        <f t="shared" si="117"/>
        <v>0</v>
      </c>
      <c r="AP160" s="41">
        <f t="shared" si="117"/>
        <v>0</v>
      </c>
      <c r="AQ160" s="41">
        <f t="shared" si="117"/>
        <v>0</v>
      </c>
      <c r="AR160" s="41">
        <f t="shared" si="117"/>
        <v>0</v>
      </c>
      <c r="AS160" s="41">
        <f t="shared" si="117"/>
        <v>0</v>
      </c>
      <c r="AT160" s="41">
        <f t="shared" si="117"/>
        <v>0</v>
      </c>
      <c r="AU160" s="41">
        <f t="shared" si="117"/>
        <v>0</v>
      </c>
      <c r="AV160" s="41">
        <f t="shared" si="117"/>
        <v>0</v>
      </c>
      <c r="AW160" s="41">
        <f t="shared" si="117"/>
        <v>0</v>
      </c>
      <c r="AX160" s="41">
        <f t="shared" si="117"/>
        <v>0</v>
      </c>
      <c r="AY160" s="41">
        <f t="shared" si="117"/>
        <v>0</v>
      </c>
      <c r="AZ160" s="1070">
        <f t="shared" si="117"/>
        <v>0</v>
      </c>
      <c r="BA160" s="41"/>
      <c r="BB160" s="41"/>
      <c r="BC160" s="41"/>
      <c r="BD160" s="41"/>
      <c r="BE160" s="41"/>
      <c r="BF160" s="41"/>
      <c r="BG160" s="41"/>
      <c r="BH160" s="41"/>
      <c r="BI160" s="41"/>
      <c r="BJ160" s="41"/>
      <c r="BK160" s="41"/>
      <c r="BL160" s="41"/>
      <c r="BM160" s="41"/>
      <c r="BN160" s="41"/>
      <c r="BO160" s="41"/>
      <c r="BP160" s="41"/>
      <c r="BQ160" s="41"/>
      <c r="BR160" s="41"/>
      <c r="BS160" s="41"/>
      <c r="BT160" s="41"/>
      <c r="BU160" s="41"/>
      <c r="BV160" s="41"/>
    </row>
    <row r="161" spans="2:74">
      <c r="B161" s="124" t="s">
        <v>71</v>
      </c>
      <c r="C161" s="132" t="str">
        <f t="shared" si="92"/>
        <v>US$</v>
      </c>
      <c r="D161" s="471">
        <f>SUM(I161:AI161)</f>
        <v>1284980092.2448976</v>
      </c>
      <c r="E161" s="124"/>
      <c r="F161" s="124"/>
      <c r="G161" s="124"/>
      <c r="H161" s="124"/>
      <c r="I161" s="471">
        <f>SUM(I152:I160)</f>
        <v>25699601.844897959</v>
      </c>
      <c r="J161" s="471">
        <f t="shared" ref="J161:AY161" si="118">SUM(J152:J160)</f>
        <v>25699601.844897959</v>
      </c>
      <c r="K161" s="471">
        <f t="shared" si="118"/>
        <v>25699601.844897959</v>
      </c>
      <c r="L161" s="471">
        <f t="shared" si="118"/>
        <v>25699601.844897959</v>
      </c>
      <c r="M161" s="471">
        <f t="shared" si="118"/>
        <v>25699601.844897959</v>
      </c>
      <c r="N161" s="471">
        <f t="shared" si="118"/>
        <v>25699601.844897959</v>
      </c>
      <c r="O161" s="471">
        <f t="shared" si="118"/>
        <v>25699601.844897959</v>
      </c>
      <c r="P161" s="471">
        <f t="shared" si="118"/>
        <v>25699601.844897959</v>
      </c>
      <c r="Q161" s="471">
        <f t="shared" si="118"/>
        <v>25699601.844897959</v>
      </c>
      <c r="R161" s="471">
        <f t="shared" si="118"/>
        <v>25699601.844897959</v>
      </c>
      <c r="S161" s="471">
        <f t="shared" si="118"/>
        <v>25699601.844897959</v>
      </c>
      <c r="T161" s="471">
        <f t="shared" si="118"/>
        <v>25699601.844897959</v>
      </c>
      <c r="U161" s="471">
        <f t="shared" si="118"/>
        <v>64249004.612244897</v>
      </c>
      <c r="V161" s="471">
        <f t="shared" si="118"/>
        <v>64249004.612244897</v>
      </c>
      <c r="W161" s="471">
        <f t="shared" si="118"/>
        <v>64249004.612244897</v>
      </c>
      <c r="X161" s="471">
        <f t="shared" si="118"/>
        <v>64249004.612244897</v>
      </c>
      <c r="Y161" s="471">
        <f t="shared" si="118"/>
        <v>64249004.612244897</v>
      </c>
      <c r="Z161" s="471">
        <f t="shared" si="118"/>
        <v>64249004.612244897</v>
      </c>
      <c r="AA161" s="471">
        <f t="shared" si="118"/>
        <v>64249004.612244897</v>
      </c>
      <c r="AB161" s="471">
        <f t="shared" si="118"/>
        <v>64249004.612244897</v>
      </c>
      <c r="AC161" s="471">
        <f t="shared" si="118"/>
        <v>64249004.612244897</v>
      </c>
      <c r="AD161" s="471">
        <f t="shared" si="118"/>
        <v>128498009.22448979</v>
      </c>
      <c r="AE161" s="471">
        <f t="shared" si="118"/>
        <v>128498009.22448979</v>
      </c>
      <c r="AF161" s="471">
        <f t="shared" si="118"/>
        <v>141347810.14693877</v>
      </c>
      <c r="AG161" s="471">
        <f t="shared" si="118"/>
        <v>0</v>
      </c>
      <c r="AH161" s="471">
        <f t="shared" si="118"/>
        <v>0</v>
      </c>
      <c r="AI161" s="471">
        <f t="shared" si="118"/>
        <v>0</v>
      </c>
      <c r="AJ161" s="471">
        <f t="shared" si="118"/>
        <v>0</v>
      </c>
      <c r="AK161" s="471">
        <f t="shared" si="118"/>
        <v>0</v>
      </c>
      <c r="AL161" s="471">
        <f t="shared" si="118"/>
        <v>0</v>
      </c>
      <c r="AM161" s="471">
        <f t="shared" si="118"/>
        <v>0</v>
      </c>
      <c r="AN161" s="471">
        <f t="shared" si="118"/>
        <v>0</v>
      </c>
      <c r="AO161" s="471">
        <f t="shared" si="118"/>
        <v>0</v>
      </c>
      <c r="AP161" s="471">
        <f t="shared" si="118"/>
        <v>0</v>
      </c>
      <c r="AQ161" s="471">
        <f t="shared" si="118"/>
        <v>0</v>
      </c>
      <c r="AR161" s="471">
        <f t="shared" si="118"/>
        <v>0</v>
      </c>
      <c r="AS161" s="471">
        <f t="shared" si="118"/>
        <v>0</v>
      </c>
      <c r="AT161" s="471">
        <f t="shared" si="118"/>
        <v>0</v>
      </c>
      <c r="AU161" s="471">
        <f t="shared" si="118"/>
        <v>0</v>
      </c>
      <c r="AV161" s="471">
        <f t="shared" si="118"/>
        <v>0</v>
      </c>
      <c r="AW161" s="471">
        <f t="shared" si="118"/>
        <v>0</v>
      </c>
      <c r="AX161" s="471">
        <f t="shared" si="118"/>
        <v>0</v>
      </c>
      <c r="AY161" s="471">
        <f t="shared" si="118"/>
        <v>0</v>
      </c>
    </row>
    <row r="162" spans="2:74">
      <c r="B162" s="3"/>
      <c r="AJ162" s="42"/>
    </row>
    <row r="163" spans="2:74">
      <c r="B163" s="26" t="s">
        <v>219</v>
      </c>
      <c r="AJ163" s="42"/>
    </row>
    <row r="164" spans="2:74">
      <c r="B164" s="2" t="s">
        <v>220</v>
      </c>
      <c r="C164" s="15" t="str">
        <f t="shared" si="92"/>
        <v>US$</v>
      </c>
      <c r="D164" s="41">
        <f>SUM(I164:AI164)</f>
        <v>1284980092.2448976</v>
      </c>
      <c r="I164" s="42">
        <f t="shared" ref="I164:AI164" si="119">I161</f>
        <v>25699601.844897959</v>
      </c>
      <c r="J164" s="42">
        <f t="shared" si="119"/>
        <v>25699601.844897959</v>
      </c>
      <c r="K164" s="42">
        <f t="shared" si="119"/>
        <v>25699601.844897959</v>
      </c>
      <c r="L164" s="42">
        <f t="shared" si="119"/>
        <v>25699601.844897959</v>
      </c>
      <c r="M164" s="42">
        <f t="shared" si="119"/>
        <v>25699601.844897959</v>
      </c>
      <c r="N164" s="42">
        <f t="shared" si="119"/>
        <v>25699601.844897959</v>
      </c>
      <c r="O164" s="42">
        <f t="shared" si="119"/>
        <v>25699601.844897959</v>
      </c>
      <c r="P164" s="42">
        <f t="shared" si="119"/>
        <v>25699601.844897959</v>
      </c>
      <c r="Q164" s="42">
        <f t="shared" si="119"/>
        <v>25699601.844897959</v>
      </c>
      <c r="R164" s="42">
        <f t="shared" si="119"/>
        <v>25699601.844897959</v>
      </c>
      <c r="S164" s="42">
        <f t="shared" si="119"/>
        <v>25699601.844897959</v>
      </c>
      <c r="T164" s="42">
        <f t="shared" si="119"/>
        <v>25699601.844897959</v>
      </c>
      <c r="U164" s="42">
        <f t="shared" si="119"/>
        <v>64249004.612244897</v>
      </c>
      <c r="V164" s="42">
        <f t="shared" si="119"/>
        <v>64249004.612244897</v>
      </c>
      <c r="W164" s="42">
        <f t="shared" si="119"/>
        <v>64249004.612244897</v>
      </c>
      <c r="X164" s="42">
        <f t="shared" si="119"/>
        <v>64249004.612244897</v>
      </c>
      <c r="Y164" s="42">
        <f t="shared" si="119"/>
        <v>64249004.612244897</v>
      </c>
      <c r="Z164" s="42">
        <f t="shared" si="119"/>
        <v>64249004.612244897</v>
      </c>
      <c r="AA164" s="42">
        <f t="shared" si="119"/>
        <v>64249004.612244897</v>
      </c>
      <c r="AB164" s="42">
        <f t="shared" si="119"/>
        <v>64249004.612244897</v>
      </c>
      <c r="AC164" s="42">
        <f t="shared" si="119"/>
        <v>64249004.612244897</v>
      </c>
      <c r="AD164" s="42">
        <f t="shared" si="119"/>
        <v>128498009.22448979</v>
      </c>
      <c r="AE164" s="42">
        <f t="shared" si="119"/>
        <v>128498009.22448979</v>
      </c>
      <c r="AF164" s="42">
        <f t="shared" si="119"/>
        <v>141347810.14693877</v>
      </c>
      <c r="AG164" s="42">
        <f t="shared" si="119"/>
        <v>0</v>
      </c>
      <c r="AH164" s="42">
        <f t="shared" si="119"/>
        <v>0</v>
      </c>
      <c r="AI164" s="42">
        <f t="shared" si="119"/>
        <v>0</v>
      </c>
      <c r="AJ164" s="42">
        <f t="shared" ref="AJ164:AZ164" si="120">AJ161</f>
        <v>0</v>
      </c>
      <c r="AK164" s="42">
        <f t="shared" si="120"/>
        <v>0</v>
      </c>
      <c r="AL164" s="42">
        <f t="shared" si="120"/>
        <v>0</v>
      </c>
      <c r="AM164" s="42">
        <f t="shared" si="120"/>
        <v>0</v>
      </c>
      <c r="AN164" s="42">
        <f t="shared" si="120"/>
        <v>0</v>
      </c>
      <c r="AO164" s="42">
        <f t="shared" si="120"/>
        <v>0</v>
      </c>
      <c r="AP164" s="42">
        <f t="shared" si="120"/>
        <v>0</v>
      </c>
      <c r="AQ164" s="42">
        <f t="shared" si="120"/>
        <v>0</v>
      </c>
      <c r="AR164" s="42">
        <f t="shared" si="120"/>
        <v>0</v>
      </c>
      <c r="AS164" s="42">
        <f t="shared" si="120"/>
        <v>0</v>
      </c>
      <c r="AT164" s="42">
        <f t="shared" si="120"/>
        <v>0</v>
      </c>
      <c r="AU164" s="42">
        <f t="shared" si="120"/>
        <v>0</v>
      </c>
      <c r="AV164" s="42">
        <f t="shared" si="120"/>
        <v>0</v>
      </c>
      <c r="AW164" s="42">
        <f t="shared" si="120"/>
        <v>0</v>
      </c>
      <c r="AX164" s="42">
        <f t="shared" si="120"/>
        <v>0</v>
      </c>
      <c r="AY164" s="42">
        <f t="shared" si="120"/>
        <v>0</v>
      </c>
      <c r="AZ164" s="1071">
        <f t="shared" si="120"/>
        <v>0</v>
      </c>
      <c r="BA164" s="42"/>
      <c r="BB164" s="42"/>
      <c r="BC164" s="42"/>
      <c r="BD164" s="42"/>
      <c r="BE164" s="42"/>
      <c r="BF164" s="42"/>
      <c r="BG164" s="42"/>
      <c r="BH164" s="42"/>
      <c r="BI164" s="42"/>
      <c r="BJ164" s="42"/>
      <c r="BK164" s="42"/>
      <c r="BL164" s="42"/>
      <c r="BM164" s="42"/>
      <c r="BN164" s="42"/>
      <c r="BO164" s="42"/>
      <c r="BP164" s="42"/>
      <c r="BQ164" s="42"/>
      <c r="BR164" s="42"/>
      <c r="BS164" s="42"/>
      <c r="BT164" s="42"/>
      <c r="BU164" s="42"/>
      <c r="BV164" s="42"/>
    </row>
    <row r="165" spans="2:74">
      <c r="B165" s="2" t="s">
        <v>221</v>
      </c>
      <c r="C165" s="15" t="str">
        <f t="shared" si="92"/>
        <v>US$</v>
      </c>
      <c r="D165" s="41">
        <f>SUM(I165:AI165)</f>
        <v>0</v>
      </c>
      <c r="I165" s="42">
        <f t="shared" ref="I165:AI165" si="121">I318</f>
        <v>0</v>
      </c>
      <c r="J165" s="42">
        <f t="shared" si="121"/>
        <v>0</v>
      </c>
      <c r="K165" s="42">
        <f t="shared" si="121"/>
        <v>0</v>
      </c>
      <c r="L165" s="42">
        <f t="shared" si="121"/>
        <v>0</v>
      </c>
      <c r="M165" s="42">
        <f t="shared" si="121"/>
        <v>0</v>
      </c>
      <c r="N165" s="42">
        <f t="shared" si="121"/>
        <v>0</v>
      </c>
      <c r="O165" s="42">
        <f t="shared" si="121"/>
        <v>0</v>
      </c>
      <c r="P165" s="42">
        <f t="shared" si="121"/>
        <v>0</v>
      </c>
      <c r="Q165" s="42">
        <f t="shared" si="121"/>
        <v>0</v>
      </c>
      <c r="R165" s="42">
        <f t="shared" si="121"/>
        <v>0</v>
      </c>
      <c r="S165" s="42">
        <f t="shared" si="121"/>
        <v>0</v>
      </c>
      <c r="T165" s="42">
        <f t="shared" si="121"/>
        <v>0</v>
      </c>
      <c r="U165" s="42">
        <f t="shared" si="121"/>
        <v>0</v>
      </c>
      <c r="V165" s="42">
        <f t="shared" si="121"/>
        <v>0</v>
      </c>
      <c r="W165" s="42">
        <f t="shared" si="121"/>
        <v>0</v>
      </c>
      <c r="X165" s="42">
        <f t="shared" si="121"/>
        <v>0</v>
      </c>
      <c r="Y165" s="42">
        <f t="shared" si="121"/>
        <v>0</v>
      </c>
      <c r="Z165" s="42">
        <f t="shared" si="121"/>
        <v>0</v>
      </c>
      <c r="AA165" s="42">
        <f t="shared" si="121"/>
        <v>0</v>
      </c>
      <c r="AB165" s="42">
        <f t="shared" si="121"/>
        <v>0</v>
      </c>
      <c r="AC165" s="42">
        <f t="shared" si="121"/>
        <v>0</v>
      </c>
      <c r="AD165" s="42">
        <f t="shared" si="121"/>
        <v>0</v>
      </c>
      <c r="AE165" s="42">
        <f t="shared" si="121"/>
        <v>0</v>
      </c>
      <c r="AF165" s="42">
        <f t="shared" si="121"/>
        <v>0</v>
      </c>
      <c r="AG165" s="42">
        <f t="shared" si="121"/>
        <v>0</v>
      </c>
      <c r="AH165" s="42">
        <f t="shared" si="121"/>
        <v>0</v>
      </c>
      <c r="AI165" s="42">
        <f t="shared" si="121"/>
        <v>0</v>
      </c>
      <c r="AJ165" s="42">
        <f t="shared" ref="AJ165:AZ165" si="122">AJ318</f>
        <v>0</v>
      </c>
      <c r="AK165" s="42">
        <f t="shared" si="122"/>
        <v>0</v>
      </c>
      <c r="AL165" s="42">
        <f t="shared" si="122"/>
        <v>0</v>
      </c>
      <c r="AM165" s="42">
        <f t="shared" si="122"/>
        <v>0</v>
      </c>
      <c r="AN165" s="42">
        <f t="shared" si="122"/>
        <v>0</v>
      </c>
      <c r="AO165" s="42">
        <f t="shared" si="122"/>
        <v>0</v>
      </c>
      <c r="AP165" s="42">
        <f t="shared" si="122"/>
        <v>0</v>
      </c>
      <c r="AQ165" s="42">
        <f t="shared" si="122"/>
        <v>0</v>
      </c>
      <c r="AR165" s="42">
        <f t="shared" si="122"/>
        <v>0</v>
      </c>
      <c r="AS165" s="42">
        <f t="shared" si="122"/>
        <v>0</v>
      </c>
      <c r="AT165" s="42">
        <f t="shared" si="122"/>
        <v>0</v>
      </c>
      <c r="AU165" s="42">
        <f t="shared" si="122"/>
        <v>0</v>
      </c>
      <c r="AV165" s="42">
        <f t="shared" si="122"/>
        <v>0</v>
      </c>
      <c r="AW165" s="42">
        <f t="shared" si="122"/>
        <v>0</v>
      </c>
      <c r="AX165" s="42">
        <f t="shared" si="122"/>
        <v>0</v>
      </c>
      <c r="AY165" s="42">
        <f t="shared" si="122"/>
        <v>0</v>
      </c>
      <c r="AZ165" s="1071">
        <f t="shared" si="122"/>
        <v>0</v>
      </c>
      <c r="BA165" s="42"/>
      <c r="BB165" s="42"/>
      <c r="BC165" s="42"/>
      <c r="BD165" s="42"/>
      <c r="BE165" s="42"/>
      <c r="BF165" s="42"/>
      <c r="BG165" s="42"/>
      <c r="BH165" s="42"/>
      <c r="BI165" s="42"/>
      <c r="BJ165" s="42"/>
      <c r="BK165" s="42"/>
      <c r="BL165" s="42"/>
      <c r="BM165" s="42"/>
      <c r="BN165" s="42"/>
      <c r="BO165" s="42"/>
      <c r="BP165" s="42"/>
      <c r="BQ165" s="42"/>
      <c r="BR165" s="42"/>
      <c r="BS165" s="42"/>
      <c r="BT165" s="42"/>
      <c r="BU165" s="42"/>
      <c r="BV165" s="42"/>
    </row>
    <row r="166" spans="2:74">
      <c r="B166" s="489" t="s">
        <v>222</v>
      </c>
      <c r="C166" s="577" t="str">
        <f t="shared" si="92"/>
        <v>US$</v>
      </c>
      <c r="D166" s="53">
        <f>SUM(I166:AI166)</f>
        <v>0</v>
      </c>
      <c r="I166" s="578">
        <f t="shared" ref="I166:AI166" si="123">I347</f>
        <v>0</v>
      </c>
      <c r="J166" s="578">
        <f t="shared" si="123"/>
        <v>0</v>
      </c>
      <c r="K166" s="578">
        <f t="shared" si="123"/>
        <v>0</v>
      </c>
      <c r="L166" s="578">
        <f t="shared" si="123"/>
        <v>0</v>
      </c>
      <c r="M166" s="578">
        <f t="shared" si="123"/>
        <v>0</v>
      </c>
      <c r="N166" s="578">
        <f t="shared" si="123"/>
        <v>0</v>
      </c>
      <c r="O166" s="578">
        <f t="shared" si="123"/>
        <v>0</v>
      </c>
      <c r="P166" s="578">
        <f t="shared" si="123"/>
        <v>0</v>
      </c>
      <c r="Q166" s="578">
        <f t="shared" si="123"/>
        <v>0</v>
      </c>
      <c r="R166" s="578">
        <f t="shared" si="123"/>
        <v>0</v>
      </c>
      <c r="S166" s="578">
        <f t="shared" si="123"/>
        <v>0</v>
      </c>
      <c r="T166" s="578">
        <f t="shared" si="123"/>
        <v>0</v>
      </c>
      <c r="U166" s="578">
        <f t="shared" si="123"/>
        <v>0</v>
      </c>
      <c r="V166" s="578">
        <f t="shared" si="123"/>
        <v>0</v>
      </c>
      <c r="W166" s="578">
        <f t="shared" si="123"/>
        <v>0</v>
      </c>
      <c r="X166" s="578">
        <f t="shared" si="123"/>
        <v>0</v>
      </c>
      <c r="Y166" s="578">
        <f t="shared" si="123"/>
        <v>0</v>
      </c>
      <c r="Z166" s="578">
        <f t="shared" si="123"/>
        <v>0</v>
      </c>
      <c r="AA166" s="578">
        <f t="shared" si="123"/>
        <v>0</v>
      </c>
      <c r="AB166" s="578">
        <f t="shared" si="123"/>
        <v>0</v>
      </c>
      <c r="AC166" s="578">
        <f t="shared" si="123"/>
        <v>0</v>
      </c>
      <c r="AD166" s="578">
        <f t="shared" si="123"/>
        <v>0</v>
      </c>
      <c r="AE166" s="578">
        <f t="shared" si="123"/>
        <v>0</v>
      </c>
      <c r="AF166" s="578">
        <f t="shared" si="123"/>
        <v>0</v>
      </c>
      <c r="AG166" s="578">
        <f t="shared" si="123"/>
        <v>0</v>
      </c>
      <c r="AH166" s="578">
        <f t="shared" si="123"/>
        <v>0</v>
      </c>
      <c r="AI166" s="578">
        <f t="shared" si="123"/>
        <v>0</v>
      </c>
      <c r="AJ166" s="578">
        <f t="shared" ref="AJ166:AZ166" si="124">AJ347</f>
        <v>0</v>
      </c>
      <c r="AK166" s="578">
        <f t="shared" si="124"/>
        <v>0</v>
      </c>
      <c r="AL166" s="578">
        <f t="shared" si="124"/>
        <v>0</v>
      </c>
      <c r="AM166" s="578">
        <f t="shared" si="124"/>
        <v>0</v>
      </c>
      <c r="AN166" s="578">
        <f t="shared" si="124"/>
        <v>0</v>
      </c>
      <c r="AO166" s="578">
        <f t="shared" si="124"/>
        <v>0</v>
      </c>
      <c r="AP166" s="578">
        <f t="shared" si="124"/>
        <v>0</v>
      </c>
      <c r="AQ166" s="578">
        <f t="shared" si="124"/>
        <v>0</v>
      </c>
      <c r="AR166" s="578">
        <f t="shared" si="124"/>
        <v>0</v>
      </c>
      <c r="AS166" s="578">
        <f t="shared" si="124"/>
        <v>0</v>
      </c>
      <c r="AT166" s="578">
        <f t="shared" si="124"/>
        <v>0</v>
      </c>
      <c r="AU166" s="578">
        <f t="shared" si="124"/>
        <v>0</v>
      </c>
      <c r="AV166" s="578">
        <f t="shared" si="124"/>
        <v>0</v>
      </c>
      <c r="AW166" s="578">
        <f t="shared" si="124"/>
        <v>0</v>
      </c>
      <c r="AX166" s="578">
        <f t="shared" si="124"/>
        <v>0</v>
      </c>
      <c r="AY166" s="578">
        <f t="shared" si="124"/>
        <v>0</v>
      </c>
      <c r="AZ166" s="1072">
        <f t="shared" si="124"/>
        <v>0</v>
      </c>
      <c r="BA166" s="578"/>
      <c r="BB166" s="578"/>
      <c r="BC166" s="578"/>
      <c r="BD166" s="578"/>
      <c r="BE166" s="578"/>
      <c r="BF166" s="578"/>
      <c r="BG166" s="578"/>
      <c r="BH166" s="578"/>
      <c r="BI166" s="578"/>
      <c r="BJ166" s="578"/>
      <c r="BK166" s="578"/>
      <c r="BL166" s="578"/>
      <c r="BM166" s="578"/>
      <c r="BN166" s="578"/>
      <c r="BO166" s="578"/>
      <c r="BP166" s="578"/>
      <c r="BQ166" s="578"/>
      <c r="BR166" s="578"/>
      <c r="BS166" s="578"/>
      <c r="BT166" s="578"/>
      <c r="BU166" s="578"/>
      <c r="BV166" s="578"/>
    </row>
    <row r="167" spans="2:74">
      <c r="B167" s="124" t="s">
        <v>71</v>
      </c>
      <c r="C167" s="132" t="str">
        <f t="shared" si="92"/>
        <v>US$</v>
      </c>
      <c r="D167" s="471">
        <f>SUM(D164:D166)</f>
        <v>1284980092.2448976</v>
      </c>
      <c r="E167" s="124"/>
      <c r="F167" s="124"/>
      <c r="G167" s="124"/>
      <c r="H167" s="124"/>
      <c r="I167" s="471">
        <f>SUM(I164:I166)</f>
        <v>25699601.844897959</v>
      </c>
      <c r="J167" s="471">
        <f t="shared" ref="J167:AY167" si="125">SUM(J164:J166)</f>
        <v>25699601.844897959</v>
      </c>
      <c r="K167" s="471">
        <f t="shared" si="125"/>
        <v>25699601.844897959</v>
      </c>
      <c r="L167" s="471">
        <f t="shared" si="125"/>
        <v>25699601.844897959</v>
      </c>
      <c r="M167" s="471">
        <f t="shared" si="125"/>
        <v>25699601.844897959</v>
      </c>
      <c r="N167" s="471">
        <f t="shared" si="125"/>
        <v>25699601.844897959</v>
      </c>
      <c r="O167" s="471">
        <f t="shared" si="125"/>
        <v>25699601.844897959</v>
      </c>
      <c r="P167" s="471">
        <f t="shared" si="125"/>
        <v>25699601.844897959</v>
      </c>
      <c r="Q167" s="471">
        <f t="shared" si="125"/>
        <v>25699601.844897959</v>
      </c>
      <c r="R167" s="471">
        <f t="shared" si="125"/>
        <v>25699601.844897959</v>
      </c>
      <c r="S167" s="471">
        <f t="shared" si="125"/>
        <v>25699601.844897959</v>
      </c>
      <c r="T167" s="471">
        <f t="shared" si="125"/>
        <v>25699601.844897959</v>
      </c>
      <c r="U167" s="471">
        <f t="shared" si="125"/>
        <v>64249004.612244897</v>
      </c>
      <c r="V167" s="471">
        <f t="shared" si="125"/>
        <v>64249004.612244897</v>
      </c>
      <c r="W167" s="471">
        <f t="shared" si="125"/>
        <v>64249004.612244897</v>
      </c>
      <c r="X167" s="471">
        <f t="shared" si="125"/>
        <v>64249004.612244897</v>
      </c>
      <c r="Y167" s="471">
        <f t="shared" si="125"/>
        <v>64249004.612244897</v>
      </c>
      <c r="Z167" s="471">
        <f t="shared" si="125"/>
        <v>64249004.612244897</v>
      </c>
      <c r="AA167" s="471">
        <f t="shared" si="125"/>
        <v>64249004.612244897</v>
      </c>
      <c r="AB167" s="471">
        <f t="shared" si="125"/>
        <v>64249004.612244897</v>
      </c>
      <c r="AC167" s="471">
        <f t="shared" si="125"/>
        <v>64249004.612244897</v>
      </c>
      <c r="AD167" s="471">
        <f t="shared" si="125"/>
        <v>128498009.22448979</v>
      </c>
      <c r="AE167" s="471">
        <f t="shared" si="125"/>
        <v>128498009.22448979</v>
      </c>
      <c r="AF167" s="471">
        <f t="shared" si="125"/>
        <v>141347810.14693877</v>
      </c>
      <c r="AG167" s="471">
        <f t="shared" si="125"/>
        <v>0</v>
      </c>
      <c r="AH167" s="471">
        <f t="shared" si="125"/>
        <v>0</v>
      </c>
      <c r="AI167" s="471">
        <f t="shared" si="125"/>
        <v>0</v>
      </c>
      <c r="AJ167" s="471">
        <f t="shared" si="125"/>
        <v>0</v>
      </c>
      <c r="AK167" s="471">
        <f t="shared" si="125"/>
        <v>0</v>
      </c>
      <c r="AL167" s="471">
        <f t="shared" si="125"/>
        <v>0</v>
      </c>
      <c r="AM167" s="471">
        <f t="shared" si="125"/>
        <v>0</v>
      </c>
      <c r="AN167" s="471">
        <f t="shared" si="125"/>
        <v>0</v>
      </c>
      <c r="AO167" s="471">
        <f t="shared" si="125"/>
        <v>0</v>
      </c>
      <c r="AP167" s="471">
        <f t="shared" si="125"/>
        <v>0</v>
      </c>
      <c r="AQ167" s="471">
        <f t="shared" si="125"/>
        <v>0</v>
      </c>
      <c r="AR167" s="471">
        <f t="shared" si="125"/>
        <v>0</v>
      </c>
      <c r="AS167" s="471">
        <f t="shared" si="125"/>
        <v>0</v>
      </c>
      <c r="AT167" s="471">
        <f t="shared" si="125"/>
        <v>0</v>
      </c>
      <c r="AU167" s="471">
        <f t="shared" si="125"/>
        <v>0</v>
      </c>
      <c r="AV167" s="471">
        <f t="shared" si="125"/>
        <v>0</v>
      </c>
      <c r="AW167" s="471">
        <f t="shared" si="125"/>
        <v>0</v>
      </c>
      <c r="AX167" s="471">
        <f t="shared" si="125"/>
        <v>0</v>
      </c>
      <c r="AY167" s="471">
        <f t="shared" si="125"/>
        <v>0</v>
      </c>
    </row>
    <row r="168" spans="2:74">
      <c r="B168" s="489"/>
      <c r="C168" s="577"/>
      <c r="D168" s="578"/>
      <c r="E168" s="489"/>
      <c r="F168" s="489"/>
      <c r="G168" s="489"/>
      <c r="H168" s="489"/>
      <c r="I168" s="578"/>
      <c r="J168" s="578"/>
      <c r="K168" s="578"/>
      <c r="L168" s="578"/>
      <c r="M168" s="578"/>
      <c r="N168" s="578"/>
      <c r="O168" s="578"/>
      <c r="P168" s="578"/>
      <c r="Q168" s="578"/>
      <c r="R168" s="578"/>
      <c r="S168" s="578"/>
      <c r="T168" s="578"/>
      <c r="U168" s="578"/>
      <c r="V168" s="578"/>
      <c r="W168" s="578"/>
      <c r="X168" s="578"/>
      <c r="Y168" s="578"/>
      <c r="Z168" s="578"/>
      <c r="AA168" s="578"/>
      <c r="AB168" s="578"/>
      <c r="AC168" s="578"/>
      <c r="AD168" s="578"/>
      <c r="AE168" s="578"/>
      <c r="AF168" s="578"/>
      <c r="AG168" s="578"/>
      <c r="AH168" s="578"/>
      <c r="AI168" s="578"/>
      <c r="AJ168" s="578"/>
      <c r="AK168" s="578"/>
      <c r="AL168" s="578"/>
      <c r="AM168" s="578"/>
      <c r="AN168" s="578"/>
      <c r="AO168" s="578"/>
      <c r="AP168" s="578"/>
      <c r="AQ168" s="578"/>
      <c r="AR168" s="578"/>
      <c r="AS168" s="578"/>
      <c r="AT168" s="578"/>
      <c r="AU168" s="578"/>
      <c r="AV168" s="578"/>
      <c r="AW168" s="578"/>
      <c r="AX168" s="578"/>
      <c r="AY168" s="578"/>
    </row>
    <row r="169" spans="2:74" ht="11.25" thickBot="1">
      <c r="B169" s="489"/>
      <c r="C169" s="577"/>
      <c r="D169" s="578"/>
      <c r="E169" s="489"/>
      <c r="F169" s="489"/>
      <c r="G169" s="489"/>
      <c r="H169" s="489"/>
      <c r="I169" s="578"/>
      <c r="J169" s="578"/>
      <c r="K169" s="578"/>
      <c r="L169" s="578"/>
      <c r="M169" s="578"/>
      <c r="N169" s="578"/>
      <c r="O169" s="578"/>
      <c r="P169" s="578"/>
      <c r="Q169" s="578"/>
      <c r="R169" s="578"/>
      <c r="S169" s="578"/>
      <c r="T169" s="578"/>
      <c r="U169" s="578"/>
      <c r="V169" s="578"/>
      <c r="W169" s="578"/>
      <c r="X169" s="578"/>
      <c r="Y169" s="578"/>
      <c r="Z169" s="578"/>
      <c r="AA169" s="578"/>
      <c r="AB169" s="578"/>
      <c r="AC169" s="578"/>
      <c r="AD169" s="578"/>
      <c r="AE169" s="578"/>
      <c r="AF169" s="578"/>
      <c r="AG169" s="578"/>
      <c r="AH169" s="578"/>
      <c r="AI169" s="578"/>
      <c r="AJ169" s="578"/>
      <c r="AK169" s="578"/>
      <c r="AL169" s="578"/>
      <c r="AM169" s="578"/>
      <c r="AN169" s="578"/>
      <c r="AO169" s="578"/>
      <c r="AP169" s="578"/>
      <c r="AQ169" s="578"/>
      <c r="AR169" s="578"/>
      <c r="AS169" s="578"/>
      <c r="AT169" s="578"/>
      <c r="AU169" s="578"/>
      <c r="AV169" s="578"/>
      <c r="AW169" s="578"/>
      <c r="AX169" s="578"/>
      <c r="AY169" s="578"/>
    </row>
    <row r="170" spans="2:74" ht="13.5" thickBot="1">
      <c r="B170" s="1500" t="s">
        <v>1598</v>
      </c>
      <c r="C170" s="1501"/>
      <c r="D170" s="1513">
        <f>'Sens WIP'!D33</f>
        <v>0</v>
      </c>
      <c r="E170" s="489"/>
      <c r="F170" s="489"/>
      <c r="G170" s="489"/>
      <c r="H170" s="489"/>
      <c r="I170" s="578"/>
      <c r="J170" s="578"/>
      <c r="K170" s="578"/>
      <c r="L170" s="578"/>
      <c r="M170" s="578"/>
      <c r="N170" s="578"/>
      <c r="O170" s="578"/>
      <c r="P170" s="578"/>
      <c r="Q170" s="578"/>
      <c r="R170" s="578"/>
      <c r="S170" s="578"/>
      <c r="T170" s="578"/>
      <c r="U170" s="578"/>
      <c r="V170" s="578"/>
      <c r="W170" s="578"/>
      <c r="X170" s="578"/>
      <c r="Y170" s="578"/>
      <c r="Z170" s="578"/>
      <c r="AA170" s="578"/>
      <c r="AB170" s="578"/>
      <c r="AC170" s="578"/>
      <c r="AD170" s="578"/>
      <c r="AE170" s="578"/>
      <c r="AF170" s="578"/>
      <c r="AG170" s="578"/>
      <c r="AH170" s="578"/>
      <c r="AI170" s="578"/>
      <c r="AJ170" s="578"/>
      <c r="AK170" s="578"/>
      <c r="AL170" s="578"/>
      <c r="AM170" s="578"/>
      <c r="AN170" s="578"/>
      <c r="AO170" s="578"/>
      <c r="AP170" s="578"/>
      <c r="AQ170" s="578"/>
      <c r="AR170" s="578"/>
      <c r="AS170" s="578"/>
      <c r="AT170" s="578"/>
      <c r="AU170" s="578"/>
      <c r="AV170" s="578"/>
      <c r="AW170" s="578"/>
      <c r="AX170" s="578"/>
      <c r="AY170" s="578"/>
    </row>
    <row r="171" spans="2:74">
      <c r="B171" s="2" t="s">
        <v>1599</v>
      </c>
      <c r="C171" s="15"/>
      <c r="D171" s="42"/>
      <c r="E171" s="489"/>
      <c r="F171" s="489"/>
      <c r="G171" s="489"/>
      <c r="H171" s="489"/>
      <c r="I171" s="578">
        <f>I167</f>
        <v>25699601.844897959</v>
      </c>
      <c r="J171" s="578">
        <f t="shared" ref="J171:AY171" si="126">J167</f>
        <v>25699601.844897959</v>
      </c>
      <c r="K171" s="578">
        <f t="shared" si="126"/>
        <v>25699601.844897959</v>
      </c>
      <c r="L171" s="578">
        <f t="shared" si="126"/>
        <v>25699601.844897959</v>
      </c>
      <c r="M171" s="578">
        <f t="shared" si="126"/>
        <v>25699601.844897959</v>
      </c>
      <c r="N171" s="578">
        <f t="shared" si="126"/>
        <v>25699601.844897959</v>
      </c>
      <c r="O171" s="578">
        <f t="shared" si="126"/>
        <v>25699601.844897959</v>
      </c>
      <c r="P171" s="578">
        <f t="shared" si="126"/>
        <v>25699601.844897959</v>
      </c>
      <c r="Q171" s="578">
        <f t="shared" si="126"/>
        <v>25699601.844897959</v>
      </c>
      <c r="R171" s="578">
        <f t="shared" si="126"/>
        <v>25699601.844897959</v>
      </c>
      <c r="S171" s="578">
        <f t="shared" si="126"/>
        <v>25699601.844897959</v>
      </c>
      <c r="T171" s="578">
        <f t="shared" si="126"/>
        <v>25699601.844897959</v>
      </c>
      <c r="U171" s="578">
        <f t="shared" si="126"/>
        <v>64249004.612244897</v>
      </c>
      <c r="V171" s="578">
        <f t="shared" si="126"/>
        <v>64249004.612244897</v>
      </c>
      <c r="W171" s="578">
        <f t="shared" si="126"/>
        <v>64249004.612244897</v>
      </c>
      <c r="X171" s="578">
        <f t="shared" si="126"/>
        <v>64249004.612244897</v>
      </c>
      <c r="Y171" s="578">
        <f t="shared" si="126"/>
        <v>64249004.612244897</v>
      </c>
      <c r="Z171" s="578">
        <f t="shared" si="126"/>
        <v>64249004.612244897</v>
      </c>
      <c r="AA171" s="578">
        <f t="shared" si="126"/>
        <v>64249004.612244897</v>
      </c>
      <c r="AB171" s="578">
        <f t="shared" si="126"/>
        <v>64249004.612244897</v>
      </c>
      <c r="AC171" s="578">
        <f t="shared" si="126"/>
        <v>64249004.612244897</v>
      </c>
      <c r="AD171" s="578">
        <f t="shared" si="126"/>
        <v>128498009.22448979</v>
      </c>
      <c r="AE171" s="578">
        <f t="shared" si="126"/>
        <v>128498009.22448979</v>
      </c>
      <c r="AF171" s="578">
        <f t="shared" si="126"/>
        <v>141347810.14693877</v>
      </c>
      <c r="AG171" s="578">
        <f t="shared" si="126"/>
        <v>0</v>
      </c>
      <c r="AH171" s="578">
        <f t="shared" si="126"/>
        <v>0</v>
      </c>
      <c r="AI171" s="578">
        <f t="shared" si="126"/>
        <v>0</v>
      </c>
      <c r="AJ171" s="578">
        <f t="shared" si="126"/>
        <v>0</v>
      </c>
      <c r="AK171" s="578">
        <f t="shared" si="126"/>
        <v>0</v>
      </c>
      <c r="AL171" s="578">
        <f t="shared" si="126"/>
        <v>0</v>
      </c>
      <c r="AM171" s="578">
        <f t="shared" si="126"/>
        <v>0</v>
      </c>
      <c r="AN171" s="578">
        <f t="shared" si="126"/>
        <v>0</v>
      </c>
      <c r="AO171" s="578">
        <f t="shared" si="126"/>
        <v>0</v>
      </c>
      <c r="AP171" s="578">
        <f t="shared" si="126"/>
        <v>0</v>
      </c>
      <c r="AQ171" s="578">
        <f t="shared" si="126"/>
        <v>0</v>
      </c>
      <c r="AR171" s="578">
        <f t="shared" si="126"/>
        <v>0</v>
      </c>
      <c r="AS171" s="578">
        <f t="shared" si="126"/>
        <v>0</v>
      </c>
      <c r="AT171" s="578">
        <f t="shared" si="126"/>
        <v>0</v>
      </c>
      <c r="AU171" s="578">
        <f t="shared" si="126"/>
        <v>0</v>
      </c>
      <c r="AV171" s="578">
        <f t="shared" si="126"/>
        <v>0</v>
      </c>
      <c r="AW171" s="578">
        <f t="shared" si="126"/>
        <v>0</v>
      </c>
      <c r="AX171" s="578">
        <f t="shared" si="126"/>
        <v>0</v>
      </c>
      <c r="AY171" s="578">
        <f t="shared" si="126"/>
        <v>0</v>
      </c>
    </row>
    <row r="172" spans="2:74">
      <c r="B172" s="2" t="s">
        <v>1600</v>
      </c>
      <c r="C172" s="15"/>
      <c r="D172" s="42"/>
      <c r="E172" s="489"/>
      <c r="F172" s="489"/>
      <c r="G172" s="489"/>
      <c r="H172" s="489"/>
      <c r="I172" s="578">
        <f>I171*(1+$D$170)</f>
        <v>25699601.844897959</v>
      </c>
      <c r="J172" s="578">
        <f t="shared" ref="J172:AY172" si="127">J171*(1+$D$170)</f>
        <v>25699601.844897959</v>
      </c>
      <c r="K172" s="578">
        <f t="shared" si="127"/>
        <v>25699601.844897959</v>
      </c>
      <c r="L172" s="578">
        <f t="shared" si="127"/>
        <v>25699601.844897959</v>
      </c>
      <c r="M172" s="578">
        <f t="shared" si="127"/>
        <v>25699601.844897959</v>
      </c>
      <c r="N172" s="578">
        <f t="shared" si="127"/>
        <v>25699601.844897959</v>
      </c>
      <c r="O172" s="578">
        <f t="shared" si="127"/>
        <v>25699601.844897959</v>
      </c>
      <c r="P172" s="578">
        <f t="shared" si="127"/>
        <v>25699601.844897959</v>
      </c>
      <c r="Q172" s="578">
        <f t="shared" si="127"/>
        <v>25699601.844897959</v>
      </c>
      <c r="R172" s="578">
        <f t="shared" si="127"/>
        <v>25699601.844897959</v>
      </c>
      <c r="S172" s="578">
        <f t="shared" si="127"/>
        <v>25699601.844897959</v>
      </c>
      <c r="T172" s="578">
        <f t="shared" si="127"/>
        <v>25699601.844897959</v>
      </c>
      <c r="U172" s="578">
        <f t="shared" si="127"/>
        <v>64249004.612244897</v>
      </c>
      <c r="V172" s="578">
        <f t="shared" si="127"/>
        <v>64249004.612244897</v>
      </c>
      <c r="W172" s="578">
        <f t="shared" si="127"/>
        <v>64249004.612244897</v>
      </c>
      <c r="X172" s="578">
        <f t="shared" si="127"/>
        <v>64249004.612244897</v>
      </c>
      <c r="Y172" s="578">
        <f t="shared" si="127"/>
        <v>64249004.612244897</v>
      </c>
      <c r="Z172" s="578">
        <f t="shared" si="127"/>
        <v>64249004.612244897</v>
      </c>
      <c r="AA172" s="578">
        <f t="shared" si="127"/>
        <v>64249004.612244897</v>
      </c>
      <c r="AB172" s="578">
        <f t="shared" si="127"/>
        <v>64249004.612244897</v>
      </c>
      <c r="AC172" s="578">
        <f t="shared" si="127"/>
        <v>64249004.612244897</v>
      </c>
      <c r="AD172" s="578">
        <f t="shared" si="127"/>
        <v>128498009.22448979</v>
      </c>
      <c r="AE172" s="578">
        <f t="shared" si="127"/>
        <v>128498009.22448979</v>
      </c>
      <c r="AF172" s="578">
        <f t="shared" si="127"/>
        <v>141347810.14693877</v>
      </c>
      <c r="AG172" s="578">
        <f t="shared" si="127"/>
        <v>0</v>
      </c>
      <c r="AH172" s="578">
        <f t="shared" si="127"/>
        <v>0</v>
      </c>
      <c r="AI172" s="578">
        <f t="shared" si="127"/>
        <v>0</v>
      </c>
      <c r="AJ172" s="578">
        <f t="shared" si="127"/>
        <v>0</v>
      </c>
      <c r="AK172" s="578">
        <f t="shared" si="127"/>
        <v>0</v>
      </c>
      <c r="AL172" s="578">
        <f t="shared" si="127"/>
        <v>0</v>
      </c>
      <c r="AM172" s="578">
        <f t="shared" si="127"/>
        <v>0</v>
      </c>
      <c r="AN172" s="578">
        <f t="shared" si="127"/>
        <v>0</v>
      </c>
      <c r="AO172" s="578">
        <f t="shared" si="127"/>
        <v>0</v>
      </c>
      <c r="AP172" s="578">
        <f t="shared" si="127"/>
        <v>0</v>
      </c>
      <c r="AQ172" s="578">
        <f t="shared" si="127"/>
        <v>0</v>
      </c>
      <c r="AR172" s="578">
        <f t="shared" si="127"/>
        <v>0</v>
      </c>
      <c r="AS172" s="578">
        <f t="shared" si="127"/>
        <v>0</v>
      </c>
      <c r="AT172" s="578">
        <f t="shared" si="127"/>
        <v>0</v>
      </c>
      <c r="AU172" s="578">
        <f t="shared" si="127"/>
        <v>0</v>
      </c>
      <c r="AV172" s="578">
        <f t="shared" si="127"/>
        <v>0</v>
      </c>
      <c r="AW172" s="578">
        <f t="shared" si="127"/>
        <v>0</v>
      </c>
      <c r="AX172" s="578">
        <f t="shared" si="127"/>
        <v>0</v>
      </c>
      <c r="AY172" s="578">
        <f t="shared" si="127"/>
        <v>0</v>
      </c>
    </row>
    <row r="173" spans="2:74">
      <c r="C173" s="15"/>
      <c r="D173" s="42"/>
      <c r="AJ173" s="42"/>
    </row>
    <row r="174" spans="2:74">
      <c r="C174" s="15"/>
      <c r="D174" s="42"/>
      <c r="AJ174" s="42"/>
    </row>
    <row r="175" spans="2:74" ht="11.25" thickBot="1">
      <c r="C175" s="15"/>
      <c r="D175" s="42"/>
      <c r="AJ175" s="42"/>
    </row>
    <row r="176" spans="2:74" ht="13.9" customHeight="1" thickBot="1">
      <c r="B176" s="1574" t="s">
        <v>1703</v>
      </c>
      <c r="C176" s="1575"/>
      <c r="D176" s="1576"/>
      <c r="AJ176" s="42"/>
    </row>
    <row r="177" spans="2:80" ht="12">
      <c r="B177" s="1577" t="s">
        <v>826</v>
      </c>
      <c r="C177" s="1578" t="str">
        <f>$C$20</f>
        <v>US$</v>
      </c>
      <c r="D177" s="1579">
        <f>SUM(I177:CB177)</f>
        <v>27207600</v>
      </c>
      <c r="I177" s="42">
        <f t="shared" ref="I177:AN177" si="128">I35+I74+I113+I152</f>
        <v>479972</v>
      </c>
      <c r="J177" s="42">
        <f t="shared" si="128"/>
        <v>479972</v>
      </c>
      <c r="K177" s="42">
        <f t="shared" si="128"/>
        <v>479972</v>
      </c>
      <c r="L177" s="42">
        <f t="shared" si="128"/>
        <v>479972</v>
      </c>
      <c r="M177" s="42">
        <f t="shared" si="128"/>
        <v>479972</v>
      </c>
      <c r="N177" s="42">
        <f t="shared" si="128"/>
        <v>479972</v>
      </c>
      <c r="O177" s="42">
        <f t="shared" si="128"/>
        <v>479972</v>
      </c>
      <c r="P177" s="42">
        <f t="shared" si="128"/>
        <v>479972</v>
      </c>
      <c r="Q177" s="42">
        <f t="shared" si="128"/>
        <v>479972</v>
      </c>
      <c r="R177" s="42">
        <f t="shared" si="128"/>
        <v>479972</v>
      </c>
      <c r="S177" s="42">
        <f t="shared" si="128"/>
        <v>479972</v>
      </c>
      <c r="T177" s="42">
        <f t="shared" si="128"/>
        <v>479972</v>
      </c>
      <c r="U177" s="42">
        <f t="shared" si="128"/>
        <v>1199930</v>
      </c>
      <c r="V177" s="42">
        <f t="shared" si="128"/>
        <v>1199930</v>
      </c>
      <c r="W177" s="42">
        <f t="shared" si="128"/>
        <v>1199930</v>
      </c>
      <c r="X177" s="42">
        <f t="shared" si="128"/>
        <v>1199930</v>
      </c>
      <c r="Y177" s="42">
        <f t="shared" si="128"/>
        <v>1199930</v>
      </c>
      <c r="Z177" s="42">
        <f t="shared" si="128"/>
        <v>1264110</v>
      </c>
      <c r="AA177" s="42">
        <f t="shared" si="128"/>
        <v>1264110</v>
      </c>
      <c r="AB177" s="42">
        <f t="shared" si="128"/>
        <v>1264110</v>
      </c>
      <c r="AC177" s="42">
        <f t="shared" si="128"/>
        <v>1264110</v>
      </c>
      <c r="AD177" s="42">
        <f t="shared" si="128"/>
        <v>2464040</v>
      </c>
      <c r="AE177" s="42">
        <f t="shared" si="128"/>
        <v>2464040</v>
      </c>
      <c r="AF177" s="42">
        <f t="shared" si="128"/>
        <v>2736116</v>
      </c>
      <c r="AG177" s="42">
        <f t="shared" si="128"/>
        <v>160450</v>
      </c>
      <c r="AH177" s="42">
        <f t="shared" si="128"/>
        <v>160450</v>
      </c>
      <c r="AI177" s="42">
        <f t="shared" si="128"/>
        <v>160450</v>
      </c>
      <c r="AJ177" s="42">
        <f t="shared" si="128"/>
        <v>160450</v>
      </c>
      <c r="AK177" s="42">
        <f t="shared" si="128"/>
        <v>160450</v>
      </c>
      <c r="AL177" s="42">
        <f t="shared" si="128"/>
        <v>160450</v>
      </c>
      <c r="AM177" s="42">
        <f t="shared" si="128"/>
        <v>160450</v>
      </c>
      <c r="AN177" s="42">
        <f t="shared" si="128"/>
        <v>320900</v>
      </c>
      <c r="AO177" s="42">
        <f t="shared" ref="AO177:BT177" si="129">AO35+AO74+AO113+AO152</f>
        <v>320900</v>
      </c>
      <c r="AP177" s="42">
        <f t="shared" si="129"/>
        <v>320900</v>
      </c>
      <c r="AQ177" s="42">
        <f t="shared" si="129"/>
        <v>320900</v>
      </c>
      <c r="AR177" s="42">
        <f t="shared" si="129"/>
        <v>320900</v>
      </c>
      <c r="AS177" s="42">
        <f t="shared" si="129"/>
        <v>0</v>
      </c>
      <c r="AT177" s="42">
        <f t="shared" si="129"/>
        <v>0</v>
      </c>
      <c r="AU177" s="42">
        <f t="shared" si="129"/>
        <v>0</v>
      </c>
      <c r="AV177" s="42">
        <f t="shared" si="129"/>
        <v>0</v>
      </c>
      <c r="AW177" s="42">
        <f t="shared" si="129"/>
        <v>0</v>
      </c>
      <c r="AX177" s="42">
        <f t="shared" si="129"/>
        <v>0</v>
      </c>
      <c r="AY177" s="42">
        <f t="shared" si="129"/>
        <v>0</v>
      </c>
      <c r="AZ177" s="42">
        <f t="shared" si="129"/>
        <v>0</v>
      </c>
      <c r="BA177" s="42">
        <f t="shared" si="129"/>
        <v>0</v>
      </c>
      <c r="BB177" s="42">
        <f t="shared" si="129"/>
        <v>0</v>
      </c>
      <c r="BC177" s="42">
        <f t="shared" si="129"/>
        <v>0</v>
      </c>
      <c r="BD177" s="42">
        <f t="shared" si="129"/>
        <v>0</v>
      </c>
      <c r="BE177" s="42">
        <f t="shared" si="129"/>
        <v>0</v>
      </c>
      <c r="BF177" s="42">
        <f t="shared" si="129"/>
        <v>0</v>
      </c>
      <c r="BG177" s="42">
        <f t="shared" si="129"/>
        <v>0</v>
      </c>
      <c r="BH177" s="42">
        <f t="shared" si="129"/>
        <v>0</v>
      </c>
      <c r="BI177" s="42">
        <f t="shared" si="129"/>
        <v>0</v>
      </c>
      <c r="BJ177" s="42">
        <f t="shared" si="129"/>
        <v>0</v>
      </c>
      <c r="BK177" s="42">
        <f t="shared" si="129"/>
        <v>0</v>
      </c>
      <c r="BL177" s="42">
        <f t="shared" si="129"/>
        <v>0</v>
      </c>
      <c r="BM177" s="42">
        <f t="shared" si="129"/>
        <v>0</v>
      </c>
      <c r="BN177" s="42">
        <f t="shared" si="129"/>
        <v>0</v>
      </c>
      <c r="BO177" s="42">
        <f t="shared" si="129"/>
        <v>0</v>
      </c>
      <c r="BP177" s="42">
        <f t="shared" si="129"/>
        <v>0</v>
      </c>
      <c r="BQ177" s="42">
        <f t="shared" si="129"/>
        <v>0</v>
      </c>
      <c r="BR177" s="42">
        <f t="shared" si="129"/>
        <v>0</v>
      </c>
      <c r="BS177" s="42">
        <f t="shared" si="129"/>
        <v>0</v>
      </c>
      <c r="BT177" s="42">
        <f t="shared" si="129"/>
        <v>0</v>
      </c>
      <c r="BU177" s="42">
        <f t="shared" ref="BU177:CB177" si="130">BU35+BU74+BU113+BU152</f>
        <v>0</v>
      </c>
      <c r="BV177" s="42">
        <f t="shared" si="130"/>
        <v>0</v>
      </c>
      <c r="BW177" s="42">
        <f t="shared" si="130"/>
        <v>0</v>
      </c>
      <c r="BX177" s="42">
        <f t="shared" si="130"/>
        <v>0</v>
      </c>
      <c r="BY177" s="42">
        <f t="shared" si="130"/>
        <v>0</v>
      </c>
      <c r="BZ177" s="42">
        <f t="shared" si="130"/>
        <v>0</v>
      </c>
      <c r="CA177" s="42">
        <f t="shared" si="130"/>
        <v>0</v>
      </c>
      <c r="CB177" s="42">
        <f t="shared" si="130"/>
        <v>0</v>
      </c>
    </row>
    <row r="178" spans="2:80" ht="12">
      <c r="B178" s="1577" t="s">
        <v>824</v>
      </c>
      <c r="C178" s="1578" t="str">
        <f t="shared" ref="C178:C193" si="131">$C$20</f>
        <v>US$</v>
      </c>
      <c r="D178" s="1579">
        <f t="shared" ref="D178:D186" si="132">SUM(I178:CB178)</f>
        <v>2174784300</v>
      </c>
      <c r="I178" s="42">
        <f t="shared" ref="I178:I185" si="133">I36+I75+I114+I153</f>
        <v>31953334</v>
      </c>
      <c r="J178" s="42">
        <f t="shared" ref="J178:BU181" si="134">J36+J75+J114+J153</f>
        <v>31953334</v>
      </c>
      <c r="K178" s="42">
        <f t="shared" si="134"/>
        <v>31953334</v>
      </c>
      <c r="L178" s="42">
        <f t="shared" si="134"/>
        <v>31953334</v>
      </c>
      <c r="M178" s="42">
        <f t="shared" si="134"/>
        <v>31953334</v>
      </c>
      <c r="N178" s="42">
        <f t="shared" si="134"/>
        <v>31953334</v>
      </c>
      <c r="O178" s="42">
        <f t="shared" si="134"/>
        <v>31953334</v>
      </c>
      <c r="P178" s="42">
        <f t="shared" si="134"/>
        <v>31953334</v>
      </c>
      <c r="Q178" s="42">
        <f t="shared" si="134"/>
        <v>31953334</v>
      </c>
      <c r="R178" s="42">
        <f t="shared" si="134"/>
        <v>31953334</v>
      </c>
      <c r="S178" s="42">
        <f t="shared" si="134"/>
        <v>31953334</v>
      </c>
      <c r="T178" s="42">
        <f t="shared" si="134"/>
        <v>31953334</v>
      </c>
      <c r="U178" s="42">
        <f t="shared" si="134"/>
        <v>79883335</v>
      </c>
      <c r="V178" s="42">
        <f t="shared" si="134"/>
        <v>79883335</v>
      </c>
      <c r="W178" s="42">
        <f t="shared" si="134"/>
        <v>79883335</v>
      </c>
      <c r="X178" s="42">
        <f t="shared" si="134"/>
        <v>79883335</v>
      </c>
      <c r="Y178" s="42">
        <f t="shared" si="134"/>
        <v>79883335</v>
      </c>
      <c r="Z178" s="42">
        <f t="shared" si="134"/>
        <v>91425687</v>
      </c>
      <c r="AA178" s="42">
        <f t="shared" si="134"/>
        <v>91425687</v>
      </c>
      <c r="AB178" s="42">
        <f t="shared" si="134"/>
        <v>91425687</v>
      </c>
      <c r="AC178" s="42">
        <f t="shared" si="134"/>
        <v>91425687</v>
      </c>
      <c r="AD178" s="42">
        <f t="shared" si="134"/>
        <v>171309022</v>
      </c>
      <c r="AE178" s="42">
        <f t="shared" si="134"/>
        <v>171309022</v>
      </c>
      <c r="AF178" s="42">
        <f t="shared" si="134"/>
        <v>193056865</v>
      </c>
      <c r="AG178" s="42">
        <f t="shared" si="134"/>
        <v>28855880</v>
      </c>
      <c r="AH178" s="42">
        <f t="shared" si="134"/>
        <v>28855880</v>
      </c>
      <c r="AI178" s="42">
        <f t="shared" si="134"/>
        <v>28855880</v>
      </c>
      <c r="AJ178" s="42">
        <f t="shared" si="134"/>
        <v>28855880</v>
      </c>
      <c r="AK178" s="42">
        <f t="shared" si="134"/>
        <v>28855880</v>
      </c>
      <c r="AL178" s="42">
        <f t="shared" si="134"/>
        <v>28855880</v>
      </c>
      <c r="AM178" s="42">
        <f t="shared" si="134"/>
        <v>28855880</v>
      </c>
      <c r="AN178" s="42">
        <f t="shared" si="134"/>
        <v>57711760</v>
      </c>
      <c r="AO178" s="42">
        <f t="shared" si="134"/>
        <v>57711760</v>
      </c>
      <c r="AP178" s="42">
        <f t="shared" si="134"/>
        <v>57711760</v>
      </c>
      <c r="AQ178" s="42">
        <f t="shared" si="134"/>
        <v>57711760</v>
      </c>
      <c r="AR178" s="42">
        <f t="shared" si="134"/>
        <v>57711760</v>
      </c>
      <c r="AS178" s="42">
        <f t="shared" si="134"/>
        <v>0</v>
      </c>
      <c r="AT178" s="42">
        <f t="shared" si="134"/>
        <v>0</v>
      </c>
      <c r="AU178" s="42">
        <f t="shared" si="134"/>
        <v>0</v>
      </c>
      <c r="AV178" s="42">
        <f t="shared" si="134"/>
        <v>0</v>
      </c>
      <c r="AW178" s="42">
        <f t="shared" si="134"/>
        <v>0</v>
      </c>
      <c r="AX178" s="42">
        <f t="shared" si="134"/>
        <v>0</v>
      </c>
      <c r="AY178" s="42">
        <f t="shared" si="134"/>
        <v>0</v>
      </c>
      <c r="AZ178" s="42">
        <f t="shared" si="134"/>
        <v>0</v>
      </c>
      <c r="BA178" s="42">
        <f t="shared" si="134"/>
        <v>0</v>
      </c>
      <c r="BB178" s="42">
        <f t="shared" si="134"/>
        <v>0</v>
      </c>
      <c r="BC178" s="42">
        <f t="shared" si="134"/>
        <v>0</v>
      </c>
      <c r="BD178" s="42">
        <f t="shared" si="134"/>
        <v>0</v>
      </c>
      <c r="BE178" s="42">
        <f t="shared" si="134"/>
        <v>0</v>
      </c>
      <c r="BF178" s="42">
        <f t="shared" si="134"/>
        <v>0</v>
      </c>
      <c r="BG178" s="42">
        <f t="shared" si="134"/>
        <v>0</v>
      </c>
      <c r="BH178" s="42">
        <f t="shared" si="134"/>
        <v>0</v>
      </c>
      <c r="BI178" s="42">
        <f t="shared" si="134"/>
        <v>0</v>
      </c>
      <c r="BJ178" s="42">
        <f t="shared" si="134"/>
        <v>0</v>
      </c>
      <c r="BK178" s="42">
        <f t="shared" si="134"/>
        <v>0</v>
      </c>
      <c r="BL178" s="42">
        <f t="shared" si="134"/>
        <v>0</v>
      </c>
      <c r="BM178" s="42">
        <f t="shared" si="134"/>
        <v>0</v>
      </c>
      <c r="BN178" s="42">
        <f t="shared" si="134"/>
        <v>0</v>
      </c>
      <c r="BO178" s="42">
        <f t="shared" si="134"/>
        <v>0</v>
      </c>
      <c r="BP178" s="42">
        <f t="shared" si="134"/>
        <v>0</v>
      </c>
      <c r="BQ178" s="42">
        <f t="shared" si="134"/>
        <v>0</v>
      </c>
      <c r="BR178" s="42">
        <f t="shared" si="134"/>
        <v>0</v>
      </c>
      <c r="BS178" s="42">
        <f t="shared" si="134"/>
        <v>0</v>
      </c>
      <c r="BT178" s="42">
        <f t="shared" si="134"/>
        <v>0</v>
      </c>
      <c r="BU178" s="42">
        <f t="shared" si="134"/>
        <v>0</v>
      </c>
      <c r="BV178" s="42">
        <f t="shared" ref="BV178:CB180" si="135">BV36+BV75+BV114+BV153</f>
        <v>0</v>
      </c>
      <c r="BW178" s="42">
        <f t="shared" si="135"/>
        <v>0</v>
      </c>
      <c r="BX178" s="42">
        <f t="shared" si="135"/>
        <v>0</v>
      </c>
      <c r="BY178" s="42">
        <f t="shared" si="135"/>
        <v>0</v>
      </c>
      <c r="BZ178" s="42">
        <f t="shared" si="135"/>
        <v>0</v>
      </c>
      <c r="CA178" s="42">
        <f t="shared" si="135"/>
        <v>0</v>
      </c>
      <c r="CB178" s="42">
        <f t="shared" si="135"/>
        <v>0</v>
      </c>
    </row>
    <row r="179" spans="2:80" ht="12">
      <c r="B179" s="1577" t="s">
        <v>845</v>
      </c>
      <c r="C179" s="1578" t="str">
        <f t="shared" si="131"/>
        <v>US$</v>
      </c>
      <c r="D179" s="1579">
        <f t="shared" si="132"/>
        <v>175291748.979592</v>
      </c>
      <c r="I179" s="42">
        <f t="shared" si="133"/>
        <v>2749108.7346938779</v>
      </c>
      <c r="J179" s="42">
        <f t="shared" si="134"/>
        <v>2749108.7346938779</v>
      </c>
      <c r="K179" s="42">
        <f t="shared" si="134"/>
        <v>2749108.7346938779</v>
      </c>
      <c r="L179" s="42">
        <f t="shared" si="134"/>
        <v>2749108.7346938779</v>
      </c>
      <c r="M179" s="42">
        <f t="shared" si="134"/>
        <v>2749108.7346938779</v>
      </c>
      <c r="N179" s="42">
        <f t="shared" si="134"/>
        <v>2749108.7346938779</v>
      </c>
      <c r="O179" s="42">
        <f t="shared" si="134"/>
        <v>2749108.7346938779</v>
      </c>
      <c r="P179" s="42">
        <f t="shared" si="134"/>
        <v>2749108.7346938779</v>
      </c>
      <c r="Q179" s="42">
        <f t="shared" si="134"/>
        <v>2749108.7346938779</v>
      </c>
      <c r="R179" s="42">
        <f t="shared" si="134"/>
        <v>2749108.7346938779</v>
      </c>
      <c r="S179" s="42">
        <f t="shared" si="134"/>
        <v>2749108.7346938779</v>
      </c>
      <c r="T179" s="42">
        <f t="shared" si="134"/>
        <v>2749108.7346938779</v>
      </c>
      <c r="U179" s="42">
        <f t="shared" si="134"/>
        <v>6872771.8367346944</v>
      </c>
      <c r="V179" s="42">
        <f t="shared" si="134"/>
        <v>6872771.8367346944</v>
      </c>
      <c r="W179" s="42">
        <f t="shared" si="134"/>
        <v>6872771.8367346944</v>
      </c>
      <c r="X179" s="42">
        <f t="shared" si="134"/>
        <v>6872771.8367346944</v>
      </c>
      <c r="Y179" s="42">
        <f t="shared" si="134"/>
        <v>6872771.8367346944</v>
      </c>
      <c r="Z179" s="42">
        <f t="shared" si="134"/>
        <v>7629498.0816326533</v>
      </c>
      <c r="AA179" s="42">
        <f t="shared" si="134"/>
        <v>7629498.0816326533</v>
      </c>
      <c r="AB179" s="42">
        <f t="shared" si="134"/>
        <v>7629498.0816326533</v>
      </c>
      <c r="AC179" s="42">
        <f t="shared" si="134"/>
        <v>7629498.0816326533</v>
      </c>
      <c r="AD179" s="42">
        <f t="shared" si="134"/>
        <v>14502269.918367349</v>
      </c>
      <c r="AE179" s="42">
        <f t="shared" si="134"/>
        <v>14502269.918367349</v>
      </c>
      <c r="AF179" s="42">
        <f t="shared" si="134"/>
        <v>16255187.408163266</v>
      </c>
      <c r="AG179" s="42">
        <f t="shared" si="134"/>
        <v>1891815.6122448982</v>
      </c>
      <c r="AH179" s="42">
        <f t="shared" si="134"/>
        <v>1891815.6122448982</v>
      </c>
      <c r="AI179" s="42">
        <f t="shared" si="134"/>
        <v>1891815.6122448982</v>
      </c>
      <c r="AJ179" s="42">
        <f t="shared" si="134"/>
        <v>1891815.6122448982</v>
      </c>
      <c r="AK179" s="42">
        <f t="shared" si="134"/>
        <v>1891815.6122448982</v>
      </c>
      <c r="AL179" s="42">
        <f t="shared" si="134"/>
        <v>1891815.6122448982</v>
      </c>
      <c r="AM179" s="42">
        <f t="shared" si="134"/>
        <v>1891815.6122448982</v>
      </c>
      <c r="AN179" s="42">
        <f t="shared" si="134"/>
        <v>3783631.2244897964</v>
      </c>
      <c r="AO179" s="42">
        <f t="shared" si="134"/>
        <v>3783631.2244897964</v>
      </c>
      <c r="AP179" s="42">
        <f t="shared" si="134"/>
        <v>3783631.2244897964</v>
      </c>
      <c r="AQ179" s="42">
        <f t="shared" si="134"/>
        <v>3783631.2244897964</v>
      </c>
      <c r="AR179" s="42">
        <f t="shared" si="134"/>
        <v>3783631.2244897964</v>
      </c>
      <c r="AS179" s="42">
        <f t="shared" si="134"/>
        <v>0</v>
      </c>
      <c r="AT179" s="42">
        <f t="shared" si="134"/>
        <v>0</v>
      </c>
      <c r="AU179" s="42">
        <f t="shared" si="134"/>
        <v>0</v>
      </c>
      <c r="AV179" s="42">
        <f t="shared" si="134"/>
        <v>0</v>
      </c>
      <c r="AW179" s="42">
        <f t="shared" si="134"/>
        <v>0</v>
      </c>
      <c r="AX179" s="42">
        <f t="shared" si="134"/>
        <v>0</v>
      </c>
      <c r="AY179" s="42">
        <f t="shared" si="134"/>
        <v>0</v>
      </c>
      <c r="AZ179" s="42">
        <f t="shared" si="134"/>
        <v>0</v>
      </c>
      <c r="BA179" s="42">
        <f t="shared" si="134"/>
        <v>0</v>
      </c>
      <c r="BB179" s="42">
        <f t="shared" si="134"/>
        <v>0</v>
      </c>
      <c r="BC179" s="42">
        <f t="shared" si="134"/>
        <v>0</v>
      </c>
      <c r="BD179" s="42">
        <f t="shared" si="134"/>
        <v>0</v>
      </c>
      <c r="BE179" s="42">
        <f t="shared" si="134"/>
        <v>0</v>
      </c>
      <c r="BF179" s="42">
        <f t="shared" si="134"/>
        <v>0</v>
      </c>
      <c r="BG179" s="42">
        <f t="shared" si="134"/>
        <v>0</v>
      </c>
      <c r="BH179" s="42">
        <f t="shared" si="134"/>
        <v>0</v>
      </c>
      <c r="BI179" s="42">
        <f t="shared" si="134"/>
        <v>0</v>
      </c>
      <c r="BJ179" s="42">
        <f t="shared" si="134"/>
        <v>0</v>
      </c>
      <c r="BK179" s="42">
        <f t="shared" si="134"/>
        <v>0</v>
      </c>
      <c r="BL179" s="42">
        <f t="shared" si="134"/>
        <v>0</v>
      </c>
      <c r="BM179" s="42">
        <f t="shared" si="134"/>
        <v>0</v>
      </c>
      <c r="BN179" s="42">
        <f t="shared" si="134"/>
        <v>0</v>
      </c>
      <c r="BO179" s="42">
        <f t="shared" si="134"/>
        <v>0</v>
      </c>
      <c r="BP179" s="42">
        <f t="shared" si="134"/>
        <v>0</v>
      </c>
      <c r="BQ179" s="42">
        <f t="shared" si="134"/>
        <v>0</v>
      </c>
      <c r="BR179" s="42">
        <f t="shared" si="134"/>
        <v>0</v>
      </c>
      <c r="BS179" s="42">
        <f t="shared" si="134"/>
        <v>0</v>
      </c>
      <c r="BT179" s="42">
        <f t="shared" si="134"/>
        <v>0</v>
      </c>
      <c r="BU179" s="42">
        <f t="shared" si="134"/>
        <v>0</v>
      </c>
      <c r="BV179" s="42">
        <f t="shared" si="135"/>
        <v>0</v>
      </c>
      <c r="BW179" s="42">
        <f t="shared" si="135"/>
        <v>0</v>
      </c>
      <c r="BX179" s="42">
        <f t="shared" si="135"/>
        <v>0</v>
      </c>
      <c r="BY179" s="42">
        <f t="shared" si="135"/>
        <v>0</v>
      </c>
      <c r="BZ179" s="42">
        <f t="shared" si="135"/>
        <v>0</v>
      </c>
      <c r="CA179" s="42">
        <f t="shared" si="135"/>
        <v>0</v>
      </c>
      <c r="CB179" s="42">
        <f t="shared" si="135"/>
        <v>0</v>
      </c>
    </row>
    <row r="180" spans="2:80" ht="12">
      <c r="B180" s="1577" t="s">
        <v>119</v>
      </c>
      <c r="C180" s="1578" t="str">
        <f t="shared" si="131"/>
        <v>US$</v>
      </c>
      <c r="D180" s="1579">
        <f t="shared" si="132"/>
        <v>230882400</v>
      </c>
      <c r="I180" s="42">
        <f t="shared" si="133"/>
        <v>3764628</v>
      </c>
      <c r="J180" s="42">
        <f t="shared" si="134"/>
        <v>3764628</v>
      </c>
      <c r="K180" s="42">
        <f t="shared" si="134"/>
        <v>3764628</v>
      </c>
      <c r="L180" s="42">
        <f t="shared" si="134"/>
        <v>3764628</v>
      </c>
      <c r="M180" s="42">
        <f t="shared" si="134"/>
        <v>3764628</v>
      </c>
      <c r="N180" s="42">
        <f t="shared" si="134"/>
        <v>3764628</v>
      </c>
      <c r="O180" s="42">
        <f t="shared" si="134"/>
        <v>3764628</v>
      </c>
      <c r="P180" s="42">
        <f t="shared" si="134"/>
        <v>3764628</v>
      </c>
      <c r="Q180" s="42">
        <f t="shared" si="134"/>
        <v>3764628</v>
      </c>
      <c r="R180" s="42">
        <f t="shared" si="134"/>
        <v>3764628</v>
      </c>
      <c r="S180" s="42">
        <f t="shared" si="134"/>
        <v>3764628</v>
      </c>
      <c r="T180" s="42">
        <f t="shared" si="134"/>
        <v>3764628</v>
      </c>
      <c r="U180" s="42">
        <f t="shared" si="134"/>
        <v>9411570</v>
      </c>
      <c r="V180" s="42">
        <f t="shared" si="134"/>
        <v>9411570</v>
      </c>
      <c r="W180" s="42">
        <f t="shared" si="134"/>
        <v>9411570</v>
      </c>
      <c r="X180" s="42">
        <f t="shared" si="134"/>
        <v>9411570</v>
      </c>
      <c r="Y180" s="42">
        <f t="shared" si="134"/>
        <v>9411570</v>
      </c>
      <c r="Z180" s="42">
        <f t="shared" si="134"/>
        <v>10264590</v>
      </c>
      <c r="AA180" s="42">
        <f t="shared" si="134"/>
        <v>10264590</v>
      </c>
      <c r="AB180" s="42">
        <f t="shared" si="134"/>
        <v>10264590</v>
      </c>
      <c r="AC180" s="42">
        <f t="shared" si="134"/>
        <v>10264590</v>
      </c>
      <c r="AD180" s="42">
        <f t="shared" si="134"/>
        <v>19676160</v>
      </c>
      <c r="AE180" s="42">
        <f t="shared" si="134"/>
        <v>19676160</v>
      </c>
      <c r="AF180" s="42">
        <f t="shared" si="134"/>
        <v>21984984</v>
      </c>
      <c r="AG180" s="42">
        <f t="shared" si="134"/>
        <v>2132550</v>
      </c>
      <c r="AH180" s="42">
        <f t="shared" si="134"/>
        <v>2132550</v>
      </c>
      <c r="AI180" s="42">
        <f t="shared" si="134"/>
        <v>2132550</v>
      </c>
      <c r="AJ180" s="42">
        <f t="shared" si="134"/>
        <v>2132550</v>
      </c>
      <c r="AK180" s="42">
        <f t="shared" si="134"/>
        <v>2132550</v>
      </c>
      <c r="AL180" s="42">
        <f t="shared" si="134"/>
        <v>2132550</v>
      </c>
      <c r="AM180" s="42">
        <f t="shared" si="134"/>
        <v>2132550</v>
      </c>
      <c r="AN180" s="42">
        <f t="shared" si="134"/>
        <v>4265100</v>
      </c>
      <c r="AO180" s="42">
        <f t="shared" si="134"/>
        <v>4265100</v>
      </c>
      <c r="AP180" s="42">
        <f t="shared" si="134"/>
        <v>4265100</v>
      </c>
      <c r="AQ180" s="42">
        <f t="shared" si="134"/>
        <v>4265100</v>
      </c>
      <c r="AR180" s="42">
        <f t="shared" si="134"/>
        <v>4265100</v>
      </c>
      <c r="AS180" s="42">
        <f t="shared" si="134"/>
        <v>0</v>
      </c>
      <c r="AT180" s="42">
        <f t="shared" si="134"/>
        <v>0</v>
      </c>
      <c r="AU180" s="42">
        <f t="shared" si="134"/>
        <v>0</v>
      </c>
      <c r="AV180" s="42">
        <f t="shared" si="134"/>
        <v>0</v>
      </c>
      <c r="AW180" s="42">
        <f t="shared" si="134"/>
        <v>0</v>
      </c>
      <c r="AX180" s="42">
        <f t="shared" si="134"/>
        <v>0</v>
      </c>
      <c r="AY180" s="42">
        <f t="shared" si="134"/>
        <v>0</v>
      </c>
      <c r="AZ180" s="42">
        <f t="shared" si="134"/>
        <v>0</v>
      </c>
      <c r="BA180" s="42">
        <f t="shared" si="134"/>
        <v>0</v>
      </c>
      <c r="BB180" s="42">
        <f t="shared" si="134"/>
        <v>0</v>
      </c>
      <c r="BC180" s="42">
        <f t="shared" si="134"/>
        <v>0</v>
      </c>
      <c r="BD180" s="42">
        <f t="shared" si="134"/>
        <v>0</v>
      </c>
      <c r="BE180" s="42">
        <f t="shared" si="134"/>
        <v>0</v>
      </c>
      <c r="BF180" s="42">
        <f t="shared" si="134"/>
        <v>0</v>
      </c>
      <c r="BG180" s="42">
        <f t="shared" si="134"/>
        <v>0</v>
      </c>
      <c r="BH180" s="42">
        <f t="shared" si="134"/>
        <v>0</v>
      </c>
      <c r="BI180" s="42">
        <f t="shared" si="134"/>
        <v>0</v>
      </c>
      <c r="BJ180" s="42">
        <f t="shared" si="134"/>
        <v>0</v>
      </c>
      <c r="BK180" s="42">
        <f t="shared" si="134"/>
        <v>0</v>
      </c>
      <c r="BL180" s="42">
        <f t="shared" si="134"/>
        <v>0</v>
      </c>
      <c r="BM180" s="42">
        <f t="shared" si="134"/>
        <v>0</v>
      </c>
      <c r="BN180" s="42">
        <f t="shared" si="134"/>
        <v>0</v>
      </c>
      <c r="BO180" s="42">
        <f t="shared" si="134"/>
        <v>0</v>
      </c>
      <c r="BP180" s="42">
        <f t="shared" si="134"/>
        <v>0</v>
      </c>
      <c r="BQ180" s="42">
        <f t="shared" si="134"/>
        <v>0</v>
      </c>
      <c r="BR180" s="42">
        <f t="shared" si="134"/>
        <v>0</v>
      </c>
      <c r="BS180" s="42">
        <f t="shared" si="134"/>
        <v>0</v>
      </c>
      <c r="BT180" s="42">
        <f t="shared" si="134"/>
        <v>0</v>
      </c>
      <c r="BU180" s="42">
        <f t="shared" si="134"/>
        <v>0</v>
      </c>
      <c r="BV180" s="42">
        <f t="shared" si="135"/>
        <v>0</v>
      </c>
      <c r="BW180" s="42">
        <f t="shared" si="135"/>
        <v>0</v>
      </c>
      <c r="BX180" s="42">
        <f t="shared" si="135"/>
        <v>0</v>
      </c>
      <c r="BY180" s="42">
        <f t="shared" si="135"/>
        <v>0</v>
      </c>
      <c r="BZ180" s="42">
        <f t="shared" si="135"/>
        <v>0</v>
      </c>
      <c r="CA180" s="42">
        <f t="shared" si="135"/>
        <v>0</v>
      </c>
      <c r="CB180" s="42">
        <f t="shared" si="135"/>
        <v>0</v>
      </c>
    </row>
    <row r="181" spans="2:80" ht="12">
      <c r="B181" s="1577" t="s">
        <v>122</v>
      </c>
      <c r="C181" s="1578" t="str">
        <f t="shared" si="131"/>
        <v>US$</v>
      </c>
      <c r="D181" s="1579">
        <f t="shared" si="132"/>
        <v>351641800</v>
      </c>
      <c r="I181" s="42">
        <f t="shared" si="133"/>
        <v>5456962</v>
      </c>
      <c r="J181" s="42">
        <f t="shared" si="134"/>
        <v>5456962</v>
      </c>
      <c r="K181" s="42">
        <f t="shared" si="134"/>
        <v>5456962</v>
      </c>
      <c r="L181" s="42">
        <f t="shared" si="134"/>
        <v>5456962</v>
      </c>
      <c r="M181" s="42">
        <f t="shared" si="134"/>
        <v>5456962</v>
      </c>
      <c r="N181" s="42">
        <f t="shared" si="134"/>
        <v>5456962</v>
      </c>
      <c r="O181" s="42">
        <f t="shared" si="134"/>
        <v>5456962</v>
      </c>
      <c r="P181" s="42">
        <f t="shared" si="134"/>
        <v>5456962</v>
      </c>
      <c r="Q181" s="42">
        <f t="shared" si="134"/>
        <v>5456962</v>
      </c>
      <c r="R181" s="42">
        <f t="shared" si="134"/>
        <v>5456962</v>
      </c>
      <c r="S181" s="42">
        <f t="shared" si="134"/>
        <v>5456962</v>
      </c>
      <c r="T181" s="42">
        <f t="shared" si="134"/>
        <v>5456962</v>
      </c>
      <c r="U181" s="42">
        <f t="shared" si="134"/>
        <v>13642405</v>
      </c>
      <c r="V181" s="42">
        <f t="shared" si="134"/>
        <v>13642405</v>
      </c>
      <c r="W181" s="42">
        <f t="shared" si="134"/>
        <v>13642405</v>
      </c>
      <c r="X181" s="42">
        <f t="shared" si="134"/>
        <v>13642405</v>
      </c>
      <c r="Y181" s="42">
        <f t="shared" si="134"/>
        <v>13642405</v>
      </c>
      <c r="Z181" s="42">
        <f t="shared" si="134"/>
        <v>15218279</v>
      </c>
      <c r="AA181" s="42">
        <f t="shared" si="134"/>
        <v>15218279</v>
      </c>
      <c r="AB181" s="42">
        <f t="shared" si="134"/>
        <v>15218279</v>
      </c>
      <c r="AC181" s="42">
        <f t="shared" si="134"/>
        <v>15218279</v>
      </c>
      <c r="AD181" s="42">
        <f t="shared" si="134"/>
        <v>28860684</v>
      </c>
      <c r="AE181" s="42">
        <f t="shared" si="134"/>
        <v>28860684</v>
      </c>
      <c r="AF181" s="42">
        <f t="shared" si="134"/>
        <v>32377102</v>
      </c>
      <c r="AG181" s="42">
        <f t="shared" si="134"/>
        <v>3939685</v>
      </c>
      <c r="AH181" s="42">
        <f t="shared" si="134"/>
        <v>3939685</v>
      </c>
      <c r="AI181" s="42">
        <f t="shared" si="134"/>
        <v>3939685</v>
      </c>
      <c r="AJ181" s="42">
        <f t="shared" si="134"/>
        <v>3939685</v>
      </c>
      <c r="AK181" s="42">
        <f t="shared" si="134"/>
        <v>3939685</v>
      </c>
      <c r="AL181" s="42">
        <f t="shared" si="134"/>
        <v>3939685</v>
      </c>
      <c r="AM181" s="42">
        <f t="shared" si="134"/>
        <v>3939685</v>
      </c>
      <c r="AN181" s="42">
        <f t="shared" si="134"/>
        <v>7879370</v>
      </c>
      <c r="AO181" s="42">
        <f t="shared" si="134"/>
        <v>7879370</v>
      </c>
      <c r="AP181" s="42">
        <f t="shared" si="134"/>
        <v>7879370</v>
      </c>
      <c r="AQ181" s="42">
        <f t="shared" si="134"/>
        <v>7879370</v>
      </c>
      <c r="AR181" s="42">
        <f t="shared" si="134"/>
        <v>7879370</v>
      </c>
      <c r="AS181" s="42">
        <f t="shared" si="134"/>
        <v>0</v>
      </c>
      <c r="AT181" s="42">
        <f t="shared" si="134"/>
        <v>0</v>
      </c>
      <c r="AU181" s="42">
        <f t="shared" si="134"/>
        <v>0</v>
      </c>
      <c r="AV181" s="42">
        <f t="shared" si="134"/>
        <v>0</v>
      </c>
      <c r="AW181" s="42">
        <f t="shared" si="134"/>
        <v>0</v>
      </c>
      <c r="AX181" s="42">
        <f t="shared" si="134"/>
        <v>0</v>
      </c>
      <c r="AY181" s="42">
        <f t="shared" si="134"/>
        <v>0</v>
      </c>
      <c r="AZ181" s="42">
        <f t="shared" si="134"/>
        <v>0</v>
      </c>
      <c r="BA181" s="42">
        <f t="shared" si="134"/>
        <v>0</v>
      </c>
      <c r="BB181" s="42">
        <f t="shared" si="134"/>
        <v>0</v>
      </c>
      <c r="BC181" s="42">
        <f t="shared" si="134"/>
        <v>0</v>
      </c>
      <c r="BD181" s="42">
        <f t="shared" si="134"/>
        <v>0</v>
      </c>
      <c r="BE181" s="42">
        <f t="shared" si="134"/>
        <v>0</v>
      </c>
      <c r="BF181" s="42">
        <f t="shared" si="134"/>
        <v>0</v>
      </c>
      <c r="BG181" s="42">
        <f t="shared" si="134"/>
        <v>0</v>
      </c>
      <c r="BH181" s="42">
        <f t="shared" si="134"/>
        <v>0</v>
      </c>
      <c r="BI181" s="42">
        <f t="shared" si="134"/>
        <v>0</v>
      </c>
      <c r="BJ181" s="42">
        <f t="shared" si="134"/>
        <v>0</v>
      </c>
      <c r="BK181" s="42">
        <f t="shared" si="134"/>
        <v>0</v>
      </c>
      <c r="BL181" s="42">
        <f t="shared" si="134"/>
        <v>0</v>
      </c>
      <c r="BM181" s="42">
        <f t="shared" si="134"/>
        <v>0</v>
      </c>
      <c r="BN181" s="42">
        <f t="shared" si="134"/>
        <v>0</v>
      </c>
      <c r="BO181" s="42">
        <f t="shared" si="134"/>
        <v>0</v>
      </c>
      <c r="BP181" s="42">
        <f t="shared" si="134"/>
        <v>0</v>
      </c>
      <c r="BQ181" s="42">
        <f t="shared" si="134"/>
        <v>0</v>
      </c>
      <c r="BR181" s="42">
        <f t="shared" si="134"/>
        <v>0</v>
      </c>
      <c r="BS181" s="42">
        <f t="shared" si="134"/>
        <v>0</v>
      </c>
      <c r="BT181" s="42">
        <f t="shared" si="134"/>
        <v>0</v>
      </c>
      <c r="BU181" s="42">
        <f t="shared" ref="BU181:CB184" si="136">BU39+BU78+BU117+BU156</f>
        <v>0</v>
      </c>
      <c r="BV181" s="42">
        <f t="shared" si="136"/>
        <v>0</v>
      </c>
      <c r="BW181" s="42">
        <f t="shared" si="136"/>
        <v>0</v>
      </c>
      <c r="BX181" s="42">
        <f t="shared" si="136"/>
        <v>0</v>
      </c>
      <c r="BY181" s="42">
        <f t="shared" si="136"/>
        <v>0</v>
      </c>
      <c r="BZ181" s="42">
        <f t="shared" si="136"/>
        <v>0</v>
      </c>
      <c r="CA181" s="42">
        <f t="shared" si="136"/>
        <v>0</v>
      </c>
      <c r="CB181" s="42">
        <f t="shared" si="136"/>
        <v>0</v>
      </c>
    </row>
    <row r="182" spans="2:80" ht="12">
      <c r="B182" s="1577" t="s">
        <v>120</v>
      </c>
      <c r="C182" s="1578" t="str">
        <f t="shared" si="131"/>
        <v>US$</v>
      </c>
      <c r="D182" s="1579">
        <f t="shared" si="132"/>
        <v>229221500</v>
      </c>
      <c r="I182" s="42">
        <f t="shared" si="133"/>
        <v>3448112</v>
      </c>
      <c r="J182" s="42">
        <f t="shared" ref="J182:BU185" si="137">J40+J79+J118+J157</f>
        <v>3448112</v>
      </c>
      <c r="K182" s="42">
        <f t="shared" si="137"/>
        <v>3448112</v>
      </c>
      <c r="L182" s="42">
        <f t="shared" si="137"/>
        <v>3448112</v>
      </c>
      <c r="M182" s="42">
        <f t="shared" si="137"/>
        <v>3448112</v>
      </c>
      <c r="N182" s="42">
        <f t="shared" si="137"/>
        <v>3448112</v>
      </c>
      <c r="O182" s="42">
        <f t="shared" si="137"/>
        <v>3448112</v>
      </c>
      <c r="P182" s="42">
        <f t="shared" si="137"/>
        <v>3448112</v>
      </c>
      <c r="Q182" s="42">
        <f t="shared" si="137"/>
        <v>3448112</v>
      </c>
      <c r="R182" s="42">
        <f t="shared" si="137"/>
        <v>3448112</v>
      </c>
      <c r="S182" s="42">
        <f t="shared" si="137"/>
        <v>3448112</v>
      </c>
      <c r="T182" s="42">
        <f t="shared" si="137"/>
        <v>3448112</v>
      </c>
      <c r="U182" s="42">
        <f t="shared" si="137"/>
        <v>8620280</v>
      </c>
      <c r="V182" s="42">
        <f t="shared" si="137"/>
        <v>8620280</v>
      </c>
      <c r="W182" s="42">
        <f t="shared" si="137"/>
        <v>8620280</v>
      </c>
      <c r="X182" s="42">
        <f t="shared" si="137"/>
        <v>8620280</v>
      </c>
      <c r="Y182" s="42">
        <f t="shared" si="137"/>
        <v>8620280</v>
      </c>
      <c r="Z182" s="42">
        <f t="shared" si="137"/>
        <v>9756598</v>
      </c>
      <c r="AA182" s="42">
        <f t="shared" si="137"/>
        <v>9756598</v>
      </c>
      <c r="AB182" s="42">
        <f t="shared" si="137"/>
        <v>9756598</v>
      </c>
      <c r="AC182" s="42">
        <f t="shared" si="137"/>
        <v>9756598</v>
      </c>
      <c r="AD182" s="42">
        <f t="shared" si="137"/>
        <v>18376878</v>
      </c>
      <c r="AE182" s="42">
        <f t="shared" si="137"/>
        <v>18376878</v>
      </c>
      <c r="AF182" s="42">
        <f t="shared" si="137"/>
        <v>20669093</v>
      </c>
      <c r="AG182" s="42">
        <f t="shared" si="137"/>
        <v>2840795</v>
      </c>
      <c r="AH182" s="42">
        <f t="shared" si="137"/>
        <v>2840795</v>
      </c>
      <c r="AI182" s="42">
        <f t="shared" si="137"/>
        <v>2840795</v>
      </c>
      <c r="AJ182" s="42">
        <f t="shared" si="137"/>
        <v>2840795</v>
      </c>
      <c r="AK182" s="42">
        <f t="shared" si="137"/>
        <v>2840795</v>
      </c>
      <c r="AL182" s="42">
        <f t="shared" si="137"/>
        <v>2840795</v>
      </c>
      <c r="AM182" s="42">
        <f t="shared" si="137"/>
        <v>2840795</v>
      </c>
      <c r="AN182" s="42">
        <f t="shared" si="137"/>
        <v>5681590</v>
      </c>
      <c r="AO182" s="42">
        <f t="shared" si="137"/>
        <v>5681590</v>
      </c>
      <c r="AP182" s="42">
        <f t="shared" si="137"/>
        <v>5681590</v>
      </c>
      <c r="AQ182" s="42">
        <f t="shared" si="137"/>
        <v>5681590</v>
      </c>
      <c r="AR182" s="42">
        <f t="shared" si="137"/>
        <v>5681590</v>
      </c>
      <c r="AS182" s="42">
        <f t="shared" si="137"/>
        <v>0</v>
      </c>
      <c r="AT182" s="42">
        <f t="shared" si="137"/>
        <v>0</v>
      </c>
      <c r="AU182" s="42">
        <f t="shared" si="137"/>
        <v>0</v>
      </c>
      <c r="AV182" s="42">
        <f t="shared" si="137"/>
        <v>0</v>
      </c>
      <c r="AW182" s="42">
        <f t="shared" si="137"/>
        <v>0</v>
      </c>
      <c r="AX182" s="42">
        <f t="shared" si="137"/>
        <v>0</v>
      </c>
      <c r="AY182" s="42">
        <f t="shared" si="137"/>
        <v>0</v>
      </c>
      <c r="AZ182" s="42">
        <f t="shared" si="137"/>
        <v>0</v>
      </c>
      <c r="BA182" s="42">
        <f t="shared" si="137"/>
        <v>0</v>
      </c>
      <c r="BB182" s="42">
        <f t="shared" si="137"/>
        <v>0</v>
      </c>
      <c r="BC182" s="42">
        <f t="shared" si="137"/>
        <v>0</v>
      </c>
      <c r="BD182" s="42">
        <f t="shared" si="137"/>
        <v>0</v>
      </c>
      <c r="BE182" s="42">
        <f t="shared" si="137"/>
        <v>0</v>
      </c>
      <c r="BF182" s="42">
        <f t="shared" si="137"/>
        <v>0</v>
      </c>
      <c r="BG182" s="42">
        <f t="shared" si="137"/>
        <v>0</v>
      </c>
      <c r="BH182" s="42">
        <f t="shared" si="137"/>
        <v>0</v>
      </c>
      <c r="BI182" s="42">
        <f t="shared" si="137"/>
        <v>0</v>
      </c>
      <c r="BJ182" s="42">
        <f t="shared" si="137"/>
        <v>0</v>
      </c>
      <c r="BK182" s="42">
        <f t="shared" si="137"/>
        <v>0</v>
      </c>
      <c r="BL182" s="42">
        <f t="shared" si="137"/>
        <v>0</v>
      </c>
      <c r="BM182" s="42">
        <f t="shared" si="137"/>
        <v>0</v>
      </c>
      <c r="BN182" s="42">
        <f t="shared" si="137"/>
        <v>0</v>
      </c>
      <c r="BO182" s="42">
        <f t="shared" si="137"/>
        <v>0</v>
      </c>
      <c r="BP182" s="42">
        <f t="shared" si="137"/>
        <v>0</v>
      </c>
      <c r="BQ182" s="42">
        <f t="shared" si="137"/>
        <v>0</v>
      </c>
      <c r="BR182" s="42">
        <f t="shared" si="137"/>
        <v>0</v>
      </c>
      <c r="BS182" s="42">
        <f t="shared" si="137"/>
        <v>0</v>
      </c>
      <c r="BT182" s="42">
        <f t="shared" si="137"/>
        <v>0</v>
      </c>
      <c r="BU182" s="42">
        <f t="shared" si="137"/>
        <v>0</v>
      </c>
      <c r="BV182" s="42">
        <f t="shared" si="136"/>
        <v>0</v>
      </c>
      <c r="BW182" s="42">
        <f t="shared" si="136"/>
        <v>0</v>
      </c>
      <c r="BX182" s="42">
        <f t="shared" si="136"/>
        <v>0</v>
      </c>
      <c r="BY182" s="42">
        <f t="shared" si="136"/>
        <v>0</v>
      </c>
      <c r="BZ182" s="42">
        <f t="shared" si="136"/>
        <v>0</v>
      </c>
      <c r="CA182" s="42">
        <f t="shared" si="136"/>
        <v>0</v>
      </c>
      <c r="CB182" s="42">
        <f t="shared" si="136"/>
        <v>0</v>
      </c>
    </row>
    <row r="183" spans="2:80" ht="12">
      <c r="B183" s="1577" t="s">
        <v>121</v>
      </c>
      <c r="C183" s="1578" t="str">
        <f t="shared" si="131"/>
        <v>US$</v>
      </c>
      <c r="D183" s="1579">
        <f t="shared" si="132"/>
        <v>0</v>
      </c>
      <c r="I183" s="42">
        <f t="shared" si="133"/>
        <v>0</v>
      </c>
      <c r="J183" s="42">
        <f t="shared" si="137"/>
        <v>0</v>
      </c>
      <c r="K183" s="42">
        <f t="shared" si="137"/>
        <v>0</v>
      </c>
      <c r="L183" s="42">
        <f t="shared" si="137"/>
        <v>0</v>
      </c>
      <c r="M183" s="42">
        <f t="shared" si="137"/>
        <v>0</v>
      </c>
      <c r="N183" s="42">
        <f t="shared" si="137"/>
        <v>0</v>
      </c>
      <c r="O183" s="42">
        <f t="shared" si="137"/>
        <v>0</v>
      </c>
      <c r="P183" s="42">
        <f t="shared" si="137"/>
        <v>0</v>
      </c>
      <c r="Q183" s="42">
        <f t="shared" si="137"/>
        <v>0</v>
      </c>
      <c r="R183" s="42">
        <f t="shared" si="137"/>
        <v>0</v>
      </c>
      <c r="S183" s="42">
        <f t="shared" si="137"/>
        <v>0</v>
      </c>
      <c r="T183" s="42">
        <f t="shared" si="137"/>
        <v>0</v>
      </c>
      <c r="U183" s="42">
        <f t="shared" si="137"/>
        <v>0</v>
      </c>
      <c r="V183" s="42">
        <f t="shared" si="137"/>
        <v>0</v>
      </c>
      <c r="W183" s="42">
        <f t="shared" si="137"/>
        <v>0</v>
      </c>
      <c r="X183" s="42">
        <f t="shared" si="137"/>
        <v>0</v>
      </c>
      <c r="Y183" s="42">
        <f t="shared" si="137"/>
        <v>0</v>
      </c>
      <c r="Z183" s="42">
        <f t="shared" si="137"/>
        <v>0</v>
      </c>
      <c r="AA183" s="42">
        <f t="shared" si="137"/>
        <v>0</v>
      </c>
      <c r="AB183" s="42">
        <f t="shared" si="137"/>
        <v>0</v>
      </c>
      <c r="AC183" s="42">
        <f t="shared" si="137"/>
        <v>0</v>
      </c>
      <c r="AD183" s="42">
        <f t="shared" si="137"/>
        <v>0</v>
      </c>
      <c r="AE183" s="42">
        <f t="shared" si="137"/>
        <v>0</v>
      </c>
      <c r="AF183" s="42">
        <f t="shared" si="137"/>
        <v>0</v>
      </c>
      <c r="AG183" s="42">
        <f t="shared" si="137"/>
        <v>0</v>
      </c>
      <c r="AH183" s="42">
        <f t="shared" si="137"/>
        <v>0</v>
      </c>
      <c r="AI183" s="42">
        <f t="shared" si="137"/>
        <v>0</v>
      </c>
      <c r="AJ183" s="42">
        <f t="shared" si="137"/>
        <v>0</v>
      </c>
      <c r="AK183" s="42">
        <f t="shared" si="137"/>
        <v>0</v>
      </c>
      <c r="AL183" s="42">
        <f t="shared" si="137"/>
        <v>0</v>
      </c>
      <c r="AM183" s="42">
        <f t="shared" si="137"/>
        <v>0</v>
      </c>
      <c r="AN183" s="42">
        <f t="shared" si="137"/>
        <v>0</v>
      </c>
      <c r="AO183" s="42">
        <f t="shared" si="137"/>
        <v>0</v>
      </c>
      <c r="AP183" s="42">
        <f t="shared" si="137"/>
        <v>0</v>
      </c>
      <c r="AQ183" s="42">
        <f t="shared" si="137"/>
        <v>0</v>
      </c>
      <c r="AR183" s="42">
        <f t="shared" si="137"/>
        <v>0</v>
      </c>
      <c r="AS183" s="42">
        <f t="shared" si="137"/>
        <v>0</v>
      </c>
      <c r="AT183" s="42">
        <f t="shared" si="137"/>
        <v>0</v>
      </c>
      <c r="AU183" s="42">
        <f t="shared" si="137"/>
        <v>0</v>
      </c>
      <c r="AV183" s="42">
        <f t="shared" si="137"/>
        <v>0</v>
      </c>
      <c r="AW183" s="42">
        <f t="shared" si="137"/>
        <v>0</v>
      </c>
      <c r="AX183" s="42">
        <f t="shared" si="137"/>
        <v>0</v>
      </c>
      <c r="AY183" s="42">
        <f t="shared" si="137"/>
        <v>0</v>
      </c>
      <c r="AZ183" s="42">
        <f t="shared" si="137"/>
        <v>0</v>
      </c>
      <c r="BA183" s="42">
        <f t="shared" si="137"/>
        <v>0</v>
      </c>
      <c r="BB183" s="42">
        <f t="shared" si="137"/>
        <v>0</v>
      </c>
      <c r="BC183" s="42">
        <f t="shared" si="137"/>
        <v>0</v>
      </c>
      <c r="BD183" s="42">
        <f t="shared" si="137"/>
        <v>0</v>
      </c>
      <c r="BE183" s="42">
        <f t="shared" si="137"/>
        <v>0</v>
      </c>
      <c r="BF183" s="42">
        <f t="shared" si="137"/>
        <v>0</v>
      </c>
      <c r="BG183" s="42">
        <f t="shared" si="137"/>
        <v>0</v>
      </c>
      <c r="BH183" s="42">
        <f t="shared" si="137"/>
        <v>0</v>
      </c>
      <c r="BI183" s="42">
        <f t="shared" si="137"/>
        <v>0</v>
      </c>
      <c r="BJ183" s="42">
        <f t="shared" si="137"/>
        <v>0</v>
      </c>
      <c r="BK183" s="42">
        <f t="shared" si="137"/>
        <v>0</v>
      </c>
      <c r="BL183" s="42">
        <f t="shared" si="137"/>
        <v>0</v>
      </c>
      <c r="BM183" s="42">
        <f t="shared" si="137"/>
        <v>0</v>
      </c>
      <c r="BN183" s="42">
        <f t="shared" si="137"/>
        <v>0</v>
      </c>
      <c r="BO183" s="42">
        <f t="shared" si="137"/>
        <v>0</v>
      </c>
      <c r="BP183" s="42">
        <f t="shared" si="137"/>
        <v>0</v>
      </c>
      <c r="BQ183" s="42">
        <f t="shared" si="137"/>
        <v>0</v>
      </c>
      <c r="BR183" s="42">
        <f t="shared" si="137"/>
        <v>0</v>
      </c>
      <c r="BS183" s="42">
        <f t="shared" si="137"/>
        <v>0</v>
      </c>
      <c r="BT183" s="42">
        <f t="shared" si="137"/>
        <v>0</v>
      </c>
      <c r="BU183" s="42">
        <f t="shared" si="137"/>
        <v>0</v>
      </c>
      <c r="BV183" s="42">
        <f t="shared" si="136"/>
        <v>0</v>
      </c>
      <c r="BW183" s="42">
        <f t="shared" si="136"/>
        <v>0</v>
      </c>
      <c r="BX183" s="42">
        <f t="shared" si="136"/>
        <v>0</v>
      </c>
      <c r="BY183" s="42">
        <f t="shared" si="136"/>
        <v>0</v>
      </c>
      <c r="BZ183" s="42">
        <f t="shared" si="136"/>
        <v>0</v>
      </c>
      <c r="CA183" s="42">
        <f t="shared" si="136"/>
        <v>0</v>
      </c>
      <c r="CB183" s="42">
        <f t="shared" si="136"/>
        <v>0</v>
      </c>
    </row>
    <row r="184" spans="2:80" ht="12">
      <c r="B184" s="1577" t="s">
        <v>123</v>
      </c>
      <c r="C184" s="1578" t="str">
        <f t="shared" si="131"/>
        <v>US$</v>
      </c>
      <c r="D184" s="1579">
        <f t="shared" si="132"/>
        <v>202764401.37755099</v>
      </c>
      <c r="I184" s="42">
        <f t="shared" si="133"/>
        <v>3401932.0275510205</v>
      </c>
      <c r="J184" s="42">
        <f t="shared" si="137"/>
        <v>3401932.0275510205</v>
      </c>
      <c r="K184" s="42">
        <f t="shared" si="137"/>
        <v>3401932.0275510205</v>
      </c>
      <c r="L184" s="42">
        <f t="shared" si="137"/>
        <v>3401932.0275510205</v>
      </c>
      <c r="M184" s="42">
        <f t="shared" si="137"/>
        <v>3401932.0275510205</v>
      </c>
      <c r="N184" s="42">
        <f t="shared" si="137"/>
        <v>3401932.0275510205</v>
      </c>
      <c r="O184" s="42">
        <f t="shared" si="137"/>
        <v>3401932.0275510205</v>
      </c>
      <c r="P184" s="42">
        <f t="shared" si="137"/>
        <v>3401932.0275510205</v>
      </c>
      <c r="Q184" s="42">
        <f t="shared" si="137"/>
        <v>3401932.0275510205</v>
      </c>
      <c r="R184" s="42">
        <f t="shared" si="137"/>
        <v>3401932.0275510205</v>
      </c>
      <c r="S184" s="42">
        <f t="shared" si="137"/>
        <v>3401932.0275510205</v>
      </c>
      <c r="T184" s="42">
        <f t="shared" si="137"/>
        <v>3401932.0275510205</v>
      </c>
      <c r="U184" s="42">
        <f t="shared" si="137"/>
        <v>8504830.0688775517</v>
      </c>
      <c r="V184" s="42">
        <f t="shared" si="137"/>
        <v>8504830.0688775517</v>
      </c>
      <c r="W184" s="42">
        <f t="shared" si="137"/>
        <v>8504830.0688775517</v>
      </c>
      <c r="X184" s="42">
        <f t="shared" si="137"/>
        <v>8504830.0688775517</v>
      </c>
      <c r="Y184" s="42">
        <f t="shared" si="137"/>
        <v>8504830.0688775517</v>
      </c>
      <c r="Z184" s="42">
        <f t="shared" si="137"/>
        <v>9158186.0688775517</v>
      </c>
      <c r="AA184" s="42">
        <f t="shared" si="137"/>
        <v>9158186.0688775517</v>
      </c>
      <c r="AB184" s="42">
        <f t="shared" si="137"/>
        <v>9158186.0688775517</v>
      </c>
      <c r="AC184" s="42">
        <f t="shared" si="137"/>
        <v>9158186.0688775517</v>
      </c>
      <c r="AD184" s="42">
        <f t="shared" si="137"/>
        <v>17663016.137755103</v>
      </c>
      <c r="AE184" s="42">
        <f t="shared" si="137"/>
        <v>17663016.137755103</v>
      </c>
      <c r="AF184" s="42">
        <f t="shared" si="137"/>
        <v>19690660.151530612</v>
      </c>
      <c r="AG184" s="42">
        <f t="shared" si="137"/>
        <v>1633390</v>
      </c>
      <c r="AH184" s="42">
        <f t="shared" si="137"/>
        <v>1633390</v>
      </c>
      <c r="AI184" s="42">
        <f t="shared" si="137"/>
        <v>1633390</v>
      </c>
      <c r="AJ184" s="42">
        <f t="shared" si="137"/>
        <v>1633390</v>
      </c>
      <c r="AK184" s="42">
        <f t="shared" si="137"/>
        <v>1633390</v>
      </c>
      <c r="AL184" s="42">
        <f t="shared" si="137"/>
        <v>1633390</v>
      </c>
      <c r="AM184" s="42">
        <f t="shared" si="137"/>
        <v>1633390</v>
      </c>
      <c r="AN184" s="42">
        <f t="shared" si="137"/>
        <v>3266780</v>
      </c>
      <c r="AO184" s="42">
        <f t="shared" si="137"/>
        <v>3266780</v>
      </c>
      <c r="AP184" s="42">
        <f t="shared" si="137"/>
        <v>3266780</v>
      </c>
      <c r="AQ184" s="42">
        <f t="shared" si="137"/>
        <v>3266780</v>
      </c>
      <c r="AR184" s="42">
        <f t="shared" si="137"/>
        <v>3266780</v>
      </c>
      <c r="AS184" s="42">
        <f t="shared" si="137"/>
        <v>0</v>
      </c>
      <c r="AT184" s="42">
        <f t="shared" si="137"/>
        <v>0</v>
      </c>
      <c r="AU184" s="42">
        <f t="shared" si="137"/>
        <v>0</v>
      </c>
      <c r="AV184" s="42">
        <f t="shared" si="137"/>
        <v>0</v>
      </c>
      <c r="AW184" s="42">
        <f t="shared" si="137"/>
        <v>0</v>
      </c>
      <c r="AX184" s="42">
        <f t="shared" si="137"/>
        <v>0</v>
      </c>
      <c r="AY184" s="42">
        <f t="shared" si="137"/>
        <v>0</v>
      </c>
      <c r="AZ184" s="42">
        <f t="shared" si="137"/>
        <v>0</v>
      </c>
      <c r="BA184" s="42">
        <f t="shared" si="137"/>
        <v>0</v>
      </c>
      <c r="BB184" s="42">
        <f t="shared" si="137"/>
        <v>0</v>
      </c>
      <c r="BC184" s="42">
        <f t="shared" si="137"/>
        <v>0</v>
      </c>
      <c r="BD184" s="42">
        <f t="shared" si="137"/>
        <v>0</v>
      </c>
      <c r="BE184" s="42">
        <f t="shared" si="137"/>
        <v>0</v>
      </c>
      <c r="BF184" s="42">
        <f t="shared" si="137"/>
        <v>0</v>
      </c>
      <c r="BG184" s="42">
        <f t="shared" si="137"/>
        <v>0</v>
      </c>
      <c r="BH184" s="42">
        <f t="shared" si="137"/>
        <v>0</v>
      </c>
      <c r="BI184" s="42">
        <f t="shared" si="137"/>
        <v>0</v>
      </c>
      <c r="BJ184" s="42">
        <f t="shared" si="137"/>
        <v>0</v>
      </c>
      <c r="BK184" s="42">
        <f t="shared" si="137"/>
        <v>0</v>
      </c>
      <c r="BL184" s="42">
        <f t="shared" si="137"/>
        <v>0</v>
      </c>
      <c r="BM184" s="42">
        <f t="shared" si="137"/>
        <v>0</v>
      </c>
      <c r="BN184" s="42">
        <f t="shared" si="137"/>
        <v>0</v>
      </c>
      <c r="BO184" s="42">
        <f t="shared" si="137"/>
        <v>0</v>
      </c>
      <c r="BP184" s="42">
        <f t="shared" si="137"/>
        <v>0</v>
      </c>
      <c r="BQ184" s="42">
        <f t="shared" si="137"/>
        <v>0</v>
      </c>
      <c r="BR184" s="42">
        <f t="shared" si="137"/>
        <v>0</v>
      </c>
      <c r="BS184" s="42">
        <f t="shared" si="137"/>
        <v>0</v>
      </c>
      <c r="BT184" s="42">
        <f t="shared" si="137"/>
        <v>0</v>
      </c>
      <c r="BU184" s="42">
        <f t="shared" si="137"/>
        <v>0</v>
      </c>
      <c r="BV184" s="42">
        <f t="shared" si="136"/>
        <v>0</v>
      </c>
      <c r="BW184" s="42">
        <f t="shared" si="136"/>
        <v>0</v>
      </c>
      <c r="BX184" s="42">
        <f t="shared" si="136"/>
        <v>0</v>
      </c>
      <c r="BY184" s="42">
        <f t="shared" si="136"/>
        <v>0</v>
      </c>
      <c r="BZ184" s="42">
        <f t="shared" si="136"/>
        <v>0</v>
      </c>
      <c r="CA184" s="42">
        <f t="shared" si="136"/>
        <v>0</v>
      </c>
      <c r="CB184" s="42">
        <f t="shared" si="136"/>
        <v>0</v>
      </c>
    </row>
    <row r="185" spans="2:80" ht="12">
      <c r="B185" s="1577" t="s">
        <v>9</v>
      </c>
      <c r="C185" s="1578" t="str">
        <f t="shared" si="131"/>
        <v>US$</v>
      </c>
      <c r="D185" s="1579">
        <f t="shared" si="132"/>
        <v>203468122.29591835</v>
      </c>
      <c r="I185" s="42">
        <f t="shared" si="133"/>
        <v>2825725.4775510207</v>
      </c>
      <c r="J185" s="42">
        <f t="shared" si="137"/>
        <v>2825725.4775510207</v>
      </c>
      <c r="K185" s="42">
        <f t="shared" si="137"/>
        <v>2825725.4775510207</v>
      </c>
      <c r="L185" s="42">
        <f t="shared" si="137"/>
        <v>2825725.4775510207</v>
      </c>
      <c r="M185" s="42">
        <f t="shared" si="137"/>
        <v>2825725.4775510207</v>
      </c>
      <c r="N185" s="42">
        <f t="shared" si="137"/>
        <v>2825725.4775510207</v>
      </c>
      <c r="O185" s="42">
        <f t="shared" si="137"/>
        <v>2825725.4775510207</v>
      </c>
      <c r="P185" s="42">
        <f t="shared" si="137"/>
        <v>2825725.4775510207</v>
      </c>
      <c r="Q185" s="42">
        <f t="shared" si="137"/>
        <v>2825725.4775510207</v>
      </c>
      <c r="R185" s="42">
        <f t="shared" si="137"/>
        <v>2825725.4775510207</v>
      </c>
      <c r="S185" s="42">
        <f t="shared" si="137"/>
        <v>2825725.4775510207</v>
      </c>
      <c r="T185" s="42">
        <f t="shared" si="137"/>
        <v>2825725.4775510207</v>
      </c>
      <c r="U185" s="42">
        <f t="shared" si="137"/>
        <v>7064313.6938775508</v>
      </c>
      <c r="V185" s="42">
        <f t="shared" si="137"/>
        <v>7064313.6938775508</v>
      </c>
      <c r="W185" s="42">
        <f t="shared" si="137"/>
        <v>7064313.6938775508</v>
      </c>
      <c r="X185" s="42">
        <f t="shared" si="137"/>
        <v>7064313.6938775508</v>
      </c>
      <c r="Y185" s="42">
        <f t="shared" si="137"/>
        <v>7064313.6938775508</v>
      </c>
      <c r="Z185" s="42">
        <f t="shared" si="137"/>
        <v>8307950.6622448973</v>
      </c>
      <c r="AA185" s="42">
        <f t="shared" si="137"/>
        <v>8307950.6622448973</v>
      </c>
      <c r="AB185" s="42">
        <f t="shared" si="137"/>
        <v>8307950.6622448973</v>
      </c>
      <c r="AC185" s="42">
        <f t="shared" si="137"/>
        <v>8307950.6622448973</v>
      </c>
      <c r="AD185" s="42">
        <f t="shared" si="137"/>
        <v>15372264.356122449</v>
      </c>
      <c r="AE185" s="42">
        <f t="shared" si="137"/>
        <v>15372264.356122449</v>
      </c>
      <c r="AF185" s="42">
        <f t="shared" si="137"/>
        <v>17406945.579081632</v>
      </c>
      <c r="AG185" s="42">
        <f t="shared" si="137"/>
        <v>3109092.4209183673</v>
      </c>
      <c r="AH185" s="42">
        <f t="shared" si="137"/>
        <v>3109092.4209183673</v>
      </c>
      <c r="AI185" s="42">
        <f t="shared" si="137"/>
        <v>3109092.4209183673</v>
      </c>
      <c r="AJ185" s="42">
        <f t="shared" si="137"/>
        <v>3109092.4209183673</v>
      </c>
      <c r="AK185" s="42">
        <f t="shared" si="137"/>
        <v>3109092.4209183673</v>
      </c>
      <c r="AL185" s="42">
        <f t="shared" si="137"/>
        <v>3109092.4209183673</v>
      </c>
      <c r="AM185" s="42">
        <f t="shared" si="137"/>
        <v>3109092.4209183673</v>
      </c>
      <c r="AN185" s="42">
        <f t="shared" si="137"/>
        <v>6218184.8418367347</v>
      </c>
      <c r="AO185" s="42">
        <f t="shared" si="137"/>
        <v>6218184.8418367347</v>
      </c>
      <c r="AP185" s="42">
        <f t="shared" si="137"/>
        <v>6218184.8418367347</v>
      </c>
      <c r="AQ185" s="42">
        <f t="shared" si="137"/>
        <v>6218184.8418367347</v>
      </c>
      <c r="AR185" s="42">
        <f t="shared" si="137"/>
        <v>6218184.8418367347</v>
      </c>
      <c r="AS185" s="42">
        <f t="shared" si="137"/>
        <v>0</v>
      </c>
      <c r="AT185" s="42">
        <f t="shared" si="137"/>
        <v>0</v>
      </c>
      <c r="AU185" s="42">
        <f t="shared" si="137"/>
        <v>0</v>
      </c>
      <c r="AV185" s="42">
        <f t="shared" si="137"/>
        <v>0</v>
      </c>
      <c r="AW185" s="42">
        <f t="shared" si="137"/>
        <v>0</v>
      </c>
      <c r="AX185" s="42">
        <f t="shared" si="137"/>
        <v>0</v>
      </c>
      <c r="AY185" s="42">
        <f t="shared" si="137"/>
        <v>0</v>
      </c>
      <c r="AZ185" s="42">
        <f t="shared" si="137"/>
        <v>0</v>
      </c>
      <c r="BA185" s="42">
        <f t="shared" si="137"/>
        <v>0</v>
      </c>
      <c r="BB185" s="42">
        <f t="shared" si="137"/>
        <v>0</v>
      </c>
      <c r="BC185" s="42">
        <f t="shared" si="137"/>
        <v>0</v>
      </c>
      <c r="BD185" s="42">
        <f t="shared" si="137"/>
        <v>0</v>
      </c>
      <c r="BE185" s="42">
        <f t="shared" si="137"/>
        <v>0</v>
      </c>
      <c r="BF185" s="42">
        <f t="shared" si="137"/>
        <v>0</v>
      </c>
      <c r="BG185" s="42">
        <f t="shared" si="137"/>
        <v>0</v>
      </c>
      <c r="BH185" s="42">
        <f t="shared" si="137"/>
        <v>0</v>
      </c>
      <c r="BI185" s="42">
        <f t="shared" si="137"/>
        <v>0</v>
      </c>
      <c r="BJ185" s="42">
        <f t="shared" si="137"/>
        <v>0</v>
      </c>
      <c r="BK185" s="42">
        <f t="shared" si="137"/>
        <v>0</v>
      </c>
      <c r="BL185" s="42">
        <f t="shared" si="137"/>
        <v>0</v>
      </c>
      <c r="BM185" s="42">
        <f t="shared" si="137"/>
        <v>0</v>
      </c>
      <c r="BN185" s="42">
        <f t="shared" si="137"/>
        <v>0</v>
      </c>
      <c r="BO185" s="42">
        <f t="shared" si="137"/>
        <v>0</v>
      </c>
      <c r="BP185" s="42">
        <f t="shared" si="137"/>
        <v>0</v>
      </c>
      <c r="BQ185" s="42">
        <f t="shared" si="137"/>
        <v>0</v>
      </c>
      <c r="BR185" s="42">
        <f t="shared" si="137"/>
        <v>0</v>
      </c>
      <c r="BS185" s="42">
        <f t="shared" si="137"/>
        <v>0</v>
      </c>
      <c r="BT185" s="42">
        <f t="shared" si="137"/>
        <v>0</v>
      </c>
      <c r="BU185" s="42">
        <f t="shared" ref="BU185:CB185" si="138">BU43+BU82+BU121+BU160</f>
        <v>0</v>
      </c>
      <c r="BV185" s="42">
        <f t="shared" si="138"/>
        <v>0</v>
      </c>
      <c r="BW185" s="42">
        <f t="shared" si="138"/>
        <v>0</v>
      </c>
      <c r="BX185" s="42">
        <f t="shared" si="138"/>
        <v>0</v>
      </c>
      <c r="BY185" s="42">
        <f t="shared" si="138"/>
        <v>0</v>
      </c>
      <c r="BZ185" s="42">
        <f t="shared" si="138"/>
        <v>0</v>
      </c>
      <c r="CA185" s="42">
        <f t="shared" si="138"/>
        <v>0</v>
      </c>
      <c r="CB185" s="42">
        <f t="shared" si="138"/>
        <v>0</v>
      </c>
    </row>
    <row r="186" spans="2:80" ht="12">
      <c r="B186" s="1577" t="s">
        <v>893</v>
      </c>
      <c r="C186" s="1578"/>
      <c r="D186" s="1579">
        <f t="shared" si="132"/>
        <v>216000000</v>
      </c>
      <c r="I186" s="42">
        <f>I44</f>
        <v>4320000</v>
      </c>
      <c r="J186" s="42">
        <f t="shared" ref="J186:BU186" si="139">J44</f>
        <v>4320000</v>
      </c>
      <c r="K186" s="42">
        <f t="shared" si="139"/>
        <v>4320000</v>
      </c>
      <c r="L186" s="42">
        <f t="shared" si="139"/>
        <v>4320000</v>
      </c>
      <c r="M186" s="42">
        <f t="shared" si="139"/>
        <v>4320000</v>
      </c>
      <c r="N186" s="42">
        <f t="shared" si="139"/>
        <v>4320000</v>
      </c>
      <c r="O186" s="42">
        <f t="shared" si="139"/>
        <v>4320000</v>
      </c>
      <c r="P186" s="42">
        <f t="shared" si="139"/>
        <v>4320000</v>
      </c>
      <c r="Q186" s="42">
        <f t="shared" si="139"/>
        <v>4320000</v>
      </c>
      <c r="R186" s="42">
        <f t="shared" si="139"/>
        <v>4320000</v>
      </c>
      <c r="S186" s="42">
        <f t="shared" si="139"/>
        <v>4320000</v>
      </c>
      <c r="T186" s="42">
        <f t="shared" si="139"/>
        <v>4320000</v>
      </c>
      <c r="U186" s="42">
        <f t="shared" si="139"/>
        <v>10800000</v>
      </c>
      <c r="V186" s="42">
        <f t="shared" si="139"/>
        <v>10800000</v>
      </c>
      <c r="W186" s="42">
        <f t="shared" si="139"/>
        <v>10800000</v>
      </c>
      <c r="X186" s="42">
        <f t="shared" si="139"/>
        <v>10800000</v>
      </c>
      <c r="Y186" s="42">
        <f t="shared" si="139"/>
        <v>10800000</v>
      </c>
      <c r="Z186" s="42">
        <f t="shared" si="139"/>
        <v>10800000</v>
      </c>
      <c r="AA186" s="42">
        <f t="shared" si="139"/>
        <v>10800000</v>
      </c>
      <c r="AB186" s="42">
        <f t="shared" si="139"/>
        <v>10800000</v>
      </c>
      <c r="AC186" s="42">
        <f t="shared" si="139"/>
        <v>10800000</v>
      </c>
      <c r="AD186" s="42">
        <f t="shared" si="139"/>
        <v>21600000</v>
      </c>
      <c r="AE186" s="42">
        <f t="shared" si="139"/>
        <v>21600000</v>
      </c>
      <c r="AF186" s="42">
        <f t="shared" si="139"/>
        <v>23760000</v>
      </c>
      <c r="AG186" s="42">
        <f t="shared" si="139"/>
        <v>0</v>
      </c>
      <c r="AH186" s="42">
        <f t="shared" si="139"/>
        <v>0</v>
      </c>
      <c r="AI186" s="42">
        <f t="shared" si="139"/>
        <v>0</v>
      </c>
      <c r="AJ186" s="42">
        <f t="shared" si="139"/>
        <v>0</v>
      </c>
      <c r="AK186" s="42">
        <f t="shared" si="139"/>
        <v>0</v>
      </c>
      <c r="AL186" s="42">
        <f t="shared" si="139"/>
        <v>0</v>
      </c>
      <c r="AM186" s="42">
        <f t="shared" si="139"/>
        <v>0</v>
      </c>
      <c r="AN186" s="42">
        <f t="shared" si="139"/>
        <v>0</v>
      </c>
      <c r="AO186" s="42">
        <f t="shared" si="139"/>
        <v>0</v>
      </c>
      <c r="AP186" s="42">
        <f t="shared" si="139"/>
        <v>0</v>
      </c>
      <c r="AQ186" s="42">
        <f t="shared" si="139"/>
        <v>0</v>
      </c>
      <c r="AR186" s="42">
        <f t="shared" si="139"/>
        <v>0</v>
      </c>
      <c r="AS186" s="42">
        <f t="shared" si="139"/>
        <v>0</v>
      </c>
      <c r="AT186" s="42">
        <f t="shared" si="139"/>
        <v>0</v>
      </c>
      <c r="AU186" s="42">
        <f t="shared" si="139"/>
        <v>0</v>
      </c>
      <c r="AV186" s="42">
        <f t="shared" si="139"/>
        <v>0</v>
      </c>
      <c r="AW186" s="42">
        <f t="shared" si="139"/>
        <v>0</v>
      </c>
      <c r="AX186" s="42">
        <f t="shared" si="139"/>
        <v>0</v>
      </c>
      <c r="AY186" s="42">
        <f t="shared" si="139"/>
        <v>0</v>
      </c>
      <c r="AZ186" s="42">
        <f t="shared" si="139"/>
        <v>0</v>
      </c>
      <c r="BA186" s="42">
        <f t="shared" si="139"/>
        <v>0</v>
      </c>
      <c r="BB186" s="42">
        <f t="shared" si="139"/>
        <v>0</v>
      </c>
      <c r="BC186" s="42">
        <f t="shared" si="139"/>
        <v>0</v>
      </c>
      <c r="BD186" s="42">
        <f t="shared" si="139"/>
        <v>0</v>
      </c>
      <c r="BE186" s="42">
        <f t="shared" si="139"/>
        <v>0</v>
      </c>
      <c r="BF186" s="42">
        <f t="shared" si="139"/>
        <v>0</v>
      </c>
      <c r="BG186" s="42">
        <f t="shared" si="139"/>
        <v>0</v>
      </c>
      <c r="BH186" s="42">
        <f t="shared" si="139"/>
        <v>0</v>
      </c>
      <c r="BI186" s="42">
        <f t="shared" si="139"/>
        <v>0</v>
      </c>
      <c r="BJ186" s="42">
        <f t="shared" si="139"/>
        <v>0</v>
      </c>
      <c r="BK186" s="42">
        <f t="shared" si="139"/>
        <v>0</v>
      </c>
      <c r="BL186" s="42">
        <f t="shared" si="139"/>
        <v>0</v>
      </c>
      <c r="BM186" s="42">
        <f t="shared" si="139"/>
        <v>0</v>
      </c>
      <c r="BN186" s="42">
        <f t="shared" si="139"/>
        <v>0</v>
      </c>
      <c r="BO186" s="42">
        <f t="shared" si="139"/>
        <v>0</v>
      </c>
      <c r="BP186" s="42">
        <f t="shared" si="139"/>
        <v>0</v>
      </c>
      <c r="BQ186" s="42">
        <f t="shared" si="139"/>
        <v>0</v>
      </c>
      <c r="BR186" s="42">
        <f t="shared" si="139"/>
        <v>0</v>
      </c>
      <c r="BS186" s="42">
        <f t="shared" si="139"/>
        <v>0</v>
      </c>
      <c r="BT186" s="42">
        <f t="shared" si="139"/>
        <v>0</v>
      </c>
      <c r="BU186" s="42">
        <f t="shared" si="139"/>
        <v>0</v>
      </c>
      <c r="BV186" s="42">
        <f t="shared" ref="BV186:CB186" si="140">BV44</f>
        <v>0</v>
      </c>
      <c r="BW186" s="42">
        <f t="shared" si="140"/>
        <v>0</v>
      </c>
      <c r="BX186" s="42">
        <f t="shared" si="140"/>
        <v>0</v>
      </c>
      <c r="BY186" s="42">
        <f t="shared" si="140"/>
        <v>0</v>
      </c>
      <c r="BZ186" s="42">
        <f t="shared" si="140"/>
        <v>0</v>
      </c>
      <c r="CA186" s="42">
        <f t="shared" si="140"/>
        <v>0</v>
      </c>
      <c r="CB186" s="42">
        <f t="shared" si="140"/>
        <v>0</v>
      </c>
    </row>
    <row r="187" spans="2:80" ht="13.5" thickBot="1">
      <c r="B187" s="1580" t="s">
        <v>71</v>
      </c>
      <c r="C187" s="1572" t="str">
        <f t="shared" si="131"/>
        <v>US$</v>
      </c>
      <c r="D187" s="1573">
        <f>SUM(I187:CB187)</f>
        <v>3811261872.6530604</v>
      </c>
      <c r="E187" s="124"/>
      <c r="F187" s="124"/>
      <c r="G187" s="124"/>
      <c r="H187" s="124"/>
      <c r="I187" s="471">
        <f>SUM(I177:I186)</f>
        <v>58399774.239795916</v>
      </c>
      <c r="J187" s="471">
        <f t="shared" ref="J187:BU187" si="141">SUM(J177:J186)</f>
        <v>58399774.239795916</v>
      </c>
      <c r="K187" s="471">
        <f t="shared" si="141"/>
        <v>58399774.239795916</v>
      </c>
      <c r="L187" s="471">
        <f t="shared" si="141"/>
        <v>58399774.239795916</v>
      </c>
      <c r="M187" s="471">
        <f t="shared" si="141"/>
        <v>58399774.239795916</v>
      </c>
      <c r="N187" s="471">
        <f t="shared" si="141"/>
        <v>58399774.239795916</v>
      </c>
      <c r="O187" s="471">
        <f t="shared" si="141"/>
        <v>58399774.239795916</v>
      </c>
      <c r="P187" s="471">
        <f t="shared" si="141"/>
        <v>58399774.239795916</v>
      </c>
      <c r="Q187" s="471">
        <f t="shared" si="141"/>
        <v>58399774.239795916</v>
      </c>
      <c r="R187" s="471">
        <f t="shared" si="141"/>
        <v>58399774.239795916</v>
      </c>
      <c r="S187" s="471">
        <f t="shared" si="141"/>
        <v>58399774.239795916</v>
      </c>
      <c r="T187" s="471">
        <f t="shared" si="141"/>
        <v>58399774.239795916</v>
      </c>
      <c r="U187" s="471">
        <f t="shared" si="141"/>
        <v>145999435.59948981</v>
      </c>
      <c r="V187" s="471">
        <f t="shared" si="141"/>
        <v>145999435.59948981</v>
      </c>
      <c r="W187" s="471">
        <f t="shared" si="141"/>
        <v>145999435.59948981</v>
      </c>
      <c r="X187" s="471">
        <f t="shared" si="141"/>
        <v>145999435.59948981</v>
      </c>
      <c r="Y187" s="471">
        <f t="shared" si="141"/>
        <v>145999435.59948981</v>
      </c>
      <c r="Z187" s="471">
        <f t="shared" si="141"/>
        <v>163824898.81275511</v>
      </c>
      <c r="AA187" s="471">
        <f t="shared" si="141"/>
        <v>163824898.81275511</v>
      </c>
      <c r="AB187" s="471">
        <f t="shared" si="141"/>
        <v>163824898.81275511</v>
      </c>
      <c r="AC187" s="471">
        <f t="shared" si="141"/>
        <v>163824898.81275511</v>
      </c>
      <c r="AD187" s="471">
        <f t="shared" si="141"/>
        <v>309824334.41224492</v>
      </c>
      <c r="AE187" s="471">
        <f t="shared" si="141"/>
        <v>309824334.41224492</v>
      </c>
      <c r="AF187" s="471">
        <f t="shared" si="141"/>
        <v>347936953.13877559</v>
      </c>
      <c r="AG187" s="471">
        <f t="shared" si="141"/>
        <v>44563658.033163264</v>
      </c>
      <c r="AH187" s="471">
        <f t="shared" si="141"/>
        <v>44563658.033163264</v>
      </c>
      <c r="AI187" s="471">
        <f t="shared" si="141"/>
        <v>44563658.033163264</v>
      </c>
      <c r="AJ187" s="471">
        <f t="shared" si="141"/>
        <v>44563658.033163264</v>
      </c>
      <c r="AK187" s="471">
        <f t="shared" si="141"/>
        <v>44563658.033163264</v>
      </c>
      <c r="AL187" s="471">
        <f t="shared" si="141"/>
        <v>44563658.033163264</v>
      </c>
      <c r="AM187" s="471">
        <f t="shared" si="141"/>
        <v>44563658.033163264</v>
      </c>
      <c r="AN187" s="471">
        <f t="shared" si="141"/>
        <v>89127316.066326529</v>
      </c>
      <c r="AO187" s="471">
        <f t="shared" si="141"/>
        <v>89127316.066326529</v>
      </c>
      <c r="AP187" s="471">
        <f t="shared" si="141"/>
        <v>89127316.066326529</v>
      </c>
      <c r="AQ187" s="471">
        <f t="shared" si="141"/>
        <v>89127316.066326529</v>
      </c>
      <c r="AR187" s="471">
        <f t="shared" si="141"/>
        <v>89127316.066326529</v>
      </c>
      <c r="AS187" s="471">
        <f t="shared" si="141"/>
        <v>0</v>
      </c>
      <c r="AT187" s="471">
        <f t="shared" si="141"/>
        <v>0</v>
      </c>
      <c r="AU187" s="471">
        <f t="shared" si="141"/>
        <v>0</v>
      </c>
      <c r="AV187" s="471">
        <f t="shared" si="141"/>
        <v>0</v>
      </c>
      <c r="AW187" s="471">
        <f t="shared" si="141"/>
        <v>0</v>
      </c>
      <c r="AX187" s="471">
        <f t="shared" si="141"/>
        <v>0</v>
      </c>
      <c r="AY187" s="471">
        <f t="shared" si="141"/>
        <v>0</v>
      </c>
      <c r="AZ187" s="471">
        <f t="shared" si="141"/>
        <v>0</v>
      </c>
      <c r="BA187" s="471">
        <f t="shared" si="141"/>
        <v>0</v>
      </c>
      <c r="BB187" s="471">
        <f t="shared" si="141"/>
        <v>0</v>
      </c>
      <c r="BC187" s="471">
        <f t="shared" si="141"/>
        <v>0</v>
      </c>
      <c r="BD187" s="471">
        <f t="shared" si="141"/>
        <v>0</v>
      </c>
      <c r="BE187" s="471">
        <f t="shared" si="141"/>
        <v>0</v>
      </c>
      <c r="BF187" s="471">
        <f t="shared" si="141"/>
        <v>0</v>
      </c>
      <c r="BG187" s="471">
        <f t="shared" si="141"/>
        <v>0</v>
      </c>
      <c r="BH187" s="471">
        <f t="shared" si="141"/>
        <v>0</v>
      </c>
      <c r="BI187" s="471">
        <f t="shared" si="141"/>
        <v>0</v>
      </c>
      <c r="BJ187" s="471">
        <f t="shared" si="141"/>
        <v>0</v>
      </c>
      <c r="BK187" s="471">
        <f t="shared" si="141"/>
        <v>0</v>
      </c>
      <c r="BL187" s="471">
        <f t="shared" si="141"/>
        <v>0</v>
      </c>
      <c r="BM187" s="471">
        <f t="shared" si="141"/>
        <v>0</v>
      </c>
      <c r="BN187" s="471">
        <f t="shared" si="141"/>
        <v>0</v>
      </c>
      <c r="BO187" s="471">
        <f t="shared" si="141"/>
        <v>0</v>
      </c>
      <c r="BP187" s="471">
        <f t="shared" si="141"/>
        <v>0</v>
      </c>
      <c r="BQ187" s="471">
        <f t="shared" si="141"/>
        <v>0</v>
      </c>
      <c r="BR187" s="471">
        <f t="shared" si="141"/>
        <v>0</v>
      </c>
      <c r="BS187" s="471">
        <f t="shared" si="141"/>
        <v>0</v>
      </c>
      <c r="BT187" s="471">
        <f t="shared" si="141"/>
        <v>0</v>
      </c>
      <c r="BU187" s="471">
        <f t="shared" si="141"/>
        <v>0</v>
      </c>
      <c r="BV187" s="471">
        <f t="shared" ref="BV187:CB187" si="142">SUM(BV177:BV186)</f>
        <v>0</v>
      </c>
      <c r="BW187" s="471">
        <f t="shared" si="142"/>
        <v>0</v>
      </c>
      <c r="BX187" s="471">
        <f t="shared" si="142"/>
        <v>0</v>
      </c>
      <c r="BY187" s="471">
        <f t="shared" si="142"/>
        <v>0</v>
      </c>
      <c r="BZ187" s="471">
        <f t="shared" si="142"/>
        <v>0</v>
      </c>
      <c r="CA187" s="471">
        <f t="shared" si="142"/>
        <v>0</v>
      </c>
      <c r="CB187" s="471">
        <f t="shared" si="142"/>
        <v>0</v>
      </c>
    </row>
    <row r="188" spans="2:80">
      <c r="B188" s="3"/>
      <c r="AJ188" s="42"/>
    </row>
    <row r="189" spans="2:80">
      <c r="B189" s="26" t="s">
        <v>219</v>
      </c>
      <c r="AJ189" s="42"/>
    </row>
    <row r="190" spans="2:80">
      <c r="B190" s="2" t="s">
        <v>220</v>
      </c>
      <c r="C190" s="15" t="str">
        <f t="shared" si="131"/>
        <v>US$</v>
      </c>
      <c r="D190" s="41">
        <f>SUM(I190:CB190)</f>
        <v>3811261872.6530604</v>
      </c>
      <c r="I190" s="42">
        <f>I187</f>
        <v>58399774.239795916</v>
      </c>
      <c r="J190" s="42">
        <f t="shared" ref="J190:BU190" si="143">J187</f>
        <v>58399774.239795916</v>
      </c>
      <c r="K190" s="42">
        <f t="shared" si="143"/>
        <v>58399774.239795916</v>
      </c>
      <c r="L190" s="42">
        <f t="shared" si="143"/>
        <v>58399774.239795916</v>
      </c>
      <c r="M190" s="42">
        <f t="shared" si="143"/>
        <v>58399774.239795916</v>
      </c>
      <c r="N190" s="42">
        <f t="shared" si="143"/>
        <v>58399774.239795916</v>
      </c>
      <c r="O190" s="42">
        <f t="shared" si="143"/>
        <v>58399774.239795916</v>
      </c>
      <c r="P190" s="42">
        <f t="shared" si="143"/>
        <v>58399774.239795916</v>
      </c>
      <c r="Q190" s="42">
        <f t="shared" si="143"/>
        <v>58399774.239795916</v>
      </c>
      <c r="R190" s="42">
        <f t="shared" si="143"/>
        <v>58399774.239795916</v>
      </c>
      <c r="S190" s="42">
        <f t="shared" si="143"/>
        <v>58399774.239795916</v>
      </c>
      <c r="T190" s="42">
        <f t="shared" si="143"/>
        <v>58399774.239795916</v>
      </c>
      <c r="U190" s="42">
        <f t="shared" si="143"/>
        <v>145999435.59948981</v>
      </c>
      <c r="V190" s="42">
        <f t="shared" si="143"/>
        <v>145999435.59948981</v>
      </c>
      <c r="W190" s="42">
        <f t="shared" si="143"/>
        <v>145999435.59948981</v>
      </c>
      <c r="X190" s="42">
        <f t="shared" si="143"/>
        <v>145999435.59948981</v>
      </c>
      <c r="Y190" s="42">
        <f t="shared" si="143"/>
        <v>145999435.59948981</v>
      </c>
      <c r="Z190" s="42">
        <f t="shared" si="143"/>
        <v>163824898.81275511</v>
      </c>
      <c r="AA190" s="42">
        <f t="shared" si="143"/>
        <v>163824898.81275511</v>
      </c>
      <c r="AB190" s="42">
        <f t="shared" si="143"/>
        <v>163824898.81275511</v>
      </c>
      <c r="AC190" s="42">
        <f t="shared" si="143"/>
        <v>163824898.81275511</v>
      </c>
      <c r="AD190" s="42">
        <f t="shared" si="143"/>
        <v>309824334.41224492</v>
      </c>
      <c r="AE190" s="42">
        <f t="shared" si="143"/>
        <v>309824334.41224492</v>
      </c>
      <c r="AF190" s="42">
        <f t="shared" si="143"/>
        <v>347936953.13877559</v>
      </c>
      <c r="AG190" s="42">
        <f t="shared" si="143"/>
        <v>44563658.033163264</v>
      </c>
      <c r="AH190" s="42">
        <f t="shared" si="143"/>
        <v>44563658.033163264</v>
      </c>
      <c r="AI190" s="42">
        <f t="shared" si="143"/>
        <v>44563658.033163264</v>
      </c>
      <c r="AJ190" s="42">
        <f t="shared" si="143"/>
        <v>44563658.033163264</v>
      </c>
      <c r="AK190" s="42">
        <f t="shared" si="143"/>
        <v>44563658.033163264</v>
      </c>
      <c r="AL190" s="42">
        <f t="shared" si="143"/>
        <v>44563658.033163264</v>
      </c>
      <c r="AM190" s="42">
        <f t="shared" si="143"/>
        <v>44563658.033163264</v>
      </c>
      <c r="AN190" s="42">
        <f t="shared" si="143"/>
        <v>89127316.066326529</v>
      </c>
      <c r="AO190" s="42">
        <f t="shared" si="143"/>
        <v>89127316.066326529</v>
      </c>
      <c r="AP190" s="42">
        <f t="shared" si="143"/>
        <v>89127316.066326529</v>
      </c>
      <c r="AQ190" s="42">
        <f t="shared" si="143"/>
        <v>89127316.066326529</v>
      </c>
      <c r="AR190" s="42">
        <f t="shared" si="143"/>
        <v>89127316.066326529</v>
      </c>
      <c r="AS190" s="42">
        <f t="shared" si="143"/>
        <v>0</v>
      </c>
      <c r="AT190" s="42">
        <f t="shared" si="143"/>
        <v>0</v>
      </c>
      <c r="AU190" s="42">
        <f t="shared" si="143"/>
        <v>0</v>
      </c>
      <c r="AV190" s="42">
        <f t="shared" si="143"/>
        <v>0</v>
      </c>
      <c r="AW190" s="42">
        <f t="shared" si="143"/>
        <v>0</v>
      </c>
      <c r="AX190" s="42">
        <f t="shared" si="143"/>
        <v>0</v>
      </c>
      <c r="AY190" s="42">
        <f t="shared" si="143"/>
        <v>0</v>
      </c>
      <c r="AZ190" s="42">
        <f t="shared" si="143"/>
        <v>0</v>
      </c>
      <c r="BA190" s="42">
        <f t="shared" si="143"/>
        <v>0</v>
      </c>
      <c r="BB190" s="42">
        <f t="shared" si="143"/>
        <v>0</v>
      </c>
      <c r="BC190" s="42">
        <f t="shared" si="143"/>
        <v>0</v>
      </c>
      <c r="BD190" s="42">
        <f t="shared" si="143"/>
        <v>0</v>
      </c>
      <c r="BE190" s="42">
        <f t="shared" si="143"/>
        <v>0</v>
      </c>
      <c r="BF190" s="42">
        <f t="shared" si="143"/>
        <v>0</v>
      </c>
      <c r="BG190" s="42">
        <f t="shared" si="143"/>
        <v>0</v>
      </c>
      <c r="BH190" s="42">
        <f t="shared" si="143"/>
        <v>0</v>
      </c>
      <c r="BI190" s="42">
        <f t="shared" si="143"/>
        <v>0</v>
      </c>
      <c r="BJ190" s="42">
        <f t="shared" si="143"/>
        <v>0</v>
      </c>
      <c r="BK190" s="42">
        <f t="shared" si="143"/>
        <v>0</v>
      </c>
      <c r="BL190" s="42">
        <f t="shared" si="143"/>
        <v>0</v>
      </c>
      <c r="BM190" s="42">
        <f t="shared" si="143"/>
        <v>0</v>
      </c>
      <c r="BN190" s="42">
        <f t="shared" si="143"/>
        <v>0</v>
      </c>
      <c r="BO190" s="42">
        <f t="shared" si="143"/>
        <v>0</v>
      </c>
      <c r="BP190" s="42">
        <f t="shared" si="143"/>
        <v>0</v>
      </c>
      <c r="BQ190" s="42">
        <f t="shared" si="143"/>
        <v>0</v>
      </c>
      <c r="BR190" s="42">
        <f t="shared" si="143"/>
        <v>0</v>
      </c>
      <c r="BS190" s="42">
        <f t="shared" si="143"/>
        <v>0</v>
      </c>
      <c r="BT190" s="42">
        <f t="shared" si="143"/>
        <v>0</v>
      </c>
      <c r="BU190" s="42">
        <f t="shared" si="143"/>
        <v>0</v>
      </c>
      <c r="BV190" s="42">
        <f t="shared" ref="BV190:CB190" si="144">BV187</f>
        <v>0</v>
      </c>
      <c r="BW190" s="42">
        <f t="shared" si="144"/>
        <v>0</v>
      </c>
      <c r="BX190" s="42">
        <f t="shared" si="144"/>
        <v>0</v>
      </c>
      <c r="BY190" s="42">
        <f t="shared" si="144"/>
        <v>0</v>
      </c>
      <c r="BZ190" s="42">
        <f t="shared" si="144"/>
        <v>0</v>
      </c>
      <c r="CA190" s="42">
        <f t="shared" si="144"/>
        <v>0</v>
      </c>
      <c r="CB190" s="42">
        <f t="shared" si="144"/>
        <v>0</v>
      </c>
    </row>
    <row r="191" spans="2:80">
      <c r="B191" s="2" t="s">
        <v>221</v>
      </c>
      <c r="C191" s="15" t="str">
        <f t="shared" si="131"/>
        <v>US$</v>
      </c>
      <c r="D191" s="41">
        <f>SUM(I191:AY191)</f>
        <v>0</v>
      </c>
      <c r="I191" s="42"/>
      <c r="J191" s="42"/>
      <c r="K191" s="42"/>
      <c r="L191" s="42"/>
      <c r="M191" s="42"/>
      <c r="N191" s="42"/>
      <c r="O191" s="42"/>
      <c r="P191" s="42"/>
      <c r="Q191" s="42"/>
      <c r="R191" s="42"/>
      <c r="S191" s="42"/>
      <c r="T191" s="42"/>
      <c r="U191" s="42"/>
      <c r="V191" s="42"/>
      <c r="W191" s="42"/>
      <c r="X191" s="42"/>
      <c r="Y191" s="42"/>
      <c r="Z191" s="42"/>
      <c r="AA191" s="42"/>
      <c r="AB191" s="42"/>
      <c r="AC191" s="42"/>
      <c r="AD191" s="42"/>
      <c r="AE191" s="42"/>
      <c r="AF191" s="42"/>
      <c r="AG191" s="42"/>
      <c r="AH191" s="42"/>
      <c r="AI191" s="42"/>
      <c r="AJ191" s="42"/>
      <c r="AK191" s="42"/>
      <c r="AL191" s="42"/>
      <c r="AM191" s="42"/>
      <c r="AN191" s="42"/>
      <c r="AO191" s="42"/>
      <c r="AP191" s="42"/>
      <c r="AQ191" s="42"/>
      <c r="AR191" s="42"/>
      <c r="AS191" s="42"/>
      <c r="AT191" s="42"/>
      <c r="AU191" s="42"/>
      <c r="AV191" s="42"/>
      <c r="AW191" s="42"/>
      <c r="AX191" s="42"/>
      <c r="AY191" s="42"/>
    </row>
    <row r="192" spans="2:80" ht="11.45" customHeight="1">
      <c r="B192" s="489" t="s">
        <v>222</v>
      </c>
      <c r="C192" s="577" t="str">
        <f t="shared" si="131"/>
        <v>US$</v>
      </c>
      <c r="D192" s="53">
        <f>SUM(I192:AY192)</f>
        <v>0</v>
      </c>
      <c r="I192" s="578"/>
      <c r="J192" s="578"/>
      <c r="K192" s="578"/>
      <c r="L192" s="578"/>
      <c r="M192" s="578"/>
      <c r="N192" s="578"/>
      <c r="O192" s="578"/>
      <c r="P192" s="578"/>
      <c r="Q192" s="578"/>
      <c r="R192" s="578"/>
      <c r="S192" s="578"/>
      <c r="T192" s="578"/>
      <c r="U192" s="578"/>
      <c r="V192" s="578"/>
      <c r="W192" s="578"/>
      <c r="X192" s="578"/>
      <c r="Y192" s="578"/>
      <c r="Z192" s="578"/>
      <c r="AA192" s="578"/>
      <c r="AB192" s="578"/>
      <c r="AC192" s="578"/>
      <c r="AD192" s="578"/>
      <c r="AE192" s="578"/>
      <c r="AF192" s="578"/>
      <c r="AG192" s="578"/>
      <c r="AH192" s="578"/>
      <c r="AI192" s="578"/>
      <c r="AJ192" s="42"/>
    </row>
    <row r="193" spans="1:108" s="502" customFormat="1">
      <c r="B193" s="583" t="s">
        <v>71</v>
      </c>
      <c r="C193" s="584" t="str">
        <f t="shared" si="131"/>
        <v>US$</v>
      </c>
      <c r="D193" s="585">
        <f>SUM(D190:D192)</f>
        <v>3811261872.6530604</v>
      </c>
      <c r="E193" s="583"/>
      <c r="F193" s="583"/>
      <c r="G193" s="583"/>
      <c r="H193" s="583"/>
      <c r="I193" s="585">
        <f>SUM(I190:I192)</f>
        <v>58399774.239795916</v>
      </c>
      <c r="J193" s="585">
        <f t="shared" ref="J193:BT193" si="145">SUM(J190:J192)</f>
        <v>58399774.239795916</v>
      </c>
      <c r="K193" s="585">
        <f t="shared" si="145"/>
        <v>58399774.239795916</v>
      </c>
      <c r="L193" s="585">
        <f t="shared" si="145"/>
        <v>58399774.239795916</v>
      </c>
      <c r="M193" s="585">
        <f t="shared" si="145"/>
        <v>58399774.239795916</v>
      </c>
      <c r="N193" s="585">
        <f t="shared" si="145"/>
        <v>58399774.239795916</v>
      </c>
      <c r="O193" s="585">
        <f t="shared" si="145"/>
        <v>58399774.239795916</v>
      </c>
      <c r="P193" s="585">
        <f t="shared" si="145"/>
        <v>58399774.239795916</v>
      </c>
      <c r="Q193" s="585">
        <f t="shared" si="145"/>
        <v>58399774.239795916</v>
      </c>
      <c r="R193" s="585">
        <f t="shared" si="145"/>
        <v>58399774.239795916</v>
      </c>
      <c r="S193" s="585">
        <f t="shared" si="145"/>
        <v>58399774.239795916</v>
      </c>
      <c r="T193" s="585">
        <f t="shared" si="145"/>
        <v>58399774.239795916</v>
      </c>
      <c r="U193" s="585">
        <f t="shared" si="145"/>
        <v>145999435.59948981</v>
      </c>
      <c r="V193" s="585">
        <f t="shared" si="145"/>
        <v>145999435.59948981</v>
      </c>
      <c r="W193" s="585">
        <f t="shared" si="145"/>
        <v>145999435.59948981</v>
      </c>
      <c r="X193" s="585">
        <f t="shared" si="145"/>
        <v>145999435.59948981</v>
      </c>
      <c r="Y193" s="585">
        <f t="shared" si="145"/>
        <v>145999435.59948981</v>
      </c>
      <c r="Z193" s="585">
        <f t="shared" si="145"/>
        <v>163824898.81275511</v>
      </c>
      <c r="AA193" s="585">
        <f t="shared" si="145"/>
        <v>163824898.81275511</v>
      </c>
      <c r="AB193" s="585">
        <f t="shared" si="145"/>
        <v>163824898.81275511</v>
      </c>
      <c r="AC193" s="585">
        <f t="shared" si="145"/>
        <v>163824898.81275511</v>
      </c>
      <c r="AD193" s="585">
        <f t="shared" si="145"/>
        <v>309824334.41224492</v>
      </c>
      <c r="AE193" s="585">
        <f t="shared" si="145"/>
        <v>309824334.41224492</v>
      </c>
      <c r="AF193" s="585">
        <f t="shared" si="145"/>
        <v>347936953.13877559</v>
      </c>
      <c r="AG193" s="585">
        <f t="shared" si="145"/>
        <v>44563658.033163264</v>
      </c>
      <c r="AH193" s="585">
        <f t="shared" si="145"/>
        <v>44563658.033163264</v>
      </c>
      <c r="AI193" s="585">
        <f t="shared" si="145"/>
        <v>44563658.033163264</v>
      </c>
      <c r="AJ193" s="585">
        <f t="shared" si="145"/>
        <v>44563658.033163264</v>
      </c>
      <c r="AK193" s="585">
        <f t="shared" si="145"/>
        <v>44563658.033163264</v>
      </c>
      <c r="AL193" s="585">
        <f t="shared" si="145"/>
        <v>44563658.033163264</v>
      </c>
      <c r="AM193" s="585">
        <f t="shared" si="145"/>
        <v>44563658.033163264</v>
      </c>
      <c r="AN193" s="585">
        <f t="shared" si="145"/>
        <v>89127316.066326529</v>
      </c>
      <c r="AO193" s="585">
        <f t="shared" si="145"/>
        <v>89127316.066326529</v>
      </c>
      <c r="AP193" s="585">
        <f t="shared" si="145"/>
        <v>89127316.066326529</v>
      </c>
      <c r="AQ193" s="585">
        <f t="shared" si="145"/>
        <v>89127316.066326529</v>
      </c>
      <c r="AR193" s="585">
        <f t="shared" si="145"/>
        <v>89127316.066326529</v>
      </c>
      <c r="AS193" s="585">
        <f t="shared" si="145"/>
        <v>0</v>
      </c>
      <c r="AT193" s="585">
        <f t="shared" si="145"/>
        <v>0</v>
      </c>
      <c r="AU193" s="585">
        <f t="shared" si="145"/>
        <v>0</v>
      </c>
      <c r="AV193" s="585">
        <f t="shared" si="145"/>
        <v>0</v>
      </c>
      <c r="AW193" s="585">
        <f t="shared" si="145"/>
        <v>0</v>
      </c>
      <c r="AX193" s="585">
        <f t="shared" si="145"/>
        <v>0</v>
      </c>
      <c r="AY193" s="585">
        <f t="shared" si="145"/>
        <v>0</v>
      </c>
      <c r="AZ193" s="585">
        <f t="shared" si="145"/>
        <v>0</v>
      </c>
      <c r="BA193" s="585">
        <f t="shared" si="145"/>
        <v>0</v>
      </c>
      <c r="BB193" s="585">
        <f t="shared" si="145"/>
        <v>0</v>
      </c>
      <c r="BC193" s="585">
        <f t="shared" si="145"/>
        <v>0</v>
      </c>
      <c r="BD193" s="585">
        <f t="shared" si="145"/>
        <v>0</v>
      </c>
      <c r="BE193" s="585">
        <f t="shared" si="145"/>
        <v>0</v>
      </c>
      <c r="BF193" s="585">
        <f t="shared" si="145"/>
        <v>0</v>
      </c>
      <c r="BG193" s="585">
        <f t="shared" si="145"/>
        <v>0</v>
      </c>
      <c r="BH193" s="585">
        <f t="shared" si="145"/>
        <v>0</v>
      </c>
      <c r="BI193" s="585">
        <f t="shared" si="145"/>
        <v>0</v>
      </c>
      <c r="BJ193" s="585">
        <f t="shared" si="145"/>
        <v>0</v>
      </c>
      <c r="BK193" s="585">
        <f t="shared" si="145"/>
        <v>0</v>
      </c>
      <c r="BL193" s="585">
        <f t="shared" si="145"/>
        <v>0</v>
      </c>
      <c r="BM193" s="585">
        <f t="shared" si="145"/>
        <v>0</v>
      </c>
      <c r="BN193" s="585">
        <f t="shared" si="145"/>
        <v>0</v>
      </c>
      <c r="BO193" s="585">
        <f t="shared" si="145"/>
        <v>0</v>
      </c>
      <c r="BP193" s="585">
        <f t="shared" si="145"/>
        <v>0</v>
      </c>
      <c r="BQ193" s="585">
        <f t="shared" si="145"/>
        <v>0</v>
      </c>
      <c r="BR193" s="585">
        <f t="shared" si="145"/>
        <v>0</v>
      </c>
      <c r="BS193" s="585">
        <f t="shared" si="145"/>
        <v>0</v>
      </c>
      <c r="BT193" s="585">
        <f t="shared" si="145"/>
        <v>0</v>
      </c>
      <c r="BU193" s="585">
        <f t="shared" ref="BU193:CB193" si="146">SUM(BU190:BU192)</f>
        <v>0</v>
      </c>
      <c r="BV193" s="585">
        <f t="shared" si="146"/>
        <v>0</v>
      </c>
      <c r="BW193" s="585">
        <f t="shared" si="146"/>
        <v>0</v>
      </c>
      <c r="BX193" s="585">
        <f t="shared" si="146"/>
        <v>0</v>
      </c>
      <c r="BY193" s="585">
        <f t="shared" si="146"/>
        <v>0</v>
      </c>
      <c r="BZ193" s="585">
        <f t="shared" si="146"/>
        <v>0</v>
      </c>
      <c r="CA193" s="585">
        <f t="shared" si="146"/>
        <v>0</v>
      </c>
      <c r="CB193" s="585">
        <f t="shared" si="146"/>
        <v>0</v>
      </c>
    </row>
    <row r="194" spans="1:108" ht="11.25" thickBot="1">
      <c r="C194" s="15"/>
      <c r="D194" s="42"/>
      <c r="I194" s="42"/>
      <c r="J194" s="42"/>
      <c r="K194" s="42"/>
      <c r="L194" s="42"/>
      <c r="M194" s="42"/>
      <c r="N194" s="42"/>
      <c r="O194" s="42"/>
      <c r="P194" s="42"/>
      <c r="Q194" s="42"/>
      <c r="R194" s="42"/>
      <c r="S194" s="42"/>
      <c r="T194" s="42"/>
      <c r="U194" s="42"/>
      <c r="V194" s="42"/>
      <c r="W194" s="42"/>
      <c r="X194" s="42"/>
      <c r="Y194" s="42"/>
      <c r="Z194" s="42"/>
      <c r="AA194" s="42"/>
      <c r="AB194" s="42"/>
      <c r="AC194" s="42"/>
      <c r="AD194" s="42"/>
      <c r="AE194" s="42"/>
      <c r="AF194" s="42"/>
      <c r="AG194" s="42"/>
      <c r="AH194" s="42"/>
      <c r="AI194" s="42"/>
      <c r="AJ194" s="42"/>
    </row>
    <row r="195" spans="1:108" ht="13.5" thickBot="1">
      <c r="B195" s="1500" t="s">
        <v>1548</v>
      </c>
      <c r="C195" s="1501"/>
      <c r="D195" s="1513">
        <f>'Sens WIP'!D9</f>
        <v>0</v>
      </c>
      <c r="I195" s="42"/>
      <c r="J195" s="42"/>
      <c r="K195" s="42"/>
      <c r="L195" s="42"/>
      <c r="M195" s="42"/>
      <c r="N195" s="42"/>
      <c r="O195" s="42"/>
      <c r="P195" s="42"/>
      <c r="Q195" s="42"/>
      <c r="R195" s="42"/>
      <c r="S195" s="42"/>
      <c r="T195" s="42"/>
      <c r="U195" s="42"/>
      <c r="V195" s="42"/>
      <c r="W195" s="42"/>
      <c r="X195" s="42"/>
      <c r="Y195" s="42"/>
      <c r="Z195" s="42"/>
      <c r="AA195" s="42"/>
      <c r="AB195" s="42"/>
      <c r="AC195" s="42"/>
      <c r="AD195" s="42"/>
      <c r="AE195" s="42"/>
      <c r="AF195" s="42"/>
      <c r="AG195" s="42"/>
      <c r="AH195" s="42"/>
      <c r="AI195" s="42"/>
      <c r="AJ195" s="42"/>
    </row>
    <row r="196" spans="1:108">
      <c r="B196" s="2" t="s">
        <v>965</v>
      </c>
      <c r="C196" s="15"/>
      <c r="D196" s="42"/>
      <c r="I196" s="42">
        <f>I55+I93+I132+I172</f>
        <v>58399774.239795923</v>
      </c>
      <c r="J196" s="42">
        <f t="shared" ref="J196:BU196" si="147">J55+J93+J132+J172</f>
        <v>58399774.239795923</v>
      </c>
      <c r="K196" s="42">
        <f t="shared" si="147"/>
        <v>58399774.239795923</v>
      </c>
      <c r="L196" s="42">
        <f t="shared" si="147"/>
        <v>58399774.239795923</v>
      </c>
      <c r="M196" s="42">
        <f t="shared" si="147"/>
        <v>58399774.239795923</v>
      </c>
      <c r="N196" s="42">
        <f t="shared" si="147"/>
        <v>58399774.239795923</v>
      </c>
      <c r="O196" s="42">
        <f t="shared" si="147"/>
        <v>58399774.239795923</v>
      </c>
      <c r="P196" s="42">
        <f t="shared" si="147"/>
        <v>58399774.239795923</v>
      </c>
      <c r="Q196" s="42">
        <f t="shared" si="147"/>
        <v>58399774.239795923</v>
      </c>
      <c r="R196" s="42">
        <f t="shared" si="147"/>
        <v>58399774.239795923</v>
      </c>
      <c r="S196" s="42">
        <f t="shared" si="147"/>
        <v>58399774.239795923</v>
      </c>
      <c r="T196" s="42">
        <f t="shared" si="147"/>
        <v>58399774.239795923</v>
      </c>
      <c r="U196" s="42">
        <f t="shared" si="147"/>
        <v>145999435.59948981</v>
      </c>
      <c r="V196" s="42">
        <f t="shared" si="147"/>
        <v>145999435.59948981</v>
      </c>
      <c r="W196" s="42">
        <f t="shared" si="147"/>
        <v>145999435.59948981</v>
      </c>
      <c r="X196" s="42">
        <f t="shared" si="147"/>
        <v>145999435.59948981</v>
      </c>
      <c r="Y196" s="42">
        <f t="shared" si="147"/>
        <v>145999435.59948981</v>
      </c>
      <c r="Z196" s="42">
        <f t="shared" si="147"/>
        <v>163824898.81275511</v>
      </c>
      <c r="AA196" s="42">
        <f t="shared" si="147"/>
        <v>163824898.81275511</v>
      </c>
      <c r="AB196" s="42">
        <f t="shared" si="147"/>
        <v>163824898.81275511</v>
      </c>
      <c r="AC196" s="42">
        <f t="shared" si="147"/>
        <v>163824898.81275511</v>
      </c>
      <c r="AD196" s="42">
        <f t="shared" si="147"/>
        <v>309824334.41224492</v>
      </c>
      <c r="AE196" s="42">
        <f t="shared" si="147"/>
        <v>309824334.41224492</v>
      </c>
      <c r="AF196" s="42">
        <f t="shared" si="147"/>
        <v>347936953.13877547</v>
      </c>
      <c r="AG196" s="42">
        <f t="shared" si="147"/>
        <v>44563658.033163264</v>
      </c>
      <c r="AH196" s="42">
        <f t="shared" si="147"/>
        <v>44563658.033163264</v>
      </c>
      <c r="AI196" s="42">
        <f t="shared" si="147"/>
        <v>44563658.033163264</v>
      </c>
      <c r="AJ196" s="42">
        <f t="shared" si="147"/>
        <v>44563658.033163264</v>
      </c>
      <c r="AK196" s="42">
        <f t="shared" si="147"/>
        <v>44563658.033163264</v>
      </c>
      <c r="AL196" s="42">
        <f t="shared" si="147"/>
        <v>44563658.033163264</v>
      </c>
      <c r="AM196" s="42">
        <f t="shared" si="147"/>
        <v>44563658.033163264</v>
      </c>
      <c r="AN196" s="42">
        <f t="shared" si="147"/>
        <v>89127316.066326529</v>
      </c>
      <c r="AO196" s="42">
        <f t="shared" si="147"/>
        <v>89127316.066326529</v>
      </c>
      <c r="AP196" s="42">
        <f t="shared" si="147"/>
        <v>89127316.066326529</v>
      </c>
      <c r="AQ196" s="42">
        <f t="shared" si="147"/>
        <v>89127316.066326529</v>
      </c>
      <c r="AR196" s="42">
        <f t="shared" si="147"/>
        <v>89127316.066326529</v>
      </c>
      <c r="AS196" s="42">
        <f t="shared" si="147"/>
        <v>0</v>
      </c>
      <c r="AT196" s="42">
        <f t="shared" si="147"/>
        <v>0</v>
      </c>
      <c r="AU196" s="42">
        <f t="shared" si="147"/>
        <v>0</v>
      </c>
      <c r="AV196" s="42">
        <f t="shared" si="147"/>
        <v>0</v>
      </c>
      <c r="AW196" s="42">
        <f t="shared" si="147"/>
        <v>0</v>
      </c>
      <c r="AX196" s="42">
        <f t="shared" si="147"/>
        <v>0</v>
      </c>
      <c r="AY196" s="42">
        <f t="shared" si="147"/>
        <v>0</v>
      </c>
      <c r="AZ196" s="42">
        <f t="shared" si="147"/>
        <v>0</v>
      </c>
      <c r="BA196" s="42">
        <f t="shared" si="147"/>
        <v>0</v>
      </c>
      <c r="BB196" s="42">
        <f t="shared" si="147"/>
        <v>0</v>
      </c>
      <c r="BC196" s="42">
        <f t="shared" si="147"/>
        <v>0</v>
      </c>
      <c r="BD196" s="42">
        <f t="shared" si="147"/>
        <v>0</v>
      </c>
      <c r="BE196" s="42">
        <f t="shared" si="147"/>
        <v>0</v>
      </c>
      <c r="BF196" s="42">
        <f t="shared" si="147"/>
        <v>0</v>
      </c>
      <c r="BG196" s="42">
        <f t="shared" si="147"/>
        <v>0</v>
      </c>
      <c r="BH196" s="42">
        <f t="shared" si="147"/>
        <v>0</v>
      </c>
      <c r="BI196" s="42">
        <f t="shared" si="147"/>
        <v>0</v>
      </c>
      <c r="BJ196" s="42">
        <f t="shared" si="147"/>
        <v>0</v>
      </c>
      <c r="BK196" s="42">
        <f t="shared" si="147"/>
        <v>0</v>
      </c>
      <c r="BL196" s="42">
        <f t="shared" si="147"/>
        <v>0</v>
      </c>
      <c r="BM196" s="42">
        <f t="shared" si="147"/>
        <v>0</v>
      </c>
      <c r="BN196" s="42">
        <f t="shared" si="147"/>
        <v>0</v>
      </c>
      <c r="BO196" s="42">
        <f t="shared" si="147"/>
        <v>0</v>
      </c>
      <c r="BP196" s="42">
        <f t="shared" si="147"/>
        <v>0</v>
      </c>
      <c r="BQ196" s="42">
        <f t="shared" si="147"/>
        <v>0</v>
      </c>
      <c r="BR196" s="42">
        <f t="shared" si="147"/>
        <v>0</v>
      </c>
      <c r="BS196" s="42">
        <f t="shared" si="147"/>
        <v>0</v>
      </c>
      <c r="BT196" s="42">
        <f t="shared" si="147"/>
        <v>0</v>
      </c>
      <c r="BU196" s="42">
        <f t="shared" si="147"/>
        <v>0</v>
      </c>
      <c r="BV196" s="42">
        <f t="shared" ref="BV196:CB196" si="148">BV55+BV93+BV132+BV172</f>
        <v>0</v>
      </c>
      <c r="BW196" s="42">
        <f t="shared" si="148"/>
        <v>0</v>
      </c>
      <c r="BX196" s="42">
        <f t="shared" si="148"/>
        <v>0</v>
      </c>
      <c r="BY196" s="42">
        <f t="shared" si="148"/>
        <v>0</v>
      </c>
      <c r="BZ196" s="42">
        <f t="shared" si="148"/>
        <v>0</v>
      </c>
      <c r="CA196" s="42">
        <f t="shared" si="148"/>
        <v>0</v>
      </c>
      <c r="CB196" s="42">
        <f t="shared" si="148"/>
        <v>0</v>
      </c>
    </row>
    <row r="197" spans="1:108">
      <c r="B197" s="2" t="s">
        <v>1549</v>
      </c>
      <c r="C197" s="15"/>
      <c r="D197" s="42"/>
      <c r="I197" s="42">
        <f>I196*(1+$D$195)</f>
        <v>58399774.239795923</v>
      </c>
      <c r="J197" s="42">
        <f t="shared" ref="J197:BU197" si="149">J196*(1+$D$195)</f>
        <v>58399774.239795923</v>
      </c>
      <c r="K197" s="42">
        <f t="shared" si="149"/>
        <v>58399774.239795923</v>
      </c>
      <c r="L197" s="42">
        <f t="shared" si="149"/>
        <v>58399774.239795923</v>
      </c>
      <c r="M197" s="42">
        <f t="shared" si="149"/>
        <v>58399774.239795923</v>
      </c>
      <c r="N197" s="42">
        <f t="shared" si="149"/>
        <v>58399774.239795923</v>
      </c>
      <c r="O197" s="42">
        <f t="shared" si="149"/>
        <v>58399774.239795923</v>
      </c>
      <c r="P197" s="42">
        <f t="shared" si="149"/>
        <v>58399774.239795923</v>
      </c>
      <c r="Q197" s="42">
        <f t="shared" si="149"/>
        <v>58399774.239795923</v>
      </c>
      <c r="R197" s="42">
        <f t="shared" si="149"/>
        <v>58399774.239795923</v>
      </c>
      <c r="S197" s="42">
        <f t="shared" si="149"/>
        <v>58399774.239795923</v>
      </c>
      <c r="T197" s="42">
        <f t="shared" si="149"/>
        <v>58399774.239795923</v>
      </c>
      <c r="U197" s="42">
        <f t="shared" si="149"/>
        <v>145999435.59948981</v>
      </c>
      <c r="V197" s="42">
        <f t="shared" si="149"/>
        <v>145999435.59948981</v>
      </c>
      <c r="W197" s="42">
        <f t="shared" si="149"/>
        <v>145999435.59948981</v>
      </c>
      <c r="X197" s="42">
        <f t="shared" si="149"/>
        <v>145999435.59948981</v>
      </c>
      <c r="Y197" s="42">
        <f t="shared" si="149"/>
        <v>145999435.59948981</v>
      </c>
      <c r="Z197" s="42">
        <f t="shared" si="149"/>
        <v>163824898.81275511</v>
      </c>
      <c r="AA197" s="42">
        <f t="shared" si="149"/>
        <v>163824898.81275511</v>
      </c>
      <c r="AB197" s="42">
        <f t="shared" si="149"/>
        <v>163824898.81275511</v>
      </c>
      <c r="AC197" s="42">
        <f t="shared" si="149"/>
        <v>163824898.81275511</v>
      </c>
      <c r="AD197" s="42">
        <f t="shared" si="149"/>
        <v>309824334.41224492</v>
      </c>
      <c r="AE197" s="42">
        <f t="shared" si="149"/>
        <v>309824334.41224492</v>
      </c>
      <c r="AF197" s="42">
        <f t="shared" si="149"/>
        <v>347936953.13877547</v>
      </c>
      <c r="AG197" s="42">
        <f t="shared" si="149"/>
        <v>44563658.033163264</v>
      </c>
      <c r="AH197" s="42">
        <f t="shared" si="149"/>
        <v>44563658.033163264</v>
      </c>
      <c r="AI197" s="42">
        <f t="shared" si="149"/>
        <v>44563658.033163264</v>
      </c>
      <c r="AJ197" s="42">
        <f t="shared" si="149"/>
        <v>44563658.033163264</v>
      </c>
      <c r="AK197" s="42">
        <f t="shared" si="149"/>
        <v>44563658.033163264</v>
      </c>
      <c r="AL197" s="42">
        <f t="shared" si="149"/>
        <v>44563658.033163264</v>
      </c>
      <c r="AM197" s="42">
        <f t="shared" si="149"/>
        <v>44563658.033163264</v>
      </c>
      <c r="AN197" s="42">
        <f t="shared" si="149"/>
        <v>89127316.066326529</v>
      </c>
      <c r="AO197" s="42">
        <f t="shared" si="149"/>
        <v>89127316.066326529</v>
      </c>
      <c r="AP197" s="42">
        <f t="shared" si="149"/>
        <v>89127316.066326529</v>
      </c>
      <c r="AQ197" s="42">
        <f t="shared" si="149"/>
        <v>89127316.066326529</v>
      </c>
      <c r="AR197" s="42">
        <f t="shared" si="149"/>
        <v>89127316.066326529</v>
      </c>
      <c r="AS197" s="42">
        <f t="shared" si="149"/>
        <v>0</v>
      </c>
      <c r="AT197" s="42">
        <f t="shared" si="149"/>
        <v>0</v>
      </c>
      <c r="AU197" s="42">
        <f t="shared" si="149"/>
        <v>0</v>
      </c>
      <c r="AV197" s="42">
        <f t="shared" si="149"/>
        <v>0</v>
      </c>
      <c r="AW197" s="42">
        <f t="shared" si="149"/>
        <v>0</v>
      </c>
      <c r="AX197" s="42">
        <f t="shared" si="149"/>
        <v>0</v>
      </c>
      <c r="AY197" s="42">
        <f t="shared" si="149"/>
        <v>0</v>
      </c>
      <c r="AZ197" s="42">
        <f t="shared" si="149"/>
        <v>0</v>
      </c>
      <c r="BA197" s="42">
        <f t="shared" si="149"/>
        <v>0</v>
      </c>
      <c r="BB197" s="42">
        <f t="shared" si="149"/>
        <v>0</v>
      </c>
      <c r="BC197" s="42">
        <f t="shared" si="149"/>
        <v>0</v>
      </c>
      <c r="BD197" s="42">
        <f t="shared" si="149"/>
        <v>0</v>
      </c>
      <c r="BE197" s="42">
        <f t="shared" si="149"/>
        <v>0</v>
      </c>
      <c r="BF197" s="42">
        <f t="shared" si="149"/>
        <v>0</v>
      </c>
      <c r="BG197" s="42">
        <f t="shared" si="149"/>
        <v>0</v>
      </c>
      <c r="BH197" s="42">
        <f t="shared" si="149"/>
        <v>0</v>
      </c>
      <c r="BI197" s="42">
        <f t="shared" si="149"/>
        <v>0</v>
      </c>
      <c r="BJ197" s="42">
        <f t="shared" si="149"/>
        <v>0</v>
      </c>
      <c r="BK197" s="42">
        <f t="shared" si="149"/>
        <v>0</v>
      </c>
      <c r="BL197" s="42">
        <f t="shared" si="149"/>
        <v>0</v>
      </c>
      <c r="BM197" s="42">
        <f t="shared" si="149"/>
        <v>0</v>
      </c>
      <c r="BN197" s="42">
        <f t="shared" si="149"/>
        <v>0</v>
      </c>
      <c r="BO197" s="42">
        <f t="shared" si="149"/>
        <v>0</v>
      </c>
      <c r="BP197" s="42">
        <f t="shared" si="149"/>
        <v>0</v>
      </c>
      <c r="BQ197" s="42">
        <f t="shared" si="149"/>
        <v>0</v>
      </c>
      <c r="BR197" s="42">
        <f t="shared" si="149"/>
        <v>0</v>
      </c>
      <c r="BS197" s="42">
        <f t="shared" si="149"/>
        <v>0</v>
      </c>
      <c r="BT197" s="42">
        <f t="shared" si="149"/>
        <v>0</v>
      </c>
      <c r="BU197" s="42">
        <f t="shared" si="149"/>
        <v>0</v>
      </c>
      <c r="BV197" s="42">
        <f t="shared" ref="BV197:CB197" si="150">BV196*(1+$D$195)</f>
        <v>0</v>
      </c>
      <c r="BW197" s="42">
        <f t="shared" si="150"/>
        <v>0</v>
      </c>
      <c r="BX197" s="42">
        <f t="shared" si="150"/>
        <v>0</v>
      </c>
      <c r="BY197" s="42">
        <f t="shared" si="150"/>
        <v>0</v>
      </c>
      <c r="BZ197" s="42">
        <f t="shared" si="150"/>
        <v>0</v>
      </c>
      <c r="CA197" s="42">
        <f t="shared" si="150"/>
        <v>0</v>
      </c>
      <c r="CB197" s="42">
        <f t="shared" si="150"/>
        <v>0</v>
      </c>
    </row>
    <row r="198" spans="1:108">
      <c r="C198" s="15"/>
      <c r="D198" s="42"/>
      <c r="I198" s="42"/>
      <c r="J198" s="42"/>
      <c r="K198" s="42"/>
      <c r="L198" s="42"/>
      <c r="M198" s="42"/>
      <c r="N198" s="42"/>
      <c r="O198" s="42"/>
      <c r="P198" s="42"/>
      <c r="Q198" s="42"/>
      <c r="R198" s="42"/>
      <c r="S198" s="42"/>
      <c r="T198" s="42"/>
      <c r="U198" s="42"/>
      <c r="V198" s="42"/>
      <c r="W198" s="42"/>
      <c r="X198" s="42"/>
      <c r="Y198" s="42"/>
      <c r="Z198" s="42"/>
      <c r="AA198" s="42"/>
      <c r="AB198" s="42"/>
      <c r="AC198" s="42"/>
      <c r="AD198" s="42"/>
      <c r="AE198" s="42"/>
      <c r="AF198" s="42"/>
      <c r="AG198" s="42"/>
      <c r="AH198" s="42"/>
      <c r="AI198" s="42"/>
      <c r="AJ198" s="42"/>
    </row>
    <row r="199" spans="1:108" ht="12.75">
      <c r="C199" s="15"/>
      <c r="D199" s="42" t="s">
        <v>1602</v>
      </c>
      <c r="I199" s="1517">
        <f>I196-I197</f>
        <v>0</v>
      </c>
      <c r="J199" s="1517">
        <f t="shared" ref="J199:AY199" si="151">J196-J197</f>
        <v>0</v>
      </c>
      <c r="K199" s="1517">
        <f t="shared" si="151"/>
        <v>0</v>
      </c>
      <c r="L199" s="1517">
        <f t="shared" si="151"/>
        <v>0</v>
      </c>
      <c r="M199" s="1517">
        <f t="shared" si="151"/>
        <v>0</v>
      </c>
      <c r="N199" s="1517">
        <f t="shared" si="151"/>
        <v>0</v>
      </c>
      <c r="O199" s="1517">
        <f t="shared" si="151"/>
        <v>0</v>
      </c>
      <c r="P199" s="1517">
        <f t="shared" si="151"/>
        <v>0</v>
      </c>
      <c r="Q199" s="1517">
        <f t="shared" si="151"/>
        <v>0</v>
      </c>
      <c r="R199" s="1517">
        <f t="shared" si="151"/>
        <v>0</v>
      </c>
      <c r="S199" s="1517">
        <f t="shared" si="151"/>
        <v>0</v>
      </c>
      <c r="T199" s="1517">
        <f t="shared" si="151"/>
        <v>0</v>
      </c>
      <c r="U199" s="1517">
        <f t="shared" si="151"/>
        <v>0</v>
      </c>
      <c r="V199" s="1517">
        <f t="shared" si="151"/>
        <v>0</v>
      </c>
      <c r="W199" s="1517">
        <f t="shared" si="151"/>
        <v>0</v>
      </c>
      <c r="X199" s="1517">
        <f t="shared" si="151"/>
        <v>0</v>
      </c>
      <c r="Y199" s="1517">
        <f t="shared" si="151"/>
        <v>0</v>
      </c>
      <c r="Z199" s="1517">
        <f t="shared" si="151"/>
        <v>0</v>
      </c>
      <c r="AA199" s="1517">
        <f t="shared" si="151"/>
        <v>0</v>
      </c>
      <c r="AB199" s="1517">
        <f t="shared" si="151"/>
        <v>0</v>
      </c>
      <c r="AC199" s="1517">
        <f t="shared" si="151"/>
        <v>0</v>
      </c>
      <c r="AD199" s="1517">
        <f t="shared" si="151"/>
        <v>0</v>
      </c>
      <c r="AE199" s="1517">
        <f t="shared" si="151"/>
        <v>0</v>
      </c>
      <c r="AF199" s="1517">
        <f t="shared" si="151"/>
        <v>0</v>
      </c>
      <c r="AG199" s="1517">
        <f t="shared" si="151"/>
        <v>0</v>
      </c>
      <c r="AH199" s="1517">
        <f t="shared" si="151"/>
        <v>0</v>
      </c>
      <c r="AI199" s="1517">
        <f t="shared" si="151"/>
        <v>0</v>
      </c>
      <c r="AJ199" s="1517">
        <f t="shared" si="151"/>
        <v>0</v>
      </c>
      <c r="AK199" s="1517">
        <f t="shared" si="151"/>
        <v>0</v>
      </c>
      <c r="AL199" s="1517">
        <f t="shared" si="151"/>
        <v>0</v>
      </c>
      <c r="AM199" s="1517">
        <f t="shared" si="151"/>
        <v>0</v>
      </c>
      <c r="AN199" s="1517">
        <f t="shared" si="151"/>
        <v>0</v>
      </c>
      <c r="AO199" s="1517">
        <f t="shared" si="151"/>
        <v>0</v>
      </c>
      <c r="AP199" s="1517">
        <f t="shared" si="151"/>
        <v>0</v>
      </c>
      <c r="AQ199" s="1517">
        <f t="shared" si="151"/>
        <v>0</v>
      </c>
      <c r="AR199" s="1517">
        <f t="shared" si="151"/>
        <v>0</v>
      </c>
      <c r="AS199" s="1517">
        <f t="shared" si="151"/>
        <v>0</v>
      </c>
      <c r="AT199" s="1517">
        <f t="shared" si="151"/>
        <v>0</v>
      </c>
      <c r="AU199" s="1517">
        <f t="shared" si="151"/>
        <v>0</v>
      </c>
      <c r="AV199" s="1517">
        <f t="shared" si="151"/>
        <v>0</v>
      </c>
      <c r="AW199" s="1517">
        <f t="shared" si="151"/>
        <v>0</v>
      </c>
      <c r="AX199" s="1517">
        <f t="shared" si="151"/>
        <v>0</v>
      </c>
      <c r="AY199" s="1517">
        <f t="shared" si="151"/>
        <v>0</v>
      </c>
    </row>
    <row r="201" spans="1:108">
      <c r="A201" s="103" t="s">
        <v>223</v>
      </c>
      <c r="B201" s="9"/>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BA201" s="590"/>
      <c r="BP201" s="9"/>
      <c r="BQ201" s="9"/>
      <c r="BR201" s="9"/>
      <c r="BS201" s="9"/>
      <c r="BT201" s="9"/>
      <c r="BU201" s="9"/>
      <c r="BV201" s="9"/>
      <c r="BW201" s="9"/>
      <c r="BX201" s="9"/>
      <c r="BY201" s="9"/>
      <c r="BZ201" s="9"/>
      <c r="CA201" s="9"/>
      <c r="CB201" s="9"/>
      <c r="CC201" s="9"/>
      <c r="CD201" s="9"/>
      <c r="CE201" s="9"/>
      <c r="CF201" s="9"/>
      <c r="CG201" s="9"/>
      <c r="CH201" s="9"/>
      <c r="CI201" s="9"/>
      <c r="CJ201" s="9"/>
      <c r="CK201" s="9"/>
      <c r="CL201" s="9"/>
      <c r="CM201" s="9"/>
      <c r="CN201" s="9"/>
      <c r="CO201" s="9"/>
      <c r="CP201" s="9"/>
      <c r="CQ201" s="9"/>
      <c r="CR201" s="9"/>
      <c r="CS201" s="9"/>
      <c r="CT201" s="9"/>
      <c r="CU201" s="9"/>
      <c r="CV201" s="9"/>
      <c r="CW201" s="9"/>
      <c r="CX201" s="9"/>
      <c r="CY201" s="9"/>
      <c r="CZ201" s="9"/>
      <c r="DA201" s="9"/>
      <c r="DB201" s="9"/>
      <c r="DC201" s="9"/>
      <c r="DD201" s="9"/>
    </row>
    <row r="203" spans="1:108">
      <c r="B203" s="10" t="s">
        <v>224</v>
      </c>
    </row>
    <row r="205" spans="1:108">
      <c r="B205" s="2" t="s">
        <v>225</v>
      </c>
      <c r="C205" s="15" t="str">
        <f>$C$20</f>
        <v>US$</v>
      </c>
      <c r="D205" s="118">
        <f>'Reserve Accounts'!D46</f>
        <v>0</v>
      </c>
    </row>
    <row r="206" spans="1:108">
      <c r="B206" s="27" t="s">
        <v>226</v>
      </c>
      <c r="C206" s="28" t="str">
        <f>$C$20</f>
        <v>US$</v>
      </c>
      <c r="D206" s="126"/>
    </row>
    <row r="207" spans="1:108">
      <c r="B207" s="2" t="s">
        <v>71</v>
      </c>
      <c r="C207" s="15" t="str">
        <f>$C$20</f>
        <v>US$</v>
      </c>
      <c r="D207" s="42">
        <f>SUM(D205:D206)</f>
        <v>0</v>
      </c>
    </row>
    <row r="208" spans="1:108" ht="10.9" customHeight="1">
      <c r="A208" s="12"/>
    </row>
    <row r="209" spans="1:81">
      <c r="B209" s="2" t="s">
        <v>220</v>
      </c>
      <c r="C209" s="15" t="str">
        <f t="shared" ref="C209:C214" si="152">$C$20</f>
        <v>US$</v>
      </c>
      <c r="D209" s="42">
        <f>SUM(I209:CB209)</f>
        <v>3811261872.65306</v>
      </c>
      <c r="I209" s="41">
        <f>I197</f>
        <v>58399774.239795923</v>
      </c>
      <c r="J209" s="41">
        <f t="shared" ref="J209:BU209" si="153">J197</f>
        <v>58399774.239795923</v>
      </c>
      <c r="K209" s="41">
        <f t="shared" si="153"/>
        <v>58399774.239795923</v>
      </c>
      <c r="L209" s="41">
        <f t="shared" si="153"/>
        <v>58399774.239795923</v>
      </c>
      <c r="M209" s="41">
        <f t="shared" si="153"/>
        <v>58399774.239795923</v>
      </c>
      <c r="N209" s="41">
        <f t="shared" si="153"/>
        <v>58399774.239795923</v>
      </c>
      <c r="O209" s="41">
        <f t="shared" si="153"/>
        <v>58399774.239795923</v>
      </c>
      <c r="P209" s="41">
        <f t="shared" si="153"/>
        <v>58399774.239795923</v>
      </c>
      <c r="Q209" s="41">
        <f t="shared" si="153"/>
        <v>58399774.239795923</v>
      </c>
      <c r="R209" s="41">
        <f t="shared" si="153"/>
        <v>58399774.239795923</v>
      </c>
      <c r="S209" s="41">
        <f t="shared" si="153"/>
        <v>58399774.239795923</v>
      </c>
      <c r="T209" s="41">
        <f t="shared" si="153"/>
        <v>58399774.239795923</v>
      </c>
      <c r="U209" s="41">
        <f t="shared" si="153"/>
        <v>145999435.59948981</v>
      </c>
      <c r="V209" s="41">
        <f t="shared" si="153"/>
        <v>145999435.59948981</v>
      </c>
      <c r="W209" s="41">
        <f t="shared" si="153"/>
        <v>145999435.59948981</v>
      </c>
      <c r="X209" s="41">
        <f t="shared" si="153"/>
        <v>145999435.59948981</v>
      </c>
      <c r="Y209" s="41">
        <f t="shared" si="153"/>
        <v>145999435.59948981</v>
      </c>
      <c r="Z209" s="41">
        <f t="shared" si="153"/>
        <v>163824898.81275511</v>
      </c>
      <c r="AA209" s="41">
        <f t="shared" si="153"/>
        <v>163824898.81275511</v>
      </c>
      <c r="AB209" s="41">
        <f t="shared" si="153"/>
        <v>163824898.81275511</v>
      </c>
      <c r="AC209" s="41">
        <f t="shared" si="153"/>
        <v>163824898.81275511</v>
      </c>
      <c r="AD209" s="41">
        <f t="shared" si="153"/>
        <v>309824334.41224492</v>
      </c>
      <c r="AE209" s="41">
        <f t="shared" si="153"/>
        <v>309824334.41224492</v>
      </c>
      <c r="AF209" s="41">
        <f>AF197</f>
        <v>347936953.13877547</v>
      </c>
      <c r="AG209" s="41">
        <f t="shared" si="153"/>
        <v>44563658.033163264</v>
      </c>
      <c r="AH209" s="41">
        <f t="shared" si="153"/>
        <v>44563658.033163264</v>
      </c>
      <c r="AI209" s="41">
        <f t="shared" si="153"/>
        <v>44563658.033163264</v>
      </c>
      <c r="AJ209" s="41">
        <f t="shared" si="153"/>
        <v>44563658.033163264</v>
      </c>
      <c r="AK209" s="41">
        <f t="shared" si="153"/>
        <v>44563658.033163264</v>
      </c>
      <c r="AL209" s="41">
        <f t="shared" si="153"/>
        <v>44563658.033163264</v>
      </c>
      <c r="AM209" s="41">
        <f t="shared" si="153"/>
        <v>44563658.033163264</v>
      </c>
      <c r="AN209" s="41">
        <f t="shared" si="153"/>
        <v>89127316.066326529</v>
      </c>
      <c r="AO209" s="41">
        <f t="shared" si="153"/>
        <v>89127316.066326529</v>
      </c>
      <c r="AP209" s="41">
        <f t="shared" si="153"/>
        <v>89127316.066326529</v>
      </c>
      <c r="AQ209" s="41">
        <f t="shared" si="153"/>
        <v>89127316.066326529</v>
      </c>
      <c r="AR209" s="41">
        <f t="shared" si="153"/>
        <v>89127316.066326529</v>
      </c>
      <c r="AS209" s="41">
        <f t="shared" si="153"/>
        <v>0</v>
      </c>
      <c r="AT209" s="41">
        <f t="shared" si="153"/>
        <v>0</v>
      </c>
      <c r="AU209" s="41">
        <f t="shared" si="153"/>
        <v>0</v>
      </c>
      <c r="AV209" s="41">
        <f t="shared" si="153"/>
        <v>0</v>
      </c>
      <c r="AW209" s="41">
        <f t="shared" si="153"/>
        <v>0</v>
      </c>
      <c r="AX209" s="41">
        <f t="shared" si="153"/>
        <v>0</v>
      </c>
      <c r="AY209" s="41">
        <f>AY197</f>
        <v>0</v>
      </c>
      <c r="AZ209" s="41">
        <f t="shared" si="153"/>
        <v>0</v>
      </c>
      <c r="BA209" s="41">
        <f t="shared" si="153"/>
        <v>0</v>
      </c>
      <c r="BB209" s="41">
        <f t="shared" si="153"/>
        <v>0</v>
      </c>
      <c r="BC209" s="41">
        <f t="shared" si="153"/>
        <v>0</v>
      </c>
      <c r="BD209" s="41">
        <f t="shared" si="153"/>
        <v>0</v>
      </c>
      <c r="BE209" s="41">
        <f t="shared" si="153"/>
        <v>0</v>
      </c>
      <c r="BF209" s="41">
        <f t="shared" si="153"/>
        <v>0</v>
      </c>
      <c r="BG209" s="41">
        <f t="shared" si="153"/>
        <v>0</v>
      </c>
      <c r="BH209" s="41">
        <f t="shared" si="153"/>
        <v>0</v>
      </c>
      <c r="BI209" s="41">
        <f t="shared" si="153"/>
        <v>0</v>
      </c>
      <c r="BJ209" s="41">
        <f t="shared" si="153"/>
        <v>0</v>
      </c>
      <c r="BK209" s="41">
        <f t="shared" si="153"/>
        <v>0</v>
      </c>
      <c r="BL209" s="41">
        <f t="shared" si="153"/>
        <v>0</v>
      </c>
      <c r="BM209" s="41">
        <f t="shared" si="153"/>
        <v>0</v>
      </c>
      <c r="BN209" s="41">
        <f t="shared" si="153"/>
        <v>0</v>
      </c>
      <c r="BO209" s="41">
        <f t="shared" si="153"/>
        <v>0</v>
      </c>
      <c r="BP209" s="41">
        <f t="shared" si="153"/>
        <v>0</v>
      </c>
      <c r="BQ209" s="41">
        <f t="shared" si="153"/>
        <v>0</v>
      </c>
      <c r="BR209" s="41">
        <f t="shared" si="153"/>
        <v>0</v>
      </c>
      <c r="BS209" s="41">
        <f t="shared" si="153"/>
        <v>0</v>
      </c>
      <c r="BT209" s="41">
        <f t="shared" si="153"/>
        <v>0</v>
      </c>
      <c r="BU209" s="41">
        <f t="shared" si="153"/>
        <v>0</v>
      </c>
      <c r="BV209" s="41">
        <f t="shared" ref="BV209:CC209" si="154">BV197</f>
        <v>0</v>
      </c>
      <c r="BW209" s="41">
        <f t="shared" si="154"/>
        <v>0</v>
      </c>
      <c r="BX209" s="41">
        <f t="shared" si="154"/>
        <v>0</v>
      </c>
      <c r="BY209" s="41">
        <f t="shared" si="154"/>
        <v>0</v>
      </c>
      <c r="BZ209" s="41">
        <f t="shared" si="154"/>
        <v>0</v>
      </c>
      <c r="CA209" s="41">
        <f t="shared" si="154"/>
        <v>0</v>
      </c>
      <c r="CB209" s="41">
        <f t="shared" si="154"/>
        <v>0</v>
      </c>
      <c r="CC209" s="41">
        <f t="shared" si="154"/>
        <v>0</v>
      </c>
    </row>
    <row r="210" spans="1:81">
      <c r="B210" s="2" t="s">
        <v>221</v>
      </c>
      <c r="C210" s="15" t="str">
        <f t="shared" si="152"/>
        <v>US$</v>
      </c>
      <c r="D210" s="41">
        <f>SUM(I210:CB210)</f>
        <v>300206062.49756461</v>
      </c>
      <c r="I210" s="41">
        <f t="shared" ref="I210:AY210" si="155">I49</f>
        <v>0</v>
      </c>
      <c r="J210" s="41">
        <f t="shared" si="155"/>
        <v>0</v>
      </c>
      <c r="K210" s="41">
        <f t="shared" si="155"/>
        <v>0</v>
      </c>
      <c r="L210" s="41">
        <f t="shared" si="155"/>
        <v>0</v>
      </c>
      <c r="M210" s="41">
        <f t="shared" si="155"/>
        <v>0</v>
      </c>
      <c r="N210" s="41">
        <f t="shared" si="155"/>
        <v>0</v>
      </c>
      <c r="O210" s="41">
        <f t="shared" si="155"/>
        <v>0</v>
      </c>
      <c r="P210" s="41">
        <f t="shared" si="155"/>
        <v>0</v>
      </c>
      <c r="Q210" s="41">
        <f t="shared" si="155"/>
        <v>0</v>
      </c>
      <c r="R210" s="41">
        <f t="shared" si="155"/>
        <v>0</v>
      </c>
      <c r="S210" s="41">
        <f t="shared" si="155"/>
        <v>0</v>
      </c>
      <c r="T210" s="41">
        <f t="shared" si="155"/>
        <v>0</v>
      </c>
      <c r="U210" s="41">
        <f t="shared" si="155"/>
        <v>0</v>
      </c>
      <c r="V210" s="41">
        <f t="shared" si="155"/>
        <v>0</v>
      </c>
      <c r="W210" s="41">
        <f t="shared" si="155"/>
        <v>0</v>
      </c>
      <c r="X210" s="41">
        <f t="shared" si="155"/>
        <v>503587.96815046604</v>
      </c>
      <c r="Y210" s="41">
        <f>Y49</f>
        <v>1747259.7531826443</v>
      </c>
      <c r="Z210" s="41">
        <f t="shared" si="155"/>
        <v>3152145.967583423</v>
      </c>
      <c r="AA210" s="41">
        <f t="shared" si="155"/>
        <v>4568909.3819412347</v>
      </c>
      <c r="AB210" s="41">
        <f t="shared" si="155"/>
        <v>5997650.4085723041</v>
      </c>
      <c r="AC210" s="41">
        <f t="shared" si="155"/>
        <v>7438470.3086994383</v>
      </c>
      <c r="AD210" s="41">
        <f t="shared" si="155"/>
        <v>10125780.763246248</v>
      </c>
      <c r="AE210" s="41">
        <f t="shared" si="155"/>
        <v>12835810.298732214</v>
      </c>
      <c r="AF210" s="41">
        <f t="shared" si="155"/>
        <v>15890962.984558437</v>
      </c>
      <c r="AG210" s="41">
        <f t="shared" si="155"/>
        <v>16407163.695711108</v>
      </c>
      <c r="AH210" s="41">
        <f t="shared" si="155"/>
        <v>16927728.47492956</v>
      </c>
      <c r="AI210" s="41">
        <f t="shared" si="155"/>
        <v>17452694.216951966</v>
      </c>
      <c r="AJ210" s="41">
        <f t="shared" si="155"/>
        <v>17982098.128432281</v>
      </c>
      <c r="AK210" s="41">
        <f t="shared" si="155"/>
        <v>18515977.730577249</v>
      </c>
      <c r="AL210" s="41">
        <f t="shared" si="155"/>
        <v>19054370.861805677</v>
      </c>
      <c r="AM210" s="41">
        <f t="shared" si="155"/>
        <v>19597315.680430245</v>
      </c>
      <c r="AN210" s="41">
        <f t="shared" si="155"/>
        <v>20521601.091596439</v>
      </c>
      <c r="AO210" s="41">
        <f t="shared" si="155"/>
        <v>21453700.603672203</v>
      </c>
      <c r="AP210" s="41">
        <f t="shared" si="155"/>
        <v>22393680.2786902</v>
      </c>
      <c r="AQ210" s="41">
        <f t="shared" si="155"/>
        <v>23341606.737185251</v>
      </c>
      <c r="AR210" s="41">
        <f>AR49</f>
        <v>24297547.162915993</v>
      </c>
      <c r="AS210" s="41">
        <f t="shared" si="155"/>
        <v>0</v>
      </c>
      <c r="AT210" s="41">
        <f t="shared" si="155"/>
        <v>0</v>
      </c>
      <c r="AU210" s="41">
        <f t="shared" si="155"/>
        <v>0</v>
      </c>
      <c r="AV210" s="41">
        <f t="shared" si="155"/>
        <v>0</v>
      </c>
      <c r="AW210" s="41">
        <f t="shared" si="155"/>
        <v>0</v>
      </c>
      <c r="AX210" s="41">
        <f t="shared" si="155"/>
        <v>0</v>
      </c>
      <c r="AY210" s="41">
        <f t="shared" si="155"/>
        <v>0</v>
      </c>
      <c r="AZ210" s="41">
        <f t="shared" ref="AZ210:CC210" si="156">AZ49</f>
        <v>0</v>
      </c>
      <c r="BA210" s="41">
        <f t="shared" si="156"/>
        <v>0</v>
      </c>
      <c r="BB210" s="41">
        <f t="shared" si="156"/>
        <v>0</v>
      </c>
      <c r="BC210" s="41">
        <f t="shared" si="156"/>
        <v>0</v>
      </c>
      <c r="BD210" s="41">
        <f t="shared" si="156"/>
        <v>0</v>
      </c>
      <c r="BE210" s="41">
        <f t="shared" si="156"/>
        <v>0</v>
      </c>
      <c r="BF210" s="41">
        <f t="shared" si="156"/>
        <v>0</v>
      </c>
      <c r="BG210" s="41">
        <f t="shared" si="156"/>
        <v>0</v>
      </c>
      <c r="BH210" s="41">
        <f t="shared" si="156"/>
        <v>0</v>
      </c>
      <c r="BI210" s="41">
        <f t="shared" si="156"/>
        <v>0</v>
      </c>
      <c r="BJ210" s="41">
        <f t="shared" si="156"/>
        <v>0</v>
      </c>
      <c r="BK210" s="41">
        <f t="shared" si="156"/>
        <v>0</v>
      </c>
      <c r="BL210" s="41">
        <f t="shared" si="156"/>
        <v>0</v>
      </c>
      <c r="BM210" s="41">
        <f t="shared" si="156"/>
        <v>0</v>
      </c>
      <c r="BN210" s="41">
        <f t="shared" si="156"/>
        <v>0</v>
      </c>
      <c r="BO210" s="41">
        <f t="shared" si="156"/>
        <v>0</v>
      </c>
      <c r="BP210" s="41">
        <f t="shared" si="156"/>
        <v>0</v>
      </c>
      <c r="BQ210" s="41">
        <f t="shared" si="156"/>
        <v>0</v>
      </c>
      <c r="BR210" s="41">
        <f t="shared" si="156"/>
        <v>0</v>
      </c>
      <c r="BS210" s="41">
        <f t="shared" si="156"/>
        <v>0</v>
      </c>
      <c r="BT210" s="41">
        <f t="shared" si="156"/>
        <v>0</v>
      </c>
      <c r="BU210" s="41">
        <f t="shared" si="156"/>
        <v>0</v>
      </c>
      <c r="BV210" s="41">
        <f t="shared" si="156"/>
        <v>0</v>
      </c>
      <c r="BW210" s="41">
        <f t="shared" si="156"/>
        <v>0</v>
      </c>
      <c r="BX210" s="41">
        <f t="shared" si="156"/>
        <v>0</v>
      </c>
      <c r="BY210" s="41">
        <f t="shared" si="156"/>
        <v>0</v>
      </c>
      <c r="BZ210" s="41">
        <f t="shared" si="156"/>
        <v>0</v>
      </c>
      <c r="CA210" s="41">
        <f t="shared" si="156"/>
        <v>0</v>
      </c>
      <c r="CB210" s="41">
        <f t="shared" si="156"/>
        <v>0</v>
      </c>
      <c r="CC210" s="41">
        <f t="shared" si="156"/>
        <v>0</v>
      </c>
    </row>
    <row r="211" spans="1:81">
      <c r="B211" s="2" t="s">
        <v>222</v>
      </c>
      <c r="C211" s="15" t="str">
        <f t="shared" si="152"/>
        <v>US$</v>
      </c>
      <c r="D211" s="53">
        <f>SUM(I211:CB211)</f>
        <v>28983157.649601597</v>
      </c>
      <c r="I211" s="41">
        <f t="shared" ref="I211:AY211" si="157">I50</f>
        <v>7849605.1967670955</v>
      </c>
      <c r="J211" s="41">
        <f t="shared" si="157"/>
        <v>603815.78436669963</v>
      </c>
      <c r="K211" s="41">
        <f t="shared" si="157"/>
        <v>603815.78436669963</v>
      </c>
      <c r="L211" s="41">
        <f t="shared" si="157"/>
        <v>603815.78436669963</v>
      </c>
      <c r="M211" s="41">
        <f t="shared" si="157"/>
        <v>603815.78436669963</v>
      </c>
      <c r="N211" s="41">
        <f t="shared" si="157"/>
        <v>603815.78436669963</v>
      </c>
      <c r="O211" s="41">
        <f t="shared" si="157"/>
        <v>603815.78436669963</v>
      </c>
      <c r="P211" s="41">
        <f t="shared" si="157"/>
        <v>603815.78436669963</v>
      </c>
      <c r="Q211" s="41">
        <f t="shared" si="157"/>
        <v>603815.78436669963</v>
      </c>
      <c r="R211" s="41">
        <f t="shared" si="157"/>
        <v>603815.78436669963</v>
      </c>
      <c r="S211" s="41">
        <f t="shared" si="157"/>
        <v>603815.78436669963</v>
      </c>
      <c r="T211" s="41">
        <f t="shared" si="157"/>
        <v>603815.78436669963</v>
      </c>
      <c r="U211" s="41">
        <f t="shared" si="157"/>
        <v>603815.78436669963</v>
      </c>
      <c r="V211" s="41">
        <f t="shared" si="157"/>
        <v>603815.78436669963</v>
      </c>
      <c r="W211" s="41">
        <f t="shared" si="157"/>
        <v>603815.78436669963</v>
      </c>
      <c r="X211" s="41">
        <f t="shared" si="157"/>
        <v>603815.78436669952</v>
      </c>
      <c r="Y211" s="41">
        <f t="shared" si="157"/>
        <v>603815.78436669963</v>
      </c>
      <c r="Z211" s="41">
        <f t="shared" si="157"/>
        <v>603815.78436669963</v>
      </c>
      <c r="AA211" s="41">
        <f t="shared" si="157"/>
        <v>603815.78436669963</v>
      </c>
      <c r="AB211" s="41">
        <f t="shared" si="157"/>
        <v>603815.78436669975</v>
      </c>
      <c r="AC211" s="41">
        <f t="shared" si="157"/>
        <v>603815.78436669963</v>
      </c>
      <c r="AD211" s="41">
        <f t="shared" si="157"/>
        <v>603815.78436669963</v>
      </c>
      <c r="AE211" s="41">
        <f t="shared" si="157"/>
        <v>603815.78436669963</v>
      </c>
      <c r="AF211" s="41">
        <f t="shared" si="157"/>
        <v>603815.78436669963</v>
      </c>
      <c r="AG211" s="41">
        <f t="shared" si="157"/>
        <v>603815.78436669963</v>
      </c>
      <c r="AH211" s="41">
        <f t="shared" si="157"/>
        <v>603815.78436669963</v>
      </c>
      <c r="AI211" s="41">
        <f t="shared" si="157"/>
        <v>603815.78436669975</v>
      </c>
      <c r="AJ211" s="41">
        <f t="shared" si="157"/>
        <v>603815.78436669963</v>
      </c>
      <c r="AK211" s="41">
        <f t="shared" si="157"/>
        <v>603815.78436669963</v>
      </c>
      <c r="AL211" s="41">
        <f t="shared" si="157"/>
        <v>603815.78436669963</v>
      </c>
      <c r="AM211" s="41">
        <f t="shared" si="157"/>
        <v>603815.78436669963</v>
      </c>
      <c r="AN211" s="41">
        <f t="shared" si="157"/>
        <v>603815.78436669975</v>
      </c>
      <c r="AO211" s="41">
        <f t="shared" si="157"/>
        <v>603815.78436669975</v>
      </c>
      <c r="AP211" s="41">
        <f t="shared" si="157"/>
        <v>603815.78436669975</v>
      </c>
      <c r="AQ211" s="41">
        <f t="shared" si="157"/>
        <v>603815.78436669963</v>
      </c>
      <c r="AR211" s="41">
        <f>AR50</f>
        <v>603815.78436669963</v>
      </c>
      <c r="AS211" s="41">
        <f t="shared" si="157"/>
        <v>0</v>
      </c>
      <c r="AT211" s="41">
        <f t="shared" si="157"/>
        <v>0</v>
      </c>
      <c r="AU211" s="41">
        <f t="shared" si="157"/>
        <v>0</v>
      </c>
      <c r="AV211" s="41">
        <f t="shared" si="157"/>
        <v>0</v>
      </c>
      <c r="AW211" s="41">
        <f t="shared" si="157"/>
        <v>0</v>
      </c>
      <c r="AX211" s="41">
        <f t="shared" si="157"/>
        <v>0</v>
      </c>
      <c r="AY211" s="41">
        <f t="shared" si="157"/>
        <v>0</v>
      </c>
      <c r="AZ211" s="41">
        <f t="shared" ref="AZ211:CC211" si="158">AZ50</f>
        <v>0</v>
      </c>
      <c r="BA211" s="41">
        <f t="shared" si="158"/>
        <v>0</v>
      </c>
      <c r="BB211" s="41">
        <f t="shared" si="158"/>
        <v>0</v>
      </c>
      <c r="BC211" s="41">
        <f t="shared" si="158"/>
        <v>0</v>
      </c>
      <c r="BD211" s="41">
        <f t="shared" si="158"/>
        <v>0</v>
      </c>
      <c r="BE211" s="41">
        <f t="shared" si="158"/>
        <v>0</v>
      </c>
      <c r="BF211" s="41">
        <f t="shared" si="158"/>
        <v>0</v>
      </c>
      <c r="BG211" s="41">
        <f t="shared" si="158"/>
        <v>0</v>
      </c>
      <c r="BH211" s="41">
        <f t="shared" si="158"/>
        <v>0</v>
      </c>
      <c r="BI211" s="41">
        <f t="shared" si="158"/>
        <v>0</v>
      </c>
      <c r="BJ211" s="41">
        <f t="shared" si="158"/>
        <v>0</v>
      </c>
      <c r="BK211" s="41">
        <f t="shared" si="158"/>
        <v>0</v>
      </c>
      <c r="BL211" s="41">
        <f t="shared" si="158"/>
        <v>0</v>
      </c>
      <c r="BM211" s="41">
        <f t="shared" si="158"/>
        <v>0</v>
      </c>
      <c r="BN211" s="41">
        <f t="shared" si="158"/>
        <v>0</v>
      </c>
      <c r="BO211" s="41">
        <f t="shared" si="158"/>
        <v>0</v>
      </c>
      <c r="BP211" s="41">
        <f t="shared" si="158"/>
        <v>0</v>
      </c>
      <c r="BQ211" s="41">
        <f t="shared" si="158"/>
        <v>0</v>
      </c>
      <c r="BR211" s="41">
        <f t="shared" si="158"/>
        <v>0</v>
      </c>
      <c r="BS211" s="41">
        <f t="shared" si="158"/>
        <v>0</v>
      </c>
      <c r="BT211" s="41">
        <f t="shared" si="158"/>
        <v>0</v>
      </c>
      <c r="BU211" s="41">
        <f t="shared" si="158"/>
        <v>0</v>
      </c>
      <c r="BV211" s="41">
        <f t="shared" si="158"/>
        <v>0</v>
      </c>
      <c r="BW211" s="41">
        <f t="shared" si="158"/>
        <v>0</v>
      </c>
      <c r="BX211" s="41">
        <f t="shared" si="158"/>
        <v>0</v>
      </c>
      <c r="BY211" s="41">
        <f t="shared" si="158"/>
        <v>0</v>
      </c>
      <c r="BZ211" s="41">
        <f t="shared" si="158"/>
        <v>0</v>
      </c>
      <c r="CA211" s="41">
        <f t="shared" si="158"/>
        <v>0</v>
      </c>
      <c r="CB211" s="41">
        <f t="shared" si="158"/>
        <v>0</v>
      </c>
      <c r="CC211" s="41">
        <f t="shared" si="158"/>
        <v>0</v>
      </c>
    </row>
    <row r="212" spans="1:81">
      <c r="B212" s="27" t="s">
        <v>227</v>
      </c>
      <c r="C212" s="28" t="str">
        <f t="shared" si="152"/>
        <v>US$</v>
      </c>
      <c r="D212" s="43">
        <f>SUM(I212:AY212)</f>
        <v>0</v>
      </c>
      <c r="E212" s="27"/>
      <c r="F212" s="27"/>
      <c r="G212" s="27"/>
      <c r="H212" s="27"/>
      <c r="I212" s="108">
        <f t="shared" ref="I212:AY212" si="159">$D$207*I12</f>
        <v>0</v>
      </c>
      <c r="J212" s="108">
        <f t="shared" si="159"/>
        <v>0</v>
      </c>
      <c r="K212" s="108">
        <f t="shared" si="159"/>
        <v>0</v>
      </c>
      <c r="L212" s="108">
        <f t="shared" si="159"/>
        <v>0</v>
      </c>
      <c r="M212" s="108">
        <f t="shared" si="159"/>
        <v>0</v>
      </c>
      <c r="N212" s="108">
        <f t="shared" si="159"/>
        <v>0</v>
      </c>
      <c r="O212" s="108">
        <f t="shared" si="159"/>
        <v>0</v>
      </c>
      <c r="P212" s="108">
        <f t="shared" si="159"/>
        <v>0</v>
      </c>
      <c r="Q212" s="108">
        <f t="shared" si="159"/>
        <v>0</v>
      </c>
      <c r="R212" s="108">
        <f t="shared" si="159"/>
        <v>0</v>
      </c>
      <c r="S212" s="108">
        <f t="shared" si="159"/>
        <v>0</v>
      </c>
      <c r="T212" s="108">
        <f t="shared" si="159"/>
        <v>0</v>
      </c>
      <c r="U212" s="108">
        <f t="shared" si="159"/>
        <v>0</v>
      </c>
      <c r="V212" s="108">
        <f t="shared" si="159"/>
        <v>0</v>
      </c>
      <c r="W212" s="108">
        <f t="shared" si="159"/>
        <v>0</v>
      </c>
      <c r="X212" s="108">
        <f t="shared" si="159"/>
        <v>0</v>
      </c>
      <c r="Y212" s="108">
        <f t="shared" si="159"/>
        <v>0</v>
      </c>
      <c r="Z212" s="108">
        <f t="shared" si="159"/>
        <v>0</v>
      </c>
      <c r="AA212" s="108">
        <f t="shared" si="159"/>
        <v>0</v>
      </c>
      <c r="AB212" s="108">
        <f t="shared" si="159"/>
        <v>0</v>
      </c>
      <c r="AC212" s="108">
        <f t="shared" si="159"/>
        <v>0</v>
      </c>
      <c r="AD212" s="108">
        <f t="shared" si="159"/>
        <v>0</v>
      </c>
      <c r="AE212" s="108">
        <f t="shared" si="159"/>
        <v>0</v>
      </c>
      <c r="AF212" s="108">
        <f t="shared" si="159"/>
        <v>0</v>
      </c>
      <c r="AG212" s="108">
        <f t="shared" si="159"/>
        <v>0</v>
      </c>
      <c r="AH212" s="108">
        <f t="shared" si="159"/>
        <v>0</v>
      </c>
      <c r="AI212" s="108">
        <f t="shared" si="159"/>
        <v>0</v>
      </c>
      <c r="AJ212" s="108">
        <f t="shared" si="159"/>
        <v>0</v>
      </c>
      <c r="AK212" s="108">
        <f t="shared" si="159"/>
        <v>0</v>
      </c>
      <c r="AL212" s="108">
        <f t="shared" si="159"/>
        <v>0</v>
      </c>
      <c r="AM212" s="108">
        <f t="shared" si="159"/>
        <v>0</v>
      </c>
      <c r="AN212" s="108">
        <f t="shared" si="159"/>
        <v>0</v>
      </c>
      <c r="AO212" s="108">
        <f t="shared" si="159"/>
        <v>0</v>
      </c>
      <c r="AP212" s="108">
        <f t="shared" si="159"/>
        <v>0</v>
      </c>
      <c r="AQ212" s="108">
        <f t="shared" si="159"/>
        <v>0</v>
      </c>
      <c r="AR212" s="108">
        <f t="shared" si="159"/>
        <v>0</v>
      </c>
      <c r="AS212" s="108">
        <f t="shared" si="159"/>
        <v>0</v>
      </c>
      <c r="AT212" s="108">
        <f t="shared" si="159"/>
        <v>0</v>
      </c>
      <c r="AU212" s="108">
        <f t="shared" si="159"/>
        <v>0</v>
      </c>
      <c r="AV212" s="108">
        <f t="shared" si="159"/>
        <v>0</v>
      </c>
      <c r="AW212" s="108">
        <f t="shared" si="159"/>
        <v>0</v>
      </c>
      <c r="AX212" s="108">
        <f t="shared" si="159"/>
        <v>0</v>
      </c>
      <c r="AY212" s="108">
        <f t="shared" si="159"/>
        <v>0</v>
      </c>
      <c r="AZ212" s="108">
        <f t="shared" ref="AZ212:CC212" si="160">$D$207*AZ12</f>
        <v>0</v>
      </c>
      <c r="BA212" s="108">
        <f t="shared" si="160"/>
        <v>0</v>
      </c>
      <c r="BB212" s="108">
        <f t="shared" si="160"/>
        <v>0</v>
      </c>
      <c r="BC212" s="108">
        <f t="shared" si="160"/>
        <v>0</v>
      </c>
      <c r="BD212" s="108">
        <f t="shared" si="160"/>
        <v>0</v>
      </c>
      <c r="BE212" s="108">
        <f t="shared" si="160"/>
        <v>0</v>
      </c>
      <c r="BF212" s="108">
        <f t="shared" si="160"/>
        <v>0</v>
      </c>
      <c r="BG212" s="108">
        <f t="shared" si="160"/>
        <v>0</v>
      </c>
      <c r="BH212" s="108">
        <f t="shared" si="160"/>
        <v>0</v>
      </c>
      <c r="BI212" s="108">
        <f t="shared" si="160"/>
        <v>0</v>
      </c>
      <c r="BJ212" s="108">
        <f t="shared" si="160"/>
        <v>0</v>
      </c>
      <c r="BK212" s="108">
        <f t="shared" si="160"/>
        <v>0</v>
      </c>
      <c r="BL212" s="108">
        <f t="shared" si="160"/>
        <v>0</v>
      </c>
      <c r="BM212" s="108">
        <f t="shared" si="160"/>
        <v>0</v>
      </c>
      <c r="BN212" s="108">
        <f t="shared" si="160"/>
        <v>0</v>
      </c>
      <c r="BO212" s="108">
        <f t="shared" si="160"/>
        <v>0</v>
      </c>
      <c r="BP212" s="108">
        <f t="shared" si="160"/>
        <v>0</v>
      </c>
      <c r="BQ212" s="108">
        <f t="shared" si="160"/>
        <v>0</v>
      </c>
      <c r="BR212" s="108">
        <f t="shared" si="160"/>
        <v>0</v>
      </c>
      <c r="BS212" s="108">
        <f t="shared" si="160"/>
        <v>0</v>
      </c>
      <c r="BT212" s="108">
        <f t="shared" si="160"/>
        <v>0</v>
      </c>
      <c r="BU212" s="108">
        <f t="shared" si="160"/>
        <v>0</v>
      </c>
      <c r="BV212" s="108">
        <f t="shared" si="160"/>
        <v>0</v>
      </c>
      <c r="BW212" s="108">
        <f t="shared" si="160"/>
        <v>0</v>
      </c>
      <c r="BX212" s="108">
        <f t="shared" si="160"/>
        <v>0</v>
      </c>
      <c r="BY212" s="108">
        <f t="shared" si="160"/>
        <v>0</v>
      </c>
      <c r="BZ212" s="108">
        <f t="shared" si="160"/>
        <v>0</v>
      </c>
      <c r="CA212" s="108">
        <f t="shared" si="160"/>
        <v>0</v>
      </c>
      <c r="CB212" s="108">
        <f t="shared" si="160"/>
        <v>0</v>
      </c>
      <c r="CC212" s="108">
        <f t="shared" si="160"/>
        <v>0</v>
      </c>
    </row>
    <row r="213" spans="1:81">
      <c r="B213" s="2" t="s">
        <v>228</v>
      </c>
      <c r="C213" s="15" t="str">
        <f t="shared" si="152"/>
        <v>US$</v>
      </c>
      <c r="D213" s="42">
        <f>SUM(D209:D212)</f>
        <v>4140451092.8002262</v>
      </c>
      <c r="I213" s="42">
        <f>SUM(I209:I212)</f>
        <v>66249379.436563015</v>
      </c>
      <c r="J213" s="42">
        <f t="shared" ref="J213:AI213" si="161">SUM(J209:J212)</f>
        <v>59003590.02416262</v>
      </c>
      <c r="K213" s="42">
        <f t="shared" si="161"/>
        <v>59003590.02416262</v>
      </c>
      <c r="L213" s="42">
        <f t="shared" si="161"/>
        <v>59003590.02416262</v>
      </c>
      <c r="M213" s="42">
        <f t="shared" si="161"/>
        <v>59003590.02416262</v>
      </c>
      <c r="N213" s="42">
        <f t="shared" si="161"/>
        <v>59003590.02416262</v>
      </c>
      <c r="O213" s="42">
        <f t="shared" si="161"/>
        <v>59003590.02416262</v>
      </c>
      <c r="P213" s="42">
        <f t="shared" si="161"/>
        <v>59003590.02416262</v>
      </c>
      <c r="Q213" s="42">
        <f t="shared" si="161"/>
        <v>59003590.02416262</v>
      </c>
      <c r="R213" s="42">
        <f t="shared" si="161"/>
        <v>59003590.02416262</v>
      </c>
      <c r="S213" s="42">
        <f t="shared" si="161"/>
        <v>59003590.02416262</v>
      </c>
      <c r="T213" s="42">
        <f t="shared" si="161"/>
        <v>59003590.02416262</v>
      </c>
      <c r="U213" s="42">
        <f t="shared" si="161"/>
        <v>146603251.38385651</v>
      </c>
      <c r="V213" s="42">
        <f t="shared" si="161"/>
        <v>146603251.38385651</v>
      </c>
      <c r="W213" s="42">
        <f t="shared" si="161"/>
        <v>146603251.38385651</v>
      </c>
      <c r="X213" s="42">
        <f t="shared" si="161"/>
        <v>147106839.35200697</v>
      </c>
      <c r="Y213" s="42">
        <f t="shared" si="161"/>
        <v>148350511.13703915</v>
      </c>
      <c r="Z213" s="42">
        <f t="shared" si="161"/>
        <v>167580860.56470522</v>
      </c>
      <c r="AA213" s="42">
        <f t="shared" si="161"/>
        <v>168997623.97906303</v>
      </c>
      <c r="AB213" s="42">
        <f t="shared" si="161"/>
        <v>170426365.00569412</v>
      </c>
      <c r="AC213" s="42">
        <f t="shared" si="161"/>
        <v>171867184.90582123</v>
      </c>
      <c r="AD213" s="42">
        <f t="shared" si="161"/>
        <v>320553930.95985788</v>
      </c>
      <c r="AE213" s="42">
        <f t="shared" si="161"/>
        <v>323263960.49534386</v>
      </c>
      <c r="AF213" s="42">
        <f t="shared" si="161"/>
        <v>364431731.90770066</v>
      </c>
      <c r="AG213" s="42">
        <f t="shared" si="161"/>
        <v>61574637.513241068</v>
      </c>
      <c r="AH213" s="42">
        <f t="shared" si="161"/>
        <v>62095202.292459518</v>
      </c>
      <c r="AI213" s="42">
        <f t="shared" si="161"/>
        <v>62620168.034481928</v>
      </c>
      <c r="AJ213" s="42">
        <f t="shared" ref="AJ213:CC213" si="162">SUM(AJ209:AJ212)</f>
        <v>63149571.945962243</v>
      </c>
      <c r="AK213" s="42">
        <f t="shared" si="162"/>
        <v>63683451.548107207</v>
      </c>
      <c r="AL213" s="42">
        <f t="shared" si="162"/>
        <v>64221844.679335639</v>
      </c>
      <c r="AM213" s="42">
        <f t="shared" si="162"/>
        <v>64764789.49796021</v>
      </c>
      <c r="AN213" s="42">
        <f t="shared" si="162"/>
        <v>110252732.94228967</v>
      </c>
      <c r="AO213" s="42">
        <f t="shared" si="162"/>
        <v>111184832.45436543</v>
      </c>
      <c r="AP213" s="42">
        <f t="shared" si="162"/>
        <v>112124812.12938343</v>
      </c>
      <c r="AQ213" s="42">
        <f t="shared" si="162"/>
        <v>113072738.58787848</v>
      </c>
      <c r="AR213" s="42">
        <f t="shared" si="162"/>
        <v>114028679.01360922</v>
      </c>
      <c r="AS213" s="42">
        <f t="shared" si="162"/>
        <v>0</v>
      </c>
      <c r="AT213" s="42">
        <f t="shared" si="162"/>
        <v>0</v>
      </c>
      <c r="AU213" s="42">
        <f t="shared" si="162"/>
        <v>0</v>
      </c>
      <c r="AV213" s="42">
        <f t="shared" si="162"/>
        <v>0</v>
      </c>
      <c r="AW213" s="42">
        <f t="shared" si="162"/>
        <v>0</v>
      </c>
      <c r="AX213" s="42">
        <f t="shared" si="162"/>
        <v>0</v>
      </c>
      <c r="AY213" s="42">
        <f t="shared" si="162"/>
        <v>0</v>
      </c>
      <c r="AZ213" s="42">
        <f t="shared" si="162"/>
        <v>0</v>
      </c>
      <c r="BA213" s="42">
        <f t="shared" si="162"/>
        <v>0</v>
      </c>
      <c r="BB213" s="42">
        <f t="shared" si="162"/>
        <v>0</v>
      </c>
      <c r="BC213" s="42">
        <f t="shared" si="162"/>
        <v>0</v>
      </c>
      <c r="BD213" s="42">
        <f t="shared" si="162"/>
        <v>0</v>
      </c>
      <c r="BE213" s="42">
        <f t="shared" si="162"/>
        <v>0</v>
      </c>
      <c r="BF213" s="42">
        <f t="shared" si="162"/>
        <v>0</v>
      </c>
      <c r="BG213" s="42">
        <f t="shared" si="162"/>
        <v>0</v>
      </c>
      <c r="BH213" s="42">
        <f t="shared" si="162"/>
        <v>0</v>
      </c>
      <c r="BI213" s="42">
        <f t="shared" si="162"/>
        <v>0</v>
      </c>
      <c r="BJ213" s="42">
        <f t="shared" si="162"/>
        <v>0</v>
      </c>
      <c r="BK213" s="42">
        <f t="shared" si="162"/>
        <v>0</v>
      </c>
      <c r="BL213" s="42">
        <f t="shared" si="162"/>
        <v>0</v>
      </c>
      <c r="BM213" s="42">
        <f t="shared" si="162"/>
        <v>0</v>
      </c>
      <c r="BN213" s="42">
        <f t="shared" si="162"/>
        <v>0</v>
      </c>
      <c r="BO213" s="42">
        <f t="shared" si="162"/>
        <v>0</v>
      </c>
      <c r="BP213" s="42">
        <f t="shared" si="162"/>
        <v>0</v>
      </c>
      <c r="BQ213" s="42">
        <f t="shared" si="162"/>
        <v>0</v>
      </c>
      <c r="BR213" s="42">
        <f t="shared" si="162"/>
        <v>0</v>
      </c>
      <c r="BS213" s="42">
        <f t="shared" si="162"/>
        <v>0</v>
      </c>
      <c r="BT213" s="42">
        <f t="shared" si="162"/>
        <v>0</v>
      </c>
      <c r="BU213" s="42">
        <f t="shared" si="162"/>
        <v>0</v>
      </c>
      <c r="BV213" s="42">
        <f t="shared" si="162"/>
        <v>0</v>
      </c>
      <c r="BW213" s="42">
        <f t="shared" si="162"/>
        <v>0</v>
      </c>
      <c r="BX213" s="42">
        <f t="shared" si="162"/>
        <v>0</v>
      </c>
      <c r="BY213" s="42">
        <f t="shared" si="162"/>
        <v>0</v>
      </c>
      <c r="BZ213" s="42">
        <f t="shared" si="162"/>
        <v>0</v>
      </c>
      <c r="CA213" s="42">
        <f t="shared" si="162"/>
        <v>0</v>
      </c>
      <c r="CB213" s="42">
        <f t="shared" si="162"/>
        <v>0</v>
      </c>
      <c r="CC213" s="42">
        <f t="shared" si="162"/>
        <v>0</v>
      </c>
    </row>
    <row r="214" spans="1:81">
      <c r="B214" s="2" t="s">
        <v>229</v>
      </c>
      <c r="C214" s="15" t="str">
        <f t="shared" si="152"/>
        <v>US$</v>
      </c>
      <c r="D214" s="41">
        <v>4140451092.8002262</v>
      </c>
      <c r="I214" s="41">
        <v>66249379.436563015</v>
      </c>
      <c r="J214" s="41">
        <v>59003590.02416262</v>
      </c>
      <c r="K214" s="41">
        <v>59003590.02416262</v>
      </c>
      <c r="L214" s="41">
        <v>59003590.02416262</v>
      </c>
      <c r="M214" s="41">
        <v>59003590.02416262</v>
      </c>
      <c r="N214" s="41">
        <v>59003590.02416262</v>
      </c>
      <c r="O214" s="41">
        <v>59003590.02416262</v>
      </c>
      <c r="P214" s="41">
        <v>59003590.02416262</v>
      </c>
      <c r="Q214" s="41">
        <v>59003590.02416262</v>
      </c>
      <c r="R214" s="41">
        <v>59003590.02416262</v>
      </c>
      <c r="S214" s="41">
        <v>59003590.02416262</v>
      </c>
      <c r="T214" s="41">
        <v>59003590.02416262</v>
      </c>
      <c r="U214" s="41">
        <v>146603251.38385651</v>
      </c>
      <c r="V214" s="41">
        <v>146603251.38385651</v>
      </c>
      <c r="W214" s="41">
        <v>146603251.38385651</v>
      </c>
      <c r="X214" s="41">
        <v>147106839.35200697</v>
      </c>
      <c r="Y214" s="41">
        <v>148350511.13703915</v>
      </c>
      <c r="Z214" s="41">
        <v>167580860.56470522</v>
      </c>
      <c r="AA214" s="41">
        <v>168997623.97906303</v>
      </c>
      <c r="AB214" s="41">
        <v>170426365.00569412</v>
      </c>
      <c r="AC214" s="41">
        <v>171867184.90582123</v>
      </c>
      <c r="AD214" s="41">
        <v>320553930.95985788</v>
      </c>
      <c r="AE214" s="41">
        <v>323263960.49534386</v>
      </c>
      <c r="AF214" s="41">
        <v>364431731.90770066</v>
      </c>
      <c r="AG214" s="41">
        <v>61574637.513241068</v>
      </c>
      <c r="AH214" s="41">
        <v>62095202.292459518</v>
      </c>
      <c r="AI214" s="41">
        <v>62620168.034481928</v>
      </c>
      <c r="AJ214" s="41">
        <v>63149571.945962243</v>
      </c>
      <c r="AK214" s="41">
        <v>63683451.548107207</v>
      </c>
      <c r="AL214" s="41">
        <v>64221844.679335639</v>
      </c>
      <c r="AM214" s="41">
        <v>64764789.49796021</v>
      </c>
      <c r="AN214" s="41">
        <v>110252732.94228967</v>
      </c>
      <c r="AO214" s="41">
        <v>111184832.45436543</v>
      </c>
      <c r="AP214" s="41">
        <v>112124812.12938343</v>
      </c>
      <c r="AQ214" s="41">
        <v>113072738.58787848</v>
      </c>
      <c r="AR214" s="41">
        <v>114028679.01360922</v>
      </c>
      <c r="AS214" s="41">
        <v>0</v>
      </c>
      <c r="AT214" s="41">
        <v>0</v>
      </c>
      <c r="AU214" s="41">
        <v>0</v>
      </c>
      <c r="AV214" s="41">
        <v>0</v>
      </c>
      <c r="AW214" s="41">
        <v>0</v>
      </c>
      <c r="AX214" s="41">
        <v>0</v>
      </c>
      <c r="AY214" s="41">
        <v>0</v>
      </c>
      <c r="AZ214" s="41">
        <v>0</v>
      </c>
      <c r="BA214" s="41">
        <v>0</v>
      </c>
      <c r="BB214" s="41">
        <v>0</v>
      </c>
      <c r="BC214" s="41">
        <v>0</v>
      </c>
      <c r="BD214" s="41">
        <v>0</v>
      </c>
      <c r="BE214" s="41">
        <v>0</v>
      </c>
      <c r="BF214" s="41">
        <v>0</v>
      </c>
      <c r="BG214" s="41">
        <v>0</v>
      </c>
      <c r="BH214" s="41">
        <v>0</v>
      </c>
      <c r="BI214" s="41">
        <v>0</v>
      </c>
      <c r="BJ214" s="41">
        <v>0</v>
      </c>
      <c r="BK214" s="41">
        <v>0</v>
      </c>
      <c r="BL214" s="41">
        <v>0</v>
      </c>
      <c r="BM214" s="41">
        <v>0</v>
      </c>
      <c r="BN214" s="41">
        <v>0</v>
      </c>
      <c r="BO214" s="41">
        <v>0</v>
      </c>
      <c r="BP214" s="41">
        <v>0</v>
      </c>
      <c r="BQ214" s="41">
        <v>0</v>
      </c>
      <c r="BR214" s="41">
        <v>0</v>
      </c>
      <c r="BS214" s="41">
        <v>0</v>
      </c>
      <c r="BT214" s="41">
        <v>0</v>
      </c>
      <c r="BU214" s="41">
        <v>0</v>
      </c>
      <c r="BV214" s="41">
        <v>0</v>
      </c>
      <c r="BW214" s="41">
        <v>0</v>
      </c>
      <c r="BX214" s="41">
        <v>0</v>
      </c>
      <c r="BY214" s="41">
        <v>0</v>
      </c>
      <c r="BZ214" s="41">
        <v>0</v>
      </c>
      <c r="CA214" s="41">
        <v>0</v>
      </c>
      <c r="CB214" s="41">
        <v>0</v>
      </c>
      <c r="CC214" s="41">
        <v>0</v>
      </c>
    </row>
    <row r="215" spans="1:81">
      <c r="A215" s="12"/>
      <c r="B215" s="50" t="s">
        <v>230</v>
      </c>
      <c r="D215" s="109">
        <f>SUM(I215:AI215)</f>
        <v>0</v>
      </c>
      <c r="I215" s="41">
        <f>ROUND(ABS(I213-I214),1)</f>
        <v>0</v>
      </c>
      <c r="J215" s="41">
        <f t="shared" ref="J215:AY215" si="163">ROUND(ABS(J213-J214),1)</f>
        <v>0</v>
      </c>
      <c r="K215" s="41">
        <f t="shared" si="163"/>
        <v>0</v>
      </c>
      <c r="L215" s="41">
        <f t="shared" si="163"/>
        <v>0</v>
      </c>
      <c r="M215" s="41">
        <f t="shared" si="163"/>
        <v>0</v>
      </c>
      <c r="N215" s="41">
        <f t="shared" si="163"/>
        <v>0</v>
      </c>
      <c r="O215" s="41">
        <f t="shared" si="163"/>
        <v>0</v>
      </c>
      <c r="P215" s="41">
        <f t="shared" si="163"/>
        <v>0</v>
      </c>
      <c r="Q215" s="41">
        <f t="shared" si="163"/>
        <v>0</v>
      </c>
      <c r="R215" s="41">
        <f t="shared" si="163"/>
        <v>0</v>
      </c>
      <c r="S215" s="41">
        <f t="shared" si="163"/>
        <v>0</v>
      </c>
      <c r="T215" s="41">
        <f t="shared" si="163"/>
        <v>0</v>
      </c>
      <c r="U215" s="41">
        <f t="shared" si="163"/>
        <v>0</v>
      </c>
      <c r="V215" s="41">
        <f t="shared" si="163"/>
        <v>0</v>
      </c>
      <c r="W215" s="41">
        <f t="shared" si="163"/>
        <v>0</v>
      </c>
      <c r="X215" s="41">
        <f t="shared" si="163"/>
        <v>0</v>
      </c>
      <c r="Y215" s="41">
        <f t="shared" si="163"/>
        <v>0</v>
      </c>
      <c r="Z215" s="41">
        <f t="shared" si="163"/>
        <v>0</v>
      </c>
      <c r="AA215" s="41">
        <f t="shared" si="163"/>
        <v>0</v>
      </c>
      <c r="AB215" s="41">
        <f t="shared" si="163"/>
        <v>0</v>
      </c>
      <c r="AC215" s="41">
        <f t="shared" si="163"/>
        <v>0</v>
      </c>
      <c r="AD215" s="41">
        <f t="shared" si="163"/>
        <v>0</v>
      </c>
      <c r="AE215" s="41">
        <f t="shared" si="163"/>
        <v>0</v>
      </c>
      <c r="AF215" s="41">
        <f t="shared" si="163"/>
        <v>0</v>
      </c>
      <c r="AG215" s="41">
        <f t="shared" si="163"/>
        <v>0</v>
      </c>
      <c r="AH215" s="41">
        <f t="shared" si="163"/>
        <v>0</v>
      </c>
      <c r="AI215" s="41">
        <f t="shared" si="163"/>
        <v>0</v>
      </c>
      <c r="AJ215" s="41">
        <f t="shared" si="163"/>
        <v>0</v>
      </c>
      <c r="AK215" s="41">
        <f t="shared" si="163"/>
        <v>0</v>
      </c>
      <c r="AL215" s="41">
        <f t="shared" si="163"/>
        <v>0</v>
      </c>
      <c r="AM215" s="41">
        <f t="shared" si="163"/>
        <v>0</v>
      </c>
      <c r="AN215" s="41">
        <f t="shared" si="163"/>
        <v>0</v>
      </c>
      <c r="AO215" s="41">
        <f t="shared" si="163"/>
        <v>0</v>
      </c>
      <c r="AP215" s="41">
        <f t="shared" si="163"/>
        <v>0</v>
      </c>
      <c r="AQ215" s="41">
        <f t="shared" si="163"/>
        <v>0</v>
      </c>
      <c r="AR215" s="41">
        <f t="shared" si="163"/>
        <v>0</v>
      </c>
      <c r="AS215" s="41">
        <f t="shared" si="163"/>
        <v>0</v>
      </c>
      <c r="AT215" s="41">
        <f t="shared" si="163"/>
        <v>0</v>
      </c>
      <c r="AU215" s="41">
        <f t="shared" si="163"/>
        <v>0</v>
      </c>
      <c r="AV215" s="41">
        <f t="shared" si="163"/>
        <v>0</v>
      </c>
      <c r="AW215" s="41">
        <f t="shared" si="163"/>
        <v>0</v>
      </c>
      <c r="AX215" s="41">
        <f t="shared" si="163"/>
        <v>0</v>
      </c>
      <c r="AY215" s="41">
        <f t="shared" si="163"/>
        <v>0</v>
      </c>
    </row>
    <row r="217" spans="1:81">
      <c r="B217" s="10" t="s">
        <v>231</v>
      </c>
    </row>
    <row r="219" spans="1:81">
      <c r="B219" s="50" t="s">
        <v>232</v>
      </c>
    </row>
    <row r="220" spans="1:81">
      <c r="B220" s="110" t="s">
        <v>144</v>
      </c>
      <c r="C220" s="15" t="s">
        <v>18</v>
      </c>
      <c r="D220" s="99">
        <f>'Input '!F299</f>
        <v>0.7</v>
      </c>
    </row>
    <row r="221" spans="1:81">
      <c r="B221" s="111" t="s">
        <v>145</v>
      </c>
      <c r="C221" s="28" t="s">
        <v>18</v>
      </c>
      <c r="D221" s="112">
        <f>'Input '!F300</f>
        <v>0.3</v>
      </c>
      <c r="E221" s="107"/>
    </row>
    <row r="222" spans="1:81">
      <c r="B222" s="2" t="s">
        <v>71</v>
      </c>
      <c r="C222" s="15" t="s">
        <v>18</v>
      </c>
      <c r="D222" s="17">
        <f>SUM(D220:D221)</f>
        <v>1</v>
      </c>
    </row>
    <row r="224" spans="1:81">
      <c r="B224" s="50" t="s">
        <v>233</v>
      </c>
    </row>
    <row r="225" spans="2:80">
      <c r="B225" s="110" t="s">
        <v>98</v>
      </c>
      <c r="C225" s="15" t="s">
        <v>18</v>
      </c>
      <c r="D225" s="99">
        <f>'Input '!E309</f>
        <v>0</v>
      </c>
    </row>
    <row r="226" spans="2:80">
      <c r="B226" s="111" t="s">
        <v>99</v>
      </c>
      <c r="C226" s="28" t="s">
        <v>18</v>
      </c>
      <c r="D226" s="112">
        <f>'Input '!E310</f>
        <v>1</v>
      </c>
    </row>
    <row r="227" spans="2:80">
      <c r="B227" s="2" t="s">
        <v>71</v>
      </c>
      <c r="C227" s="15" t="s">
        <v>18</v>
      </c>
      <c r="D227" s="17">
        <f>SUM(D225:D226)</f>
        <v>1</v>
      </c>
    </row>
    <row r="229" spans="2:80">
      <c r="B229" s="50" t="s">
        <v>234</v>
      </c>
      <c r="D229" s="13" t="s">
        <v>18</v>
      </c>
      <c r="E229" s="117" t="s">
        <v>17</v>
      </c>
    </row>
    <row r="230" spans="2:80">
      <c r="B230" s="113" t="s">
        <v>145</v>
      </c>
      <c r="C230" s="15" t="s">
        <v>18</v>
      </c>
      <c r="D230" s="99">
        <f>D221</f>
        <v>0.3</v>
      </c>
      <c r="E230" s="118">
        <f>D230*D214</f>
        <v>1242135327.8400679</v>
      </c>
    </row>
    <row r="231" spans="2:80">
      <c r="B231" s="114" t="s">
        <v>98</v>
      </c>
      <c r="C231" s="15" t="s">
        <v>18</v>
      </c>
      <c r="D231" s="99">
        <f>D225*D220</f>
        <v>0</v>
      </c>
      <c r="E231" s="119">
        <f>D231*D214</f>
        <v>0</v>
      </c>
    </row>
    <row r="232" spans="2:80">
      <c r="B232" s="115" t="s">
        <v>99</v>
      </c>
      <c r="C232" s="28" t="s">
        <v>18</v>
      </c>
      <c r="D232" s="120">
        <f>D226*D220</f>
        <v>0.7</v>
      </c>
      <c r="E232" s="121">
        <f>D232*D214</f>
        <v>2898315764.9601583</v>
      </c>
    </row>
    <row r="233" spans="2:80">
      <c r="B233" s="2" t="s">
        <v>71</v>
      </c>
      <c r="D233" s="17">
        <f>SUM(D230:D232)</f>
        <v>1</v>
      </c>
      <c r="E233" s="42">
        <f>SUM(E230:E232)</f>
        <v>4140451092.8002262</v>
      </c>
    </row>
    <row r="235" spans="2:80">
      <c r="B235" s="50" t="s">
        <v>235</v>
      </c>
      <c r="D235" s="82" t="s">
        <v>236</v>
      </c>
      <c r="E235" s="82" t="s">
        <v>237</v>
      </c>
    </row>
    <row r="236" spans="2:80">
      <c r="B236" s="49" t="s">
        <v>145</v>
      </c>
      <c r="D236" s="68">
        <f>Proj_comm_date</f>
        <v>46023</v>
      </c>
      <c r="E236" s="119">
        <f>SUM(I236:AR236)</f>
        <v>36</v>
      </c>
      <c r="I236" s="41">
        <f t="shared" ref="I236:AY236" si="164">I11</f>
        <v>1</v>
      </c>
      <c r="J236" s="41">
        <f>J11</f>
        <v>1</v>
      </c>
      <c r="K236" s="41">
        <f t="shared" si="164"/>
        <v>1</v>
      </c>
      <c r="L236" s="41">
        <f t="shared" si="164"/>
        <v>1</v>
      </c>
      <c r="M236" s="41">
        <f t="shared" si="164"/>
        <v>1</v>
      </c>
      <c r="N236" s="41">
        <f t="shared" si="164"/>
        <v>1</v>
      </c>
      <c r="O236" s="41">
        <f t="shared" si="164"/>
        <v>1</v>
      </c>
      <c r="P236" s="41">
        <f t="shared" si="164"/>
        <v>1</v>
      </c>
      <c r="Q236" s="41">
        <f t="shared" si="164"/>
        <v>1</v>
      </c>
      <c r="R236" s="41">
        <f t="shared" si="164"/>
        <v>1</v>
      </c>
      <c r="S236" s="41">
        <f t="shared" si="164"/>
        <v>1</v>
      </c>
      <c r="T236" s="41">
        <f t="shared" si="164"/>
        <v>1</v>
      </c>
      <c r="U236" s="41">
        <f t="shared" si="164"/>
        <v>1</v>
      </c>
      <c r="V236" s="41">
        <f t="shared" si="164"/>
        <v>1</v>
      </c>
      <c r="W236" s="41">
        <f t="shared" si="164"/>
        <v>1</v>
      </c>
      <c r="X236" s="41">
        <f t="shared" si="164"/>
        <v>1</v>
      </c>
      <c r="Y236" s="41">
        <f t="shared" si="164"/>
        <v>1</v>
      </c>
      <c r="Z236" s="41">
        <f t="shared" si="164"/>
        <v>1</v>
      </c>
      <c r="AA236" s="41">
        <f t="shared" si="164"/>
        <v>1</v>
      </c>
      <c r="AB236" s="41">
        <f t="shared" si="164"/>
        <v>1</v>
      </c>
      <c r="AC236" s="41">
        <f t="shared" si="164"/>
        <v>1</v>
      </c>
      <c r="AD236" s="41">
        <f t="shared" si="164"/>
        <v>1</v>
      </c>
      <c r="AE236" s="41">
        <f t="shared" si="164"/>
        <v>1</v>
      </c>
      <c r="AF236" s="41">
        <f t="shared" si="164"/>
        <v>1</v>
      </c>
      <c r="AG236" s="41">
        <f t="shared" si="164"/>
        <v>1</v>
      </c>
      <c r="AH236" s="41">
        <f t="shared" si="164"/>
        <v>1</v>
      </c>
      <c r="AI236" s="41">
        <f t="shared" si="164"/>
        <v>1</v>
      </c>
      <c r="AJ236" s="41">
        <f t="shared" si="164"/>
        <v>1</v>
      </c>
      <c r="AK236" s="41">
        <f t="shared" si="164"/>
        <v>1</v>
      </c>
      <c r="AL236" s="41">
        <f t="shared" si="164"/>
        <v>1</v>
      </c>
      <c r="AM236" s="41">
        <f t="shared" si="164"/>
        <v>1</v>
      </c>
      <c r="AN236" s="41">
        <f t="shared" si="164"/>
        <v>1</v>
      </c>
      <c r="AO236" s="41">
        <f t="shared" si="164"/>
        <v>1</v>
      </c>
      <c r="AP236" s="41">
        <f t="shared" si="164"/>
        <v>1</v>
      </c>
      <c r="AQ236" s="41">
        <f t="shared" si="164"/>
        <v>1</v>
      </c>
      <c r="AR236" s="41">
        <f>AR11</f>
        <v>1</v>
      </c>
      <c r="AS236" s="41">
        <f t="shared" si="164"/>
        <v>0</v>
      </c>
      <c r="AT236" s="41">
        <f t="shared" si="164"/>
        <v>0</v>
      </c>
      <c r="AU236" s="41">
        <f t="shared" si="164"/>
        <v>0</v>
      </c>
      <c r="AV236" s="41">
        <f t="shared" si="164"/>
        <v>0</v>
      </c>
      <c r="AW236" s="41">
        <f t="shared" si="164"/>
        <v>0</v>
      </c>
      <c r="AX236" s="41">
        <f t="shared" si="164"/>
        <v>0</v>
      </c>
      <c r="AY236" s="41">
        <f t="shared" si="164"/>
        <v>0</v>
      </c>
    </row>
    <row r="237" spans="2:80">
      <c r="B237" s="99" t="str">
        <f>B225</f>
        <v>Sub debt</v>
      </c>
      <c r="D237" s="68">
        <f>'Timing &amp; Flags'!D111</f>
        <v>46023</v>
      </c>
      <c r="E237" s="49"/>
      <c r="I237" s="41">
        <f>'Timing &amp; Flags'!I123</f>
        <v>1</v>
      </c>
      <c r="J237" s="41">
        <f>'Timing &amp; Flags'!J123</f>
        <v>1</v>
      </c>
      <c r="K237" s="41">
        <f>'Timing &amp; Flags'!K123</f>
        <v>1</v>
      </c>
      <c r="L237" s="41">
        <f>'Timing &amp; Flags'!L123</f>
        <v>1</v>
      </c>
      <c r="M237" s="41">
        <f>'Timing &amp; Flags'!M123</f>
        <v>1</v>
      </c>
      <c r="N237" s="41">
        <f>'Timing &amp; Flags'!N123</f>
        <v>1</v>
      </c>
      <c r="O237" s="41">
        <f>'Timing &amp; Flags'!O123</f>
        <v>1</v>
      </c>
      <c r="P237" s="41">
        <f>'Timing &amp; Flags'!P123</f>
        <v>1</v>
      </c>
      <c r="Q237" s="41">
        <f>'Timing &amp; Flags'!Q123</f>
        <v>1</v>
      </c>
      <c r="R237" s="41">
        <f>'Timing &amp; Flags'!R123</f>
        <v>1</v>
      </c>
      <c r="S237" s="41">
        <f>'Timing &amp; Flags'!S123</f>
        <v>1</v>
      </c>
      <c r="T237" s="41">
        <f>'Timing &amp; Flags'!T123</f>
        <v>1</v>
      </c>
      <c r="U237" s="41">
        <f>'Timing &amp; Flags'!U123</f>
        <v>1</v>
      </c>
      <c r="V237" s="41">
        <f>'Timing &amp; Flags'!V123</f>
        <v>1</v>
      </c>
      <c r="W237" s="41">
        <f>'Timing &amp; Flags'!W123</f>
        <v>1</v>
      </c>
      <c r="X237" s="41">
        <f>'Timing &amp; Flags'!X123</f>
        <v>1</v>
      </c>
      <c r="Y237" s="41">
        <f>'Timing &amp; Flags'!Y123</f>
        <v>1</v>
      </c>
      <c r="Z237" s="41">
        <f>'Timing &amp; Flags'!Z123</f>
        <v>1</v>
      </c>
      <c r="AA237" s="41">
        <f>'Timing &amp; Flags'!AA123</f>
        <v>1</v>
      </c>
      <c r="AB237" s="41">
        <f>'Timing &amp; Flags'!AB123</f>
        <v>1</v>
      </c>
      <c r="AC237" s="41">
        <f>'Timing &amp; Flags'!AC123</f>
        <v>1</v>
      </c>
      <c r="AD237" s="41">
        <f>'Timing &amp; Flags'!AD123</f>
        <v>1</v>
      </c>
      <c r="AE237" s="41">
        <f>'Timing &amp; Flags'!AE123</f>
        <v>1</v>
      </c>
      <c r="AF237" s="41">
        <f>'Timing &amp; Flags'!AF123</f>
        <v>1</v>
      </c>
      <c r="AG237" s="41">
        <f>'Timing &amp; Flags'!AG123</f>
        <v>1</v>
      </c>
      <c r="AH237" s="41">
        <f>'Timing &amp; Flags'!AH123</f>
        <v>1</v>
      </c>
      <c r="AI237" s="41">
        <f>'Timing &amp; Flags'!AI123</f>
        <v>1</v>
      </c>
      <c r="AJ237" s="41">
        <f>'Timing &amp; Flags'!AJ123</f>
        <v>1</v>
      </c>
      <c r="AK237" s="41">
        <f>'Timing &amp; Flags'!AK123</f>
        <v>1</v>
      </c>
      <c r="AL237" s="41">
        <f>'Timing &amp; Flags'!AL123</f>
        <v>1</v>
      </c>
      <c r="AM237" s="41">
        <f>'Timing &amp; Flags'!AM123</f>
        <v>1</v>
      </c>
      <c r="AN237" s="41">
        <f>'Timing &amp; Flags'!AN123</f>
        <v>1</v>
      </c>
      <c r="AO237" s="41">
        <f>'Timing &amp; Flags'!AO123</f>
        <v>1</v>
      </c>
      <c r="AP237" s="41">
        <f>'Timing &amp; Flags'!AP123</f>
        <v>1</v>
      </c>
      <c r="AQ237" s="41">
        <f>'Timing &amp; Flags'!AQ123</f>
        <v>1</v>
      </c>
      <c r="AR237" s="41">
        <f>'Timing &amp; Flags'!AR123</f>
        <v>1</v>
      </c>
      <c r="AS237" s="41">
        <f>'Timing &amp; Flags'!AS123</f>
        <v>0</v>
      </c>
      <c r="AT237" s="41">
        <f>'Timing &amp; Flags'!AT123</f>
        <v>0</v>
      </c>
      <c r="AU237" s="41">
        <f>'Timing &amp; Flags'!AU123</f>
        <v>0</v>
      </c>
      <c r="AV237" s="41">
        <f>'Timing &amp; Flags'!AV123</f>
        <v>0</v>
      </c>
      <c r="AW237" s="41">
        <f>'Timing &amp; Flags'!AW123</f>
        <v>0</v>
      </c>
      <c r="AX237" s="41">
        <f>'Timing &amp; Flags'!AX123</f>
        <v>0</v>
      </c>
      <c r="AY237" s="41">
        <f>'Timing &amp; Flags'!AY123</f>
        <v>0</v>
      </c>
      <c r="AZ237" s="41">
        <f>'Timing &amp; Flags'!AZ123</f>
        <v>0</v>
      </c>
      <c r="BA237" s="41">
        <f>'Timing &amp; Flags'!BA123</f>
        <v>0</v>
      </c>
      <c r="BB237" s="41">
        <f>'Timing &amp; Flags'!BB123</f>
        <v>0</v>
      </c>
      <c r="BC237" s="41">
        <f>'Timing &amp; Flags'!BC123</f>
        <v>0</v>
      </c>
      <c r="BD237" s="41">
        <f>'Timing &amp; Flags'!BD123</f>
        <v>0</v>
      </c>
      <c r="BE237" s="41">
        <f>'Timing &amp; Flags'!BE123</f>
        <v>0</v>
      </c>
      <c r="BF237" s="41">
        <f>'Timing &amp; Flags'!BF123</f>
        <v>0</v>
      </c>
      <c r="BG237" s="41">
        <f>'Timing &amp; Flags'!BG123</f>
        <v>0</v>
      </c>
      <c r="BH237" s="41">
        <f>'Timing &amp; Flags'!BH123</f>
        <v>0</v>
      </c>
      <c r="BI237" s="41">
        <f>'Timing &amp; Flags'!BI123</f>
        <v>0</v>
      </c>
      <c r="BJ237" s="41">
        <f>'Timing &amp; Flags'!BJ123</f>
        <v>0</v>
      </c>
      <c r="BK237" s="41">
        <f>'Timing &amp; Flags'!BK123</f>
        <v>0</v>
      </c>
      <c r="BL237" s="41">
        <f>'Timing &amp; Flags'!BL123</f>
        <v>0</v>
      </c>
      <c r="BM237" s="41">
        <f>'Timing &amp; Flags'!BM123</f>
        <v>0</v>
      </c>
      <c r="BN237" s="41">
        <f>'Timing &amp; Flags'!BN123</f>
        <v>0</v>
      </c>
      <c r="BO237" s="41">
        <f>'Timing &amp; Flags'!BO123</f>
        <v>0</v>
      </c>
      <c r="BP237" s="41">
        <f>'Timing &amp; Flags'!BP123</f>
        <v>0</v>
      </c>
      <c r="BQ237" s="41">
        <f>'Timing &amp; Flags'!BQ123</f>
        <v>0</v>
      </c>
      <c r="BR237" s="41">
        <f>'Timing &amp; Flags'!BR123</f>
        <v>0</v>
      </c>
      <c r="BS237" s="41">
        <f>'Timing &amp; Flags'!BS123</f>
        <v>0</v>
      </c>
      <c r="BT237" s="41">
        <f>'Timing &amp; Flags'!BT123</f>
        <v>0</v>
      </c>
      <c r="BU237" s="41">
        <f>'Timing &amp; Flags'!BU123</f>
        <v>0</v>
      </c>
      <c r="BV237" s="41">
        <f>'Timing &amp; Flags'!BV123</f>
        <v>0</v>
      </c>
      <c r="BW237" s="41">
        <f>'Timing &amp; Flags'!BW123</f>
        <v>0</v>
      </c>
      <c r="BX237" s="41">
        <f>'Timing &amp; Flags'!BX123</f>
        <v>0</v>
      </c>
      <c r="BY237" s="41">
        <f>'Timing &amp; Flags'!BY123</f>
        <v>0</v>
      </c>
      <c r="BZ237" s="41">
        <f>'Timing &amp; Flags'!BZ123</f>
        <v>0</v>
      </c>
      <c r="CA237" s="41">
        <f>'Timing &amp; Flags'!CA123</f>
        <v>0</v>
      </c>
      <c r="CB237" s="41">
        <f>'Timing &amp; Flags'!CB123</f>
        <v>0</v>
      </c>
    </row>
    <row r="238" spans="2:80">
      <c r="B238" s="112" t="str">
        <f>B226</f>
        <v>Senior debt</v>
      </c>
      <c r="D238" s="68">
        <f>'Timing &amp; Flags'!D112</f>
        <v>46023</v>
      </c>
      <c r="E238" s="49"/>
      <c r="I238" s="41">
        <f>'Timing &amp; Flags'!I124</f>
        <v>1</v>
      </c>
      <c r="J238" s="41">
        <f>'Timing &amp; Flags'!J124</f>
        <v>1</v>
      </c>
      <c r="K238" s="41">
        <f>'Timing &amp; Flags'!K124</f>
        <v>1</v>
      </c>
      <c r="L238" s="41">
        <f>'Timing &amp; Flags'!L124</f>
        <v>1</v>
      </c>
      <c r="M238" s="41">
        <f>'Timing &amp; Flags'!M124</f>
        <v>1</v>
      </c>
      <c r="N238" s="41">
        <f>'Timing &amp; Flags'!N124</f>
        <v>1</v>
      </c>
      <c r="O238" s="41">
        <f>'Timing &amp; Flags'!O124</f>
        <v>1</v>
      </c>
      <c r="P238" s="41">
        <f>'Timing &amp; Flags'!P124</f>
        <v>1</v>
      </c>
      <c r="Q238" s="41">
        <f>'Timing &amp; Flags'!Q124</f>
        <v>1</v>
      </c>
      <c r="R238" s="41">
        <f>'Timing &amp; Flags'!R124</f>
        <v>1</v>
      </c>
      <c r="S238" s="41">
        <f>'Timing &amp; Flags'!S124</f>
        <v>1</v>
      </c>
      <c r="T238" s="41">
        <f>'Timing &amp; Flags'!T124</f>
        <v>1</v>
      </c>
      <c r="U238" s="41">
        <f>'Timing &amp; Flags'!U124</f>
        <v>1</v>
      </c>
      <c r="V238" s="41">
        <f>'Timing &amp; Flags'!V124</f>
        <v>1</v>
      </c>
      <c r="W238" s="41">
        <f>'Timing &amp; Flags'!W124</f>
        <v>1</v>
      </c>
      <c r="X238" s="41">
        <f>'Timing &amp; Flags'!X124</f>
        <v>1</v>
      </c>
      <c r="Y238" s="41">
        <f>'Timing &amp; Flags'!Y124</f>
        <v>1</v>
      </c>
      <c r="Z238" s="41">
        <f>'Timing &amp; Flags'!Z124</f>
        <v>1</v>
      </c>
      <c r="AA238" s="41">
        <f>'Timing &amp; Flags'!AA124</f>
        <v>1</v>
      </c>
      <c r="AB238" s="41">
        <f>'Timing &amp; Flags'!AB124</f>
        <v>1</v>
      </c>
      <c r="AC238" s="41">
        <f>'Timing &amp; Flags'!AC124</f>
        <v>1</v>
      </c>
      <c r="AD238" s="41">
        <f>'Timing &amp; Flags'!AD124</f>
        <v>1</v>
      </c>
      <c r="AE238" s="41">
        <f>'Timing &amp; Flags'!AE124</f>
        <v>1</v>
      </c>
      <c r="AF238" s="41">
        <f>'Timing &amp; Flags'!AF124</f>
        <v>1</v>
      </c>
      <c r="AG238" s="41">
        <f>'Timing &amp; Flags'!AG124</f>
        <v>1</v>
      </c>
      <c r="AH238" s="41">
        <f>'Timing &amp; Flags'!AH124</f>
        <v>1</v>
      </c>
      <c r="AI238" s="41">
        <f>'Timing &amp; Flags'!AI124</f>
        <v>1</v>
      </c>
      <c r="AJ238" s="41">
        <f>'Timing &amp; Flags'!AJ124</f>
        <v>1</v>
      </c>
      <c r="AK238" s="41">
        <f>'Timing &amp; Flags'!AK124</f>
        <v>1</v>
      </c>
      <c r="AL238" s="41">
        <f>'Timing &amp; Flags'!AL124</f>
        <v>1</v>
      </c>
      <c r="AM238" s="41">
        <f>'Timing &amp; Flags'!AM124</f>
        <v>1</v>
      </c>
      <c r="AN238" s="41">
        <f>'Timing &amp; Flags'!AN124</f>
        <v>1</v>
      </c>
      <c r="AO238" s="41">
        <f>'Timing &amp; Flags'!AO124</f>
        <v>1</v>
      </c>
      <c r="AP238" s="41">
        <f>'Timing &amp; Flags'!AP124</f>
        <v>1</v>
      </c>
      <c r="AQ238" s="41">
        <f>'Timing &amp; Flags'!AQ124</f>
        <v>1</v>
      </c>
      <c r="AR238" s="41">
        <f>'Timing &amp; Flags'!AR124</f>
        <v>1</v>
      </c>
      <c r="AS238" s="41">
        <f>'Timing &amp; Flags'!AS124</f>
        <v>0</v>
      </c>
      <c r="AT238" s="41">
        <f>'Timing &amp; Flags'!AT124</f>
        <v>0</v>
      </c>
      <c r="AU238" s="41">
        <f>'Timing &amp; Flags'!AU124</f>
        <v>0</v>
      </c>
      <c r="AV238" s="41">
        <f>'Timing &amp; Flags'!AV124</f>
        <v>0</v>
      </c>
      <c r="AW238" s="41">
        <f>'Timing &amp; Flags'!AW124</f>
        <v>0</v>
      </c>
      <c r="AX238" s="41">
        <f>'Timing &amp; Flags'!AX124</f>
        <v>0</v>
      </c>
      <c r="AY238" s="41">
        <f>'Timing &amp; Flags'!AY124</f>
        <v>0</v>
      </c>
      <c r="AZ238" s="41">
        <f>'Timing &amp; Flags'!AZ124</f>
        <v>0</v>
      </c>
      <c r="BA238" s="41">
        <f>'Timing &amp; Flags'!BA124</f>
        <v>0</v>
      </c>
      <c r="BB238" s="41">
        <f>'Timing &amp; Flags'!BB124</f>
        <v>0</v>
      </c>
      <c r="BC238" s="41">
        <f>'Timing &amp; Flags'!BC124</f>
        <v>0</v>
      </c>
      <c r="BD238" s="41">
        <f>'Timing &amp; Flags'!BD124</f>
        <v>0</v>
      </c>
      <c r="BE238" s="41">
        <f>'Timing &amp; Flags'!BE124</f>
        <v>0</v>
      </c>
      <c r="BF238" s="41">
        <f>'Timing &amp; Flags'!BF124</f>
        <v>0</v>
      </c>
      <c r="BG238" s="41">
        <f>'Timing &amp; Flags'!BG124</f>
        <v>0</v>
      </c>
      <c r="BH238" s="41">
        <f>'Timing &amp; Flags'!BH124</f>
        <v>0</v>
      </c>
      <c r="BI238" s="41">
        <f>'Timing &amp; Flags'!BI124</f>
        <v>0</v>
      </c>
      <c r="BJ238" s="41">
        <f>'Timing &amp; Flags'!BJ124</f>
        <v>0</v>
      </c>
      <c r="BK238" s="41">
        <f>'Timing &amp; Flags'!BK124</f>
        <v>0</v>
      </c>
      <c r="BL238" s="41">
        <f>'Timing &amp; Flags'!BL124</f>
        <v>0</v>
      </c>
      <c r="BM238" s="41">
        <f>'Timing &amp; Flags'!BM124</f>
        <v>0</v>
      </c>
      <c r="BN238" s="41">
        <f>'Timing &amp; Flags'!BN124</f>
        <v>0</v>
      </c>
      <c r="BO238" s="41">
        <f>'Timing &amp; Flags'!BO124</f>
        <v>0</v>
      </c>
      <c r="BP238" s="41">
        <f>'Timing &amp; Flags'!BP124</f>
        <v>0</v>
      </c>
      <c r="BQ238" s="41">
        <f>'Timing &amp; Flags'!BQ124</f>
        <v>0</v>
      </c>
      <c r="BR238" s="41">
        <f>'Timing &amp; Flags'!BR124</f>
        <v>0</v>
      </c>
      <c r="BS238" s="41">
        <f>'Timing &amp; Flags'!BS124</f>
        <v>0</v>
      </c>
      <c r="BT238" s="41">
        <f>'Timing &amp; Flags'!BT124</f>
        <v>0</v>
      </c>
      <c r="BU238" s="41">
        <f>'Timing &amp; Flags'!BU124</f>
        <v>0</v>
      </c>
      <c r="BV238" s="41">
        <f>'Timing &amp; Flags'!BV124</f>
        <v>0</v>
      </c>
      <c r="BW238" s="41">
        <f>'Timing &amp; Flags'!BW124</f>
        <v>0</v>
      </c>
      <c r="BX238" s="41">
        <f>'Timing &amp; Flags'!BX124</f>
        <v>0</v>
      </c>
      <c r="BY238" s="41">
        <f>'Timing &amp; Flags'!BY124</f>
        <v>0</v>
      </c>
      <c r="BZ238" s="41">
        <f>'Timing &amp; Flags'!BZ124</f>
        <v>0</v>
      </c>
      <c r="CA238" s="41">
        <f>'Timing &amp; Flags'!CA124</f>
        <v>0</v>
      </c>
      <c r="CB238" s="41">
        <f>'Timing &amp; Flags'!CB124</f>
        <v>0</v>
      </c>
    </row>
    <row r="241" spans="2:81">
      <c r="B241" s="29" t="s">
        <v>238</v>
      </c>
    </row>
    <row r="243" spans="2:81">
      <c r="B243" s="50" t="s">
        <v>239</v>
      </c>
    </row>
    <row r="244" spans="2:81">
      <c r="B244" s="2" t="s">
        <v>145</v>
      </c>
      <c r="C244" s="15" t="str">
        <f>$C$20</f>
        <v>US$</v>
      </c>
      <c r="I244" s="42">
        <f>I214</f>
        <v>66249379.436563015</v>
      </c>
      <c r="J244" s="42">
        <f t="shared" ref="J244:BU244" si="165">J214</f>
        <v>59003590.02416262</v>
      </c>
      <c r="K244" s="42">
        <f t="shared" si="165"/>
        <v>59003590.02416262</v>
      </c>
      <c r="L244" s="42">
        <f t="shared" si="165"/>
        <v>59003590.02416262</v>
      </c>
      <c r="M244" s="42">
        <f t="shared" si="165"/>
        <v>59003590.02416262</v>
      </c>
      <c r="N244" s="42">
        <f t="shared" si="165"/>
        <v>59003590.02416262</v>
      </c>
      <c r="O244" s="42">
        <f t="shared" si="165"/>
        <v>59003590.02416262</v>
      </c>
      <c r="P244" s="42">
        <f t="shared" si="165"/>
        <v>59003590.02416262</v>
      </c>
      <c r="Q244" s="42">
        <f t="shared" si="165"/>
        <v>59003590.02416262</v>
      </c>
      <c r="R244" s="42">
        <f t="shared" si="165"/>
        <v>59003590.02416262</v>
      </c>
      <c r="S244" s="42">
        <f t="shared" si="165"/>
        <v>59003590.02416262</v>
      </c>
      <c r="T244" s="42">
        <f t="shared" si="165"/>
        <v>59003590.02416262</v>
      </c>
      <c r="U244" s="42">
        <f t="shared" si="165"/>
        <v>146603251.38385651</v>
      </c>
      <c r="V244" s="42">
        <f t="shared" si="165"/>
        <v>146603251.38385651</v>
      </c>
      <c r="W244" s="42">
        <f t="shared" si="165"/>
        <v>146603251.38385651</v>
      </c>
      <c r="X244" s="42">
        <f t="shared" si="165"/>
        <v>147106839.35200697</v>
      </c>
      <c r="Y244" s="42">
        <f t="shared" si="165"/>
        <v>148350511.13703915</v>
      </c>
      <c r="Z244" s="42">
        <f t="shared" si="165"/>
        <v>167580860.56470522</v>
      </c>
      <c r="AA244" s="42">
        <f t="shared" si="165"/>
        <v>168997623.97906303</v>
      </c>
      <c r="AB244" s="42">
        <f t="shared" si="165"/>
        <v>170426365.00569412</v>
      </c>
      <c r="AC244" s="42">
        <f t="shared" si="165"/>
        <v>171867184.90582123</v>
      </c>
      <c r="AD244" s="42">
        <f t="shared" si="165"/>
        <v>320553930.95985788</v>
      </c>
      <c r="AE244" s="42">
        <f t="shared" si="165"/>
        <v>323263960.49534386</v>
      </c>
      <c r="AF244" s="42">
        <f t="shared" si="165"/>
        <v>364431731.90770066</v>
      </c>
      <c r="AG244" s="42">
        <f t="shared" si="165"/>
        <v>61574637.513241068</v>
      </c>
      <c r="AH244" s="42">
        <f t="shared" si="165"/>
        <v>62095202.292459518</v>
      </c>
      <c r="AI244" s="42">
        <f t="shared" si="165"/>
        <v>62620168.034481928</v>
      </c>
      <c r="AJ244" s="42">
        <f t="shared" si="165"/>
        <v>63149571.945962243</v>
      </c>
      <c r="AK244" s="42">
        <f t="shared" si="165"/>
        <v>63683451.548107207</v>
      </c>
      <c r="AL244" s="42">
        <f t="shared" si="165"/>
        <v>64221844.679335639</v>
      </c>
      <c r="AM244" s="42">
        <f t="shared" si="165"/>
        <v>64764789.49796021</v>
      </c>
      <c r="AN244" s="42">
        <f t="shared" si="165"/>
        <v>110252732.94228967</v>
      </c>
      <c r="AO244" s="42">
        <f t="shared" si="165"/>
        <v>111184832.45436543</v>
      </c>
      <c r="AP244" s="42">
        <f t="shared" si="165"/>
        <v>112124812.12938343</v>
      </c>
      <c r="AQ244" s="42">
        <f t="shared" si="165"/>
        <v>113072738.58787848</v>
      </c>
      <c r="AR244" s="42">
        <f t="shared" si="165"/>
        <v>114028679.01360922</v>
      </c>
      <c r="AS244" s="42">
        <f t="shared" si="165"/>
        <v>0</v>
      </c>
      <c r="AT244" s="42">
        <f t="shared" si="165"/>
        <v>0</v>
      </c>
      <c r="AU244" s="42">
        <f t="shared" si="165"/>
        <v>0</v>
      </c>
      <c r="AV244" s="42">
        <f t="shared" si="165"/>
        <v>0</v>
      </c>
      <c r="AW244" s="42">
        <f t="shared" si="165"/>
        <v>0</v>
      </c>
      <c r="AX244" s="42">
        <f>AX214</f>
        <v>0</v>
      </c>
      <c r="AY244" s="42">
        <f t="shared" si="165"/>
        <v>0</v>
      </c>
      <c r="AZ244" s="42">
        <f t="shared" si="165"/>
        <v>0</v>
      </c>
      <c r="BA244" s="42">
        <f t="shared" si="165"/>
        <v>0</v>
      </c>
      <c r="BB244" s="42">
        <f t="shared" si="165"/>
        <v>0</v>
      </c>
      <c r="BC244" s="42">
        <f t="shared" si="165"/>
        <v>0</v>
      </c>
      <c r="BD244" s="42">
        <f t="shared" si="165"/>
        <v>0</v>
      </c>
      <c r="BE244" s="42">
        <f t="shared" si="165"/>
        <v>0</v>
      </c>
      <c r="BF244" s="42">
        <f t="shared" si="165"/>
        <v>0</v>
      </c>
      <c r="BG244" s="42">
        <f t="shared" si="165"/>
        <v>0</v>
      </c>
      <c r="BH244" s="42">
        <f t="shared" si="165"/>
        <v>0</v>
      </c>
      <c r="BI244" s="42">
        <f t="shared" si="165"/>
        <v>0</v>
      </c>
      <c r="BJ244" s="42">
        <f t="shared" si="165"/>
        <v>0</v>
      </c>
      <c r="BK244" s="42">
        <f t="shared" si="165"/>
        <v>0</v>
      </c>
      <c r="BL244" s="42">
        <f t="shared" si="165"/>
        <v>0</v>
      </c>
      <c r="BM244" s="42">
        <f t="shared" si="165"/>
        <v>0</v>
      </c>
      <c r="BN244" s="42">
        <f t="shared" si="165"/>
        <v>0</v>
      </c>
      <c r="BO244" s="42">
        <f t="shared" si="165"/>
        <v>0</v>
      </c>
      <c r="BP244" s="42">
        <f t="shared" si="165"/>
        <v>0</v>
      </c>
      <c r="BQ244" s="42">
        <f t="shared" si="165"/>
        <v>0</v>
      </c>
      <c r="BR244" s="42">
        <f t="shared" si="165"/>
        <v>0</v>
      </c>
      <c r="BS244" s="42">
        <f t="shared" si="165"/>
        <v>0</v>
      </c>
      <c r="BT244" s="42">
        <f t="shared" si="165"/>
        <v>0</v>
      </c>
      <c r="BU244" s="42">
        <f t="shared" si="165"/>
        <v>0</v>
      </c>
      <c r="BV244" s="42">
        <f t="shared" ref="BV244:CB244" si="166">BV214</f>
        <v>0</v>
      </c>
      <c r="BW244" s="42">
        <f t="shared" si="166"/>
        <v>0</v>
      </c>
      <c r="BX244" s="42">
        <f t="shared" si="166"/>
        <v>0</v>
      </c>
      <c r="BY244" s="42">
        <f t="shared" si="166"/>
        <v>0</v>
      </c>
      <c r="BZ244" s="42">
        <f t="shared" si="166"/>
        <v>0</v>
      </c>
      <c r="CA244" s="42">
        <f t="shared" si="166"/>
        <v>0</v>
      </c>
      <c r="CB244" s="42">
        <f t="shared" si="166"/>
        <v>0</v>
      </c>
      <c r="CC244" s="42">
        <f>CC214</f>
        <v>0</v>
      </c>
    </row>
    <row r="245" spans="2:81">
      <c r="B245" s="17" t="s">
        <v>98</v>
      </c>
      <c r="C245" s="15" t="str">
        <f>$C$20</f>
        <v>US$</v>
      </c>
      <c r="I245" s="42">
        <f>I244-I255</f>
        <v>0</v>
      </c>
      <c r="J245" s="42">
        <f t="shared" ref="J245:AI245" si="167">J244-J255</f>
        <v>0</v>
      </c>
      <c r="K245" s="42">
        <f t="shared" si="167"/>
        <v>0</v>
      </c>
      <c r="L245" s="42">
        <f t="shared" si="167"/>
        <v>0</v>
      </c>
      <c r="M245" s="42">
        <f t="shared" si="167"/>
        <v>0</v>
      </c>
      <c r="N245" s="42">
        <f t="shared" si="167"/>
        <v>0</v>
      </c>
      <c r="O245" s="42">
        <f t="shared" si="167"/>
        <v>0</v>
      </c>
      <c r="P245" s="42">
        <f t="shared" si="167"/>
        <v>0</v>
      </c>
      <c r="Q245" s="42">
        <f t="shared" si="167"/>
        <v>0</v>
      </c>
      <c r="R245" s="42">
        <f t="shared" si="167"/>
        <v>0</v>
      </c>
      <c r="S245" s="42">
        <f t="shared" si="167"/>
        <v>0</v>
      </c>
      <c r="T245" s="42">
        <f t="shared" si="167"/>
        <v>0</v>
      </c>
      <c r="U245" s="42">
        <f t="shared" si="167"/>
        <v>0</v>
      </c>
      <c r="V245" s="42">
        <f t="shared" si="167"/>
        <v>0</v>
      </c>
      <c r="W245" s="42">
        <f t="shared" si="167"/>
        <v>0</v>
      </c>
      <c r="X245" s="42">
        <f t="shared" si="167"/>
        <v>60070135.36586076</v>
      </c>
      <c r="Y245" s="42">
        <f>Y244-Y255</f>
        <v>148350511.13703915</v>
      </c>
      <c r="Z245" s="42">
        <f t="shared" si="167"/>
        <v>167580860.56470522</v>
      </c>
      <c r="AA245" s="42">
        <f t="shared" si="167"/>
        <v>168997623.97906303</v>
      </c>
      <c r="AB245" s="42">
        <f t="shared" si="167"/>
        <v>170426365.00569412</v>
      </c>
      <c r="AC245" s="42">
        <f t="shared" si="167"/>
        <v>171867184.90582123</v>
      </c>
      <c r="AD245" s="42">
        <f t="shared" si="167"/>
        <v>320553930.95985788</v>
      </c>
      <c r="AE245" s="42">
        <f t="shared" si="167"/>
        <v>323263960.49534386</v>
      </c>
      <c r="AF245" s="42">
        <f t="shared" si="167"/>
        <v>364431731.90770066</v>
      </c>
      <c r="AG245" s="42">
        <f t="shared" si="167"/>
        <v>61574637.513241068</v>
      </c>
      <c r="AH245" s="42">
        <f t="shared" si="167"/>
        <v>62095202.292459518</v>
      </c>
      <c r="AI245" s="42">
        <f t="shared" si="167"/>
        <v>62620168.034481928</v>
      </c>
      <c r="AJ245" s="42">
        <f t="shared" ref="AJ245:CB245" si="168">AJ244-AJ255</f>
        <v>63149571.945962243</v>
      </c>
      <c r="AK245" s="42">
        <f t="shared" si="168"/>
        <v>63683451.548107207</v>
      </c>
      <c r="AL245" s="42">
        <f t="shared" si="168"/>
        <v>64221844.679335639</v>
      </c>
      <c r="AM245" s="42">
        <f t="shared" si="168"/>
        <v>64764789.49796021</v>
      </c>
      <c r="AN245" s="42">
        <f t="shared" si="168"/>
        <v>110252732.94228967</v>
      </c>
      <c r="AO245" s="42">
        <f t="shared" si="168"/>
        <v>111184832.45436543</v>
      </c>
      <c r="AP245" s="42">
        <f t="shared" si="168"/>
        <v>112124812.12938343</v>
      </c>
      <c r="AQ245" s="42">
        <f t="shared" si="168"/>
        <v>113072738.58787848</v>
      </c>
      <c r="AR245" s="42">
        <f t="shared" si="168"/>
        <v>114028679.01360922</v>
      </c>
      <c r="AS245" s="42">
        <f t="shared" si="168"/>
        <v>0</v>
      </c>
      <c r="AT245" s="42">
        <f t="shared" si="168"/>
        <v>0</v>
      </c>
      <c r="AU245" s="42">
        <f t="shared" si="168"/>
        <v>0</v>
      </c>
      <c r="AV245" s="42">
        <f t="shared" si="168"/>
        <v>0</v>
      </c>
      <c r="AW245" s="42">
        <f t="shared" si="168"/>
        <v>0</v>
      </c>
      <c r="AX245" s="42">
        <f t="shared" si="168"/>
        <v>0</v>
      </c>
      <c r="AY245" s="42">
        <f t="shared" si="168"/>
        <v>0</v>
      </c>
      <c r="AZ245" s="42">
        <f t="shared" si="168"/>
        <v>0</v>
      </c>
      <c r="BA245" s="42">
        <f t="shared" si="168"/>
        <v>0</v>
      </c>
      <c r="BB245" s="42">
        <f t="shared" si="168"/>
        <v>0</v>
      </c>
      <c r="BC245" s="42">
        <f t="shared" si="168"/>
        <v>0</v>
      </c>
      <c r="BD245" s="42">
        <f t="shared" si="168"/>
        <v>0</v>
      </c>
      <c r="BE245" s="42">
        <f t="shared" si="168"/>
        <v>0</v>
      </c>
      <c r="BF245" s="42">
        <f t="shared" si="168"/>
        <v>0</v>
      </c>
      <c r="BG245" s="42">
        <f t="shared" si="168"/>
        <v>0</v>
      </c>
      <c r="BH245" s="42">
        <f t="shared" si="168"/>
        <v>0</v>
      </c>
      <c r="BI245" s="42">
        <f t="shared" si="168"/>
        <v>0</v>
      </c>
      <c r="BJ245" s="42">
        <f t="shared" si="168"/>
        <v>0</v>
      </c>
      <c r="BK245" s="42">
        <f t="shared" si="168"/>
        <v>0</v>
      </c>
      <c r="BL245" s="42">
        <f t="shared" si="168"/>
        <v>0</v>
      </c>
      <c r="BM245" s="42">
        <f t="shared" si="168"/>
        <v>0</v>
      </c>
      <c r="BN245" s="42">
        <f t="shared" si="168"/>
        <v>0</v>
      </c>
      <c r="BO245" s="42">
        <f t="shared" si="168"/>
        <v>0</v>
      </c>
      <c r="BP245" s="42">
        <f t="shared" si="168"/>
        <v>0</v>
      </c>
      <c r="BQ245" s="42">
        <f t="shared" si="168"/>
        <v>0</v>
      </c>
      <c r="BR245" s="42">
        <f t="shared" si="168"/>
        <v>0</v>
      </c>
      <c r="BS245" s="42">
        <f t="shared" si="168"/>
        <v>0</v>
      </c>
      <c r="BT245" s="42">
        <f t="shared" si="168"/>
        <v>0</v>
      </c>
      <c r="BU245" s="42">
        <f t="shared" si="168"/>
        <v>0</v>
      </c>
      <c r="BV245" s="42">
        <f t="shared" si="168"/>
        <v>0</v>
      </c>
      <c r="BW245" s="42">
        <f t="shared" si="168"/>
        <v>0</v>
      </c>
      <c r="BX245" s="42">
        <f t="shared" si="168"/>
        <v>0</v>
      </c>
      <c r="BY245" s="42">
        <f t="shared" si="168"/>
        <v>0</v>
      </c>
      <c r="BZ245" s="42">
        <f t="shared" si="168"/>
        <v>0</v>
      </c>
      <c r="CA245" s="42">
        <f t="shared" si="168"/>
        <v>0</v>
      </c>
      <c r="CB245" s="42">
        <f t="shared" si="168"/>
        <v>0</v>
      </c>
    </row>
    <row r="246" spans="2:81">
      <c r="B246" s="17" t="s">
        <v>99</v>
      </c>
      <c r="C246" s="15" t="str">
        <f>$C$20</f>
        <v>US$</v>
      </c>
      <c r="I246" s="42">
        <f>I245-I256</f>
        <v>0</v>
      </c>
      <c r="J246" s="42">
        <f t="shared" ref="J246:AI246" si="169">J245-J256</f>
        <v>0</v>
      </c>
      <c r="K246" s="42">
        <f t="shared" si="169"/>
        <v>0</v>
      </c>
      <c r="L246" s="42">
        <f t="shared" si="169"/>
        <v>0</v>
      </c>
      <c r="M246" s="42">
        <f t="shared" si="169"/>
        <v>0</v>
      </c>
      <c r="N246" s="42">
        <f t="shared" si="169"/>
        <v>0</v>
      </c>
      <c r="O246" s="42">
        <f t="shared" si="169"/>
        <v>0</v>
      </c>
      <c r="P246" s="42">
        <f t="shared" si="169"/>
        <v>0</v>
      </c>
      <c r="Q246" s="42">
        <f t="shared" si="169"/>
        <v>0</v>
      </c>
      <c r="R246" s="42">
        <f t="shared" si="169"/>
        <v>0</v>
      </c>
      <c r="S246" s="42">
        <f t="shared" si="169"/>
        <v>0</v>
      </c>
      <c r="T246" s="42">
        <f t="shared" si="169"/>
        <v>0</v>
      </c>
      <c r="U246" s="42">
        <f t="shared" si="169"/>
        <v>0</v>
      </c>
      <c r="V246" s="42">
        <f t="shared" si="169"/>
        <v>0</v>
      </c>
      <c r="W246" s="42">
        <f t="shared" si="169"/>
        <v>0</v>
      </c>
      <c r="X246" s="42">
        <f t="shared" si="169"/>
        <v>60070135.36586076</v>
      </c>
      <c r="Y246" s="42">
        <f>Y245-Y256</f>
        <v>148350511.13703915</v>
      </c>
      <c r="Z246" s="42">
        <f t="shared" si="169"/>
        <v>167580860.56470522</v>
      </c>
      <c r="AA246" s="42">
        <f t="shared" si="169"/>
        <v>168997623.97906303</v>
      </c>
      <c r="AB246" s="42">
        <f t="shared" si="169"/>
        <v>170426365.00569412</v>
      </c>
      <c r="AC246" s="42">
        <f t="shared" si="169"/>
        <v>171867184.90582123</v>
      </c>
      <c r="AD246" s="42">
        <f t="shared" si="169"/>
        <v>320553930.95985788</v>
      </c>
      <c r="AE246" s="42">
        <f t="shared" si="169"/>
        <v>323263960.49534386</v>
      </c>
      <c r="AF246" s="42">
        <f t="shared" si="169"/>
        <v>364431731.90770066</v>
      </c>
      <c r="AG246" s="42">
        <f t="shared" si="169"/>
        <v>61574637.513241068</v>
      </c>
      <c r="AH246" s="42">
        <f t="shared" si="169"/>
        <v>62095202.292459518</v>
      </c>
      <c r="AI246" s="42">
        <f t="shared" si="169"/>
        <v>62620168.034481928</v>
      </c>
      <c r="AJ246" s="42">
        <f t="shared" ref="AJ246:CB246" si="170">AJ245-AJ256</f>
        <v>63149571.945962243</v>
      </c>
      <c r="AK246" s="42">
        <f t="shared" si="170"/>
        <v>63683451.548107207</v>
      </c>
      <c r="AL246" s="42">
        <f t="shared" si="170"/>
        <v>64221844.679335639</v>
      </c>
      <c r="AM246" s="42">
        <f t="shared" si="170"/>
        <v>64764789.49796021</v>
      </c>
      <c r="AN246" s="42">
        <f t="shared" si="170"/>
        <v>110252732.94228967</v>
      </c>
      <c r="AO246" s="42">
        <f t="shared" si="170"/>
        <v>111184832.45436543</v>
      </c>
      <c r="AP246" s="42">
        <f t="shared" si="170"/>
        <v>112124812.12938343</v>
      </c>
      <c r="AQ246" s="42">
        <f t="shared" si="170"/>
        <v>113072738.58787848</v>
      </c>
      <c r="AR246" s="42">
        <f t="shared" si="170"/>
        <v>114028679.01360922</v>
      </c>
      <c r="AS246" s="42">
        <f t="shared" si="170"/>
        <v>0</v>
      </c>
      <c r="AT246" s="42">
        <f t="shared" si="170"/>
        <v>0</v>
      </c>
      <c r="AU246" s="42">
        <f t="shared" si="170"/>
        <v>0</v>
      </c>
      <c r="AV246" s="42">
        <f t="shared" si="170"/>
        <v>0</v>
      </c>
      <c r="AW246" s="42">
        <f t="shared" si="170"/>
        <v>0</v>
      </c>
      <c r="AX246" s="42">
        <f t="shared" si="170"/>
        <v>0</v>
      </c>
      <c r="AY246" s="42">
        <f t="shared" si="170"/>
        <v>0</v>
      </c>
      <c r="AZ246" s="42">
        <f t="shared" si="170"/>
        <v>0</v>
      </c>
      <c r="BA246" s="42">
        <f t="shared" si="170"/>
        <v>0</v>
      </c>
      <c r="BB246" s="42">
        <f t="shared" si="170"/>
        <v>0</v>
      </c>
      <c r="BC246" s="42">
        <f t="shared" si="170"/>
        <v>0</v>
      </c>
      <c r="BD246" s="42">
        <f t="shared" si="170"/>
        <v>0</v>
      </c>
      <c r="BE246" s="42">
        <f t="shared" si="170"/>
        <v>0</v>
      </c>
      <c r="BF246" s="42">
        <f t="shared" si="170"/>
        <v>0</v>
      </c>
      <c r="BG246" s="42">
        <f t="shared" si="170"/>
        <v>0</v>
      </c>
      <c r="BH246" s="42">
        <f t="shared" si="170"/>
        <v>0</v>
      </c>
      <c r="BI246" s="42">
        <f t="shared" si="170"/>
        <v>0</v>
      </c>
      <c r="BJ246" s="42">
        <f t="shared" si="170"/>
        <v>0</v>
      </c>
      <c r="BK246" s="42">
        <f t="shared" si="170"/>
        <v>0</v>
      </c>
      <c r="BL246" s="42">
        <f t="shared" si="170"/>
        <v>0</v>
      </c>
      <c r="BM246" s="42">
        <f t="shared" si="170"/>
        <v>0</v>
      </c>
      <c r="BN246" s="42">
        <f t="shared" si="170"/>
        <v>0</v>
      </c>
      <c r="BO246" s="42">
        <f t="shared" si="170"/>
        <v>0</v>
      </c>
      <c r="BP246" s="42">
        <f t="shared" si="170"/>
        <v>0</v>
      </c>
      <c r="BQ246" s="42">
        <f t="shared" si="170"/>
        <v>0</v>
      </c>
      <c r="BR246" s="42">
        <f t="shared" si="170"/>
        <v>0</v>
      </c>
      <c r="BS246" s="42">
        <f t="shared" si="170"/>
        <v>0</v>
      </c>
      <c r="BT246" s="42">
        <f t="shared" si="170"/>
        <v>0</v>
      </c>
      <c r="BU246" s="42">
        <f t="shared" si="170"/>
        <v>0</v>
      </c>
      <c r="BV246" s="42">
        <f t="shared" si="170"/>
        <v>0</v>
      </c>
      <c r="BW246" s="42">
        <f t="shared" si="170"/>
        <v>0</v>
      </c>
      <c r="BX246" s="42">
        <f t="shared" si="170"/>
        <v>0</v>
      </c>
      <c r="BY246" s="42">
        <f t="shared" si="170"/>
        <v>0</v>
      </c>
      <c r="BZ246" s="42">
        <f t="shared" si="170"/>
        <v>0</v>
      </c>
      <c r="CA246" s="42">
        <f t="shared" si="170"/>
        <v>0</v>
      </c>
      <c r="CB246" s="42">
        <f t="shared" si="170"/>
        <v>0</v>
      </c>
    </row>
    <row r="247" spans="2:81">
      <c r="AZ247" s="2"/>
    </row>
    <row r="248" spans="2:81">
      <c r="B248" s="50" t="s">
        <v>240</v>
      </c>
      <c r="AZ248" s="2"/>
    </row>
    <row r="249" spans="2:81">
      <c r="B249" s="2" t="s">
        <v>145</v>
      </c>
      <c r="C249" s="15" t="str">
        <f>$C$20</f>
        <v>US$</v>
      </c>
      <c r="G249" s="42">
        <f>($E$230-F261)*G236</f>
        <v>0</v>
      </c>
      <c r="H249" s="42">
        <f>($E$230-G261)*H236</f>
        <v>0</v>
      </c>
      <c r="I249" s="42">
        <f>($E$230-H261)*I236</f>
        <v>1242135327.8400679</v>
      </c>
      <c r="J249" s="42">
        <f t="shared" ref="J249:BU249" si="171">($E$230-I261)*J236</f>
        <v>1175885948.4035048</v>
      </c>
      <c r="K249" s="42">
        <f t="shared" si="171"/>
        <v>1116882358.3793423</v>
      </c>
      <c r="L249" s="42">
        <f t="shared" si="171"/>
        <v>1057878768.3551795</v>
      </c>
      <c r="M249" s="42">
        <f t="shared" si="171"/>
        <v>998875178.33101702</v>
      </c>
      <c r="N249" s="42">
        <f t="shared" si="171"/>
        <v>939871588.30685437</v>
      </c>
      <c r="O249" s="42">
        <f t="shared" si="171"/>
        <v>880867998.28269172</v>
      </c>
      <c r="P249" s="42">
        <f t="shared" si="171"/>
        <v>821864408.25852907</v>
      </c>
      <c r="Q249" s="42">
        <f t="shared" si="171"/>
        <v>762860818.23436642</v>
      </c>
      <c r="R249" s="42">
        <f t="shared" si="171"/>
        <v>703857228.21020377</v>
      </c>
      <c r="S249" s="42">
        <f t="shared" si="171"/>
        <v>644853638.18604112</v>
      </c>
      <c r="T249" s="42">
        <f t="shared" si="171"/>
        <v>585850048.16187847</v>
      </c>
      <c r="U249" s="42">
        <f t="shared" si="171"/>
        <v>526846458.13771582</v>
      </c>
      <c r="V249" s="42">
        <f t="shared" si="171"/>
        <v>380243206.75385928</v>
      </c>
      <c r="W249" s="42">
        <f t="shared" si="171"/>
        <v>233639955.37000275</v>
      </c>
      <c r="X249" s="42">
        <f t="shared" si="171"/>
        <v>87036703.986146212</v>
      </c>
      <c r="Y249" s="42">
        <f t="shared" si="171"/>
        <v>0</v>
      </c>
      <c r="Z249" s="42">
        <f t="shared" si="171"/>
        <v>0</v>
      </c>
      <c r="AA249" s="42">
        <f t="shared" si="171"/>
        <v>0</v>
      </c>
      <c r="AB249" s="42">
        <f t="shared" si="171"/>
        <v>0</v>
      </c>
      <c r="AC249" s="42">
        <f t="shared" si="171"/>
        <v>0</v>
      </c>
      <c r="AD249" s="42">
        <f t="shared" si="171"/>
        <v>0</v>
      </c>
      <c r="AE249" s="42">
        <f t="shared" si="171"/>
        <v>0</v>
      </c>
      <c r="AF249" s="42">
        <f t="shared" si="171"/>
        <v>0</v>
      </c>
      <c r="AG249" s="42">
        <f t="shared" si="171"/>
        <v>0</v>
      </c>
      <c r="AH249" s="42">
        <f t="shared" si="171"/>
        <v>0</v>
      </c>
      <c r="AI249" s="42">
        <f t="shared" si="171"/>
        <v>0</v>
      </c>
      <c r="AJ249" s="42">
        <f t="shared" si="171"/>
        <v>0</v>
      </c>
      <c r="AK249" s="42">
        <f t="shared" si="171"/>
        <v>0</v>
      </c>
      <c r="AL249" s="42">
        <f t="shared" si="171"/>
        <v>0</v>
      </c>
      <c r="AM249" s="42">
        <f t="shared" si="171"/>
        <v>0</v>
      </c>
      <c r="AN249" s="42">
        <f t="shared" si="171"/>
        <v>0</v>
      </c>
      <c r="AO249" s="42">
        <f t="shared" si="171"/>
        <v>0</v>
      </c>
      <c r="AP249" s="42">
        <f t="shared" si="171"/>
        <v>0</v>
      </c>
      <c r="AQ249" s="42">
        <f t="shared" si="171"/>
        <v>0</v>
      </c>
      <c r="AR249" s="42">
        <f t="shared" si="171"/>
        <v>0</v>
      </c>
      <c r="AS249" s="42">
        <f t="shared" si="171"/>
        <v>0</v>
      </c>
      <c r="AT249" s="42">
        <f t="shared" si="171"/>
        <v>0</v>
      </c>
      <c r="AU249" s="42">
        <f t="shared" si="171"/>
        <v>0</v>
      </c>
      <c r="AV249" s="42">
        <f t="shared" si="171"/>
        <v>0</v>
      </c>
      <c r="AW249" s="42">
        <f t="shared" si="171"/>
        <v>0</v>
      </c>
      <c r="AX249" s="42">
        <f t="shared" si="171"/>
        <v>0</v>
      </c>
      <c r="AY249" s="42">
        <f t="shared" si="171"/>
        <v>0</v>
      </c>
      <c r="AZ249" s="42">
        <f t="shared" si="171"/>
        <v>0</v>
      </c>
      <c r="BA249" s="42">
        <f t="shared" si="171"/>
        <v>0</v>
      </c>
      <c r="BB249" s="42">
        <f t="shared" si="171"/>
        <v>0</v>
      </c>
      <c r="BC249" s="42">
        <f t="shared" si="171"/>
        <v>0</v>
      </c>
      <c r="BD249" s="42">
        <f t="shared" si="171"/>
        <v>0</v>
      </c>
      <c r="BE249" s="42">
        <f t="shared" si="171"/>
        <v>0</v>
      </c>
      <c r="BF249" s="42">
        <f t="shared" si="171"/>
        <v>0</v>
      </c>
      <c r="BG249" s="42">
        <f t="shared" si="171"/>
        <v>0</v>
      </c>
      <c r="BH249" s="42">
        <f t="shared" si="171"/>
        <v>0</v>
      </c>
      <c r="BI249" s="42">
        <f t="shared" si="171"/>
        <v>0</v>
      </c>
      <c r="BJ249" s="42">
        <f t="shared" si="171"/>
        <v>0</v>
      </c>
      <c r="BK249" s="42">
        <f t="shared" si="171"/>
        <v>0</v>
      </c>
      <c r="BL249" s="42">
        <f t="shared" si="171"/>
        <v>0</v>
      </c>
      <c r="BM249" s="42">
        <f t="shared" si="171"/>
        <v>0</v>
      </c>
      <c r="BN249" s="42">
        <f t="shared" si="171"/>
        <v>0</v>
      </c>
      <c r="BO249" s="42">
        <f t="shared" si="171"/>
        <v>0</v>
      </c>
      <c r="BP249" s="42">
        <f t="shared" si="171"/>
        <v>0</v>
      </c>
      <c r="BQ249" s="42">
        <f t="shared" si="171"/>
        <v>0</v>
      </c>
      <c r="BR249" s="42">
        <f t="shared" si="171"/>
        <v>0</v>
      </c>
      <c r="BS249" s="42">
        <f t="shared" si="171"/>
        <v>0</v>
      </c>
      <c r="BT249" s="42">
        <f t="shared" si="171"/>
        <v>0</v>
      </c>
      <c r="BU249" s="42">
        <f t="shared" si="171"/>
        <v>0</v>
      </c>
      <c r="BV249" s="42">
        <f t="shared" ref="BV249:CB249" si="172">($E$230-BU261)*BV236</f>
        <v>0</v>
      </c>
      <c r="BW249" s="42">
        <f t="shared" si="172"/>
        <v>0</v>
      </c>
      <c r="BX249" s="42">
        <f t="shared" si="172"/>
        <v>0</v>
      </c>
      <c r="BY249" s="42">
        <f t="shared" si="172"/>
        <v>0</v>
      </c>
      <c r="BZ249" s="42">
        <f t="shared" si="172"/>
        <v>0</v>
      </c>
      <c r="CA249" s="42">
        <f t="shared" si="172"/>
        <v>0</v>
      </c>
      <c r="CB249" s="42">
        <f t="shared" si="172"/>
        <v>0</v>
      </c>
    </row>
    <row r="250" spans="2:81">
      <c r="B250" s="17" t="s">
        <v>98</v>
      </c>
      <c r="C250" s="15" t="str">
        <f>$C$20</f>
        <v>US$</v>
      </c>
      <c r="G250" s="42">
        <f>($E$231-F262)*G237</f>
        <v>0</v>
      </c>
      <c r="H250" s="42">
        <f>($E$231-G262)*H237</f>
        <v>0</v>
      </c>
      <c r="I250" s="42">
        <f>($E$231-H262)*I237</f>
        <v>0</v>
      </c>
      <c r="J250" s="42">
        <f t="shared" ref="J250:AI250" si="173">($E$231-I262)*J237</f>
        <v>0</v>
      </c>
      <c r="K250" s="42">
        <f t="shared" si="173"/>
        <v>0</v>
      </c>
      <c r="L250" s="42">
        <f t="shared" si="173"/>
        <v>0</v>
      </c>
      <c r="M250" s="42">
        <f t="shared" si="173"/>
        <v>0</v>
      </c>
      <c r="N250" s="42">
        <f t="shared" si="173"/>
        <v>0</v>
      </c>
      <c r="O250" s="42">
        <f t="shared" si="173"/>
        <v>0</v>
      </c>
      <c r="P250" s="42">
        <f t="shared" si="173"/>
        <v>0</v>
      </c>
      <c r="Q250" s="42">
        <f t="shared" si="173"/>
        <v>0</v>
      </c>
      <c r="R250" s="42">
        <f t="shared" si="173"/>
        <v>0</v>
      </c>
      <c r="S250" s="42">
        <f t="shared" si="173"/>
        <v>0</v>
      </c>
      <c r="T250" s="42">
        <f t="shared" si="173"/>
        <v>0</v>
      </c>
      <c r="U250" s="42">
        <f t="shared" si="173"/>
        <v>0</v>
      </c>
      <c r="V250" s="42">
        <f t="shared" si="173"/>
        <v>0</v>
      </c>
      <c r="W250" s="42">
        <f t="shared" si="173"/>
        <v>0</v>
      </c>
      <c r="X250" s="42">
        <f t="shared" si="173"/>
        <v>0</v>
      </c>
      <c r="Y250" s="42">
        <f t="shared" si="173"/>
        <v>0</v>
      </c>
      <c r="Z250" s="42">
        <f t="shared" si="173"/>
        <v>0</v>
      </c>
      <c r="AA250" s="42">
        <f t="shared" si="173"/>
        <v>0</v>
      </c>
      <c r="AB250" s="42">
        <f t="shared" si="173"/>
        <v>0</v>
      </c>
      <c r="AC250" s="42">
        <f t="shared" si="173"/>
        <v>0</v>
      </c>
      <c r="AD250" s="42">
        <f t="shared" si="173"/>
        <v>0</v>
      </c>
      <c r="AE250" s="42">
        <f t="shared" si="173"/>
        <v>0</v>
      </c>
      <c r="AF250" s="42">
        <f t="shared" si="173"/>
        <v>0</v>
      </c>
      <c r="AG250" s="42">
        <f t="shared" si="173"/>
        <v>0</v>
      </c>
      <c r="AH250" s="42">
        <f t="shared" si="173"/>
        <v>0</v>
      </c>
      <c r="AI250" s="42">
        <f t="shared" si="173"/>
        <v>0</v>
      </c>
      <c r="AJ250" s="42">
        <f t="shared" ref="AJ250:AY250" si="174">($E$231-AI262)*AJ237</f>
        <v>0</v>
      </c>
      <c r="AK250" s="42">
        <f t="shared" si="174"/>
        <v>0</v>
      </c>
      <c r="AL250" s="42">
        <f t="shared" si="174"/>
        <v>0</v>
      </c>
      <c r="AM250" s="42">
        <f t="shared" si="174"/>
        <v>0</v>
      </c>
      <c r="AN250" s="42">
        <f t="shared" si="174"/>
        <v>0</v>
      </c>
      <c r="AO250" s="42">
        <f t="shared" si="174"/>
        <v>0</v>
      </c>
      <c r="AP250" s="42">
        <f t="shared" si="174"/>
        <v>0</v>
      </c>
      <c r="AQ250" s="42">
        <f t="shared" si="174"/>
        <v>0</v>
      </c>
      <c r="AR250" s="42">
        <f t="shared" si="174"/>
        <v>0</v>
      </c>
      <c r="AS250" s="42">
        <f t="shared" si="174"/>
        <v>0</v>
      </c>
      <c r="AT250" s="42">
        <f t="shared" si="174"/>
        <v>0</v>
      </c>
      <c r="AU250" s="42">
        <f t="shared" si="174"/>
        <v>0</v>
      </c>
      <c r="AV250" s="42">
        <f t="shared" si="174"/>
        <v>0</v>
      </c>
      <c r="AW250" s="42">
        <f t="shared" si="174"/>
        <v>0</v>
      </c>
      <c r="AX250" s="42">
        <f t="shared" si="174"/>
        <v>0</v>
      </c>
      <c r="AY250" s="42">
        <f t="shared" si="174"/>
        <v>0</v>
      </c>
      <c r="AZ250" s="42">
        <f t="shared" ref="AZ250:CB250" si="175">($E$231-AY262)*AZ237</f>
        <v>0</v>
      </c>
      <c r="BA250" s="42">
        <f t="shared" si="175"/>
        <v>0</v>
      </c>
      <c r="BB250" s="42">
        <f t="shared" si="175"/>
        <v>0</v>
      </c>
      <c r="BC250" s="42">
        <f t="shared" si="175"/>
        <v>0</v>
      </c>
      <c r="BD250" s="42">
        <f t="shared" si="175"/>
        <v>0</v>
      </c>
      <c r="BE250" s="42">
        <f t="shared" si="175"/>
        <v>0</v>
      </c>
      <c r="BF250" s="42">
        <f t="shared" si="175"/>
        <v>0</v>
      </c>
      <c r="BG250" s="42">
        <f t="shared" si="175"/>
        <v>0</v>
      </c>
      <c r="BH250" s="42">
        <f t="shared" si="175"/>
        <v>0</v>
      </c>
      <c r="BI250" s="42">
        <f t="shared" si="175"/>
        <v>0</v>
      </c>
      <c r="BJ250" s="42">
        <f t="shared" si="175"/>
        <v>0</v>
      </c>
      <c r="BK250" s="42">
        <f t="shared" si="175"/>
        <v>0</v>
      </c>
      <c r="BL250" s="42">
        <f t="shared" si="175"/>
        <v>0</v>
      </c>
      <c r="BM250" s="42">
        <f t="shared" si="175"/>
        <v>0</v>
      </c>
      <c r="BN250" s="42">
        <f t="shared" si="175"/>
        <v>0</v>
      </c>
      <c r="BO250" s="42">
        <f t="shared" si="175"/>
        <v>0</v>
      </c>
      <c r="BP250" s="42">
        <f t="shared" si="175"/>
        <v>0</v>
      </c>
      <c r="BQ250" s="42">
        <f t="shared" si="175"/>
        <v>0</v>
      </c>
      <c r="BR250" s="42">
        <f t="shared" si="175"/>
        <v>0</v>
      </c>
      <c r="BS250" s="42">
        <f t="shared" si="175"/>
        <v>0</v>
      </c>
      <c r="BT250" s="42">
        <f t="shared" si="175"/>
        <v>0</v>
      </c>
      <c r="BU250" s="42">
        <f t="shared" si="175"/>
        <v>0</v>
      </c>
      <c r="BV250" s="42">
        <f t="shared" si="175"/>
        <v>0</v>
      </c>
      <c r="BW250" s="42">
        <f t="shared" si="175"/>
        <v>0</v>
      </c>
      <c r="BX250" s="42">
        <f t="shared" si="175"/>
        <v>0</v>
      </c>
      <c r="BY250" s="42">
        <f t="shared" si="175"/>
        <v>0</v>
      </c>
      <c r="BZ250" s="42">
        <f t="shared" si="175"/>
        <v>0</v>
      </c>
      <c r="CA250" s="42">
        <f t="shared" si="175"/>
        <v>0</v>
      </c>
      <c r="CB250" s="42">
        <f t="shared" si="175"/>
        <v>0</v>
      </c>
    </row>
    <row r="251" spans="2:81">
      <c r="B251" s="116" t="s">
        <v>99</v>
      </c>
      <c r="C251" s="28" t="str">
        <f>$C$20</f>
        <v>US$</v>
      </c>
      <c r="D251" s="27"/>
      <c r="E251" s="27"/>
      <c r="F251" s="27"/>
      <c r="G251" s="108">
        <f>($E$232-F263)*G238</f>
        <v>0</v>
      </c>
      <c r="H251" s="108">
        <f>($E$232-G263)*H238</f>
        <v>0</v>
      </c>
      <c r="I251" s="108">
        <f>($E$232-H263)*I238</f>
        <v>2898315764.9601583</v>
      </c>
      <c r="J251" s="108">
        <f>($E$232-I263)*J238</f>
        <v>2898315764.9601583</v>
      </c>
      <c r="K251" s="108">
        <f t="shared" ref="K251:AI251" si="176">($E$232-J263)*K238</f>
        <v>2898315764.9601583</v>
      </c>
      <c r="L251" s="108">
        <f t="shared" si="176"/>
        <v>2898315764.9601583</v>
      </c>
      <c r="M251" s="108">
        <f t="shared" si="176"/>
        <v>2898315764.9601583</v>
      </c>
      <c r="N251" s="108">
        <f t="shared" si="176"/>
        <v>2898315764.9601583</v>
      </c>
      <c r="O251" s="108">
        <f t="shared" si="176"/>
        <v>2898315764.9601583</v>
      </c>
      <c r="P251" s="108">
        <f t="shared" si="176"/>
        <v>2898315764.9601583</v>
      </c>
      <c r="Q251" s="108">
        <f t="shared" si="176"/>
        <v>2898315764.9601583</v>
      </c>
      <c r="R251" s="108">
        <f t="shared" si="176"/>
        <v>2898315764.9601583</v>
      </c>
      <c r="S251" s="108">
        <f t="shared" si="176"/>
        <v>2898315764.9601583</v>
      </c>
      <c r="T251" s="108">
        <f t="shared" si="176"/>
        <v>2898315764.9601583</v>
      </c>
      <c r="U251" s="108">
        <f t="shared" si="176"/>
        <v>2898315764.9601583</v>
      </c>
      <c r="V251" s="108">
        <f t="shared" si="176"/>
        <v>2898315764.9601583</v>
      </c>
      <c r="W251" s="108">
        <f t="shared" si="176"/>
        <v>2898315764.9601583</v>
      </c>
      <c r="X251" s="108">
        <f t="shared" si="176"/>
        <v>2898315764.9601583</v>
      </c>
      <c r="Y251" s="108">
        <f t="shared" si="176"/>
        <v>2838245629.5942974</v>
      </c>
      <c r="Z251" s="108">
        <f t="shared" si="176"/>
        <v>2689895118.4572582</v>
      </c>
      <c r="AA251" s="108">
        <f t="shared" si="176"/>
        <v>2522314257.8925533</v>
      </c>
      <c r="AB251" s="108">
        <f t="shared" si="176"/>
        <v>2353316633.9134903</v>
      </c>
      <c r="AC251" s="108">
        <f t="shared" si="176"/>
        <v>2182890268.9077959</v>
      </c>
      <c r="AD251" s="108">
        <f t="shared" si="176"/>
        <v>2011023084.0019748</v>
      </c>
      <c r="AE251" s="108">
        <f t="shared" si="176"/>
        <v>1690469153.0421169</v>
      </c>
      <c r="AF251" s="108">
        <f t="shared" si="176"/>
        <v>1367205192.546773</v>
      </c>
      <c r="AG251" s="108">
        <f t="shared" si="176"/>
        <v>1002773460.6390724</v>
      </c>
      <c r="AH251" s="108">
        <f t="shared" si="176"/>
        <v>941198823.12583137</v>
      </c>
      <c r="AI251" s="108">
        <f t="shared" si="176"/>
        <v>879103620.83337188</v>
      </c>
      <c r="AJ251" s="108">
        <f t="shared" ref="AJ251:AY251" si="177">($E$232-AI263)*AJ238</f>
        <v>816483452.79888988</v>
      </c>
      <c r="AK251" s="108">
        <f t="shared" si="177"/>
        <v>753333880.85292768</v>
      </c>
      <c r="AL251" s="108">
        <f t="shared" si="177"/>
        <v>689650429.30482054</v>
      </c>
      <c r="AM251" s="108">
        <f t="shared" si="177"/>
        <v>625428584.62548494</v>
      </c>
      <c r="AN251" s="108">
        <f t="shared" si="177"/>
        <v>560663795.12752485</v>
      </c>
      <c r="AO251" s="108">
        <f t="shared" si="177"/>
        <v>450411062.18523502</v>
      </c>
      <c r="AP251" s="108">
        <f t="shared" si="177"/>
        <v>339226229.73086977</v>
      </c>
      <c r="AQ251" s="108">
        <f t="shared" si="177"/>
        <v>227101417.60148621</v>
      </c>
      <c r="AR251" s="108">
        <f t="shared" si="177"/>
        <v>114028679.0136075</v>
      </c>
      <c r="AS251" s="108">
        <f t="shared" si="177"/>
        <v>0</v>
      </c>
      <c r="AT251" s="108">
        <f t="shared" si="177"/>
        <v>0</v>
      </c>
      <c r="AU251" s="108">
        <f t="shared" si="177"/>
        <v>0</v>
      </c>
      <c r="AV251" s="108">
        <f t="shared" si="177"/>
        <v>0</v>
      </c>
      <c r="AW251" s="108">
        <f>($E$232-AV263)*AW238</f>
        <v>0</v>
      </c>
      <c r="AX251" s="108">
        <f t="shared" si="177"/>
        <v>0</v>
      </c>
      <c r="AY251" s="108">
        <f t="shared" si="177"/>
        <v>0</v>
      </c>
      <c r="AZ251" s="108">
        <f t="shared" ref="AZ251:CB251" si="178">($E$232-AY263)*AZ238</f>
        <v>0</v>
      </c>
      <c r="BA251" s="108">
        <f t="shared" si="178"/>
        <v>0</v>
      </c>
      <c r="BB251" s="108">
        <f t="shared" si="178"/>
        <v>0</v>
      </c>
      <c r="BC251" s="108">
        <f t="shared" si="178"/>
        <v>0</v>
      </c>
      <c r="BD251" s="108">
        <f t="shared" si="178"/>
        <v>0</v>
      </c>
      <c r="BE251" s="108">
        <f t="shared" si="178"/>
        <v>0</v>
      </c>
      <c r="BF251" s="108">
        <f t="shared" si="178"/>
        <v>0</v>
      </c>
      <c r="BG251" s="108">
        <f t="shared" si="178"/>
        <v>0</v>
      </c>
      <c r="BH251" s="108">
        <f t="shared" si="178"/>
        <v>0</v>
      </c>
      <c r="BI251" s="108">
        <f t="shared" si="178"/>
        <v>0</v>
      </c>
      <c r="BJ251" s="108">
        <f t="shared" si="178"/>
        <v>0</v>
      </c>
      <c r="BK251" s="108">
        <f t="shared" si="178"/>
        <v>0</v>
      </c>
      <c r="BL251" s="108">
        <f t="shared" si="178"/>
        <v>0</v>
      </c>
      <c r="BM251" s="108">
        <f t="shared" si="178"/>
        <v>0</v>
      </c>
      <c r="BN251" s="108">
        <f t="shared" si="178"/>
        <v>0</v>
      </c>
      <c r="BO251" s="108">
        <f t="shared" si="178"/>
        <v>0</v>
      </c>
      <c r="BP251" s="108">
        <f t="shared" si="178"/>
        <v>0</v>
      </c>
      <c r="BQ251" s="108">
        <f t="shared" si="178"/>
        <v>0</v>
      </c>
      <c r="BR251" s="108">
        <f t="shared" si="178"/>
        <v>0</v>
      </c>
      <c r="BS251" s="108">
        <f t="shared" si="178"/>
        <v>0</v>
      </c>
      <c r="BT251" s="108">
        <f t="shared" si="178"/>
        <v>0</v>
      </c>
      <c r="BU251" s="108">
        <f t="shared" si="178"/>
        <v>0</v>
      </c>
      <c r="BV251" s="108">
        <f t="shared" si="178"/>
        <v>0</v>
      </c>
      <c r="BW251" s="108">
        <f t="shared" si="178"/>
        <v>0</v>
      </c>
      <c r="BX251" s="108">
        <f t="shared" si="178"/>
        <v>0</v>
      </c>
      <c r="BY251" s="108">
        <f t="shared" si="178"/>
        <v>0</v>
      </c>
      <c r="BZ251" s="108">
        <f t="shared" si="178"/>
        <v>0</v>
      </c>
      <c r="CA251" s="108">
        <f t="shared" si="178"/>
        <v>0</v>
      </c>
      <c r="CB251" s="108">
        <f t="shared" si="178"/>
        <v>0</v>
      </c>
    </row>
    <row r="252" spans="2:81">
      <c r="B252" s="2" t="s">
        <v>71</v>
      </c>
      <c r="C252" s="15" t="str">
        <f>$C$20</f>
        <v>US$</v>
      </c>
      <c r="F252" s="2" t="s">
        <v>1040</v>
      </c>
      <c r="I252" s="42">
        <f>SUM(I249:I251)</f>
        <v>4140451092.8002262</v>
      </c>
      <c r="J252" s="42">
        <f t="shared" ref="J252:BU252" si="179">SUM(J249:J251)</f>
        <v>4074201713.3636632</v>
      </c>
      <c r="K252" s="42">
        <f t="shared" si="179"/>
        <v>4015198123.3395004</v>
      </c>
      <c r="L252" s="42">
        <f t="shared" si="179"/>
        <v>3956194533.3153381</v>
      </c>
      <c r="M252" s="42">
        <f t="shared" si="179"/>
        <v>3897190943.2911754</v>
      </c>
      <c r="N252" s="42">
        <f t="shared" si="179"/>
        <v>3838187353.2670126</v>
      </c>
      <c r="O252" s="42">
        <f t="shared" si="179"/>
        <v>3779183763.2428503</v>
      </c>
      <c r="P252" s="42">
        <f t="shared" si="179"/>
        <v>3720180173.2186875</v>
      </c>
      <c r="Q252" s="42">
        <f t="shared" si="179"/>
        <v>3661176583.1945248</v>
      </c>
      <c r="R252" s="42">
        <f t="shared" si="179"/>
        <v>3602172993.170362</v>
      </c>
      <c r="S252" s="42">
        <f t="shared" si="179"/>
        <v>3543169403.1461992</v>
      </c>
      <c r="T252" s="42">
        <f t="shared" si="179"/>
        <v>3484165813.1220369</v>
      </c>
      <c r="U252" s="42">
        <f t="shared" si="179"/>
        <v>3425162223.0978742</v>
      </c>
      <c r="V252" s="42">
        <f t="shared" si="179"/>
        <v>3278558971.7140179</v>
      </c>
      <c r="W252" s="42">
        <f t="shared" si="179"/>
        <v>3131955720.3301611</v>
      </c>
      <c r="X252" s="42">
        <f t="shared" si="179"/>
        <v>2985352468.9463043</v>
      </c>
      <c r="Y252" s="42">
        <f t="shared" si="179"/>
        <v>2838245629.5942974</v>
      </c>
      <c r="Z252" s="42">
        <f t="shared" si="179"/>
        <v>2689895118.4572582</v>
      </c>
      <c r="AA252" s="42">
        <f t="shared" si="179"/>
        <v>2522314257.8925533</v>
      </c>
      <c r="AB252" s="42">
        <f t="shared" si="179"/>
        <v>2353316633.9134903</v>
      </c>
      <c r="AC252" s="42">
        <f t="shared" si="179"/>
        <v>2182890268.9077959</v>
      </c>
      <c r="AD252" s="42">
        <f t="shared" si="179"/>
        <v>2011023084.0019748</v>
      </c>
      <c r="AE252" s="42">
        <f t="shared" si="179"/>
        <v>1690469153.0421169</v>
      </c>
      <c r="AF252" s="42">
        <f t="shared" si="179"/>
        <v>1367205192.546773</v>
      </c>
      <c r="AG252" s="42">
        <f t="shared" si="179"/>
        <v>1002773460.6390724</v>
      </c>
      <c r="AH252" s="42">
        <f t="shared" si="179"/>
        <v>941198823.12583137</v>
      </c>
      <c r="AI252" s="42">
        <f t="shared" si="179"/>
        <v>879103620.83337188</v>
      </c>
      <c r="AJ252" s="42">
        <f t="shared" si="179"/>
        <v>816483452.79888988</v>
      </c>
      <c r="AK252" s="42">
        <f t="shared" si="179"/>
        <v>753333880.85292768</v>
      </c>
      <c r="AL252" s="42">
        <f t="shared" si="179"/>
        <v>689650429.30482054</v>
      </c>
      <c r="AM252" s="42">
        <f t="shared" si="179"/>
        <v>625428584.62548494</v>
      </c>
      <c r="AN252" s="42">
        <f t="shared" si="179"/>
        <v>560663795.12752485</v>
      </c>
      <c r="AO252" s="42">
        <f t="shared" si="179"/>
        <v>450411062.18523502</v>
      </c>
      <c r="AP252" s="42">
        <f t="shared" si="179"/>
        <v>339226229.73086977</v>
      </c>
      <c r="AQ252" s="42">
        <f t="shared" si="179"/>
        <v>227101417.60148621</v>
      </c>
      <c r="AR252" s="42">
        <f t="shared" si="179"/>
        <v>114028679.0136075</v>
      </c>
      <c r="AS252" s="42">
        <f t="shared" si="179"/>
        <v>0</v>
      </c>
      <c r="AT252" s="42">
        <f t="shared" si="179"/>
        <v>0</v>
      </c>
      <c r="AU252" s="42">
        <f t="shared" si="179"/>
        <v>0</v>
      </c>
      <c r="AV252" s="42">
        <f t="shared" si="179"/>
        <v>0</v>
      </c>
      <c r="AW252" s="42">
        <f t="shared" si="179"/>
        <v>0</v>
      </c>
      <c r="AX252" s="42">
        <f t="shared" si="179"/>
        <v>0</v>
      </c>
      <c r="AY252" s="42">
        <f t="shared" si="179"/>
        <v>0</v>
      </c>
      <c r="AZ252" s="42">
        <f t="shared" si="179"/>
        <v>0</v>
      </c>
      <c r="BA252" s="42">
        <f t="shared" si="179"/>
        <v>0</v>
      </c>
      <c r="BB252" s="42">
        <f t="shared" si="179"/>
        <v>0</v>
      </c>
      <c r="BC252" s="42">
        <f t="shared" si="179"/>
        <v>0</v>
      </c>
      <c r="BD252" s="42">
        <f t="shared" si="179"/>
        <v>0</v>
      </c>
      <c r="BE252" s="42">
        <f t="shared" si="179"/>
        <v>0</v>
      </c>
      <c r="BF252" s="42">
        <f t="shared" si="179"/>
        <v>0</v>
      </c>
      <c r="BG252" s="42">
        <f t="shared" si="179"/>
        <v>0</v>
      </c>
      <c r="BH252" s="42">
        <f t="shared" si="179"/>
        <v>0</v>
      </c>
      <c r="BI252" s="42">
        <f t="shared" si="179"/>
        <v>0</v>
      </c>
      <c r="BJ252" s="42">
        <f t="shared" si="179"/>
        <v>0</v>
      </c>
      <c r="BK252" s="42">
        <f t="shared" si="179"/>
        <v>0</v>
      </c>
      <c r="BL252" s="42">
        <f t="shared" si="179"/>
        <v>0</v>
      </c>
      <c r="BM252" s="42">
        <f t="shared" si="179"/>
        <v>0</v>
      </c>
      <c r="BN252" s="42">
        <f t="shared" si="179"/>
        <v>0</v>
      </c>
      <c r="BO252" s="42">
        <f t="shared" si="179"/>
        <v>0</v>
      </c>
      <c r="BP252" s="42">
        <f t="shared" si="179"/>
        <v>0</v>
      </c>
      <c r="BQ252" s="42">
        <f t="shared" si="179"/>
        <v>0</v>
      </c>
      <c r="BR252" s="42">
        <f t="shared" si="179"/>
        <v>0</v>
      </c>
      <c r="BS252" s="42">
        <f t="shared" si="179"/>
        <v>0</v>
      </c>
      <c r="BT252" s="42">
        <f t="shared" si="179"/>
        <v>0</v>
      </c>
      <c r="BU252" s="42">
        <f t="shared" si="179"/>
        <v>0</v>
      </c>
      <c r="BV252" s="42">
        <f t="shared" ref="BV252:CB252" si="180">SUM(BV249:BV251)</f>
        <v>0</v>
      </c>
      <c r="BW252" s="42">
        <f t="shared" si="180"/>
        <v>0</v>
      </c>
      <c r="BX252" s="42">
        <f t="shared" si="180"/>
        <v>0</v>
      </c>
      <c r="BY252" s="42">
        <f t="shared" si="180"/>
        <v>0</v>
      </c>
      <c r="BZ252" s="42">
        <f t="shared" si="180"/>
        <v>0</v>
      </c>
      <c r="CA252" s="42">
        <f t="shared" si="180"/>
        <v>0</v>
      </c>
      <c r="CB252" s="42">
        <f t="shared" si="180"/>
        <v>0</v>
      </c>
    </row>
    <row r="253" spans="2:81">
      <c r="AZ253" s="2"/>
    </row>
    <row r="254" spans="2:81">
      <c r="B254" s="50" t="s">
        <v>238</v>
      </c>
      <c r="AZ254" s="2"/>
    </row>
    <row r="255" spans="2:81" s="2498" customFormat="1">
      <c r="B255" s="2498" t="s">
        <v>145</v>
      </c>
      <c r="C255" s="2499" t="str">
        <f>$C$20</f>
        <v>US$</v>
      </c>
      <c r="D255" s="2500">
        <f>SUM(I255:CB255)</f>
        <v>1242135327.8400679</v>
      </c>
      <c r="G255" s="2501"/>
      <c r="H255" s="2501">
        <f t="shared" ref="H255:I257" si="181">MIN(H244,H249)*H236</f>
        <v>0</v>
      </c>
      <c r="I255" s="2501">
        <f>MIN(I244,I249)*I236</f>
        <v>66249379.436563015</v>
      </c>
      <c r="J255" s="2501">
        <f t="shared" ref="J255:AI255" si="182">MIN(J244,J249)*J236</f>
        <v>59003590.02416262</v>
      </c>
      <c r="K255" s="2501">
        <f t="shared" si="182"/>
        <v>59003590.02416262</v>
      </c>
      <c r="L255" s="2501">
        <f t="shared" si="182"/>
        <v>59003590.02416262</v>
      </c>
      <c r="M255" s="2501">
        <f t="shared" si="182"/>
        <v>59003590.02416262</v>
      </c>
      <c r="N255" s="2501">
        <f t="shared" si="182"/>
        <v>59003590.02416262</v>
      </c>
      <c r="O255" s="2501">
        <f t="shared" si="182"/>
        <v>59003590.02416262</v>
      </c>
      <c r="P255" s="2501">
        <f t="shared" si="182"/>
        <v>59003590.02416262</v>
      </c>
      <c r="Q255" s="2501">
        <f>MIN(Q244,Q249)*Q236</f>
        <v>59003590.02416262</v>
      </c>
      <c r="R255" s="2501">
        <f t="shared" si="182"/>
        <v>59003590.02416262</v>
      </c>
      <c r="S255" s="2501">
        <f t="shared" si="182"/>
        <v>59003590.02416262</v>
      </c>
      <c r="T255" s="2501">
        <f t="shared" si="182"/>
        <v>59003590.02416262</v>
      </c>
      <c r="U255" s="2501">
        <f t="shared" si="182"/>
        <v>146603251.38385651</v>
      </c>
      <c r="V255" s="2501">
        <f t="shared" si="182"/>
        <v>146603251.38385651</v>
      </c>
      <c r="W255" s="2501">
        <f t="shared" si="182"/>
        <v>146603251.38385651</v>
      </c>
      <c r="X255" s="2501">
        <f t="shared" si="182"/>
        <v>87036703.986146212</v>
      </c>
      <c r="Y255" s="2501">
        <f t="shared" si="182"/>
        <v>0</v>
      </c>
      <c r="Z255" s="2501">
        <f t="shared" si="182"/>
        <v>0</v>
      </c>
      <c r="AA255" s="2501">
        <f t="shared" si="182"/>
        <v>0</v>
      </c>
      <c r="AB255" s="2501">
        <f t="shared" si="182"/>
        <v>0</v>
      </c>
      <c r="AC255" s="2501">
        <f t="shared" si="182"/>
        <v>0</v>
      </c>
      <c r="AD255" s="2501">
        <f t="shared" si="182"/>
        <v>0</v>
      </c>
      <c r="AE255" s="2501">
        <f t="shared" si="182"/>
        <v>0</v>
      </c>
      <c r="AF255" s="2501">
        <f t="shared" si="182"/>
        <v>0</v>
      </c>
      <c r="AG255" s="2501">
        <f t="shared" si="182"/>
        <v>0</v>
      </c>
      <c r="AH255" s="2501">
        <f t="shared" si="182"/>
        <v>0</v>
      </c>
      <c r="AI255" s="2501">
        <f t="shared" si="182"/>
        <v>0</v>
      </c>
      <c r="AJ255" s="2501">
        <f t="shared" ref="AJ255:AY255" si="183">MIN(AJ244,AJ249)*AJ236</f>
        <v>0</v>
      </c>
      <c r="AK255" s="2501">
        <f t="shared" si="183"/>
        <v>0</v>
      </c>
      <c r="AL255" s="2501">
        <f t="shared" si="183"/>
        <v>0</v>
      </c>
      <c r="AM255" s="2501">
        <f t="shared" si="183"/>
        <v>0</v>
      </c>
      <c r="AN255" s="2501">
        <f t="shared" si="183"/>
        <v>0</v>
      </c>
      <c r="AO255" s="2501">
        <f t="shared" si="183"/>
        <v>0</v>
      </c>
      <c r="AP255" s="2501">
        <f t="shared" si="183"/>
        <v>0</v>
      </c>
      <c r="AQ255" s="2501">
        <f t="shared" si="183"/>
        <v>0</v>
      </c>
      <c r="AR255" s="2501">
        <f t="shared" si="183"/>
        <v>0</v>
      </c>
      <c r="AS255" s="2501">
        <f t="shared" si="183"/>
        <v>0</v>
      </c>
      <c r="AT255" s="2501">
        <f t="shared" si="183"/>
        <v>0</v>
      </c>
      <c r="AU255" s="2501">
        <f t="shared" si="183"/>
        <v>0</v>
      </c>
      <c r="AV255" s="2501">
        <f t="shared" si="183"/>
        <v>0</v>
      </c>
      <c r="AW255" s="2501">
        <f t="shared" si="183"/>
        <v>0</v>
      </c>
      <c r="AX255" s="2501">
        <f t="shared" si="183"/>
        <v>0</v>
      </c>
      <c r="AY255" s="2501">
        <f t="shared" si="183"/>
        <v>0</v>
      </c>
      <c r="AZ255" s="2501">
        <f t="shared" ref="AZ255:BD256" si="184">MIN(AZ244,AZ249)*AZ236</f>
        <v>0</v>
      </c>
      <c r="BA255" s="2501">
        <f t="shared" si="184"/>
        <v>0</v>
      </c>
      <c r="BB255" s="2501">
        <f t="shared" si="184"/>
        <v>0</v>
      </c>
      <c r="BC255" s="2501">
        <f t="shared" si="184"/>
        <v>0</v>
      </c>
      <c r="BD255" s="2501">
        <f t="shared" si="184"/>
        <v>0</v>
      </c>
      <c r="BE255" s="2501">
        <f t="shared" ref="BE255:CB255" si="185">MIN(BE244,BE249)*BE236</f>
        <v>0</v>
      </c>
      <c r="BF255" s="2501">
        <f t="shared" si="185"/>
        <v>0</v>
      </c>
      <c r="BG255" s="2501">
        <f t="shared" si="185"/>
        <v>0</v>
      </c>
      <c r="BH255" s="2501">
        <f t="shared" si="185"/>
        <v>0</v>
      </c>
      <c r="BI255" s="2501">
        <f t="shared" si="185"/>
        <v>0</v>
      </c>
      <c r="BJ255" s="2501">
        <f t="shared" si="185"/>
        <v>0</v>
      </c>
      <c r="BK255" s="2501">
        <f t="shared" si="185"/>
        <v>0</v>
      </c>
      <c r="BL255" s="2501">
        <f t="shared" si="185"/>
        <v>0</v>
      </c>
      <c r="BM255" s="2501">
        <f t="shared" si="185"/>
        <v>0</v>
      </c>
      <c r="BN255" s="2501">
        <f t="shared" si="185"/>
        <v>0</v>
      </c>
      <c r="BO255" s="2501">
        <f t="shared" si="185"/>
        <v>0</v>
      </c>
      <c r="BP255" s="2501">
        <f t="shared" si="185"/>
        <v>0</v>
      </c>
      <c r="BQ255" s="2501">
        <f t="shared" si="185"/>
        <v>0</v>
      </c>
      <c r="BR255" s="2501">
        <f t="shared" si="185"/>
        <v>0</v>
      </c>
      <c r="BS255" s="2501">
        <f t="shared" si="185"/>
        <v>0</v>
      </c>
      <c r="BT255" s="2501">
        <f t="shared" si="185"/>
        <v>0</v>
      </c>
      <c r="BU255" s="2501">
        <f t="shared" si="185"/>
        <v>0</v>
      </c>
      <c r="BV255" s="2501">
        <f t="shared" si="185"/>
        <v>0</v>
      </c>
      <c r="BW255" s="2501">
        <f t="shared" si="185"/>
        <v>0</v>
      </c>
      <c r="BX255" s="2501">
        <f t="shared" si="185"/>
        <v>0</v>
      </c>
      <c r="BY255" s="2501">
        <f t="shared" si="185"/>
        <v>0</v>
      </c>
      <c r="BZ255" s="2501">
        <f t="shared" si="185"/>
        <v>0</v>
      </c>
      <c r="CA255" s="2501">
        <f t="shared" si="185"/>
        <v>0</v>
      </c>
      <c r="CB255" s="2501">
        <f t="shared" si="185"/>
        <v>0</v>
      </c>
    </row>
    <row r="256" spans="2:81">
      <c r="B256" s="17" t="s">
        <v>98</v>
      </c>
      <c r="C256" s="15" t="str">
        <f>$C$20</f>
        <v>US$</v>
      </c>
      <c r="D256" s="118">
        <f>SUM(I256:AI256)</f>
        <v>0</v>
      </c>
      <c r="H256" s="41">
        <f t="shared" si="181"/>
        <v>0</v>
      </c>
      <c r="I256" s="41">
        <f t="shared" si="181"/>
        <v>0</v>
      </c>
      <c r="J256" s="41">
        <f t="shared" ref="J256:AI256" si="186">MIN(J245,J250)*J237</f>
        <v>0</v>
      </c>
      <c r="K256" s="41">
        <f t="shared" si="186"/>
        <v>0</v>
      </c>
      <c r="L256" s="41">
        <f t="shared" si="186"/>
        <v>0</v>
      </c>
      <c r="M256" s="41">
        <f t="shared" si="186"/>
        <v>0</v>
      </c>
      <c r="N256" s="41">
        <f t="shared" si="186"/>
        <v>0</v>
      </c>
      <c r="O256" s="41">
        <f t="shared" si="186"/>
        <v>0</v>
      </c>
      <c r="P256" s="41">
        <f t="shared" si="186"/>
        <v>0</v>
      </c>
      <c r="Q256" s="41">
        <f t="shared" si="186"/>
        <v>0</v>
      </c>
      <c r="R256" s="41">
        <f t="shared" si="186"/>
        <v>0</v>
      </c>
      <c r="S256" s="41">
        <f t="shared" si="186"/>
        <v>0</v>
      </c>
      <c r="T256" s="41">
        <f t="shared" si="186"/>
        <v>0</v>
      </c>
      <c r="U256" s="41">
        <f t="shared" si="186"/>
        <v>0</v>
      </c>
      <c r="V256" s="41">
        <f t="shared" si="186"/>
        <v>0</v>
      </c>
      <c r="W256" s="41">
        <f t="shared" si="186"/>
        <v>0</v>
      </c>
      <c r="X256" s="41">
        <f t="shared" si="186"/>
        <v>0</v>
      </c>
      <c r="Y256" s="41">
        <f t="shared" si="186"/>
        <v>0</v>
      </c>
      <c r="Z256" s="41">
        <f t="shared" si="186"/>
        <v>0</v>
      </c>
      <c r="AA256" s="41">
        <f t="shared" si="186"/>
        <v>0</v>
      </c>
      <c r="AB256" s="41">
        <f t="shared" si="186"/>
        <v>0</v>
      </c>
      <c r="AC256" s="41">
        <f t="shared" si="186"/>
        <v>0</v>
      </c>
      <c r="AD256" s="41">
        <f t="shared" si="186"/>
        <v>0</v>
      </c>
      <c r="AE256" s="41">
        <f t="shared" si="186"/>
        <v>0</v>
      </c>
      <c r="AF256" s="41">
        <f t="shared" si="186"/>
        <v>0</v>
      </c>
      <c r="AG256" s="41">
        <f t="shared" si="186"/>
        <v>0</v>
      </c>
      <c r="AH256" s="41">
        <f t="shared" si="186"/>
        <v>0</v>
      </c>
      <c r="AI256" s="41">
        <f t="shared" si="186"/>
        <v>0</v>
      </c>
      <c r="AJ256" s="41">
        <f t="shared" ref="AJ256:AY256" si="187">MIN(AJ245,AJ250)*AJ237</f>
        <v>0</v>
      </c>
      <c r="AK256" s="41">
        <f t="shared" si="187"/>
        <v>0</v>
      </c>
      <c r="AL256" s="41">
        <f t="shared" si="187"/>
        <v>0</v>
      </c>
      <c r="AM256" s="41">
        <f t="shared" si="187"/>
        <v>0</v>
      </c>
      <c r="AN256" s="41">
        <f t="shared" si="187"/>
        <v>0</v>
      </c>
      <c r="AO256" s="41">
        <f t="shared" si="187"/>
        <v>0</v>
      </c>
      <c r="AP256" s="41">
        <f t="shared" si="187"/>
        <v>0</v>
      </c>
      <c r="AQ256" s="41">
        <f t="shared" si="187"/>
        <v>0</v>
      </c>
      <c r="AR256" s="41">
        <f t="shared" si="187"/>
        <v>0</v>
      </c>
      <c r="AS256" s="41">
        <f t="shared" si="187"/>
        <v>0</v>
      </c>
      <c r="AT256" s="41">
        <f t="shared" si="187"/>
        <v>0</v>
      </c>
      <c r="AU256" s="41">
        <f t="shared" si="187"/>
        <v>0</v>
      </c>
      <c r="AV256" s="41">
        <f t="shared" si="187"/>
        <v>0</v>
      </c>
      <c r="AW256" s="41">
        <f t="shared" si="187"/>
        <v>0</v>
      </c>
      <c r="AX256" s="41">
        <f t="shared" si="187"/>
        <v>0</v>
      </c>
      <c r="AY256" s="41">
        <f t="shared" si="187"/>
        <v>0</v>
      </c>
      <c r="AZ256" s="41">
        <f t="shared" si="184"/>
        <v>0</v>
      </c>
      <c r="BA256" s="41">
        <f t="shared" si="184"/>
        <v>0</v>
      </c>
      <c r="BB256" s="41">
        <f t="shared" si="184"/>
        <v>0</v>
      </c>
      <c r="BC256" s="41">
        <f t="shared" si="184"/>
        <v>0</v>
      </c>
      <c r="BD256" s="41">
        <f t="shared" si="184"/>
        <v>0</v>
      </c>
      <c r="BE256" s="41">
        <f t="shared" ref="BE256:CB256" si="188">MIN(BE245,BE250)*BE237</f>
        <v>0</v>
      </c>
      <c r="BF256" s="41">
        <f t="shared" si="188"/>
        <v>0</v>
      </c>
      <c r="BG256" s="41">
        <f t="shared" si="188"/>
        <v>0</v>
      </c>
      <c r="BH256" s="41">
        <f t="shared" si="188"/>
        <v>0</v>
      </c>
      <c r="BI256" s="41">
        <f t="shared" si="188"/>
        <v>0</v>
      </c>
      <c r="BJ256" s="41">
        <f t="shared" si="188"/>
        <v>0</v>
      </c>
      <c r="BK256" s="41">
        <f t="shared" si="188"/>
        <v>0</v>
      </c>
      <c r="BL256" s="41">
        <f t="shared" si="188"/>
        <v>0</v>
      </c>
      <c r="BM256" s="41">
        <f t="shared" si="188"/>
        <v>0</v>
      </c>
      <c r="BN256" s="41">
        <f t="shared" si="188"/>
        <v>0</v>
      </c>
      <c r="BO256" s="41">
        <f t="shared" si="188"/>
        <v>0</v>
      </c>
      <c r="BP256" s="41">
        <f t="shared" si="188"/>
        <v>0</v>
      </c>
      <c r="BQ256" s="41">
        <f t="shared" si="188"/>
        <v>0</v>
      </c>
      <c r="BR256" s="41">
        <f t="shared" si="188"/>
        <v>0</v>
      </c>
      <c r="BS256" s="41">
        <f t="shared" si="188"/>
        <v>0</v>
      </c>
      <c r="BT256" s="41">
        <f t="shared" si="188"/>
        <v>0</v>
      </c>
      <c r="BU256" s="41">
        <f t="shared" si="188"/>
        <v>0</v>
      </c>
      <c r="BV256" s="41">
        <f t="shared" si="188"/>
        <v>0</v>
      </c>
      <c r="BW256" s="41">
        <f t="shared" si="188"/>
        <v>0</v>
      </c>
      <c r="BX256" s="41">
        <f t="shared" si="188"/>
        <v>0</v>
      </c>
      <c r="BY256" s="41">
        <f t="shared" si="188"/>
        <v>0</v>
      </c>
      <c r="BZ256" s="41">
        <f t="shared" si="188"/>
        <v>0</v>
      </c>
      <c r="CA256" s="41">
        <f t="shared" si="188"/>
        <v>0</v>
      </c>
      <c r="CB256" s="41">
        <f t="shared" si="188"/>
        <v>0</v>
      </c>
    </row>
    <row r="257" spans="1:81">
      <c r="B257" s="17" t="s">
        <v>99</v>
      </c>
      <c r="C257" s="28" t="str">
        <f>$C$20</f>
        <v>US$</v>
      </c>
      <c r="D257" s="126">
        <f>SUM(I257:CB257)</f>
        <v>2898315764.9601583</v>
      </c>
      <c r="E257" s="125"/>
      <c r="F257" s="27"/>
      <c r="G257" s="27"/>
      <c r="H257" s="43">
        <f t="shared" si="181"/>
        <v>0</v>
      </c>
      <c r="I257" s="43">
        <f>MIN(I246,I251)*I238</f>
        <v>0</v>
      </c>
      <c r="J257" s="43">
        <f t="shared" ref="J257:AI257" si="189">MIN(J246,J251)*J238</f>
        <v>0</v>
      </c>
      <c r="K257" s="43">
        <f t="shared" si="189"/>
        <v>0</v>
      </c>
      <c r="L257" s="43">
        <f t="shared" si="189"/>
        <v>0</v>
      </c>
      <c r="M257" s="43">
        <f t="shared" si="189"/>
        <v>0</v>
      </c>
      <c r="N257" s="43">
        <f t="shared" si="189"/>
        <v>0</v>
      </c>
      <c r="O257" s="43">
        <f t="shared" si="189"/>
        <v>0</v>
      </c>
      <c r="P257" s="43">
        <f t="shared" si="189"/>
        <v>0</v>
      </c>
      <c r="Q257" s="43">
        <f t="shared" si="189"/>
        <v>0</v>
      </c>
      <c r="R257" s="43">
        <f t="shared" si="189"/>
        <v>0</v>
      </c>
      <c r="S257" s="43">
        <f t="shared" si="189"/>
        <v>0</v>
      </c>
      <c r="T257" s="43">
        <f t="shared" si="189"/>
        <v>0</v>
      </c>
      <c r="U257" s="43">
        <f t="shared" si="189"/>
        <v>0</v>
      </c>
      <c r="V257" s="43">
        <f t="shared" si="189"/>
        <v>0</v>
      </c>
      <c r="W257" s="43">
        <f t="shared" si="189"/>
        <v>0</v>
      </c>
      <c r="X257" s="43">
        <f t="shared" si="189"/>
        <v>60070135.36586076</v>
      </c>
      <c r="Y257" s="43">
        <f t="shared" si="189"/>
        <v>148350511.13703915</v>
      </c>
      <c r="Z257" s="43">
        <f t="shared" si="189"/>
        <v>167580860.56470522</v>
      </c>
      <c r="AA257" s="43">
        <f t="shared" si="189"/>
        <v>168997623.97906303</v>
      </c>
      <c r="AB257" s="43">
        <f t="shared" si="189"/>
        <v>170426365.00569412</v>
      </c>
      <c r="AC257" s="43">
        <f t="shared" si="189"/>
        <v>171867184.90582123</v>
      </c>
      <c r="AD257" s="43">
        <f t="shared" si="189"/>
        <v>320553930.95985788</v>
      </c>
      <c r="AE257" s="43">
        <f t="shared" si="189"/>
        <v>323263960.49534386</v>
      </c>
      <c r="AF257" s="43">
        <f t="shared" si="189"/>
        <v>364431731.90770066</v>
      </c>
      <c r="AG257" s="43">
        <f t="shared" si="189"/>
        <v>61574637.513241068</v>
      </c>
      <c r="AH257" s="43">
        <f t="shared" si="189"/>
        <v>62095202.292459518</v>
      </c>
      <c r="AI257" s="43">
        <f t="shared" si="189"/>
        <v>62620168.034481928</v>
      </c>
      <c r="AJ257" s="43">
        <f t="shared" ref="AJ257:CB257" si="190">MIN(AJ246,AJ251)*AJ238</f>
        <v>63149571.945962243</v>
      </c>
      <c r="AK257" s="43">
        <f t="shared" si="190"/>
        <v>63683451.548107207</v>
      </c>
      <c r="AL257" s="43">
        <f t="shared" si="190"/>
        <v>64221844.679335639</v>
      </c>
      <c r="AM257" s="43">
        <f t="shared" si="190"/>
        <v>64764789.49796021</v>
      </c>
      <c r="AN257" s="43">
        <f t="shared" si="190"/>
        <v>110252732.94228967</v>
      </c>
      <c r="AO257" s="43">
        <f t="shared" si="190"/>
        <v>111184832.45436543</v>
      </c>
      <c r="AP257" s="43">
        <f t="shared" si="190"/>
        <v>112124812.12938343</v>
      </c>
      <c r="AQ257" s="43">
        <f t="shared" si="190"/>
        <v>113072738.58787848</v>
      </c>
      <c r="AR257" s="43">
        <f t="shared" si="190"/>
        <v>114028679.0136075</v>
      </c>
      <c r="AS257" s="43">
        <f t="shared" si="190"/>
        <v>0</v>
      </c>
      <c r="AT257" s="43">
        <f t="shared" si="190"/>
        <v>0</v>
      </c>
      <c r="AU257" s="43">
        <f t="shared" si="190"/>
        <v>0</v>
      </c>
      <c r="AV257" s="43">
        <f t="shared" si="190"/>
        <v>0</v>
      </c>
      <c r="AW257" s="43">
        <f t="shared" si="190"/>
        <v>0</v>
      </c>
      <c r="AX257" s="43">
        <f t="shared" si="190"/>
        <v>0</v>
      </c>
      <c r="AY257" s="43">
        <f t="shared" si="190"/>
        <v>0</v>
      </c>
      <c r="AZ257" s="43">
        <f t="shared" si="190"/>
        <v>0</v>
      </c>
      <c r="BA257" s="43">
        <f t="shared" si="190"/>
        <v>0</v>
      </c>
      <c r="BB257" s="43">
        <f t="shared" si="190"/>
        <v>0</v>
      </c>
      <c r="BC257" s="43">
        <f t="shared" si="190"/>
        <v>0</v>
      </c>
      <c r="BD257" s="43">
        <f t="shared" si="190"/>
        <v>0</v>
      </c>
      <c r="BE257" s="43">
        <f t="shared" si="190"/>
        <v>0</v>
      </c>
      <c r="BF257" s="43">
        <f t="shared" si="190"/>
        <v>0</v>
      </c>
      <c r="BG257" s="43">
        <f t="shared" si="190"/>
        <v>0</v>
      </c>
      <c r="BH257" s="43">
        <f t="shared" si="190"/>
        <v>0</v>
      </c>
      <c r="BI257" s="43">
        <f t="shared" si="190"/>
        <v>0</v>
      </c>
      <c r="BJ257" s="43">
        <f t="shared" si="190"/>
        <v>0</v>
      </c>
      <c r="BK257" s="43">
        <f t="shared" si="190"/>
        <v>0</v>
      </c>
      <c r="BL257" s="43">
        <f t="shared" si="190"/>
        <v>0</v>
      </c>
      <c r="BM257" s="43">
        <f t="shared" si="190"/>
        <v>0</v>
      </c>
      <c r="BN257" s="43">
        <f t="shared" si="190"/>
        <v>0</v>
      </c>
      <c r="BO257" s="43">
        <f>MIN(BO246,BO251)*BO238</f>
        <v>0</v>
      </c>
      <c r="BP257" s="43">
        <f t="shared" si="190"/>
        <v>0</v>
      </c>
      <c r="BQ257" s="43">
        <f>MIN(BQ246,BQ251)*BQ238</f>
        <v>0</v>
      </c>
      <c r="BR257" s="43">
        <f t="shared" si="190"/>
        <v>0</v>
      </c>
      <c r="BS257" s="43">
        <f t="shared" si="190"/>
        <v>0</v>
      </c>
      <c r="BT257" s="43">
        <f t="shared" si="190"/>
        <v>0</v>
      </c>
      <c r="BU257" s="43">
        <f t="shared" si="190"/>
        <v>0</v>
      </c>
      <c r="BV257" s="43">
        <f t="shared" si="190"/>
        <v>0</v>
      </c>
      <c r="BW257" s="43">
        <f t="shared" si="190"/>
        <v>0</v>
      </c>
      <c r="BX257" s="43">
        <f t="shared" si="190"/>
        <v>0</v>
      </c>
      <c r="BY257" s="43">
        <f t="shared" si="190"/>
        <v>0</v>
      </c>
      <c r="BZ257" s="43">
        <f t="shared" si="190"/>
        <v>0</v>
      </c>
      <c r="CA257" s="43">
        <f t="shared" si="190"/>
        <v>0</v>
      </c>
      <c r="CB257" s="43">
        <f t="shared" si="190"/>
        <v>0</v>
      </c>
    </row>
    <row r="258" spans="1:81">
      <c r="B258" s="124" t="s">
        <v>71</v>
      </c>
      <c r="C258" s="15" t="str">
        <f>$C$20</f>
        <v>US$</v>
      </c>
      <c r="D258" s="42">
        <f>SUM(D255:D257)</f>
        <v>4140451092.8002262</v>
      </c>
      <c r="I258" s="42">
        <f>SUM(I255:I257)</f>
        <v>66249379.436563015</v>
      </c>
      <c r="J258" s="42">
        <f t="shared" ref="J258:BU258" si="191">SUM(J255:J257)</f>
        <v>59003590.02416262</v>
      </c>
      <c r="K258" s="42">
        <f t="shared" si="191"/>
        <v>59003590.02416262</v>
      </c>
      <c r="L258" s="42">
        <f t="shared" si="191"/>
        <v>59003590.02416262</v>
      </c>
      <c r="M258" s="42">
        <f t="shared" si="191"/>
        <v>59003590.02416262</v>
      </c>
      <c r="N258" s="42">
        <f t="shared" si="191"/>
        <v>59003590.02416262</v>
      </c>
      <c r="O258" s="42">
        <f t="shared" si="191"/>
        <v>59003590.02416262</v>
      </c>
      <c r="P258" s="42">
        <f t="shared" si="191"/>
        <v>59003590.02416262</v>
      </c>
      <c r="Q258" s="42">
        <f t="shared" si="191"/>
        <v>59003590.02416262</v>
      </c>
      <c r="R258" s="42">
        <f t="shared" si="191"/>
        <v>59003590.02416262</v>
      </c>
      <c r="S258" s="42">
        <f t="shared" si="191"/>
        <v>59003590.02416262</v>
      </c>
      <c r="T258" s="42">
        <f t="shared" si="191"/>
        <v>59003590.02416262</v>
      </c>
      <c r="U258" s="42">
        <f t="shared" si="191"/>
        <v>146603251.38385651</v>
      </c>
      <c r="V258" s="42">
        <f t="shared" si="191"/>
        <v>146603251.38385651</v>
      </c>
      <c r="W258" s="42">
        <f t="shared" si="191"/>
        <v>146603251.38385651</v>
      </c>
      <c r="X258" s="42">
        <f t="shared" si="191"/>
        <v>147106839.35200697</v>
      </c>
      <c r="Y258" s="42">
        <f t="shared" si="191"/>
        <v>148350511.13703915</v>
      </c>
      <c r="Z258" s="42">
        <f t="shared" si="191"/>
        <v>167580860.56470522</v>
      </c>
      <c r="AA258" s="42">
        <f t="shared" si="191"/>
        <v>168997623.97906303</v>
      </c>
      <c r="AB258" s="42">
        <f t="shared" si="191"/>
        <v>170426365.00569412</v>
      </c>
      <c r="AC258" s="42">
        <f t="shared" si="191"/>
        <v>171867184.90582123</v>
      </c>
      <c r="AD258" s="42">
        <f t="shared" si="191"/>
        <v>320553930.95985788</v>
      </c>
      <c r="AE258" s="42">
        <f t="shared" si="191"/>
        <v>323263960.49534386</v>
      </c>
      <c r="AF258" s="42">
        <f t="shared" si="191"/>
        <v>364431731.90770066</v>
      </c>
      <c r="AG258" s="42">
        <f t="shared" si="191"/>
        <v>61574637.513241068</v>
      </c>
      <c r="AH258" s="42">
        <f t="shared" si="191"/>
        <v>62095202.292459518</v>
      </c>
      <c r="AI258" s="42">
        <f t="shared" si="191"/>
        <v>62620168.034481928</v>
      </c>
      <c r="AJ258" s="42">
        <f t="shared" si="191"/>
        <v>63149571.945962243</v>
      </c>
      <c r="AK258" s="42">
        <f t="shared" si="191"/>
        <v>63683451.548107207</v>
      </c>
      <c r="AL258" s="42">
        <f t="shared" si="191"/>
        <v>64221844.679335639</v>
      </c>
      <c r="AM258" s="42">
        <f t="shared" si="191"/>
        <v>64764789.49796021</v>
      </c>
      <c r="AN258" s="42">
        <f t="shared" si="191"/>
        <v>110252732.94228967</v>
      </c>
      <c r="AO258" s="42">
        <f t="shared" si="191"/>
        <v>111184832.45436543</v>
      </c>
      <c r="AP258" s="42">
        <f t="shared" si="191"/>
        <v>112124812.12938343</v>
      </c>
      <c r="AQ258" s="42">
        <f t="shared" si="191"/>
        <v>113072738.58787848</v>
      </c>
      <c r="AR258" s="42">
        <f t="shared" si="191"/>
        <v>114028679.0136075</v>
      </c>
      <c r="AS258" s="42">
        <f t="shared" si="191"/>
        <v>0</v>
      </c>
      <c r="AT258" s="42">
        <f t="shared" si="191"/>
        <v>0</v>
      </c>
      <c r="AU258" s="42">
        <f t="shared" si="191"/>
        <v>0</v>
      </c>
      <c r="AV258" s="42">
        <f t="shared" si="191"/>
        <v>0</v>
      </c>
      <c r="AW258" s="42">
        <f t="shared" si="191"/>
        <v>0</v>
      </c>
      <c r="AX258" s="42">
        <f t="shared" si="191"/>
        <v>0</v>
      </c>
      <c r="AY258" s="42">
        <f t="shared" si="191"/>
        <v>0</v>
      </c>
      <c r="AZ258" s="42">
        <f t="shared" si="191"/>
        <v>0</v>
      </c>
      <c r="BA258" s="42">
        <f t="shared" si="191"/>
        <v>0</v>
      </c>
      <c r="BB258" s="42">
        <f t="shared" si="191"/>
        <v>0</v>
      </c>
      <c r="BC258" s="42">
        <f t="shared" si="191"/>
        <v>0</v>
      </c>
      <c r="BD258" s="42">
        <f t="shared" si="191"/>
        <v>0</v>
      </c>
      <c r="BE258" s="42">
        <f t="shared" si="191"/>
        <v>0</v>
      </c>
      <c r="BF258" s="42">
        <f t="shared" si="191"/>
        <v>0</v>
      </c>
      <c r="BG258" s="42">
        <f t="shared" si="191"/>
        <v>0</v>
      </c>
      <c r="BH258" s="42">
        <f t="shared" si="191"/>
        <v>0</v>
      </c>
      <c r="BI258" s="42">
        <f t="shared" si="191"/>
        <v>0</v>
      </c>
      <c r="BJ258" s="42">
        <f t="shared" si="191"/>
        <v>0</v>
      </c>
      <c r="BK258" s="42">
        <f t="shared" si="191"/>
        <v>0</v>
      </c>
      <c r="BL258" s="42">
        <f t="shared" si="191"/>
        <v>0</v>
      </c>
      <c r="BM258" s="42">
        <f t="shared" si="191"/>
        <v>0</v>
      </c>
      <c r="BN258" s="42">
        <f t="shared" si="191"/>
        <v>0</v>
      </c>
      <c r="BO258" s="42">
        <f t="shared" si="191"/>
        <v>0</v>
      </c>
      <c r="BP258" s="42">
        <f t="shared" si="191"/>
        <v>0</v>
      </c>
      <c r="BQ258" s="42">
        <f t="shared" si="191"/>
        <v>0</v>
      </c>
      <c r="BR258" s="42">
        <f t="shared" si="191"/>
        <v>0</v>
      </c>
      <c r="BS258" s="42">
        <f t="shared" si="191"/>
        <v>0</v>
      </c>
      <c r="BT258" s="42">
        <f t="shared" si="191"/>
        <v>0</v>
      </c>
      <c r="BU258" s="42">
        <f t="shared" si="191"/>
        <v>0</v>
      </c>
      <c r="BV258" s="42">
        <f t="shared" ref="BV258:CB258" si="192">SUM(BV255:BV257)</f>
        <v>0</v>
      </c>
      <c r="BW258" s="42">
        <f t="shared" si="192"/>
        <v>0</v>
      </c>
      <c r="BX258" s="42">
        <f t="shared" si="192"/>
        <v>0</v>
      </c>
      <c r="BY258" s="42">
        <f t="shared" si="192"/>
        <v>0</v>
      </c>
      <c r="BZ258" s="42">
        <f t="shared" si="192"/>
        <v>0</v>
      </c>
      <c r="CA258" s="42">
        <f t="shared" si="192"/>
        <v>0</v>
      </c>
      <c r="CB258" s="42">
        <f t="shared" si="192"/>
        <v>0</v>
      </c>
    </row>
    <row r="260" spans="1:81">
      <c r="B260" s="50" t="s">
        <v>241</v>
      </c>
    </row>
    <row r="261" spans="1:81">
      <c r="B261" s="2" t="s">
        <v>145</v>
      </c>
      <c r="C261" s="15" t="str">
        <f>$C$20</f>
        <v>US$</v>
      </c>
      <c r="D261" s="41">
        <f>MAX(I261:AI261)</f>
        <v>1242135327.8400679</v>
      </c>
      <c r="I261" s="42">
        <f>SUM($I$255:I255)</f>
        <v>66249379.436563015</v>
      </c>
      <c r="J261" s="42">
        <f>SUM($I$255:J255)</f>
        <v>125252969.46072564</v>
      </c>
      <c r="K261" s="42">
        <f>SUM($I$255:K255)</f>
        <v>184256559.48488826</v>
      </c>
      <c r="L261" s="42">
        <f>SUM($I$255:L255)</f>
        <v>243260149.50905088</v>
      </c>
      <c r="M261" s="42">
        <f>SUM($I$255:M255)</f>
        <v>302263739.5332135</v>
      </c>
      <c r="N261" s="42">
        <f>SUM($I$255:N255)</f>
        <v>361267329.55737615</v>
      </c>
      <c r="O261" s="42">
        <f>SUM($I$255:O255)</f>
        <v>420270919.5815388</v>
      </c>
      <c r="P261" s="42">
        <f>SUM($I$255:P255)</f>
        <v>479274509.60570145</v>
      </c>
      <c r="Q261" s="42">
        <f>SUM($I$255:Q255)</f>
        <v>538278099.6298641</v>
      </c>
      <c r="R261" s="42">
        <f>SUM($I$255:R255)</f>
        <v>597281689.65402675</v>
      </c>
      <c r="S261" s="42">
        <f>SUM($I$255:S255)</f>
        <v>656285279.6781894</v>
      </c>
      <c r="T261" s="42">
        <f>SUM($I$255:T255)</f>
        <v>715288869.70235205</v>
      </c>
      <c r="U261" s="42">
        <f>SUM($I$255:U255)</f>
        <v>861892121.08620858</v>
      </c>
      <c r="V261" s="42">
        <f>SUM($I$255:V255)</f>
        <v>1008495372.4700651</v>
      </c>
      <c r="W261" s="42">
        <f>SUM($I$255:W255)</f>
        <v>1155098623.8539217</v>
      </c>
      <c r="X261" s="42">
        <f>SUM($I$255:X255)</f>
        <v>1242135327.8400679</v>
      </c>
      <c r="Y261" s="42">
        <f>SUM($I$255:Y255)</f>
        <v>1242135327.8400679</v>
      </c>
      <c r="Z261" s="42">
        <f>SUM($I$255:Z255)</f>
        <v>1242135327.8400679</v>
      </c>
      <c r="AA261" s="42">
        <f>SUM($I$255:AA255)</f>
        <v>1242135327.8400679</v>
      </c>
      <c r="AB261" s="42">
        <f>SUM($I$255:AB255)</f>
        <v>1242135327.8400679</v>
      </c>
      <c r="AC261" s="42">
        <f>SUM($I$255:AC255)</f>
        <v>1242135327.8400679</v>
      </c>
      <c r="AD261" s="42">
        <f>SUM($I$255:AD255)</f>
        <v>1242135327.8400679</v>
      </c>
      <c r="AE261" s="42">
        <f>SUM($I$255:AE255)</f>
        <v>1242135327.8400679</v>
      </c>
      <c r="AF261" s="42">
        <f>SUM($I$255:AF255)</f>
        <v>1242135327.8400679</v>
      </c>
      <c r="AG261" s="42">
        <f>SUM($I$255:AG255)</f>
        <v>1242135327.8400679</v>
      </c>
      <c r="AH261" s="42">
        <f>SUM($I$255:AH255)</f>
        <v>1242135327.8400679</v>
      </c>
      <c r="AI261" s="42">
        <f>SUM($I$255:AI255)</f>
        <v>1242135327.8400679</v>
      </c>
      <c r="AJ261" s="42">
        <f>SUM($I$255:AJ255)</f>
        <v>1242135327.8400679</v>
      </c>
      <c r="AK261" s="42">
        <f>SUM($I$255:AK255)</f>
        <v>1242135327.8400679</v>
      </c>
      <c r="AL261" s="42">
        <f>SUM($I$255:AL255)</f>
        <v>1242135327.8400679</v>
      </c>
      <c r="AM261" s="42">
        <f>SUM($I$255:AM255)</f>
        <v>1242135327.8400679</v>
      </c>
      <c r="AN261" s="42">
        <f>SUM($I$255:AN255)</f>
        <v>1242135327.8400679</v>
      </c>
      <c r="AO261" s="42">
        <f>SUM($I$255:AO255)</f>
        <v>1242135327.8400679</v>
      </c>
      <c r="AP261" s="42">
        <f>SUM($I$255:AP255)</f>
        <v>1242135327.8400679</v>
      </c>
      <c r="AQ261" s="42">
        <f>SUM($I$255:AQ255)</f>
        <v>1242135327.8400679</v>
      </c>
      <c r="AR261" s="42">
        <f>SUM($I$255:AR255)</f>
        <v>1242135327.8400679</v>
      </c>
      <c r="AS261" s="42">
        <f>SUM($I$255:AS255)</f>
        <v>1242135327.8400679</v>
      </c>
      <c r="AT261" s="42">
        <f>SUM($I$255:AT255)</f>
        <v>1242135327.8400679</v>
      </c>
      <c r="AU261" s="42">
        <f>SUM($I$255:AU255)</f>
        <v>1242135327.8400679</v>
      </c>
      <c r="AV261" s="42">
        <f>SUM($I$255:AV255)</f>
        <v>1242135327.8400679</v>
      </c>
      <c r="AW261" s="42">
        <f>SUM($I$255:AW255)</f>
        <v>1242135327.8400679</v>
      </c>
      <c r="AX261" s="42">
        <f>SUM($I$255:AX255)</f>
        <v>1242135327.8400679</v>
      </c>
      <c r="AY261" s="42">
        <f>SUM($I$255:AY255)</f>
        <v>1242135327.8400679</v>
      </c>
      <c r="AZ261" s="42">
        <f>SUM($I$255:AZ255)</f>
        <v>1242135327.8400679</v>
      </c>
      <c r="BA261" s="42">
        <f>SUM($I$255:BA255)</f>
        <v>1242135327.8400679</v>
      </c>
      <c r="BB261" s="42">
        <f>SUM($I$255:BB255)</f>
        <v>1242135327.8400679</v>
      </c>
      <c r="BC261" s="42">
        <f>SUM($I$255:BC255)</f>
        <v>1242135327.8400679</v>
      </c>
      <c r="BD261" s="42">
        <f>SUM($I$255:BD255)</f>
        <v>1242135327.8400679</v>
      </c>
      <c r="BE261" s="42">
        <f>SUM($I$255:BE255)</f>
        <v>1242135327.8400679</v>
      </c>
      <c r="BF261" s="42">
        <f>SUM($I$255:BF255)</f>
        <v>1242135327.8400679</v>
      </c>
      <c r="BG261" s="42">
        <f>SUM($I$255:BG255)</f>
        <v>1242135327.8400679</v>
      </c>
      <c r="BH261" s="42">
        <f>SUM($I$255:BH255)</f>
        <v>1242135327.8400679</v>
      </c>
      <c r="BI261" s="42">
        <f>SUM($I$255:BI255)</f>
        <v>1242135327.8400679</v>
      </c>
      <c r="BJ261" s="42">
        <f>SUM($I$255:BJ255)</f>
        <v>1242135327.8400679</v>
      </c>
      <c r="BK261" s="42">
        <f>SUM($I$255:BK255)</f>
        <v>1242135327.8400679</v>
      </c>
      <c r="BL261" s="42">
        <f>SUM($I$255:BL255)</f>
        <v>1242135327.8400679</v>
      </c>
      <c r="BM261" s="42">
        <f>SUM($I$255:BM255)</f>
        <v>1242135327.8400679</v>
      </c>
      <c r="BN261" s="42">
        <f>SUM($I$255:BN255)</f>
        <v>1242135327.8400679</v>
      </c>
      <c r="BO261" s="42">
        <f>SUM($I$255:BO255)</f>
        <v>1242135327.8400679</v>
      </c>
      <c r="BP261" s="42">
        <f>SUM($I$255:BP255)</f>
        <v>1242135327.8400679</v>
      </c>
      <c r="BQ261" s="42">
        <f>SUM($I$255:BQ255)</f>
        <v>1242135327.8400679</v>
      </c>
      <c r="BR261" s="42">
        <f>SUM($I$255:BR255)</f>
        <v>1242135327.8400679</v>
      </c>
      <c r="BS261" s="42">
        <f>SUM($I$255:BS255)</f>
        <v>1242135327.8400679</v>
      </c>
      <c r="BT261" s="42">
        <f>SUM($I$255:BT255)</f>
        <v>1242135327.8400679</v>
      </c>
      <c r="BU261" s="42">
        <f>SUM($I$255:BU255)</f>
        <v>1242135327.8400679</v>
      </c>
      <c r="BV261" s="42">
        <f>SUM($I$255:BV255)</f>
        <v>1242135327.8400679</v>
      </c>
      <c r="BW261" s="42">
        <f>SUM($I$255:BW255)</f>
        <v>1242135327.8400679</v>
      </c>
      <c r="BX261" s="42">
        <f>SUM($I$255:BX255)</f>
        <v>1242135327.8400679</v>
      </c>
      <c r="BY261" s="42">
        <f>SUM($I$255:BY255)</f>
        <v>1242135327.8400679</v>
      </c>
      <c r="BZ261" s="42">
        <f>SUM($I$255:BZ255)</f>
        <v>1242135327.8400679</v>
      </c>
      <c r="CA261" s="42">
        <f>SUM($I$255:CA255)</f>
        <v>1242135327.8400679</v>
      </c>
      <c r="CB261" s="42">
        <f>SUM($I$255:CB255)</f>
        <v>1242135327.8400679</v>
      </c>
    </row>
    <row r="262" spans="1:81">
      <c r="B262" s="17" t="s">
        <v>98</v>
      </c>
      <c r="C262" s="15" t="str">
        <f>$C$20</f>
        <v>US$</v>
      </c>
      <c r="D262" s="41">
        <f>MAX(I262:AI262)</f>
        <v>0</v>
      </c>
      <c r="I262" s="42">
        <f>SUM($I$256:I256)</f>
        <v>0</v>
      </c>
      <c r="J262" s="42">
        <f>SUM($I$256:J256)</f>
        <v>0</v>
      </c>
      <c r="K262" s="42">
        <f>SUM($I$256:K256)</f>
        <v>0</v>
      </c>
      <c r="L262" s="42">
        <f>SUM($I$256:L256)</f>
        <v>0</v>
      </c>
      <c r="M262" s="42">
        <f>SUM($I$256:M256)</f>
        <v>0</v>
      </c>
      <c r="N262" s="42">
        <f>SUM($I$256:N256)</f>
        <v>0</v>
      </c>
      <c r="O262" s="42">
        <f>SUM($I$256:O256)</f>
        <v>0</v>
      </c>
      <c r="P262" s="42">
        <f>SUM($I$256:P256)</f>
        <v>0</v>
      </c>
      <c r="Q262" s="42">
        <f>SUM($I$256:Q256)</f>
        <v>0</v>
      </c>
      <c r="R262" s="42">
        <f>SUM($I$256:R256)</f>
        <v>0</v>
      </c>
      <c r="S262" s="42">
        <f>SUM($I$256:S256)</f>
        <v>0</v>
      </c>
      <c r="T262" s="42">
        <f>SUM($I$256:T256)</f>
        <v>0</v>
      </c>
      <c r="U262" s="42">
        <f>SUM($I$256:U256)</f>
        <v>0</v>
      </c>
      <c r="V262" s="42">
        <f>SUM($I$256:V256)</f>
        <v>0</v>
      </c>
      <c r="W262" s="42">
        <f>SUM($I$256:W256)</f>
        <v>0</v>
      </c>
      <c r="X262" s="42">
        <f>SUM($I$256:X256)</f>
        <v>0</v>
      </c>
      <c r="Y262" s="42">
        <f>SUM($I$256:Y256)</f>
        <v>0</v>
      </c>
      <c r="Z262" s="42">
        <f>SUM($I$256:Z256)</f>
        <v>0</v>
      </c>
      <c r="AA262" s="42">
        <f>SUM($I$256:AA256)</f>
        <v>0</v>
      </c>
      <c r="AB262" s="42">
        <f>SUM($I$256:AB256)</f>
        <v>0</v>
      </c>
      <c r="AC262" s="42">
        <f>SUM($I$256:AC256)</f>
        <v>0</v>
      </c>
      <c r="AD262" s="42">
        <f>SUM($I$256:AD256)</f>
        <v>0</v>
      </c>
      <c r="AE262" s="42">
        <f>SUM($I$256:AE256)</f>
        <v>0</v>
      </c>
      <c r="AF262" s="42">
        <f>SUM($I$256:AF256)</f>
        <v>0</v>
      </c>
      <c r="AG262" s="42">
        <f>SUM($I$256:AG256)</f>
        <v>0</v>
      </c>
      <c r="AH262" s="42">
        <f>SUM($I$256:AH256)</f>
        <v>0</v>
      </c>
      <c r="AI262" s="42">
        <f>SUM($I$256:AI256)</f>
        <v>0</v>
      </c>
      <c r="AJ262" s="42">
        <f>SUM($I$256:AJ256)</f>
        <v>0</v>
      </c>
      <c r="AK262" s="42">
        <f>SUM($I$256:AK256)</f>
        <v>0</v>
      </c>
      <c r="AL262" s="42">
        <f>SUM($I$256:AL256)</f>
        <v>0</v>
      </c>
      <c r="AM262" s="42">
        <f>SUM($I$256:AM256)</f>
        <v>0</v>
      </c>
      <c r="AN262" s="42">
        <f>SUM($I$256:AN256)</f>
        <v>0</v>
      </c>
      <c r="AO262" s="42">
        <f>SUM($I$256:AO256)</f>
        <v>0</v>
      </c>
      <c r="AP262" s="42">
        <f>SUM($I$256:AP256)</f>
        <v>0</v>
      </c>
      <c r="AQ262" s="42">
        <f>SUM($I$256:AQ256)</f>
        <v>0</v>
      </c>
      <c r="AR262" s="42">
        <f>SUM($I$256:AR256)</f>
        <v>0</v>
      </c>
      <c r="AS262" s="42">
        <f>SUM($I$256:AS256)</f>
        <v>0</v>
      </c>
      <c r="AT262" s="42">
        <f>SUM($I$256:AT256)</f>
        <v>0</v>
      </c>
      <c r="AU262" s="42">
        <f>SUM($I$256:AU256)</f>
        <v>0</v>
      </c>
      <c r="AV262" s="42">
        <f>SUM($I$256:AV256)</f>
        <v>0</v>
      </c>
      <c r="AW262" s="42">
        <f>SUM($I$256:AW256)</f>
        <v>0</v>
      </c>
      <c r="AX262" s="42">
        <f>SUM($I$256:AX256)</f>
        <v>0</v>
      </c>
      <c r="AY262" s="42">
        <f>SUM($I$256:AY256)</f>
        <v>0</v>
      </c>
      <c r="AZ262" s="42">
        <f>SUM($I$256:AZ256)</f>
        <v>0</v>
      </c>
      <c r="BA262" s="42">
        <f>SUM($I$256:BA256)</f>
        <v>0</v>
      </c>
      <c r="BB262" s="42">
        <f>SUM($I$256:BB256)</f>
        <v>0</v>
      </c>
      <c r="BC262" s="42">
        <f>SUM($I$256:BC256)</f>
        <v>0</v>
      </c>
      <c r="BD262" s="42">
        <f>SUM($I$256:BD256)</f>
        <v>0</v>
      </c>
      <c r="BE262" s="42">
        <f>SUM($I$256:BE256)</f>
        <v>0</v>
      </c>
      <c r="BF262" s="42">
        <f>SUM($I$256:BF256)</f>
        <v>0</v>
      </c>
      <c r="BG262" s="42">
        <f>SUM($I$256:BG256)</f>
        <v>0</v>
      </c>
      <c r="BH262" s="42">
        <f>SUM($I$256:BH256)</f>
        <v>0</v>
      </c>
      <c r="BI262" s="42">
        <f>SUM($I$256:BI256)</f>
        <v>0</v>
      </c>
      <c r="BJ262" s="42">
        <f>SUM($I$256:BJ256)</f>
        <v>0</v>
      </c>
      <c r="BK262" s="42">
        <f>SUM($I$256:BK256)</f>
        <v>0</v>
      </c>
      <c r="BL262" s="42">
        <f>SUM($I$256:BL256)</f>
        <v>0</v>
      </c>
      <c r="BM262" s="42">
        <f>SUM($I$256:BM256)</f>
        <v>0</v>
      </c>
      <c r="BN262" s="42">
        <f>SUM($I$256:BN256)</f>
        <v>0</v>
      </c>
      <c r="BO262" s="42">
        <f>SUM($I$256:BO256)</f>
        <v>0</v>
      </c>
      <c r="BP262" s="42">
        <f>SUM($I$256:BP256)</f>
        <v>0</v>
      </c>
      <c r="BQ262" s="42">
        <f>SUM($I$256:BQ256)</f>
        <v>0</v>
      </c>
      <c r="BR262" s="42">
        <f>SUM($I$256:BR256)</f>
        <v>0</v>
      </c>
      <c r="BS262" s="42">
        <f>SUM($I$256:BS256)</f>
        <v>0</v>
      </c>
      <c r="BT262" s="42">
        <f>SUM($I$256:BT256)</f>
        <v>0</v>
      </c>
      <c r="BU262" s="42">
        <f>SUM($I$256:BU256)</f>
        <v>0</v>
      </c>
      <c r="BV262" s="42">
        <f>SUM($I$256:BV256)</f>
        <v>0</v>
      </c>
      <c r="BW262" s="42">
        <f>SUM($I$256:BW256)</f>
        <v>0</v>
      </c>
      <c r="BX262" s="42">
        <f>SUM($I$256:BX256)</f>
        <v>0</v>
      </c>
      <c r="BY262" s="42">
        <f>SUM($I$256:BY256)</f>
        <v>0</v>
      </c>
      <c r="BZ262" s="42">
        <f>SUM($I$256:BZ256)</f>
        <v>0</v>
      </c>
      <c r="CA262" s="42">
        <f>SUM($I$256:CA256)</f>
        <v>0</v>
      </c>
      <c r="CB262" s="42">
        <f>SUM($I$256:CB256)</f>
        <v>0</v>
      </c>
    </row>
    <row r="263" spans="1:81">
      <c r="B263" s="17" t="s">
        <v>99</v>
      </c>
      <c r="C263" s="28" t="str">
        <f>$C$20</f>
        <v>US$</v>
      </c>
      <c r="D263" s="43">
        <f>MAX(I263:AY263)</f>
        <v>2898315764.9601583</v>
      </c>
      <c r="E263" s="27"/>
      <c r="F263" s="27"/>
      <c r="G263" s="27"/>
      <c r="H263" s="27"/>
      <c r="I263" s="108">
        <f>SUM($I$257:I257)</f>
        <v>0</v>
      </c>
      <c r="J263" s="108">
        <f>SUM($I$257:J257)</f>
        <v>0</v>
      </c>
      <c r="K263" s="108">
        <f>SUM($I$257:K257)</f>
        <v>0</v>
      </c>
      <c r="L263" s="108">
        <f>SUM($I$257:L257)</f>
        <v>0</v>
      </c>
      <c r="M263" s="108">
        <f>SUM($I$257:M257)</f>
        <v>0</v>
      </c>
      <c r="N263" s="108">
        <f>SUM($I$257:N257)</f>
        <v>0</v>
      </c>
      <c r="O263" s="108">
        <f>SUM($I$257:O257)</f>
        <v>0</v>
      </c>
      <c r="P263" s="108">
        <f>SUM($I$257:P257)</f>
        <v>0</v>
      </c>
      <c r="Q263" s="108">
        <f>SUM($I$257:Q257)</f>
        <v>0</v>
      </c>
      <c r="R263" s="108">
        <f>SUM($I$257:R257)</f>
        <v>0</v>
      </c>
      <c r="S263" s="108">
        <f>SUM($I$257:S257)</f>
        <v>0</v>
      </c>
      <c r="T263" s="108">
        <f>SUM($I$257:T257)</f>
        <v>0</v>
      </c>
      <c r="U263" s="108">
        <f>SUM($I$257:U257)</f>
        <v>0</v>
      </c>
      <c r="V263" s="108">
        <f>SUM($I$257:V257)</f>
        <v>0</v>
      </c>
      <c r="W263" s="108">
        <f>SUM($I$257:W257)</f>
        <v>0</v>
      </c>
      <c r="X263" s="108">
        <f>SUM($I$257:X257)</f>
        <v>60070135.36586076</v>
      </c>
      <c r="Y263" s="108">
        <f>SUM($I$257:Y257)</f>
        <v>208420646.50289991</v>
      </c>
      <c r="Z263" s="108">
        <f>SUM($I$257:Z257)</f>
        <v>376001507.06760514</v>
      </c>
      <c r="AA263" s="108">
        <f>SUM($I$257:AA257)</f>
        <v>544999131.04666817</v>
      </c>
      <c r="AB263" s="108">
        <f>SUM($I$257:AB257)</f>
        <v>715425496.05236232</v>
      </c>
      <c r="AC263" s="108">
        <f>SUM($I$257:AC257)</f>
        <v>887292680.95818353</v>
      </c>
      <c r="AD263" s="108">
        <f>SUM($I$257:AD257)</f>
        <v>1207846611.9180415</v>
      </c>
      <c r="AE263" s="108">
        <f>SUM($I$257:AE257)</f>
        <v>1531110572.4133854</v>
      </c>
      <c r="AF263" s="108">
        <f>SUM($I$257:AF257)</f>
        <v>1895542304.3210859</v>
      </c>
      <c r="AG263" s="108">
        <f>SUM($I$257:AG257)</f>
        <v>1957116941.834327</v>
      </c>
      <c r="AH263" s="108">
        <f>SUM($I$257:AH257)</f>
        <v>2019212144.1267865</v>
      </c>
      <c r="AI263" s="108">
        <f>SUM($I$257:AI257)</f>
        <v>2081832312.1612685</v>
      </c>
      <c r="AJ263" s="108">
        <f>SUM($I$257:AJ257)</f>
        <v>2144981884.1072307</v>
      </c>
      <c r="AK263" s="108">
        <f>SUM($I$257:AK257)</f>
        <v>2208665335.6553378</v>
      </c>
      <c r="AL263" s="108">
        <f>SUM($I$257:AL257)</f>
        <v>2272887180.3346734</v>
      </c>
      <c r="AM263" s="108">
        <f>SUM($I$257:AM257)</f>
        <v>2337651969.8326335</v>
      </c>
      <c r="AN263" s="108">
        <f>SUM($I$257:AN257)</f>
        <v>2447904702.7749233</v>
      </c>
      <c r="AO263" s="108">
        <f>SUM($I$257:AO257)</f>
        <v>2559089535.2292886</v>
      </c>
      <c r="AP263" s="108">
        <f>SUM($I$257:AP257)</f>
        <v>2671214347.3586721</v>
      </c>
      <c r="AQ263" s="108">
        <f>SUM($I$257:AQ257)</f>
        <v>2784287085.9465508</v>
      </c>
      <c r="AR263" s="108">
        <f>SUM($I$257:AR257)</f>
        <v>2898315764.9601583</v>
      </c>
      <c r="AS263" s="108">
        <f>SUM($I$257:AS257)</f>
        <v>2898315764.9601583</v>
      </c>
      <c r="AT263" s="108">
        <f>SUM($I$257:AT257)</f>
        <v>2898315764.9601583</v>
      </c>
      <c r="AU263" s="108">
        <f>SUM($I$257:AU257)</f>
        <v>2898315764.9601583</v>
      </c>
      <c r="AV263" s="108">
        <f>SUM($I$257:AV257)</f>
        <v>2898315764.9601583</v>
      </c>
      <c r="AW263" s="108">
        <f>SUM($I$257:AW257)</f>
        <v>2898315764.9601583</v>
      </c>
      <c r="AX263" s="108">
        <f>SUM($I$257:AX257)</f>
        <v>2898315764.9601583</v>
      </c>
      <c r="AY263" s="108">
        <f>SUM($I$257:AY257)</f>
        <v>2898315764.9601583</v>
      </c>
      <c r="AZ263" s="108">
        <f>SUM($I$257:AZ257)</f>
        <v>2898315764.9601583</v>
      </c>
      <c r="BA263" s="108">
        <f>SUM($I$257:BA257)</f>
        <v>2898315764.9601583</v>
      </c>
      <c r="BB263" s="108">
        <f>SUM($I$257:BB257)</f>
        <v>2898315764.9601583</v>
      </c>
      <c r="BC263" s="108">
        <f>SUM($I$257:BC257)</f>
        <v>2898315764.9601583</v>
      </c>
      <c r="BD263" s="108">
        <f>SUM($I$257:BD257)</f>
        <v>2898315764.9601583</v>
      </c>
      <c r="BE263" s="108">
        <f>SUM($I$257:BE257)</f>
        <v>2898315764.9601583</v>
      </c>
      <c r="BF263" s="108">
        <f>SUM($I$257:BF257)</f>
        <v>2898315764.9601583</v>
      </c>
      <c r="BG263" s="108">
        <f>SUM($I$257:BG257)</f>
        <v>2898315764.9601583</v>
      </c>
      <c r="BH263" s="108">
        <f>SUM($I$257:BH257)</f>
        <v>2898315764.9601583</v>
      </c>
      <c r="BI263" s="108">
        <f>SUM($I$257:BI257)</f>
        <v>2898315764.9601583</v>
      </c>
      <c r="BJ263" s="108">
        <f>SUM($I$257:BJ257)</f>
        <v>2898315764.9601583</v>
      </c>
      <c r="BK263" s="108">
        <f>SUM($I$257:BK257)</f>
        <v>2898315764.9601583</v>
      </c>
      <c r="BL263" s="108">
        <f>SUM($I$257:BL257)</f>
        <v>2898315764.9601583</v>
      </c>
      <c r="BM263" s="108">
        <f>SUM($I$257:BM257)</f>
        <v>2898315764.9601583</v>
      </c>
      <c r="BN263" s="108">
        <f>SUM($I$257:BN257)</f>
        <v>2898315764.9601583</v>
      </c>
      <c r="BO263" s="108">
        <f>SUM($I$257:BO257)</f>
        <v>2898315764.9601583</v>
      </c>
      <c r="BP263" s="108">
        <f>SUM($I$257:BP257)</f>
        <v>2898315764.9601583</v>
      </c>
      <c r="BQ263" s="108">
        <f>SUM($I$257:BQ257)</f>
        <v>2898315764.9601583</v>
      </c>
      <c r="BR263" s="108">
        <f>SUM($I$257:BR257)</f>
        <v>2898315764.9601583</v>
      </c>
      <c r="BS263" s="108">
        <f>SUM($I$257:BS257)</f>
        <v>2898315764.9601583</v>
      </c>
      <c r="BT263" s="108">
        <f>SUM($I$257:BT257)</f>
        <v>2898315764.9601583</v>
      </c>
      <c r="BU263" s="108">
        <f>SUM($I$257:BU257)</f>
        <v>2898315764.9601583</v>
      </c>
      <c r="BV263" s="108">
        <f>SUM($I$257:BV257)</f>
        <v>2898315764.9601583</v>
      </c>
      <c r="BW263" s="108">
        <f>SUM($I$257:BW257)</f>
        <v>2898315764.9601583</v>
      </c>
      <c r="BX263" s="108">
        <f>SUM($I$257:BX257)</f>
        <v>2898315764.9601583</v>
      </c>
      <c r="BY263" s="108">
        <f>SUM($I$257:BY257)</f>
        <v>2898315764.9601583</v>
      </c>
      <c r="BZ263" s="108">
        <f>SUM($I$257:BZ257)</f>
        <v>2898315764.9601583</v>
      </c>
      <c r="CA263" s="108">
        <f>SUM($I$257:CA257)</f>
        <v>2898315764.9601583</v>
      </c>
      <c r="CB263" s="108">
        <f>SUM($I$257:CB257)</f>
        <v>2898315764.9601583</v>
      </c>
    </row>
    <row r="264" spans="1:81">
      <c r="B264" s="124" t="s">
        <v>71</v>
      </c>
      <c r="C264" s="15" t="str">
        <f>$C$20</f>
        <v>US$</v>
      </c>
      <c r="D264" s="42">
        <f>SUM(D261:D263)</f>
        <v>4140451092.8002262</v>
      </c>
      <c r="I264" s="42">
        <f>SUM(I261:I263)</f>
        <v>66249379.436563015</v>
      </c>
      <c r="J264" s="42">
        <f t="shared" ref="J264:AY264" si="193">SUM(J261:J263)</f>
        <v>125252969.46072564</v>
      </c>
      <c r="K264" s="42">
        <f t="shared" si="193"/>
        <v>184256559.48488826</v>
      </c>
      <c r="L264" s="42">
        <f t="shared" si="193"/>
        <v>243260149.50905088</v>
      </c>
      <c r="M264" s="42">
        <f t="shared" si="193"/>
        <v>302263739.5332135</v>
      </c>
      <c r="N264" s="42">
        <f t="shared" si="193"/>
        <v>361267329.55737615</v>
      </c>
      <c r="O264" s="42">
        <f t="shared" si="193"/>
        <v>420270919.5815388</v>
      </c>
      <c r="P264" s="42">
        <f t="shared" si="193"/>
        <v>479274509.60570145</v>
      </c>
      <c r="Q264" s="42">
        <f t="shared" si="193"/>
        <v>538278099.6298641</v>
      </c>
      <c r="R264" s="42">
        <f t="shared" si="193"/>
        <v>597281689.65402675</v>
      </c>
      <c r="S264" s="42">
        <f t="shared" si="193"/>
        <v>656285279.6781894</v>
      </c>
      <c r="T264" s="42">
        <f t="shared" si="193"/>
        <v>715288869.70235205</v>
      </c>
      <c r="U264" s="42">
        <f t="shared" si="193"/>
        <v>861892121.08620858</v>
      </c>
      <c r="V264" s="42">
        <f t="shared" si="193"/>
        <v>1008495372.4700651</v>
      </c>
      <c r="W264" s="42">
        <f t="shared" si="193"/>
        <v>1155098623.8539217</v>
      </c>
      <c r="X264" s="42">
        <f t="shared" si="193"/>
        <v>1302205463.2059286</v>
      </c>
      <c r="Y264" s="42">
        <f t="shared" si="193"/>
        <v>1450555974.3429677</v>
      </c>
      <c r="Z264" s="42">
        <f t="shared" si="193"/>
        <v>1618136834.9076729</v>
      </c>
      <c r="AA264" s="42">
        <f t="shared" si="193"/>
        <v>1787134458.8867359</v>
      </c>
      <c r="AB264" s="42">
        <f t="shared" si="193"/>
        <v>1957560823.8924303</v>
      </c>
      <c r="AC264" s="42">
        <f t="shared" si="193"/>
        <v>2129428008.7982514</v>
      </c>
      <c r="AD264" s="42">
        <f t="shared" si="193"/>
        <v>2449981939.7581091</v>
      </c>
      <c r="AE264" s="42">
        <f t="shared" si="193"/>
        <v>2773245900.2534533</v>
      </c>
      <c r="AF264" s="42">
        <f t="shared" si="193"/>
        <v>3137677632.1611538</v>
      </c>
      <c r="AG264" s="42">
        <f t="shared" si="193"/>
        <v>3199252269.6743946</v>
      </c>
      <c r="AH264" s="42">
        <f t="shared" si="193"/>
        <v>3261347471.9668541</v>
      </c>
      <c r="AI264" s="42">
        <f t="shared" si="193"/>
        <v>3323967640.0013361</v>
      </c>
      <c r="AJ264" s="42">
        <f t="shared" si="193"/>
        <v>3387117211.9472985</v>
      </c>
      <c r="AK264" s="42">
        <f t="shared" si="193"/>
        <v>3450800663.4954057</v>
      </c>
      <c r="AL264" s="42">
        <f t="shared" si="193"/>
        <v>3515022508.1747413</v>
      </c>
      <c r="AM264" s="42">
        <f t="shared" si="193"/>
        <v>3579787297.6727014</v>
      </c>
      <c r="AN264" s="42">
        <f t="shared" si="193"/>
        <v>3690040030.6149912</v>
      </c>
      <c r="AO264" s="42">
        <f t="shared" si="193"/>
        <v>3801224863.0693564</v>
      </c>
      <c r="AP264" s="42">
        <f t="shared" si="193"/>
        <v>3913349675.19874</v>
      </c>
      <c r="AQ264" s="42">
        <f t="shared" si="193"/>
        <v>4026422413.7866187</v>
      </c>
      <c r="AR264" s="42">
        <f t="shared" si="193"/>
        <v>4140451092.8002262</v>
      </c>
      <c r="AS264" s="42">
        <f t="shared" si="193"/>
        <v>4140451092.8002262</v>
      </c>
      <c r="AT264" s="42">
        <f t="shared" si="193"/>
        <v>4140451092.8002262</v>
      </c>
      <c r="AU264" s="42">
        <f t="shared" si="193"/>
        <v>4140451092.8002262</v>
      </c>
      <c r="AV264" s="42">
        <f t="shared" si="193"/>
        <v>4140451092.8002262</v>
      </c>
      <c r="AW264" s="42">
        <f t="shared" si="193"/>
        <v>4140451092.8002262</v>
      </c>
      <c r="AX264" s="42">
        <f t="shared" si="193"/>
        <v>4140451092.8002262</v>
      </c>
      <c r="AY264" s="42">
        <f t="shared" si="193"/>
        <v>4140451092.8002262</v>
      </c>
      <c r="AZ264" s="42">
        <f t="shared" ref="AZ264:CB264" si="194">SUM(AZ261:AZ263)</f>
        <v>4140451092.8002262</v>
      </c>
      <c r="BA264" s="42">
        <f t="shared" si="194"/>
        <v>4140451092.8002262</v>
      </c>
      <c r="BB264" s="42">
        <f t="shared" si="194"/>
        <v>4140451092.8002262</v>
      </c>
      <c r="BC264" s="42">
        <f t="shared" si="194"/>
        <v>4140451092.8002262</v>
      </c>
      <c r="BD264" s="42">
        <f t="shared" si="194"/>
        <v>4140451092.8002262</v>
      </c>
      <c r="BE264" s="42">
        <f t="shared" si="194"/>
        <v>4140451092.8002262</v>
      </c>
      <c r="BF264" s="42">
        <f t="shared" si="194"/>
        <v>4140451092.8002262</v>
      </c>
      <c r="BG264" s="42">
        <f t="shared" si="194"/>
        <v>4140451092.8002262</v>
      </c>
      <c r="BH264" s="42">
        <f t="shared" si="194"/>
        <v>4140451092.8002262</v>
      </c>
      <c r="BI264" s="42">
        <f t="shared" si="194"/>
        <v>4140451092.8002262</v>
      </c>
      <c r="BJ264" s="42">
        <f t="shared" si="194"/>
        <v>4140451092.8002262</v>
      </c>
      <c r="BK264" s="42">
        <f t="shared" si="194"/>
        <v>4140451092.8002262</v>
      </c>
      <c r="BL264" s="42">
        <f t="shared" si="194"/>
        <v>4140451092.8002262</v>
      </c>
      <c r="BM264" s="42">
        <f t="shared" si="194"/>
        <v>4140451092.8002262</v>
      </c>
      <c r="BN264" s="42">
        <f t="shared" si="194"/>
        <v>4140451092.8002262</v>
      </c>
      <c r="BO264" s="42">
        <f t="shared" si="194"/>
        <v>4140451092.8002262</v>
      </c>
      <c r="BP264" s="42">
        <f t="shared" si="194"/>
        <v>4140451092.8002262</v>
      </c>
      <c r="BQ264" s="42">
        <f t="shared" si="194"/>
        <v>4140451092.8002262</v>
      </c>
      <c r="BR264" s="42">
        <f t="shared" si="194"/>
        <v>4140451092.8002262</v>
      </c>
      <c r="BS264" s="42">
        <f t="shared" si="194"/>
        <v>4140451092.8002262</v>
      </c>
      <c r="BT264" s="42">
        <f t="shared" si="194"/>
        <v>4140451092.8002262</v>
      </c>
      <c r="BU264" s="42">
        <f t="shared" si="194"/>
        <v>4140451092.8002262</v>
      </c>
      <c r="BV264" s="42">
        <f t="shared" si="194"/>
        <v>4140451092.8002262</v>
      </c>
      <c r="BW264" s="42">
        <f t="shared" si="194"/>
        <v>4140451092.8002262</v>
      </c>
      <c r="BX264" s="42">
        <f t="shared" si="194"/>
        <v>4140451092.8002262</v>
      </c>
      <c r="BY264" s="42">
        <f t="shared" si="194"/>
        <v>4140451092.8002262</v>
      </c>
      <c r="BZ264" s="42">
        <f t="shared" si="194"/>
        <v>4140451092.8002262</v>
      </c>
      <c r="CA264" s="42">
        <f t="shared" si="194"/>
        <v>4140451092.8002262</v>
      </c>
      <c r="CB264" s="42">
        <f t="shared" si="194"/>
        <v>4140451092.8002262</v>
      </c>
    </row>
    <row r="266" spans="1:81">
      <c r="B266" s="50" t="s">
        <v>242</v>
      </c>
    </row>
    <row r="267" spans="1:81">
      <c r="B267" s="2" t="s">
        <v>145</v>
      </c>
      <c r="C267" s="15" t="str">
        <f>$C$20</f>
        <v>US$</v>
      </c>
      <c r="D267" s="118">
        <f>SUM(I267:AI267)</f>
        <v>10917314305.357334</v>
      </c>
      <c r="I267" s="42">
        <f>(I249-I255)*I236</f>
        <v>1175885948.4035048</v>
      </c>
      <c r="J267" s="42">
        <f t="shared" ref="J267:AI269" si="195">(J249-J255)*J236</f>
        <v>1116882358.3793423</v>
      </c>
      <c r="K267" s="42">
        <f t="shared" si="195"/>
        <v>1057878768.3551797</v>
      </c>
      <c r="L267" s="42">
        <f t="shared" si="195"/>
        <v>998875178.3310169</v>
      </c>
      <c r="M267" s="42">
        <f t="shared" si="195"/>
        <v>939871588.30685437</v>
      </c>
      <c r="N267" s="42">
        <f t="shared" si="195"/>
        <v>880867998.28269172</v>
      </c>
      <c r="O267" s="42">
        <f t="shared" si="195"/>
        <v>821864408.25852907</v>
      </c>
      <c r="P267" s="42">
        <f t="shared" si="195"/>
        <v>762860818.23436642</v>
      </c>
      <c r="Q267" s="42">
        <f t="shared" si="195"/>
        <v>703857228.21020377</v>
      </c>
      <c r="R267" s="42">
        <f t="shared" si="195"/>
        <v>644853638.18604112</v>
      </c>
      <c r="S267" s="42">
        <f t="shared" si="195"/>
        <v>585850048.16187847</v>
      </c>
      <c r="T267" s="42">
        <f t="shared" si="195"/>
        <v>526846458.13771582</v>
      </c>
      <c r="U267" s="42">
        <f t="shared" si="195"/>
        <v>380243206.75385928</v>
      </c>
      <c r="V267" s="42">
        <f t="shared" si="195"/>
        <v>233639955.37000278</v>
      </c>
      <c r="W267" s="42">
        <f t="shared" si="195"/>
        <v>87036703.986146241</v>
      </c>
      <c r="X267" s="42">
        <f t="shared" si="195"/>
        <v>0</v>
      </c>
      <c r="Y267" s="42">
        <f t="shared" si="195"/>
        <v>0</v>
      </c>
      <c r="Z267" s="42">
        <f t="shared" si="195"/>
        <v>0</v>
      </c>
      <c r="AA267" s="42">
        <f t="shared" si="195"/>
        <v>0</v>
      </c>
      <c r="AB267" s="42">
        <f t="shared" si="195"/>
        <v>0</v>
      </c>
      <c r="AC267" s="42">
        <f t="shared" si="195"/>
        <v>0</v>
      </c>
      <c r="AD267" s="42">
        <f t="shared" si="195"/>
        <v>0</v>
      </c>
      <c r="AE267" s="42">
        <f t="shared" si="195"/>
        <v>0</v>
      </c>
      <c r="AF267" s="42">
        <f t="shared" si="195"/>
        <v>0</v>
      </c>
      <c r="AG267" s="42">
        <f t="shared" si="195"/>
        <v>0</v>
      </c>
      <c r="AH267" s="42">
        <f t="shared" si="195"/>
        <v>0</v>
      </c>
      <c r="AI267" s="42">
        <f t="shared" si="195"/>
        <v>0</v>
      </c>
      <c r="AJ267" s="42">
        <f t="shared" ref="AJ267:AY267" si="196">(AJ249-AJ255)*AJ236</f>
        <v>0</v>
      </c>
      <c r="AK267" s="42">
        <f t="shared" si="196"/>
        <v>0</v>
      </c>
      <c r="AL267" s="42">
        <f t="shared" si="196"/>
        <v>0</v>
      </c>
      <c r="AM267" s="42">
        <f t="shared" si="196"/>
        <v>0</v>
      </c>
      <c r="AN267" s="42">
        <f t="shared" si="196"/>
        <v>0</v>
      </c>
      <c r="AO267" s="42">
        <f t="shared" si="196"/>
        <v>0</v>
      </c>
      <c r="AP267" s="42">
        <f t="shared" si="196"/>
        <v>0</v>
      </c>
      <c r="AQ267" s="42">
        <f t="shared" si="196"/>
        <v>0</v>
      </c>
      <c r="AR267" s="42">
        <f t="shared" si="196"/>
        <v>0</v>
      </c>
      <c r="AS267" s="42">
        <f t="shared" si="196"/>
        <v>0</v>
      </c>
      <c r="AT267" s="42">
        <f t="shared" si="196"/>
        <v>0</v>
      </c>
      <c r="AU267" s="42">
        <f t="shared" si="196"/>
        <v>0</v>
      </c>
      <c r="AV267" s="42">
        <f t="shared" si="196"/>
        <v>0</v>
      </c>
      <c r="AW267" s="42">
        <f t="shared" si="196"/>
        <v>0</v>
      </c>
      <c r="AX267" s="42">
        <f t="shared" si="196"/>
        <v>0</v>
      </c>
      <c r="AY267" s="42">
        <f t="shared" si="196"/>
        <v>0</v>
      </c>
      <c r="AZ267" s="42">
        <f t="shared" ref="AZ267:CC267" si="197">(AZ249-AZ255)*AZ236</f>
        <v>0</v>
      </c>
      <c r="BA267" s="42">
        <f t="shared" si="197"/>
        <v>0</v>
      </c>
      <c r="BB267" s="42">
        <f t="shared" si="197"/>
        <v>0</v>
      </c>
      <c r="BC267" s="42">
        <f t="shared" si="197"/>
        <v>0</v>
      </c>
      <c r="BD267" s="42">
        <f t="shared" si="197"/>
        <v>0</v>
      </c>
      <c r="BE267" s="42">
        <f t="shared" si="197"/>
        <v>0</v>
      </c>
      <c r="BF267" s="42">
        <f t="shared" si="197"/>
        <v>0</v>
      </c>
      <c r="BG267" s="42">
        <f t="shared" si="197"/>
        <v>0</v>
      </c>
      <c r="BH267" s="42">
        <f t="shared" si="197"/>
        <v>0</v>
      </c>
      <c r="BI267" s="42">
        <f t="shared" si="197"/>
        <v>0</v>
      </c>
      <c r="BJ267" s="42">
        <f t="shared" si="197"/>
        <v>0</v>
      </c>
      <c r="BK267" s="42">
        <f t="shared" si="197"/>
        <v>0</v>
      </c>
      <c r="BL267" s="42">
        <f t="shared" si="197"/>
        <v>0</v>
      </c>
      <c r="BM267" s="42">
        <f t="shared" si="197"/>
        <v>0</v>
      </c>
      <c r="BN267" s="42">
        <f t="shared" si="197"/>
        <v>0</v>
      </c>
      <c r="BO267" s="42">
        <f t="shared" si="197"/>
        <v>0</v>
      </c>
      <c r="BP267" s="42">
        <f t="shared" si="197"/>
        <v>0</v>
      </c>
      <c r="BQ267" s="42">
        <f t="shared" si="197"/>
        <v>0</v>
      </c>
      <c r="BR267" s="42">
        <f t="shared" si="197"/>
        <v>0</v>
      </c>
      <c r="BS267" s="42">
        <f t="shared" si="197"/>
        <v>0</v>
      </c>
      <c r="BT267" s="42">
        <f t="shared" si="197"/>
        <v>0</v>
      </c>
      <c r="BU267" s="42">
        <f t="shared" si="197"/>
        <v>0</v>
      </c>
      <c r="BV267" s="42">
        <f t="shared" si="197"/>
        <v>0</v>
      </c>
      <c r="BW267" s="42">
        <f t="shared" si="197"/>
        <v>0</v>
      </c>
      <c r="BX267" s="42">
        <f t="shared" si="197"/>
        <v>0</v>
      </c>
      <c r="BY267" s="42">
        <f t="shared" si="197"/>
        <v>0</v>
      </c>
      <c r="BZ267" s="42">
        <f t="shared" si="197"/>
        <v>0</v>
      </c>
      <c r="CA267" s="42">
        <f t="shared" si="197"/>
        <v>0</v>
      </c>
      <c r="CB267" s="42">
        <f t="shared" si="197"/>
        <v>0</v>
      </c>
      <c r="CC267" s="42">
        <f t="shared" si="197"/>
        <v>0</v>
      </c>
    </row>
    <row r="268" spans="1:81">
      <c r="B268" s="17" t="s">
        <v>98</v>
      </c>
      <c r="C268" s="15" t="str">
        <f>$C$20</f>
        <v>US$</v>
      </c>
      <c r="D268" s="118">
        <f>SUM(I268:AI268)</f>
        <v>0</v>
      </c>
      <c r="I268" s="42">
        <f t="shared" ref="I268:X268" si="198">(I250-I256)*I237</f>
        <v>0</v>
      </c>
      <c r="J268" s="42">
        <f t="shared" si="198"/>
        <v>0</v>
      </c>
      <c r="K268" s="42">
        <f t="shared" si="198"/>
        <v>0</v>
      </c>
      <c r="L268" s="42">
        <f t="shared" si="198"/>
        <v>0</v>
      </c>
      <c r="M268" s="42">
        <f t="shared" si="198"/>
        <v>0</v>
      </c>
      <c r="N268" s="42">
        <f t="shared" si="198"/>
        <v>0</v>
      </c>
      <c r="O268" s="42">
        <f t="shared" si="198"/>
        <v>0</v>
      </c>
      <c r="P268" s="42">
        <f t="shared" si="198"/>
        <v>0</v>
      </c>
      <c r="Q268" s="42">
        <f t="shared" si="198"/>
        <v>0</v>
      </c>
      <c r="R268" s="42">
        <f t="shared" si="198"/>
        <v>0</v>
      </c>
      <c r="S268" s="42">
        <f t="shared" si="198"/>
        <v>0</v>
      </c>
      <c r="T268" s="42">
        <f t="shared" si="198"/>
        <v>0</v>
      </c>
      <c r="U268" s="42">
        <f t="shared" si="198"/>
        <v>0</v>
      </c>
      <c r="V268" s="42">
        <f t="shared" si="198"/>
        <v>0</v>
      </c>
      <c r="W268" s="42">
        <f t="shared" si="198"/>
        <v>0</v>
      </c>
      <c r="X268" s="42">
        <f t="shared" si="198"/>
        <v>0</v>
      </c>
      <c r="Y268" s="42">
        <f t="shared" si="195"/>
        <v>0</v>
      </c>
      <c r="Z268" s="42">
        <f t="shared" si="195"/>
        <v>0</v>
      </c>
      <c r="AA268" s="42">
        <f t="shared" si="195"/>
        <v>0</v>
      </c>
      <c r="AB268" s="42">
        <f t="shared" si="195"/>
        <v>0</v>
      </c>
      <c r="AC268" s="42">
        <f t="shared" si="195"/>
        <v>0</v>
      </c>
      <c r="AD268" s="42">
        <f t="shared" si="195"/>
        <v>0</v>
      </c>
      <c r="AE268" s="42">
        <f t="shared" si="195"/>
        <v>0</v>
      </c>
      <c r="AF268" s="42">
        <f t="shared" si="195"/>
        <v>0</v>
      </c>
      <c r="AG268" s="42">
        <f t="shared" si="195"/>
        <v>0</v>
      </c>
      <c r="AH268" s="42">
        <f t="shared" si="195"/>
        <v>0</v>
      </c>
      <c r="AI268" s="42">
        <f t="shared" si="195"/>
        <v>0</v>
      </c>
      <c r="AJ268" s="42">
        <f t="shared" ref="AJ268:AY268" si="199">(AJ250-AJ256)*AJ237</f>
        <v>0</v>
      </c>
      <c r="AK268" s="42">
        <f t="shared" si="199"/>
        <v>0</v>
      </c>
      <c r="AL268" s="42">
        <f t="shared" si="199"/>
        <v>0</v>
      </c>
      <c r="AM268" s="42">
        <f t="shared" si="199"/>
        <v>0</v>
      </c>
      <c r="AN268" s="42">
        <f t="shared" si="199"/>
        <v>0</v>
      </c>
      <c r="AO268" s="42">
        <f t="shared" si="199"/>
        <v>0</v>
      </c>
      <c r="AP268" s="42">
        <f t="shared" si="199"/>
        <v>0</v>
      </c>
      <c r="AQ268" s="42">
        <f t="shared" si="199"/>
        <v>0</v>
      </c>
      <c r="AR268" s="42">
        <f t="shared" si="199"/>
        <v>0</v>
      </c>
      <c r="AS268" s="42">
        <f t="shared" si="199"/>
        <v>0</v>
      </c>
      <c r="AT268" s="42">
        <f t="shared" si="199"/>
        <v>0</v>
      </c>
      <c r="AU268" s="42">
        <f t="shared" si="199"/>
        <v>0</v>
      </c>
      <c r="AV268" s="42">
        <f t="shared" si="199"/>
        <v>0</v>
      </c>
      <c r="AW268" s="42">
        <f t="shared" si="199"/>
        <v>0</v>
      </c>
      <c r="AX268" s="42">
        <f t="shared" si="199"/>
        <v>0</v>
      </c>
      <c r="AY268" s="42">
        <f t="shared" si="199"/>
        <v>0</v>
      </c>
      <c r="AZ268" s="42">
        <f t="shared" ref="AZ268:CC268" si="200">(AZ250-AZ256)*AZ237</f>
        <v>0</v>
      </c>
      <c r="BA268" s="42">
        <f t="shared" si="200"/>
        <v>0</v>
      </c>
      <c r="BB268" s="42">
        <f t="shared" si="200"/>
        <v>0</v>
      </c>
      <c r="BC268" s="42">
        <f t="shared" si="200"/>
        <v>0</v>
      </c>
      <c r="BD268" s="42">
        <f t="shared" si="200"/>
        <v>0</v>
      </c>
      <c r="BE268" s="42">
        <f t="shared" si="200"/>
        <v>0</v>
      </c>
      <c r="BF268" s="42">
        <f t="shared" si="200"/>
        <v>0</v>
      </c>
      <c r="BG268" s="42">
        <f t="shared" si="200"/>
        <v>0</v>
      </c>
      <c r="BH268" s="42">
        <f t="shared" si="200"/>
        <v>0</v>
      </c>
      <c r="BI268" s="42">
        <f t="shared" si="200"/>
        <v>0</v>
      </c>
      <c r="BJ268" s="42">
        <f t="shared" si="200"/>
        <v>0</v>
      </c>
      <c r="BK268" s="42">
        <f t="shared" si="200"/>
        <v>0</v>
      </c>
      <c r="BL268" s="42">
        <f t="shared" si="200"/>
        <v>0</v>
      </c>
      <c r="BM268" s="42">
        <f t="shared" si="200"/>
        <v>0</v>
      </c>
      <c r="BN268" s="42">
        <f t="shared" si="200"/>
        <v>0</v>
      </c>
      <c r="BO268" s="42">
        <f t="shared" si="200"/>
        <v>0</v>
      </c>
      <c r="BP268" s="42">
        <f t="shared" si="200"/>
        <v>0</v>
      </c>
      <c r="BQ268" s="42">
        <f t="shared" si="200"/>
        <v>0</v>
      </c>
      <c r="BR268" s="42">
        <f t="shared" si="200"/>
        <v>0</v>
      </c>
      <c r="BS268" s="42">
        <f t="shared" si="200"/>
        <v>0</v>
      </c>
      <c r="BT268" s="42">
        <f t="shared" si="200"/>
        <v>0</v>
      </c>
      <c r="BU268" s="42">
        <f t="shared" si="200"/>
        <v>0</v>
      </c>
      <c r="BV268" s="42">
        <f t="shared" si="200"/>
        <v>0</v>
      </c>
      <c r="BW268" s="42">
        <f t="shared" si="200"/>
        <v>0</v>
      </c>
      <c r="BX268" s="42">
        <f t="shared" si="200"/>
        <v>0</v>
      </c>
      <c r="BY268" s="42">
        <f t="shared" si="200"/>
        <v>0</v>
      </c>
      <c r="BZ268" s="42">
        <f t="shared" si="200"/>
        <v>0</v>
      </c>
      <c r="CA268" s="42">
        <f t="shared" si="200"/>
        <v>0</v>
      </c>
      <c r="CB268" s="42">
        <f t="shared" si="200"/>
        <v>0</v>
      </c>
      <c r="CC268" s="42">
        <f t="shared" si="200"/>
        <v>0</v>
      </c>
    </row>
    <row r="269" spans="1:81">
      <c r="B269" s="17" t="s">
        <v>99</v>
      </c>
      <c r="C269" s="28" t="str">
        <f>$C$20</f>
        <v>US$</v>
      </c>
      <c r="D269" s="126">
        <f>SUM(I269:AI269)</f>
        <v>64769655170.155815</v>
      </c>
      <c r="E269" s="27"/>
      <c r="F269" s="27"/>
      <c r="G269" s="27"/>
      <c r="H269" s="27"/>
      <c r="I269" s="108">
        <f>(I251-I257)*I238</f>
        <v>2898315764.9601583</v>
      </c>
      <c r="J269" s="108">
        <f t="shared" si="195"/>
        <v>2898315764.9601583</v>
      </c>
      <c r="K269" s="108">
        <f t="shared" si="195"/>
        <v>2898315764.9601583</v>
      </c>
      <c r="L269" s="108">
        <f t="shared" si="195"/>
        <v>2898315764.9601583</v>
      </c>
      <c r="M269" s="108">
        <f t="shared" si="195"/>
        <v>2898315764.9601583</v>
      </c>
      <c r="N269" s="108">
        <f t="shared" si="195"/>
        <v>2898315764.9601583</v>
      </c>
      <c r="O269" s="108">
        <f t="shared" si="195"/>
        <v>2898315764.9601583</v>
      </c>
      <c r="P269" s="108">
        <f t="shared" si="195"/>
        <v>2898315764.9601583</v>
      </c>
      <c r="Q269" s="108">
        <f t="shared" si="195"/>
        <v>2898315764.9601583</v>
      </c>
      <c r="R269" s="108">
        <f t="shared" si="195"/>
        <v>2898315764.9601583</v>
      </c>
      <c r="S269" s="108">
        <f t="shared" si="195"/>
        <v>2898315764.9601583</v>
      </c>
      <c r="T269" s="108">
        <f t="shared" si="195"/>
        <v>2898315764.9601583</v>
      </c>
      <c r="U269" s="108">
        <f t="shared" si="195"/>
        <v>2898315764.9601583</v>
      </c>
      <c r="V269" s="108">
        <f t="shared" si="195"/>
        <v>2898315764.9601583</v>
      </c>
      <c r="W269" s="108">
        <f t="shared" si="195"/>
        <v>2898315764.9601583</v>
      </c>
      <c r="X269" s="108">
        <f t="shared" si="195"/>
        <v>2838245629.5942974</v>
      </c>
      <c r="Y269" s="108">
        <f t="shared" si="195"/>
        <v>2689895118.4572582</v>
      </c>
      <c r="Z269" s="108">
        <f t="shared" si="195"/>
        <v>2522314257.8925529</v>
      </c>
      <c r="AA269" s="108">
        <f t="shared" si="195"/>
        <v>2353316633.9134903</v>
      </c>
      <c r="AB269" s="108">
        <f t="shared" si="195"/>
        <v>2182890268.9077964</v>
      </c>
      <c r="AC269" s="108">
        <f t="shared" si="195"/>
        <v>2011023084.0019746</v>
      </c>
      <c r="AD269" s="108">
        <f t="shared" si="195"/>
        <v>1690469153.0421169</v>
      </c>
      <c r="AE269" s="108">
        <f t="shared" si="195"/>
        <v>1367205192.546773</v>
      </c>
      <c r="AF269" s="108">
        <f t="shared" si="195"/>
        <v>1002773460.6390723</v>
      </c>
      <c r="AG269" s="108">
        <f t="shared" si="195"/>
        <v>941198823.12583137</v>
      </c>
      <c r="AH269" s="108">
        <f t="shared" si="195"/>
        <v>879103620.83337188</v>
      </c>
      <c r="AI269" s="108">
        <f t="shared" si="195"/>
        <v>816483452.79888999</v>
      </c>
      <c r="AJ269" s="108">
        <f t="shared" ref="AJ269:AY269" si="201">(AJ251-AJ257)*AJ238</f>
        <v>753333880.85292768</v>
      </c>
      <c r="AK269" s="108">
        <f t="shared" si="201"/>
        <v>689650429.30482054</v>
      </c>
      <c r="AL269" s="108">
        <f t="shared" si="201"/>
        <v>625428584.62548494</v>
      </c>
      <c r="AM269" s="108">
        <f t="shared" si="201"/>
        <v>560663795.12752473</v>
      </c>
      <c r="AN269" s="108">
        <f t="shared" si="201"/>
        <v>450411062.1852352</v>
      </c>
      <c r="AO269" s="108">
        <f t="shared" si="201"/>
        <v>339226229.73086959</v>
      </c>
      <c r="AP269" s="108">
        <f t="shared" si="201"/>
        <v>227101417.60148633</v>
      </c>
      <c r="AQ269" s="108">
        <f t="shared" si="201"/>
        <v>114028679.01360773</v>
      </c>
      <c r="AR269" s="108">
        <f t="shared" si="201"/>
        <v>0</v>
      </c>
      <c r="AS269" s="108">
        <f t="shared" si="201"/>
        <v>0</v>
      </c>
      <c r="AT269" s="108">
        <f t="shared" si="201"/>
        <v>0</v>
      </c>
      <c r="AU269" s="108">
        <f t="shared" si="201"/>
        <v>0</v>
      </c>
      <c r="AV269" s="108">
        <f t="shared" si="201"/>
        <v>0</v>
      </c>
      <c r="AW269" s="108">
        <f t="shared" si="201"/>
        <v>0</v>
      </c>
      <c r="AX269" s="108">
        <f t="shared" si="201"/>
        <v>0</v>
      </c>
      <c r="AY269" s="108">
        <f t="shared" si="201"/>
        <v>0</v>
      </c>
      <c r="AZ269" s="108">
        <f t="shared" ref="AZ269:CC269" si="202">(AZ251-AZ257)*AZ238</f>
        <v>0</v>
      </c>
      <c r="BA269" s="108">
        <f t="shared" si="202"/>
        <v>0</v>
      </c>
      <c r="BB269" s="108">
        <f t="shared" si="202"/>
        <v>0</v>
      </c>
      <c r="BC269" s="108">
        <f t="shared" si="202"/>
        <v>0</v>
      </c>
      <c r="BD269" s="108">
        <f t="shared" si="202"/>
        <v>0</v>
      </c>
      <c r="BE269" s="108">
        <f t="shared" si="202"/>
        <v>0</v>
      </c>
      <c r="BF269" s="108">
        <f t="shared" si="202"/>
        <v>0</v>
      </c>
      <c r="BG269" s="108">
        <f t="shared" si="202"/>
        <v>0</v>
      </c>
      <c r="BH269" s="108">
        <f t="shared" si="202"/>
        <v>0</v>
      </c>
      <c r="BI269" s="108">
        <f t="shared" si="202"/>
        <v>0</v>
      </c>
      <c r="BJ269" s="108">
        <f t="shared" si="202"/>
        <v>0</v>
      </c>
      <c r="BK269" s="108">
        <f t="shared" si="202"/>
        <v>0</v>
      </c>
      <c r="BL269" s="108">
        <f t="shared" si="202"/>
        <v>0</v>
      </c>
      <c r="BM269" s="108">
        <f t="shared" si="202"/>
        <v>0</v>
      </c>
      <c r="BN269" s="108">
        <f t="shared" si="202"/>
        <v>0</v>
      </c>
      <c r="BO269" s="108">
        <f t="shared" si="202"/>
        <v>0</v>
      </c>
      <c r="BP269" s="108">
        <f t="shared" si="202"/>
        <v>0</v>
      </c>
      <c r="BQ269" s="108">
        <f t="shared" si="202"/>
        <v>0</v>
      </c>
      <c r="BR269" s="108">
        <f t="shared" si="202"/>
        <v>0</v>
      </c>
      <c r="BS269" s="108">
        <f t="shared" si="202"/>
        <v>0</v>
      </c>
      <c r="BT269" s="108">
        <f t="shared" si="202"/>
        <v>0</v>
      </c>
      <c r="BU269" s="108">
        <f t="shared" si="202"/>
        <v>0</v>
      </c>
      <c r="BV269" s="108">
        <f t="shared" si="202"/>
        <v>0</v>
      </c>
      <c r="BW269" s="108">
        <f t="shared" si="202"/>
        <v>0</v>
      </c>
      <c r="BX269" s="108">
        <f t="shared" si="202"/>
        <v>0</v>
      </c>
      <c r="BY269" s="108">
        <f t="shared" si="202"/>
        <v>0</v>
      </c>
      <c r="BZ269" s="108">
        <f t="shared" si="202"/>
        <v>0</v>
      </c>
      <c r="CA269" s="108">
        <f t="shared" si="202"/>
        <v>0</v>
      </c>
      <c r="CB269" s="108">
        <f t="shared" si="202"/>
        <v>0</v>
      </c>
      <c r="CC269" s="108">
        <f t="shared" si="202"/>
        <v>0</v>
      </c>
    </row>
    <row r="270" spans="1:81">
      <c r="B270" s="124" t="s">
        <v>71</v>
      </c>
      <c r="C270" s="15" t="str">
        <f>$C$20</f>
        <v>US$</v>
      </c>
      <c r="D270" s="42">
        <f>SUM(D267:D269)</f>
        <v>75686969475.513153</v>
      </c>
      <c r="I270" s="42">
        <f>SUM(I267:I269)</f>
        <v>4074201713.3636632</v>
      </c>
      <c r="J270" s="42">
        <f t="shared" ref="J270:BU270" si="203">SUM(J267:J269)</f>
        <v>4015198123.3395004</v>
      </c>
      <c r="K270" s="42">
        <f t="shared" si="203"/>
        <v>3956194533.3153381</v>
      </c>
      <c r="L270" s="42">
        <f t="shared" si="203"/>
        <v>3897190943.2911754</v>
      </c>
      <c r="M270" s="42">
        <f t="shared" si="203"/>
        <v>3838187353.2670126</v>
      </c>
      <c r="N270" s="42">
        <f t="shared" si="203"/>
        <v>3779183763.2428503</v>
      </c>
      <c r="O270" s="42">
        <f t="shared" si="203"/>
        <v>3720180173.2186875</v>
      </c>
      <c r="P270" s="42">
        <f t="shared" si="203"/>
        <v>3661176583.1945248</v>
      </c>
      <c r="Q270" s="42">
        <f t="shared" si="203"/>
        <v>3602172993.170362</v>
      </c>
      <c r="R270" s="42">
        <f t="shared" si="203"/>
        <v>3543169403.1461992</v>
      </c>
      <c r="S270" s="42">
        <f t="shared" si="203"/>
        <v>3484165813.1220369</v>
      </c>
      <c r="T270" s="42">
        <f t="shared" si="203"/>
        <v>3425162223.0978742</v>
      </c>
      <c r="U270" s="42">
        <f t="shared" si="203"/>
        <v>3278558971.7140179</v>
      </c>
      <c r="V270" s="42">
        <f t="shared" si="203"/>
        <v>3131955720.3301611</v>
      </c>
      <c r="W270" s="42">
        <f t="shared" si="203"/>
        <v>2985352468.9463048</v>
      </c>
      <c r="X270" s="42">
        <f t="shared" si="203"/>
        <v>2838245629.5942974</v>
      </c>
      <c r="Y270" s="42">
        <f t="shared" si="203"/>
        <v>2689895118.4572582</v>
      </c>
      <c r="Z270" s="42">
        <f t="shared" si="203"/>
        <v>2522314257.8925529</v>
      </c>
      <c r="AA270" s="42">
        <f t="shared" si="203"/>
        <v>2353316633.9134903</v>
      </c>
      <c r="AB270" s="42">
        <f t="shared" si="203"/>
        <v>2182890268.9077964</v>
      </c>
      <c r="AC270" s="42">
        <f t="shared" si="203"/>
        <v>2011023084.0019746</v>
      </c>
      <c r="AD270" s="42">
        <f t="shared" si="203"/>
        <v>1690469153.0421169</v>
      </c>
      <c r="AE270" s="42">
        <f t="shared" si="203"/>
        <v>1367205192.546773</v>
      </c>
      <c r="AF270" s="42">
        <f t="shared" si="203"/>
        <v>1002773460.6390723</v>
      </c>
      <c r="AG270" s="42">
        <f t="shared" si="203"/>
        <v>941198823.12583137</v>
      </c>
      <c r="AH270" s="42">
        <f t="shared" si="203"/>
        <v>879103620.83337188</v>
      </c>
      <c r="AI270" s="42">
        <f t="shared" si="203"/>
        <v>816483452.79888999</v>
      </c>
      <c r="AJ270" s="42">
        <f t="shared" si="203"/>
        <v>753333880.85292768</v>
      </c>
      <c r="AK270" s="42">
        <f t="shared" si="203"/>
        <v>689650429.30482054</v>
      </c>
      <c r="AL270" s="42">
        <f t="shared" si="203"/>
        <v>625428584.62548494</v>
      </c>
      <c r="AM270" s="42">
        <f t="shared" si="203"/>
        <v>560663795.12752473</v>
      </c>
      <c r="AN270" s="42">
        <f t="shared" si="203"/>
        <v>450411062.1852352</v>
      </c>
      <c r="AO270" s="42">
        <f t="shared" si="203"/>
        <v>339226229.73086959</v>
      </c>
      <c r="AP270" s="42">
        <f t="shared" si="203"/>
        <v>227101417.60148633</v>
      </c>
      <c r="AQ270" s="42">
        <f t="shared" si="203"/>
        <v>114028679.01360773</v>
      </c>
      <c r="AR270" s="42">
        <f t="shared" si="203"/>
        <v>0</v>
      </c>
      <c r="AS270" s="42">
        <f t="shared" si="203"/>
        <v>0</v>
      </c>
      <c r="AT270" s="42">
        <f t="shared" si="203"/>
        <v>0</v>
      </c>
      <c r="AU270" s="42">
        <f t="shared" si="203"/>
        <v>0</v>
      </c>
      <c r="AV270" s="42">
        <f t="shared" si="203"/>
        <v>0</v>
      </c>
      <c r="AW270" s="42">
        <f t="shared" si="203"/>
        <v>0</v>
      </c>
      <c r="AX270" s="42">
        <f t="shared" si="203"/>
        <v>0</v>
      </c>
      <c r="AY270" s="42">
        <f t="shared" si="203"/>
        <v>0</v>
      </c>
      <c r="AZ270" s="42">
        <f t="shared" si="203"/>
        <v>0</v>
      </c>
      <c r="BA270" s="42">
        <f t="shared" si="203"/>
        <v>0</v>
      </c>
      <c r="BB270" s="42">
        <f t="shared" si="203"/>
        <v>0</v>
      </c>
      <c r="BC270" s="42">
        <f t="shared" si="203"/>
        <v>0</v>
      </c>
      <c r="BD270" s="42">
        <f t="shared" si="203"/>
        <v>0</v>
      </c>
      <c r="BE270" s="42">
        <f t="shared" si="203"/>
        <v>0</v>
      </c>
      <c r="BF270" s="42">
        <f t="shared" si="203"/>
        <v>0</v>
      </c>
      <c r="BG270" s="42">
        <f t="shared" si="203"/>
        <v>0</v>
      </c>
      <c r="BH270" s="42">
        <f t="shared" si="203"/>
        <v>0</v>
      </c>
      <c r="BI270" s="42">
        <f t="shared" si="203"/>
        <v>0</v>
      </c>
      <c r="BJ270" s="42">
        <f t="shared" si="203"/>
        <v>0</v>
      </c>
      <c r="BK270" s="42">
        <f t="shared" si="203"/>
        <v>0</v>
      </c>
      <c r="BL270" s="42">
        <f t="shared" si="203"/>
        <v>0</v>
      </c>
      <c r="BM270" s="42">
        <f t="shared" si="203"/>
        <v>0</v>
      </c>
      <c r="BN270" s="42">
        <f t="shared" si="203"/>
        <v>0</v>
      </c>
      <c r="BO270" s="42">
        <f t="shared" si="203"/>
        <v>0</v>
      </c>
      <c r="BP270" s="42">
        <f t="shared" si="203"/>
        <v>0</v>
      </c>
      <c r="BQ270" s="42">
        <f t="shared" si="203"/>
        <v>0</v>
      </c>
      <c r="BR270" s="42">
        <f t="shared" si="203"/>
        <v>0</v>
      </c>
      <c r="BS270" s="42">
        <f t="shared" si="203"/>
        <v>0</v>
      </c>
      <c r="BT270" s="42">
        <f t="shared" si="203"/>
        <v>0</v>
      </c>
      <c r="BU270" s="42">
        <f t="shared" si="203"/>
        <v>0</v>
      </c>
      <c r="BV270" s="42">
        <f t="shared" ref="BV270:CC270" si="204">SUM(BV267:BV269)</f>
        <v>0</v>
      </c>
      <c r="BW270" s="42">
        <f t="shared" si="204"/>
        <v>0</v>
      </c>
      <c r="BX270" s="42">
        <f t="shared" si="204"/>
        <v>0</v>
      </c>
      <c r="BY270" s="42">
        <f t="shared" si="204"/>
        <v>0</v>
      </c>
      <c r="BZ270" s="42">
        <f t="shared" si="204"/>
        <v>0</v>
      </c>
      <c r="CA270" s="42">
        <f t="shared" si="204"/>
        <v>0</v>
      </c>
      <c r="CB270" s="42">
        <f t="shared" si="204"/>
        <v>0</v>
      </c>
      <c r="CC270" s="42">
        <f t="shared" si="204"/>
        <v>0</v>
      </c>
    </row>
    <row r="271" spans="1:81">
      <c r="A271" s="103" t="s">
        <v>243</v>
      </c>
      <c r="B271" s="9"/>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9"/>
      <c r="AH271" s="9"/>
      <c r="AI271" s="9"/>
      <c r="AJ271" s="9"/>
      <c r="AK271" s="9"/>
      <c r="AL271" s="9"/>
      <c r="AM271" s="9"/>
      <c r="AN271" s="9"/>
      <c r="AO271" s="9"/>
      <c r="AP271" s="9"/>
      <c r="AQ271" s="9"/>
      <c r="AR271" s="9"/>
      <c r="AS271" s="9"/>
      <c r="AT271" s="9"/>
      <c r="AU271" s="9"/>
      <c r="AV271" s="9"/>
      <c r="AW271" s="9"/>
      <c r="AX271" s="9"/>
      <c r="AY271" s="9"/>
    </row>
    <row r="273" spans="2:81">
      <c r="B273" s="10" t="s">
        <v>221</v>
      </c>
    </row>
    <row r="274" spans="2:81">
      <c r="B274" s="50" t="s">
        <v>244</v>
      </c>
      <c r="D274" s="2" t="s">
        <v>251</v>
      </c>
      <c r="E274" s="2" t="s">
        <v>252</v>
      </c>
    </row>
    <row r="275" spans="2:81">
      <c r="B275" s="2" t="s">
        <v>98</v>
      </c>
      <c r="C275" s="15" t="s">
        <v>18</v>
      </c>
      <c r="D275" s="293">
        <f>'Input '!F327</f>
        <v>7.0419999999999996E-2</v>
      </c>
      <c r="E275" s="127">
        <f>D275/Months_year</f>
        <v>5.868333333333333E-3</v>
      </c>
    </row>
    <row r="276" spans="2:81">
      <c r="B276" s="2" t="s">
        <v>99</v>
      </c>
      <c r="C276" s="15" t="s">
        <v>18</v>
      </c>
      <c r="D276" s="293">
        <f>IF('Input '!F9=1,'Input '!F334,'Input '!F328)</f>
        <v>0.10059999999999999</v>
      </c>
      <c r="E276" s="127">
        <f>D276/Months_year</f>
        <v>8.3833333333333329E-3</v>
      </c>
    </row>
    <row r="278" spans="2:81">
      <c r="B278" s="50" t="s">
        <v>221</v>
      </c>
      <c r="C278" s="15"/>
    </row>
    <row r="279" spans="2:81">
      <c r="B279" s="2" t="s">
        <v>98</v>
      </c>
      <c r="C279" s="15" t="str">
        <f>$C$20</f>
        <v>US$</v>
      </c>
      <c r="D279" s="42">
        <f>SUM(I279:AI279)</f>
        <v>0</v>
      </c>
      <c r="I279" s="42">
        <f t="shared" ref="I279:AY279" si="205">$E$275*I262*I14</f>
        <v>0</v>
      </c>
      <c r="J279" s="42">
        <f t="shared" si="205"/>
        <v>0</v>
      </c>
      <c r="K279" s="42">
        <f t="shared" si="205"/>
        <v>0</v>
      </c>
      <c r="L279" s="42">
        <f t="shared" si="205"/>
        <v>0</v>
      </c>
      <c r="M279" s="42">
        <f t="shared" si="205"/>
        <v>0</v>
      </c>
      <c r="N279" s="42">
        <f t="shared" si="205"/>
        <v>0</v>
      </c>
      <c r="O279" s="42">
        <f t="shared" si="205"/>
        <v>0</v>
      </c>
      <c r="P279" s="42">
        <f t="shared" si="205"/>
        <v>0</v>
      </c>
      <c r="Q279" s="42">
        <f t="shared" si="205"/>
        <v>0</v>
      </c>
      <c r="R279" s="42">
        <f t="shared" si="205"/>
        <v>0</v>
      </c>
      <c r="S279" s="42">
        <f t="shared" si="205"/>
        <v>0</v>
      </c>
      <c r="T279" s="42">
        <f t="shared" si="205"/>
        <v>0</v>
      </c>
      <c r="U279" s="42">
        <f t="shared" si="205"/>
        <v>0</v>
      </c>
      <c r="V279" s="42">
        <f t="shared" si="205"/>
        <v>0</v>
      </c>
      <c r="W279" s="42">
        <f t="shared" si="205"/>
        <v>0</v>
      </c>
      <c r="X279" s="42">
        <f t="shared" si="205"/>
        <v>0</v>
      </c>
      <c r="Y279" s="42">
        <f t="shared" si="205"/>
        <v>0</v>
      </c>
      <c r="Z279" s="42">
        <f t="shared" si="205"/>
        <v>0</v>
      </c>
      <c r="AA279" s="42">
        <f t="shared" si="205"/>
        <v>0</v>
      </c>
      <c r="AB279" s="42">
        <f t="shared" si="205"/>
        <v>0</v>
      </c>
      <c r="AC279" s="42">
        <f t="shared" si="205"/>
        <v>0</v>
      </c>
      <c r="AD279" s="42">
        <f t="shared" si="205"/>
        <v>0</v>
      </c>
      <c r="AE279" s="42">
        <f t="shared" si="205"/>
        <v>0</v>
      </c>
      <c r="AF279" s="42">
        <f t="shared" si="205"/>
        <v>0</v>
      </c>
      <c r="AG279" s="42">
        <f t="shared" si="205"/>
        <v>0</v>
      </c>
      <c r="AH279" s="42">
        <f t="shared" si="205"/>
        <v>0</v>
      </c>
      <c r="AI279" s="42">
        <f t="shared" si="205"/>
        <v>0</v>
      </c>
      <c r="AJ279" s="42">
        <f t="shared" si="205"/>
        <v>0</v>
      </c>
      <c r="AK279" s="42">
        <f t="shared" si="205"/>
        <v>0</v>
      </c>
      <c r="AL279" s="42">
        <f t="shared" si="205"/>
        <v>0</v>
      </c>
      <c r="AM279" s="42">
        <f t="shared" si="205"/>
        <v>0</v>
      </c>
      <c r="AN279" s="42">
        <f t="shared" si="205"/>
        <v>0</v>
      </c>
      <c r="AO279" s="42">
        <f t="shared" si="205"/>
        <v>0</v>
      </c>
      <c r="AP279" s="42">
        <f t="shared" si="205"/>
        <v>0</v>
      </c>
      <c r="AQ279" s="42">
        <f t="shared" si="205"/>
        <v>0</v>
      </c>
      <c r="AR279" s="42">
        <f t="shared" si="205"/>
        <v>0</v>
      </c>
      <c r="AS279" s="42">
        <f t="shared" si="205"/>
        <v>0</v>
      </c>
      <c r="AT279" s="42">
        <f t="shared" si="205"/>
        <v>0</v>
      </c>
      <c r="AU279" s="42">
        <f t="shared" si="205"/>
        <v>0</v>
      </c>
      <c r="AV279" s="42">
        <f t="shared" si="205"/>
        <v>0</v>
      </c>
      <c r="AW279" s="42">
        <f t="shared" si="205"/>
        <v>0</v>
      </c>
      <c r="AX279" s="42">
        <f t="shared" si="205"/>
        <v>0</v>
      </c>
      <c r="AY279" s="42">
        <f t="shared" si="205"/>
        <v>0</v>
      </c>
      <c r="AZ279" s="42">
        <f t="shared" ref="AZ279:CC279" si="206">$E$275*AZ262*AZ14</f>
        <v>0</v>
      </c>
      <c r="BA279" s="42">
        <f t="shared" si="206"/>
        <v>0</v>
      </c>
      <c r="BB279" s="42">
        <f t="shared" si="206"/>
        <v>0</v>
      </c>
      <c r="BC279" s="42">
        <f t="shared" si="206"/>
        <v>0</v>
      </c>
      <c r="BD279" s="42">
        <f t="shared" si="206"/>
        <v>0</v>
      </c>
      <c r="BE279" s="42">
        <f t="shared" si="206"/>
        <v>0</v>
      </c>
      <c r="BF279" s="42">
        <f t="shared" si="206"/>
        <v>0</v>
      </c>
      <c r="BG279" s="42">
        <f t="shared" si="206"/>
        <v>0</v>
      </c>
      <c r="BH279" s="42">
        <f t="shared" si="206"/>
        <v>0</v>
      </c>
      <c r="BI279" s="42">
        <f t="shared" si="206"/>
        <v>0</v>
      </c>
      <c r="BJ279" s="42">
        <f t="shared" si="206"/>
        <v>0</v>
      </c>
      <c r="BK279" s="42">
        <f t="shared" si="206"/>
        <v>0</v>
      </c>
      <c r="BL279" s="42">
        <f t="shared" si="206"/>
        <v>0</v>
      </c>
      <c r="BM279" s="42">
        <f t="shared" si="206"/>
        <v>0</v>
      </c>
      <c r="BN279" s="42">
        <f t="shared" si="206"/>
        <v>0</v>
      </c>
      <c r="BO279" s="42">
        <f t="shared" si="206"/>
        <v>0</v>
      </c>
      <c r="BP279" s="42">
        <f t="shared" si="206"/>
        <v>0</v>
      </c>
      <c r="BQ279" s="42">
        <f t="shared" si="206"/>
        <v>0</v>
      </c>
      <c r="BR279" s="42">
        <f t="shared" si="206"/>
        <v>0</v>
      </c>
      <c r="BS279" s="42">
        <f t="shared" si="206"/>
        <v>0</v>
      </c>
      <c r="BT279" s="42">
        <f t="shared" si="206"/>
        <v>0</v>
      </c>
      <c r="BU279" s="42">
        <f t="shared" si="206"/>
        <v>0</v>
      </c>
      <c r="BV279" s="42">
        <f t="shared" si="206"/>
        <v>0</v>
      </c>
      <c r="BW279" s="42">
        <f t="shared" si="206"/>
        <v>0</v>
      </c>
      <c r="BX279" s="42">
        <f t="shared" si="206"/>
        <v>0</v>
      </c>
      <c r="BY279" s="42">
        <f t="shared" si="206"/>
        <v>0</v>
      </c>
      <c r="BZ279" s="42">
        <f t="shared" si="206"/>
        <v>0</v>
      </c>
      <c r="CA279" s="42">
        <f t="shared" si="206"/>
        <v>0</v>
      </c>
      <c r="CB279" s="42">
        <f t="shared" si="206"/>
        <v>0</v>
      </c>
      <c r="CC279" s="42">
        <f t="shared" si="206"/>
        <v>0</v>
      </c>
    </row>
    <row r="280" spans="2:81">
      <c r="B280" s="27" t="s">
        <v>99</v>
      </c>
      <c r="C280" s="28" t="str">
        <f>$C$20</f>
        <v>US$</v>
      </c>
      <c r="D280" s="108">
        <f>SUM(I280:CB280)</f>
        <v>300206062.49756461</v>
      </c>
      <c r="E280" s="27"/>
      <c r="F280" s="27"/>
      <c r="G280" s="27"/>
      <c r="H280" s="27"/>
      <c r="I280" s="108">
        <f>$E$276*I263*I14</f>
        <v>0</v>
      </c>
      <c r="J280" s="108">
        <f t="shared" ref="J280:AY280" si="207">$E$276*J263*J14</f>
        <v>0</v>
      </c>
      <c r="K280" s="108">
        <f t="shared" si="207"/>
        <v>0</v>
      </c>
      <c r="L280" s="108">
        <f t="shared" si="207"/>
        <v>0</v>
      </c>
      <c r="M280" s="108">
        <f t="shared" si="207"/>
        <v>0</v>
      </c>
      <c r="N280" s="108">
        <f t="shared" si="207"/>
        <v>0</v>
      </c>
      <c r="O280" s="108">
        <f t="shared" si="207"/>
        <v>0</v>
      </c>
      <c r="P280" s="108">
        <f t="shared" si="207"/>
        <v>0</v>
      </c>
      <c r="Q280" s="108">
        <f t="shared" si="207"/>
        <v>0</v>
      </c>
      <c r="R280" s="108">
        <f t="shared" si="207"/>
        <v>0</v>
      </c>
      <c r="S280" s="108">
        <f t="shared" si="207"/>
        <v>0</v>
      </c>
      <c r="T280" s="108">
        <f t="shared" si="207"/>
        <v>0</v>
      </c>
      <c r="U280" s="108">
        <f t="shared" si="207"/>
        <v>0</v>
      </c>
      <c r="V280" s="108">
        <f t="shared" si="207"/>
        <v>0</v>
      </c>
      <c r="W280" s="108">
        <f>$E$276*W263*W14</f>
        <v>0</v>
      </c>
      <c r="X280" s="108">
        <f t="shared" si="207"/>
        <v>503587.96815046604</v>
      </c>
      <c r="Y280" s="108">
        <f>$E$276*Y263*Y14</f>
        <v>1747259.7531826443</v>
      </c>
      <c r="Z280" s="108">
        <f t="shared" si="207"/>
        <v>3152145.967583423</v>
      </c>
      <c r="AA280" s="108">
        <f t="shared" si="207"/>
        <v>4568909.3819412347</v>
      </c>
      <c r="AB280" s="108">
        <f t="shared" si="207"/>
        <v>5997650.4085723041</v>
      </c>
      <c r="AC280" s="108">
        <f t="shared" si="207"/>
        <v>7438470.3086994383</v>
      </c>
      <c r="AD280" s="108">
        <f t="shared" si="207"/>
        <v>10125780.763246248</v>
      </c>
      <c r="AE280" s="108">
        <f>$E$276*AE263*AE14</f>
        <v>12835810.298732214</v>
      </c>
      <c r="AF280" s="108">
        <f t="shared" si="207"/>
        <v>15890962.984558437</v>
      </c>
      <c r="AG280" s="108">
        <f t="shared" si="207"/>
        <v>16407163.695711108</v>
      </c>
      <c r="AH280" s="108">
        <f t="shared" si="207"/>
        <v>16927728.47492956</v>
      </c>
      <c r="AI280" s="108">
        <f t="shared" si="207"/>
        <v>17452694.216951966</v>
      </c>
      <c r="AJ280" s="108">
        <f t="shared" si="207"/>
        <v>17982098.128432281</v>
      </c>
      <c r="AK280" s="108">
        <f t="shared" si="207"/>
        <v>18515977.730577249</v>
      </c>
      <c r="AL280" s="108">
        <f t="shared" si="207"/>
        <v>19054370.861805677</v>
      </c>
      <c r="AM280" s="108">
        <f t="shared" si="207"/>
        <v>19597315.680430245</v>
      </c>
      <c r="AN280" s="108">
        <f t="shared" si="207"/>
        <v>20521601.091596439</v>
      </c>
      <c r="AO280" s="108">
        <f t="shared" si="207"/>
        <v>21453700.603672203</v>
      </c>
      <c r="AP280" s="108">
        <f t="shared" si="207"/>
        <v>22393680.2786902</v>
      </c>
      <c r="AQ280" s="108">
        <f t="shared" si="207"/>
        <v>23341606.737185251</v>
      </c>
      <c r="AR280" s="108">
        <f>$E$276*AR263*AR14</f>
        <v>24297547.162915993</v>
      </c>
      <c r="AS280" s="108">
        <f t="shared" si="207"/>
        <v>0</v>
      </c>
      <c r="AT280" s="108">
        <f t="shared" si="207"/>
        <v>0</v>
      </c>
      <c r="AU280" s="108">
        <f t="shared" si="207"/>
        <v>0</v>
      </c>
      <c r="AV280" s="108">
        <f t="shared" si="207"/>
        <v>0</v>
      </c>
      <c r="AW280" s="108">
        <f t="shared" si="207"/>
        <v>0</v>
      </c>
      <c r="AX280" s="108">
        <f t="shared" si="207"/>
        <v>0</v>
      </c>
      <c r="AY280" s="108">
        <f t="shared" si="207"/>
        <v>0</v>
      </c>
      <c r="AZ280" s="108">
        <f t="shared" ref="AZ280:CC280" si="208">$E$276*AZ263*AZ14</f>
        <v>0</v>
      </c>
      <c r="BA280" s="108">
        <f t="shared" si="208"/>
        <v>0</v>
      </c>
      <c r="BB280" s="108">
        <f t="shared" si="208"/>
        <v>0</v>
      </c>
      <c r="BC280" s="108">
        <f t="shared" si="208"/>
        <v>0</v>
      </c>
      <c r="BD280" s="108">
        <f t="shared" si="208"/>
        <v>0</v>
      </c>
      <c r="BE280" s="108">
        <f t="shared" si="208"/>
        <v>0</v>
      </c>
      <c r="BF280" s="108">
        <f t="shared" si="208"/>
        <v>0</v>
      </c>
      <c r="BG280" s="108">
        <f t="shared" si="208"/>
        <v>0</v>
      </c>
      <c r="BH280" s="108">
        <f t="shared" si="208"/>
        <v>0</v>
      </c>
      <c r="BI280" s="108">
        <f t="shared" si="208"/>
        <v>0</v>
      </c>
      <c r="BJ280" s="108">
        <f t="shared" si="208"/>
        <v>0</v>
      </c>
      <c r="BK280" s="108">
        <f t="shared" si="208"/>
        <v>0</v>
      </c>
      <c r="BL280" s="108">
        <f t="shared" si="208"/>
        <v>0</v>
      </c>
      <c r="BM280" s="108">
        <f t="shared" si="208"/>
        <v>0</v>
      </c>
      <c r="BN280" s="108">
        <f t="shared" si="208"/>
        <v>0</v>
      </c>
      <c r="BO280" s="108">
        <f t="shared" si="208"/>
        <v>0</v>
      </c>
      <c r="BP280" s="108">
        <f t="shared" si="208"/>
        <v>0</v>
      </c>
      <c r="BQ280" s="108">
        <f t="shared" si="208"/>
        <v>0</v>
      </c>
      <c r="BR280" s="108">
        <f t="shared" si="208"/>
        <v>0</v>
      </c>
      <c r="BS280" s="108">
        <f t="shared" si="208"/>
        <v>0</v>
      </c>
      <c r="BT280" s="108">
        <f t="shared" si="208"/>
        <v>0</v>
      </c>
      <c r="BU280" s="108">
        <f t="shared" si="208"/>
        <v>0</v>
      </c>
      <c r="BV280" s="108">
        <f t="shared" si="208"/>
        <v>0</v>
      </c>
      <c r="BW280" s="108">
        <f t="shared" si="208"/>
        <v>0</v>
      </c>
      <c r="BX280" s="108">
        <f t="shared" si="208"/>
        <v>0</v>
      </c>
      <c r="BY280" s="108">
        <f t="shared" si="208"/>
        <v>0</v>
      </c>
      <c r="BZ280" s="108">
        <f t="shared" si="208"/>
        <v>0</v>
      </c>
      <c r="CA280" s="108">
        <f t="shared" si="208"/>
        <v>0</v>
      </c>
      <c r="CB280" s="108">
        <f t="shared" si="208"/>
        <v>0</v>
      </c>
      <c r="CC280" s="108">
        <f t="shared" si="208"/>
        <v>0</v>
      </c>
    </row>
    <row r="281" spans="2:81">
      <c r="B281" s="2" t="s">
        <v>71</v>
      </c>
      <c r="C281" s="15" t="str">
        <f>$C$20</f>
        <v>US$</v>
      </c>
      <c r="D281" s="42">
        <f>SUM(D279:D280)</f>
        <v>300206062.49756461</v>
      </c>
      <c r="I281" s="42">
        <f>SUM(I279:I280)</f>
        <v>0</v>
      </c>
      <c r="J281" s="42">
        <f t="shared" ref="J281:BU281" si="209">SUM(J279:J280)</f>
        <v>0</v>
      </c>
      <c r="K281" s="42">
        <f t="shared" si="209"/>
        <v>0</v>
      </c>
      <c r="L281" s="42">
        <f t="shared" si="209"/>
        <v>0</v>
      </c>
      <c r="M281" s="42">
        <f t="shared" si="209"/>
        <v>0</v>
      </c>
      <c r="N281" s="42">
        <f t="shared" si="209"/>
        <v>0</v>
      </c>
      <c r="O281" s="42">
        <f t="shared" si="209"/>
        <v>0</v>
      </c>
      <c r="P281" s="42">
        <f t="shared" si="209"/>
        <v>0</v>
      </c>
      <c r="Q281" s="42">
        <f t="shared" si="209"/>
        <v>0</v>
      </c>
      <c r="R281" s="42">
        <f t="shared" si="209"/>
        <v>0</v>
      </c>
      <c r="S281" s="42">
        <f t="shared" si="209"/>
        <v>0</v>
      </c>
      <c r="T281" s="42">
        <f t="shared" si="209"/>
        <v>0</v>
      </c>
      <c r="U281" s="42">
        <f t="shared" si="209"/>
        <v>0</v>
      </c>
      <c r="V281" s="42">
        <f t="shared" si="209"/>
        <v>0</v>
      </c>
      <c r="W281" s="42">
        <f t="shared" si="209"/>
        <v>0</v>
      </c>
      <c r="X281" s="42">
        <f t="shared" si="209"/>
        <v>503587.96815046604</v>
      </c>
      <c r="Y281" s="42">
        <f t="shared" si="209"/>
        <v>1747259.7531826443</v>
      </c>
      <c r="Z281" s="42">
        <f t="shared" si="209"/>
        <v>3152145.967583423</v>
      </c>
      <c r="AA281" s="42">
        <f t="shared" si="209"/>
        <v>4568909.3819412347</v>
      </c>
      <c r="AB281" s="42">
        <f t="shared" si="209"/>
        <v>5997650.4085723041</v>
      </c>
      <c r="AC281" s="42">
        <f t="shared" si="209"/>
        <v>7438470.3086994383</v>
      </c>
      <c r="AD281" s="42">
        <f t="shared" si="209"/>
        <v>10125780.763246248</v>
      </c>
      <c r="AE281" s="42">
        <f t="shared" si="209"/>
        <v>12835810.298732214</v>
      </c>
      <c r="AF281" s="42">
        <f t="shared" si="209"/>
        <v>15890962.984558437</v>
      </c>
      <c r="AG281" s="42">
        <f t="shared" si="209"/>
        <v>16407163.695711108</v>
      </c>
      <c r="AH281" s="42">
        <f t="shared" si="209"/>
        <v>16927728.47492956</v>
      </c>
      <c r="AI281" s="42">
        <f t="shared" si="209"/>
        <v>17452694.216951966</v>
      </c>
      <c r="AJ281" s="42">
        <f t="shared" si="209"/>
        <v>17982098.128432281</v>
      </c>
      <c r="AK281" s="42">
        <f t="shared" si="209"/>
        <v>18515977.730577249</v>
      </c>
      <c r="AL281" s="42">
        <f t="shared" si="209"/>
        <v>19054370.861805677</v>
      </c>
      <c r="AM281" s="42">
        <f t="shared" si="209"/>
        <v>19597315.680430245</v>
      </c>
      <c r="AN281" s="42">
        <f t="shared" si="209"/>
        <v>20521601.091596439</v>
      </c>
      <c r="AO281" s="42">
        <f t="shared" si="209"/>
        <v>21453700.603672203</v>
      </c>
      <c r="AP281" s="42">
        <f t="shared" si="209"/>
        <v>22393680.2786902</v>
      </c>
      <c r="AQ281" s="42">
        <f t="shared" si="209"/>
        <v>23341606.737185251</v>
      </c>
      <c r="AR281" s="42">
        <f t="shared" si="209"/>
        <v>24297547.162915993</v>
      </c>
      <c r="AS281" s="42">
        <f t="shared" si="209"/>
        <v>0</v>
      </c>
      <c r="AT281" s="42">
        <f t="shared" si="209"/>
        <v>0</v>
      </c>
      <c r="AU281" s="42">
        <f t="shared" si="209"/>
        <v>0</v>
      </c>
      <c r="AV281" s="42">
        <f t="shared" si="209"/>
        <v>0</v>
      </c>
      <c r="AW281" s="42">
        <f t="shared" si="209"/>
        <v>0</v>
      </c>
      <c r="AX281" s="42">
        <f t="shared" si="209"/>
        <v>0</v>
      </c>
      <c r="AY281" s="42">
        <f t="shared" si="209"/>
        <v>0</v>
      </c>
      <c r="AZ281" s="42">
        <f t="shared" si="209"/>
        <v>0</v>
      </c>
      <c r="BA281" s="42">
        <f t="shared" si="209"/>
        <v>0</v>
      </c>
      <c r="BB281" s="42">
        <f t="shared" si="209"/>
        <v>0</v>
      </c>
      <c r="BC281" s="42">
        <f t="shared" si="209"/>
        <v>0</v>
      </c>
      <c r="BD281" s="42">
        <f t="shared" si="209"/>
        <v>0</v>
      </c>
      <c r="BE281" s="42">
        <f t="shared" si="209"/>
        <v>0</v>
      </c>
      <c r="BF281" s="42">
        <f t="shared" si="209"/>
        <v>0</v>
      </c>
      <c r="BG281" s="42">
        <f t="shared" si="209"/>
        <v>0</v>
      </c>
      <c r="BH281" s="42">
        <f t="shared" si="209"/>
        <v>0</v>
      </c>
      <c r="BI281" s="42">
        <f t="shared" si="209"/>
        <v>0</v>
      </c>
      <c r="BJ281" s="42">
        <f t="shared" si="209"/>
        <v>0</v>
      </c>
      <c r="BK281" s="42">
        <f t="shared" si="209"/>
        <v>0</v>
      </c>
      <c r="BL281" s="42">
        <f t="shared" si="209"/>
        <v>0</v>
      </c>
      <c r="BM281" s="42">
        <f t="shared" si="209"/>
        <v>0</v>
      </c>
      <c r="BN281" s="42">
        <f t="shared" si="209"/>
        <v>0</v>
      </c>
      <c r="BO281" s="42">
        <f t="shared" si="209"/>
        <v>0</v>
      </c>
      <c r="BP281" s="42">
        <f t="shared" si="209"/>
        <v>0</v>
      </c>
      <c r="BQ281" s="42">
        <f t="shared" si="209"/>
        <v>0</v>
      </c>
      <c r="BR281" s="42">
        <f t="shared" si="209"/>
        <v>0</v>
      </c>
      <c r="BS281" s="42">
        <f t="shared" si="209"/>
        <v>0</v>
      </c>
      <c r="BT281" s="42">
        <f t="shared" si="209"/>
        <v>0</v>
      </c>
      <c r="BU281" s="42">
        <f t="shared" si="209"/>
        <v>0</v>
      </c>
      <c r="BV281" s="42">
        <f t="shared" ref="BV281:CC281" si="210">SUM(BV279:BV280)</f>
        <v>0</v>
      </c>
      <c r="BW281" s="42">
        <f t="shared" si="210"/>
        <v>0</v>
      </c>
      <c r="BX281" s="42">
        <f t="shared" si="210"/>
        <v>0</v>
      </c>
      <c r="BY281" s="42">
        <f t="shared" si="210"/>
        <v>0</v>
      </c>
      <c r="BZ281" s="42">
        <f t="shared" si="210"/>
        <v>0</v>
      </c>
      <c r="CA281" s="42">
        <f t="shared" si="210"/>
        <v>0</v>
      </c>
      <c r="CB281" s="42">
        <f t="shared" si="210"/>
        <v>0</v>
      </c>
      <c r="CC281" s="42">
        <f t="shared" si="210"/>
        <v>0</v>
      </c>
    </row>
    <row r="283" spans="2:81">
      <c r="B283" s="2" t="s">
        <v>222</v>
      </c>
    </row>
    <row r="284" spans="2:81" ht="35.25" customHeight="1">
      <c r="B284" s="79" t="s">
        <v>245</v>
      </c>
      <c r="D284" s="128" t="s">
        <v>254</v>
      </c>
      <c r="E284" s="128" t="s">
        <v>256</v>
      </c>
      <c r="F284" s="129" t="s">
        <v>255</v>
      </c>
    </row>
    <row r="285" spans="2:81">
      <c r="B285" s="105" t="s">
        <v>98</v>
      </c>
      <c r="C285" s="15" t="s">
        <v>18</v>
      </c>
      <c r="D285" s="14">
        <f>'Input '!D337</f>
        <v>0</v>
      </c>
      <c r="E285" s="14">
        <f>'Input '!E337</f>
        <v>0</v>
      </c>
      <c r="F285" s="14">
        <f>'Input '!F337</f>
        <v>0</v>
      </c>
    </row>
    <row r="286" spans="2:81">
      <c r="B286" s="49" t="s">
        <v>99</v>
      </c>
      <c r="C286" s="15" t="s">
        <v>18</v>
      </c>
      <c r="D286" s="14">
        <f>'Input '!D338</f>
        <v>2.5000000000000001E-3</v>
      </c>
      <c r="E286" s="14">
        <f>'Input '!E338</f>
        <v>2.5000000000000001E-3</v>
      </c>
      <c r="F286" s="14">
        <f>'Input '!F338</f>
        <v>2.5000000000000001E-3</v>
      </c>
    </row>
    <row r="288" spans="2:81">
      <c r="B288" s="50" t="s">
        <v>246</v>
      </c>
    </row>
    <row r="289" spans="2:51">
      <c r="B289" s="2" t="s">
        <v>98</v>
      </c>
      <c r="C289" s="15" t="s">
        <v>257</v>
      </c>
      <c r="D289" s="42">
        <f>SUM(I289:AI289)</f>
        <v>1</v>
      </c>
      <c r="I289" s="41">
        <f>'Timing &amp; Flags'!I119</f>
        <v>1</v>
      </c>
      <c r="J289" s="41">
        <f>'Timing &amp; Flags'!J119</f>
        <v>0</v>
      </c>
      <c r="K289" s="41">
        <f>'Timing &amp; Flags'!K119</f>
        <v>0</v>
      </c>
      <c r="L289" s="41">
        <f>'Timing &amp; Flags'!L119</f>
        <v>0</v>
      </c>
      <c r="M289" s="41">
        <f>'Timing &amp; Flags'!M119</f>
        <v>0</v>
      </c>
      <c r="N289" s="41">
        <f>'Timing &amp; Flags'!N119</f>
        <v>0</v>
      </c>
      <c r="O289" s="41">
        <f>'Timing &amp; Flags'!O119</f>
        <v>0</v>
      </c>
      <c r="P289" s="41">
        <f>'Timing &amp; Flags'!P119</f>
        <v>0</v>
      </c>
      <c r="Q289" s="41">
        <f>'Timing &amp; Flags'!Q119</f>
        <v>0</v>
      </c>
      <c r="R289" s="41">
        <f>'Timing &amp; Flags'!R119</f>
        <v>0</v>
      </c>
      <c r="S289" s="41">
        <f>'Timing &amp; Flags'!S119</f>
        <v>0</v>
      </c>
      <c r="T289" s="41">
        <f>'Timing &amp; Flags'!T119</f>
        <v>0</v>
      </c>
      <c r="U289" s="41">
        <f>'Timing &amp; Flags'!U119</f>
        <v>0</v>
      </c>
      <c r="V289" s="41">
        <f>'Timing &amp; Flags'!V119</f>
        <v>0</v>
      </c>
      <c r="W289" s="41">
        <f>'Timing &amp; Flags'!W119</f>
        <v>0</v>
      </c>
      <c r="X289" s="41">
        <f>'Timing &amp; Flags'!X119</f>
        <v>0</v>
      </c>
      <c r="Y289" s="41">
        <f>'Timing &amp; Flags'!Y119</f>
        <v>0</v>
      </c>
      <c r="Z289" s="41">
        <f>'Timing &amp; Flags'!Z119</f>
        <v>0</v>
      </c>
      <c r="AA289" s="41">
        <f>'Timing &amp; Flags'!AA119</f>
        <v>0</v>
      </c>
      <c r="AB289" s="41">
        <f>'Timing &amp; Flags'!AB119</f>
        <v>0</v>
      </c>
      <c r="AC289" s="41">
        <f>'Timing &amp; Flags'!AC119</f>
        <v>0</v>
      </c>
      <c r="AD289" s="41">
        <f>'Timing &amp; Flags'!AD119</f>
        <v>0</v>
      </c>
      <c r="AE289" s="41">
        <f>'Timing &amp; Flags'!AE119</f>
        <v>0</v>
      </c>
      <c r="AF289" s="41">
        <f>'Timing &amp; Flags'!AF119</f>
        <v>0</v>
      </c>
      <c r="AG289" s="41">
        <f>'Timing &amp; Flags'!AG119</f>
        <v>0</v>
      </c>
      <c r="AH289" s="41">
        <f>'Timing &amp; Flags'!AH119</f>
        <v>0</v>
      </c>
      <c r="AI289" s="41">
        <f>'Timing &amp; Flags'!AI119</f>
        <v>0</v>
      </c>
      <c r="AJ289" s="41">
        <f>'Timing &amp; Flags'!AJ119</f>
        <v>0</v>
      </c>
      <c r="AK289" s="41">
        <f>'Timing &amp; Flags'!AK119</f>
        <v>0</v>
      </c>
      <c r="AL289" s="41">
        <f>'Timing &amp; Flags'!AL119</f>
        <v>0</v>
      </c>
      <c r="AM289" s="41">
        <f>'Timing &amp; Flags'!AM119</f>
        <v>0</v>
      </c>
      <c r="AN289" s="41">
        <f>'Timing &amp; Flags'!AN119</f>
        <v>0</v>
      </c>
      <c r="AO289" s="41">
        <f>'Timing &amp; Flags'!AO119</f>
        <v>0</v>
      </c>
      <c r="AP289" s="41">
        <f>'Timing &amp; Flags'!AP119</f>
        <v>0</v>
      </c>
      <c r="AQ289" s="41">
        <f>'Timing &amp; Flags'!AQ119</f>
        <v>0</v>
      </c>
      <c r="AR289" s="41">
        <f>'Timing &amp; Flags'!AR119</f>
        <v>0</v>
      </c>
      <c r="AS289" s="41">
        <f>'Timing &amp; Flags'!AS119</f>
        <v>0</v>
      </c>
      <c r="AT289" s="41">
        <f>'Timing &amp; Flags'!AT119</f>
        <v>0</v>
      </c>
      <c r="AU289" s="41">
        <f>'Timing &amp; Flags'!AU119</f>
        <v>0</v>
      </c>
      <c r="AV289" s="41">
        <f>'Timing &amp; Flags'!AV119</f>
        <v>0</v>
      </c>
      <c r="AW289" s="41">
        <f>'Timing &amp; Flags'!AW119</f>
        <v>0</v>
      </c>
      <c r="AX289" s="41">
        <f>'Timing &amp; Flags'!AX119</f>
        <v>0</v>
      </c>
      <c r="AY289" s="41">
        <f>'Timing &amp; Flags'!AY119</f>
        <v>0</v>
      </c>
    </row>
    <row r="290" spans="2:51">
      <c r="B290" s="2" t="s">
        <v>99</v>
      </c>
      <c r="C290" s="15" t="s">
        <v>257</v>
      </c>
      <c r="D290" s="42">
        <f>SUM(I290:AI290)</f>
        <v>1</v>
      </c>
      <c r="I290" s="41">
        <f>'Timing &amp; Flags'!I120</f>
        <v>1</v>
      </c>
      <c r="J290" s="41">
        <f>'Timing &amp; Flags'!J120</f>
        <v>0</v>
      </c>
      <c r="K290" s="41">
        <f>'Timing &amp; Flags'!K120</f>
        <v>0</v>
      </c>
      <c r="L290" s="41">
        <f>'Timing &amp; Flags'!L120</f>
        <v>0</v>
      </c>
      <c r="M290" s="41">
        <f>'Timing &amp; Flags'!M120</f>
        <v>0</v>
      </c>
      <c r="N290" s="41">
        <f>'Timing &amp; Flags'!N120</f>
        <v>0</v>
      </c>
      <c r="O290" s="41">
        <f>'Timing &amp; Flags'!O120</f>
        <v>0</v>
      </c>
      <c r="P290" s="41">
        <f>'Timing &amp; Flags'!P120</f>
        <v>0</v>
      </c>
      <c r="Q290" s="41">
        <f>'Timing &amp; Flags'!Q120</f>
        <v>0</v>
      </c>
      <c r="R290" s="41">
        <f>'Timing &amp; Flags'!R120</f>
        <v>0</v>
      </c>
      <c r="S290" s="41">
        <f>'Timing &amp; Flags'!S120</f>
        <v>0</v>
      </c>
      <c r="T290" s="41">
        <f>'Timing &amp; Flags'!T120</f>
        <v>0</v>
      </c>
      <c r="U290" s="41">
        <f>'Timing &amp; Flags'!U120</f>
        <v>0</v>
      </c>
      <c r="V290" s="41">
        <f>'Timing &amp; Flags'!V120</f>
        <v>0</v>
      </c>
      <c r="W290" s="41">
        <f>'Timing &amp; Flags'!W120</f>
        <v>0</v>
      </c>
      <c r="X290" s="41">
        <f>'Timing &amp; Flags'!X120</f>
        <v>0</v>
      </c>
      <c r="Y290" s="41">
        <f>'Timing &amp; Flags'!Y120</f>
        <v>0</v>
      </c>
      <c r="Z290" s="41">
        <f>'Timing &amp; Flags'!Z120</f>
        <v>0</v>
      </c>
      <c r="AA290" s="41">
        <f>'Timing &amp; Flags'!AA120</f>
        <v>0</v>
      </c>
      <c r="AB290" s="41">
        <f>'Timing &amp; Flags'!AB120</f>
        <v>0</v>
      </c>
      <c r="AC290" s="41">
        <f>'Timing &amp; Flags'!AC120</f>
        <v>0</v>
      </c>
      <c r="AD290" s="41">
        <f>'Timing &amp; Flags'!AD120</f>
        <v>0</v>
      </c>
      <c r="AE290" s="41">
        <f>'Timing &amp; Flags'!AE120</f>
        <v>0</v>
      </c>
      <c r="AF290" s="41">
        <f>'Timing &amp; Flags'!AF120</f>
        <v>0</v>
      </c>
      <c r="AG290" s="41">
        <f>'Timing &amp; Flags'!AG120</f>
        <v>0</v>
      </c>
      <c r="AH290" s="41">
        <f>'Timing &amp; Flags'!AH120</f>
        <v>0</v>
      </c>
      <c r="AI290" s="41">
        <f>'Timing &amp; Flags'!AI120</f>
        <v>0</v>
      </c>
      <c r="AJ290" s="41">
        <f>'Timing &amp; Flags'!AJ120</f>
        <v>0</v>
      </c>
      <c r="AK290" s="41">
        <f>'Timing &amp; Flags'!AK120</f>
        <v>0</v>
      </c>
      <c r="AL290" s="41">
        <f>'Timing &amp; Flags'!AL120</f>
        <v>0</v>
      </c>
      <c r="AM290" s="41">
        <f>'Timing &amp; Flags'!AM120</f>
        <v>0</v>
      </c>
      <c r="AN290" s="41">
        <f>'Timing &amp; Flags'!AN120</f>
        <v>0</v>
      </c>
      <c r="AO290" s="41">
        <f>'Timing &amp; Flags'!AO120</f>
        <v>0</v>
      </c>
      <c r="AP290" s="41">
        <f>'Timing &amp; Flags'!AP120</f>
        <v>0</v>
      </c>
      <c r="AQ290" s="41">
        <f>'Timing &amp; Flags'!AQ120</f>
        <v>0</v>
      </c>
      <c r="AR290" s="41">
        <f>'Timing &amp; Flags'!AR120</f>
        <v>0</v>
      </c>
      <c r="AS290" s="41">
        <f>'Timing &amp; Flags'!AS120</f>
        <v>0</v>
      </c>
      <c r="AT290" s="41">
        <f>'Timing &amp; Flags'!AT120</f>
        <v>0</v>
      </c>
      <c r="AU290" s="41">
        <f>'Timing &amp; Flags'!AU120</f>
        <v>0</v>
      </c>
      <c r="AV290" s="41">
        <f>'Timing &amp; Flags'!AV120</f>
        <v>0</v>
      </c>
      <c r="AW290" s="41">
        <f>'Timing &amp; Flags'!AW120</f>
        <v>0</v>
      </c>
      <c r="AX290" s="41">
        <f>'Timing &amp; Flags'!AX120</f>
        <v>0</v>
      </c>
      <c r="AY290" s="41">
        <f>'Timing &amp; Flags'!AY120</f>
        <v>0</v>
      </c>
    </row>
    <row r="291" spans="2:51">
      <c r="C291" s="15"/>
    </row>
    <row r="292" spans="2:51">
      <c r="B292" s="50" t="s">
        <v>247</v>
      </c>
      <c r="C292" s="15"/>
    </row>
    <row r="293" spans="2:51">
      <c r="B293" s="2" t="s">
        <v>98</v>
      </c>
      <c r="C293" s="15" t="str">
        <f>$C$20</f>
        <v>US$</v>
      </c>
      <c r="D293" s="42">
        <f>SUM(I293:AI293)</f>
        <v>0</v>
      </c>
      <c r="I293" s="107">
        <f>I268*$D$285/Months_year*'Project Cost Monthly'!I14</f>
        <v>0</v>
      </c>
      <c r="J293" s="107">
        <f>J268*$D$285/Months_year*'Project Cost Monthly'!J14</f>
        <v>0</v>
      </c>
      <c r="K293" s="107">
        <f>K268*$D$285/Months_year*'Project Cost Monthly'!K14</f>
        <v>0</v>
      </c>
      <c r="L293" s="107">
        <f>L268*$D$285/Months_year*'Project Cost Monthly'!L14</f>
        <v>0</v>
      </c>
      <c r="M293" s="107">
        <f>M268*$D$285/Months_year*'Project Cost Monthly'!M14</f>
        <v>0</v>
      </c>
      <c r="N293" s="107">
        <f>N268*$D$285/Months_year*'Project Cost Monthly'!N14</f>
        <v>0</v>
      </c>
      <c r="O293" s="107">
        <f>O268*$D$285/Months_year*'Project Cost Monthly'!O14</f>
        <v>0</v>
      </c>
      <c r="P293" s="107">
        <f>P268*$D$285/Months_year*'Project Cost Monthly'!P14</f>
        <v>0</v>
      </c>
      <c r="Q293" s="107">
        <f>Q268*$D$285/Months_year*'Project Cost Monthly'!Q14</f>
        <v>0</v>
      </c>
      <c r="R293" s="107">
        <f>R268*$D$285/Months_year*'Project Cost Monthly'!R14</f>
        <v>0</v>
      </c>
      <c r="S293" s="107">
        <f>S268*$D$285/Months_year*'Project Cost Monthly'!S14</f>
        <v>0</v>
      </c>
      <c r="T293" s="107">
        <f>T268*$D$285/Months_year*'Project Cost Monthly'!T14</f>
        <v>0</v>
      </c>
      <c r="U293" s="107">
        <f>U268*$D$285/Months_year*'Project Cost Monthly'!U14</f>
        <v>0</v>
      </c>
      <c r="V293" s="107">
        <f>V268*$D$285/Months_year*'Project Cost Monthly'!V14</f>
        <v>0</v>
      </c>
      <c r="W293" s="107">
        <f>W268*$D$285/Months_year*'Project Cost Monthly'!W14</f>
        <v>0</v>
      </c>
      <c r="X293" s="107">
        <f>X268*$D$285/Months_year*'Project Cost Monthly'!X14</f>
        <v>0</v>
      </c>
      <c r="Y293" s="107">
        <f>Y268*$D$285/Months_year*'Project Cost Monthly'!Y14</f>
        <v>0</v>
      </c>
      <c r="Z293" s="107">
        <f>Z268*$D$285/Months_year*'Project Cost Monthly'!Z14</f>
        <v>0</v>
      </c>
      <c r="AA293" s="107">
        <f>AA268*$D$285/Months_year*'Project Cost Monthly'!AA14</f>
        <v>0</v>
      </c>
      <c r="AB293" s="107">
        <f>AB268*$D$285/Months_year*'Project Cost Monthly'!AB14</f>
        <v>0</v>
      </c>
      <c r="AC293" s="107">
        <f>AC268*$D$285/Months_year*'Project Cost Monthly'!AC14</f>
        <v>0</v>
      </c>
      <c r="AD293" s="107">
        <f>AD268*$D$285/Months_year*'Project Cost Monthly'!AD14</f>
        <v>0</v>
      </c>
      <c r="AE293" s="107">
        <f>AE268*$D$285/Months_year*'Project Cost Monthly'!AE14</f>
        <v>0</v>
      </c>
      <c r="AF293" s="107">
        <f>AF268*$D$285/Months_year*'Project Cost Monthly'!AF14</f>
        <v>0</v>
      </c>
      <c r="AG293" s="107">
        <f>AG268*$D$285/Months_year*'Project Cost Monthly'!AG14</f>
        <v>0</v>
      </c>
      <c r="AH293" s="107">
        <f>AH268*$D$285/Months_year*'Project Cost Monthly'!AH14</f>
        <v>0</v>
      </c>
      <c r="AI293" s="107">
        <f>AI268*$D$285/Months_year*'Project Cost Monthly'!AI14</f>
        <v>0</v>
      </c>
      <c r="AJ293" s="107">
        <f>AJ268*$D$285/Months_year*'Project Cost Monthly'!AJ14</f>
        <v>0</v>
      </c>
      <c r="AK293" s="107">
        <f>AK268*$D$285/Months_year*'Project Cost Monthly'!AK14</f>
        <v>0</v>
      </c>
      <c r="AL293" s="107">
        <f>AL268*$D$285/Months_year*'Project Cost Monthly'!AL14</f>
        <v>0</v>
      </c>
      <c r="AM293" s="107">
        <f>AM268*$D$285/Months_year*'Project Cost Monthly'!AM14</f>
        <v>0</v>
      </c>
      <c r="AN293" s="107">
        <f>AN268*$D$285/Months_year*'Project Cost Monthly'!AN14</f>
        <v>0</v>
      </c>
      <c r="AO293" s="107">
        <f>AO268*$D$285/Months_year*'Project Cost Monthly'!AO14</f>
        <v>0</v>
      </c>
      <c r="AP293" s="107">
        <f>AP268*$D$285/Months_year*'Project Cost Monthly'!AP14</f>
        <v>0</v>
      </c>
      <c r="AQ293" s="107">
        <f>AQ268*$D$285/Months_year*'Project Cost Monthly'!AQ14</f>
        <v>0</v>
      </c>
      <c r="AR293" s="107">
        <f>AR268*$D$285/Months_year*'Project Cost Monthly'!AR14</f>
        <v>0</v>
      </c>
      <c r="AS293" s="107">
        <f>AS268*$D$285/Months_year*'Project Cost Monthly'!AS14</f>
        <v>0</v>
      </c>
      <c r="AT293" s="107">
        <f>AT268*$D$285/Months_year*'Project Cost Monthly'!AT14</f>
        <v>0</v>
      </c>
      <c r="AU293" s="107">
        <f>AU268*$D$285/Months_year*'Project Cost Monthly'!AU14</f>
        <v>0</v>
      </c>
      <c r="AV293" s="107">
        <f>AV268*$D$285/Months_year*'Project Cost Monthly'!AV14</f>
        <v>0</v>
      </c>
      <c r="AW293" s="107">
        <f>AW268*$D$285/Months_year*'Project Cost Monthly'!AW14</f>
        <v>0</v>
      </c>
      <c r="AX293" s="107">
        <f>AX268*$D$285/Months_year*'Project Cost Monthly'!AX14</f>
        <v>0</v>
      </c>
      <c r="AY293" s="107">
        <f>AY268*$D$285/Months_year*'Project Cost Monthly'!AY14</f>
        <v>0</v>
      </c>
    </row>
    <row r="294" spans="2:51">
      <c r="B294" s="27" t="s">
        <v>99</v>
      </c>
      <c r="C294" s="28" t="str">
        <f>$C$20</f>
        <v>US$</v>
      </c>
      <c r="D294" s="108">
        <f>SUM(I294:AI294)</f>
        <v>13493678.160449123</v>
      </c>
      <c r="E294" s="27"/>
      <c r="F294" s="27"/>
      <c r="G294" s="27"/>
      <c r="H294" s="27"/>
      <c r="I294" s="43">
        <f>I269*$D$286/Months_year*'Project Cost Monthly'!I14</f>
        <v>603815.78436669963</v>
      </c>
      <c r="J294" s="43">
        <f>J269*$D$286/Months_year*'Project Cost Monthly'!J14</f>
        <v>603815.78436669963</v>
      </c>
      <c r="K294" s="43">
        <f>K269*$D$286/Months_year*'Project Cost Monthly'!K14</f>
        <v>603815.78436669963</v>
      </c>
      <c r="L294" s="43">
        <f>L269*$D$286/Months_year*'Project Cost Monthly'!L14</f>
        <v>603815.78436669963</v>
      </c>
      <c r="M294" s="43">
        <f>M269*$D$286/Months_year*'Project Cost Monthly'!M14</f>
        <v>603815.78436669963</v>
      </c>
      <c r="N294" s="43">
        <f>N269*$D$286/Months_year*'Project Cost Monthly'!N14</f>
        <v>603815.78436669963</v>
      </c>
      <c r="O294" s="43">
        <f>O269*$D$286/Months_year*'Project Cost Monthly'!O14</f>
        <v>603815.78436669963</v>
      </c>
      <c r="P294" s="43">
        <f>P269*$D$286/Months_year*'Project Cost Monthly'!P14</f>
        <v>603815.78436669963</v>
      </c>
      <c r="Q294" s="43">
        <f>Q269*$D$286/Months_year*'Project Cost Monthly'!Q14</f>
        <v>603815.78436669963</v>
      </c>
      <c r="R294" s="43">
        <f>R269*$D$286/Months_year*'Project Cost Monthly'!R14</f>
        <v>603815.78436669963</v>
      </c>
      <c r="S294" s="43">
        <f>S269*$D$286/Months_year*'Project Cost Monthly'!S14</f>
        <v>603815.78436669963</v>
      </c>
      <c r="T294" s="43">
        <f>T269*$D$286/Months_year*'Project Cost Monthly'!T14</f>
        <v>603815.78436669963</v>
      </c>
      <c r="U294" s="43">
        <f>U269*$D$286/Months_year*'Project Cost Monthly'!U14</f>
        <v>603815.78436669963</v>
      </c>
      <c r="V294" s="43">
        <f>V269*$D$286/Months_year*'Project Cost Monthly'!V14</f>
        <v>603815.78436669963</v>
      </c>
      <c r="W294" s="43">
        <f>W269*$D$286/Months_year*'Project Cost Monthly'!W14</f>
        <v>603815.78436669963</v>
      </c>
      <c r="X294" s="43">
        <f>X269*$D$286/Months_year*'Project Cost Monthly'!X14</f>
        <v>591301.17283214524</v>
      </c>
      <c r="Y294" s="43">
        <f>Y269*$D$286/Months_year*'Project Cost Monthly'!Y14</f>
        <v>560394.81634526211</v>
      </c>
      <c r="Z294" s="43">
        <f>Z269*$D$286/Months_year*'Project Cost Monthly'!Z14</f>
        <v>525482.13706094853</v>
      </c>
      <c r="AA294" s="43">
        <f>AA269*$D$286/Months_year*'Project Cost Monthly'!AA14</f>
        <v>490274.29873197712</v>
      </c>
      <c r="AB294" s="43">
        <f>AB269*$D$286/Months_year*'Project Cost Monthly'!AB14</f>
        <v>454768.8060224576</v>
      </c>
      <c r="AC294" s="43">
        <f>AC269*$D$286/Months_year*'Project Cost Monthly'!AC14</f>
        <v>418963.14250041143</v>
      </c>
      <c r="AD294" s="43">
        <f>AD269*$D$286/Months_year*'Project Cost Monthly'!AD14</f>
        <v>352181.07355044101</v>
      </c>
      <c r="AE294" s="43">
        <f>AE269*$D$286/Months_year*'Project Cost Monthly'!AE14</f>
        <v>284834.41511391103</v>
      </c>
      <c r="AF294" s="43">
        <f>AF269*$D$286/Months_year*'Project Cost Monthly'!AF14</f>
        <v>208911.13763314008</v>
      </c>
      <c r="AG294" s="43">
        <f>AG269*$D$286/Months_year*'Project Cost Monthly'!AG14</f>
        <v>196083.08815121488</v>
      </c>
      <c r="AH294" s="43">
        <f>AH269*$D$286/Months_year*'Project Cost Monthly'!AH14</f>
        <v>183146.58767361916</v>
      </c>
      <c r="AI294" s="43">
        <f>AI269*$D$286/Months_year*'Project Cost Monthly'!AI14</f>
        <v>170100.71933310208</v>
      </c>
      <c r="AJ294" s="43">
        <f>AJ269*$D$286/Months_year*'Project Cost Monthly'!AJ14</f>
        <v>156944.55851102661</v>
      </c>
      <c r="AK294" s="43">
        <f>AK269*$D$286/Months_year*'Project Cost Monthly'!AK14</f>
        <v>143677.17277183762</v>
      </c>
      <c r="AL294" s="43">
        <f>AL269*$D$286/Months_year*'Project Cost Monthly'!AL14</f>
        <v>130297.62179697603</v>
      </c>
      <c r="AM294" s="43">
        <f>AM269*$D$286/Months_year*'Project Cost Monthly'!AM14</f>
        <v>116804.95731823432</v>
      </c>
      <c r="AN294" s="43">
        <f>AN269*$D$286/Months_year*'Project Cost Monthly'!AN14</f>
        <v>93835.637955257334</v>
      </c>
      <c r="AO294" s="43">
        <f>AO269*$D$286/Months_year*'Project Cost Monthly'!AO14</f>
        <v>70672.131193931171</v>
      </c>
      <c r="AP294" s="43">
        <f>AP269*$D$286/Months_year*'Project Cost Monthly'!AP14</f>
        <v>47312.795333642985</v>
      </c>
      <c r="AQ294" s="43">
        <f>AQ269*$D$286/Months_year*'Project Cost Monthly'!AQ14</f>
        <v>23755.97479450161</v>
      </c>
      <c r="AR294" s="43">
        <f>AR269*$D$286/Months_year*'Project Cost Monthly'!AR14</f>
        <v>0</v>
      </c>
      <c r="AS294" s="43">
        <f>AS269*$D$286/Months_year*'Project Cost Monthly'!AS14</f>
        <v>0</v>
      </c>
      <c r="AT294" s="43">
        <f>AT269*$D$286/Months_year*'Project Cost Monthly'!AT14</f>
        <v>0</v>
      </c>
      <c r="AU294" s="43">
        <f>AU269*$D$286/Months_year*'Project Cost Monthly'!AU14</f>
        <v>0</v>
      </c>
      <c r="AV294" s="43">
        <f>AV269*$D$286/Months_year*'Project Cost Monthly'!AV14</f>
        <v>0</v>
      </c>
      <c r="AW294" s="43">
        <f>AW269*$D$286/Months_year*'Project Cost Monthly'!AW14</f>
        <v>0</v>
      </c>
      <c r="AX294" s="43">
        <f>AX269*$D$286/Months_year*'Project Cost Monthly'!AX14</f>
        <v>0</v>
      </c>
      <c r="AY294" s="43">
        <f>AY269*$D$286/Months_year*'Project Cost Monthly'!AY14</f>
        <v>0</v>
      </c>
    </row>
    <row r="295" spans="2:51">
      <c r="B295" s="2" t="s">
        <v>71</v>
      </c>
      <c r="C295" s="15" t="str">
        <f>$C$20</f>
        <v>US$</v>
      </c>
      <c r="D295" s="41">
        <f>SUM(I295:AI295)</f>
        <v>13493678.160449123</v>
      </c>
      <c r="I295" s="42">
        <f>SUM(I293:I294)</f>
        <v>603815.78436669963</v>
      </c>
      <c r="J295" s="42">
        <f t="shared" ref="J295:AY295" si="211">SUM(J293:J294)</f>
        <v>603815.78436669963</v>
      </c>
      <c r="K295" s="42">
        <f t="shared" si="211"/>
        <v>603815.78436669963</v>
      </c>
      <c r="L295" s="42">
        <f t="shared" si="211"/>
        <v>603815.78436669963</v>
      </c>
      <c r="M295" s="42">
        <f t="shared" si="211"/>
        <v>603815.78436669963</v>
      </c>
      <c r="N295" s="42">
        <f t="shared" si="211"/>
        <v>603815.78436669963</v>
      </c>
      <c r="O295" s="42">
        <f t="shared" si="211"/>
        <v>603815.78436669963</v>
      </c>
      <c r="P295" s="42">
        <f t="shared" si="211"/>
        <v>603815.78436669963</v>
      </c>
      <c r="Q295" s="42">
        <f t="shared" si="211"/>
        <v>603815.78436669963</v>
      </c>
      <c r="R295" s="42">
        <f t="shared" si="211"/>
        <v>603815.78436669963</v>
      </c>
      <c r="S295" s="42">
        <f t="shared" si="211"/>
        <v>603815.78436669963</v>
      </c>
      <c r="T295" s="42">
        <f t="shared" si="211"/>
        <v>603815.78436669963</v>
      </c>
      <c r="U295" s="42">
        <f t="shared" si="211"/>
        <v>603815.78436669963</v>
      </c>
      <c r="V295" s="42">
        <f t="shared" si="211"/>
        <v>603815.78436669963</v>
      </c>
      <c r="W295" s="42">
        <f t="shared" si="211"/>
        <v>603815.78436669963</v>
      </c>
      <c r="X295" s="42">
        <f t="shared" si="211"/>
        <v>591301.17283214524</v>
      </c>
      <c r="Y295" s="42">
        <f t="shared" si="211"/>
        <v>560394.81634526211</v>
      </c>
      <c r="Z295" s="42">
        <f t="shared" si="211"/>
        <v>525482.13706094853</v>
      </c>
      <c r="AA295" s="42">
        <f t="shared" si="211"/>
        <v>490274.29873197712</v>
      </c>
      <c r="AB295" s="42">
        <f t="shared" si="211"/>
        <v>454768.8060224576</v>
      </c>
      <c r="AC295" s="42">
        <f t="shared" si="211"/>
        <v>418963.14250041143</v>
      </c>
      <c r="AD295" s="42">
        <f t="shared" si="211"/>
        <v>352181.07355044101</v>
      </c>
      <c r="AE295" s="42">
        <f t="shared" si="211"/>
        <v>284834.41511391103</v>
      </c>
      <c r="AF295" s="42">
        <f t="shared" si="211"/>
        <v>208911.13763314008</v>
      </c>
      <c r="AG295" s="42">
        <f t="shared" si="211"/>
        <v>196083.08815121488</v>
      </c>
      <c r="AH295" s="42">
        <f t="shared" si="211"/>
        <v>183146.58767361916</v>
      </c>
      <c r="AI295" s="42">
        <f t="shared" si="211"/>
        <v>170100.71933310208</v>
      </c>
      <c r="AJ295" s="42">
        <f t="shared" si="211"/>
        <v>156944.55851102661</v>
      </c>
      <c r="AK295" s="42">
        <f t="shared" si="211"/>
        <v>143677.17277183762</v>
      </c>
      <c r="AL295" s="42">
        <f t="shared" si="211"/>
        <v>130297.62179697603</v>
      </c>
      <c r="AM295" s="42">
        <f t="shared" si="211"/>
        <v>116804.95731823432</v>
      </c>
      <c r="AN295" s="42">
        <f t="shared" si="211"/>
        <v>93835.637955257334</v>
      </c>
      <c r="AO295" s="42">
        <f t="shared" si="211"/>
        <v>70672.131193931171</v>
      </c>
      <c r="AP295" s="42">
        <f t="shared" si="211"/>
        <v>47312.795333642985</v>
      </c>
      <c r="AQ295" s="42">
        <f t="shared" si="211"/>
        <v>23755.97479450161</v>
      </c>
      <c r="AR295" s="42">
        <f t="shared" si="211"/>
        <v>0</v>
      </c>
      <c r="AS295" s="42">
        <f t="shared" si="211"/>
        <v>0</v>
      </c>
      <c r="AT295" s="42">
        <f t="shared" si="211"/>
        <v>0</v>
      </c>
      <c r="AU295" s="42">
        <f t="shared" si="211"/>
        <v>0</v>
      </c>
      <c r="AV295" s="42">
        <f t="shared" si="211"/>
        <v>0</v>
      </c>
      <c r="AW295" s="42">
        <f t="shared" si="211"/>
        <v>0</v>
      </c>
      <c r="AX295" s="42">
        <f t="shared" si="211"/>
        <v>0</v>
      </c>
      <c r="AY295" s="42">
        <f t="shared" si="211"/>
        <v>0</v>
      </c>
    </row>
    <row r="296" spans="2:51">
      <c r="C296" s="15"/>
    </row>
    <row r="297" spans="2:51">
      <c r="B297" s="50" t="s">
        <v>248</v>
      </c>
      <c r="C297" s="15"/>
    </row>
    <row r="298" spans="2:51">
      <c r="B298" s="2" t="s">
        <v>98</v>
      </c>
      <c r="C298" s="15" t="str">
        <f>$C$20</f>
        <v>US$</v>
      </c>
      <c r="D298" s="42">
        <f>SUM(I298:AI298)</f>
        <v>0</v>
      </c>
      <c r="I298" s="41">
        <f t="shared" ref="I298:AY298" si="212">$E$285*$E$231*I11*I289</f>
        <v>0</v>
      </c>
      <c r="J298" s="41">
        <f t="shared" si="212"/>
        <v>0</v>
      </c>
      <c r="K298" s="41">
        <f t="shared" si="212"/>
        <v>0</v>
      </c>
      <c r="L298" s="41">
        <f t="shared" si="212"/>
        <v>0</v>
      </c>
      <c r="M298" s="41">
        <f t="shared" si="212"/>
        <v>0</v>
      </c>
      <c r="N298" s="41">
        <f t="shared" si="212"/>
        <v>0</v>
      </c>
      <c r="O298" s="41">
        <f t="shared" si="212"/>
        <v>0</v>
      </c>
      <c r="P298" s="41">
        <f t="shared" si="212"/>
        <v>0</v>
      </c>
      <c r="Q298" s="41">
        <f t="shared" si="212"/>
        <v>0</v>
      </c>
      <c r="R298" s="41">
        <f t="shared" si="212"/>
        <v>0</v>
      </c>
      <c r="S298" s="41">
        <f t="shared" si="212"/>
        <v>0</v>
      </c>
      <c r="T298" s="41">
        <f t="shared" si="212"/>
        <v>0</v>
      </c>
      <c r="U298" s="41">
        <f t="shared" si="212"/>
        <v>0</v>
      </c>
      <c r="V298" s="41">
        <f t="shared" si="212"/>
        <v>0</v>
      </c>
      <c r="W298" s="41">
        <f t="shared" si="212"/>
        <v>0</v>
      </c>
      <c r="X298" s="41">
        <f t="shared" si="212"/>
        <v>0</v>
      </c>
      <c r="Y298" s="41">
        <f t="shared" si="212"/>
        <v>0</v>
      </c>
      <c r="Z298" s="41">
        <f t="shared" si="212"/>
        <v>0</v>
      </c>
      <c r="AA298" s="41">
        <f t="shared" si="212"/>
        <v>0</v>
      </c>
      <c r="AB298" s="41">
        <f t="shared" si="212"/>
        <v>0</v>
      </c>
      <c r="AC298" s="41">
        <f t="shared" si="212"/>
        <v>0</v>
      </c>
      <c r="AD298" s="41">
        <f t="shared" si="212"/>
        <v>0</v>
      </c>
      <c r="AE298" s="41">
        <f t="shared" si="212"/>
        <v>0</v>
      </c>
      <c r="AF298" s="41">
        <f t="shared" si="212"/>
        <v>0</v>
      </c>
      <c r="AG298" s="41">
        <f t="shared" si="212"/>
        <v>0</v>
      </c>
      <c r="AH298" s="41">
        <f t="shared" si="212"/>
        <v>0</v>
      </c>
      <c r="AI298" s="41">
        <f t="shared" si="212"/>
        <v>0</v>
      </c>
      <c r="AJ298" s="41">
        <f t="shared" si="212"/>
        <v>0</v>
      </c>
      <c r="AK298" s="41">
        <f t="shared" si="212"/>
        <v>0</v>
      </c>
      <c r="AL298" s="41">
        <f t="shared" si="212"/>
        <v>0</v>
      </c>
      <c r="AM298" s="41">
        <f t="shared" si="212"/>
        <v>0</v>
      </c>
      <c r="AN298" s="41">
        <f t="shared" si="212"/>
        <v>0</v>
      </c>
      <c r="AO298" s="41">
        <f t="shared" si="212"/>
        <v>0</v>
      </c>
      <c r="AP298" s="41">
        <f t="shared" si="212"/>
        <v>0</v>
      </c>
      <c r="AQ298" s="41">
        <f t="shared" si="212"/>
        <v>0</v>
      </c>
      <c r="AR298" s="41">
        <f t="shared" si="212"/>
        <v>0</v>
      </c>
      <c r="AS298" s="41">
        <f t="shared" si="212"/>
        <v>0</v>
      </c>
      <c r="AT298" s="41">
        <f t="shared" si="212"/>
        <v>0</v>
      </c>
      <c r="AU298" s="41">
        <f t="shared" si="212"/>
        <v>0</v>
      </c>
      <c r="AV298" s="41">
        <f t="shared" si="212"/>
        <v>0</v>
      </c>
      <c r="AW298" s="41">
        <f t="shared" si="212"/>
        <v>0</v>
      </c>
      <c r="AX298" s="41">
        <f t="shared" si="212"/>
        <v>0</v>
      </c>
      <c r="AY298" s="41">
        <f t="shared" si="212"/>
        <v>0</v>
      </c>
    </row>
    <row r="299" spans="2:51">
      <c r="B299" s="27" t="s">
        <v>99</v>
      </c>
      <c r="C299" s="28" t="str">
        <f>$C$20</f>
        <v>US$</v>
      </c>
      <c r="D299" s="108">
        <f>SUM(I299:AI299)</f>
        <v>7245789.4124003956</v>
      </c>
      <c r="E299" s="27"/>
      <c r="F299" s="27"/>
      <c r="G299" s="27"/>
      <c r="H299" s="27"/>
      <c r="I299" s="43">
        <f t="shared" ref="I299:AY299" si="213">$E$286*$E$232*I11*I290</f>
        <v>7245789.4124003956</v>
      </c>
      <c r="J299" s="43">
        <f t="shared" si="213"/>
        <v>0</v>
      </c>
      <c r="K299" s="43">
        <f t="shared" si="213"/>
        <v>0</v>
      </c>
      <c r="L299" s="43">
        <f t="shared" si="213"/>
        <v>0</v>
      </c>
      <c r="M299" s="43">
        <f t="shared" si="213"/>
        <v>0</v>
      </c>
      <c r="N299" s="43">
        <f t="shared" si="213"/>
        <v>0</v>
      </c>
      <c r="O299" s="43">
        <f t="shared" si="213"/>
        <v>0</v>
      </c>
      <c r="P299" s="43">
        <f t="shared" si="213"/>
        <v>0</v>
      </c>
      <c r="Q299" s="43">
        <f t="shared" si="213"/>
        <v>0</v>
      </c>
      <c r="R299" s="43">
        <f t="shared" si="213"/>
        <v>0</v>
      </c>
      <c r="S299" s="43">
        <f t="shared" si="213"/>
        <v>0</v>
      </c>
      <c r="T299" s="43">
        <f t="shared" si="213"/>
        <v>0</v>
      </c>
      <c r="U299" s="43">
        <f t="shared" si="213"/>
        <v>0</v>
      </c>
      <c r="V299" s="43">
        <f t="shared" si="213"/>
        <v>0</v>
      </c>
      <c r="W299" s="43">
        <f t="shared" si="213"/>
        <v>0</v>
      </c>
      <c r="X299" s="43">
        <f t="shared" si="213"/>
        <v>0</v>
      </c>
      <c r="Y299" s="43">
        <f t="shared" si="213"/>
        <v>0</v>
      </c>
      <c r="Z299" s="43">
        <f t="shared" si="213"/>
        <v>0</v>
      </c>
      <c r="AA299" s="43">
        <f t="shared" si="213"/>
        <v>0</v>
      </c>
      <c r="AB299" s="43">
        <f t="shared" si="213"/>
        <v>0</v>
      </c>
      <c r="AC299" s="43">
        <f t="shared" si="213"/>
        <v>0</v>
      </c>
      <c r="AD299" s="43">
        <f t="shared" si="213"/>
        <v>0</v>
      </c>
      <c r="AE299" s="43">
        <f t="shared" si="213"/>
        <v>0</v>
      </c>
      <c r="AF299" s="43">
        <f t="shared" si="213"/>
        <v>0</v>
      </c>
      <c r="AG299" s="43">
        <f t="shared" si="213"/>
        <v>0</v>
      </c>
      <c r="AH299" s="43">
        <f t="shared" si="213"/>
        <v>0</v>
      </c>
      <c r="AI299" s="43">
        <f t="shared" si="213"/>
        <v>0</v>
      </c>
      <c r="AJ299" s="43">
        <f t="shared" si="213"/>
        <v>0</v>
      </c>
      <c r="AK299" s="43">
        <f t="shared" si="213"/>
        <v>0</v>
      </c>
      <c r="AL299" s="43">
        <f t="shared" si="213"/>
        <v>0</v>
      </c>
      <c r="AM299" s="43">
        <f t="shared" si="213"/>
        <v>0</v>
      </c>
      <c r="AN299" s="43">
        <f t="shared" si="213"/>
        <v>0</v>
      </c>
      <c r="AO299" s="43">
        <f t="shared" si="213"/>
        <v>0</v>
      </c>
      <c r="AP299" s="43">
        <f t="shared" si="213"/>
        <v>0</v>
      </c>
      <c r="AQ299" s="43">
        <f t="shared" si="213"/>
        <v>0</v>
      </c>
      <c r="AR299" s="43">
        <f t="shared" si="213"/>
        <v>0</v>
      </c>
      <c r="AS299" s="43">
        <f t="shared" si="213"/>
        <v>0</v>
      </c>
      <c r="AT299" s="43">
        <f t="shared" si="213"/>
        <v>0</v>
      </c>
      <c r="AU299" s="43">
        <f t="shared" si="213"/>
        <v>0</v>
      </c>
      <c r="AV299" s="43">
        <f t="shared" si="213"/>
        <v>0</v>
      </c>
      <c r="AW299" s="43">
        <f t="shared" si="213"/>
        <v>0</v>
      </c>
      <c r="AX299" s="43">
        <f t="shared" si="213"/>
        <v>0</v>
      </c>
      <c r="AY299" s="43">
        <f t="shared" si="213"/>
        <v>0</v>
      </c>
    </row>
    <row r="300" spans="2:51">
      <c r="B300" s="2" t="s">
        <v>71</v>
      </c>
      <c r="C300" s="15" t="str">
        <f>$C$20</f>
        <v>US$</v>
      </c>
      <c r="D300" s="41">
        <f>SUM(I300:AI300)</f>
        <v>7245789.4124003956</v>
      </c>
      <c r="I300" s="42">
        <f>SUM(I298:I299)</f>
        <v>7245789.4124003956</v>
      </c>
      <c r="J300" s="42">
        <f t="shared" ref="J300:AY300" si="214">SUM(J298:J299)</f>
        <v>0</v>
      </c>
      <c r="K300" s="42">
        <f t="shared" si="214"/>
        <v>0</v>
      </c>
      <c r="L300" s="42">
        <f t="shared" si="214"/>
        <v>0</v>
      </c>
      <c r="M300" s="42">
        <f t="shared" si="214"/>
        <v>0</v>
      </c>
      <c r="N300" s="42">
        <f t="shared" si="214"/>
        <v>0</v>
      </c>
      <c r="O300" s="42">
        <f t="shared" si="214"/>
        <v>0</v>
      </c>
      <c r="P300" s="42">
        <f t="shared" si="214"/>
        <v>0</v>
      </c>
      <c r="Q300" s="42">
        <f t="shared" si="214"/>
        <v>0</v>
      </c>
      <c r="R300" s="42">
        <f t="shared" si="214"/>
        <v>0</v>
      </c>
      <c r="S300" s="42">
        <f t="shared" si="214"/>
        <v>0</v>
      </c>
      <c r="T300" s="42">
        <f t="shared" si="214"/>
        <v>0</v>
      </c>
      <c r="U300" s="42">
        <f t="shared" si="214"/>
        <v>0</v>
      </c>
      <c r="V300" s="42">
        <f t="shared" si="214"/>
        <v>0</v>
      </c>
      <c r="W300" s="42">
        <f t="shared" si="214"/>
        <v>0</v>
      </c>
      <c r="X300" s="42">
        <f t="shared" si="214"/>
        <v>0</v>
      </c>
      <c r="Y300" s="42">
        <f t="shared" si="214"/>
        <v>0</v>
      </c>
      <c r="Z300" s="42">
        <f t="shared" si="214"/>
        <v>0</v>
      </c>
      <c r="AA300" s="42">
        <f t="shared" si="214"/>
        <v>0</v>
      </c>
      <c r="AB300" s="42">
        <f t="shared" si="214"/>
        <v>0</v>
      </c>
      <c r="AC300" s="42">
        <f t="shared" si="214"/>
        <v>0</v>
      </c>
      <c r="AD300" s="42">
        <f t="shared" si="214"/>
        <v>0</v>
      </c>
      <c r="AE300" s="42">
        <f t="shared" si="214"/>
        <v>0</v>
      </c>
      <c r="AF300" s="42">
        <f t="shared" si="214"/>
        <v>0</v>
      </c>
      <c r="AG300" s="42">
        <f t="shared" si="214"/>
        <v>0</v>
      </c>
      <c r="AH300" s="42">
        <f t="shared" si="214"/>
        <v>0</v>
      </c>
      <c r="AI300" s="42">
        <f t="shared" si="214"/>
        <v>0</v>
      </c>
      <c r="AJ300" s="42">
        <f t="shared" si="214"/>
        <v>0</v>
      </c>
      <c r="AK300" s="42">
        <f t="shared" si="214"/>
        <v>0</v>
      </c>
      <c r="AL300" s="42">
        <f t="shared" si="214"/>
        <v>0</v>
      </c>
      <c r="AM300" s="42">
        <f t="shared" si="214"/>
        <v>0</v>
      </c>
      <c r="AN300" s="42">
        <f t="shared" si="214"/>
        <v>0</v>
      </c>
      <c r="AO300" s="42">
        <f t="shared" si="214"/>
        <v>0</v>
      </c>
      <c r="AP300" s="42">
        <f t="shared" si="214"/>
        <v>0</v>
      </c>
      <c r="AQ300" s="42">
        <f t="shared" si="214"/>
        <v>0</v>
      </c>
      <c r="AR300" s="42">
        <f t="shared" si="214"/>
        <v>0</v>
      </c>
      <c r="AS300" s="42">
        <f t="shared" si="214"/>
        <v>0</v>
      </c>
      <c r="AT300" s="42">
        <f t="shared" si="214"/>
        <v>0</v>
      </c>
      <c r="AU300" s="42">
        <f t="shared" si="214"/>
        <v>0</v>
      </c>
      <c r="AV300" s="42">
        <f t="shared" si="214"/>
        <v>0</v>
      </c>
      <c r="AW300" s="42">
        <f t="shared" si="214"/>
        <v>0</v>
      </c>
      <c r="AX300" s="42">
        <f t="shared" si="214"/>
        <v>0</v>
      </c>
      <c r="AY300" s="42">
        <f t="shared" si="214"/>
        <v>0</v>
      </c>
    </row>
    <row r="301" spans="2:51">
      <c r="C301" s="15"/>
    </row>
    <row r="302" spans="2:51">
      <c r="B302" s="50" t="s">
        <v>249</v>
      </c>
      <c r="C302" s="15"/>
    </row>
    <row r="303" spans="2:51">
      <c r="B303" s="2" t="s">
        <v>98</v>
      </c>
      <c r="C303" s="15" t="str">
        <f>$C$20</f>
        <v>US$</v>
      </c>
      <c r="D303" s="42">
        <f>SUM(I303:AI303)</f>
        <v>0</v>
      </c>
      <c r="I303" s="42">
        <f t="shared" ref="I303:AY303" si="215">$F$285*I262/Months_year*I14</f>
        <v>0</v>
      </c>
      <c r="J303" s="42">
        <f t="shared" si="215"/>
        <v>0</v>
      </c>
      <c r="K303" s="42">
        <f t="shared" si="215"/>
        <v>0</v>
      </c>
      <c r="L303" s="42">
        <f t="shared" si="215"/>
        <v>0</v>
      </c>
      <c r="M303" s="42">
        <f t="shared" si="215"/>
        <v>0</v>
      </c>
      <c r="N303" s="42">
        <f t="shared" si="215"/>
        <v>0</v>
      </c>
      <c r="O303" s="42">
        <f t="shared" si="215"/>
        <v>0</v>
      </c>
      <c r="P303" s="42">
        <f t="shared" si="215"/>
        <v>0</v>
      </c>
      <c r="Q303" s="42">
        <f t="shared" si="215"/>
        <v>0</v>
      </c>
      <c r="R303" s="42">
        <f t="shared" si="215"/>
        <v>0</v>
      </c>
      <c r="S303" s="42">
        <f t="shared" si="215"/>
        <v>0</v>
      </c>
      <c r="T303" s="42">
        <f t="shared" si="215"/>
        <v>0</v>
      </c>
      <c r="U303" s="42">
        <f t="shared" si="215"/>
        <v>0</v>
      </c>
      <c r="V303" s="42">
        <f t="shared" si="215"/>
        <v>0</v>
      </c>
      <c r="W303" s="42">
        <f t="shared" si="215"/>
        <v>0</v>
      </c>
      <c r="X303" s="42">
        <f t="shared" si="215"/>
        <v>0</v>
      </c>
      <c r="Y303" s="42">
        <f t="shared" si="215"/>
        <v>0</v>
      </c>
      <c r="Z303" s="42">
        <f t="shared" si="215"/>
        <v>0</v>
      </c>
      <c r="AA303" s="42">
        <f t="shared" si="215"/>
        <v>0</v>
      </c>
      <c r="AB303" s="42">
        <f t="shared" si="215"/>
        <v>0</v>
      </c>
      <c r="AC303" s="42">
        <f t="shared" si="215"/>
        <v>0</v>
      </c>
      <c r="AD303" s="42">
        <f t="shared" si="215"/>
        <v>0</v>
      </c>
      <c r="AE303" s="42">
        <f t="shared" si="215"/>
        <v>0</v>
      </c>
      <c r="AF303" s="42">
        <f t="shared" si="215"/>
        <v>0</v>
      </c>
      <c r="AG303" s="42">
        <f t="shared" si="215"/>
        <v>0</v>
      </c>
      <c r="AH303" s="42">
        <f t="shared" si="215"/>
        <v>0</v>
      </c>
      <c r="AI303" s="42">
        <f t="shared" si="215"/>
        <v>0</v>
      </c>
      <c r="AJ303" s="42">
        <f t="shared" si="215"/>
        <v>0</v>
      </c>
      <c r="AK303" s="42">
        <f t="shared" si="215"/>
        <v>0</v>
      </c>
      <c r="AL303" s="42">
        <f t="shared" si="215"/>
        <v>0</v>
      </c>
      <c r="AM303" s="42">
        <f t="shared" si="215"/>
        <v>0</v>
      </c>
      <c r="AN303" s="42">
        <f t="shared" si="215"/>
        <v>0</v>
      </c>
      <c r="AO303" s="42">
        <f t="shared" si="215"/>
        <v>0</v>
      </c>
      <c r="AP303" s="42">
        <f t="shared" si="215"/>
        <v>0</v>
      </c>
      <c r="AQ303" s="42">
        <f t="shared" si="215"/>
        <v>0</v>
      </c>
      <c r="AR303" s="42">
        <f t="shared" si="215"/>
        <v>0</v>
      </c>
      <c r="AS303" s="42">
        <f t="shared" si="215"/>
        <v>0</v>
      </c>
      <c r="AT303" s="42">
        <f t="shared" si="215"/>
        <v>0</v>
      </c>
      <c r="AU303" s="42">
        <f t="shared" si="215"/>
        <v>0</v>
      </c>
      <c r="AV303" s="42">
        <f t="shared" si="215"/>
        <v>0</v>
      </c>
      <c r="AW303" s="42">
        <f t="shared" si="215"/>
        <v>0</v>
      </c>
      <c r="AX303" s="42">
        <f t="shared" si="215"/>
        <v>0</v>
      </c>
      <c r="AY303" s="42">
        <f t="shared" si="215"/>
        <v>0</v>
      </c>
    </row>
    <row r="304" spans="2:51">
      <c r="B304" s="27" t="s">
        <v>99</v>
      </c>
      <c r="C304" s="28" t="str">
        <f>$C$20</f>
        <v>US$</v>
      </c>
      <c r="D304" s="108">
        <f>SUM(I304:AI304)</f>
        <v>2809348.0174517659</v>
      </c>
      <c r="E304" s="27"/>
      <c r="F304" s="27"/>
      <c r="G304" s="27"/>
      <c r="H304" s="27"/>
      <c r="I304" s="108">
        <f t="shared" ref="I304:AY304" si="216">$F$286*I263/Months_year*I14</f>
        <v>0</v>
      </c>
      <c r="J304" s="108">
        <f t="shared" si="216"/>
        <v>0</v>
      </c>
      <c r="K304" s="108">
        <f t="shared" si="216"/>
        <v>0</v>
      </c>
      <c r="L304" s="108">
        <f t="shared" si="216"/>
        <v>0</v>
      </c>
      <c r="M304" s="108">
        <f t="shared" si="216"/>
        <v>0</v>
      </c>
      <c r="N304" s="108">
        <f t="shared" si="216"/>
        <v>0</v>
      </c>
      <c r="O304" s="108">
        <f t="shared" si="216"/>
        <v>0</v>
      </c>
      <c r="P304" s="108">
        <f t="shared" si="216"/>
        <v>0</v>
      </c>
      <c r="Q304" s="108">
        <f t="shared" si="216"/>
        <v>0</v>
      </c>
      <c r="R304" s="108">
        <f t="shared" si="216"/>
        <v>0</v>
      </c>
      <c r="S304" s="108">
        <f t="shared" si="216"/>
        <v>0</v>
      </c>
      <c r="T304" s="108">
        <f t="shared" si="216"/>
        <v>0</v>
      </c>
      <c r="U304" s="108">
        <f t="shared" si="216"/>
        <v>0</v>
      </c>
      <c r="V304" s="108">
        <f t="shared" si="216"/>
        <v>0</v>
      </c>
      <c r="W304" s="108">
        <f t="shared" si="216"/>
        <v>0</v>
      </c>
      <c r="X304" s="108">
        <f t="shared" si="216"/>
        <v>12514.611534554324</v>
      </c>
      <c r="Y304" s="108">
        <f t="shared" si="216"/>
        <v>43420.968021437482</v>
      </c>
      <c r="Z304" s="108">
        <f t="shared" si="216"/>
        <v>78333.647305751074</v>
      </c>
      <c r="AA304" s="108">
        <f t="shared" si="216"/>
        <v>113541.48563472253</v>
      </c>
      <c r="AB304" s="108">
        <f t="shared" si="216"/>
        <v>149046.97834424215</v>
      </c>
      <c r="AC304" s="108">
        <f t="shared" si="216"/>
        <v>184852.64186628824</v>
      </c>
      <c r="AD304" s="108">
        <f t="shared" si="216"/>
        <v>251634.71081625865</v>
      </c>
      <c r="AE304" s="108">
        <f t="shared" si="216"/>
        <v>318981.36925278866</v>
      </c>
      <c r="AF304" s="108">
        <f t="shared" si="216"/>
        <v>394904.64673355961</v>
      </c>
      <c r="AG304" s="108">
        <f t="shared" si="216"/>
        <v>407732.69621548482</v>
      </c>
      <c r="AH304" s="108">
        <f t="shared" si="216"/>
        <v>420669.19669308054</v>
      </c>
      <c r="AI304" s="108">
        <f t="shared" si="216"/>
        <v>433715.06503359764</v>
      </c>
      <c r="AJ304" s="108">
        <f t="shared" si="216"/>
        <v>446871.22585567302</v>
      </c>
      <c r="AK304" s="108">
        <f t="shared" si="216"/>
        <v>460138.61159486207</v>
      </c>
      <c r="AL304" s="108">
        <f t="shared" si="216"/>
        <v>473518.16256972362</v>
      </c>
      <c r="AM304" s="108">
        <f t="shared" si="216"/>
        <v>487010.82704846532</v>
      </c>
      <c r="AN304" s="108">
        <f t="shared" si="216"/>
        <v>509980.14641144237</v>
      </c>
      <c r="AO304" s="108">
        <f t="shared" si="216"/>
        <v>533143.65317276854</v>
      </c>
      <c r="AP304" s="108">
        <f t="shared" si="216"/>
        <v>556502.98903305677</v>
      </c>
      <c r="AQ304" s="108">
        <f t="shared" si="216"/>
        <v>580059.80957219808</v>
      </c>
      <c r="AR304" s="108">
        <f t="shared" si="216"/>
        <v>603815.78436669963</v>
      </c>
      <c r="AS304" s="108">
        <f t="shared" si="216"/>
        <v>0</v>
      </c>
      <c r="AT304" s="108">
        <f t="shared" si="216"/>
        <v>0</v>
      </c>
      <c r="AU304" s="108">
        <f t="shared" si="216"/>
        <v>0</v>
      </c>
      <c r="AV304" s="108">
        <f t="shared" si="216"/>
        <v>0</v>
      </c>
      <c r="AW304" s="108">
        <f t="shared" si="216"/>
        <v>0</v>
      </c>
      <c r="AX304" s="108">
        <f t="shared" si="216"/>
        <v>0</v>
      </c>
      <c r="AY304" s="108">
        <f t="shared" si="216"/>
        <v>0</v>
      </c>
    </row>
    <row r="305" spans="1:51">
      <c r="B305" s="2" t="s">
        <v>71</v>
      </c>
      <c r="C305" s="15" t="str">
        <f>$C$20</f>
        <v>US$</v>
      </c>
      <c r="D305" s="41">
        <f>SUM(I305:AI305)</f>
        <v>2809348.0174517659</v>
      </c>
      <c r="I305" s="42">
        <f>SUM(I303:I304)</f>
        <v>0</v>
      </c>
      <c r="J305" s="42">
        <f t="shared" ref="J305:AY305" si="217">SUM(J303:J304)</f>
        <v>0</v>
      </c>
      <c r="K305" s="42">
        <f t="shared" si="217"/>
        <v>0</v>
      </c>
      <c r="L305" s="42">
        <f t="shared" si="217"/>
        <v>0</v>
      </c>
      <c r="M305" s="42">
        <f t="shared" si="217"/>
        <v>0</v>
      </c>
      <c r="N305" s="42">
        <f t="shared" si="217"/>
        <v>0</v>
      </c>
      <c r="O305" s="42">
        <f t="shared" si="217"/>
        <v>0</v>
      </c>
      <c r="P305" s="42">
        <f t="shared" si="217"/>
        <v>0</v>
      </c>
      <c r="Q305" s="42">
        <f t="shared" si="217"/>
        <v>0</v>
      </c>
      <c r="R305" s="42">
        <f t="shared" si="217"/>
        <v>0</v>
      </c>
      <c r="S305" s="42">
        <f t="shared" si="217"/>
        <v>0</v>
      </c>
      <c r="T305" s="42">
        <f t="shared" si="217"/>
        <v>0</v>
      </c>
      <c r="U305" s="42">
        <f t="shared" si="217"/>
        <v>0</v>
      </c>
      <c r="V305" s="42">
        <f t="shared" si="217"/>
        <v>0</v>
      </c>
      <c r="W305" s="42">
        <f t="shared" si="217"/>
        <v>0</v>
      </c>
      <c r="X305" s="42">
        <f t="shared" si="217"/>
        <v>12514.611534554324</v>
      </c>
      <c r="Y305" s="42">
        <f t="shared" si="217"/>
        <v>43420.968021437482</v>
      </c>
      <c r="Z305" s="42">
        <f t="shared" si="217"/>
        <v>78333.647305751074</v>
      </c>
      <c r="AA305" s="42">
        <f t="shared" si="217"/>
        <v>113541.48563472253</v>
      </c>
      <c r="AB305" s="42">
        <f t="shared" si="217"/>
        <v>149046.97834424215</v>
      </c>
      <c r="AC305" s="42">
        <f t="shared" si="217"/>
        <v>184852.64186628824</v>
      </c>
      <c r="AD305" s="42">
        <f t="shared" si="217"/>
        <v>251634.71081625865</v>
      </c>
      <c r="AE305" s="42">
        <f t="shared" si="217"/>
        <v>318981.36925278866</v>
      </c>
      <c r="AF305" s="42">
        <f t="shared" si="217"/>
        <v>394904.64673355961</v>
      </c>
      <c r="AG305" s="42">
        <f t="shared" si="217"/>
        <v>407732.69621548482</v>
      </c>
      <c r="AH305" s="42">
        <f t="shared" si="217"/>
        <v>420669.19669308054</v>
      </c>
      <c r="AI305" s="42">
        <f t="shared" si="217"/>
        <v>433715.06503359764</v>
      </c>
      <c r="AJ305" s="42">
        <f t="shared" si="217"/>
        <v>446871.22585567302</v>
      </c>
      <c r="AK305" s="42">
        <f t="shared" si="217"/>
        <v>460138.61159486207</v>
      </c>
      <c r="AL305" s="42">
        <f t="shared" si="217"/>
        <v>473518.16256972362</v>
      </c>
      <c r="AM305" s="42">
        <f t="shared" si="217"/>
        <v>487010.82704846532</v>
      </c>
      <c r="AN305" s="42">
        <f t="shared" si="217"/>
        <v>509980.14641144237</v>
      </c>
      <c r="AO305" s="42">
        <f t="shared" si="217"/>
        <v>533143.65317276854</v>
      </c>
      <c r="AP305" s="42">
        <f t="shared" si="217"/>
        <v>556502.98903305677</v>
      </c>
      <c r="AQ305" s="42">
        <f t="shared" si="217"/>
        <v>580059.80957219808</v>
      </c>
      <c r="AR305" s="42">
        <f t="shared" si="217"/>
        <v>603815.78436669963</v>
      </c>
      <c r="AS305" s="42">
        <f t="shared" si="217"/>
        <v>0</v>
      </c>
      <c r="AT305" s="42">
        <f t="shared" si="217"/>
        <v>0</v>
      </c>
      <c r="AU305" s="42">
        <f t="shared" si="217"/>
        <v>0</v>
      </c>
      <c r="AV305" s="42">
        <f t="shared" si="217"/>
        <v>0</v>
      </c>
      <c r="AW305" s="42">
        <f t="shared" si="217"/>
        <v>0</v>
      </c>
      <c r="AX305" s="42">
        <f t="shared" si="217"/>
        <v>0</v>
      </c>
      <c r="AY305" s="42">
        <f t="shared" si="217"/>
        <v>0</v>
      </c>
    </row>
    <row r="306" spans="1:51">
      <c r="C306" s="15"/>
    </row>
    <row r="307" spans="1:51">
      <c r="B307" s="50" t="s">
        <v>250</v>
      </c>
      <c r="C307" s="15"/>
    </row>
    <row r="308" spans="1:51">
      <c r="B308" s="2" t="s">
        <v>98</v>
      </c>
      <c r="C308" s="15" t="str">
        <f>$C$20</f>
        <v>US$</v>
      </c>
      <c r="D308" s="42">
        <f>SUM(I308:AI308)</f>
        <v>0</v>
      </c>
      <c r="I308" s="107">
        <f>I293+I298+I303</f>
        <v>0</v>
      </c>
      <c r="J308" s="107">
        <f t="shared" ref="J308:AI308" si="218">J293+J298+J303</f>
        <v>0</v>
      </c>
      <c r="K308" s="107">
        <f t="shared" si="218"/>
        <v>0</v>
      </c>
      <c r="L308" s="107">
        <f t="shared" si="218"/>
        <v>0</v>
      </c>
      <c r="M308" s="107">
        <f t="shared" si="218"/>
        <v>0</v>
      </c>
      <c r="N308" s="107">
        <f t="shared" si="218"/>
        <v>0</v>
      </c>
      <c r="O308" s="107">
        <f t="shared" si="218"/>
        <v>0</v>
      </c>
      <c r="P308" s="107">
        <f t="shared" si="218"/>
        <v>0</v>
      </c>
      <c r="Q308" s="107">
        <f t="shared" si="218"/>
        <v>0</v>
      </c>
      <c r="R308" s="107">
        <f t="shared" si="218"/>
        <v>0</v>
      </c>
      <c r="S308" s="107">
        <f t="shared" si="218"/>
        <v>0</v>
      </c>
      <c r="T308" s="107">
        <f t="shared" si="218"/>
        <v>0</v>
      </c>
      <c r="U308" s="107">
        <f t="shared" si="218"/>
        <v>0</v>
      </c>
      <c r="V308" s="107">
        <f t="shared" si="218"/>
        <v>0</v>
      </c>
      <c r="W308" s="107">
        <f t="shared" si="218"/>
        <v>0</v>
      </c>
      <c r="X308" s="107">
        <f t="shared" si="218"/>
        <v>0</v>
      </c>
      <c r="Y308" s="107">
        <f t="shared" si="218"/>
        <v>0</v>
      </c>
      <c r="Z308" s="107">
        <f t="shared" si="218"/>
        <v>0</v>
      </c>
      <c r="AA308" s="107">
        <f t="shared" si="218"/>
        <v>0</v>
      </c>
      <c r="AB308" s="107">
        <f t="shared" si="218"/>
        <v>0</v>
      </c>
      <c r="AC308" s="107">
        <f t="shared" si="218"/>
        <v>0</v>
      </c>
      <c r="AD308" s="107">
        <f t="shared" si="218"/>
        <v>0</v>
      </c>
      <c r="AE308" s="107">
        <f t="shared" si="218"/>
        <v>0</v>
      </c>
      <c r="AF308" s="107">
        <f t="shared" si="218"/>
        <v>0</v>
      </c>
      <c r="AG308" s="107">
        <f t="shared" si="218"/>
        <v>0</v>
      </c>
      <c r="AH308" s="107">
        <f t="shared" si="218"/>
        <v>0</v>
      </c>
      <c r="AI308" s="107">
        <f t="shared" si="218"/>
        <v>0</v>
      </c>
      <c r="AJ308" s="107">
        <f t="shared" ref="AJ308:AY308" si="219">AJ293+AJ298+AJ303</f>
        <v>0</v>
      </c>
      <c r="AK308" s="107">
        <f t="shared" si="219"/>
        <v>0</v>
      </c>
      <c r="AL308" s="107">
        <f t="shared" si="219"/>
        <v>0</v>
      </c>
      <c r="AM308" s="107">
        <f t="shared" si="219"/>
        <v>0</v>
      </c>
      <c r="AN308" s="107">
        <f t="shared" si="219"/>
        <v>0</v>
      </c>
      <c r="AO308" s="107">
        <f t="shared" si="219"/>
        <v>0</v>
      </c>
      <c r="AP308" s="107">
        <f t="shared" si="219"/>
        <v>0</v>
      </c>
      <c r="AQ308" s="107">
        <f t="shared" si="219"/>
        <v>0</v>
      </c>
      <c r="AR308" s="107">
        <f t="shared" si="219"/>
        <v>0</v>
      </c>
      <c r="AS308" s="107">
        <f t="shared" si="219"/>
        <v>0</v>
      </c>
      <c r="AT308" s="107">
        <f t="shared" si="219"/>
        <v>0</v>
      </c>
      <c r="AU308" s="107">
        <f t="shared" si="219"/>
        <v>0</v>
      </c>
      <c r="AV308" s="107">
        <f t="shared" si="219"/>
        <v>0</v>
      </c>
      <c r="AW308" s="107">
        <f t="shared" si="219"/>
        <v>0</v>
      </c>
      <c r="AX308" s="107">
        <f t="shared" si="219"/>
        <v>0</v>
      </c>
      <c r="AY308" s="107">
        <f t="shared" si="219"/>
        <v>0</v>
      </c>
    </row>
    <row r="309" spans="1:51">
      <c r="B309" s="27" t="s">
        <v>99</v>
      </c>
      <c r="C309" s="28" t="str">
        <f>$C$20</f>
        <v>US$</v>
      </c>
      <c r="D309" s="108">
        <f>SUM(I309:AY309)</f>
        <v>28983157.649601597</v>
      </c>
      <c r="E309" s="27"/>
      <c r="F309" s="27"/>
      <c r="G309" s="27"/>
      <c r="H309" s="27"/>
      <c r="I309" s="108">
        <f>I294+I299+I304</f>
        <v>7849605.1967670955</v>
      </c>
      <c r="J309" s="108">
        <f>J294+J299+J304</f>
        <v>603815.78436669963</v>
      </c>
      <c r="K309" s="108">
        <f t="shared" ref="K309:AI309" si="220">K294+K299+K304</f>
        <v>603815.78436669963</v>
      </c>
      <c r="L309" s="108">
        <f t="shared" si="220"/>
        <v>603815.78436669963</v>
      </c>
      <c r="M309" s="108">
        <f t="shared" si="220"/>
        <v>603815.78436669963</v>
      </c>
      <c r="N309" s="108">
        <f t="shared" si="220"/>
        <v>603815.78436669963</v>
      </c>
      <c r="O309" s="108">
        <f t="shared" si="220"/>
        <v>603815.78436669963</v>
      </c>
      <c r="P309" s="108">
        <f t="shared" si="220"/>
        <v>603815.78436669963</v>
      </c>
      <c r="Q309" s="108">
        <f t="shared" si="220"/>
        <v>603815.78436669963</v>
      </c>
      <c r="R309" s="108">
        <f t="shared" si="220"/>
        <v>603815.78436669963</v>
      </c>
      <c r="S309" s="108">
        <f t="shared" si="220"/>
        <v>603815.78436669963</v>
      </c>
      <c r="T309" s="108">
        <f t="shared" si="220"/>
        <v>603815.78436669963</v>
      </c>
      <c r="U309" s="108">
        <f t="shared" si="220"/>
        <v>603815.78436669963</v>
      </c>
      <c r="V309" s="108">
        <f t="shared" si="220"/>
        <v>603815.78436669963</v>
      </c>
      <c r="W309" s="108">
        <f t="shared" si="220"/>
        <v>603815.78436669963</v>
      </c>
      <c r="X309" s="108">
        <f t="shared" si="220"/>
        <v>603815.78436669952</v>
      </c>
      <c r="Y309" s="108">
        <f t="shared" si="220"/>
        <v>603815.78436669963</v>
      </c>
      <c r="Z309" s="108">
        <f t="shared" si="220"/>
        <v>603815.78436669963</v>
      </c>
      <c r="AA309" s="108">
        <f t="shared" si="220"/>
        <v>603815.78436669963</v>
      </c>
      <c r="AB309" s="108">
        <f t="shared" si="220"/>
        <v>603815.78436669975</v>
      </c>
      <c r="AC309" s="108">
        <f t="shared" si="220"/>
        <v>603815.78436669963</v>
      </c>
      <c r="AD309" s="108">
        <f t="shared" si="220"/>
        <v>603815.78436669963</v>
      </c>
      <c r="AE309" s="108">
        <f t="shared" si="220"/>
        <v>603815.78436669963</v>
      </c>
      <c r="AF309" s="108">
        <f t="shared" si="220"/>
        <v>603815.78436669963</v>
      </c>
      <c r="AG309" s="108">
        <f t="shared" si="220"/>
        <v>603815.78436669963</v>
      </c>
      <c r="AH309" s="108">
        <f t="shared" si="220"/>
        <v>603815.78436669963</v>
      </c>
      <c r="AI309" s="108">
        <f t="shared" si="220"/>
        <v>603815.78436669975</v>
      </c>
      <c r="AJ309" s="108">
        <f t="shared" ref="AJ309:AY309" si="221">AJ294+AJ299+AJ304</f>
        <v>603815.78436669963</v>
      </c>
      <c r="AK309" s="108">
        <f t="shared" si="221"/>
        <v>603815.78436669963</v>
      </c>
      <c r="AL309" s="108">
        <f t="shared" si="221"/>
        <v>603815.78436669963</v>
      </c>
      <c r="AM309" s="108">
        <f t="shared" si="221"/>
        <v>603815.78436669963</v>
      </c>
      <c r="AN309" s="108">
        <f t="shared" si="221"/>
        <v>603815.78436669975</v>
      </c>
      <c r="AO309" s="108">
        <f t="shared" si="221"/>
        <v>603815.78436669975</v>
      </c>
      <c r="AP309" s="108">
        <f t="shared" si="221"/>
        <v>603815.78436669975</v>
      </c>
      <c r="AQ309" s="108">
        <f t="shared" si="221"/>
        <v>603815.78436669963</v>
      </c>
      <c r="AR309" s="108">
        <f>AR294+AR299+AR304</f>
        <v>603815.78436669963</v>
      </c>
      <c r="AS309" s="108">
        <f t="shared" si="221"/>
        <v>0</v>
      </c>
      <c r="AT309" s="108">
        <f t="shared" si="221"/>
        <v>0</v>
      </c>
      <c r="AU309" s="108">
        <f t="shared" si="221"/>
        <v>0</v>
      </c>
      <c r="AV309" s="108">
        <f t="shared" si="221"/>
        <v>0</v>
      </c>
      <c r="AW309" s="108">
        <f t="shared" si="221"/>
        <v>0</v>
      </c>
      <c r="AX309" s="108">
        <f t="shared" si="221"/>
        <v>0</v>
      </c>
      <c r="AY309" s="108">
        <f t="shared" si="221"/>
        <v>0</v>
      </c>
    </row>
    <row r="310" spans="1:51">
      <c r="B310" s="2" t="s">
        <v>71</v>
      </c>
      <c r="C310" s="15" t="str">
        <f>$C$20</f>
        <v>US$</v>
      </c>
      <c r="D310" s="41">
        <f>SUM(I310:AI310)</f>
        <v>23548815.59030129</v>
      </c>
      <c r="I310" s="42">
        <f>SUM(I308:I309)</f>
        <v>7849605.1967670955</v>
      </c>
      <c r="J310" s="42">
        <f t="shared" ref="J310:AY310" si="222">SUM(J308:J309)</f>
        <v>603815.78436669963</v>
      </c>
      <c r="K310" s="42">
        <f t="shared" si="222"/>
        <v>603815.78436669963</v>
      </c>
      <c r="L310" s="42">
        <f t="shared" si="222"/>
        <v>603815.78436669963</v>
      </c>
      <c r="M310" s="42">
        <f t="shared" si="222"/>
        <v>603815.78436669963</v>
      </c>
      <c r="N310" s="42">
        <f t="shared" si="222"/>
        <v>603815.78436669963</v>
      </c>
      <c r="O310" s="42">
        <f t="shared" si="222"/>
        <v>603815.78436669963</v>
      </c>
      <c r="P310" s="42">
        <f t="shared" si="222"/>
        <v>603815.78436669963</v>
      </c>
      <c r="Q310" s="42">
        <f t="shared" si="222"/>
        <v>603815.78436669963</v>
      </c>
      <c r="R310" s="42">
        <f t="shared" si="222"/>
        <v>603815.78436669963</v>
      </c>
      <c r="S310" s="42">
        <f t="shared" si="222"/>
        <v>603815.78436669963</v>
      </c>
      <c r="T310" s="42">
        <f t="shared" si="222"/>
        <v>603815.78436669963</v>
      </c>
      <c r="U310" s="42">
        <f t="shared" si="222"/>
        <v>603815.78436669963</v>
      </c>
      <c r="V310" s="42">
        <f t="shared" si="222"/>
        <v>603815.78436669963</v>
      </c>
      <c r="W310" s="42">
        <f t="shared" si="222"/>
        <v>603815.78436669963</v>
      </c>
      <c r="X310" s="42">
        <f t="shared" si="222"/>
        <v>603815.78436669952</v>
      </c>
      <c r="Y310" s="42">
        <f t="shared" si="222"/>
        <v>603815.78436669963</v>
      </c>
      <c r="Z310" s="42">
        <f t="shared" si="222"/>
        <v>603815.78436669963</v>
      </c>
      <c r="AA310" s="42">
        <f t="shared" si="222"/>
        <v>603815.78436669963</v>
      </c>
      <c r="AB310" s="42">
        <f t="shared" si="222"/>
        <v>603815.78436669975</v>
      </c>
      <c r="AC310" s="42">
        <f t="shared" si="222"/>
        <v>603815.78436669963</v>
      </c>
      <c r="AD310" s="42">
        <f t="shared" si="222"/>
        <v>603815.78436669963</v>
      </c>
      <c r="AE310" s="42">
        <f t="shared" si="222"/>
        <v>603815.78436669963</v>
      </c>
      <c r="AF310" s="42">
        <f t="shared" si="222"/>
        <v>603815.78436669963</v>
      </c>
      <c r="AG310" s="42">
        <f t="shared" si="222"/>
        <v>603815.78436669963</v>
      </c>
      <c r="AH310" s="42">
        <f t="shared" si="222"/>
        <v>603815.78436669963</v>
      </c>
      <c r="AI310" s="42">
        <f t="shared" si="222"/>
        <v>603815.78436669975</v>
      </c>
      <c r="AJ310" s="42">
        <f t="shared" si="222"/>
        <v>603815.78436669963</v>
      </c>
      <c r="AK310" s="42">
        <f t="shared" si="222"/>
        <v>603815.78436669963</v>
      </c>
      <c r="AL310" s="42">
        <f t="shared" si="222"/>
        <v>603815.78436669963</v>
      </c>
      <c r="AM310" s="42">
        <f t="shared" si="222"/>
        <v>603815.78436669963</v>
      </c>
      <c r="AN310" s="42">
        <f t="shared" si="222"/>
        <v>603815.78436669975</v>
      </c>
      <c r="AO310" s="42">
        <f t="shared" si="222"/>
        <v>603815.78436669975</v>
      </c>
      <c r="AP310" s="42">
        <f t="shared" si="222"/>
        <v>603815.78436669975</v>
      </c>
      <c r="AQ310" s="42">
        <f t="shared" si="222"/>
        <v>603815.78436669963</v>
      </c>
      <c r="AR310" s="42">
        <f t="shared" si="222"/>
        <v>603815.78436669963</v>
      </c>
      <c r="AS310" s="42">
        <f t="shared" si="222"/>
        <v>0</v>
      </c>
      <c r="AT310" s="42">
        <f t="shared" si="222"/>
        <v>0</v>
      </c>
      <c r="AU310" s="42">
        <f t="shared" si="222"/>
        <v>0</v>
      </c>
      <c r="AV310" s="42">
        <f t="shared" si="222"/>
        <v>0</v>
      </c>
      <c r="AW310" s="42">
        <f t="shared" si="222"/>
        <v>0</v>
      </c>
      <c r="AX310" s="42">
        <f t="shared" si="222"/>
        <v>0</v>
      </c>
      <c r="AY310" s="42">
        <f t="shared" si="222"/>
        <v>0</v>
      </c>
    </row>
    <row r="311" spans="1:51">
      <c r="C311" s="15"/>
    </row>
    <row r="312" spans="1:51">
      <c r="A312" s="130" t="s">
        <v>109</v>
      </c>
      <c r="B312" s="9"/>
      <c r="C312" s="9"/>
      <c r="D312" s="9"/>
      <c r="E312" s="9"/>
      <c r="F312" s="9"/>
      <c r="G312" s="9"/>
      <c r="H312" s="9"/>
      <c r="I312" s="9"/>
      <c r="J312" s="9"/>
      <c r="K312" s="9"/>
      <c r="L312" s="9"/>
      <c r="M312" s="9"/>
      <c r="N312" s="9"/>
      <c r="O312" s="9"/>
      <c r="P312" s="9"/>
      <c r="Q312" s="9"/>
      <c r="R312" s="9"/>
      <c r="S312" s="9"/>
      <c r="T312" s="9"/>
      <c r="U312" s="9"/>
      <c r="V312" s="9"/>
      <c r="W312" s="9"/>
      <c r="X312" s="9"/>
      <c r="Y312" s="9"/>
      <c r="Z312" s="9"/>
      <c r="AA312" s="9"/>
      <c r="AB312" s="9"/>
      <c r="AC312" s="9"/>
      <c r="AD312" s="9"/>
      <c r="AE312" s="9"/>
      <c r="AF312" s="9"/>
      <c r="AG312" s="9"/>
      <c r="AH312" s="9"/>
      <c r="AI312" s="9"/>
      <c r="AJ312" s="9"/>
      <c r="AK312" s="9"/>
      <c r="AL312" s="9"/>
      <c r="AM312" s="9"/>
      <c r="AN312" s="9"/>
      <c r="AO312" s="9"/>
      <c r="AP312" s="9"/>
      <c r="AQ312" s="9"/>
      <c r="AR312" s="9"/>
      <c r="AS312" s="9"/>
      <c r="AT312" s="9"/>
      <c r="AU312" s="9"/>
      <c r="AV312" s="9"/>
      <c r="AW312" s="9"/>
      <c r="AX312" s="9"/>
      <c r="AY312" s="9"/>
    </row>
    <row r="488" spans="10:10">
      <c r="J488" s="2">
        <f>SUM(J481:J487)</f>
        <v>0</v>
      </c>
    </row>
    <row r="497" spans="10:10">
      <c r="J497" s="2">
        <f>SUM(J491:J496)</f>
        <v>0</v>
      </c>
    </row>
    <row r="521" spans="10:10">
      <c r="J521" s="2">
        <f>SUM(J514:J520)</f>
        <v>0</v>
      </c>
    </row>
  </sheetData>
  <pageMargins left="0.7" right="0.7" top="0.75" bottom="0.75" header="0.3" footer="0.3"/>
  <pageSetup paperSize="9" orientation="portrait" r:id="rId1"/>
  <ignoredErrors>
    <ignoredError sqref="D13 D256 D309" formula="1"/>
    <ignoredError sqref="D21:D26 D28:D30"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DC_Macro">
                <anchor moveWithCells="1" sizeWithCells="1">
                  <from>
                    <xdr:col>3</xdr:col>
                    <xdr:colOff>83820</xdr:colOff>
                    <xdr:row>215</xdr:row>
                    <xdr:rowOff>38100</xdr:rowOff>
                  </from>
                  <to>
                    <xdr:col>3</xdr:col>
                    <xdr:colOff>1059180</xdr:colOff>
                    <xdr:row>217</xdr:row>
                    <xdr:rowOff>106680</xdr:rowOff>
                  </to>
                </anchor>
              </controlPr>
            </control>
          </mc:Choice>
        </mc:AlternateContent>
        <mc:AlternateContent xmlns:mc="http://schemas.openxmlformats.org/markup-compatibility/2006">
          <mc:Choice Requires="x14">
            <control shapeId="10252" r:id="rId5" name="Button 12">
              <controlPr defaultSize="0" print="0" autoFill="0" autoPict="0" macro="[0]!IDC_Macro">
                <anchor moveWithCells="1" sizeWithCells="1">
                  <from>
                    <xdr:col>3</xdr:col>
                    <xdr:colOff>83820</xdr:colOff>
                    <xdr:row>2</xdr:row>
                    <xdr:rowOff>45720</xdr:rowOff>
                  </from>
                  <to>
                    <xdr:col>3</xdr:col>
                    <xdr:colOff>998220</xdr:colOff>
                    <xdr:row>4</xdr:row>
                    <xdr:rowOff>106680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39997558519241921"/>
  </sheetPr>
  <dimension ref="A1:AO108"/>
  <sheetViews>
    <sheetView zoomScale="94" zoomScaleNormal="94" workbookViewId="0">
      <selection activeCell="G29" sqref="G29"/>
    </sheetView>
  </sheetViews>
  <sheetFormatPr defaultColWidth="9.14453125" defaultRowHeight="10.5"/>
  <cols>
    <col min="1" max="1" width="3.49609375" style="2" customWidth="1"/>
    <col min="2" max="2" width="20.58203125" style="2" customWidth="1"/>
    <col min="3" max="3" width="12.9140625" style="2" hidden="1" customWidth="1"/>
    <col min="4" max="4" width="10.89453125" style="2" customWidth="1"/>
    <col min="5" max="5" width="12.9140625" style="2" bestFit="1" customWidth="1"/>
    <col min="6" max="6" width="36.453125" style="2" customWidth="1"/>
    <col min="7" max="7" width="26.09765625" style="2" customWidth="1"/>
    <col min="8" max="8" width="18.5625" style="2" customWidth="1"/>
    <col min="9" max="11" width="9.14453125" style="2"/>
    <col min="12" max="12" width="13.71875" style="2" bestFit="1" customWidth="1"/>
    <col min="13" max="16384" width="9.14453125" style="2"/>
  </cols>
  <sheetData>
    <row r="1" spans="1:41" s="3260" customFormat="1" ht="14.25">
      <c r="A1" s="3259" t="s">
        <v>672</v>
      </c>
      <c r="H1" s="3261"/>
      <c r="I1" s="3262"/>
    </row>
    <row r="2" spans="1:41" s="135" customFormat="1" ht="11.25">
      <c r="A2" s="2711" t="s">
        <v>2397</v>
      </c>
      <c r="B2" s="2711"/>
      <c r="C2" s="2714"/>
      <c r="D2" s="2711"/>
      <c r="E2" s="2704"/>
      <c r="F2" s="2704"/>
      <c r="G2" s="2711"/>
      <c r="H2" s="2704" t="s">
        <v>0</v>
      </c>
      <c r="I2" s="2714">
        <f>'Timing &amp; Flags'!I2</f>
        <v>1</v>
      </c>
      <c r="J2" s="2714">
        <f>'Timing &amp; Flags'!J2</f>
        <v>2</v>
      </c>
      <c r="K2" s="2714">
        <f>'Timing &amp; Flags'!K2</f>
        <v>3</v>
      </c>
      <c r="L2" s="2714">
        <f>'Timing &amp; Flags'!L2</f>
        <v>4</v>
      </c>
      <c r="M2" s="2714">
        <f>'Timing &amp; Flags'!M2</f>
        <v>5</v>
      </c>
      <c r="N2" s="2714">
        <f>'Timing &amp; Flags'!N2</f>
        <v>6</v>
      </c>
      <c r="O2" s="2714">
        <f>'Timing &amp; Flags'!O2</f>
        <v>7</v>
      </c>
      <c r="P2" s="2714">
        <f>'Timing &amp; Flags'!P2</f>
        <v>8</v>
      </c>
      <c r="Q2" s="2714">
        <f>'Timing &amp; Flags'!Q2</f>
        <v>9</v>
      </c>
      <c r="R2" s="2714">
        <f>'Timing &amp; Flags'!R2</f>
        <v>10</v>
      </c>
      <c r="S2" s="2714">
        <f>'Timing &amp; Flags'!S2</f>
        <v>11</v>
      </c>
      <c r="T2" s="2714">
        <f>'Timing &amp; Flags'!T2</f>
        <v>12</v>
      </c>
      <c r="U2" s="2714">
        <f>'Timing &amp; Flags'!U2</f>
        <v>13</v>
      </c>
      <c r="V2" s="2714">
        <f>'Timing &amp; Flags'!V2</f>
        <v>14</v>
      </c>
      <c r="W2" s="2714">
        <f>'Timing &amp; Flags'!W2</f>
        <v>15</v>
      </c>
      <c r="X2" s="2714">
        <f>'Timing &amp; Flags'!X2</f>
        <v>16</v>
      </c>
      <c r="Y2" s="2714">
        <f>'Timing &amp; Flags'!Y2</f>
        <v>17</v>
      </c>
      <c r="Z2" s="2714">
        <f>'Timing &amp; Flags'!Z2</f>
        <v>18</v>
      </c>
      <c r="AA2" s="2714">
        <f>'Timing &amp; Flags'!AA2</f>
        <v>19</v>
      </c>
      <c r="AB2" s="2714">
        <f>'Timing &amp; Flags'!AB2</f>
        <v>20</v>
      </c>
      <c r="AC2" s="2714">
        <f>'Timing &amp; Flags'!AC2</f>
        <v>21</v>
      </c>
      <c r="AD2" s="2714">
        <f>'Timing &amp; Flags'!AD2</f>
        <v>22</v>
      </c>
      <c r="AE2" s="2714">
        <f>'Timing &amp; Flags'!AE2</f>
        <v>23</v>
      </c>
      <c r="AF2" s="2714">
        <f>'Timing &amp; Flags'!AF2</f>
        <v>24</v>
      </c>
      <c r="AG2" s="2714">
        <f>'Timing &amp; Flags'!AG2</f>
        <v>25</v>
      </c>
      <c r="AH2" s="2714">
        <f>'Timing &amp; Flags'!AH2</f>
        <v>26</v>
      </c>
      <c r="AI2" s="2714">
        <f>'Timing &amp; Flags'!AI2</f>
        <v>27</v>
      </c>
    </row>
    <row r="3" spans="1:41" s="135" customFormat="1" ht="11.25">
      <c r="A3" s="2711" t="s">
        <v>673</v>
      </c>
      <c r="B3" s="2704"/>
      <c r="C3" s="2714"/>
      <c r="D3" s="2711"/>
      <c r="E3" s="2704"/>
      <c r="F3" s="2704"/>
      <c r="G3" s="2711"/>
      <c r="H3" s="2704" t="s">
        <v>1</v>
      </c>
      <c r="I3" s="2719">
        <f>'Timing &amp; Flags'!I3</f>
        <v>46023</v>
      </c>
      <c r="J3" s="2719">
        <f>'Timing &amp; Flags'!J3</f>
        <v>46388</v>
      </c>
      <c r="K3" s="2719">
        <f>'Timing &amp; Flags'!K3</f>
        <v>46753</v>
      </c>
      <c r="L3" s="2719">
        <f>'Timing &amp; Flags'!L3</f>
        <v>47119</v>
      </c>
      <c r="M3" s="2719">
        <f>'Timing &amp; Flags'!M3</f>
        <v>47484</v>
      </c>
      <c r="N3" s="2719">
        <f>'Timing &amp; Flags'!N3</f>
        <v>47849</v>
      </c>
      <c r="O3" s="2719">
        <f>'Timing &amp; Flags'!O3</f>
        <v>48214</v>
      </c>
      <c r="P3" s="2719">
        <f>'Timing &amp; Flags'!P3</f>
        <v>48580</v>
      </c>
      <c r="Q3" s="2719">
        <f>'Timing &amp; Flags'!Q3</f>
        <v>48945</v>
      </c>
      <c r="R3" s="2719">
        <f>'Timing &amp; Flags'!R3</f>
        <v>49310</v>
      </c>
      <c r="S3" s="2719">
        <f>'Timing &amp; Flags'!S3</f>
        <v>49675</v>
      </c>
      <c r="T3" s="2719">
        <f>'Timing &amp; Flags'!T3</f>
        <v>50041</v>
      </c>
      <c r="U3" s="2719">
        <f>'Timing &amp; Flags'!U3</f>
        <v>50406</v>
      </c>
      <c r="V3" s="2719">
        <f>'Timing &amp; Flags'!V3</f>
        <v>50771</v>
      </c>
      <c r="W3" s="2719">
        <f>'Timing &amp; Flags'!W3</f>
        <v>51136</v>
      </c>
      <c r="X3" s="2719">
        <f>'Timing &amp; Flags'!X3</f>
        <v>51502</v>
      </c>
      <c r="Y3" s="2719">
        <f>'Timing &amp; Flags'!Y3</f>
        <v>51867</v>
      </c>
      <c r="Z3" s="2719">
        <f>'Timing &amp; Flags'!Z3</f>
        <v>52232</v>
      </c>
      <c r="AA3" s="2719">
        <f>'Timing &amp; Flags'!AA3</f>
        <v>52597</v>
      </c>
      <c r="AB3" s="2719">
        <f>'Timing &amp; Flags'!AB3</f>
        <v>52963</v>
      </c>
      <c r="AC3" s="2719">
        <f>'Timing &amp; Flags'!AC3</f>
        <v>53328</v>
      </c>
      <c r="AD3" s="2719">
        <f>'Timing &amp; Flags'!AD3</f>
        <v>53693</v>
      </c>
      <c r="AE3" s="2719">
        <f>'Timing &amp; Flags'!AE3</f>
        <v>54058</v>
      </c>
      <c r="AF3" s="2719">
        <f>'Timing &amp; Flags'!AF3</f>
        <v>54424</v>
      </c>
      <c r="AG3" s="2719">
        <f>'Timing &amp; Flags'!AG3</f>
        <v>54789</v>
      </c>
      <c r="AH3" s="2719">
        <f>'Timing &amp; Flags'!AH3</f>
        <v>55154</v>
      </c>
      <c r="AI3" s="2719">
        <f>'Timing &amp; Flags'!AI3</f>
        <v>55519</v>
      </c>
    </row>
    <row r="4" spans="1:41" s="135" customFormat="1" ht="11.25">
      <c r="A4" s="2704" t="s">
        <v>849</v>
      </c>
      <c r="B4" s="2704"/>
      <c r="C4" s="2720"/>
      <c r="D4" s="2711"/>
      <c r="E4" s="2704"/>
      <c r="F4" s="2704"/>
      <c r="G4" s="2711"/>
      <c r="H4" s="2704" t="s">
        <v>2</v>
      </c>
      <c r="I4" s="2722">
        <f>'Timing &amp; Flags'!I4</f>
        <v>46387</v>
      </c>
      <c r="J4" s="2722">
        <f>'Timing &amp; Flags'!J4</f>
        <v>46752</v>
      </c>
      <c r="K4" s="2722">
        <f>'Timing &amp; Flags'!K4</f>
        <v>47118</v>
      </c>
      <c r="L4" s="2722">
        <f>'Timing &amp; Flags'!L4</f>
        <v>47483</v>
      </c>
      <c r="M4" s="2722">
        <f>'Timing &amp; Flags'!M4</f>
        <v>47848</v>
      </c>
      <c r="N4" s="2722">
        <f>'Timing &amp; Flags'!N4</f>
        <v>48213</v>
      </c>
      <c r="O4" s="2722">
        <f>'Timing &amp; Flags'!O4</f>
        <v>48579</v>
      </c>
      <c r="P4" s="2722">
        <f>'Timing &amp; Flags'!P4</f>
        <v>48944</v>
      </c>
      <c r="Q4" s="2722">
        <f>'Timing &amp; Flags'!Q4</f>
        <v>49309</v>
      </c>
      <c r="R4" s="2722">
        <f>'Timing &amp; Flags'!R4</f>
        <v>49674</v>
      </c>
      <c r="S4" s="2722">
        <f>'Timing &amp; Flags'!S4</f>
        <v>50040</v>
      </c>
      <c r="T4" s="2722">
        <f>'Timing &amp; Flags'!T4</f>
        <v>50405</v>
      </c>
      <c r="U4" s="2722">
        <f>'Timing &amp; Flags'!U4</f>
        <v>50770</v>
      </c>
      <c r="V4" s="2722">
        <f>'Timing &amp; Flags'!V4</f>
        <v>51135</v>
      </c>
      <c r="W4" s="2722">
        <f>'Timing &amp; Flags'!W4</f>
        <v>51501</v>
      </c>
      <c r="X4" s="2722">
        <f>'Timing &amp; Flags'!X4</f>
        <v>51866</v>
      </c>
      <c r="Y4" s="2722">
        <f>'Timing &amp; Flags'!Y4</f>
        <v>52231</v>
      </c>
      <c r="Z4" s="2722">
        <f>'Timing &amp; Flags'!Z4</f>
        <v>52596</v>
      </c>
      <c r="AA4" s="2722">
        <f>'Timing &amp; Flags'!AA4</f>
        <v>52962</v>
      </c>
      <c r="AB4" s="2722">
        <f>'Timing &amp; Flags'!AB4</f>
        <v>53327</v>
      </c>
      <c r="AC4" s="2722">
        <f>'Timing &amp; Flags'!AC4</f>
        <v>53692</v>
      </c>
      <c r="AD4" s="2722">
        <f>'Timing &amp; Flags'!AD4</f>
        <v>54057</v>
      </c>
      <c r="AE4" s="2722">
        <f>'Timing &amp; Flags'!AE4</f>
        <v>54423</v>
      </c>
      <c r="AF4" s="2722">
        <f>'Timing &amp; Flags'!AF4</f>
        <v>54788</v>
      </c>
      <c r="AG4" s="2722">
        <f>'Timing &amp; Flags'!AG4</f>
        <v>55153</v>
      </c>
      <c r="AH4" s="2722">
        <f>'Timing &amp; Flags'!AH4</f>
        <v>55518</v>
      </c>
      <c r="AI4" s="2722">
        <f>'Timing &amp; Flags'!AI4</f>
        <v>55884</v>
      </c>
    </row>
    <row r="5" spans="1:41" s="135" customFormat="1" ht="11.25">
      <c r="A5" s="2704" t="s">
        <v>640</v>
      </c>
      <c r="B5" s="2704"/>
      <c r="C5" s="2723"/>
      <c r="D5" s="2711"/>
      <c r="E5" s="2704"/>
      <c r="F5" s="2704"/>
      <c r="G5" s="2711"/>
      <c r="H5" s="2704" t="s">
        <v>3</v>
      </c>
      <c r="I5" s="2723">
        <f ca="1">'Timing &amp; Flags'!I5</f>
        <v>365</v>
      </c>
      <c r="J5" s="2723">
        <f ca="1">'Timing &amp; Flags'!J5</f>
        <v>366</v>
      </c>
      <c r="K5" s="2723">
        <f ca="1">'Timing &amp; Flags'!K5</f>
        <v>365</v>
      </c>
      <c r="L5" s="2723">
        <f ca="1">'Timing &amp; Flags'!L5</f>
        <v>365</v>
      </c>
      <c r="M5" s="2723">
        <f ca="1">'Timing &amp; Flags'!M5</f>
        <v>365</v>
      </c>
      <c r="N5" s="2723">
        <f ca="1">'Timing &amp; Flags'!N5</f>
        <v>366</v>
      </c>
      <c r="O5" s="2723">
        <f ca="1">'Timing &amp; Flags'!O5</f>
        <v>365</v>
      </c>
      <c r="P5" s="2723">
        <f ca="1">'Timing &amp; Flags'!P5</f>
        <v>365</v>
      </c>
      <c r="Q5" s="2723">
        <f ca="1">'Timing &amp; Flags'!Q5</f>
        <v>365</v>
      </c>
      <c r="R5" s="2723">
        <f ca="1">'Timing &amp; Flags'!R5</f>
        <v>366</v>
      </c>
      <c r="S5" s="2723">
        <f ca="1">'Timing &amp; Flags'!S5</f>
        <v>365</v>
      </c>
      <c r="T5" s="2723">
        <f ca="1">'Timing &amp; Flags'!T5</f>
        <v>365</v>
      </c>
      <c r="U5" s="2723">
        <f ca="1">'Timing &amp; Flags'!U5</f>
        <v>365</v>
      </c>
      <c r="V5" s="2723">
        <f ca="1">'Timing &amp; Flags'!V5</f>
        <v>366</v>
      </c>
      <c r="W5" s="2723">
        <f ca="1">'Timing &amp; Flags'!W5</f>
        <v>365</v>
      </c>
      <c r="X5" s="2723">
        <f ca="1">'Timing &amp; Flags'!X5</f>
        <v>365</v>
      </c>
      <c r="Y5" s="2723">
        <f ca="1">'Timing &amp; Flags'!Y5</f>
        <v>365</v>
      </c>
      <c r="Z5" s="2723">
        <f ca="1">'Timing &amp; Flags'!Z5</f>
        <v>366</v>
      </c>
      <c r="AA5" s="2723">
        <f ca="1">'Timing &amp; Flags'!AA5</f>
        <v>365</v>
      </c>
      <c r="AB5" s="2723">
        <f ca="1">'Timing &amp; Flags'!AB5</f>
        <v>365</v>
      </c>
      <c r="AC5" s="2723">
        <f ca="1">'Timing &amp; Flags'!AC5</f>
        <v>365</v>
      </c>
      <c r="AD5" s="2723">
        <f ca="1">'Timing &amp; Flags'!AD5</f>
        <v>366</v>
      </c>
      <c r="AE5" s="2723">
        <f ca="1">'Timing &amp; Flags'!AE5</f>
        <v>365</v>
      </c>
      <c r="AF5" s="2723">
        <f ca="1">'Timing &amp; Flags'!AF5</f>
        <v>365</v>
      </c>
      <c r="AG5" s="2723">
        <f ca="1">'Timing &amp; Flags'!AG5</f>
        <v>365</v>
      </c>
      <c r="AH5" s="2723">
        <f ca="1">'Timing &amp; Flags'!AH5</f>
        <v>366</v>
      </c>
      <c r="AI5" s="2723">
        <f ca="1">'Timing &amp; Flags'!AI5</f>
        <v>365</v>
      </c>
    </row>
    <row r="7" spans="1:41" ht="11.25" thickBot="1">
      <c r="A7" s="1"/>
      <c r="B7" s="1" t="s">
        <v>641</v>
      </c>
      <c r="C7" s="1499" t="s">
        <v>1544</v>
      </c>
      <c r="D7" s="1" t="s">
        <v>1594</v>
      </c>
      <c r="E7" s="1499"/>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row>
    <row r="8" spans="1:41" ht="15" thickBot="1">
      <c r="F8" s="3295" t="s">
        <v>1636</v>
      </c>
      <c r="G8" s="3296"/>
      <c r="H8" s="3297"/>
      <c r="I8" s="3297"/>
      <c r="J8" s="3297"/>
      <c r="K8" s="3297"/>
      <c r="L8" s="3297"/>
      <c r="M8" s="3297"/>
      <c r="N8" s="3297"/>
      <c r="O8" s="3297"/>
      <c r="P8" s="3298"/>
      <c r="U8" s="2" t="s">
        <v>637</v>
      </c>
      <c r="AK8" s="2" t="s">
        <v>2239</v>
      </c>
    </row>
    <row r="9" spans="1:41" ht="12" customHeight="1" thickBot="1">
      <c r="B9" s="2" t="s">
        <v>117</v>
      </c>
      <c r="C9" s="241">
        <f>Sens_projectcost</f>
        <v>1</v>
      </c>
      <c r="D9" s="1504">
        <v>0</v>
      </c>
      <c r="E9" s="5"/>
      <c r="F9" s="3299" t="s">
        <v>1641</v>
      </c>
      <c r="G9" s="3300"/>
      <c r="H9" s="1527"/>
      <c r="I9" s="1527"/>
      <c r="J9" s="1527"/>
      <c r="K9" s="1527"/>
      <c r="L9" s="1527"/>
      <c r="M9" s="1527"/>
      <c r="N9" s="1527"/>
      <c r="O9" s="1527"/>
      <c r="P9" s="1528"/>
      <c r="Q9" s="5"/>
      <c r="R9" s="5"/>
      <c r="S9" s="5"/>
      <c r="T9" s="5"/>
      <c r="U9" s="1696" t="s">
        <v>936</v>
      </c>
      <c r="V9" s="1697"/>
      <c r="W9" s="1719"/>
      <c r="X9" s="1697"/>
      <c r="Y9" s="1698"/>
      <c r="Z9" s="5"/>
      <c r="AA9" s="5"/>
      <c r="AB9" s="5"/>
      <c r="AC9" s="1696" t="s">
        <v>936</v>
      </c>
      <c r="AD9" s="1697"/>
      <c r="AE9" s="1697"/>
      <c r="AF9" s="1697"/>
      <c r="AG9" s="1698"/>
      <c r="AH9" s="5"/>
      <c r="AI9" s="5"/>
      <c r="AJ9" s="5"/>
      <c r="AK9" s="1696" t="s">
        <v>936</v>
      </c>
      <c r="AL9" s="1697"/>
      <c r="AM9" s="1697"/>
      <c r="AN9" s="1697"/>
      <c r="AO9" s="1698"/>
    </row>
    <row r="10" spans="1:41" ht="16.899999999999999" customHeight="1" thickBot="1">
      <c r="C10" s="241"/>
      <c r="D10" s="1508"/>
      <c r="E10" s="5"/>
      <c r="F10" s="2036" t="s">
        <v>1637</v>
      </c>
      <c r="G10" s="2380">
        <f ca="1">Summary!O10</f>
        <v>0.27222468570640945</v>
      </c>
      <c r="H10" s="1208"/>
      <c r="I10" s="1208"/>
      <c r="J10" s="1208"/>
      <c r="K10" s="1208"/>
      <c r="L10" s="1208"/>
      <c r="M10" s="1208"/>
      <c r="N10" s="1208"/>
      <c r="O10" s="1208"/>
      <c r="P10" s="285"/>
      <c r="Q10" s="5"/>
      <c r="R10" s="5"/>
      <c r="S10" s="5"/>
      <c r="T10" s="1699">
        <f ca="1">G16</f>
        <v>0.35058754987217089</v>
      </c>
      <c r="U10" s="1700">
        <f>-40%</f>
        <v>-0.4</v>
      </c>
      <c r="V10" s="1701">
        <v>-0.2</v>
      </c>
      <c r="W10" s="1701">
        <v>0</v>
      </c>
      <c r="X10" s="1701">
        <v>0.2</v>
      </c>
      <c r="Y10" s="1702">
        <v>0.4</v>
      </c>
      <c r="Z10" s="5"/>
      <c r="AA10" s="5"/>
      <c r="AB10" s="1699">
        <f ca="1">Summary!O14</f>
        <v>0.39596746177121789</v>
      </c>
      <c r="AC10" s="1700">
        <f>-40%</f>
        <v>-0.4</v>
      </c>
      <c r="AD10" s="1701">
        <v>-0.2</v>
      </c>
      <c r="AE10" s="1701">
        <v>0</v>
      </c>
      <c r="AF10" s="1701">
        <v>0.2</v>
      </c>
      <c r="AG10" s="1702">
        <v>0.4</v>
      </c>
      <c r="AH10" s="5"/>
      <c r="AI10" s="5"/>
      <c r="AJ10" s="1699">
        <f>G51</f>
        <v>9.800642619047617E-2</v>
      </c>
      <c r="AK10" s="1700">
        <f>-40%</f>
        <v>-0.4</v>
      </c>
      <c r="AL10" s="1701">
        <v>-0.2</v>
      </c>
      <c r="AM10" s="1701">
        <v>0</v>
      </c>
      <c r="AN10" s="1701">
        <v>0.2</v>
      </c>
      <c r="AO10" s="1702">
        <v>0.4</v>
      </c>
    </row>
    <row r="11" spans="1:41" ht="13.9" customHeight="1" thickBot="1">
      <c r="B11" s="2" t="s">
        <v>1281</v>
      </c>
      <c r="C11" s="241">
        <f>Sens_productprice</f>
        <v>1</v>
      </c>
      <c r="D11" s="1504">
        <v>0</v>
      </c>
      <c r="E11" s="5"/>
      <c r="F11" s="2038" t="s">
        <v>1638</v>
      </c>
      <c r="G11" s="2381">
        <f ca="1">Summary!O11</f>
        <v>0.23775777553507305</v>
      </c>
      <c r="H11" s="1208"/>
      <c r="I11" s="1208"/>
      <c r="J11" s="1208"/>
      <c r="K11" s="1208"/>
      <c r="L11" s="1208"/>
      <c r="M11" s="1208"/>
      <c r="N11" s="1208"/>
      <c r="O11" s="1208"/>
      <c r="P11" s="285"/>
      <c r="Q11" s="5"/>
      <c r="R11" s="5"/>
      <c r="S11" s="3288" t="s">
        <v>1342</v>
      </c>
      <c r="T11" s="1703">
        <v>0.2</v>
      </c>
      <c r="U11" s="1704">
        <v>0.13933768534134816</v>
      </c>
      <c r="V11" s="1704">
        <v>0.16521074847481421</v>
      </c>
      <c r="W11" s="1704">
        <v>0.18893725524626359</v>
      </c>
      <c r="X11" s="1704">
        <v>0.21104677462705124</v>
      </c>
      <c r="Y11" s="1704">
        <v>0.23185478178664032</v>
      </c>
      <c r="Z11" s="5"/>
      <c r="AA11" s="3285" t="s">
        <v>1342</v>
      </c>
      <c r="AB11" s="1703">
        <v>0.2</v>
      </c>
      <c r="AC11" s="1704">
        <v>0.13933768534134816</v>
      </c>
      <c r="AD11" s="1704">
        <v>0.16521074847481421</v>
      </c>
      <c r="AE11" s="1704">
        <v>0.18893725524626359</v>
      </c>
      <c r="AF11" s="1704">
        <v>0.21104677462705124</v>
      </c>
      <c r="AG11" s="1704">
        <v>0.23185478178664032</v>
      </c>
      <c r="AH11" s="5"/>
      <c r="AI11" s="3285" t="s">
        <v>1342</v>
      </c>
      <c r="AJ11" s="1703">
        <v>0.2</v>
      </c>
      <c r="AK11" s="1704">
        <v>0.13933768534134816</v>
      </c>
      <c r="AL11" s="1704">
        <v>0.16521074847481421</v>
      </c>
      <c r="AM11" s="1704">
        <v>0.18893725524626359</v>
      </c>
      <c r="AN11" s="1704">
        <v>0.21104677462705124</v>
      </c>
      <c r="AO11" s="1704">
        <v>0.23185478178664032</v>
      </c>
    </row>
    <row r="12" spans="1:41" ht="14.25" thickBot="1">
      <c r="C12" s="241"/>
      <c r="D12" s="1508"/>
      <c r="E12" s="5"/>
      <c r="F12" s="2038" t="s">
        <v>1639</v>
      </c>
      <c r="G12" s="2040">
        <f ca="1">Summary!N10</f>
        <v>12395601380.905083</v>
      </c>
      <c r="H12" s="1208"/>
      <c r="I12" s="1208"/>
      <c r="J12" s="1208"/>
      <c r="K12" s="1208"/>
      <c r="L12" s="1916"/>
      <c r="M12" s="1208"/>
      <c r="N12" s="1208"/>
      <c r="O12" s="1208"/>
      <c r="P12" s="285"/>
      <c r="Q12" s="5"/>
      <c r="R12" s="5"/>
      <c r="S12" s="3289"/>
      <c r="T12" s="1705">
        <v>0.25</v>
      </c>
      <c r="U12" s="1704">
        <v>0.14450472149510385</v>
      </c>
      <c r="V12" s="1704">
        <v>0.17091983535850797</v>
      </c>
      <c r="W12" s="1704">
        <v>0.19516866619785445</v>
      </c>
      <c r="X12" s="1704">
        <v>0.21777190848157768</v>
      </c>
      <c r="Y12" s="1704">
        <v>0.23904346755860151</v>
      </c>
      <c r="Z12" s="5"/>
      <c r="AA12" s="3286"/>
      <c r="AB12" s="1705">
        <v>0.25</v>
      </c>
      <c r="AC12" s="1704">
        <v>0.14450472149510385</v>
      </c>
      <c r="AD12" s="1704">
        <v>0.17091983535850797</v>
      </c>
      <c r="AE12" s="1704">
        <v>0.19516866619785445</v>
      </c>
      <c r="AF12" s="1704">
        <v>0.21777190848157768</v>
      </c>
      <c r="AG12" s="1704">
        <v>0.23904346755860151</v>
      </c>
      <c r="AH12" s="5"/>
      <c r="AI12" s="3286"/>
      <c r="AJ12" s="1705">
        <v>0.25</v>
      </c>
      <c r="AK12" s="1704">
        <v>0.14450472149510385</v>
      </c>
      <c r="AL12" s="1704">
        <v>0.17091983535850797</v>
      </c>
      <c r="AM12" s="1704">
        <v>0.19516866619785445</v>
      </c>
      <c r="AN12" s="1704">
        <v>0.21777190848157768</v>
      </c>
      <c r="AO12" s="1704">
        <v>0.23904346755860151</v>
      </c>
    </row>
    <row r="13" spans="1:41" ht="14.25" thickBot="1">
      <c r="B13" s="2" t="s">
        <v>347</v>
      </c>
      <c r="C13" s="241">
        <f>Sens_Opcost</f>
        <v>1</v>
      </c>
      <c r="D13" s="1504">
        <v>0</v>
      </c>
      <c r="E13" s="5"/>
      <c r="F13" s="2041" t="s">
        <v>1640</v>
      </c>
      <c r="G13" s="2042">
        <f ca="1">Summary!N11</f>
        <v>8189883598.9666405</v>
      </c>
      <c r="H13" s="1208"/>
      <c r="I13" s="1208"/>
      <c r="J13" s="1208"/>
      <c r="K13" s="1208"/>
      <c r="L13" s="1208"/>
      <c r="M13" s="1208"/>
      <c r="N13" s="1208"/>
      <c r="O13" s="1208"/>
      <c r="P13" s="285"/>
      <c r="Q13" s="5"/>
      <c r="R13" s="5"/>
      <c r="S13" s="3289"/>
      <c r="T13" s="1705">
        <v>0.1</v>
      </c>
      <c r="U13" s="1704">
        <v>0.12865436524799878</v>
      </c>
      <c r="V13" s="1704">
        <v>0.1534395251005749</v>
      </c>
      <c r="W13" s="1704">
        <v>0.1761034140855855</v>
      </c>
      <c r="X13" s="1704">
        <v>0.19719971667617631</v>
      </c>
      <c r="Y13" s="1704">
        <v>0.21705078106973286</v>
      </c>
      <c r="Z13" s="5"/>
      <c r="AA13" s="3286"/>
      <c r="AB13" s="1705">
        <v>0.1</v>
      </c>
      <c r="AC13" s="1704">
        <v>0.12865436524799878</v>
      </c>
      <c r="AD13" s="1704">
        <v>0.1534395251005749</v>
      </c>
      <c r="AE13" s="1704">
        <v>0.1761034140855855</v>
      </c>
      <c r="AF13" s="1704">
        <v>0.19719971667617631</v>
      </c>
      <c r="AG13" s="1704">
        <v>0.21705078106973286</v>
      </c>
      <c r="AH13" s="5"/>
      <c r="AI13" s="3286"/>
      <c r="AJ13" s="1705">
        <v>0.1</v>
      </c>
      <c r="AK13" s="1704">
        <v>0.12865436524799878</v>
      </c>
      <c r="AL13" s="1704">
        <v>0.1534395251005749</v>
      </c>
      <c r="AM13" s="1704">
        <v>0.1761034140855855</v>
      </c>
      <c r="AN13" s="1704">
        <v>0.19719971667617631</v>
      </c>
      <c r="AO13" s="1704">
        <v>0.21705078106973286</v>
      </c>
    </row>
    <row r="14" spans="1:41" ht="14.25" thickBot="1">
      <c r="C14" s="241"/>
      <c r="D14" s="1508"/>
      <c r="E14" s="5"/>
      <c r="F14" s="3301" t="s">
        <v>1642</v>
      </c>
      <c r="G14" s="3302"/>
      <c r="H14" s="1208"/>
      <c r="I14" s="1208"/>
      <c r="J14" s="1208"/>
      <c r="K14" s="1208"/>
      <c r="L14" s="1208"/>
      <c r="M14" s="1208"/>
      <c r="N14" s="1208"/>
      <c r="O14" s="1208"/>
      <c r="P14" s="285"/>
      <c r="Q14" s="5"/>
      <c r="R14" s="5"/>
      <c r="S14" s="3289"/>
      <c r="T14" s="1705">
        <v>0</v>
      </c>
      <c r="U14" s="1704">
        <v>0.11742505833986683</v>
      </c>
      <c r="V14" s="1704">
        <v>0.14112791969072291</v>
      </c>
      <c r="W14" s="1704">
        <v>0.16271082989719066</v>
      </c>
      <c r="X14" s="1704">
        <v>0.18276179627621514</v>
      </c>
      <c r="Y14" s="1704">
        <v>0.2016160097517361</v>
      </c>
      <c r="Z14" s="5"/>
      <c r="AA14" s="3286"/>
      <c r="AB14" s="1705">
        <v>0</v>
      </c>
      <c r="AC14" s="1704">
        <v>0.11742505833986683</v>
      </c>
      <c r="AD14" s="1704">
        <v>0.14112791969072291</v>
      </c>
      <c r="AE14" s="1704">
        <v>0.16271082989719066</v>
      </c>
      <c r="AF14" s="1704">
        <v>0.18276179627621514</v>
      </c>
      <c r="AG14" s="1704">
        <v>0.2016160097517361</v>
      </c>
      <c r="AH14" s="5"/>
      <c r="AI14" s="3286"/>
      <c r="AJ14" s="1705">
        <v>0</v>
      </c>
      <c r="AK14" s="1704">
        <v>0.11742505833986683</v>
      </c>
      <c r="AL14" s="1704">
        <v>0.14112791969072291</v>
      </c>
      <c r="AM14" s="1704">
        <v>0.16271082989719066</v>
      </c>
      <c r="AN14" s="1704">
        <v>0.18276179627621514</v>
      </c>
      <c r="AO14" s="1704">
        <v>0.2016160097517361</v>
      </c>
    </row>
    <row r="15" spans="1:41" ht="14.25" thickBot="1">
      <c r="B15" s="2" t="s">
        <v>1478</v>
      </c>
      <c r="C15" s="241">
        <v>1</v>
      </c>
      <c r="D15" s="1504">
        <v>0</v>
      </c>
      <c r="E15" s="5"/>
      <c r="F15" s="2036" t="s">
        <v>1643</v>
      </c>
      <c r="G15" s="2037">
        <f ca="1">Summary!O14</f>
        <v>0.39596746177121789</v>
      </c>
      <c r="H15" s="1208"/>
      <c r="I15" s="1208"/>
      <c r="J15" s="1208"/>
      <c r="K15" s="1208"/>
      <c r="L15" s="1208"/>
      <c r="M15" s="1208"/>
      <c r="N15" s="1208"/>
      <c r="O15" s="1208"/>
      <c r="P15" s="285"/>
      <c r="Q15" s="5"/>
      <c r="R15" s="5"/>
      <c r="S15" s="3289"/>
      <c r="T15" s="1705">
        <f>-20%</f>
        <v>-0.2</v>
      </c>
      <c r="U15" s="1704">
        <v>9.2734584500101747E-2</v>
      </c>
      <c r="V15" s="1704">
        <v>0.11437927280411286</v>
      </c>
      <c r="W15" s="1704">
        <v>0.13379660153268391</v>
      </c>
      <c r="X15" s="1704">
        <v>0.15168841781789522</v>
      </c>
      <c r="Y15" s="1704">
        <v>0.16844042792570013</v>
      </c>
      <c r="Z15" s="5"/>
      <c r="AA15" s="3286"/>
      <c r="AB15" s="1705">
        <f>-20%</f>
        <v>-0.2</v>
      </c>
      <c r="AC15" s="1704">
        <v>9.2734584500101747E-2</v>
      </c>
      <c r="AD15" s="1704">
        <v>0.11437927280411286</v>
      </c>
      <c r="AE15" s="1704">
        <v>0.13379660153268391</v>
      </c>
      <c r="AF15" s="1704">
        <v>0.15168841781789522</v>
      </c>
      <c r="AG15" s="1704">
        <v>0.16844042792570013</v>
      </c>
      <c r="AH15" s="5"/>
      <c r="AI15" s="3286"/>
      <c r="AJ15" s="1705">
        <f>-20%</f>
        <v>-0.2</v>
      </c>
      <c r="AK15" s="1704">
        <v>9.2734584500101747E-2</v>
      </c>
      <c r="AL15" s="1704">
        <v>0.11437927280411286</v>
      </c>
      <c r="AM15" s="1704">
        <v>0.13379660153268391</v>
      </c>
      <c r="AN15" s="1704">
        <v>0.15168841781789522</v>
      </c>
      <c r="AO15" s="1704">
        <v>0.16844042792570013</v>
      </c>
    </row>
    <row r="16" spans="1:41" ht="14.25" thickBot="1">
      <c r="C16" s="241"/>
      <c r="D16" s="1508"/>
      <c r="E16" s="5"/>
      <c r="F16" s="2038" t="s">
        <v>1644</v>
      </c>
      <c r="G16" s="2039">
        <f ca="1">Summary!O15</f>
        <v>0.35058754987217089</v>
      </c>
      <c r="H16" s="1208"/>
      <c r="I16" s="1208"/>
      <c r="J16" s="1208"/>
      <c r="K16" s="1208"/>
      <c r="L16" s="1208"/>
      <c r="M16" s="1208"/>
      <c r="N16" s="1208"/>
      <c r="O16" s="1208"/>
      <c r="P16" s="285"/>
      <c r="Q16" s="5"/>
      <c r="R16" s="5"/>
      <c r="S16" s="3290"/>
      <c r="T16" s="1706">
        <f>-40%</f>
        <v>-0.4</v>
      </c>
      <c r="U16" s="1704">
        <v>6.307646438810699E-2</v>
      </c>
      <c r="V16" s="1704">
        <v>8.3164050255753796E-2</v>
      </c>
      <c r="W16" s="1704">
        <v>0.10062020153662576</v>
      </c>
      <c r="X16" s="1704">
        <v>0.11639237597566021</v>
      </c>
      <c r="Y16" s="1704">
        <v>0.13097750137873865</v>
      </c>
      <c r="Z16" s="5"/>
      <c r="AA16" s="3287"/>
      <c r="AB16" s="1706">
        <f>-40%</f>
        <v>-0.4</v>
      </c>
      <c r="AC16" s="1704">
        <v>6.307646438810699E-2</v>
      </c>
      <c r="AD16" s="1704">
        <v>8.3164050255753796E-2</v>
      </c>
      <c r="AE16" s="1704">
        <v>0.10062020153662576</v>
      </c>
      <c r="AF16" s="1704">
        <v>0.11639237597566021</v>
      </c>
      <c r="AG16" s="1704">
        <v>0.13097750137873865</v>
      </c>
      <c r="AH16" s="5"/>
      <c r="AI16" s="3287"/>
      <c r="AJ16" s="1706">
        <f>-40%</f>
        <v>-0.4</v>
      </c>
      <c r="AK16" s="1704">
        <v>6.307646438810699E-2</v>
      </c>
      <c r="AL16" s="1704">
        <v>8.3164050255753796E-2</v>
      </c>
      <c r="AM16" s="1704">
        <v>0.10062020153662576</v>
      </c>
      <c r="AN16" s="1704">
        <v>0.11639237597566021</v>
      </c>
      <c r="AO16" s="1704">
        <v>0.13097750137873865</v>
      </c>
    </row>
    <row r="17" spans="2:41" ht="14.25" thickBot="1">
      <c r="B17" s="2" t="s">
        <v>936</v>
      </c>
      <c r="C17" s="241">
        <f>Sens_Opcost</f>
        <v>1</v>
      </c>
      <c r="D17" s="1504">
        <v>0</v>
      </c>
      <c r="E17" s="5"/>
      <c r="F17" s="2038" t="s">
        <v>1646</v>
      </c>
      <c r="G17" s="2040">
        <f ca="1">Summary!N14</f>
        <v>4219669912.7216091</v>
      </c>
      <c r="H17" s="1208"/>
      <c r="I17" s="1208" t="s">
        <v>747</v>
      </c>
      <c r="L17" s="1208"/>
      <c r="M17" s="1208"/>
      <c r="N17" s="1208"/>
      <c r="O17" s="1208"/>
      <c r="P17" s="285"/>
      <c r="Q17" s="5"/>
      <c r="R17" s="5"/>
      <c r="S17" s="5"/>
      <c r="T17" s="5"/>
      <c r="U17" s="5"/>
      <c r="V17" s="5"/>
      <c r="W17" s="5"/>
      <c r="X17" s="5"/>
      <c r="Y17" s="5"/>
      <c r="Z17" s="5"/>
      <c r="AA17" s="5"/>
      <c r="AB17" s="5"/>
      <c r="AC17" s="5"/>
      <c r="AD17" s="5"/>
      <c r="AE17" s="5"/>
      <c r="AF17" s="5"/>
      <c r="AG17" s="5"/>
      <c r="AH17" s="5"/>
      <c r="AI17" s="5"/>
    </row>
    <row r="18" spans="2:41" ht="14.25" thickBot="1">
      <c r="C18" s="241"/>
      <c r="D18" s="1508"/>
      <c r="E18" s="5"/>
      <c r="F18" s="2041" t="s">
        <v>1645</v>
      </c>
      <c r="G18" s="2042">
        <f ca="1">Summary!N15</f>
        <v>2928852920.5914397</v>
      </c>
      <c r="H18" s="1208"/>
      <c r="I18" s="1208"/>
      <c r="J18" s="1208"/>
      <c r="K18" s="1208"/>
      <c r="L18" s="1208"/>
      <c r="M18" s="1208"/>
      <c r="N18" s="1208"/>
      <c r="O18" s="1208"/>
      <c r="P18" s="285"/>
      <c r="Q18" s="5"/>
      <c r="R18" s="5"/>
      <c r="S18" s="5"/>
      <c r="T18" s="5"/>
      <c r="U18" s="1696" t="s">
        <v>936</v>
      </c>
      <c r="V18" s="1697"/>
      <c r="W18" s="1697"/>
      <c r="X18" s="1697"/>
      <c r="Y18" s="1698"/>
      <c r="Z18" s="5"/>
      <c r="AA18" s="5"/>
      <c r="AB18" s="5"/>
      <c r="AC18" s="1696" t="s">
        <v>936</v>
      </c>
      <c r="AD18" s="1697"/>
      <c r="AE18" s="1697"/>
      <c r="AF18" s="1697"/>
      <c r="AG18" s="1698"/>
      <c r="AH18" s="5"/>
      <c r="AI18" s="5"/>
      <c r="AJ18" s="5"/>
      <c r="AK18" s="1696" t="s">
        <v>936</v>
      </c>
      <c r="AL18" s="1697"/>
      <c r="AM18" s="1697"/>
      <c r="AN18" s="1697"/>
      <c r="AO18" s="1698"/>
    </row>
    <row r="19" spans="2:41" ht="14.25" thickBot="1">
      <c r="B19" s="2" t="s">
        <v>1342</v>
      </c>
      <c r="C19" s="241">
        <f>Sens_Opcost</f>
        <v>1</v>
      </c>
      <c r="D19" s="1504">
        <v>0</v>
      </c>
      <c r="E19" s="5"/>
      <c r="F19" s="3299" t="s">
        <v>1647</v>
      </c>
      <c r="G19" s="3300"/>
      <c r="H19" s="1208"/>
      <c r="I19" s="191"/>
      <c r="J19" s="191"/>
      <c r="K19" s="191"/>
      <c r="L19" s="191"/>
      <c r="M19" s="191"/>
      <c r="N19" s="191"/>
      <c r="O19" s="191"/>
      <c r="P19" s="290"/>
      <c r="Q19" s="191"/>
      <c r="R19" s="191"/>
      <c r="S19" s="5"/>
      <c r="T19" s="1699">
        <f ca="1">G16</f>
        <v>0.35058754987217089</v>
      </c>
      <c r="U19" s="1700">
        <f>-40%</f>
        <v>-0.4</v>
      </c>
      <c r="V19" s="1701">
        <v>-0.2</v>
      </c>
      <c r="W19" s="1701">
        <v>0</v>
      </c>
      <c r="X19" s="1701">
        <v>0.2</v>
      </c>
      <c r="Y19" s="1702">
        <v>0.4</v>
      </c>
      <c r="Z19" s="191"/>
      <c r="AA19" s="5"/>
      <c r="AB19" s="1699">
        <f ca="1">Summary!O14</f>
        <v>0.39596746177121789</v>
      </c>
      <c r="AC19" s="1700">
        <f>-40%</f>
        <v>-0.4</v>
      </c>
      <c r="AD19" s="1701">
        <v>-0.2</v>
      </c>
      <c r="AE19" s="1701">
        <v>0</v>
      </c>
      <c r="AF19" s="1701">
        <v>0.2</v>
      </c>
      <c r="AG19" s="1702">
        <v>0.4</v>
      </c>
      <c r="AH19" s="191"/>
      <c r="AI19" s="5"/>
      <c r="AJ19" s="1699">
        <f>G51</f>
        <v>9.800642619047617E-2</v>
      </c>
      <c r="AK19" s="1700">
        <f>-40%</f>
        <v>-0.4</v>
      </c>
      <c r="AL19" s="1701">
        <v>-0.2</v>
      </c>
      <c r="AM19" s="1701">
        <v>0</v>
      </c>
      <c r="AN19" s="1701">
        <v>0.2</v>
      </c>
      <c r="AO19" s="1702">
        <v>0.4</v>
      </c>
    </row>
    <row r="20" spans="2:41" ht="14.25" thickBot="1">
      <c r="C20" s="241"/>
      <c r="D20" s="1508"/>
      <c r="E20" s="5"/>
      <c r="F20" s="2038" t="s">
        <v>1843</v>
      </c>
      <c r="G20" s="2043">
        <f ca="1">Valuation!E22</f>
        <v>2.3392727124940742</v>
      </c>
      <c r="H20" s="1208"/>
      <c r="I20" s="191"/>
      <c r="J20" s="191"/>
      <c r="K20" s="191"/>
      <c r="L20" s="191"/>
      <c r="M20" s="191"/>
      <c r="N20" s="191"/>
      <c r="O20" s="191"/>
      <c r="P20" s="290"/>
      <c r="Q20" s="191"/>
      <c r="R20" s="191"/>
      <c r="S20" s="3285" t="s">
        <v>1342</v>
      </c>
      <c r="T20" s="1703">
        <v>0.2</v>
      </c>
      <c r="U20" s="1704">
        <v>0.13933768534134816</v>
      </c>
      <c r="V20" s="1704">
        <v>0.16521074847481421</v>
      </c>
      <c r="W20" s="1704">
        <v>0.18893725524626359</v>
      </c>
      <c r="X20" s="1704">
        <v>0.21104677462705124</v>
      </c>
      <c r="Y20" s="1704">
        <v>0.23185478178664032</v>
      </c>
      <c r="Z20" s="191"/>
      <c r="AA20" s="3285" t="s">
        <v>1342</v>
      </c>
      <c r="AB20" s="1703">
        <v>0.2</v>
      </c>
      <c r="AC20" s="1704">
        <v>0.13933768534134816</v>
      </c>
      <c r="AD20" s="1704">
        <v>0.16521074847481421</v>
      </c>
      <c r="AE20" s="1704">
        <v>0.18893725524626359</v>
      </c>
      <c r="AF20" s="1704">
        <v>0.21104677462705124</v>
      </c>
      <c r="AG20" s="1704">
        <v>0.23185478178664032</v>
      </c>
      <c r="AH20" s="191"/>
      <c r="AI20" s="3285" t="s">
        <v>1342</v>
      </c>
      <c r="AJ20" s="1703">
        <v>0.2</v>
      </c>
      <c r="AK20" s="1704">
        <v>0.13933768534134816</v>
      </c>
      <c r="AL20" s="1704">
        <v>0.16521074847481421</v>
      </c>
      <c r="AM20" s="1704">
        <v>0.18893725524626359</v>
      </c>
      <c r="AN20" s="1704">
        <v>0.21104677462705124</v>
      </c>
      <c r="AO20" s="1704">
        <v>0.23185478178664032</v>
      </c>
    </row>
    <row r="21" spans="2:41" ht="14.25" thickBot="1">
      <c r="B21" s="2" t="s">
        <v>349</v>
      </c>
      <c r="C21" s="241">
        <f>Sens_Maintenance</f>
        <v>1</v>
      </c>
      <c r="D21" s="1504">
        <v>0</v>
      </c>
      <c r="E21" s="5"/>
      <c r="F21" s="2038" t="s">
        <v>1947</v>
      </c>
      <c r="G21" s="2044">
        <f ca="1">Valuation!E23</f>
        <v>4.6008271277158812</v>
      </c>
      <c r="H21" s="228"/>
      <c r="I21" s="191"/>
      <c r="J21" s="191"/>
      <c r="K21" s="191"/>
      <c r="L21" s="191"/>
      <c r="M21" s="191"/>
      <c r="N21" s="191"/>
      <c r="O21" s="191"/>
      <c r="P21" s="290"/>
      <c r="Q21" s="191"/>
      <c r="R21" s="191"/>
      <c r="S21" s="3286"/>
      <c r="T21" s="1705">
        <v>0.25</v>
      </c>
      <c r="U21" s="1704">
        <v>0.14450472149510385</v>
      </c>
      <c r="V21" s="1704">
        <v>0.17091983535850797</v>
      </c>
      <c r="W21" s="1704">
        <v>0.19516866619785445</v>
      </c>
      <c r="X21" s="1704">
        <v>0.21777190848157768</v>
      </c>
      <c r="Y21" s="1704">
        <v>0.23904346755860151</v>
      </c>
      <c r="Z21" s="191"/>
      <c r="AA21" s="3286"/>
      <c r="AB21" s="1705">
        <v>0.25</v>
      </c>
      <c r="AC21" s="1704">
        <v>0.14450472149510385</v>
      </c>
      <c r="AD21" s="1704">
        <v>0.17091983535850797</v>
      </c>
      <c r="AE21" s="1704">
        <v>0.19516866619785445</v>
      </c>
      <c r="AF21" s="1704">
        <v>0.21777190848157768</v>
      </c>
      <c r="AG21" s="1704">
        <v>0.23904346755860151</v>
      </c>
      <c r="AH21" s="191"/>
      <c r="AI21" s="3286"/>
      <c r="AJ21" s="1705">
        <v>0.25</v>
      </c>
      <c r="AK21" s="1704">
        <v>0.14450472149510385</v>
      </c>
      <c r="AL21" s="1704">
        <v>0.17091983535850797</v>
      </c>
      <c r="AM21" s="1704">
        <v>0.19516866619785445</v>
      </c>
      <c r="AN21" s="1704">
        <v>0.21777190848157768</v>
      </c>
      <c r="AO21" s="1704">
        <v>0.23904346755860151</v>
      </c>
    </row>
    <row r="22" spans="2:41" ht="14.25" thickBot="1">
      <c r="C22" s="241"/>
      <c r="D22" s="5"/>
      <c r="E22" s="5"/>
      <c r="F22" s="2041" t="s">
        <v>1845</v>
      </c>
      <c r="G22" s="2045">
        <f ca="1">Valuation!E24</f>
        <v>13.708554810319765</v>
      </c>
      <c r="H22" s="1208"/>
      <c r="I22" s="191"/>
      <c r="J22" s="191"/>
      <c r="K22" s="191"/>
      <c r="L22" s="191"/>
      <c r="M22" s="191"/>
      <c r="N22" s="191"/>
      <c r="O22" s="191"/>
      <c r="P22" s="290"/>
      <c r="Q22" s="191"/>
      <c r="R22" s="191"/>
      <c r="S22" s="3286"/>
      <c r="T22" s="1705">
        <v>0.1</v>
      </c>
      <c r="U22" s="1704">
        <v>0.12865436524799878</v>
      </c>
      <c r="V22" s="1704">
        <v>0.1534395251005749</v>
      </c>
      <c r="W22" s="1704">
        <v>0.1761034140855855</v>
      </c>
      <c r="X22" s="1704">
        <v>0.19719971667617631</v>
      </c>
      <c r="Y22" s="1704">
        <v>0.21705078106973286</v>
      </c>
      <c r="Z22" s="191"/>
      <c r="AA22" s="3286"/>
      <c r="AB22" s="1705">
        <v>0.1</v>
      </c>
      <c r="AC22" s="1704">
        <v>0.12865436524799878</v>
      </c>
      <c r="AD22" s="1704">
        <v>0.1534395251005749</v>
      </c>
      <c r="AE22" s="1704">
        <v>0.1761034140855855</v>
      </c>
      <c r="AF22" s="1704">
        <v>0.19719971667617631</v>
      </c>
      <c r="AG22" s="1704">
        <v>0.21705078106973286</v>
      </c>
      <c r="AH22" s="191"/>
      <c r="AI22" s="3286"/>
      <c r="AJ22" s="1705">
        <v>0.1</v>
      </c>
      <c r="AK22" s="1704">
        <v>0.12865436524799878</v>
      </c>
      <c r="AL22" s="1704">
        <v>0.1534395251005749</v>
      </c>
      <c r="AM22" s="1704">
        <v>0.1761034140855855</v>
      </c>
      <c r="AN22" s="1704">
        <v>0.19719971667617631</v>
      </c>
      <c r="AO22" s="1704">
        <v>0.21705078106973286</v>
      </c>
    </row>
    <row r="23" spans="2:41" ht="14.25" thickBot="1">
      <c r="B23" s="2" t="s">
        <v>1586</v>
      </c>
      <c r="C23" s="241">
        <f>Sens_GasPrice</f>
        <v>1</v>
      </c>
      <c r="D23" s="1504">
        <v>0</v>
      </c>
      <c r="E23" s="5"/>
      <c r="F23" s="2036"/>
      <c r="G23" s="2043"/>
      <c r="H23" s="1208"/>
      <c r="I23" s="191"/>
      <c r="J23" s="191"/>
      <c r="K23" s="191"/>
      <c r="L23" s="191"/>
      <c r="M23" s="191"/>
      <c r="N23" s="191"/>
      <c r="O23" s="191"/>
      <c r="P23" s="290"/>
      <c r="Q23" s="191"/>
      <c r="R23" s="191"/>
      <c r="S23" s="3286"/>
      <c r="T23" s="1705">
        <v>0</v>
      </c>
      <c r="U23" s="1704">
        <v>0.11742505833986683</v>
      </c>
      <c r="V23" s="1704">
        <v>0.14112791969072291</v>
      </c>
      <c r="W23" s="1704">
        <v>0.16271082989719066</v>
      </c>
      <c r="X23" s="1704">
        <v>0.18276179627621514</v>
      </c>
      <c r="Y23" s="1704">
        <v>0.2016160097517361</v>
      </c>
      <c r="Z23" s="191"/>
      <c r="AA23" s="3286"/>
      <c r="AB23" s="1705">
        <v>0</v>
      </c>
      <c r="AC23" s="1704">
        <v>0.11742505833986683</v>
      </c>
      <c r="AD23" s="1704">
        <v>0.14112791969072291</v>
      </c>
      <c r="AE23" s="1704">
        <v>0.16271082989719066</v>
      </c>
      <c r="AF23" s="1704">
        <v>0.18276179627621514</v>
      </c>
      <c r="AG23" s="1704">
        <v>0.2016160097517361</v>
      </c>
      <c r="AH23" s="191"/>
      <c r="AI23" s="3286"/>
      <c r="AJ23" s="1705">
        <v>0</v>
      </c>
      <c r="AK23" s="1704">
        <v>0.11742505833986683</v>
      </c>
      <c r="AL23" s="1704">
        <v>0.14112791969072291</v>
      </c>
      <c r="AM23" s="1704">
        <v>0.16271082989719066</v>
      </c>
      <c r="AN23" s="1704">
        <v>0.18276179627621514</v>
      </c>
      <c r="AO23" s="1704">
        <v>0.2016160097517361</v>
      </c>
    </row>
    <row r="24" spans="2:41" ht="14.25" thickBot="1">
      <c r="C24" s="241"/>
      <c r="D24" s="1508"/>
      <c r="E24" s="5"/>
      <c r="F24" s="3301" t="s">
        <v>1948</v>
      </c>
      <c r="G24" s="3302"/>
      <c r="H24" s="1208"/>
      <c r="I24" s="191"/>
      <c r="J24" s="191"/>
      <c r="K24" s="191"/>
      <c r="L24" s="191"/>
      <c r="M24" s="191"/>
      <c r="N24" s="191"/>
      <c r="O24" s="191"/>
      <c r="P24" s="290"/>
      <c r="Q24" s="191"/>
      <c r="R24" s="191"/>
      <c r="S24" s="3286"/>
      <c r="T24" s="1705">
        <f>-20%</f>
        <v>-0.2</v>
      </c>
      <c r="U24" s="1704">
        <v>9.2734584500101747E-2</v>
      </c>
      <c r="V24" s="1704">
        <v>0.11437927280411286</v>
      </c>
      <c r="W24" s="1704">
        <v>0.13379660153268391</v>
      </c>
      <c r="X24" s="1704">
        <v>0.15168841781789522</v>
      </c>
      <c r="Y24" s="1704">
        <v>0.16844042792570013</v>
      </c>
      <c r="Z24" s="191"/>
      <c r="AA24" s="3286"/>
      <c r="AB24" s="1705">
        <f>-20%</f>
        <v>-0.2</v>
      </c>
      <c r="AC24" s="1704">
        <v>9.2734584500101747E-2</v>
      </c>
      <c r="AD24" s="1704">
        <v>0.11437927280411286</v>
      </c>
      <c r="AE24" s="1704">
        <v>0.13379660153268391</v>
      </c>
      <c r="AF24" s="1704">
        <v>0.15168841781789522</v>
      </c>
      <c r="AG24" s="1704">
        <v>0.16844042792570013</v>
      </c>
      <c r="AH24" s="191"/>
      <c r="AI24" s="3286"/>
      <c r="AJ24" s="1705">
        <f>-20%</f>
        <v>-0.2</v>
      </c>
      <c r="AK24" s="1704">
        <v>9.2734584500101747E-2</v>
      </c>
      <c r="AL24" s="1704">
        <v>0.11437927280411286</v>
      </c>
      <c r="AM24" s="1704">
        <v>0.13379660153268391</v>
      </c>
      <c r="AN24" s="1704">
        <v>0.15168841781789522</v>
      </c>
      <c r="AO24" s="1704">
        <v>0.16844042792570013</v>
      </c>
    </row>
    <row r="25" spans="2:41" ht="14.25" thickBot="1">
      <c r="B25" s="2" t="s">
        <v>1587</v>
      </c>
      <c r="C25" s="241">
        <f>Sens_GasPrice</f>
        <v>1</v>
      </c>
      <c r="D25" s="1504">
        <v>0</v>
      </c>
      <c r="E25" s="5"/>
      <c r="F25" s="2046" t="s">
        <v>660</v>
      </c>
      <c r="G25" s="2047">
        <f ca="1">Summary!O17</f>
        <v>0.27244180948223873</v>
      </c>
      <c r="H25" s="1208"/>
      <c r="I25" s="191"/>
      <c r="J25" s="191"/>
      <c r="K25" s="191"/>
      <c r="L25" s="191"/>
      <c r="M25" s="191"/>
      <c r="N25" s="191"/>
      <c r="O25" s="191"/>
      <c r="P25" s="290"/>
      <c r="Q25" s="191"/>
      <c r="R25" s="191"/>
      <c r="S25" s="3287"/>
      <c r="T25" s="1706">
        <f>-40%</f>
        <v>-0.4</v>
      </c>
      <c r="U25" s="1704">
        <v>6.307646438810699E-2</v>
      </c>
      <c r="V25" s="1704">
        <v>8.3164050255753796E-2</v>
      </c>
      <c r="W25" s="1704">
        <v>0.10062020153662576</v>
      </c>
      <c r="X25" s="1704">
        <v>0.11639237597566021</v>
      </c>
      <c r="Y25" s="1704">
        <v>0.13097750137873865</v>
      </c>
      <c r="Z25" s="191"/>
      <c r="AA25" s="3287"/>
      <c r="AB25" s="1706">
        <f>-40%</f>
        <v>-0.4</v>
      </c>
      <c r="AC25" s="1704">
        <v>6.307646438810699E-2</v>
      </c>
      <c r="AD25" s="1704">
        <v>8.3164050255753796E-2</v>
      </c>
      <c r="AE25" s="1704">
        <v>0.10062020153662576</v>
      </c>
      <c r="AF25" s="1704">
        <v>0.11639237597566021</v>
      </c>
      <c r="AG25" s="1704">
        <v>0.13097750137873865</v>
      </c>
      <c r="AH25" s="191"/>
      <c r="AI25" s="3287"/>
      <c r="AJ25" s="1706">
        <f>-40%</f>
        <v>-0.4</v>
      </c>
      <c r="AK25" s="1704">
        <v>6.307646438810699E-2</v>
      </c>
      <c r="AL25" s="1704">
        <v>8.3164050255753796E-2</v>
      </c>
      <c r="AM25" s="1704">
        <v>0.10062020153662576</v>
      </c>
      <c r="AN25" s="1704">
        <v>0.11639237597566021</v>
      </c>
      <c r="AO25" s="1704">
        <v>0.13097750137873865</v>
      </c>
    </row>
    <row r="26" spans="2:41" ht="14.25" thickBot="1">
      <c r="C26" s="241"/>
      <c r="D26" s="5"/>
      <c r="E26" s="5"/>
      <c r="F26" s="3303" t="s">
        <v>1649</v>
      </c>
      <c r="G26" s="3304"/>
      <c r="H26" s="1208"/>
      <c r="I26" s="1208"/>
      <c r="J26" s="1208"/>
      <c r="K26" s="1208"/>
      <c r="L26" s="1208"/>
      <c r="M26" s="1208"/>
      <c r="N26" s="1208"/>
      <c r="O26" s="1208"/>
      <c r="P26" s="285"/>
      <c r="Q26" s="5"/>
      <c r="R26" s="5"/>
      <c r="S26" s="5"/>
      <c r="T26" s="5"/>
      <c r="U26" s="5"/>
      <c r="V26" s="5"/>
      <c r="W26" s="5"/>
      <c r="X26" s="5"/>
      <c r="Y26" s="5"/>
      <c r="Z26" s="5"/>
      <c r="AA26" s="5"/>
      <c r="AB26" s="5"/>
      <c r="AC26" s="5"/>
      <c r="AD26" s="5"/>
      <c r="AE26" s="5"/>
      <c r="AF26" s="5"/>
      <c r="AG26" s="5"/>
      <c r="AH26" s="5"/>
      <c r="AI26" s="5"/>
    </row>
    <row r="27" spans="2:41" ht="14.25" thickBot="1">
      <c r="B27" s="5" t="s">
        <v>1545</v>
      </c>
      <c r="C27" s="241">
        <f>Sens_GasPrice</f>
        <v>1</v>
      </c>
      <c r="D27" s="1504">
        <v>0</v>
      </c>
      <c r="E27" s="5"/>
      <c r="F27" s="2048" t="s">
        <v>1650</v>
      </c>
      <c r="G27" s="2049"/>
      <c r="H27" s="1208"/>
      <c r="I27" s="1208"/>
      <c r="J27" s="1208"/>
      <c r="K27" s="1208"/>
      <c r="L27" s="1208"/>
      <c r="M27" s="1208"/>
      <c r="N27" s="1208"/>
      <c r="O27" s="1208"/>
      <c r="P27" s="285"/>
      <c r="Q27" s="5"/>
      <c r="R27" s="5"/>
      <c r="S27" s="5"/>
      <c r="T27" s="5"/>
      <c r="U27" s="1696" t="s">
        <v>936</v>
      </c>
      <c r="V27" s="1697"/>
      <c r="W27" s="1697"/>
      <c r="X27" s="1697"/>
      <c r="Y27" s="1698"/>
      <c r="Z27" s="5"/>
      <c r="AA27" s="5"/>
      <c r="AB27" s="5"/>
      <c r="AC27" s="1696" t="s">
        <v>936</v>
      </c>
      <c r="AD27" s="1697"/>
      <c r="AE27" s="1697"/>
      <c r="AF27" s="1697"/>
      <c r="AG27" s="1698"/>
      <c r="AH27" s="5"/>
      <c r="AI27" s="5"/>
      <c r="AJ27" s="5"/>
      <c r="AK27" s="1696" t="s">
        <v>936</v>
      </c>
      <c r="AL27" s="1697"/>
      <c r="AM27" s="1697"/>
      <c r="AN27" s="1697"/>
      <c r="AO27" s="1698"/>
    </row>
    <row r="28" spans="2:41" ht="14.25" thickBot="1">
      <c r="B28" s="187"/>
      <c r="C28" s="241"/>
      <c r="D28" s="1508"/>
      <c r="E28" s="5"/>
      <c r="F28" s="2050" t="s">
        <v>1506</v>
      </c>
      <c r="G28" s="2051">
        <f ca="1">Summary!O19</f>
        <v>6.5294955480705967</v>
      </c>
      <c r="H28" s="1208"/>
      <c r="I28" s="1208"/>
      <c r="J28" s="1208"/>
      <c r="K28" s="1208"/>
      <c r="L28" s="1208"/>
      <c r="M28" s="1208"/>
      <c r="N28" s="1208"/>
      <c r="O28" s="1208"/>
      <c r="P28" s="285"/>
      <c r="Q28" s="5"/>
      <c r="R28" s="5"/>
      <c r="S28" s="5"/>
      <c r="T28" s="1699">
        <f ca="1">G16</f>
        <v>0.35058754987217089</v>
      </c>
      <c r="U28" s="1700">
        <f>-40%</f>
        <v>-0.4</v>
      </c>
      <c r="V28" s="1701">
        <v>-0.2</v>
      </c>
      <c r="W28" s="1701">
        <v>0</v>
      </c>
      <c r="X28" s="1701">
        <v>0.2</v>
      </c>
      <c r="Y28" s="1702">
        <v>0.4</v>
      </c>
      <c r="Z28" s="5"/>
      <c r="AA28" s="5"/>
      <c r="AB28" s="1699">
        <f ca="1">Summary!O14</f>
        <v>0.39596746177121789</v>
      </c>
      <c r="AC28" s="1700">
        <f>-40%</f>
        <v>-0.4</v>
      </c>
      <c r="AD28" s="1701">
        <v>-0.2</v>
      </c>
      <c r="AE28" s="1701">
        <v>0</v>
      </c>
      <c r="AF28" s="1701">
        <v>0.2</v>
      </c>
      <c r="AG28" s="1702">
        <v>0.4</v>
      </c>
      <c r="AH28" s="5"/>
      <c r="AI28" s="5"/>
      <c r="AJ28" s="1699">
        <f>G51</f>
        <v>9.800642619047617E-2</v>
      </c>
      <c r="AK28" s="1700">
        <f>-40%</f>
        <v>-0.4</v>
      </c>
      <c r="AL28" s="1701">
        <v>-0.2</v>
      </c>
      <c r="AM28" s="1701">
        <v>0</v>
      </c>
      <c r="AN28" s="1701">
        <v>0.2</v>
      </c>
      <c r="AO28" s="1702">
        <v>0.4</v>
      </c>
    </row>
    <row r="29" spans="2:41" ht="14.25" thickBot="1">
      <c r="B29" s="5" t="s">
        <v>1546</v>
      </c>
      <c r="C29" s="241">
        <f>Sens_GasPrice</f>
        <v>1</v>
      </c>
      <c r="D29" s="1504">
        <v>0</v>
      </c>
      <c r="E29" s="5"/>
      <c r="F29" s="2050" t="s">
        <v>1507</v>
      </c>
      <c r="G29" s="2051">
        <f ca="1">Summary!O20</f>
        <v>6.7604904890031641</v>
      </c>
      <c r="H29" s="1208"/>
      <c r="I29" s="1208"/>
      <c r="J29" s="1208"/>
      <c r="K29" s="1208"/>
      <c r="L29" s="1208"/>
      <c r="M29" s="1208"/>
      <c r="N29" s="1208"/>
      <c r="O29" s="1208"/>
      <c r="P29" s="285"/>
      <c r="Q29" s="5"/>
      <c r="R29" s="5"/>
      <c r="S29" s="3285" t="s">
        <v>1342</v>
      </c>
      <c r="T29" s="1703">
        <v>0.2</v>
      </c>
      <c r="U29" s="1704">
        <v>0.13933768534134816</v>
      </c>
      <c r="V29" s="1704">
        <v>0.16521074847481421</v>
      </c>
      <c r="W29" s="1704">
        <v>0.18893725524626359</v>
      </c>
      <c r="X29" s="1704">
        <v>0.21104677462705124</v>
      </c>
      <c r="Y29" s="1704">
        <v>0.23185478178664032</v>
      </c>
      <c r="Z29" s="5"/>
      <c r="AA29" s="3285" t="s">
        <v>1342</v>
      </c>
      <c r="AB29" s="1703">
        <v>0.2</v>
      </c>
      <c r="AC29" s="1704">
        <v>0.13933768534134816</v>
      </c>
      <c r="AD29" s="1704">
        <v>0.16521074847481421</v>
      </c>
      <c r="AE29" s="1704">
        <v>0.18893725524626359</v>
      </c>
      <c r="AF29" s="1704">
        <v>0.21104677462705124</v>
      </c>
      <c r="AG29" s="1704">
        <v>0.23185478178664032</v>
      </c>
      <c r="AH29" s="5"/>
      <c r="AI29" s="3285" t="s">
        <v>1342</v>
      </c>
      <c r="AJ29" s="1703">
        <v>0.2</v>
      </c>
      <c r="AK29" s="1704">
        <v>0.13933768534134816</v>
      </c>
      <c r="AL29" s="1704">
        <v>0.16521074847481421</v>
      </c>
      <c r="AM29" s="1704">
        <v>0.18893725524626359</v>
      </c>
      <c r="AN29" s="1704">
        <v>0.21104677462705124</v>
      </c>
      <c r="AO29" s="1704">
        <v>0.23185478178664032</v>
      </c>
    </row>
    <row r="30" spans="2:41" ht="15" customHeight="1" thickBot="1">
      <c r="B30" s="187"/>
      <c r="C30" s="241"/>
      <c r="D30" s="1508"/>
      <c r="E30" s="5"/>
      <c r="F30" s="2052" t="s">
        <v>1651</v>
      </c>
      <c r="G30" s="2053"/>
      <c r="H30" s="1208"/>
      <c r="I30" s="1208"/>
      <c r="J30" s="1208"/>
      <c r="K30" s="1208"/>
      <c r="L30" s="1208"/>
      <c r="M30" s="1208"/>
      <c r="N30" s="1208"/>
      <c r="O30" s="1208"/>
      <c r="P30" s="285"/>
      <c r="Q30" s="5"/>
      <c r="R30" s="5"/>
      <c r="S30" s="3286"/>
      <c r="T30" s="1705">
        <v>0.25</v>
      </c>
      <c r="U30" s="1704">
        <v>0.14450472149510385</v>
      </c>
      <c r="V30" s="1704">
        <v>0.17091983535850797</v>
      </c>
      <c r="W30" s="1704">
        <v>0.19516866619785445</v>
      </c>
      <c r="X30" s="1704">
        <v>0.21777190848157768</v>
      </c>
      <c r="Y30" s="1704">
        <v>0.23904346755860151</v>
      </c>
      <c r="Z30" s="5"/>
      <c r="AA30" s="3286"/>
      <c r="AB30" s="1705">
        <v>0.25</v>
      </c>
      <c r="AC30" s="1704">
        <v>0.14450472149510385</v>
      </c>
      <c r="AD30" s="1704">
        <v>0.17091983535850797</v>
      </c>
      <c r="AE30" s="1704">
        <v>0.19516866619785445</v>
      </c>
      <c r="AF30" s="1704">
        <v>0.21777190848157768</v>
      </c>
      <c r="AG30" s="1704">
        <v>0.23904346755860151</v>
      </c>
      <c r="AH30" s="5"/>
      <c r="AI30" s="3286"/>
      <c r="AJ30" s="1705">
        <v>0.25</v>
      </c>
      <c r="AK30" s="1704">
        <v>0.14450472149510385</v>
      </c>
      <c r="AL30" s="1704">
        <v>0.17091983535850797</v>
      </c>
      <c r="AM30" s="1704">
        <v>0.19516866619785445</v>
      </c>
      <c r="AN30" s="1704">
        <v>0.21777190848157768</v>
      </c>
      <c r="AO30" s="1704">
        <v>0.23904346755860151</v>
      </c>
    </row>
    <row r="31" spans="2:41" ht="14.25" thickBot="1">
      <c r="B31" s="5" t="s">
        <v>1601</v>
      </c>
      <c r="C31" s="241">
        <f>Sens_GasPrice</f>
        <v>1</v>
      </c>
      <c r="D31" s="1504">
        <v>0</v>
      </c>
      <c r="E31" s="5"/>
      <c r="F31" s="2050" t="s">
        <v>1506</v>
      </c>
      <c r="G31" s="2051">
        <f ca="1">Summary!O22</f>
        <v>5.289012545811004</v>
      </c>
      <c r="H31" s="1208"/>
      <c r="I31" s="1208"/>
      <c r="J31" s="1208"/>
      <c r="K31" s="1208"/>
      <c r="L31" s="1208"/>
      <c r="M31" s="1208"/>
      <c r="N31" s="1208"/>
      <c r="O31" s="1208"/>
      <c r="P31" s="285"/>
      <c r="Q31" s="5"/>
      <c r="R31" s="5"/>
      <c r="S31" s="3286"/>
      <c r="T31" s="1705">
        <v>0.1</v>
      </c>
      <c r="U31" s="1704">
        <v>0.12865436524799878</v>
      </c>
      <c r="V31" s="1704">
        <v>0.1534395251005749</v>
      </c>
      <c r="W31" s="1704">
        <v>0.1761034140855855</v>
      </c>
      <c r="X31" s="1704">
        <v>0.19719971667617631</v>
      </c>
      <c r="Y31" s="1704">
        <v>0.21705078106973286</v>
      </c>
      <c r="Z31" s="5"/>
      <c r="AA31" s="3286"/>
      <c r="AB31" s="1705">
        <v>0.1</v>
      </c>
      <c r="AC31" s="1704">
        <v>0.12865436524799878</v>
      </c>
      <c r="AD31" s="1704">
        <v>0.1534395251005749</v>
      </c>
      <c r="AE31" s="1704">
        <v>0.1761034140855855</v>
      </c>
      <c r="AF31" s="1704">
        <v>0.19719971667617631</v>
      </c>
      <c r="AG31" s="1704">
        <v>0.21705078106973286</v>
      </c>
      <c r="AH31" s="5"/>
      <c r="AI31" s="3286"/>
      <c r="AJ31" s="1705">
        <v>0.1</v>
      </c>
      <c r="AK31" s="1704">
        <v>0.12865436524799878</v>
      </c>
      <c r="AL31" s="1704">
        <v>0.1534395251005749</v>
      </c>
      <c r="AM31" s="1704">
        <v>0.1761034140855855</v>
      </c>
      <c r="AN31" s="1704">
        <v>0.19719971667617631</v>
      </c>
      <c r="AO31" s="1704">
        <v>0.21705078106973286</v>
      </c>
    </row>
    <row r="32" spans="2:41" ht="14.25" thickBot="1">
      <c r="B32" s="5"/>
      <c r="C32" s="241"/>
      <c r="D32" s="1508"/>
      <c r="E32" s="5"/>
      <c r="F32" s="2054" t="s">
        <v>1507</v>
      </c>
      <c r="G32" s="2051">
        <f ca="1">Summary!O23</f>
        <v>5.3876906919728382</v>
      </c>
      <c r="H32" s="1208"/>
      <c r="I32" s="191"/>
      <c r="J32" s="191"/>
      <c r="K32" s="191"/>
      <c r="L32" s="191"/>
      <c r="M32" s="191"/>
      <c r="N32" s="191"/>
      <c r="O32" s="191"/>
      <c r="P32" s="290"/>
      <c r="Q32" s="191"/>
      <c r="R32" s="191"/>
      <c r="S32" s="3286"/>
      <c r="T32" s="1705">
        <v>0</v>
      </c>
      <c r="U32" s="1704">
        <v>0.11742505833986683</v>
      </c>
      <c r="V32" s="1704">
        <v>0.14112791969072291</v>
      </c>
      <c r="W32" s="1704">
        <v>0.16271082989719066</v>
      </c>
      <c r="X32" s="1704">
        <v>0.18276179627621514</v>
      </c>
      <c r="Y32" s="1704">
        <v>0.2016160097517361</v>
      </c>
      <c r="Z32" s="191"/>
      <c r="AA32" s="3286"/>
      <c r="AB32" s="1705">
        <v>0</v>
      </c>
      <c r="AC32" s="1704">
        <v>0.11742505833986683</v>
      </c>
      <c r="AD32" s="1704">
        <v>0.14112791969072291</v>
      </c>
      <c r="AE32" s="1704">
        <v>0.16271082989719066</v>
      </c>
      <c r="AF32" s="1704">
        <v>0.18276179627621514</v>
      </c>
      <c r="AG32" s="1704">
        <v>0.2016160097517361</v>
      </c>
      <c r="AH32" s="191"/>
      <c r="AI32" s="3286"/>
      <c r="AJ32" s="1705">
        <v>0</v>
      </c>
      <c r="AK32" s="1704">
        <v>0.11742505833986683</v>
      </c>
      <c r="AL32" s="1704">
        <v>0.14112791969072291</v>
      </c>
      <c r="AM32" s="1704">
        <v>0.16271082989719066</v>
      </c>
      <c r="AN32" s="1704">
        <v>0.18276179627621514</v>
      </c>
      <c r="AO32" s="1704">
        <v>0.2016160097517361</v>
      </c>
    </row>
    <row r="33" spans="2:41" ht="15.75" thickBot="1">
      <c r="B33" s="5" t="s">
        <v>1547</v>
      </c>
      <c r="C33" s="241">
        <f>Sens_GasPrice</f>
        <v>1</v>
      </c>
      <c r="D33" s="1504">
        <v>0</v>
      </c>
      <c r="E33" s="5"/>
      <c r="F33" s="3291" t="s">
        <v>1654</v>
      </c>
      <c r="G33" s="3292"/>
      <c r="H33" s="1208"/>
      <c r="I33" s="191"/>
      <c r="J33" s="191"/>
      <c r="K33" s="191"/>
      <c r="L33" s="191"/>
      <c r="M33" s="191"/>
      <c r="N33" s="191"/>
      <c r="O33" s="191"/>
      <c r="P33" s="290"/>
      <c r="Q33" s="191"/>
      <c r="R33" s="191"/>
      <c r="S33" s="3286"/>
      <c r="T33" s="1705">
        <f>-20%</f>
        <v>-0.2</v>
      </c>
      <c r="U33" s="1704">
        <v>9.2734584500101747E-2</v>
      </c>
      <c r="V33" s="1704">
        <v>0.11437927280411286</v>
      </c>
      <c r="W33" s="1704">
        <v>0.13379660153268391</v>
      </c>
      <c r="X33" s="1704">
        <v>0.15168841781789522</v>
      </c>
      <c r="Y33" s="1704">
        <v>0.16844042792570013</v>
      </c>
      <c r="Z33" s="191"/>
      <c r="AA33" s="3286"/>
      <c r="AB33" s="1705">
        <f>-20%</f>
        <v>-0.2</v>
      </c>
      <c r="AC33" s="1704">
        <v>9.2734584500101747E-2</v>
      </c>
      <c r="AD33" s="1704">
        <v>0.11437927280411286</v>
      </c>
      <c r="AE33" s="1704">
        <v>0.13379660153268391</v>
      </c>
      <c r="AF33" s="1704">
        <v>0.15168841781789522</v>
      </c>
      <c r="AG33" s="1704">
        <v>0.16844042792570013</v>
      </c>
      <c r="AH33" s="191"/>
      <c r="AI33" s="3286"/>
      <c r="AJ33" s="1705">
        <f>-20%</f>
        <v>-0.2</v>
      </c>
      <c r="AK33" s="1704">
        <v>9.2734584500101747E-2</v>
      </c>
      <c r="AL33" s="1704">
        <v>0.11437927280411286</v>
      </c>
      <c r="AM33" s="1704">
        <v>0.13379660153268391</v>
      </c>
      <c r="AN33" s="1704">
        <v>0.15168841781789522</v>
      </c>
      <c r="AO33" s="1704">
        <v>0.16844042792570013</v>
      </c>
    </row>
    <row r="34" spans="2:41" ht="15.75" thickBot="1">
      <c r="B34" s="5"/>
      <c r="C34" s="241"/>
      <c r="D34" s="1508"/>
      <c r="E34" s="5"/>
      <c r="F34" s="2594" t="s">
        <v>1652</v>
      </c>
      <c r="G34" s="2595">
        <f>Summary!M40</f>
        <v>1242135327.8400679</v>
      </c>
      <c r="H34" s="1208"/>
      <c r="I34" s="191"/>
      <c r="J34" s="191"/>
      <c r="K34" s="191"/>
      <c r="L34" s="191"/>
      <c r="M34" s="191"/>
      <c r="N34" s="191"/>
      <c r="O34" s="191"/>
      <c r="P34" s="290"/>
      <c r="Q34" s="191"/>
      <c r="R34" s="191"/>
      <c r="S34" s="3287"/>
      <c r="T34" s="1706">
        <f>-40%</f>
        <v>-0.4</v>
      </c>
      <c r="U34" s="1704">
        <v>6.307646438810699E-2</v>
      </c>
      <c r="V34" s="1704">
        <v>8.3164050255753796E-2</v>
      </c>
      <c r="W34" s="1704">
        <v>0.10062020153662576</v>
      </c>
      <c r="X34" s="1704">
        <v>0.11639237597566021</v>
      </c>
      <c r="Y34" s="1704">
        <v>0.13097750137873865</v>
      </c>
      <c r="Z34" s="191"/>
      <c r="AA34" s="3287"/>
      <c r="AB34" s="1706">
        <f>-40%</f>
        <v>-0.4</v>
      </c>
      <c r="AC34" s="1704">
        <v>6.307646438810699E-2</v>
      </c>
      <c r="AD34" s="1704">
        <v>8.3164050255753796E-2</v>
      </c>
      <c r="AE34" s="1704">
        <v>0.10062020153662576</v>
      </c>
      <c r="AF34" s="1704">
        <v>0.11639237597566021</v>
      </c>
      <c r="AG34" s="1704">
        <v>0.13097750137873865</v>
      </c>
      <c r="AH34" s="191"/>
      <c r="AI34" s="3287"/>
      <c r="AJ34" s="1706">
        <f>-40%</f>
        <v>-0.4</v>
      </c>
      <c r="AK34" s="1704">
        <v>6.307646438810699E-2</v>
      </c>
      <c r="AL34" s="1704">
        <v>8.3164050255753796E-2</v>
      </c>
      <c r="AM34" s="1704">
        <v>0.10062020153662576</v>
      </c>
      <c r="AN34" s="1704">
        <v>0.11639237597566021</v>
      </c>
      <c r="AO34" s="1704">
        <v>0.13097750137873865</v>
      </c>
    </row>
    <row r="35" spans="2:41" ht="15.75" thickBot="1">
      <c r="B35" s="5" t="s">
        <v>1592</v>
      </c>
      <c r="C35" s="241">
        <f>Sens_GasPrice</f>
        <v>1</v>
      </c>
      <c r="D35" s="1504">
        <v>0</v>
      </c>
      <c r="E35" s="5"/>
      <c r="F35" s="2594" t="s">
        <v>1653</v>
      </c>
      <c r="G35" s="2595">
        <f>Summary!M42</f>
        <v>2898315764.9601583</v>
      </c>
      <c r="H35" s="1208"/>
      <c r="I35" s="191"/>
      <c r="J35" s="191"/>
      <c r="K35" s="191"/>
      <c r="L35" s="191"/>
      <c r="M35" s="191"/>
      <c r="N35" s="191"/>
      <c r="O35" s="191"/>
      <c r="P35" s="290"/>
      <c r="Q35" s="191"/>
      <c r="R35" s="191"/>
      <c r="S35" s="191"/>
      <c r="T35" s="191"/>
      <c r="U35" s="191"/>
      <c r="V35" s="191"/>
      <c r="W35" s="191"/>
      <c r="X35" s="191"/>
      <c r="Y35" s="191"/>
      <c r="Z35" s="191"/>
      <c r="AA35" s="191"/>
      <c r="AB35" s="191"/>
      <c r="AC35" s="191"/>
      <c r="AD35" s="191"/>
      <c r="AE35" s="191"/>
      <c r="AF35" s="191"/>
      <c r="AG35" s="191"/>
      <c r="AH35" s="191"/>
      <c r="AI35" s="191"/>
    </row>
    <row r="36" spans="2:41" ht="15.75" thickBot="1">
      <c r="B36" s="5"/>
      <c r="C36" s="241"/>
      <c r="D36" s="1512"/>
      <c r="E36" s="5"/>
      <c r="F36" s="2596" t="s">
        <v>1656</v>
      </c>
      <c r="G36" s="2597">
        <f>SUM(G34:G35)</f>
        <v>4140451092.8002262</v>
      </c>
      <c r="H36" s="1208"/>
      <c r="I36" s="191"/>
      <c r="J36" s="191"/>
      <c r="K36" s="191"/>
      <c r="L36" s="191"/>
      <c r="M36" s="191"/>
      <c r="N36" s="191"/>
      <c r="O36" s="191"/>
      <c r="P36" s="290"/>
      <c r="Q36" s="191"/>
      <c r="R36" s="191"/>
      <c r="S36" s="191"/>
      <c r="T36" s="191"/>
      <c r="U36" s="191"/>
      <c r="V36" s="191"/>
      <c r="W36" s="191"/>
      <c r="X36" s="191"/>
      <c r="Y36" s="191"/>
      <c r="Z36" s="191"/>
      <c r="AA36" s="191"/>
      <c r="AB36" s="191"/>
      <c r="AC36" s="191"/>
      <c r="AD36" s="191"/>
      <c r="AE36" s="191"/>
      <c r="AF36" s="191"/>
      <c r="AG36" s="191"/>
      <c r="AH36" s="191"/>
      <c r="AI36" s="191"/>
    </row>
    <row r="37" spans="2:41" ht="15.75" thickBot="1">
      <c r="B37" s="5" t="s">
        <v>1619</v>
      </c>
      <c r="C37" s="241">
        <f>Sens_GasPrice</f>
        <v>1</v>
      </c>
      <c r="D37" s="1504">
        <v>0</v>
      </c>
      <c r="E37" s="5"/>
      <c r="F37" s="3293" t="s">
        <v>1655</v>
      </c>
      <c r="G37" s="3294"/>
      <c r="H37" s="1208"/>
      <c r="I37" s="191"/>
      <c r="J37" s="191"/>
      <c r="K37" s="191"/>
      <c r="L37" s="191"/>
      <c r="M37" s="191"/>
      <c r="N37" s="191"/>
      <c r="O37" s="191"/>
      <c r="P37" s="290"/>
      <c r="Q37" s="191"/>
      <c r="R37" s="191"/>
      <c r="S37" s="191"/>
      <c r="T37" s="191"/>
      <c r="U37" s="191"/>
      <c r="V37" s="191"/>
      <c r="W37" s="191"/>
      <c r="X37" s="191"/>
      <c r="Y37" s="191"/>
      <c r="Z37" s="191"/>
      <c r="AA37" s="191"/>
      <c r="AB37" s="191"/>
      <c r="AC37" s="191"/>
      <c r="AD37" s="191"/>
      <c r="AE37" s="191"/>
      <c r="AF37" s="191"/>
      <c r="AG37" s="191"/>
      <c r="AH37" s="191"/>
      <c r="AI37" s="191"/>
    </row>
    <row r="38" spans="2:41" ht="15.75" thickBot="1">
      <c r="B38" s="5"/>
      <c r="C38" s="241"/>
      <c r="D38" s="1512"/>
      <c r="E38" s="5"/>
      <c r="F38" s="2594" t="s">
        <v>1657</v>
      </c>
      <c r="G38" s="2595">
        <f>'Project Cost Monthly'!D45</f>
        <v>1635008619.7448978</v>
      </c>
      <c r="H38" s="1208"/>
      <c r="I38" s="191"/>
      <c r="J38" s="191"/>
      <c r="K38" s="191"/>
      <c r="L38" s="191"/>
      <c r="M38" s="191"/>
      <c r="N38" s="191"/>
      <c r="O38" s="191"/>
      <c r="P38" s="290"/>
      <c r="Q38" s="191"/>
      <c r="R38" s="191"/>
      <c r="S38" s="191"/>
      <c r="T38" s="191"/>
      <c r="U38" s="191"/>
      <c r="V38" s="191"/>
      <c r="W38" s="191"/>
      <c r="X38" s="191"/>
      <c r="Y38" s="191"/>
      <c r="Z38" s="191"/>
      <c r="AA38" s="191"/>
      <c r="AB38" s="191"/>
      <c r="AC38" s="191"/>
      <c r="AD38" s="191"/>
      <c r="AE38" s="191"/>
      <c r="AF38" s="191"/>
      <c r="AG38" s="191"/>
      <c r="AH38" s="191"/>
      <c r="AI38" s="191"/>
    </row>
    <row r="39" spans="2:41" ht="15.75" thickBot="1">
      <c r="B39" s="5" t="s">
        <v>1620</v>
      </c>
      <c r="C39" s="241">
        <f>Sens_GasPrice</f>
        <v>1</v>
      </c>
      <c r="D39" s="1504">
        <v>0</v>
      </c>
      <c r="E39" s="5"/>
      <c r="F39" s="2594" t="s">
        <v>1658</v>
      </c>
      <c r="G39" s="2595">
        <f>'Project Cost Monthly'!D83</f>
        <v>891273160.66326511</v>
      </c>
      <c r="H39" s="1208"/>
      <c r="I39" s="191"/>
      <c r="J39" s="191"/>
      <c r="K39" s="191"/>
      <c r="L39" s="191"/>
      <c r="M39" s="191"/>
      <c r="N39" s="191"/>
      <c r="O39" s="191"/>
      <c r="P39" s="290"/>
      <c r="Q39" s="191"/>
      <c r="R39" s="191"/>
      <c r="S39" s="191"/>
      <c r="T39" s="191"/>
      <c r="U39" s="191"/>
      <c r="V39" s="191"/>
      <c r="W39" s="191"/>
      <c r="X39" s="191"/>
      <c r="Y39" s="191"/>
      <c r="Z39" s="191"/>
      <c r="AA39" s="191"/>
      <c r="AB39" s="191"/>
      <c r="AC39" s="191"/>
      <c r="AD39" s="191"/>
      <c r="AE39" s="191"/>
      <c r="AF39" s="191"/>
      <c r="AG39" s="191"/>
      <c r="AH39" s="191"/>
      <c r="AI39" s="191"/>
    </row>
    <row r="40" spans="2:41" ht="15.75" hidden="1" thickBot="1">
      <c r="B40" s="5"/>
      <c r="C40" s="241"/>
      <c r="D40" s="5"/>
      <c r="E40" s="5"/>
      <c r="F40" s="2594" t="s">
        <v>1659</v>
      </c>
      <c r="G40" s="2595">
        <f>'Project Cost Monthly'!D122</f>
        <v>0</v>
      </c>
      <c r="H40" s="1208"/>
      <c r="I40" s="191"/>
      <c r="J40" s="191"/>
      <c r="K40" s="191"/>
      <c r="L40" s="191"/>
      <c r="M40" s="191"/>
      <c r="N40" s="191"/>
      <c r="O40" s="191"/>
      <c r="P40" s="290"/>
      <c r="Q40" s="191"/>
      <c r="R40" s="191"/>
      <c r="S40" s="191"/>
      <c r="T40" s="191"/>
      <c r="U40" s="191"/>
      <c r="V40" s="191"/>
      <c r="W40" s="191"/>
      <c r="X40" s="191"/>
      <c r="Y40" s="191"/>
      <c r="Z40" s="191"/>
      <c r="AA40" s="191"/>
      <c r="AB40" s="191"/>
      <c r="AC40" s="191"/>
      <c r="AD40" s="191"/>
      <c r="AE40" s="191"/>
      <c r="AF40" s="191"/>
      <c r="AG40" s="191"/>
      <c r="AH40" s="191"/>
      <c r="AI40" s="191"/>
    </row>
    <row r="41" spans="2:41" ht="15.75" thickBot="1">
      <c r="B41" s="5" t="s">
        <v>1593</v>
      </c>
      <c r="C41" s="241">
        <f>Sens_GasPrice</f>
        <v>1</v>
      </c>
      <c r="D41" s="1504">
        <v>0</v>
      </c>
      <c r="E41" s="5"/>
      <c r="F41" s="2594" t="s">
        <v>1660</v>
      </c>
      <c r="G41" s="2595">
        <f>'Project Cost Monthly'!D161</f>
        <v>1284980092.2448976</v>
      </c>
      <c r="H41" s="1208"/>
      <c r="I41" s="191"/>
      <c r="J41" s="191"/>
      <c r="K41" s="191"/>
      <c r="L41" s="191"/>
      <c r="M41" s="191"/>
      <c r="N41" s="191"/>
      <c r="O41" s="191"/>
      <c r="P41" s="290"/>
      <c r="Q41" s="191"/>
      <c r="R41" s="191"/>
      <c r="S41" s="191"/>
      <c r="T41" s="191"/>
      <c r="U41" s="191"/>
      <c r="V41" s="191"/>
      <c r="W41" s="191"/>
      <c r="X41" s="191"/>
      <c r="Y41" s="191"/>
      <c r="Z41" s="191"/>
      <c r="AA41" s="191"/>
      <c r="AB41" s="191"/>
      <c r="AC41" s="191"/>
      <c r="AD41" s="191"/>
      <c r="AE41" s="191"/>
      <c r="AF41" s="191"/>
      <c r="AG41" s="191"/>
      <c r="AH41" s="191"/>
      <c r="AI41" s="191"/>
    </row>
    <row r="42" spans="2:41" ht="15.75" thickBot="1">
      <c r="B42" s="5"/>
      <c r="C42" s="5"/>
      <c r="D42" s="5"/>
      <c r="E42" s="5"/>
      <c r="F42" s="2598" t="s">
        <v>221</v>
      </c>
      <c r="G42" s="2595">
        <f>'Project Cost Monthly'!D210</f>
        <v>300206062.49756461</v>
      </c>
      <c r="H42" s="1208"/>
      <c r="I42" s="1208"/>
      <c r="J42" s="1208"/>
      <c r="K42" s="1208"/>
      <c r="L42" s="1208"/>
      <c r="M42" s="1208"/>
      <c r="N42" s="1208"/>
      <c r="O42" s="1208"/>
      <c r="P42" s="285"/>
      <c r="Q42" s="5"/>
      <c r="R42" s="5"/>
      <c r="S42" s="5"/>
      <c r="T42" s="5"/>
      <c r="U42" s="5"/>
      <c r="V42" s="5"/>
      <c r="W42" s="5"/>
      <c r="X42" s="5"/>
      <c r="Y42" s="5"/>
      <c r="Z42" s="5"/>
      <c r="AA42" s="5"/>
      <c r="AB42" s="5"/>
      <c r="AC42" s="5"/>
      <c r="AD42" s="5"/>
      <c r="AE42" s="5"/>
      <c r="AF42" s="5"/>
      <c r="AG42" s="5"/>
      <c r="AH42" s="5"/>
      <c r="AI42" s="5"/>
    </row>
    <row r="43" spans="2:41" ht="15.75" thickBot="1">
      <c r="B43" s="5" t="s">
        <v>1630</v>
      </c>
      <c r="C43" s="1524">
        <v>1</v>
      </c>
      <c r="D43" s="1504">
        <v>0</v>
      </c>
      <c r="E43" s="5"/>
      <c r="F43" s="2598" t="s">
        <v>222</v>
      </c>
      <c r="G43" s="2595">
        <f>'Project Cost Monthly'!D211</f>
        <v>28983157.649601597</v>
      </c>
      <c r="H43" s="1208"/>
      <c r="I43" s="1208"/>
      <c r="J43" s="1208"/>
      <c r="K43" s="1208"/>
      <c r="L43" s="1208"/>
      <c r="M43" s="1208"/>
      <c r="N43" s="1208"/>
      <c r="O43" s="1208"/>
      <c r="P43" s="285"/>
      <c r="Q43" s="5"/>
      <c r="R43" s="5"/>
      <c r="S43" s="5"/>
      <c r="T43" s="5"/>
      <c r="U43" s="5"/>
      <c r="V43" s="5"/>
      <c r="W43" s="5"/>
      <c r="X43" s="5"/>
      <c r="Y43" s="5"/>
      <c r="Z43" s="5"/>
      <c r="AA43" s="5"/>
      <c r="AB43" s="5"/>
      <c r="AC43" s="5"/>
      <c r="AD43" s="5"/>
      <c r="AE43" s="5"/>
      <c r="AF43" s="5"/>
      <c r="AG43" s="5"/>
      <c r="AH43" s="5"/>
      <c r="AI43" s="5"/>
    </row>
    <row r="44" spans="2:41" ht="15.75" thickBot="1">
      <c r="B44" s="5"/>
      <c r="C44" s="5"/>
      <c r="D44" s="5"/>
      <c r="E44" s="5"/>
      <c r="F44" s="2599" t="s">
        <v>1661</v>
      </c>
      <c r="G44" s="2600">
        <f>SUM(G38:G43)</f>
        <v>4140451092.8002272</v>
      </c>
      <c r="H44" s="1208"/>
      <c r="I44" s="1208"/>
      <c r="J44" s="1208"/>
      <c r="K44" s="1208"/>
      <c r="L44" s="1208"/>
      <c r="M44" s="1208"/>
      <c r="N44" s="1208"/>
      <c r="O44" s="1208"/>
      <c r="P44" s="285"/>
      <c r="Q44" s="5"/>
      <c r="R44" s="5"/>
      <c r="S44" s="5"/>
      <c r="T44" s="5"/>
      <c r="U44" s="5"/>
      <c r="V44" s="5"/>
      <c r="W44" s="5"/>
      <c r="X44" s="5"/>
      <c r="Y44" s="5"/>
      <c r="Z44" s="5"/>
      <c r="AA44" s="5"/>
      <c r="AB44" s="5"/>
      <c r="AC44" s="5"/>
      <c r="AD44" s="5"/>
      <c r="AE44" s="5"/>
      <c r="AF44" s="5"/>
      <c r="AG44" s="5"/>
      <c r="AH44" s="5"/>
      <c r="AI44" s="5"/>
    </row>
    <row r="45" spans="2:41" ht="11.25" thickBot="1">
      <c r="B45" s="5" t="s">
        <v>1648</v>
      </c>
      <c r="C45" s="1524">
        <v>1</v>
      </c>
      <c r="D45" s="2223">
        <v>0.3</v>
      </c>
      <c r="E45" s="5"/>
      <c r="F45" s="1534"/>
      <c r="G45" s="1534"/>
      <c r="H45" s="1208"/>
      <c r="I45" s="1208"/>
      <c r="J45" s="1208"/>
      <c r="K45" s="1208"/>
      <c r="L45" s="1208"/>
      <c r="M45" s="1208"/>
      <c r="N45" s="1208"/>
      <c r="O45" s="1208"/>
      <c r="P45" s="1208"/>
      <c r="Q45" s="5"/>
      <c r="R45" s="5"/>
      <c r="S45" s="5"/>
      <c r="T45" s="5"/>
      <c r="U45" s="5"/>
      <c r="V45" s="5"/>
      <c r="W45" s="5"/>
      <c r="X45" s="5"/>
      <c r="Y45" s="5"/>
      <c r="Z45" s="5"/>
      <c r="AA45" s="5"/>
      <c r="AB45" s="5"/>
      <c r="AC45" s="5"/>
      <c r="AD45" s="5"/>
      <c r="AE45" s="5"/>
      <c r="AF45" s="5"/>
      <c r="AG45" s="5"/>
      <c r="AH45" s="5"/>
      <c r="AI45" s="5"/>
    </row>
    <row r="46" spans="2:41" ht="11.25" thickBot="1">
      <c r="B46" s="5"/>
      <c r="C46" s="5"/>
      <c r="D46" s="5"/>
      <c r="E46" s="5"/>
      <c r="F46" s="1534" t="s">
        <v>1602</v>
      </c>
      <c r="G46" s="1535">
        <f>G36-G44</f>
        <v>0</v>
      </c>
      <c r="H46" s="1208"/>
      <c r="I46" s="1208"/>
      <c r="J46" s="1208"/>
      <c r="K46" s="1208"/>
      <c r="L46" s="1208"/>
      <c r="M46" s="1208"/>
      <c r="N46" s="1208"/>
      <c r="O46" s="1208"/>
      <c r="P46" s="1208"/>
      <c r="Q46" s="5"/>
      <c r="R46" s="5"/>
      <c r="S46" s="5"/>
      <c r="T46" s="5"/>
      <c r="U46" s="5"/>
      <c r="V46" s="5"/>
      <c r="W46" s="5"/>
      <c r="X46" s="5"/>
      <c r="Y46" s="5"/>
      <c r="Z46" s="5"/>
      <c r="AA46" s="5"/>
      <c r="AB46" s="5"/>
      <c r="AC46" s="5"/>
      <c r="AD46" s="5"/>
      <c r="AE46" s="5"/>
      <c r="AF46" s="5"/>
      <c r="AG46" s="5"/>
      <c r="AH46" s="5"/>
      <c r="AI46" s="5"/>
    </row>
    <row r="47" spans="2:41" ht="11.25" thickBot="1">
      <c r="B47" s="5" t="s">
        <v>1767</v>
      </c>
      <c r="C47" s="5"/>
      <c r="D47" s="1925">
        <v>10</v>
      </c>
      <c r="E47" s="5"/>
      <c r="F47" s="1208"/>
      <c r="G47" s="1208"/>
      <c r="H47" s="1208"/>
      <c r="I47" s="1208"/>
      <c r="J47" s="1208"/>
      <c r="K47" s="1208"/>
      <c r="L47" s="1208"/>
      <c r="M47" s="1208"/>
      <c r="N47" s="1208"/>
      <c r="O47" s="1208"/>
      <c r="P47" s="1208"/>
      <c r="Q47" s="5"/>
      <c r="R47" s="5"/>
      <c r="S47" s="5"/>
      <c r="T47" s="5"/>
      <c r="U47" s="5"/>
      <c r="V47" s="5"/>
      <c r="W47" s="5"/>
      <c r="X47" s="5"/>
      <c r="Y47" s="5"/>
      <c r="Z47" s="5"/>
      <c r="AA47" s="5"/>
      <c r="AB47" s="5"/>
      <c r="AC47" s="5"/>
      <c r="AD47" s="5"/>
      <c r="AE47" s="5"/>
      <c r="AF47" s="5"/>
      <c r="AG47" s="5"/>
      <c r="AH47" s="5"/>
      <c r="AI47" s="5"/>
    </row>
    <row r="48" spans="2:41" ht="11.25" thickBot="1"/>
    <row r="49" spans="1:35" ht="11.25" thickBot="1">
      <c r="B49" s="2" t="s">
        <v>1943</v>
      </c>
      <c r="D49" s="1917">
        <v>0</v>
      </c>
    </row>
    <row r="50" spans="1:35" ht="13.5" thickBot="1">
      <c r="F50" s="2503" t="s">
        <v>2238</v>
      </c>
      <c r="G50" s="104">
        <f>Cost_of_Equity</f>
        <v>0.1623747539682539</v>
      </c>
    </row>
    <row r="51" spans="1:35" ht="13.5" thickBot="1">
      <c r="B51" s="2" t="s">
        <v>2125</v>
      </c>
      <c r="D51" s="1504">
        <v>0</v>
      </c>
      <c r="F51" s="2503" t="s">
        <v>1372</v>
      </c>
      <c r="G51" s="104">
        <f>WACC</f>
        <v>9.800642619047617E-2</v>
      </c>
    </row>
    <row r="52" spans="1:35" ht="11.25" thickBot="1"/>
    <row r="53" spans="1:35" ht="11.25" thickBot="1">
      <c r="B53" s="2" t="s">
        <v>2236</v>
      </c>
      <c r="D53" s="2494">
        <v>1</v>
      </c>
    </row>
    <row r="55" spans="1:35">
      <c r="A55" s="1"/>
      <c r="B55" s="1" t="s">
        <v>642</v>
      </c>
      <c r="C55" s="1"/>
      <c r="D55" s="1"/>
      <c r="E55" s="1"/>
      <c r="F55" s="1"/>
      <c r="G55" s="1"/>
      <c r="H55" s="1"/>
      <c r="I55" s="1"/>
      <c r="J55" s="1"/>
      <c r="K55" s="1"/>
      <c r="L55" s="1"/>
      <c r="M55" s="1"/>
      <c r="N55" s="1"/>
      <c r="O55" s="1"/>
      <c r="P55" s="1"/>
      <c r="Q55" s="5"/>
      <c r="R55" s="5"/>
      <c r="S55" s="5"/>
      <c r="T55" s="5"/>
      <c r="U55" s="5"/>
      <c r="V55" s="5"/>
      <c r="W55" s="5"/>
      <c r="X55" s="5"/>
      <c r="Y55" s="5"/>
      <c r="Z55" s="5"/>
      <c r="AA55" s="5"/>
      <c r="AB55" s="5"/>
      <c r="AC55" s="5"/>
      <c r="AD55" s="5"/>
      <c r="AE55" s="5"/>
      <c r="AF55" s="5"/>
      <c r="AG55" s="5"/>
      <c r="AH55" s="5"/>
      <c r="AI55" s="5"/>
    </row>
    <row r="56" spans="1:35">
      <c r="B56" s="5"/>
      <c r="C56" s="241">
        <f>C9</f>
        <v>1</v>
      </c>
      <c r="D56" s="203">
        <v>0.5</v>
      </c>
      <c r="E56" s="203">
        <v>0.75</v>
      </c>
      <c r="F56" s="203">
        <v>1.25</v>
      </c>
      <c r="G56" s="203">
        <v>1.5</v>
      </c>
      <c r="H56" s="203">
        <v>1.75</v>
      </c>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row>
    <row r="57" spans="1:35">
      <c r="B57" s="5" t="s">
        <v>643</v>
      </c>
      <c r="C57" s="242">
        <f ca="1">Summary!$O$11</f>
        <v>0.23775777553507305</v>
      </c>
      <c r="D57" s="229"/>
      <c r="E57" s="229"/>
      <c r="F57" s="229"/>
      <c r="G57" s="229"/>
      <c r="H57" s="229"/>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row>
    <row r="58" spans="1:35">
      <c r="B58" s="5" t="s">
        <v>644</v>
      </c>
      <c r="C58" s="243">
        <f ca="1">Summary!$N$11</f>
        <v>8189883598.9666405</v>
      </c>
      <c r="D58" s="243"/>
      <c r="E58" s="191"/>
      <c r="F58" s="191"/>
      <c r="G58" s="191"/>
      <c r="H58" s="191"/>
      <c r="I58" s="203"/>
      <c r="J58" s="203"/>
      <c r="K58" s="203"/>
      <c r="L58" s="203"/>
      <c r="M58" s="203"/>
      <c r="N58" s="203"/>
      <c r="O58" s="203"/>
      <c r="P58" s="203"/>
      <c r="Q58" s="203"/>
      <c r="R58" s="203"/>
      <c r="S58" s="203"/>
      <c r="T58" s="203"/>
      <c r="U58" s="203"/>
      <c r="V58" s="203"/>
      <c r="W58" s="203"/>
      <c r="X58" s="203"/>
      <c r="Y58" s="203"/>
      <c r="Z58" s="203"/>
      <c r="AA58" s="203"/>
      <c r="AB58" s="203"/>
      <c r="AC58" s="203"/>
      <c r="AD58" s="203"/>
      <c r="AE58" s="203"/>
      <c r="AF58" s="203"/>
      <c r="AG58" s="203"/>
      <c r="AH58" s="203"/>
      <c r="AI58" s="203"/>
    </row>
    <row r="59" spans="1:35">
      <c r="B59" s="5" t="s">
        <v>645</v>
      </c>
      <c r="C59" s="242">
        <f ca="1">Summary!$O$15</f>
        <v>0.35058754987217089</v>
      </c>
      <c r="D59" s="229"/>
      <c r="E59" s="5"/>
      <c r="F59" s="5"/>
      <c r="G59" s="5"/>
      <c r="H59" s="5"/>
      <c r="I59" s="203"/>
      <c r="J59" s="203"/>
      <c r="K59" s="203"/>
      <c r="L59" s="203"/>
      <c r="M59" s="203"/>
      <c r="N59" s="203"/>
      <c r="O59" s="203"/>
      <c r="P59" s="203"/>
      <c r="Q59" s="203"/>
      <c r="R59" s="203"/>
      <c r="S59" s="203"/>
      <c r="T59" s="203"/>
      <c r="U59" s="203"/>
      <c r="V59" s="203"/>
      <c r="W59" s="203"/>
      <c r="X59" s="203"/>
      <c r="Y59" s="203"/>
      <c r="Z59" s="203"/>
      <c r="AA59" s="203"/>
      <c r="AB59" s="203"/>
      <c r="AC59" s="203"/>
      <c r="AD59" s="203"/>
      <c r="AE59" s="203"/>
      <c r="AF59" s="203"/>
      <c r="AG59" s="203"/>
      <c r="AH59" s="203"/>
      <c r="AI59" s="203"/>
    </row>
    <row r="60" spans="1:35">
      <c r="B60" s="5" t="s">
        <v>646</v>
      </c>
      <c r="C60" s="243">
        <f ca="1">Summary!$N$15</f>
        <v>2928852920.5914397</v>
      </c>
      <c r="D60" s="204"/>
      <c r="E60" s="5"/>
      <c r="F60" s="5"/>
      <c r="G60" s="5"/>
      <c r="H60" s="5"/>
      <c r="I60" s="203"/>
      <c r="J60" s="203"/>
      <c r="K60" s="203"/>
      <c r="L60" s="203"/>
      <c r="M60" s="203"/>
      <c r="N60" s="203"/>
      <c r="O60" s="203"/>
      <c r="P60" s="203"/>
      <c r="Q60" s="203"/>
      <c r="R60" s="203"/>
      <c r="S60" s="203"/>
      <c r="T60" s="203"/>
      <c r="U60" s="203"/>
      <c r="V60" s="203"/>
      <c r="W60" s="203"/>
      <c r="X60" s="203"/>
      <c r="Y60" s="203"/>
      <c r="Z60" s="203"/>
      <c r="AA60" s="203"/>
      <c r="AB60" s="203"/>
      <c r="AC60" s="203"/>
      <c r="AD60" s="203"/>
      <c r="AE60" s="203"/>
      <c r="AF60" s="203"/>
      <c r="AG60" s="203"/>
      <c r="AH60" s="203"/>
      <c r="AI60" s="203"/>
    </row>
    <row r="61" spans="1:35">
      <c r="B61" s="5" t="s">
        <v>647</v>
      </c>
      <c r="C61" s="244">
        <f ca="1">Summary!M27</f>
        <v>1.5618520582690452</v>
      </c>
      <c r="D61" s="5"/>
      <c r="E61" s="5"/>
      <c r="F61" s="5"/>
      <c r="G61" s="1868">
        <f>G44/3500000</f>
        <v>1182.9860265143507</v>
      </c>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row>
    <row r="62" spans="1:35">
      <c r="B62" s="8"/>
    </row>
    <row r="63" spans="1:35">
      <c r="B63" s="5"/>
    </row>
    <row r="64" spans="1:35">
      <c r="B64" s="5"/>
    </row>
    <row r="65" spans="2:8">
      <c r="B65" s="5"/>
    </row>
    <row r="66" spans="2:8">
      <c r="B66" s="5"/>
    </row>
    <row r="67" spans="2:8">
      <c r="B67" s="5"/>
    </row>
    <row r="68" spans="2:8">
      <c r="B68" s="5"/>
    </row>
    <row r="69" spans="2:8">
      <c r="B69" s="5"/>
    </row>
    <row r="70" spans="2:8">
      <c r="B70" s="5"/>
    </row>
    <row r="71" spans="2:8">
      <c r="B71" s="5"/>
    </row>
    <row r="72" spans="2:8" ht="11.25" thickBot="1">
      <c r="B72" s="3"/>
    </row>
    <row r="73" spans="2:8" ht="27" customHeight="1">
      <c r="B73" s="5"/>
      <c r="F73" s="2626" t="s">
        <v>2312</v>
      </c>
      <c r="G73" s="2614"/>
      <c r="H73" s="2615"/>
    </row>
    <row r="74" spans="2:8" ht="15">
      <c r="F74" s="2616" t="s">
        <v>2313</v>
      </c>
      <c r="G74" s="2617" t="s">
        <v>2319</v>
      </c>
      <c r="H74" s="2618">
        <f ca="1">G13</f>
        <v>8189883598.9666405</v>
      </c>
    </row>
    <row r="75" spans="2:8" ht="15">
      <c r="B75" s="10"/>
      <c r="F75" s="2616" t="s">
        <v>2314</v>
      </c>
      <c r="G75" s="2617" t="s">
        <v>18</v>
      </c>
      <c r="H75" s="2619">
        <f ca="1">G11</f>
        <v>0.23775777553507305</v>
      </c>
    </row>
    <row r="76" spans="2:8" ht="15">
      <c r="F76" s="2616"/>
      <c r="G76" s="2617"/>
      <c r="H76" s="2620"/>
    </row>
    <row r="77" spans="2:8" ht="15">
      <c r="F77" s="2616" t="s">
        <v>2315</v>
      </c>
      <c r="G77" s="2617" t="s">
        <v>759</v>
      </c>
      <c r="H77" s="2618">
        <f ca="1">G18</f>
        <v>2928852920.5914397</v>
      </c>
    </row>
    <row r="78" spans="2:8" ht="15">
      <c r="F78" s="2616" t="s">
        <v>2316</v>
      </c>
      <c r="G78" s="2617" t="s">
        <v>18</v>
      </c>
      <c r="H78" s="2621">
        <f ca="1">G16</f>
        <v>0.35058754987217089</v>
      </c>
    </row>
    <row r="79" spans="2:8" ht="15">
      <c r="F79" s="2616"/>
      <c r="G79" s="2617"/>
      <c r="H79" s="2620"/>
    </row>
    <row r="80" spans="2:8" ht="15">
      <c r="B80" s="10"/>
      <c r="F80" s="2616" t="s">
        <v>2317</v>
      </c>
      <c r="G80" s="2617" t="s">
        <v>2320</v>
      </c>
      <c r="H80" s="2622">
        <f ca="1">G29</f>
        <v>6.7604904890031641</v>
      </c>
    </row>
    <row r="81" spans="1:8" ht="15.75" thickBot="1">
      <c r="F81" s="2623" t="s">
        <v>2318</v>
      </c>
      <c r="G81" s="2624" t="s">
        <v>2320</v>
      </c>
      <c r="H81" s="2625">
        <f ca="1">G32</f>
        <v>5.3876906919728382</v>
      </c>
    </row>
    <row r="82" spans="1:8">
      <c r="B82" s="11"/>
    </row>
    <row r="83" spans="1:8" ht="11.25" thickBot="1"/>
    <row r="84" spans="1:8" ht="17.25" thickBot="1">
      <c r="A84" s="12"/>
      <c r="F84" s="2637" t="s">
        <v>2321</v>
      </c>
      <c r="G84" s="2627" t="s">
        <v>2324</v>
      </c>
      <c r="H84" s="2628" t="s">
        <v>1080</v>
      </c>
    </row>
    <row r="85" spans="1:8" ht="16.5">
      <c r="F85" s="2629"/>
      <c r="G85" s="2630"/>
      <c r="H85" s="2631"/>
    </row>
    <row r="86" spans="1:8" ht="16.5">
      <c r="F86" s="2629" t="s">
        <v>2322</v>
      </c>
      <c r="G86" s="2632">
        <f ca="1">Valuation!E25</f>
        <v>1.5618520582690452</v>
      </c>
      <c r="H86" s="2633">
        <f ca="1">Valuation!E22</f>
        <v>2.3392727124940742</v>
      </c>
    </row>
    <row r="87" spans="1:8" ht="16.5">
      <c r="F87" s="2629"/>
      <c r="G87" s="2630"/>
      <c r="H87" s="2631"/>
    </row>
    <row r="88" spans="1:8" ht="16.5">
      <c r="F88" s="2629" t="s">
        <v>592</v>
      </c>
      <c r="G88" s="2632">
        <f ca="1">Valuation!E23</f>
        <v>4.6008271277158812</v>
      </c>
      <c r="H88" s="2633">
        <f ca="1">Valuation!E26</f>
        <v>1.2500369053410898</v>
      </c>
    </row>
    <row r="89" spans="1:8" ht="16.5">
      <c r="F89" s="2629"/>
      <c r="G89" s="2630"/>
      <c r="H89" s="2631"/>
    </row>
    <row r="90" spans="1:8" ht="16.5">
      <c r="F90" s="2629" t="s">
        <v>2323</v>
      </c>
      <c r="G90" s="2632">
        <f ca="1">Valuation!E27</f>
        <v>12.661133873277615</v>
      </c>
      <c r="H90" s="2633">
        <f ca="1">Valuation!E24</f>
        <v>13.708554810319765</v>
      </c>
    </row>
    <row r="91" spans="1:8" ht="17.25" thickBot="1">
      <c r="A91" s="12"/>
      <c r="F91" s="2634"/>
      <c r="G91" s="2635"/>
      <c r="H91" s="2636"/>
    </row>
    <row r="92" spans="1:8" ht="11.25" thickBot="1"/>
    <row r="93" spans="1:8" ht="17.45" customHeight="1" thickBot="1">
      <c r="F93" s="2638" t="s">
        <v>2325</v>
      </c>
      <c r="G93" s="2639"/>
      <c r="H93" s="2640"/>
    </row>
    <row r="94" spans="1:8" ht="12.75">
      <c r="F94" s="2046" t="s">
        <v>2327</v>
      </c>
      <c r="G94" s="2641" t="s">
        <v>18</v>
      </c>
      <c r="H94" s="2649">
        <f>Cost_of_Equity</f>
        <v>0.1623747539682539</v>
      </c>
    </row>
    <row r="95" spans="1:8" ht="12.75">
      <c r="F95" s="2046" t="s">
        <v>2328</v>
      </c>
      <c r="G95" s="2641" t="s">
        <v>18</v>
      </c>
      <c r="H95" s="2645">
        <f>'Input '!D398</f>
        <v>0.3</v>
      </c>
    </row>
    <row r="96" spans="1:8" ht="12.75">
      <c r="F96" s="2046" t="s">
        <v>2329</v>
      </c>
      <c r="G96" s="2641" t="s">
        <v>18</v>
      </c>
      <c r="H96" s="2646">
        <f>'Input '!F334</f>
        <v>0.10059999999999999</v>
      </c>
    </row>
    <row r="97" spans="6:8" ht="12.75">
      <c r="F97" s="2046" t="s">
        <v>2330</v>
      </c>
      <c r="G97" s="2641" t="s">
        <v>18</v>
      </c>
      <c r="H97" s="2645">
        <f>'Input '!D399</f>
        <v>0.7</v>
      </c>
    </row>
    <row r="98" spans="6:8" ht="12.75">
      <c r="F98" s="2046" t="s">
        <v>2331</v>
      </c>
      <c r="G98" s="2641" t="s">
        <v>18</v>
      </c>
      <c r="H98" s="2645">
        <v>0.3</v>
      </c>
    </row>
    <row r="99" spans="6:8" ht="13.5" thickBot="1">
      <c r="F99" s="2643" t="s">
        <v>1372</v>
      </c>
      <c r="G99" s="2644" t="s">
        <v>18</v>
      </c>
      <c r="H99" s="2647">
        <f>WACC</f>
        <v>9.800642619047617E-2</v>
      </c>
    </row>
    <row r="101" spans="6:8" ht="11.25" thickBot="1"/>
    <row r="102" spans="6:8" ht="15.75" thickBot="1">
      <c r="F102" s="2638" t="s">
        <v>2326</v>
      </c>
      <c r="G102" s="2639" t="s">
        <v>18</v>
      </c>
      <c r="H102" s="2640" t="s">
        <v>759</v>
      </c>
    </row>
    <row r="103" spans="6:8" ht="12.75">
      <c r="F103" s="2046"/>
      <c r="G103" s="2641"/>
      <c r="H103" s="2650">
        <f>G34</f>
        <v>1242135327.8400679</v>
      </c>
    </row>
    <row r="104" spans="6:8" ht="12.75">
      <c r="F104" s="2046" t="s">
        <v>145</v>
      </c>
      <c r="G104" s="2648">
        <v>0.3</v>
      </c>
      <c r="H104" s="2642"/>
    </row>
    <row r="105" spans="6:8" ht="12.75">
      <c r="F105" s="2046"/>
      <c r="G105" s="2641"/>
      <c r="H105" s="2650">
        <f>G35</f>
        <v>2898315764.9601583</v>
      </c>
    </row>
    <row r="106" spans="6:8" ht="12.75">
      <c r="F106" s="2046" t="s">
        <v>1653</v>
      </c>
      <c r="G106" s="2648">
        <v>0.7</v>
      </c>
      <c r="H106" s="2642"/>
    </row>
    <row r="107" spans="6:8" ht="12.75">
      <c r="F107" s="2046"/>
      <c r="G107" s="2648"/>
      <c r="H107" s="2642"/>
    </row>
    <row r="108" spans="6:8" ht="13.5" thickBot="1">
      <c r="F108" s="2643" t="s">
        <v>655</v>
      </c>
      <c r="G108" s="2651">
        <f>G104+G106</f>
        <v>1</v>
      </c>
      <c r="H108" s="2652">
        <f>H103+H105</f>
        <v>4140451092.8002262</v>
      </c>
    </row>
  </sheetData>
  <mergeCells count="17">
    <mergeCell ref="F33:G33"/>
    <mergeCell ref="F37:G37"/>
    <mergeCell ref="F8:P8"/>
    <mergeCell ref="F9:G9"/>
    <mergeCell ref="F14:G14"/>
    <mergeCell ref="F19:G19"/>
    <mergeCell ref="F26:G26"/>
    <mergeCell ref="F24:G24"/>
    <mergeCell ref="S29:S34"/>
    <mergeCell ref="AA29:AA34"/>
    <mergeCell ref="AI20:AI25"/>
    <mergeCell ref="AI29:AI34"/>
    <mergeCell ref="S11:S16"/>
    <mergeCell ref="AA11:AA16"/>
    <mergeCell ref="AI11:AI16"/>
    <mergeCell ref="S20:S25"/>
    <mergeCell ref="AA20:AA25"/>
  </mergeCells>
  <phoneticPr fontId="47" type="noConversion"/>
  <conditionalFormatting sqref="U11:Y16">
    <cfRule type="cellIs" dxfId="17" priority="19" operator="equal">
      <formula>$G$50</formula>
    </cfRule>
    <cfRule type="cellIs" dxfId="16" priority="20" operator="lessThan">
      <formula>$G$50</formula>
    </cfRule>
    <cfRule type="cellIs" dxfId="15" priority="21" operator="greaterThan">
      <formula>$G$50</formula>
    </cfRule>
  </conditionalFormatting>
  <conditionalFormatting sqref="U20:Y25">
    <cfRule type="cellIs" dxfId="14" priority="14" operator="equal">
      <formula>$G$50</formula>
    </cfRule>
    <cfRule type="cellIs" dxfId="13" priority="15" operator="lessThan">
      <formula>$G$50</formula>
    </cfRule>
    <cfRule type="cellIs" dxfId="12" priority="18" operator="greaterThan">
      <formula>$G$50</formula>
    </cfRule>
  </conditionalFormatting>
  <conditionalFormatting sqref="U29:Y34">
    <cfRule type="cellIs" dxfId="11" priority="11" operator="lessThan">
      <formula>$G$50</formula>
    </cfRule>
    <cfRule type="cellIs" dxfId="10" priority="12" operator="equal">
      <formula>$G$50</formula>
    </cfRule>
    <cfRule type="cellIs" dxfId="9" priority="13" operator="greaterThan">
      <formula>$G$50</formula>
    </cfRule>
  </conditionalFormatting>
  <conditionalFormatting sqref="AK11:AO16">
    <cfRule type="cellIs" dxfId="8" priority="8" operator="equal">
      <formula>$G$51</formula>
    </cfRule>
    <cfRule type="cellIs" dxfId="7" priority="9" operator="lessThan">
      <formula>$G$51</formula>
    </cfRule>
    <cfRule type="cellIs" dxfId="6" priority="10" operator="greaterThan">
      <formula>$G$51</formula>
    </cfRule>
  </conditionalFormatting>
  <conditionalFormatting sqref="AK20:AO25">
    <cfRule type="cellIs" dxfId="5" priority="5" operator="equal">
      <formula>$G$51</formula>
    </cfRule>
    <cfRule type="cellIs" dxfId="4" priority="6" operator="lessThan">
      <formula>$G$51</formula>
    </cfRule>
    <cfRule type="cellIs" dxfId="3" priority="7" operator="greaterThan">
      <formula>$G$51</formula>
    </cfRule>
  </conditionalFormatting>
  <conditionalFormatting sqref="AK29:AO34">
    <cfRule type="cellIs" dxfId="2" priority="1" operator="equal">
      <formula>$G$51</formula>
    </cfRule>
    <cfRule type="cellIs" dxfId="1" priority="2" operator="greaterThan">
      <formula>$G$51</formula>
    </cfRule>
    <cfRule type="cellIs" dxfId="0" priority="3" operator="lessThan">
      <formula>$G$51</formula>
    </cfRule>
  </conditionalFormatting>
  <dataValidations disablePrompts="1" count="3">
    <dataValidation type="list" allowBlank="1" showInputMessage="1" showErrorMessage="1" sqref="D45" xr:uid="{1D13EC6C-A6A3-4716-8A4E-ACAA42DE1C5A}">
      <formula1>"0.15,0.20,0.25,0.30,0.40"</formula1>
    </dataValidation>
    <dataValidation type="list" allowBlank="1" showInputMessage="1" showErrorMessage="1" sqref="D47" xr:uid="{08BB71D1-ED8D-4A7E-9FC0-ABE854E4B645}">
      <formula1>"8,9,10,11,12,13,14,15,20"</formula1>
    </dataValidation>
    <dataValidation type="list" allowBlank="1" showInputMessage="1" showErrorMessage="1" sqref="D53" xr:uid="{AA592E60-5F5E-494F-81D6-D3DD664C97DC}">
      <formula1>"1,2,3,4,5,6,7,8,9,10"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5A47380D-3F4D-449C-AE28-EB2E899037D8}">
          <x14:formula1>
            <xm:f>'Drop down list'!$S$4:$S$32</xm:f>
          </x14:formula1>
          <xm:sqref>D9 D11 D13 D15 D17 D19 D21 D27 D29 D31 D33 D25 D23 D35:D41 D43 D51</xm:sqref>
        </x14:dataValidation>
        <x14:dataValidation type="list" allowBlank="1" showInputMessage="1" showErrorMessage="1" xr:uid="{D9A23D5B-045F-42D4-93FC-987E50D2A40C}">
          <x14:formula1>
            <xm:f>'Drop down list'!$S$4:$S$35</xm:f>
          </x14:formula1>
          <xm:sqref>D49</xm:sqref>
        </x14:dataValidation>
      </x14:dataValidations>
    </ext>
    <ext xmlns:x14="http://schemas.microsoft.com/office/spreadsheetml/2009/9/main" uri="{05C60535-1F16-4fd2-B633-F4F36F0B64E0}">
      <x14:sparklineGroups xmlns:xm="http://schemas.microsoft.com/office/excel/2006/main">
        <x14:sparklineGroup manualMax="0" manualMin="0" displayEmptyCellsAs="gap" xr2:uid="{AD2CAFA7-898B-44AB-8069-F6C33F8E7836}">
          <x14:colorSeries rgb="FFFF0000"/>
          <x14:colorNegative rgb="FFD00000"/>
          <x14:colorAxis rgb="FF000000"/>
          <x14:colorMarkers rgb="FFD00000"/>
          <x14:colorFirst rgb="FFD00000"/>
          <x14:colorLast rgb="FFD00000"/>
          <x14:colorHigh rgb="FFD00000"/>
          <x14:colorLow rgb="FFD00000"/>
          <x14:sparklines>
            <x14:sparkline>
              <xm:f>'Sens WIP'!D9:D9</xm:f>
              <xm:sqref>E9</xm:sqref>
            </x14:sparkline>
          </x14:sparklines>
        </x14:sparklineGroup>
      </x14:sparklineGroup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1DC60-27E0-4EDB-BB94-C7CA52AD9C8B}">
  <sheetPr codeName="Sheet67"/>
  <dimension ref="E1:F72"/>
  <sheetViews>
    <sheetView workbookViewId="0">
      <selection activeCell="B26" sqref="B26"/>
    </sheetView>
  </sheetViews>
  <sheetFormatPr defaultRowHeight="15"/>
  <cols>
    <col min="5" max="5" width="40.22265625" customWidth="1"/>
    <col min="6" max="6" width="41.4296875" customWidth="1"/>
  </cols>
  <sheetData>
    <row r="1" spans="5:6" ht="15.75" thickBot="1"/>
    <row r="2" spans="5:6" ht="16.5">
      <c r="E2" s="2590" t="s">
        <v>2298</v>
      </c>
      <c r="F2" s="2591"/>
    </row>
    <row r="3" spans="5:6" ht="34.15" customHeight="1">
      <c r="E3" s="1609" t="s">
        <v>2295</v>
      </c>
      <c r="F3" s="2592" t="s">
        <v>2299</v>
      </c>
    </row>
    <row r="4" spans="5:6" ht="31.9" customHeight="1">
      <c r="E4" s="1609" t="s">
        <v>2296</v>
      </c>
      <c r="F4" s="2592" t="s">
        <v>2300</v>
      </c>
    </row>
    <row r="5" spans="5:6" ht="37.9" customHeight="1">
      <c r="E5" s="1609" t="s">
        <v>2297</v>
      </c>
      <c r="F5" s="2592" t="s">
        <v>2301</v>
      </c>
    </row>
    <row r="6" spans="5:6" ht="24.6" customHeight="1" thickBot="1">
      <c r="E6" s="1613" t="s">
        <v>1823</v>
      </c>
      <c r="F6" s="2593" t="s">
        <v>2302</v>
      </c>
    </row>
    <row r="8" spans="5:6" ht="15.6" customHeight="1"/>
    <row r="9" spans="5:6" ht="15.75" thickBot="1"/>
    <row r="10" spans="5:6">
      <c r="E10" s="2584" t="s">
        <v>2253</v>
      </c>
      <c r="F10" s="2583"/>
    </row>
    <row r="11" spans="5:6">
      <c r="E11" s="2555" t="s">
        <v>2254</v>
      </c>
      <c r="F11" s="2556" t="s">
        <v>2255</v>
      </c>
    </row>
    <row r="12" spans="5:6">
      <c r="E12" s="2555" t="s">
        <v>261</v>
      </c>
      <c r="F12" s="2557" t="s">
        <v>2256</v>
      </c>
    </row>
    <row r="13" spans="5:6">
      <c r="E13" s="2555" t="s">
        <v>2257</v>
      </c>
      <c r="F13" s="2557" t="s">
        <v>2258</v>
      </c>
    </row>
    <row r="14" spans="5:6">
      <c r="E14" s="2555" t="s">
        <v>2259</v>
      </c>
      <c r="F14" s="2557">
        <v>0.06</v>
      </c>
    </row>
    <row r="15" spans="5:6" ht="15.75" thickBot="1">
      <c r="E15" s="2558" t="s">
        <v>2260</v>
      </c>
      <c r="F15" s="2559">
        <v>0.3</v>
      </c>
    </row>
    <row r="16" spans="5:6">
      <c r="E16" s="2560"/>
      <c r="F16" s="2560"/>
    </row>
    <row r="17" spans="5:6" ht="15.75" thickBot="1">
      <c r="E17" s="2560"/>
      <c r="F17" s="2560"/>
    </row>
    <row r="18" spans="5:6">
      <c r="E18" s="2584" t="s">
        <v>2261</v>
      </c>
      <c r="F18" s="2585"/>
    </row>
    <row r="19" spans="5:6">
      <c r="E19" s="2555" t="s">
        <v>2262</v>
      </c>
      <c r="F19" s="2556" t="s">
        <v>2303</v>
      </c>
    </row>
    <row r="20" spans="5:6">
      <c r="E20" s="2555" t="s">
        <v>2264</v>
      </c>
      <c r="F20" s="2556" t="s">
        <v>2303</v>
      </c>
    </row>
    <row r="21" spans="5:6">
      <c r="E21" s="2555" t="s">
        <v>2265</v>
      </c>
      <c r="F21" s="2556" t="s">
        <v>2263</v>
      </c>
    </row>
    <row r="22" spans="5:6" ht="15.75" thickBot="1">
      <c r="E22" s="2558" t="s">
        <v>2267</v>
      </c>
      <c r="F22" s="2561" t="s">
        <v>2159</v>
      </c>
    </row>
    <row r="23" spans="5:6">
      <c r="E23" s="2562" t="s">
        <v>827</v>
      </c>
      <c r="F23" s="2563">
        <v>351</v>
      </c>
    </row>
    <row r="24" spans="5:6">
      <c r="E24" s="2555" t="s">
        <v>2268</v>
      </c>
      <c r="F24" s="2564">
        <v>335</v>
      </c>
    </row>
    <row r="25" spans="5:6">
      <c r="E25" s="2555" t="s">
        <v>912</v>
      </c>
      <c r="F25" s="2565">
        <v>15</v>
      </c>
    </row>
    <row r="26" spans="5:6">
      <c r="E26" s="2555" t="s">
        <v>2269</v>
      </c>
      <c r="F26" s="2565">
        <v>30</v>
      </c>
    </row>
    <row r="27" spans="5:6" ht="15.75" thickBot="1">
      <c r="E27" s="2558" t="s">
        <v>2270</v>
      </c>
      <c r="F27" s="2566">
        <v>3</v>
      </c>
    </row>
    <row r="28" spans="5:6">
      <c r="E28" s="2560"/>
      <c r="F28" s="2560"/>
    </row>
    <row r="29" spans="5:6" ht="15.75" thickBot="1">
      <c r="E29" s="2560"/>
      <c r="F29" s="2560"/>
    </row>
    <row r="30" spans="5:6">
      <c r="E30" s="2584" t="s">
        <v>2271</v>
      </c>
      <c r="F30" s="2585"/>
    </row>
    <row r="31" spans="5:6">
      <c r="E31" s="2555" t="s">
        <v>2262</v>
      </c>
      <c r="F31" s="2556" t="s">
        <v>2303</v>
      </c>
    </row>
    <row r="32" spans="5:6">
      <c r="E32" s="2555" t="s">
        <v>2264</v>
      </c>
      <c r="F32" s="2556" t="s">
        <v>2303</v>
      </c>
    </row>
    <row r="33" spans="5:6">
      <c r="E33" s="2555" t="s">
        <v>2265</v>
      </c>
      <c r="F33" s="2556" t="s">
        <v>2263</v>
      </c>
    </row>
    <row r="34" spans="5:6">
      <c r="E34" s="2555" t="s">
        <v>2272</v>
      </c>
      <c r="F34" s="2556" t="s">
        <v>2266</v>
      </c>
    </row>
    <row r="35" spans="5:6">
      <c r="E35" s="2555" t="s">
        <v>2273</v>
      </c>
      <c r="F35" s="2567">
        <v>0.65</v>
      </c>
    </row>
    <row r="36" spans="5:6">
      <c r="E36" s="2555" t="s">
        <v>2274</v>
      </c>
      <c r="F36" s="2567">
        <v>0.8</v>
      </c>
    </row>
    <row r="37" spans="5:6" ht="15.75" thickBot="1">
      <c r="E37" s="2558" t="s">
        <v>2275</v>
      </c>
      <c r="F37" s="2559">
        <v>0.95</v>
      </c>
    </row>
    <row r="38" spans="5:6" ht="15.75" thickBot="1">
      <c r="E38" s="2560"/>
      <c r="F38" s="2560"/>
    </row>
    <row r="39" spans="5:6">
      <c r="E39" s="2586" t="s">
        <v>2276</v>
      </c>
      <c r="F39" s="2587"/>
    </row>
    <row r="40" spans="5:6">
      <c r="E40" s="2555" t="s">
        <v>1083</v>
      </c>
      <c r="F40" s="2564"/>
    </row>
    <row r="41" spans="5:6">
      <c r="E41" s="2555" t="s">
        <v>2277</v>
      </c>
      <c r="F41" s="2568">
        <f>'Assumption '!J63</f>
        <v>355</v>
      </c>
    </row>
    <row r="42" spans="5:6">
      <c r="E42" s="2555" t="s">
        <v>2278</v>
      </c>
      <c r="F42" s="2568">
        <f>'Assumption '!J64</f>
        <v>527.25957399688559</v>
      </c>
    </row>
    <row r="43" spans="5:6" ht="15.75" thickBot="1">
      <c r="E43" s="2569"/>
      <c r="F43" s="2570"/>
    </row>
    <row r="44" spans="5:6">
      <c r="E44" s="2571" t="s">
        <v>2279</v>
      </c>
      <c r="F44" s="2572"/>
    </row>
    <row r="45" spans="5:6">
      <c r="E45" s="2555" t="s">
        <v>2277</v>
      </c>
      <c r="F45" s="2568">
        <f>'Assumption '!J68</f>
        <v>339.64357142857142</v>
      </c>
    </row>
    <row r="46" spans="5:6">
      <c r="E46" s="2555" t="s">
        <v>2278</v>
      </c>
      <c r="F46" s="2568">
        <f>'Assumption '!J69</f>
        <v>310.10000000000002</v>
      </c>
    </row>
    <row r="47" spans="5:6">
      <c r="E47" s="2560"/>
      <c r="F47" s="2560"/>
    </row>
    <row r="48" spans="5:6" ht="15.75" thickBot="1">
      <c r="E48" s="2560"/>
      <c r="F48" s="2560"/>
    </row>
    <row r="49" spans="5:6" ht="15.75" thickBot="1">
      <c r="E49" s="2588" t="s">
        <v>1474</v>
      </c>
      <c r="F49" s="2589"/>
    </row>
    <row r="50" spans="5:6">
      <c r="E50" s="2555" t="s">
        <v>2280</v>
      </c>
      <c r="F50" s="2573">
        <v>2.42</v>
      </c>
    </row>
    <row r="51" spans="5:6">
      <c r="E51" s="2555" t="s">
        <v>2281</v>
      </c>
      <c r="F51" s="2573">
        <v>0.9</v>
      </c>
    </row>
    <row r="52" spans="5:6">
      <c r="E52" s="2555" t="s">
        <v>2282</v>
      </c>
      <c r="F52" s="2574">
        <f>SUM(F50:F51)</f>
        <v>3.32</v>
      </c>
    </row>
    <row r="53" spans="5:6">
      <c r="E53" s="2569"/>
      <c r="F53" s="2570"/>
    </row>
    <row r="54" spans="5:6">
      <c r="E54" s="2555" t="s">
        <v>2283</v>
      </c>
      <c r="F54" s="2573">
        <v>2.42</v>
      </c>
    </row>
    <row r="55" spans="5:6">
      <c r="E55" s="2555" t="s">
        <v>2284</v>
      </c>
      <c r="F55" s="2573">
        <v>0.9</v>
      </c>
    </row>
    <row r="56" spans="5:6" ht="15.75" thickBot="1">
      <c r="E56" s="2558" t="s">
        <v>2285</v>
      </c>
      <c r="F56" s="2575">
        <f>SUM(F54:F55)</f>
        <v>3.32</v>
      </c>
    </row>
    <row r="57" spans="5:6">
      <c r="E57" s="2560"/>
      <c r="F57" s="2560"/>
    </row>
    <row r="58" spans="5:6" ht="15.75" thickBot="1">
      <c r="E58" s="2560"/>
      <c r="F58" s="2560"/>
    </row>
    <row r="59" spans="5:6">
      <c r="E59" s="2584" t="s">
        <v>1073</v>
      </c>
      <c r="F59" s="2585"/>
    </row>
    <row r="60" spans="5:6">
      <c r="E60" s="2555" t="s">
        <v>847</v>
      </c>
      <c r="F60" s="2576">
        <v>21.728999999999999</v>
      </c>
    </row>
    <row r="61" spans="5:6">
      <c r="E61" s="2555" t="s">
        <v>2286</v>
      </c>
      <c r="F61" s="2576">
        <v>35.243533579999998</v>
      </c>
    </row>
    <row r="62" spans="5:6" ht="15.75" thickBot="1">
      <c r="E62" s="2577"/>
      <c r="F62" s="2578"/>
    </row>
    <row r="63" spans="5:6">
      <c r="E63" s="2584" t="s">
        <v>2287</v>
      </c>
      <c r="F63" s="2570"/>
    </row>
    <row r="64" spans="5:6">
      <c r="E64" s="2569" t="s">
        <v>2288</v>
      </c>
      <c r="F64" s="2579">
        <v>650000</v>
      </c>
    </row>
    <row r="65" spans="5:6" ht="15.75" thickBot="1">
      <c r="E65" s="2569" t="s">
        <v>2289</v>
      </c>
      <c r="F65" s="2579">
        <v>975000</v>
      </c>
    </row>
    <row r="66" spans="5:6" ht="15.75" thickBot="1">
      <c r="E66" s="2580" t="s">
        <v>2290</v>
      </c>
      <c r="F66" s="2581">
        <f>SUM(F64:F65)</f>
        <v>1625000</v>
      </c>
    </row>
    <row r="67" spans="5:6">
      <c r="E67" s="2560"/>
      <c r="F67" s="2582"/>
    </row>
    <row r="68" spans="5:6">
      <c r="E68" s="2560" t="s">
        <v>2291</v>
      </c>
      <c r="F68" s="2560"/>
    </row>
    <row r="69" spans="5:6">
      <c r="E69" s="2560" t="s">
        <v>2292</v>
      </c>
      <c r="F69" s="2560"/>
    </row>
    <row r="70" spans="5:6">
      <c r="E70" s="2560" t="s">
        <v>2293</v>
      </c>
      <c r="F70" s="2560"/>
    </row>
    <row r="71" spans="5:6">
      <c r="E71" s="2560" t="s">
        <v>2294</v>
      </c>
      <c r="F71" s="2560"/>
    </row>
    <row r="72" spans="5:6">
      <c r="E72" s="2560"/>
      <c r="F72" s="2560"/>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B715E-D336-4D95-892C-FD0DEA29A78A}">
  <sheetPr codeName="Sheet54">
    <tabColor theme="7" tint="-0.249977111117893"/>
  </sheetPr>
  <dimension ref="C1:BE527"/>
  <sheetViews>
    <sheetView topLeftCell="O1" zoomScale="82" zoomScaleNormal="82" workbookViewId="0">
      <selection activeCell="Q17" sqref="Q17"/>
    </sheetView>
  </sheetViews>
  <sheetFormatPr defaultRowHeight="15"/>
  <cols>
    <col min="3" max="3" width="46.9453125" customWidth="1"/>
    <col min="4" max="4" width="33.8984375" customWidth="1"/>
    <col min="5" max="5" width="29.86328125" customWidth="1"/>
    <col min="6" max="6" width="18.16015625" customWidth="1"/>
    <col min="7" max="7" width="27.0390625" customWidth="1"/>
    <col min="8" max="20" width="17.62109375" customWidth="1"/>
    <col min="21" max="21" width="51.7890625" customWidth="1"/>
    <col min="22" max="22" width="19.7734375" customWidth="1"/>
    <col min="23" max="23" width="31.87890625" customWidth="1"/>
    <col min="24" max="24" width="17.62109375" customWidth="1"/>
    <col min="25" max="25" width="38.203125" customWidth="1"/>
    <col min="26" max="26" width="27.0390625" customWidth="1"/>
    <col min="27" max="27" width="18.6953125" customWidth="1"/>
    <col min="28" max="28" width="21.38671875" customWidth="1"/>
    <col min="29" max="29" width="15.33203125" customWidth="1"/>
    <col min="30" max="48" width="17.62109375" customWidth="1"/>
    <col min="55" max="55" width="32.8203125" customWidth="1"/>
    <col min="56" max="56" width="35.6484375" customWidth="1"/>
    <col min="57" max="57" width="38.60546875" customWidth="1"/>
  </cols>
  <sheetData>
    <row r="1" spans="3:29" ht="15.75" thickBot="1"/>
    <row r="2" spans="3:29" ht="51" customHeight="1" thickBot="1">
      <c r="C2" s="3204" t="s">
        <v>2075</v>
      </c>
      <c r="D2" s="3205" t="s">
        <v>44</v>
      </c>
      <c r="R2">
        <f>7.5/100</f>
        <v>7.4999999999999997E-2</v>
      </c>
      <c r="U2" s="3216" t="s">
        <v>965</v>
      </c>
      <c r="V2" s="3215"/>
      <c r="W2" s="3217" t="s">
        <v>2304</v>
      </c>
    </row>
    <row r="3" spans="3:29" ht="18" customHeight="1" thickBot="1">
      <c r="C3" s="459" t="s">
        <v>2044</v>
      </c>
      <c r="D3" s="461">
        <f>'Input '!C71</f>
        <v>0</v>
      </c>
      <c r="E3" s="1967">
        <f t="shared" ref="E3:E9" si="0">D3/$D$13</f>
        <v>0</v>
      </c>
      <c r="U3" s="2601" t="str">
        <f>'Project Cost Monthly'!B177</f>
        <v>Cost of Land (Including permits and approvals)</v>
      </c>
      <c r="V3" s="2602"/>
      <c r="W3" s="2603">
        <f>'Input '!C71+'Input '!C87+'Input '!C103+'Input '!C120</f>
        <v>0</v>
      </c>
      <c r="Y3" s="2199" t="s">
        <v>2088</v>
      </c>
      <c r="Z3" s="2199" t="s">
        <v>2157</v>
      </c>
      <c r="AA3" s="2199" t="s">
        <v>981</v>
      </c>
      <c r="AB3" s="2199" t="s">
        <v>892</v>
      </c>
      <c r="AC3" s="2200" t="s">
        <v>2089</v>
      </c>
    </row>
    <row r="4" spans="3:29" ht="18">
      <c r="C4" s="459" t="s">
        <v>2045</v>
      </c>
      <c r="D4" s="461">
        <f>'Input '!C72</f>
        <v>15955000</v>
      </c>
      <c r="E4" s="1569">
        <f t="shared" si="0"/>
        <v>1.1243765385208377E-2</v>
      </c>
      <c r="U4" s="2601" t="s">
        <v>1934</v>
      </c>
      <c r="V4" s="2602"/>
      <c r="W4" s="2603">
        <f>'Input '!C72+'Input '!C88+'Input '!C104+'Input '!C121</f>
        <v>27207600</v>
      </c>
      <c r="Y4" s="2184" t="s">
        <v>894</v>
      </c>
      <c r="Z4" s="2201">
        <f>'Capex Phasing Urea'!Y19</f>
        <v>392291000</v>
      </c>
      <c r="AA4" s="2201">
        <f>'Capex Phasing Urea'!Z19</f>
        <v>392291000</v>
      </c>
      <c r="AB4" s="2201">
        <f>'Capex Phasing Methanol'!H12</f>
        <v>228060000</v>
      </c>
      <c r="AC4" s="2029">
        <f>Z4+AA4+AB4</f>
        <v>1012642000</v>
      </c>
    </row>
    <row r="5" spans="3:29" ht="18">
      <c r="C5" s="459" t="s">
        <v>2224</v>
      </c>
      <c r="D5" s="461">
        <f>'Input '!C73</f>
        <v>869147000</v>
      </c>
      <c r="E5" s="1569">
        <f t="shared" si="0"/>
        <v>0.61250297419352584</v>
      </c>
      <c r="U5" s="2604" t="s">
        <v>2082</v>
      </c>
      <c r="V5" s="2605"/>
      <c r="W5" s="2606">
        <f>'Project Cost Monthly'!D178</f>
        <v>2174784300</v>
      </c>
      <c r="Y5" s="2184" t="s">
        <v>996</v>
      </c>
      <c r="Z5" s="2201">
        <f>'Capex Phasing Urea'!Y20</f>
        <v>14122400</v>
      </c>
      <c r="AA5" s="2201">
        <f>'Capex Phasing Urea'!Z20</f>
        <v>14122400</v>
      </c>
      <c r="AB5" s="2201">
        <f>'Capex Phasing Methanol'!H13</f>
        <v>24188800</v>
      </c>
      <c r="AC5" s="2029">
        <f t="shared" ref="AC5:AC12" si="1">Z5+AA5+AB5</f>
        <v>52433600</v>
      </c>
    </row>
    <row r="6" spans="3:29" ht="18">
      <c r="C6" s="459" t="s">
        <v>845</v>
      </c>
      <c r="D6" s="461">
        <f>'Input '!C74</f>
        <v>64578918.367346942</v>
      </c>
      <c r="E6" s="1569">
        <f t="shared" si="0"/>
        <v>4.5509884484673954E-2</v>
      </c>
      <c r="U6" s="2604" t="str">
        <f>'Project Cost Monthly'!B179</f>
        <v xml:space="preserve">Outside Boundaries Infrastructure  </v>
      </c>
      <c r="V6" s="2605"/>
      <c r="W6" s="2606">
        <f>'Project Cost Monthly'!D179</f>
        <v>175291748.979592</v>
      </c>
      <c r="Y6" s="2184" t="s">
        <v>896</v>
      </c>
      <c r="Z6" s="2201">
        <f>'Capex Phasing Urea'!Y21</f>
        <v>15053900</v>
      </c>
      <c r="AA6" s="2201">
        <f>'Capex Phasing Urea'!Z21</f>
        <v>15053900</v>
      </c>
      <c r="AB6" s="2201">
        <f>'Capex Phasing Methanol'!H14</f>
        <v>25106400</v>
      </c>
      <c r="AC6" s="2029">
        <f t="shared" si="1"/>
        <v>55214200</v>
      </c>
    </row>
    <row r="7" spans="3:29" ht="18">
      <c r="C7" s="459" t="s">
        <v>119</v>
      </c>
      <c r="D7" s="461">
        <f>'Input '!C75</f>
        <v>72867200</v>
      </c>
      <c r="E7" s="1569">
        <f t="shared" si="0"/>
        <v>5.1350780387154862E-2</v>
      </c>
      <c r="R7" s="398">
        <f>Q8-Q9</f>
        <v>199800000</v>
      </c>
      <c r="U7" s="2604" t="str">
        <f>'Project Cost Monthly'!B180</f>
        <v>Pre-Operational Expenses</v>
      </c>
      <c r="V7" s="2605"/>
      <c r="W7" s="2606">
        <f>'Project Cost Monthly'!D180</f>
        <v>230882400</v>
      </c>
      <c r="X7" s="1569"/>
      <c r="Y7" s="2184" t="s">
        <v>997</v>
      </c>
      <c r="Z7" s="2201">
        <f>'Capex Phasing Urea'!Y22</f>
        <v>44852900</v>
      </c>
      <c r="AA7" s="2201">
        <f>'Capex Phasing Urea'!Z22</f>
        <v>44852900</v>
      </c>
      <c r="AB7" s="2201">
        <f>'Capex Phasing Methanol'!H15</f>
        <v>59162700</v>
      </c>
      <c r="AC7" s="2029">
        <f t="shared" si="1"/>
        <v>148868500</v>
      </c>
    </row>
    <row r="8" spans="3:29" ht="18">
      <c r="C8" s="459" t="s">
        <v>122</v>
      </c>
      <c r="D8" s="461">
        <f>'Input '!C76</f>
        <v>155271400</v>
      </c>
      <c r="E8" s="1569">
        <f t="shared" si="0"/>
        <v>0.10942245018068592</v>
      </c>
      <c r="Q8" s="978">
        <f>216000000</f>
        <v>216000000</v>
      </c>
      <c r="U8" s="2604" t="str">
        <f>'Project Cost Monthly'!B181</f>
        <v>Other development costs</v>
      </c>
      <c r="V8" s="2605"/>
      <c r="W8" s="2606">
        <f>'Project Cost Monthly'!D181</f>
        <v>351641800</v>
      </c>
      <c r="X8" s="1569"/>
      <c r="Y8" s="2184" t="s">
        <v>875</v>
      </c>
      <c r="Z8" s="2201">
        <f>'Capex Phasing Urea'!Y23</f>
        <v>90957500</v>
      </c>
      <c r="AA8" s="2201">
        <f>'Capex Phasing Urea'!Z23</f>
        <v>77314000</v>
      </c>
      <c r="AB8" s="2201">
        <f>'Capex Phasing Methanol'!H16</f>
        <v>104111300</v>
      </c>
      <c r="AC8" s="2029">
        <f t="shared" si="1"/>
        <v>272382800</v>
      </c>
    </row>
    <row r="9" spans="3:29" ht="18">
      <c r="C9" s="459" t="s">
        <v>120</v>
      </c>
      <c r="D9" s="461">
        <f>'Input '!C77</f>
        <v>90552000</v>
      </c>
      <c r="E9" s="1569">
        <f t="shared" si="0"/>
        <v>6.3813565851544268E-2</v>
      </c>
      <c r="Q9" s="413">
        <f>R2*Q8</f>
        <v>16200000</v>
      </c>
      <c r="U9" s="2604" t="str">
        <f>'Project Cost Monthly'!B182</f>
        <v>Working Capital</v>
      </c>
      <c r="V9" s="2605"/>
      <c r="W9" s="2606">
        <f>'Project Cost Monthly'!D182</f>
        <v>229221500</v>
      </c>
      <c r="X9" s="1569"/>
      <c r="Y9" s="2184" t="s">
        <v>998</v>
      </c>
      <c r="Z9" s="2201">
        <f>'Capex Phasing Urea'!Y24</f>
        <v>25041000</v>
      </c>
      <c r="AA9" s="2201">
        <f>'Capex Phasing Urea'!Z24</f>
        <v>16276500</v>
      </c>
      <c r="AB9" s="2201">
        <f>'Capex Phasing Methanol'!H17</f>
        <v>22215000</v>
      </c>
      <c r="AC9" s="2029">
        <f t="shared" si="1"/>
        <v>63532500</v>
      </c>
    </row>
    <row r="10" spans="3:29" ht="18.75" thickBot="1">
      <c r="C10" s="2387" t="s">
        <v>2229</v>
      </c>
      <c r="D10" s="2388">
        <f>SUM(D3:D9)</f>
        <v>1268371518.367347</v>
      </c>
      <c r="E10" s="1569"/>
      <c r="U10" s="2604" t="str">
        <f>'Project Cost Monthly'!B184</f>
        <v>VAT</v>
      </c>
      <c r="V10" s="2605"/>
      <c r="W10" s="2606">
        <f>'Project Cost Monthly'!D184</f>
        <v>202764401.37755099</v>
      </c>
      <c r="X10" s="1569"/>
      <c r="Y10" s="2184"/>
      <c r="Z10" s="2201"/>
      <c r="AA10" s="2201"/>
      <c r="AB10" s="2201"/>
      <c r="AC10" s="2029"/>
    </row>
    <row r="11" spans="3:29" ht="18">
      <c r="C11" s="472" t="s">
        <v>9</v>
      </c>
      <c r="D11" s="473">
        <f>'Input '!C79</f>
        <v>51636500</v>
      </c>
      <c r="E11" s="1569">
        <f>D11/$D$13</f>
        <v>3.6389137656741607E-2</v>
      </c>
      <c r="Q11" s="398">
        <f>Q8-Q9</f>
        <v>199800000</v>
      </c>
      <c r="U11" s="2604" t="str">
        <f>'Project Cost Monthly'!B185</f>
        <v>Contingency</v>
      </c>
      <c r="V11" s="2605"/>
      <c r="W11" s="2606">
        <f>'Project Cost Monthly'!D185</f>
        <v>203468122.29591835</v>
      </c>
      <c r="Y11" s="2184" t="s">
        <v>898</v>
      </c>
      <c r="Z11" s="2201">
        <f>'Capex Phasing Urea'!Y25</f>
        <v>24127700</v>
      </c>
      <c r="AA11" s="2201">
        <f>'Capex Phasing Urea'!Z25</f>
        <v>13160700</v>
      </c>
      <c r="AB11" s="2201">
        <f>'Capex Phasing Methanol'!H18</f>
        <v>34140900</v>
      </c>
      <c r="AC11" s="2029">
        <f t="shared" si="1"/>
        <v>71429300</v>
      </c>
    </row>
    <row r="12" spans="3:29" ht="18">
      <c r="C12" s="459" t="s">
        <v>123</v>
      </c>
      <c r="D12" s="461">
        <f>'Input '!C80</f>
        <v>99000601.377551019</v>
      </c>
      <c r="E12" s="1569">
        <f>D12/$D$13</f>
        <v>6.9767441860465115E-2</v>
      </c>
      <c r="U12" s="2604" t="s">
        <v>2046</v>
      </c>
      <c r="V12" s="2605"/>
      <c r="W12" s="2606">
        <f>'Project Cost Monthly'!D186</f>
        <v>216000000</v>
      </c>
      <c r="Y12" s="2192" t="s">
        <v>899</v>
      </c>
      <c r="Z12" s="2202">
        <f>'Capex Phasing Urea'!Y26</f>
        <v>6743600</v>
      </c>
      <c r="AA12" s="2202">
        <f>'Capex Phasing Urea'!Z26</f>
        <v>4046200</v>
      </c>
      <c r="AB12" s="2202">
        <f>'Capex Phasing Methanol'!H19</f>
        <v>6902200</v>
      </c>
      <c r="AC12" s="2029">
        <f t="shared" si="1"/>
        <v>17692000</v>
      </c>
    </row>
    <row r="13" spans="3:29" ht="18.75" thickBot="1">
      <c r="C13" s="3206" t="s">
        <v>71</v>
      </c>
      <c r="D13" s="3207">
        <f>D10+D11+D12</f>
        <v>1419008619.7448981</v>
      </c>
      <c r="E13" s="395">
        <f>SUM(E3:E12)</f>
        <v>1</v>
      </c>
      <c r="Q13" s="398">
        <f>Q11*R2</f>
        <v>14985000</v>
      </c>
      <c r="U13" s="2604" t="s">
        <v>1705</v>
      </c>
      <c r="V13" s="2605"/>
      <c r="W13" s="2606">
        <f>'Project Cost Monthly'!D210+'Project Cost Monthly'!D211</f>
        <v>329189220.14716619</v>
      </c>
      <c r="Y13" s="2197" t="s">
        <v>2090</v>
      </c>
      <c r="Z13" s="2198">
        <f>SUM(Z4:Z12)</f>
        <v>613190000</v>
      </c>
      <c r="AA13" s="2198">
        <f>SUM(AA4:AA12)</f>
        <v>577117600</v>
      </c>
      <c r="AB13" s="2198">
        <f>SUM(AB4:AB12)</f>
        <v>503887300</v>
      </c>
      <c r="AC13" s="2198">
        <f>SUM(AC4:AC12)</f>
        <v>1694194900</v>
      </c>
    </row>
    <row r="14" spans="3:29" ht="18.75" thickBot="1">
      <c r="U14" s="3218" t="str">
        <f>'Project Cost Monthly'!B187</f>
        <v>Total</v>
      </c>
      <c r="V14" s="3219"/>
      <c r="W14" s="3220">
        <f>SUM(W3:W13)</f>
        <v>4140451092.8002276</v>
      </c>
    </row>
    <row r="15" spans="3:29" ht="24.6" customHeight="1" thickTop="1" thickBot="1">
      <c r="Q15" s="398">
        <f>Q8-Q13</f>
        <v>201015000</v>
      </c>
      <c r="Y15" s="2193" t="s">
        <v>2091</v>
      </c>
      <c r="Z15" s="2194" t="s">
        <v>961</v>
      </c>
      <c r="AA15" s="2194" t="s">
        <v>981</v>
      </c>
      <c r="AB15" s="2195" t="s">
        <v>892</v>
      </c>
      <c r="AC15" s="2196" t="s">
        <v>2089</v>
      </c>
    </row>
    <row r="16" spans="3:29">
      <c r="Y16" s="472" t="s">
        <v>826</v>
      </c>
      <c r="Z16" s="2281">
        <f>'Input '!C71</f>
        <v>0</v>
      </c>
      <c r="AA16" s="541">
        <f>'Input '!C87</f>
        <v>0</v>
      </c>
      <c r="AB16" s="541">
        <f>'Input '!C120</f>
        <v>0</v>
      </c>
      <c r="AC16" s="473">
        <f>Z16+AA16+AB16</f>
        <v>0</v>
      </c>
    </row>
    <row r="17" spans="3:31">
      <c r="Y17" s="459" t="s">
        <v>1934</v>
      </c>
      <c r="Z17" s="436">
        <f>'Capex Phasing Urea'!Y42</f>
        <v>4707000</v>
      </c>
      <c r="AA17" s="436">
        <f>'Capex Phasing Urea'!Z42</f>
        <v>3209000</v>
      </c>
      <c r="AB17" s="436">
        <f>'Capex Phasing Methanol'!F35</f>
        <v>5501200</v>
      </c>
      <c r="AC17" s="473">
        <f t="shared" ref="AC17:AC23" si="2">Z17+AA17+AB17</f>
        <v>13417200</v>
      </c>
    </row>
    <row r="18" spans="3:31">
      <c r="Y18" s="459" t="s">
        <v>845</v>
      </c>
      <c r="Z18" s="436">
        <f>'Capex Phasing Urea'!Y44</f>
        <v>44632212.244897962</v>
      </c>
      <c r="AA18" s="436">
        <f>'Capex Phasing Urea'!Z44</f>
        <v>37836312.244897962</v>
      </c>
      <c r="AB18" s="436">
        <f>'Capex Phasing Methanol'!F37</f>
        <v>58591512.244897962</v>
      </c>
      <c r="AC18" s="473">
        <f t="shared" si="2"/>
        <v>141060036.73469388</v>
      </c>
    </row>
    <row r="19" spans="3:31">
      <c r="U19" t="s">
        <v>961</v>
      </c>
      <c r="V19" s="311">
        <f>'Input '!C78+'Input '!C79+'Input '!C80</f>
        <v>1419008619.7448981</v>
      </c>
      <c r="W19" s="395">
        <f>V19/$V$24</f>
        <v>0.34271836279201379</v>
      </c>
      <c r="Y19" s="459" t="s">
        <v>119</v>
      </c>
      <c r="Z19" s="436">
        <f>'Capex Phasing Urea'!Y45</f>
        <v>56868000</v>
      </c>
      <c r="AA19" s="436">
        <f>'Capex Phasing Urea'!Z45</f>
        <v>42651000</v>
      </c>
      <c r="AB19" s="436">
        <f>'Capex Phasing Methanol'!F38</f>
        <v>68780900</v>
      </c>
      <c r="AC19" s="473">
        <f t="shared" si="2"/>
        <v>168299900</v>
      </c>
    </row>
    <row r="20" spans="3:31">
      <c r="U20" t="s">
        <v>1706</v>
      </c>
      <c r="V20" s="311">
        <f>'Project Cost Monthly'!D89</f>
        <v>891273160.66326511</v>
      </c>
      <c r="W20" s="395">
        <f>V20/$V$24</f>
        <v>0.21525991750345455</v>
      </c>
      <c r="Y20" s="459" t="s">
        <v>122</v>
      </c>
      <c r="Z20" s="436">
        <f>'Capex Phasing Urea'!Y46</f>
        <v>115014000</v>
      </c>
      <c r="AA20" s="436">
        <f>'Capex Phasing Urea'!Z46</f>
        <v>78793700</v>
      </c>
      <c r="AB20" s="436">
        <f>'Capex Phasing Methanol'!F39</f>
        <v>97136800</v>
      </c>
      <c r="AC20" s="473">
        <f t="shared" si="2"/>
        <v>290944500</v>
      </c>
    </row>
    <row r="21" spans="3:31">
      <c r="U21" t="s">
        <v>1936</v>
      </c>
      <c r="V21" s="311">
        <f>'Project Cost Monthly'!D167</f>
        <v>1284980092.2448976</v>
      </c>
      <c r="W21" s="395">
        <f>V21/$V$24</f>
        <v>0.31034784941170579</v>
      </c>
      <c r="Y21" s="459" t="s">
        <v>120</v>
      </c>
      <c r="Z21" s="436">
        <f>'Capex Phasing Urea'!Y47</f>
        <v>64742900</v>
      </c>
      <c r="AA21" s="436">
        <f>'Capex Phasing Urea'!Z47</f>
        <v>56815900</v>
      </c>
      <c r="AB21" s="436">
        <f>'Capex Phasing Methanol'!F40</f>
        <v>57796800</v>
      </c>
      <c r="AC21" s="473">
        <f t="shared" si="2"/>
        <v>179355600</v>
      </c>
    </row>
    <row r="22" spans="3:31" ht="15.75" thickBot="1">
      <c r="U22" t="s">
        <v>2046</v>
      </c>
      <c r="V22" s="311">
        <f>'Project Cost Monthly'!D186</f>
        <v>216000000</v>
      </c>
      <c r="W22" s="395">
        <f>V22/$V$24</f>
        <v>5.2168228813425518E-2</v>
      </c>
      <c r="Y22" s="459" t="s">
        <v>123</v>
      </c>
      <c r="Z22" s="436">
        <f>'Capex Phasing Urea'!Y48</f>
        <v>43557100</v>
      </c>
      <c r="AA22" s="436">
        <f>'Capex Phasing Urea'!Z48</f>
        <v>32667800</v>
      </c>
      <c r="AB22" s="436">
        <f>'Capex Phasing Methanol'!F43</f>
        <v>63236370.918367341</v>
      </c>
      <c r="AC22" s="473">
        <f t="shared" si="2"/>
        <v>139461270.91836733</v>
      </c>
      <c r="AE22" s="413">
        <f>AC13+AC24</f>
        <v>2811075696.9897957</v>
      </c>
    </row>
    <row r="23" spans="3:31" ht="15.75" thickBot="1">
      <c r="C23" s="3208" t="s">
        <v>2226</v>
      </c>
      <c r="D23" s="3205" t="s">
        <v>44</v>
      </c>
      <c r="E23" s="1968"/>
      <c r="G23" s="1570"/>
      <c r="U23" t="s">
        <v>1705</v>
      </c>
      <c r="V23" s="311">
        <f>W13</f>
        <v>329189220.14716619</v>
      </c>
      <c r="W23" s="395">
        <f>V23/$V$24</f>
        <v>7.9505641479400341E-2</v>
      </c>
      <c r="Y23" s="459" t="s">
        <v>9</v>
      </c>
      <c r="Z23" s="436">
        <f>'Capex Phasing Urea'!Y50</f>
        <v>70703340.918367341</v>
      </c>
      <c r="AA23" s="436">
        <f>'Capex Phasing Urea'!Z50</f>
        <v>62181848.418367341</v>
      </c>
      <c r="AB23" s="436">
        <f>'Capex Phasing Methanol'!F41</f>
        <v>51457100</v>
      </c>
      <c r="AC23" s="473">
        <f t="shared" si="2"/>
        <v>184342289.33673468</v>
      </c>
    </row>
    <row r="24" spans="3:31" ht="15.75" thickBot="1">
      <c r="C24" s="459" t="s">
        <v>2044</v>
      </c>
      <c r="D24" s="461">
        <f>'Input '!C87</f>
        <v>0</v>
      </c>
      <c r="E24" s="1969">
        <f t="shared" ref="E24:E33" si="3">D24/$D$34</f>
        <v>0</v>
      </c>
      <c r="G24" s="458"/>
      <c r="U24" s="981" t="s">
        <v>655</v>
      </c>
      <c r="V24" s="983">
        <f>SUM(V19:V23)</f>
        <v>4140451092.8002272</v>
      </c>
      <c r="Y24" s="2185" t="s">
        <v>2090</v>
      </c>
      <c r="Z24" s="2186">
        <f>SUM(Z16:Z23)</f>
        <v>400224553.16326529</v>
      </c>
      <c r="AA24" s="2186">
        <f>SUM(AA16:AA23)</f>
        <v>314155560.66326529</v>
      </c>
      <c r="AB24" s="2186">
        <f>SUM(AB16:AB23)</f>
        <v>402500683.16326529</v>
      </c>
      <c r="AC24" s="2187">
        <f>SUM(AC16:AC23)</f>
        <v>1116880796.9897959</v>
      </c>
      <c r="AE24" s="413">
        <f>AE22+AC27+AC28</f>
        <v>3356264917.1369619</v>
      </c>
    </row>
    <row r="25" spans="3:31" ht="16.5" thickTop="1" thickBot="1">
      <c r="C25" s="459" t="s">
        <v>2045</v>
      </c>
      <c r="D25" s="461">
        <f>'Input '!C88</f>
        <v>3209000</v>
      </c>
      <c r="E25" s="1969">
        <f t="shared" si="3"/>
        <v>3.6004674454820727E-3</v>
      </c>
      <c r="G25" s="458"/>
      <c r="AC25" s="413">
        <f>AC13+AC24</f>
        <v>2811075696.9897957</v>
      </c>
    </row>
    <row r="26" spans="3:31" ht="15.75" thickBot="1">
      <c r="C26" s="459" t="s">
        <v>2224</v>
      </c>
      <c r="D26" s="461">
        <f>'Input '!C89</f>
        <v>577117600</v>
      </c>
      <c r="E26" s="1970">
        <f t="shared" si="3"/>
        <v>0.64752045217037857</v>
      </c>
      <c r="G26" s="458"/>
      <c r="X26" s="413">
        <f>W3+W4</f>
        <v>27207600</v>
      </c>
      <c r="Y26" s="2185" t="s">
        <v>2094</v>
      </c>
      <c r="Z26" s="2191"/>
      <c r="AA26" s="2191"/>
      <c r="AB26" s="2188"/>
      <c r="AC26" s="2188"/>
      <c r="AD26" s="2189"/>
    </row>
    <row r="27" spans="3:31">
      <c r="C27" s="459" t="str">
        <f>'Input '!B90</f>
        <v xml:space="preserve">Outside Boundaries Infrastructure  </v>
      </c>
      <c r="D27" s="461">
        <f>'Input '!C90</f>
        <v>37836312.244897962</v>
      </c>
      <c r="E27" s="1970">
        <f t="shared" si="3"/>
        <v>4.245198208004046E-2</v>
      </c>
      <c r="G27" s="458"/>
      <c r="X27" s="413">
        <f>X26-'Project Cost Monthly'!D177</f>
        <v>0</v>
      </c>
      <c r="Y27" t="s">
        <v>2093</v>
      </c>
      <c r="AC27" s="311">
        <f>'Input '!C81</f>
        <v>216000000</v>
      </c>
    </row>
    <row r="28" spans="3:31" ht="15.75" thickBot="1">
      <c r="C28" s="459" t="str">
        <f>'Input '!B91</f>
        <v>Pre-Operational Expenses</v>
      </c>
      <c r="D28" s="461">
        <f>'Input '!C91</f>
        <v>42651000</v>
      </c>
      <c r="E28" s="1970">
        <f t="shared" si="3"/>
        <v>4.7854015898178837E-2</v>
      </c>
      <c r="G28" s="458"/>
      <c r="Y28" s="2190" t="s">
        <v>2092</v>
      </c>
      <c r="Z28" s="2190"/>
      <c r="AA28" s="2190"/>
      <c r="AC28" s="311">
        <f>'Project Cost Monthly'!D210+'Project Cost Monthly'!D211</f>
        <v>329189220.14716619</v>
      </c>
    </row>
    <row r="29" spans="3:31" ht="15.75" thickBot="1">
      <c r="C29" s="459" t="str">
        <f>'Input '!B92</f>
        <v>Other development costs</v>
      </c>
      <c r="D29" s="461">
        <f>'Input '!C92</f>
        <v>78793700</v>
      </c>
      <c r="E29" s="1970">
        <f t="shared" si="3"/>
        <v>8.840578116518566E-2</v>
      </c>
      <c r="G29" s="458"/>
      <c r="Y29" s="251" t="s">
        <v>965</v>
      </c>
      <c r="Z29" s="302"/>
      <c r="AA29" s="302"/>
      <c r="AB29" s="310"/>
      <c r="AC29" s="452">
        <f>AC13+AC24+AC27+AC28</f>
        <v>3356264917.1369619</v>
      </c>
      <c r="AD29" s="303"/>
    </row>
    <row r="30" spans="3:31">
      <c r="C30" s="459" t="str">
        <f>'Input '!B93</f>
        <v>Working Capital</v>
      </c>
      <c r="D30" s="461">
        <f>'Input '!C93</f>
        <v>56815900</v>
      </c>
      <c r="E30" s="1970">
        <f t="shared" si="3"/>
        <v>6.3746898826975665E-2</v>
      </c>
      <c r="G30" s="458"/>
      <c r="W30" s="413">
        <f>W4-'Project Cost Monthly'!D177</f>
        <v>0</v>
      </c>
    </row>
    <row r="31" spans="3:31" ht="15.75" thickBot="1">
      <c r="C31" s="2387" t="s">
        <v>2229</v>
      </c>
      <c r="D31" s="2388">
        <f>SUM(D24:D30)</f>
        <v>796423512.24489796</v>
      </c>
      <c r="E31" s="1970"/>
      <c r="G31" s="458"/>
      <c r="W31" s="413"/>
    </row>
    <row r="32" spans="3:31">
      <c r="C32" s="472" t="str">
        <f>'Input '!B95</f>
        <v>Contingency</v>
      </c>
      <c r="D32" s="473">
        <f>'Input '!C95</f>
        <v>32667800</v>
      </c>
      <c r="E32" s="1970">
        <f t="shared" si="3"/>
        <v>3.6652960553293631E-2</v>
      </c>
      <c r="G32" s="458"/>
      <c r="AC32" s="413">
        <f>AC13+AC24</f>
        <v>2811075696.9897957</v>
      </c>
    </row>
    <row r="33" spans="3:29" ht="15.75" thickBot="1">
      <c r="C33" s="928" t="str">
        <f>'Input '!B96</f>
        <v>VAT</v>
      </c>
      <c r="D33" s="1972">
        <f>'Input '!C96</f>
        <v>62181848.418367341</v>
      </c>
      <c r="E33" s="1970">
        <f t="shared" si="3"/>
        <v>6.9767441860465101E-2</v>
      </c>
      <c r="G33" s="458"/>
      <c r="AC33" s="413">
        <f>AC32+AC27+AC28</f>
        <v>3356264917.1369619</v>
      </c>
    </row>
    <row r="34" spans="3:29" ht="15.75" thickBot="1">
      <c r="C34" s="3209" t="str">
        <f>'Input '!B97</f>
        <v>Total</v>
      </c>
      <c r="D34" s="3210">
        <f>D31+D32+D33</f>
        <v>891273160.66326535</v>
      </c>
      <c r="E34" s="1971">
        <f>SUM(E24:E33)</f>
        <v>0.99999999999999989</v>
      </c>
      <c r="G34" s="1571"/>
    </row>
    <row r="35" spans="3:29">
      <c r="C35" t="str">
        <f>'Input '!B98</f>
        <v>Grand Total - (US$)</v>
      </c>
      <c r="E35" s="311">
        <f>'Input '!C98</f>
        <v>0</v>
      </c>
    </row>
    <row r="38" spans="3:29" ht="15.75" thickBot="1"/>
    <row r="39" spans="3:29" ht="15.75" thickBot="1">
      <c r="C39" s="3211" t="s">
        <v>2227</v>
      </c>
      <c r="D39" s="3212" t="s">
        <v>44</v>
      </c>
    </row>
    <row r="40" spans="3:29" ht="15.75" thickBot="1">
      <c r="C40" s="459" t="s">
        <v>2044</v>
      </c>
      <c r="D40" s="461">
        <f>'Input '!C120</f>
        <v>0</v>
      </c>
      <c r="E40" s="1581">
        <f t="shared" ref="E40:E46" si="4">D40/$D$50</f>
        <v>0</v>
      </c>
      <c r="Y40" s="3221" t="s">
        <v>2088</v>
      </c>
      <c r="Z40" s="3221" t="s">
        <v>2228</v>
      </c>
      <c r="AA40" s="3221" t="s">
        <v>981</v>
      </c>
      <c r="AB40" s="3221" t="s">
        <v>2214</v>
      </c>
      <c r="AC40" s="3222" t="s">
        <v>2089</v>
      </c>
    </row>
    <row r="41" spans="3:29">
      <c r="C41" s="459" t="s">
        <v>2045</v>
      </c>
      <c r="D41" s="461">
        <f>'Input '!C121</f>
        <v>8043600</v>
      </c>
      <c r="E41" s="1974">
        <f t="shared" si="4"/>
        <v>6.2597078729426806E-3</v>
      </c>
      <c r="Y41" s="2184" t="s">
        <v>894</v>
      </c>
      <c r="Z41" s="2201">
        <f>'Capex Phasing Urea'!Y57</f>
        <v>0</v>
      </c>
      <c r="AA41" s="2201">
        <f>'Capex Phasing Urea'!Z57</f>
        <v>0</v>
      </c>
      <c r="AB41" s="2201">
        <f>'Capex Phasing Methanol'!F12</f>
        <v>228060000</v>
      </c>
      <c r="AC41" s="2029">
        <f>SUM(Z41:AB41)</f>
        <v>228060000</v>
      </c>
    </row>
    <row r="42" spans="3:29">
      <c r="C42" s="459" t="s">
        <v>2225</v>
      </c>
      <c r="D42" s="461">
        <f>'Input '!C122</f>
        <v>728519700</v>
      </c>
      <c r="E42" s="1974">
        <f t="shared" si="4"/>
        <v>0.56695018420655419</v>
      </c>
      <c r="Y42" s="2184" t="s">
        <v>996</v>
      </c>
      <c r="Z42" s="2201">
        <f>'Capex Phasing Urea'!Y58</f>
        <v>0</v>
      </c>
      <c r="AA42" s="2201">
        <f>'Capex Phasing Urea'!Z58</f>
        <v>0</v>
      </c>
      <c r="AB42" s="2201">
        <f>'Capex Phasing Methanol'!F13</f>
        <v>24188800</v>
      </c>
      <c r="AC42" s="2029">
        <f t="shared" ref="AC42:AC49" si="5">SUM(Z42:AB42)</f>
        <v>24188800</v>
      </c>
    </row>
    <row r="43" spans="3:29">
      <c r="C43" s="459" t="str">
        <f>'Input '!B123</f>
        <v xml:space="preserve">Outside Boundaries Infrastructure  </v>
      </c>
      <c r="D43" s="1976">
        <f>'Input '!C123</f>
        <v>72876518.367346942</v>
      </c>
      <c r="E43" s="1974">
        <f t="shared" si="4"/>
        <v>5.6714122504442473E-2</v>
      </c>
      <c r="G43" s="978">
        <f>500000/44.5</f>
        <v>11235.955056179775</v>
      </c>
      <c r="Y43" s="2184" t="s">
        <v>896</v>
      </c>
      <c r="Z43" s="2201">
        <f>'Capex Phasing Urea'!Y59</f>
        <v>0</v>
      </c>
      <c r="AA43" s="2201">
        <f>'Capex Phasing Urea'!Z59</f>
        <v>0</v>
      </c>
      <c r="AB43" s="2201">
        <f>'Capex Phasing Methanol'!F14</f>
        <v>25106400</v>
      </c>
      <c r="AC43" s="2029">
        <f t="shared" si="5"/>
        <v>25106400</v>
      </c>
    </row>
    <row r="44" spans="3:29">
      <c r="C44" s="459" t="str">
        <f>'Input '!B124</f>
        <v>Pre-Operational Expenses</v>
      </c>
      <c r="D44" s="1976">
        <f>'Input '!C124</f>
        <v>115364200</v>
      </c>
      <c r="E44" s="1974">
        <f t="shared" si="4"/>
        <v>8.9778978441958077E-2</v>
      </c>
      <c r="Y44" s="2184" t="s">
        <v>997</v>
      </c>
      <c r="Z44" s="2201">
        <f>'Capex Phasing Urea'!Y60</f>
        <v>0</v>
      </c>
      <c r="AA44" s="2201">
        <f>'Capex Phasing Urea'!Z60</f>
        <v>0</v>
      </c>
      <c r="AB44" s="2201">
        <f>'Capex Phasing Methanol'!F15</f>
        <v>59162700</v>
      </c>
      <c r="AC44" s="2029">
        <f t="shared" si="5"/>
        <v>59162700</v>
      </c>
    </row>
    <row r="45" spans="3:29">
      <c r="C45" s="459" t="str">
        <f>'Input '!B125</f>
        <v>Other development costs</v>
      </c>
      <c r="D45" s="1976">
        <f>'Input '!C125</f>
        <v>117576700</v>
      </c>
      <c r="E45" s="1974">
        <f t="shared" si="4"/>
        <v>9.150079500032568E-2</v>
      </c>
      <c r="Y45" s="2184" t="s">
        <v>875</v>
      </c>
      <c r="Z45" s="2201">
        <f>'Capex Phasing Urea'!Y61</f>
        <v>0</v>
      </c>
      <c r="AA45" s="2201">
        <f>'Capex Phasing Urea'!Z61</f>
        <v>0</v>
      </c>
      <c r="AB45" s="2201">
        <f>'Capex Phasing Methanol'!F16</f>
        <v>104111300</v>
      </c>
      <c r="AC45" s="2029">
        <f t="shared" si="5"/>
        <v>104111300</v>
      </c>
    </row>
    <row r="46" spans="3:29">
      <c r="C46" s="459" t="str">
        <f>'Input '!B126</f>
        <v>Working Capital</v>
      </c>
      <c r="D46" s="1976">
        <f>'Input '!C126</f>
        <v>81853600</v>
      </c>
      <c r="E46" s="1974">
        <f t="shared" si="4"/>
        <v>6.3700286482259311E-2</v>
      </c>
      <c r="Y46" s="2184" t="s">
        <v>998</v>
      </c>
      <c r="Z46" s="2201">
        <f>'Capex Phasing Urea'!Y62</f>
        <v>0</v>
      </c>
      <c r="AA46" s="2201">
        <f>'Capex Phasing Urea'!Z62</f>
        <v>0</v>
      </c>
      <c r="AB46" s="2201">
        <f>'Capex Phasing Methanol'!F17</f>
        <v>22215000</v>
      </c>
      <c r="AC46" s="2029">
        <f t="shared" si="5"/>
        <v>22215000</v>
      </c>
    </row>
    <row r="47" spans="3:29" ht="15.75" thickBot="1">
      <c r="C47" s="2387" t="s">
        <v>2229</v>
      </c>
      <c r="D47" s="2390">
        <f>SUM(D40:D46)</f>
        <v>1124234318.367347</v>
      </c>
      <c r="E47" s="1974"/>
      <c r="Y47" s="2184"/>
      <c r="Z47" s="2201"/>
      <c r="AA47" s="2201"/>
      <c r="AB47" s="2201"/>
      <c r="AC47" s="2029"/>
    </row>
    <row r="48" spans="3:29">
      <c r="C48" s="472" t="str">
        <f>'Input '!B128</f>
        <v>Contingency</v>
      </c>
      <c r="D48" s="2389">
        <f>'Input '!C128</f>
        <v>71096000</v>
      </c>
      <c r="E48" s="1974">
        <f>D48/$D$50</f>
        <v>5.5328483631052361E-2</v>
      </c>
      <c r="Y48" s="2184" t="s">
        <v>898</v>
      </c>
      <c r="Z48" s="2201">
        <f>'Capex Phasing Urea'!Y63</f>
        <v>0</v>
      </c>
      <c r="AA48" s="2201">
        <f>'Capex Phasing Urea'!Z63</f>
        <v>0</v>
      </c>
      <c r="AB48" s="2201">
        <f>'Capex Phasing Methanol'!F18</f>
        <v>34140900</v>
      </c>
      <c r="AC48" s="2029">
        <f t="shared" si="5"/>
        <v>34140900</v>
      </c>
    </row>
    <row r="49" spans="3:29">
      <c r="C49" s="459" t="str">
        <f>'Input '!B129</f>
        <v>VAT</v>
      </c>
      <c r="D49" s="1976">
        <f>'Input '!C129</f>
        <v>89649773.877551019</v>
      </c>
      <c r="E49" s="1974">
        <f>D49/$D$50</f>
        <v>6.9767441860465115E-2</v>
      </c>
      <c r="Y49" s="2192" t="s">
        <v>899</v>
      </c>
      <c r="Z49" s="2201">
        <f>'Capex Phasing Urea'!Y64</f>
        <v>0</v>
      </c>
      <c r="AA49" s="2201">
        <f>'Capex Phasing Urea'!Z64</f>
        <v>0</v>
      </c>
      <c r="AB49" s="2201">
        <f>'Capex Phasing Methanol'!F19</f>
        <v>6902200</v>
      </c>
      <c r="AC49" s="2029">
        <f t="shared" si="5"/>
        <v>6902200</v>
      </c>
    </row>
    <row r="50" spans="3:29" ht="15.75" thickBot="1">
      <c r="C50" s="3213" t="str">
        <f>'Input '!B130</f>
        <v>Total</v>
      </c>
      <c r="D50" s="3214">
        <f>D47+D48+D49</f>
        <v>1284980092.2448981</v>
      </c>
      <c r="E50" s="1975">
        <f>SUM(E40:E49)</f>
        <v>1</v>
      </c>
      <c r="Y50" s="3223" t="s">
        <v>2090</v>
      </c>
      <c r="Z50" s="3224">
        <f>SUM(Z41:Z49)</f>
        <v>0</v>
      </c>
      <c r="AA50" s="3224">
        <f>SUM(AA41:AA49)</f>
        <v>0</v>
      </c>
      <c r="AB50" s="3224">
        <f>SUM(AB41:AB49)</f>
        <v>503887300</v>
      </c>
      <c r="AC50" s="3224">
        <f>SUM(AC41:AC49)</f>
        <v>503887300</v>
      </c>
    </row>
    <row r="52" spans="3:29" ht="15.75" thickBot="1">
      <c r="Y52" s="3225" t="s">
        <v>2091</v>
      </c>
      <c r="Z52" s="3226" t="s">
        <v>961</v>
      </c>
      <c r="AA52" s="3226" t="s">
        <v>981</v>
      </c>
      <c r="AB52" s="3227" t="s">
        <v>892</v>
      </c>
      <c r="AC52" s="3228" t="s">
        <v>2089</v>
      </c>
    </row>
    <row r="53" spans="3:29">
      <c r="Y53" s="472" t="s">
        <v>826</v>
      </c>
      <c r="Z53" s="2281">
        <f>Z16</f>
        <v>0</v>
      </c>
      <c r="AA53" s="2281">
        <f>AA16</f>
        <v>0</v>
      </c>
      <c r="AB53" s="2281">
        <f>AB16</f>
        <v>0</v>
      </c>
      <c r="AC53" s="473">
        <f>SUM(Z53:AB53)</f>
        <v>0</v>
      </c>
    </row>
    <row r="54" spans="3:29">
      <c r="Y54" s="459" t="s">
        <v>1934</v>
      </c>
      <c r="Z54" s="436">
        <f>'Capex Phasing Urea'!Y42</f>
        <v>4707000</v>
      </c>
      <c r="AA54" s="436">
        <f>'Capex Phasing Urea'!Z42</f>
        <v>3209000</v>
      </c>
      <c r="AB54" s="436">
        <f>'Capex Phasing Methanol'!F35</f>
        <v>5501200</v>
      </c>
      <c r="AC54" s="473">
        <f t="shared" ref="AC54:AC60" si="6">SUM(Z54:AB54)</f>
        <v>13417200</v>
      </c>
    </row>
    <row r="55" spans="3:29">
      <c r="Y55" s="459" t="s">
        <v>845</v>
      </c>
      <c r="Z55" s="436">
        <f>'Capex Phasing Urea'!Y44</f>
        <v>44632212.244897962</v>
      </c>
      <c r="AA55" s="436">
        <f>'Capex Phasing Urea'!Z44</f>
        <v>37836312.244897962</v>
      </c>
      <c r="AB55" s="436">
        <f>'Capex Phasing Methanol'!F37</f>
        <v>58591512.244897962</v>
      </c>
      <c r="AC55" s="473">
        <f t="shared" si="6"/>
        <v>141060036.73469388</v>
      </c>
    </row>
    <row r="56" spans="3:29">
      <c r="Y56" s="459" t="s">
        <v>119</v>
      </c>
      <c r="Z56" s="436">
        <f>'Capex Phasing Urea'!Y45</f>
        <v>56868000</v>
      </c>
      <c r="AA56" s="436">
        <f>'Capex Phasing Urea'!Z45</f>
        <v>42651000</v>
      </c>
      <c r="AB56" s="436">
        <f>'Capex Phasing Methanol'!F38</f>
        <v>68780900</v>
      </c>
      <c r="AC56" s="473">
        <f t="shared" si="6"/>
        <v>168299900</v>
      </c>
    </row>
    <row r="57" spans="3:29">
      <c r="Y57" s="459" t="s">
        <v>122</v>
      </c>
      <c r="Z57" s="436">
        <f>'Capex Phasing Urea'!Y46</f>
        <v>115014000</v>
      </c>
      <c r="AA57" s="436">
        <f>'Capex Phasing Urea'!Z46</f>
        <v>78793700</v>
      </c>
      <c r="AB57" s="436">
        <f>'Capex Phasing Methanol'!F39</f>
        <v>97136800</v>
      </c>
      <c r="AC57" s="473">
        <f t="shared" si="6"/>
        <v>290944500</v>
      </c>
    </row>
    <row r="58" spans="3:29">
      <c r="Y58" s="459" t="s">
        <v>120</v>
      </c>
      <c r="Z58" s="436">
        <f>'Capex Phasing Urea'!Y47</f>
        <v>64742900</v>
      </c>
      <c r="AA58" s="436">
        <f>'Capex Phasing Urea'!Z47</f>
        <v>56815900</v>
      </c>
      <c r="AB58" s="436">
        <f>'Capex Phasing Methanol'!F40</f>
        <v>57796800</v>
      </c>
      <c r="AC58" s="473">
        <f t="shared" si="6"/>
        <v>179355600</v>
      </c>
    </row>
    <row r="59" spans="3:29">
      <c r="Y59" s="459" t="s">
        <v>123</v>
      </c>
      <c r="Z59" s="436">
        <f>'Capex Phasing Urea'!Y50</f>
        <v>70703340.918367341</v>
      </c>
      <c r="AA59" s="436">
        <f>'Capex Phasing Urea'!Z50</f>
        <v>62181848.418367341</v>
      </c>
      <c r="AB59" s="436">
        <f>'Capex Phasing Methanol'!F43</f>
        <v>63236370.918367341</v>
      </c>
      <c r="AC59" s="473">
        <f t="shared" si="6"/>
        <v>196121560.25510204</v>
      </c>
    </row>
    <row r="60" spans="3:29" ht="15.75" thickBot="1">
      <c r="Y60" s="459" t="s">
        <v>9</v>
      </c>
      <c r="Z60" s="436">
        <f>'Capex Phasing Urea'!Y48</f>
        <v>43557100</v>
      </c>
      <c r="AA60" s="436">
        <f>'Capex Phasing Urea'!Z48</f>
        <v>32667800</v>
      </c>
      <c r="AB60" s="436">
        <f>'Capex Phasing Methanol'!F41</f>
        <v>51457100</v>
      </c>
      <c r="AC60" s="473">
        <f t="shared" si="6"/>
        <v>127682000</v>
      </c>
    </row>
    <row r="61" spans="3:29" ht="15.75" thickBot="1">
      <c r="Y61" s="3209" t="s">
        <v>2090</v>
      </c>
      <c r="Z61" s="3229">
        <f>SUM(Z53:Z60)</f>
        <v>400224553.16326529</v>
      </c>
      <c r="AA61" s="3229">
        <f>SUM(AA53:AA60)</f>
        <v>314155560.66326529</v>
      </c>
      <c r="AB61" s="3229">
        <f>SUM(AB53:AB60)</f>
        <v>402500683.16326529</v>
      </c>
      <c r="AC61" s="3230">
        <f>SUM(AC53:AC60)</f>
        <v>1116880796.9897959</v>
      </c>
    </row>
    <row r="64" spans="3:29">
      <c r="AC64" s="413">
        <f>AC50+AC61</f>
        <v>1620768096.9897959</v>
      </c>
    </row>
    <row r="82" spans="5:48">
      <c r="F82">
        <v>1</v>
      </c>
      <c r="G82">
        <v>2</v>
      </c>
      <c r="H82">
        <v>3</v>
      </c>
      <c r="I82">
        <v>4</v>
      </c>
      <c r="J82">
        <v>5</v>
      </c>
      <c r="K82">
        <v>6</v>
      </c>
      <c r="L82">
        <v>7</v>
      </c>
      <c r="M82">
        <v>8</v>
      </c>
      <c r="N82">
        <v>9</v>
      </c>
      <c r="O82">
        <v>10</v>
      </c>
      <c r="P82">
        <v>11</v>
      </c>
      <c r="Q82">
        <v>12</v>
      </c>
      <c r="R82">
        <v>13</v>
      </c>
      <c r="S82">
        <v>14</v>
      </c>
      <c r="T82">
        <v>15</v>
      </c>
      <c r="U82">
        <v>16</v>
      </c>
      <c r="V82">
        <v>17</v>
      </c>
      <c r="W82">
        <v>18</v>
      </c>
      <c r="X82">
        <v>19</v>
      </c>
      <c r="Y82">
        <v>20</v>
      </c>
      <c r="Z82">
        <v>21</v>
      </c>
      <c r="AA82">
        <v>22</v>
      </c>
      <c r="AB82">
        <v>23</v>
      </c>
      <c r="AC82">
        <v>24</v>
      </c>
      <c r="AD82">
        <v>25</v>
      </c>
      <c r="AE82">
        <v>26</v>
      </c>
      <c r="AF82">
        <v>27</v>
      </c>
      <c r="AG82">
        <v>28</v>
      </c>
      <c r="AH82">
        <v>29</v>
      </c>
      <c r="AI82">
        <v>30</v>
      </c>
      <c r="AL82">
        <v>31</v>
      </c>
      <c r="AM82">
        <v>32</v>
      </c>
      <c r="AN82">
        <v>33</v>
      </c>
      <c r="AO82">
        <v>34</v>
      </c>
      <c r="AP82">
        <v>35</v>
      </c>
      <c r="AQ82">
        <v>36</v>
      </c>
      <c r="AR82">
        <v>37</v>
      </c>
      <c r="AS82">
        <v>38</v>
      </c>
      <c r="AT82">
        <v>39</v>
      </c>
      <c r="AU82">
        <v>40</v>
      </c>
      <c r="AV82">
        <v>41</v>
      </c>
    </row>
    <row r="83" spans="5:48">
      <c r="F83">
        <f>'Assumption '!J25</f>
        <v>2027</v>
      </c>
      <c r="G83">
        <f>F83+1</f>
        <v>2028</v>
      </c>
      <c r="H83">
        <f>G83+1</f>
        <v>2029</v>
      </c>
      <c r="I83">
        <f t="shared" ref="I83:AV83" si="7">H83+1</f>
        <v>2030</v>
      </c>
      <c r="J83">
        <f t="shared" si="7"/>
        <v>2031</v>
      </c>
      <c r="K83">
        <f t="shared" si="7"/>
        <v>2032</v>
      </c>
      <c r="L83">
        <f t="shared" si="7"/>
        <v>2033</v>
      </c>
      <c r="M83">
        <f t="shared" si="7"/>
        <v>2034</v>
      </c>
      <c r="N83">
        <f t="shared" si="7"/>
        <v>2035</v>
      </c>
      <c r="O83">
        <f t="shared" si="7"/>
        <v>2036</v>
      </c>
      <c r="P83">
        <f t="shared" si="7"/>
        <v>2037</v>
      </c>
      <c r="Q83">
        <f t="shared" si="7"/>
        <v>2038</v>
      </c>
      <c r="R83">
        <f t="shared" si="7"/>
        <v>2039</v>
      </c>
      <c r="S83">
        <f t="shared" si="7"/>
        <v>2040</v>
      </c>
      <c r="T83">
        <f t="shared" si="7"/>
        <v>2041</v>
      </c>
      <c r="U83">
        <f t="shared" si="7"/>
        <v>2042</v>
      </c>
      <c r="V83">
        <f t="shared" si="7"/>
        <v>2043</v>
      </c>
      <c r="W83">
        <f t="shared" si="7"/>
        <v>2044</v>
      </c>
      <c r="X83">
        <f t="shared" si="7"/>
        <v>2045</v>
      </c>
      <c r="Y83">
        <f t="shared" si="7"/>
        <v>2046</v>
      </c>
      <c r="Z83">
        <f t="shared" ref="Z83:AI83" si="8">Y83+1</f>
        <v>2047</v>
      </c>
      <c r="AA83">
        <f t="shared" si="8"/>
        <v>2048</v>
      </c>
      <c r="AB83">
        <f t="shared" si="8"/>
        <v>2049</v>
      </c>
      <c r="AC83">
        <f t="shared" si="8"/>
        <v>2050</v>
      </c>
      <c r="AD83">
        <f t="shared" si="8"/>
        <v>2051</v>
      </c>
      <c r="AE83">
        <f t="shared" si="8"/>
        <v>2052</v>
      </c>
      <c r="AF83">
        <f t="shared" si="8"/>
        <v>2053</v>
      </c>
      <c r="AG83">
        <f t="shared" si="8"/>
        <v>2054</v>
      </c>
      <c r="AH83">
        <f t="shared" si="8"/>
        <v>2055</v>
      </c>
      <c r="AI83">
        <f t="shared" si="8"/>
        <v>2056</v>
      </c>
      <c r="AL83">
        <f>AI83+1</f>
        <v>2057</v>
      </c>
      <c r="AM83">
        <f t="shared" si="7"/>
        <v>2058</v>
      </c>
      <c r="AN83">
        <f t="shared" si="7"/>
        <v>2059</v>
      </c>
      <c r="AO83">
        <f t="shared" si="7"/>
        <v>2060</v>
      </c>
      <c r="AP83">
        <f t="shared" si="7"/>
        <v>2061</v>
      </c>
      <c r="AQ83">
        <f t="shared" si="7"/>
        <v>2062</v>
      </c>
      <c r="AR83">
        <f t="shared" si="7"/>
        <v>2063</v>
      </c>
      <c r="AS83">
        <f t="shared" si="7"/>
        <v>2064</v>
      </c>
      <c r="AT83">
        <f t="shared" si="7"/>
        <v>2065</v>
      </c>
      <c r="AU83">
        <f t="shared" si="7"/>
        <v>2066</v>
      </c>
      <c r="AV83">
        <f t="shared" si="7"/>
        <v>2067</v>
      </c>
    </row>
    <row r="84" spans="5:48">
      <c r="E84" s="311" t="s">
        <v>1760</v>
      </c>
      <c r="F84" s="311">
        <f>'Product Costing Sheet'!I17</f>
        <v>0</v>
      </c>
      <c r="G84" s="311">
        <f>'Product Costing Sheet'!J17</f>
        <v>0</v>
      </c>
      <c r="H84" s="311">
        <f>'Product Costing Sheet'!K17</f>
        <v>0</v>
      </c>
      <c r="I84" s="311">
        <f ca="1">'Product Costing Sheet'!L17</f>
        <v>-225411585.37643507</v>
      </c>
      <c r="J84" s="311">
        <f ca="1">'Product Costing Sheet'!M17</f>
        <v>-243323678.81525734</v>
      </c>
      <c r="K84" s="311">
        <f ca="1">'Product Costing Sheet'!N17</f>
        <v>-250216061.98790997</v>
      </c>
      <c r="L84" s="311">
        <f ca="1">'Product Costing Sheet'!O17</f>
        <v>-257695183.59808689</v>
      </c>
      <c r="M84" s="311">
        <f ca="1">'Product Costing Sheet'!P17</f>
        <v>-264997782.77132106</v>
      </c>
      <c r="N84" s="311">
        <f ca="1">'Product Costing Sheet'!Q17</f>
        <v>-272646187.63812971</v>
      </c>
      <c r="O84" s="311">
        <f ca="1">'Product Costing Sheet'!R17</f>
        <v>-280377712.28357452</v>
      </c>
      <c r="P84" s="311">
        <f ca="1">'Product Costing Sheet'!S17</f>
        <v>-288758960.73966122</v>
      </c>
      <c r="Q84" s="311">
        <f ca="1">'Product Costing Sheet'!T17</f>
        <v>-296950856.74217033</v>
      </c>
      <c r="R84" s="311">
        <f ca="1">'Product Costing Sheet'!U17</f>
        <v>-305527848.22467238</v>
      </c>
      <c r="S84" s="311">
        <f ca="1">'Product Costing Sheet'!V17</f>
        <v>-314201255.31220824</v>
      </c>
      <c r="T84" s="311">
        <f ca="1">'Product Costing Sheet'!W17</f>
        <v>-323594216.45957077</v>
      </c>
      <c r="U84" s="311">
        <f ca="1">'Product Costing Sheet'!X17</f>
        <v>-332784312.81291527</v>
      </c>
      <c r="V84" s="311">
        <f ca="1">'Product Costing Sheet'!Y17</f>
        <v>-342403316.46766758</v>
      </c>
      <c r="W84" s="311">
        <f ca="1">'Product Costing Sheet'!Z17</f>
        <v>-352133985.2549057</v>
      </c>
      <c r="X84" s="311">
        <f ca="1">'Product Costing Sheet'!AA17</f>
        <v>-362661636.80299854</v>
      </c>
      <c r="Y84" s="311">
        <f ca="1">'Product Costing Sheet'!AB17</f>
        <v>-372972235.59762186</v>
      </c>
      <c r="Z84" s="311">
        <f ca="1">'Product Costing Sheet'!AC17</f>
        <v>-383760602.38719308</v>
      </c>
      <c r="AA84" s="311">
        <f ca="1">'Product Costing Sheet'!AD17</f>
        <v>-394678111.10105628</v>
      </c>
      <c r="AB84" s="311">
        <f ca="1">'Product Costing Sheet'!AE17</f>
        <v>-406478467.38470387</v>
      </c>
      <c r="AC84" s="311">
        <f ca="1">'Product Costing Sheet'!AF17</f>
        <v>-418046924.07187122</v>
      </c>
      <c r="AD84" s="311">
        <f ca="1">'Product Costing Sheet'!AG17</f>
        <v>-430147647.22755754</v>
      </c>
      <c r="AE84" s="311">
        <f ca="1">'Product Costing Sheet'!AH17</f>
        <v>-442397527.08341146</v>
      </c>
      <c r="AF84" s="311">
        <f ca="1">'Product Costing Sheet'!AI17</f>
        <v>-455625486.67015553</v>
      </c>
      <c r="AG84" s="311">
        <f ca="1">'Product Costing Sheet'!AJ17</f>
        <v>-468606069.87332213</v>
      </c>
      <c r="AH84" s="311">
        <f ca="1">'Product Costing Sheet'!AK17</f>
        <v>-482179714.16450691</v>
      </c>
      <c r="AI84" s="311">
        <f ca="1">'Product Costing Sheet'!AL17</f>
        <v>-496148938.8771069</v>
      </c>
      <c r="AL84" s="311">
        <f>'Product Costing Sheet'!AM17</f>
        <v>0</v>
      </c>
      <c r="AM84" s="311">
        <f>'Product Costing Sheet'!AN17</f>
        <v>0</v>
      </c>
      <c r="AN84" s="311">
        <f>'Product Costing Sheet'!AO17</f>
        <v>0</v>
      </c>
      <c r="AO84" s="311">
        <f>'Product Costing Sheet'!AP17</f>
        <v>0</v>
      </c>
      <c r="AP84" s="311">
        <f>'Product Costing Sheet'!AQ17</f>
        <v>0</v>
      </c>
      <c r="AQ84" s="311">
        <f>'Product Costing Sheet'!AR17</f>
        <v>0</v>
      </c>
      <c r="AR84" s="311">
        <f>'Product Costing Sheet'!AS17</f>
        <v>0</v>
      </c>
      <c r="AS84" s="311">
        <f>'Product Costing Sheet'!AT17</f>
        <v>0</v>
      </c>
      <c r="AT84" s="311">
        <f>'Product Costing Sheet'!AU17</f>
        <v>0</v>
      </c>
      <c r="AU84" s="311">
        <f>'Product Costing Sheet'!AV17</f>
        <v>0</v>
      </c>
      <c r="AV84" s="311">
        <f>'Product Costing Sheet'!AW17</f>
        <v>0</v>
      </c>
    </row>
    <row r="85" spans="5:48">
      <c r="E85" s="311" t="s">
        <v>1762</v>
      </c>
      <c r="F85" s="311">
        <f>'Product Costing Sheet'!I26</f>
        <v>0</v>
      </c>
      <c r="G85" s="311">
        <f>'Product Costing Sheet'!J26</f>
        <v>0</v>
      </c>
      <c r="H85" s="311">
        <f>'Product Costing Sheet'!K26</f>
        <v>0</v>
      </c>
      <c r="I85" s="311">
        <f ca="1">'Product Costing Sheet'!L26</f>
        <v>-234859920.41113243</v>
      </c>
      <c r="J85" s="311">
        <f ca="1">'Product Costing Sheet'!M26</f>
        <v>-253001362.77858603</v>
      </c>
      <c r="K85" s="311">
        <f ca="1">'Product Costing Sheet'!N26</f>
        <v>-260109532.11690342</v>
      </c>
      <c r="L85" s="311">
        <f ca="1">'Product Costing Sheet'!O26</f>
        <v>-267892813.45445779</v>
      </c>
      <c r="M85" s="311">
        <f ca="1">'Product Costing Sheet'!P26</f>
        <v>-275422899.92509693</v>
      </c>
      <c r="N85" s="311">
        <f ca="1">'Product Costing Sheet'!Q26</f>
        <v>-283333121.11578125</v>
      </c>
      <c r="O85" s="311">
        <f ca="1">'Product Costing Sheet'!R26</f>
        <v>-291303161.34508544</v>
      </c>
      <c r="P85" s="311">
        <f ca="1">'Product Costing Sheet'!S26</f>
        <v>-300020533.09133637</v>
      </c>
      <c r="Q85" s="311">
        <f ca="1">'Product Costing Sheet'!T26</f>
        <v>-308463890.46923751</v>
      </c>
      <c r="R85" s="311">
        <f ca="1">'Product Costing Sheet'!U26</f>
        <v>-317330266.9300493</v>
      </c>
      <c r="S85" s="311">
        <f ca="1">'Product Costing Sheet'!V26</f>
        <v>-326267338.63790399</v>
      </c>
      <c r="T85" s="311">
        <f ca="1">'Product Costing Sheet'!W26</f>
        <v>-336031780.41864479</v>
      </c>
      <c r="U85" s="311">
        <f ca="1">'Product Costing Sheet'!X26</f>
        <v>-345499865.78254938</v>
      </c>
      <c r="V85" s="311">
        <f ca="1">'Product Costing Sheet'!Y26</f>
        <v>-355438756.74132943</v>
      </c>
      <c r="W85" s="311">
        <f ca="1">'Product Costing Sheet'!Z26</f>
        <v>-365460919.4005304</v>
      </c>
      <c r="X85" s="311">
        <f ca="1">'Product Costing Sheet'!AA26</f>
        <v>-376399167.18335277</v>
      </c>
      <c r="Y85" s="311">
        <f ca="1">'Product Costing Sheet'!AB26</f>
        <v>-387017111.37243205</v>
      </c>
      <c r="Z85" s="311">
        <f ca="1">'Product Costing Sheet'!AC26</f>
        <v>-398159117.29529256</v>
      </c>
      <c r="AA85" s="311">
        <f ca="1">'Product Costing Sheet'!AD26</f>
        <v>-409398918.36627591</v>
      </c>
      <c r="AB85" s="311">
        <f ca="1">'Product Costing Sheet'!AE26</f>
        <v>-421653148.85231179</v>
      </c>
      <c r="AC85" s="311">
        <f ca="1">'Product Costing Sheet'!AF26</f>
        <v>-433561441.29087764</v>
      </c>
      <c r="AD85" s="311">
        <f ca="1">'Product Costing Sheet'!AG26</f>
        <v>-446053155.17547005</v>
      </c>
      <c r="AE85" s="311">
        <f ca="1">'Product Costing Sheet'!AH26</f>
        <v>-458659415.68772948</v>
      </c>
      <c r="AF85" s="311">
        <f ca="1">'Product Costing Sheet'!AI26</f>
        <v>-472389137.91525298</v>
      </c>
      <c r="AG85" s="311">
        <f ca="1">'Product Costing Sheet'!AJ26</f>
        <v>-485745519.77809834</v>
      </c>
      <c r="AH85" s="311">
        <f ca="1">'Product Costing Sheet'!AK26</f>
        <v>-499751494.65676248</v>
      </c>
      <c r="AI85" s="311">
        <f ca="1">'Product Costing Sheet'!AL26</f>
        <v>-514164055.40463424</v>
      </c>
      <c r="AL85" s="311">
        <f>'Product Costing Sheet'!AM26</f>
        <v>0</v>
      </c>
      <c r="AM85" s="311">
        <f>'Product Costing Sheet'!AN26</f>
        <v>0</v>
      </c>
      <c r="AN85" s="311">
        <f>'Product Costing Sheet'!AO26</f>
        <v>0</v>
      </c>
      <c r="AO85" s="311">
        <f>'Product Costing Sheet'!AP26</f>
        <v>0</v>
      </c>
      <c r="AP85" s="311">
        <f>'Product Costing Sheet'!AQ26</f>
        <v>0</v>
      </c>
      <c r="AQ85" s="311">
        <f>'Product Costing Sheet'!AR26</f>
        <v>0</v>
      </c>
      <c r="AR85" s="311">
        <f>'Product Costing Sheet'!AS26</f>
        <v>0</v>
      </c>
      <c r="AS85" s="311">
        <f>'Product Costing Sheet'!AT26</f>
        <v>0</v>
      </c>
      <c r="AT85" s="311">
        <f>'Product Costing Sheet'!AU26</f>
        <v>0</v>
      </c>
      <c r="AU85" s="311">
        <f>'Product Costing Sheet'!AV26</f>
        <v>0</v>
      </c>
      <c r="AV85" s="311">
        <f>'Product Costing Sheet'!AW26</f>
        <v>0</v>
      </c>
    </row>
    <row r="86" spans="5:48">
      <c r="E86" s="311" t="s">
        <v>1761</v>
      </c>
      <c r="F86" s="311">
        <f ca="1">'Product Costing Sheet'!I30</f>
        <v>0</v>
      </c>
      <c r="G86" s="311">
        <f ca="1">'Product Costing Sheet'!J30</f>
        <v>-74453662.31968756</v>
      </c>
      <c r="H86" s="311">
        <f ca="1">'Product Costing Sheet'!K30</f>
        <v>-157749937.51359648</v>
      </c>
      <c r="I86" s="311">
        <f ca="1">'Product Costing Sheet'!L30</f>
        <v>-250909591.2945314</v>
      </c>
      <c r="J86" s="311">
        <f ca="1">'Product Costing Sheet'!M30</f>
        <v>-269420176.09230316</v>
      </c>
      <c r="K86" s="311">
        <f ca="1">'Product Costing Sheet'!N30</f>
        <v>-276876460.16098791</v>
      </c>
      <c r="L86" s="311">
        <f ca="1">'Product Costing Sheet'!O30</f>
        <v>-285156355.1905219</v>
      </c>
      <c r="M86" s="311">
        <f ca="1">'Product Costing Sheet'!P30</f>
        <v>-293052466.48048306</v>
      </c>
      <c r="N86" s="311">
        <f ca="1">'Product Costing Sheet'!Q30</f>
        <v>-301385797.26849663</v>
      </c>
      <c r="O86" s="311">
        <f ca="1">'Product Costing Sheet'!R30</f>
        <v>-309738593.69163984</v>
      </c>
      <c r="P86" s="311">
        <f ca="1">'Product Costing Sheet'!S30</f>
        <v>-319001997.96673512</v>
      </c>
      <c r="Q86" s="311">
        <f ca="1">'Product Costing Sheet'!T30</f>
        <v>-327847803.88953543</v>
      </c>
      <c r="R86" s="311">
        <f ca="1">'Product Costing Sheet'!U30</f>
        <v>-337179394.27243435</v>
      </c>
      <c r="S86" s="311">
        <f ca="1">'Product Costing Sheet'!V30</f>
        <v>-346537310.86601835</v>
      </c>
      <c r="T86" s="311">
        <f ca="1">'Product Costing Sheet'!W30</f>
        <v>-356902121.76136744</v>
      </c>
      <c r="U86" s="311">
        <f ca="1">'Product Costing Sheet'!X30</f>
        <v>-366812703.97997022</v>
      </c>
      <c r="V86" s="311">
        <f ca="1">'Product Costing Sheet'!Y30</f>
        <v>-377263103.05548835</v>
      </c>
      <c r="W86" s="311">
        <f ca="1">'Product Costing Sheet'!Z30</f>
        <v>-387747989.56003869</v>
      </c>
      <c r="X86" s="311">
        <f ca="1">'Product Costing Sheet'!AA30</f>
        <v>-399346350.16533053</v>
      </c>
      <c r="Y86" s="311">
        <f ca="1">'Product Costing Sheet'!AB30</f>
        <v>-410450824.79140472</v>
      </c>
      <c r="Z86" s="311">
        <f ca="1">'Product Costing Sheet'!AC30</f>
        <v>-422155239.83632058</v>
      </c>
      <c r="AA86" s="311">
        <f ca="1">'Product Costing Sheet'!AD30</f>
        <v>-433903811.15571481</v>
      </c>
      <c r="AB86" s="311">
        <f ca="1">'Product Costing Sheet'!AE30</f>
        <v>-446883843.36569989</v>
      </c>
      <c r="AC86" s="311">
        <f ca="1">'Product Costing Sheet'!AF30</f>
        <v>-459327081.67700863</v>
      </c>
      <c r="AD86" s="311">
        <f ca="1">'Product Costing Sheet'!AG30</f>
        <v>-472437170.93086815</v>
      </c>
      <c r="AE86" s="311">
        <f ca="1">'Product Costing Sheet'!AH30</f>
        <v>-485602830.24712181</v>
      </c>
      <c r="AF86" s="311">
        <f ca="1">'Product Costing Sheet'!AI30</f>
        <v>-500130579.90958732</v>
      </c>
      <c r="AG86" s="311">
        <f ca="1">'Product Costing Sheet'!AJ30</f>
        <v>-514075140.97974426</v>
      </c>
      <c r="AH86" s="311">
        <f ca="1">'Product Costing Sheet'!AK30</f>
        <v>-528761026.76724792</v>
      </c>
      <c r="AI86" s="311">
        <f ca="1">'Product Costing Sheet'!AL30</f>
        <v>-543869816.28577125</v>
      </c>
      <c r="AL86" s="311">
        <f>'Product Costing Sheet'!AM30</f>
        <v>0</v>
      </c>
      <c r="AM86" s="311">
        <f>'Product Costing Sheet'!AN30</f>
        <v>0</v>
      </c>
      <c r="AN86" s="311">
        <f>'Product Costing Sheet'!AO30</f>
        <v>0</v>
      </c>
      <c r="AO86" s="311">
        <f>'Product Costing Sheet'!AP30</f>
        <v>0</v>
      </c>
      <c r="AP86" s="311">
        <f>'Product Costing Sheet'!AQ30</f>
        <v>0</v>
      </c>
      <c r="AQ86" s="311">
        <f>'Product Costing Sheet'!AR30</f>
        <v>0</v>
      </c>
      <c r="AR86" s="311">
        <f>'Product Costing Sheet'!AS30</f>
        <v>0</v>
      </c>
      <c r="AS86" s="311">
        <f>'Product Costing Sheet'!AT30</f>
        <v>0</v>
      </c>
      <c r="AT86" s="311">
        <f>'Product Costing Sheet'!AU30</f>
        <v>0</v>
      </c>
      <c r="AU86" s="311">
        <f>'Product Costing Sheet'!AV30</f>
        <v>0</v>
      </c>
      <c r="AV86" s="311">
        <f>'Product Costing Sheet'!AW30</f>
        <v>0</v>
      </c>
    </row>
    <row r="90" spans="5:48">
      <c r="E90" t="s">
        <v>867</v>
      </c>
    </row>
    <row r="91" spans="5:48">
      <c r="E91" t="s">
        <v>909</v>
      </c>
      <c r="F91" s="311">
        <f>-('Product Costing Sheet'!I15+'Product Costing Sheet'!I24+'Product Costing Sheet'!I29)</f>
        <v>0</v>
      </c>
      <c r="G91" s="311">
        <f>-('Product Costing Sheet'!J15+'Product Costing Sheet'!J24+'Product Costing Sheet'!J29)</f>
        <v>0</v>
      </c>
      <c r="H91" s="311">
        <f ca="1">-('Product Costing Sheet'!K15+'Product Costing Sheet'!K24+'Product Costing Sheet'!K29)</f>
        <v>9064495.497197248</v>
      </c>
      <c r="I91" s="311">
        <f ca="1">-('Product Costing Sheet'!L15+'Product Costing Sheet'!L24+'Product Costing Sheet'!L29)</f>
        <v>250909591.2945314</v>
      </c>
      <c r="J91" s="311">
        <f ca="1">-('Product Costing Sheet'!M15+'Product Costing Sheet'!M24+'Product Costing Sheet'!M29)</f>
        <v>269420176.09230316</v>
      </c>
      <c r="K91" s="311">
        <f ca="1">-('Product Costing Sheet'!N15+'Product Costing Sheet'!N24+'Product Costing Sheet'!N29)</f>
        <v>276876460.16098791</v>
      </c>
      <c r="L91" s="311">
        <f ca="1">-('Product Costing Sheet'!O15+'Product Costing Sheet'!O24+'Product Costing Sheet'!O29)</f>
        <v>285156355.1905219</v>
      </c>
      <c r="M91" s="311">
        <f ca="1">-('Product Costing Sheet'!P15+'Product Costing Sheet'!P24+'Product Costing Sheet'!P29)</f>
        <v>293052466.48048306</v>
      </c>
      <c r="N91" s="311">
        <f ca="1">-('Product Costing Sheet'!Q15+'Product Costing Sheet'!Q24+'Product Costing Sheet'!Q29)</f>
        <v>301385797.26849663</v>
      </c>
      <c r="O91" s="311">
        <f ca="1">-('Product Costing Sheet'!R15+'Product Costing Sheet'!R24+'Product Costing Sheet'!R29)</f>
        <v>309738593.69163984</v>
      </c>
      <c r="P91" s="311">
        <f ca="1">-('Product Costing Sheet'!S15+'Product Costing Sheet'!S24+'Product Costing Sheet'!S29)</f>
        <v>319001997.96673512</v>
      </c>
      <c r="Q91" s="311">
        <f ca="1">-('Product Costing Sheet'!T15+'Product Costing Sheet'!T24+'Product Costing Sheet'!T29)</f>
        <v>327847803.88953543</v>
      </c>
      <c r="R91" s="311">
        <f ca="1">-('Product Costing Sheet'!U15+'Product Costing Sheet'!U24+'Product Costing Sheet'!U29)</f>
        <v>337179394.27243435</v>
      </c>
      <c r="S91" s="311">
        <f ca="1">-('Product Costing Sheet'!V15+'Product Costing Sheet'!V24+'Product Costing Sheet'!V29)</f>
        <v>346537310.86601835</v>
      </c>
      <c r="T91" s="311">
        <f ca="1">-('Product Costing Sheet'!W15+'Product Costing Sheet'!W24+'Product Costing Sheet'!W29)</f>
        <v>356902121.76136744</v>
      </c>
      <c r="U91" s="311">
        <f ca="1">-('Product Costing Sheet'!X15+'Product Costing Sheet'!X24+'Product Costing Sheet'!X29)</f>
        <v>366812703.97997022</v>
      </c>
      <c r="V91" s="311">
        <f ca="1">-('Product Costing Sheet'!Y15+'Product Costing Sheet'!Y24+'Product Costing Sheet'!Y29)</f>
        <v>377263103.05548835</v>
      </c>
      <c r="W91" s="311">
        <f ca="1">-('Product Costing Sheet'!Z15+'Product Costing Sheet'!Z24+'Product Costing Sheet'!Z29)</f>
        <v>387747989.56003869</v>
      </c>
      <c r="X91" s="311">
        <f ca="1">-('Product Costing Sheet'!AA15+'Product Costing Sheet'!AA24+'Product Costing Sheet'!AA29)</f>
        <v>399346350.16533053</v>
      </c>
      <c r="Y91" s="311">
        <f ca="1">-('Product Costing Sheet'!AB15+'Product Costing Sheet'!AB24+'Product Costing Sheet'!AB29)</f>
        <v>410450824.79140472</v>
      </c>
      <c r="Z91" s="311">
        <f ca="1">-('Product Costing Sheet'!AC15+'Product Costing Sheet'!AC24+'Product Costing Sheet'!AC29)</f>
        <v>422155239.83632058</v>
      </c>
      <c r="AA91" s="311">
        <f ca="1">-('Product Costing Sheet'!AD15+'Product Costing Sheet'!AD24+'Product Costing Sheet'!AD29)</f>
        <v>433903811.15571481</v>
      </c>
      <c r="AB91" s="311">
        <f ca="1">-('Product Costing Sheet'!AE15+'Product Costing Sheet'!AE24+'Product Costing Sheet'!AE29)</f>
        <v>446883843.36569989</v>
      </c>
      <c r="AC91" s="311">
        <f ca="1">-('Product Costing Sheet'!AF15+'Product Costing Sheet'!AF24+'Product Costing Sheet'!AF29)</f>
        <v>459327081.67700863</v>
      </c>
      <c r="AD91" s="311">
        <f ca="1">-('Product Costing Sheet'!AG15+'Product Costing Sheet'!AG24+'Product Costing Sheet'!AG29)</f>
        <v>472437170.93086815</v>
      </c>
      <c r="AE91" s="311">
        <f ca="1">-('Product Costing Sheet'!AH15+'Product Costing Sheet'!AH24+'Product Costing Sheet'!AH29)</f>
        <v>485602830.24712181</v>
      </c>
      <c r="AF91" s="311">
        <f ca="1">-('Product Costing Sheet'!AI15+'Product Costing Sheet'!AI24+'Product Costing Sheet'!AI29)</f>
        <v>500130579.90958732</v>
      </c>
      <c r="AG91" s="311">
        <f ca="1">-('Product Costing Sheet'!AJ15+'Product Costing Sheet'!AJ24+'Product Costing Sheet'!AJ29)</f>
        <v>514075140.97974426</v>
      </c>
      <c r="AH91" s="311">
        <f ca="1">-('Product Costing Sheet'!AK15+'Product Costing Sheet'!AK24+'Product Costing Sheet'!AK29)</f>
        <v>528761026.76724792</v>
      </c>
      <c r="AI91" s="311">
        <f ca="1">-('Product Costing Sheet'!AL15+'Product Costing Sheet'!AL24+'Product Costing Sheet'!AL29)</f>
        <v>543869816.28577125</v>
      </c>
      <c r="AL91" s="311">
        <f>-('Product Costing Sheet'!AM15+'Product Costing Sheet'!AM24+'Product Costing Sheet'!AM29)</f>
        <v>0</v>
      </c>
      <c r="AM91" s="311">
        <f>-('Product Costing Sheet'!AN15+'Product Costing Sheet'!AN24+'Product Costing Sheet'!AN29)</f>
        <v>0</v>
      </c>
      <c r="AN91" s="311">
        <f>-('Product Costing Sheet'!AO15+'Product Costing Sheet'!AO24+'Product Costing Sheet'!AO29)</f>
        <v>0</v>
      </c>
      <c r="AO91" s="311">
        <f>-('Product Costing Sheet'!AP15+'Product Costing Sheet'!AP24+'Product Costing Sheet'!AP29)</f>
        <v>0</v>
      </c>
      <c r="AP91" s="311">
        <f>-('Product Costing Sheet'!AQ15+'Product Costing Sheet'!AQ24+'Product Costing Sheet'!AQ29)</f>
        <v>0</v>
      </c>
      <c r="AQ91" s="311">
        <f>-('Product Costing Sheet'!AR15+'Product Costing Sheet'!AR24+'Product Costing Sheet'!AR29)</f>
        <v>0</v>
      </c>
      <c r="AR91" s="311">
        <f>-('Product Costing Sheet'!AS15+'Product Costing Sheet'!AS24+'Product Costing Sheet'!AS29)</f>
        <v>0</v>
      </c>
      <c r="AS91" s="311">
        <f>-('Product Costing Sheet'!AT15+'Product Costing Sheet'!AT24+'Product Costing Sheet'!AT29)</f>
        <v>0</v>
      </c>
      <c r="AT91" s="311">
        <f>-('Product Costing Sheet'!AU15+'Product Costing Sheet'!AU24+'Product Costing Sheet'!AU29)</f>
        <v>0</v>
      </c>
      <c r="AU91" s="311">
        <f>-('Product Costing Sheet'!AV15+'Product Costing Sheet'!AV24+'Product Costing Sheet'!AV29)</f>
        <v>0</v>
      </c>
      <c r="AV91" s="311">
        <f>-('Product Costing Sheet'!AW15+'Product Costing Sheet'!AW24+'Product Costing Sheet'!AW29)</f>
        <v>0</v>
      </c>
    </row>
    <row r="92" spans="5:48">
      <c r="E92" t="s">
        <v>1763</v>
      </c>
      <c r="F92" s="311">
        <f ca="1">'Product Costing Sheet'!I30</f>
        <v>0</v>
      </c>
      <c r="G92" s="311">
        <f ca="1">'Product Costing Sheet'!J30</f>
        <v>-74453662.31968756</v>
      </c>
      <c r="H92" s="311">
        <f ca="1">'Product Costing Sheet'!K30</f>
        <v>-157749937.51359648</v>
      </c>
      <c r="I92" s="311">
        <f ca="1">'Product Costing Sheet'!L30</f>
        <v>-250909591.2945314</v>
      </c>
      <c r="J92" s="311">
        <f ca="1">'Product Costing Sheet'!M30</f>
        <v>-269420176.09230316</v>
      </c>
      <c r="K92" s="311">
        <f ca="1">'Product Costing Sheet'!N30</f>
        <v>-276876460.16098791</v>
      </c>
      <c r="L92" s="311">
        <f ca="1">'Product Costing Sheet'!O30</f>
        <v>-285156355.1905219</v>
      </c>
      <c r="M92" s="311">
        <f ca="1">'Product Costing Sheet'!P30</f>
        <v>-293052466.48048306</v>
      </c>
      <c r="N92" s="311">
        <f ca="1">'Product Costing Sheet'!Q30</f>
        <v>-301385797.26849663</v>
      </c>
      <c r="O92" s="311">
        <f ca="1">'Product Costing Sheet'!R30</f>
        <v>-309738593.69163984</v>
      </c>
      <c r="P92" s="311">
        <f ca="1">'Product Costing Sheet'!S30</f>
        <v>-319001997.96673512</v>
      </c>
      <c r="Q92" s="311">
        <f ca="1">'Product Costing Sheet'!T30</f>
        <v>-327847803.88953543</v>
      </c>
      <c r="R92" s="311">
        <f ca="1">'Product Costing Sheet'!U30</f>
        <v>-337179394.27243435</v>
      </c>
      <c r="S92" s="311">
        <f ca="1">'Product Costing Sheet'!V30</f>
        <v>-346537310.86601835</v>
      </c>
      <c r="T92" s="311">
        <f ca="1">'Product Costing Sheet'!W30</f>
        <v>-356902121.76136744</v>
      </c>
      <c r="U92" s="311">
        <f ca="1">'Product Costing Sheet'!X30</f>
        <v>-366812703.97997022</v>
      </c>
      <c r="V92" s="311">
        <f ca="1">'Product Costing Sheet'!Y30</f>
        <v>-377263103.05548835</v>
      </c>
      <c r="W92" s="311">
        <f ca="1">'Product Costing Sheet'!Z30</f>
        <v>-387747989.56003869</v>
      </c>
      <c r="X92" s="311">
        <f ca="1">'Product Costing Sheet'!AA30</f>
        <v>-399346350.16533053</v>
      </c>
      <c r="Y92" s="311">
        <f ca="1">'Product Costing Sheet'!AB30</f>
        <v>-410450824.79140472</v>
      </c>
      <c r="Z92" s="311">
        <f ca="1">'Product Costing Sheet'!AC30</f>
        <v>-422155239.83632058</v>
      </c>
      <c r="AA92" s="311">
        <f ca="1">'Product Costing Sheet'!AD30</f>
        <v>-433903811.15571481</v>
      </c>
      <c r="AB92" s="311">
        <f ca="1">'Product Costing Sheet'!AE30</f>
        <v>-446883843.36569989</v>
      </c>
      <c r="AC92" s="311">
        <f ca="1">'Product Costing Sheet'!AF30</f>
        <v>-459327081.67700863</v>
      </c>
      <c r="AD92" s="311">
        <f ca="1">'Product Costing Sheet'!AG30</f>
        <v>-472437170.93086815</v>
      </c>
      <c r="AE92" s="311">
        <f ca="1">'Product Costing Sheet'!AH30</f>
        <v>-485602830.24712181</v>
      </c>
      <c r="AF92" s="311">
        <f ca="1">'Product Costing Sheet'!AI30</f>
        <v>-500130579.90958732</v>
      </c>
      <c r="AG92" s="311">
        <f ca="1">'Product Costing Sheet'!AJ30</f>
        <v>-514075140.97974426</v>
      </c>
      <c r="AH92" s="311">
        <f ca="1">'Product Costing Sheet'!AK30</f>
        <v>-528761026.76724792</v>
      </c>
      <c r="AI92" s="311">
        <f ca="1">'Product Costing Sheet'!AL30</f>
        <v>-543869816.28577125</v>
      </c>
      <c r="AL92" s="311">
        <f>'Product Costing Sheet'!AM30</f>
        <v>0</v>
      </c>
      <c r="AM92" s="311">
        <f>'Product Costing Sheet'!AN30</f>
        <v>0</v>
      </c>
      <c r="AN92" s="311">
        <f>'Product Costing Sheet'!AO30</f>
        <v>0</v>
      </c>
      <c r="AO92" s="311">
        <f>'Product Costing Sheet'!AP30</f>
        <v>0</v>
      </c>
      <c r="AP92" s="311">
        <f>'Product Costing Sheet'!AQ30</f>
        <v>0</v>
      </c>
      <c r="AQ92" s="311">
        <f>'Product Costing Sheet'!AR30</f>
        <v>0</v>
      </c>
      <c r="AR92" s="311">
        <f>'Product Costing Sheet'!AS30</f>
        <v>0</v>
      </c>
      <c r="AS92" s="311">
        <f>'Product Costing Sheet'!AT30</f>
        <v>0</v>
      </c>
      <c r="AT92" s="311">
        <f>'Product Costing Sheet'!AU30</f>
        <v>0</v>
      </c>
      <c r="AU92" s="311">
        <f>'Product Costing Sheet'!AV30</f>
        <v>0</v>
      </c>
      <c r="AV92" s="311">
        <f>'Product Costing Sheet'!AW30</f>
        <v>0</v>
      </c>
    </row>
    <row r="96" spans="5:48">
      <c r="E96" t="s">
        <v>863</v>
      </c>
    </row>
    <row r="97" spans="5:48">
      <c r="E97" s="311" t="s">
        <v>909</v>
      </c>
      <c r="F97" s="311">
        <f>-('Product Costing Sheet'!I63+'Product Costing Sheet'!I72+'Product Costing Sheet'!I77)</f>
        <v>0</v>
      </c>
      <c r="G97" s="311">
        <f>-('Product Costing Sheet'!J63+'Product Costing Sheet'!J72+'Product Costing Sheet'!J77)</f>
        <v>0</v>
      </c>
      <c r="H97" s="311">
        <f>-('Product Costing Sheet'!K63+'Product Costing Sheet'!K72+'Product Costing Sheet'!K77)</f>
        <v>0</v>
      </c>
      <c r="I97" s="311">
        <f ca="1">-('Product Costing Sheet'!L63+'Product Costing Sheet'!L72+'Product Costing Sheet'!L77)</f>
        <v>139503884.98939732</v>
      </c>
      <c r="J97" s="311">
        <f ca="1">-('Product Costing Sheet'!M63+'Product Costing Sheet'!M72+'Product Costing Sheet'!M77)</f>
        <v>143463625.23244584</v>
      </c>
      <c r="K97" s="311">
        <f ca="1">-('Product Costing Sheet'!N63+'Product Costing Sheet'!N72+'Product Costing Sheet'!N77)</f>
        <v>147480002.57769656</v>
      </c>
      <c r="L97" s="311">
        <f ca="1">-('Product Costing Sheet'!O63+'Product Costing Sheet'!O72+'Product Costing Sheet'!O77)</f>
        <v>151886961.35819811</v>
      </c>
      <c r="M97" s="311">
        <f ca="1">-('Product Costing Sheet'!P63+'Product Costing Sheet'!P72+'Product Costing Sheet'!P77)</f>
        <v>156141259.459209</v>
      </c>
      <c r="N97" s="311">
        <f ca="1">-('Product Costing Sheet'!Q63+'Product Costing Sheet'!Q72+'Product Costing Sheet'!Q77)</f>
        <v>160613301.35115495</v>
      </c>
      <c r="O97" s="311">
        <f ca="1">-('Product Costing Sheet'!R63+'Product Costing Sheet'!R72+'Product Costing Sheet'!R77)</f>
        <v>165115556.26114967</v>
      </c>
      <c r="P97" s="311">
        <f ca="1">-('Product Costing Sheet'!S63+'Product Costing Sheet'!S72+'Product Costing Sheet'!S77)</f>
        <v>170049846.04031682</v>
      </c>
      <c r="Q97" s="311">
        <f ca="1">-('Product Costing Sheet'!T63+'Product Costing Sheet'!T72+'Product Costing Sheet'!T77)</f>
        <v>174818947.24798608</v>
      </c>
      <c r="R97" s="311">
        <f ca="1">-('Product Costing Sheet'!U63+'Product Costing Sheet'!U72+'Product Costing Sheet'!U77)</f>
        <v>179830203.81499192</v>
      </c>
      <c r="S97" s="311">
        <f ca="1">-('Product Costing Sheet'!V63+'Product Costing Sheet'!V72+'Product Costing Sheet'!V77)</f>
        <v>184877505.7818599</v>
      </c>
      <c r="T97" s="311">
        <f ca="1">-('Product Costing Sheet'!W63+'Product Costing Sheet'!W72+'Product Costing Sheet'!W77)</f>
        <v>190402745.72125119</v>
      </c>
      <c r="U97" s="311">
        <f ca="1">-('Product Costing Sheet'!X63+'Product Costing Sheet'!X72+'Product Costing Sheet'!X77)</f>
        <v>195749356.83407623</v>
      </c>
      <c r="V97" s="311">
        <f ca="1">-('Product Costing Sheet'!Y63+'Product Costing Sheet'!Y72+'Product Costing Sheet'!Y77)</f>
        <v>201365308.44664872</v>
      </c>
      <c r="W97" s="311">
        <f ca="1">-('Product Costing Sheet'!Z63+'Product Costing Sheet'!Z72+'Product Costing Sheet'!Z77)</f>
        <v>203581224.43540639</v>
      </c>
      <c r="X97" s="311">
        <f ca="1">-('Product Costing Sheet'!AA63+'Product Costing Sheet'!AA72+'Product Costing Sheet'!AA77)</f>
        <v>206219413.15450826</v>
      </c>
      <c r="Y97" s="311">
        <f ca="1">-('Product Costing Sheet'!AB63+'Product Costing Sheet'!AB72+'Product Costing Sheet'!AB77)</f>
        <v>208558091.09652928</v>
      </c>
      <c r="Z97" s="311">
        <f ca="1">-('Product Costing Sheet'!AC63+'Product Costing Sheet'!AC72+'Product Costing Sheet'!AC77)</f>
        <v>211086712.55548167</v>
      </c>
      <c r="AA97" s="311">
        <f ca="1">-('Product Costing Sheet'!AD63+'Product Costing Sheet'!AD72+'Product Costing Sheet'!AD77)</f>
        <v>213553021.74919742</v>
      </c>
      <c r="AB97" s="311">
        <f ca="1">-('Product Costing Sheet'!AE63+'Product Costing Sheet'!AE72+'Product Costing Sheet'!AE77)</f>
        <v>216488057.36386812</v>
      </c>
      <c r="AC97" s="311">
        <f ca="1">-('Product Costing Sheet'!AF63+'Product Costing Sheet'!AF72+'Product Costing Sheet'!AF77)</f>
        <v>219094806.88974667</v>
      </c>
      <c r="AD97" s="311">
        <f ca="1">-('Product Costing Sheet'!AG63+'Product Costing Sheet'!AG72+'Product Costing Sheet'!AG77)</f>
        <v>221911461.89916217</v>
      </c>
      <c r="AE97" s="311">
        <f ca="1">-('Product Costing Sheet'!AH63+'Product Costing Sheet'!AH72+'Product Costing Sheet'!AH77)</f>
        <v>224660696.03778833</v>
      </c>
      <c r="AF97" s="311">
        <f ca="1">-('Product Costing Sheet'!AI63+'Product Costing Sheet'!AI72+'Product Costing Sheet'!AI77)</f>
        <v>227926425.28157377</v>
      </c>
      <c r="AG97" s="311">
        <f ca="1">-('Product Costing Sheet'!AJ63+'Product Costing Sheet'!AJ72+'Product Costing Sheet'!AJ77)</f>
        <v>230832358.85722065</v>
      </c>
      <c r="AH97" s="311">
        <f ca="1">-('Product Costing Sheet'!AK63+'Product Costing Sheet'!AK72+'Product Costing Sheet'!AK77)</f>
        <v>233970279.41758764</v>
      </c>
      <c r="AI97" s="311">
        <f ca="1">-('Product Costing Sheet'!AL63+'Product Costing Sheet'!AL72+'Product Costing Sheet'!AL77)</f>
        <v>237194153.93913165</v>
      </c>
      <c r="AL97" s="311">
        <f>-('Product Costing Sheet'!AM63+'Product Costing Sheet'!AM72+'Product Costing Sheet'!AM77)</f>
        <v>0</v>
      </c>
      <c r="AM97" s="311">
        <f>-('Product Costing Sheet'!AN63+'Product Costing Sheet'!AN72+'Product Costing Sheet'!AN77)</f>
        <v>0</v>
      </c>
      <c r="AN97" s="311">
        <f>-('Product Costing Sheet'!AO63+'Product Costing Sheet'!AO72+'Product Costing Sheet'!AO77)</f>
        <v>0</v>
      </c>
      <c r="AO97" s="311">
        <f>-('Product Costing Sheet'!AP63+'Product Costing Sheet'!AP72+'Product Costing Sheet'!AP77)</f>
        <v>0</v>
      </c>
      <c r="AP97" s="311">
        <f>-('Product Costing Sheet'!AQ63+'Product Costing Sheet'!AQ72+'Product Costing Sheet'!AQ77)</f>
        <v>0</v>
      </c>
      <c r="AQ97" s="311">
        <f>-('Product Costing Sheet'!AR63+'Product Costing Sheet'!AR72+'Product Costing Sheet'!AR77)</f>
        <v>0</v>
      </c>
      <c r="AR97" s="311">
        <f>-('Product Costing Sheet'!AS63+'Product Costing Sheet'!AS72+'Product Costing Sheet'!AS77)</f>
        <v>0</v>
      </c>
      <c r="AS97" s="311">
        <f>-('Product Costing Sheet'!AT63+'Product Costing Sheet'!AT72+'Product Costing Sheet'!AT77)</f>
        <v>0</v>
      </c>
      <c r="AT97" s="311">
        <f>-('Product Costing Sheet'!AU63+'Product Costing Sheet'!AU72+'Product Costing Sheet'!AU77)</f>
        <v>0</v>
      </c>
      <c r="AU97" s="311">
        <f>-('Product Costing Sheet'!AV63+'Product Costing Sheet'!AV72+'Product Costing Sheet'!AV77)</f>
        <v>0</v>
      </c>
      <c r="AV97" s="311">
        <f>-('Product Costing Sheet'!AW63+'Product Costing Sheet'!AW72+'Product Costing Sheet'!AW77)</f>
        <v>0</v>
      </c>
    </row>
    <row r="98" spans="5:48">
      <c r="E98" s="311" t="s">
        <v>1763</v>
      </c>
      <c r="F98" s="311">
        <f>'Product Costing Sheet'!I78</f>
        <v>0</v>
      </c>
      <c r="G98" s="311">
        <f>'Product Costing Sheet'!J78</f>
        <v>0</v>
      </c>
      <c r="H98" s="311">
        <f>'Product Costing Sheet'!K78</f>
        <v>0</v>
      </c>
      <c r="I98" s="311">
        <f ca="1">'Product Costing Sheet'!L78</f>
        <v>419891226.17279506</v>
      </c>
      <c r="J98" s="311">
        <f ca="1">'Product Costing Sheet'!M78</f>
        <v>432731880.9799844</v>
      </c>
      <c r="K98" s="311">
        <f ca="1">'Product Costing Sheet'!N78</f>
        <v>446030193.10394913</v>
      </c>
      <c r="L98" s="311">
        <f ca="1">'Product Costing Sheet'!O78</f>
        <v>459419160.74465138</v>
      </c>
      <c r="M98" s="311">
        <f ca="1">'Product Costing Sheet'!P78</f>
        <v>473534415.59136099</v>
      </c>
      <c r="N98" s="311">
        <f ca="1">'Product Costing Sheet'!Q78</f>
        <v>487970101.31319088</v>
      </c>
      <c r="O98" s="311">
        <f ca="1">'Product Costing Sheet'!R78</f>
        <v>502957171.1545772</v>
      </c>
      <c r="P98" s="311">
        <f ca="1">'Product Costing Sheet'!S78</f>
        <v>518054478.15963143</v>
      </c>
      <c r="Q98" s="311">
        <f ca="1">'Product Costing Sheet'!T78</f>
        <v>533962036.40528518</v>
      </c>
      <c r="R98" s="311">
        <f ca="1">'Product Costing Sheet'!U78</f>
        <v>550233403.92067146</v>
      </c>
      <c r="S98" s="311">
        <f ca="1">'Product Costing Sheet'!V78</f>
        <v>567123145.95314384</v>
      </c>
      <c r="T98" s="311">
        <f ca="1">'Product Costing Sheet'!W78</f>
        <v>584145980.77700627</v>
      </c>
      <c r="U98" s="311">
        <f ca="1">'Product Costing Sheet'!X78</f>
        <v>602072853.50615931</v>
      </c>
      <c r="V98" s="311">
        <f ca="1">'Product Costing Sheet'!Y78</f>
        <v>620412672.85977101</v>
      </c>
      <c r="W98" s="311">
        <f ca="1">'Product Costing Sheet'!Z78</f>
        <v>642888893.24891794</v>
      </c>
      <c r="X98" s="311">
        <f ca="1">'Product Costing Sheet'!AA78</f>
        <v>665631329.72415555</v>
      </c>
      <c r="Y98" s="311">
        <f ca="1">'Product Costing Sheet'!AB78</f>
        <v>689489055.52032173</v>
      </c>
      <c r="Z98" s="311">
        <f ca="1">'Product Costing Sheet'!AC78</f>
        <v>713925053.27452183</v>
      </c>
      <c r="AA98" s="311">
        <f ca="1">'Product Costing Sheet'!AD78</f>
        <v>739251940.18809164</v>
      </c>
      <c r="AB98" s="311">
        <f ca="1">'Product Costing Sheet'!AE78</f>
        <v>764885845.62247801</v>
      </c>
      <c r="AC98" s="311">
        <f ca="1">'Product Costing Sheet'!AF78</f>
        <v>791765460.11370814</v>
      </c>
      <c r="AD98" s="311">
        <f ca="1">'Product Costing Sheet'!AG78</f>
        <v>819300127.07792091</v>
      </c>
      <c r="AE98" s="311">
        <f ca="1">'Product Costing Sheet'!AH78</f>
        <v>847834555.87013912</v>
      </c>
      <c r="AF98" s="311">
        <f ca="1">'Product Costing Sheet'!AI78</f>
        <v>876726526.03836846</v>
      </c>
      <c r="AG98" s="311">
        <f ca="1">'Product Costing Sheet'!AJ78</f>
        <v>907010042.65031207</v>
      </c>
      <c r="AH98" s="311">
        <f ca="1">'Product Costing Sheet'!AK78</f>
        <v>938035447.03473699</v>
      </c>
      <c r="AI98" s="311">
        <f ca="1">'Product Costing Sheet'!AL78</f>
        <v>970000470.47591877</v>
      </c>
      <c r="AL98" s="311">
        <f>'Product Costing Sheet'!AM78</f>
        <v>0</v>
      </c>
      <c r="AM98" s="311">
        <f>'Product Costing Sheet'!AN78</f>
        <v>0</v>
      </c>
      <c r="AN98" s="311">
        <f>'Product Costing Sheet'!AO78</f>
        <v>0</v>
      </c>
      <c r="AO98" s="311">
        <f>'Product Costing Sheet'!AP78</f>
        <v>0</v>
      </c>
      <c r="AP98" s="311">
        <f>'Product Costing Sheet'!AQ78</f>
        <v>0</v>
      </c>
      <c r="AQ98" s="311">
        <f>'Product Costing Sheet'!AR78</f>
        <v>0</v>
      </c>
      <c r="AR98" s="311">
        <f>'Product Costing Sheet'!AS78</f>
        <v>0</v>
      </c>
      <c r="AS98" s="311">
        <f>'Product Costing Sheet'!AT78</f>
        <v>0</v>
      </c>
      <c r="AT98" s="311">
        <f>'Product Costing Sheet'!AU78</f>
        <v>0</v>
      </c>
      <c r="AU98" s="311">
        <f>'Product Costing Sheet'!AV78</f>
        <v>0</v>
      </c>
      <c r="AV98" s="311">
        <f>'Product Costing Sheet'!AW78</f>
        <v>0</v>
      </c>
    </row>
    <row r="100" spans="5:48">
      <c r="F100">
        <f>F83</f>
        <v>2027</v>
      </c>
      <c r="G100">
        <f t="shared" ref="G100:AV100" si="9">G83</f>
        <v>2028</v>
      </c>
      <c r="H100">
        <f t="shared" si="9"/>
        <v>2029</v>
      </c>
      <c r="I100">
        <f t="shared" si="9"/>
        <v>2030</v>
      </c>
      <c r="J100">
        <f t="shared" si="9"/>
        <v>2031</v>
      </c>
      <c r="K100">
        <f t="shared" si="9"/>
        <v>2032</v>
      </c>
      <c r="L100">
        <f t="shared" si="9"/>
        <v>2033</v>
      </c>
      <c r="M100">
        <f t="shared" si="9"/>
        <v>2034</v>
      </c>
      <c r="N100">
        <f t="shared" si="9"/>
        <v>2035</v>
      </c>
      <c r="O100">
        <f t="shared" si="9"/>
        <v>2036</v>
      </c>
      <c r="P100">
        <f t="shared" si="9"/>
        <v>2037</v>
      </c>
      <c r="Q100">
        <f t="shared" si="9"/>
        <v>2038</v>
      </c>
      <c r="R100">
        <f t="shared" si="9"/>
        <v>2039</v>
      </c>
      <c r="S100">
        <f t="shared" si="9"/>
        <v>2040</v>
      </c>
      <c r="T100">
        <f t="shared" si="9"/>
        <v>2041</v>
      </c>
      <c r="U100">
        <f t="shared" si="9"/>
        <v>2042</v>
      </c>
      <c r="V100">
        <f t="shared" si="9"/>
        <v>2043</v>
      </c>
      <c r="W100">
        <f t="shared" si="9"/>
        <v>2044</v>
      </c>
      <c r="X100">
        <f t="shared" si="9"/>
        <v>2045</v>
      </c>
      <c r="Y100">
        <f t="shared" si="9"/>
        <v>2046</v>
      </c>
      <c r="Z100">
        <f t="shared" ref="Z100:AI100" si="10">Z83</f>
        <v>2047</v>
      </c>
      <c r="AA100">
        <f t="shared" si="10"/>
        <v>2048</v>
      </c>
      <c r="AB100">
        <f t="shared" si="10"/>
        <v>2049</v>
      </c>
      <c r="AC100">
        <f t="shared" si="10"/>
        <v>2050</v>
      </c>
      <c r="AD100">
        <f t="shared" si="10"/>
        <v>2051</v>
      </c>
      <c r="AE100">
        <f t="shared" si="10"/>
        <v>2052</v>
      </c>
      <c r="AF100">
        <f t="shared" si="10"/>
        <v>2053</v>
      </c>
      <c r="AG100">
        <f t="shared" si="10"/>
        <v>2054</v>
      </c>
      <c r="AH100">
        <f t="shared" si="10"/>
        <v>2055</v>
      </c>
      <c r="AI100">
        <f t="shared" si="10"/>
        <v>2056</v>
      </c>
      <c r="AJ100">
        <f>AL83</f>
        <v>2057</v>
      </c>
      <c r="AK100">
        <f>AM83</f>
        <v>2058</v>
      </c>
      <c r="AL100">
        <f>AN83</f>
        <v>2059</v>
      </c>
      <c r="AM100">
        <f>AO83</f>
        <v>2060</v>
      </c>
      <c r="AP100">
        <f t="shared" si="9"/>
        <v>2061</v>
      </c>
      <c r="AQ100">
        <f t="shared" si="9"/>
        <v>2062</v>
      </c>
      <c r="AR100">
        <f t="shared" si="9"/>
        <v>2063</v>
      </c>
      <c r="AS100">
        <f t="shared" si="9"/>
        <v>2064</v>
      </c>
      <c r="AT100">
        <f t="shared" si="9"/>
        <v>2065</v>
      </c>
      <c r="AU100">
        <f t="shared" si="9"/>
        <v>2066</v>
      </c>
      <c r="AV100">
        <f t="shared" si="9"/>
        <v>2067</v>
      </c>
    </row>
    <row r="101" spans="5:48">
      <c r="F101" s="978"/>
      <c r="G101" s="978"/>
      <c r="H101" s="978"/>
      <c r="I101" s="978"/>
      <c r="J101" s="978"/>
      <c r="K101" s="978"/>
      <c r="L101" s="978"/>
      <c r="M101" s="978"/>
      <c r="N101" s="978"/>
      <c r="O101" s="978"/>
      <c r="P101" s="978"/>
      <c r="Q101" s="978"/>
      <c r="R101" s="978"/>
      <c r="S101" s="978"/>
      <c r="T101" s="978"/>
      <c r="U101" s="978"/>
      <c r="V101" s="978"/>
      <c r="W101" s="978"/>
      <c r="X101" s="978"/>
      <c r="Y101" s="978"/>
      <c r="Z101" s="978"/>
      <c r="AA101" s="978"/>
      <c r="AB101" s="978"/>
      <c r="AC101" s="978"/>
      <c r="AD101" s="978"/>
      <c r="AE101" s="978"/>
      <c r="AF101" s="978"/>
      <c r="AG101" s="978"/>
      <c r="AH101" s="978"/>
      <c r="AI101" s="978"/>
      <c r="AJ101" s="978"/>
      <c r="AK101" s="978"/>
      <c r="AL101" s="978"/>
      <c r="AM101" s="978"/>
      <c r="AN101" s="978"/>
      <c r="AO101" s="978"/>
      <c r="AP101" s="978"/>
      <c r="AQ101" s="978"/>
      <c r="AR101" s="978"/>
      <c r="AS101" s="978"/>
      <c r="AT101" s="978"/>
      <c r="AU101" s="978"/>
      <c r="AV101" s="978"/>
    </row>
    <row r="102" spans="5:48">
      <c r="E102" t="s">
        <v>2057</v>
      </c>
      <c r="F102" s="978">
        <f ca="1">Valuation!E7</f>
        <v>0</v>
      </c>
      <c r="G102" s="978">
        <f ca="1">Valuation!F7</f>
        <v>-132913371.73613448</v>
      </c>
      <c r="H102" s="978">
        <f ca="1">Valuation!G7</f>
        <v>632979160.75820112</v>
      </c>
      <c r="I102" s="978">
        <f ca="1">Valuation!H7</f>
        <v>1113384145.8202512</v>
      </c>
      <c r="J102" s="978">
        <f ca="1">Valuation!I7</f>
        <v>1307343777.7768016</v>
      </c>
      <c r="K102" s="978">
        <f ca="1">Valuation!J7</f>
        <v>1264692907.9545906</v>
      </c>
      <c r="L102" s="978">
        <f ca="1">Valuation!K7</f>
        <v>1349315140.1386206</v>
      </c>
      <c r="M102" s="978">
        <f ca="1">Valuation!L7</f>
        <v>1425359922.7759254</v>
      </c>
      <c r="N102" s="978">
        <f ca="1">Valuation!M7</f>
        <v>1503447690.4102097</v>
      </c>
      <c r="O102" s="978">
        <f ca="1">Valuation!N7</f>
        <v>1324092719.1085794</v>
      </c>
      <c r="P102" s="978">
        <f ca="1">Valuation!O7</f>
        <v>1283070151.1751375</v>
      </c>
      <c r="Q102" s="978">
        <f ca="1">Valuation!P7</f>
        <v>1361126777.7746472</v>
      </c>
      <c r="R102" s="978">
        <f ca="1">Valuation!Q7</f>
        <v>1442257475.690588</v>
      </c>
      <c r="S102" s="978">
        <f ca="1">Valuation!R7</f>
        <v>1528178348.3972325</v>
      </c>
      <c r="T102" s="978">
        <f ca="1">Valuation!S7</f>
        <v>1616160258.3257608</v>
      </c>
      <c r="U102" s="978">
        <f ca="1">Valuation!T7</f>
        <v>1235546330.5832512</v>
      </c>
      <c r="V102" s="978">
        <f ca="1">Valuation!U7</f>
        <v>1172655466.6061137</v>
      </c>
      <c r="W102" s="978">
        <f ca="1">Valuation!V7</f>
        <v>1209196930.2893116</v>
      </c>
      <c r="X102" s="978">
        <f ca="1">Valuation!W7</f>
        <v>1245685425.722734</v>
      </c>
      <c r="Y102" s="978">
        <f ca="1">Valuation!X7</f>
        <v>1285172638.6101649</v>
      </c>
      <c r="Z102" s="978"/>
      <c r="AA102" s="978"/>
      <c r="AB102" s="978">
        <f ca="1">Valuation!Y7</f>
        <v>1325847448.789845</v>
      </c>
      <c r="AC102" s="978">
        <f ca="1">Valuation!Z7</f>
        <v>1368791499.13083</v>
      </c>
      <c r="AD102" s="978">
        <f ca="1">Valuation!AA7</f>
        <v>1411363588.111443</v>
      </c>
      <c r="AE102" s="978">
        <f ca="1">Valuation!AB7</f>
        <v>1457366133.1732535</v>
      </c>
      <c r="AF102" s="978">
        <f ca="1">Valuation!AC7</f>
        <v>1504464392.6556954</v>
      </c>
      <c r="AG102" s="978">
        <f ca="1">Valuation!AD7</f>
        <v>1553913969.7623825</v>
      </c>
      <c r="AH102" s="978">
        <f ca="1">Valuation!AE7</f>
        <v>1602784955.700546</v>
      </c>
      <c r="AI102" s="978">
        <f ca="1">Valuation!AF7</f>
        <v>1655357824.3929558</v>
      </c>
      <c r="AJ102" s="978">
        <f ca="1">Valuation!AG7</f>
        <v>1729891184.7949376</v>
      </c>
      <c r="AK102" s="978">
        <f ca="1">Valuation!AH7</f>
        <v>2140969646.930531</v>
      </c>
      <c r="AL102" s="978">
        <f>Valuation!AI7</f>
        <v>0</v>
      </c>
      <c r="AM102" s="978">
        <f>Valuation!AJ7</f>
        <v>0</v>
      </c>
      <c r="AN102" s="978">
        <f>Valuation!AK7</f>
        <v>0</v>
      </c>
      <c r="AO102" s="978">
        <f>Valuation!AL7</f>
        <v>0</v>
      </c>
      <c r="AP102" s="978">
        <f>Valuation!AM7</f>
        <v>0</v>
      </c>
      <c r="AQ102" s="978">
        <f>Valuation!AN7</f>
        <v>0</v>
      </c>
      <c r="AR102" s="978">
        <f>Valuation!AO7</f>
        <v>0</v>
      </c>
      <c r="AS102" s="978">
        <f>Valuation!AP7</f>
        <v>0</v>
      </c>
      <c r="AT102" s="978">
        <f>Valuation!AQ7</f>
        <v>0</v>
      </c>
      <c r="AU102" s="978">
        <f>Valuation!AR7</f>
        <v>0</v>
      </c>
      <c r="AV102" s="978">
        <f>Valuation!AS7</f>
        <v>0</v>
      </c>
    </row>
    <row r="103" spans="5:48">
      <c r="E103" t="s">
        <v>591</v>
      </c>
      <c r="F103" s="978">
        <f ca="1">Valuation!E10</f>
        <v>0</v>
      </c>
      <c r="G103" s="978">
        <f ca="1">Valuation!F10</f>
        <v>0</v>
      </c>
      <c r="H103" s="978">
        <f ca="1">Valuation!G10</f>
        <v>0</v>
      </c>
      <c r="I103" s="978">
        <f ca="1">Valuation!H10</f>
        <v>712861464.64741492</v>
      </c>
      <c r="J103" s="978">
        <f ca="1">Valuation!I10</f>
        <v>670173413.88064456</v>
      </c>
      <c r="K103" s="978">
        <f ca="1">Valuation!J10</f>
        <v>626902193.02143204</v>
      </c>
      <c r="L103" s="978">
        <f ca="1">Valuation!K10</f>
        <v>585265126.60208225</v>
      </c>
      <c r="M103" s="978">
        <f ca="1">Valuation!L10</f>
        <v>542109261.58033359</v>
      </c>
      <c r="N103" s="978">
        <f ca="1">Valuation!M10</f>
        <v>499421210.81356329</v>
      </c>
      <c r="O103" s="978">
        <f ca="1">Valuation!N10</f>
        <v>456616526.02830452</v>
      </c>
      <c r="P103" s="978">
        <f ca="1">Valuation!O10</f>
        <v>0</v>
      </c>
      <c r="Q103" s="978">
        <f ca="1">Valuation!P10</f>
        <v>0</v>
      </c>
      <c r="R103" s="978">
        <f ca="1">Valuation!Q10</f>
        <v>0</v>
      </c>
      <c r="S103" s="978">
        <f ca="1">Valuation!R10</f>
        <v>0</v>
      </c>
      <c r="T103" s="978">
        <f ca="1">Valuation!S10</f>
        <v>0</v>
      </c>
      <c r="U103" s="978">
        <f ca="1">Valuation!T10</f>
        <v>0</v>
      </c>
      <c r="V103" s="978">
        <f ca="1">Valuation!U10</f>
        <v>0</v>
      </c>
      <c r="W103" s="978">
        <f ca="1">Valuation!V10</f>
        <v>0</v>
      </c>
      <c r="X103" s="978">
        <f ca="1">Valuation!W10</f>
        <v>0</v>
      </c>
      <c r="Y103" s="978">
        <f ca="1">Valuation!X10</f>
        <v>0</v>
      </c>
      <c r="Z103" s="978"/>
      <c r="AA103" s="978"/>
      <c r="AB103" s="978">
        <f ca="1">Valuation!Y10</f>
        <v>0</v>
      </c>
      <c r="AC103" s="978">
        <f ca="1">Valuation!Z10</f>
        <v>0</v>
      </c>
      <c r="AD103" s="978">
        <f ca="1">Valuation!AA10</f>
        <v>0</v>
      </c>
      <c r="AE103" s="978">
        <f ca="1">Valuation!AB10</f>
        <v>0</v>
      </c>
      <c r="AF103" s="978">
        <f ca="1">Valuation!AC10</f>
        <v>0</v>
      </c>
      <c r="AG103" s="978">
        <f ca="1">Valuation!AD10</f>
        <v>0</v>
      </c>
      <c r="AH103" s="978">
        <f ca="1">Valuation!AE10</f>
        <v>0</v>
      </c>
      <c r="AI103" s="978">
        <f ca="1">Valuation!AF10</f>
        <v>0</v>
      </c>
      <c r="AJ103" s="978">
        <f ca="1">Valuation!AG10</f>
        <v>0</v>
      </c>
      <c r="AK103" s="978">
        <f ca="1">Valuation!AH10</f>
        <v>0</v>
      </c>
      <c r="AL103" s="978">
        <f>Valuation!AI10</f>
        <v>0</v>
      </c>
      <c r="AM103" s="978">
        <f>Valuation!AJ10</f>
        <v>0</v>
      </c>
      <c r="AN103" s="978">
        <f>Valuation!AK10</f>
        <v>0</v>
      </c>
      <c r="AO103" s="978">
        <f>Valuation!AL10</f>
        <v>0</v>
      </c>
      <c r="AP103" s="978">
        <f>Valuation!AM10</f>
        <v>0</v>
      </c>
      <c r="AQ103" s="978">
        <f>Valuation!AN10</f>
        <v>0</v>
      </c>
      <c r="AR103" s="978">
        <f>Valuation!AO10</f>
        <v>0</v>
      </c>
      <c r="AS103" s="978">
        <f>Valuation!AP10</f>
        <v>0</v>
      </c>
      <c r="AT103" s="978">
        <f>Valuation!AQ10</f>
        <v>0</v>
      </c>
      <c r="AU103" s="978">
        <f>Valuation!AR10</f>
        <v>0</v>
      </c>
      <c r="AV103" s="978">
        <f>Valuation!AS10</f>
        <v>0</v>
      </c>
    </row>
    <row r="106" spans="5:48">
      <c r="E106" s="987" t="s">
        <v>2049</v>
      </c>
      <c r="F106">
        <v>1</v>
      </c>
      <c r="G106">
        <v>2</v>
      </c>
      <c r="H106">
        <v>3</v>
      </c>
      <c r="I106">
        <v>4</v>
      </c>
      <c r="J106">
        <v>5</v>
      </c>
      <c r="K106">
        <v>6</v>
      </c>
      <c r="L106">
        <v>7</v>
      </c>
      <c r="M106">
        <v>8</v>
      </c>
      <c r="N106">
        <v>9</v>
      </c>
      <c r="O106">
        <v>10</v>
      </c>
      <c r="P106">
        <v>11</v>
      </c>
      <c r="Q106">
        <v>12</v>
      </c>
      <c r="R106">
        <v>13</v>
      </c>
      <c r="S106">
        <v>14</v>
      </c>
      <c r="T106">
        <v>15</v>
      </c>
      <c r="U106">
        <v>16</v>
      </c>
      <c r="V106">
        <v>17</v>
      </c>
      <c r="W106">
        <v>18</v>
      </c>
      <c r="X106">
        <v>19</v>
      </c>
      <c r="Y106">
        <v>20</v>
      </c>
      <c r="Z106">
        <v>21</v>
      </c>
      <c r="AA106">
        <v>22</v>
      </c>
      <c r="AB106">
        <v>23</v>
      </c>
      <c r="AC106">
        <v>24</v>
      </c>
      <c r="AD106">
        <v>25</v>
      </c>
      <c r="AE106">
        <v>26</v>
      </c>
      <c r="AF106">
        <v>27</v>
      </c>
      <c r="AG106">
        <v>28</v>
      </c>
      <c r="AH106">
        <v>29</v>
      </c>
      <c r="AI106">
        <v>30</v>
      </c>
    </row>
    <row r="107" spans="5:48">
      <c r="E107" t="s">
        <v>961</v>
      </c>
      <c r="F107" s="311">
        <f>'Assumption '!M137</f>
        <v>0</v>
      </c>
      <c r="G107" s="311">
        <f>'Assumption '!N137</f>
        <v>975000</v>
      </c>
      <c r="H107" s="311">
        <f ca="1">'Assumption '!O137</f>
        <v>1218750</v>
      </c>
      <c r="I107" s="311">
        <f ca="1">'Assumption '!P137</f>
        <v>1425000</v>
      </c>
      <c r="J107" s="311">
        <f ca="1">'Assumption '!Q137</f>
        <v>1425000</v>
      </c>
      <c r="K107" s="311">
        <f ca="1">'Assumption '!R137</f>
        <v>1425000</v>
      </c>
      <c r="L107" s="311">
        <f ca="1">'Assumption '!S137</f>
        <v>1425000</v>
      </c>
      <c r="M107" s="311">
        <f ca="1">'Assumption '!T137</f>
        <v>1425000</v>
      </c>
      <c r="N107" s="311">
        <f ca="1">'Assumption '!U137</f>
        <v>1425000</v>
      </c>
      <c r="O107" s="311">
        <f ca="1">'Assumption '!V137</f>
        <v>1425000</v>
      </c>
      <c r="P107" s="311">
        <f ca="1">'Assumption '!W137</f>
        <v>1425000</v>
      </c>
      <c r="Q107" s="311">
        <f ca="1">'Assumption '!X137</f>
        <v>1425000</v>
      </c>
      <c r="R107" s="311">
        <f ca="1">'Assumption '!Y137</f>
        <v>1425000</v>
      </c>
      <c r="S107" s="311">
        <f ca="1">'Assumption '!Z137</f>
        <v>1425000</v>
      </c>
      <c r="T107" s="311">
        <f ca="1">'Assumption '!AA137</f>
        <v>1425000</v>
      </c>
      <c r="U107" s="311">
        <f ca="1">'Assumption '!AB137</f>
        <v>1425000</v>
      </c>
      <c r="V107" s="311">
        <f ca="1">'Assumption '!AC137</f>
        <v>1425000</v>
      </c>
      <c r="W107" s="311">
        <f ca="1">'Assumption '!AD137</f>
        <v>1425000</v>
      </c>
      <c r="X107" s="311">
        <f ca="1">'Assumption '!AE137</f>
        <v>1425000</v>
      </c>
      <c r="Y107" s="311">
        <f ca="1">'Assumption '!AF137</f>
        <v>1425000</v>
      </c>
      <c r="Z107" s="311">
        <f ca="1">'Assumption '!AG137</f>
        <v>1425000</v>
      </c>
      <c r="AA107" s="311">
        <f ca="1">'Assumption '!AH137</f>
        <v>1425000</v>
      </c>
      <c r="AB107" s="311">
        <f ca="1">'Assumption '!AI137</f>
        <v>1425000</v>
      </c>
      <c r="AC107" s="311">
        <f ca="1">'Assumption '!AJ137</f>
        <v>1425000</v>
      </c>
      <c r="AD107" s="311">
        <f ca="1">'Assumption '!AK137</f>
        <v>1425000</v>
      </c>
      <c r="AE107" s="311">
        <f ca="1">'Assumption '!AL137</f>
        <v>1425000</v>
      </c>
      <c r="AF107" s="311">
        <f ca="1">'Assumption '!AM137</f>
        <v>1425000</v>
      </c>
      <c r="AG107" s="311">
        <f ca="1">'Assumption '!AN137</f>
        <v>1425000</v>
      </c>
      <c r="AH107" s="311">
        <f ca="1">'Assumption '!AO137</f>
        <v>1425000</v>
      </c>
      <c r="AI107" s="311">
        <f ca="1">'Assumption '!AP137</f>
        <v>1425000</v>
      </c>
      <c r="AJ107" s="311"/>
      <c r="AK107" s="311"/>
      <c r="AL107" s="311"/>
      <c r="AM107" s="311"/>
      <c r="AN107" s="311"/>
      <c r="AO107" s="311"/>
      <c r="AP107" s="311"/>
      <c r="AQ107" s="311"/>
      <c r="AR107" s="311"/>
      <c r="AS107" s="311"/>
      <c r="AT107" s="311"/>
      <c r="AU107" s="311"/>
      <c r="AV107" s="311"/>
    </row>
    <row r="108" spans="5:48" ht="15.75" thickBot="1">
      <c r="E108" t="s">
        <v>981</v>
      </c>
      <c r="F108" s="311">
        <f>'Assumption '!M138</f>
        <v>0</v>
      </c>
      <c r="G108" s="311">
        <f>'Assumption '!N138</f>
        <v>0</v>
      </c>
      <c r="H108" s="311">
        <f>'Assumption '!O138</f>
        <v>650000</v>
      </c>
      <c r="I108" s="311">
        <f ca="1">'Assumption '!P138</f>
        <v>812500</v>
      </c>
      <c r="J108" s="311">
        <f ca="1">'Assumption '!Q138</f>
        <v>950000</v>
      </c>
      <c r="K108" s="311">
        <f ca="1">'Assumption '!R138</f>
        <v>950000</v>
      </c>
      <c r="L108" s="311">
        <f ca="1">'Assumption '!S138</f>
        <v>950000</v>
      </c>
      <c r="M108" s="311">
        <f ca="1">'Assumption '!T138</f>
        <v>950000</v>
      </c>
      <c r="N108" s="311">
        <f ca="1">'Assumption '!U138</f>
        <v>950000</v>
      </c>
      <c r="O108" s="311">
        <f ca="1">'Assumption '!V138</f>
        <v>950000</v>
      </c>
      <c r="P108" s="311">
        <f ca="1">'Assumption '!W138</f>
        <v>950000</v>
      </c>
      <c r="Q108" s="311">
        <f ca="1">'Assumption '!X138</f>
        <v>950000</v>
      </c>
      <c r="R108" s="311">
        <f ca="1">'Assumption '!Y138</f>
        <v>950000</v>
      </c>
      <c r="S108" s="311">
        <f ca="1">'Assumption '!Z138</f>
        <v>950000</v>
      </c>
      <c r="T108" s="311">
        <f ca="1">'Assumption '!AA138</f>
        <v>950000</v>
      </c>
      <c r="U108" s="311">
        <f ca="1">'Assumption '!AB138</f>
        <v>950000</v>
      </c>
      <c r="V108" s="311">
        <f ca="1">'Assumption '!AC138</f>
        <v>950000</v>
      </c>
      <c r="W108" s="311">
        <f ca="1">'Assumption '!AD138</f>
        <v>950000</v>
      </c>
      <c r="X108" s="311">
        <f ca="1">'Assumption '!AE138</f>
        <v>950000</v>
      </c>
      <c r="Y108" s="311">
        <f ca="1">'Assumption '!AF138</f>
        <v>950000</v>
      </c>
      <c r="Z108" s="311">
        <f ca="1">'Assumption '!AG138</f>
        <v>950000</v>
      </c>
      <c r="AA108" s="311">
        <f ca="1">'Assumption '!AH138</f>
        <v>950000</v>
      </c>
      <c r="AB108" s="311">
        <f ca="1">'Assumption '!AI138</f>
        <v>950000</v>
      </c>
      <c r="AC108" s="311">
        <f ca="1">'Assumption '!AJ138</f>
        <v>950000</v>
      </c>
      <c r="AD108" s="311">
        <f ca="1">'Assumption '!AK138</f>
        <v>950000</v>
      </c>
      <c r="AE108" s="311">
        <f ca="1">'Assumption '!AL138</f>
        <v>950000</v>
      </c>
      <c r="AF108" s="311">
        <f ca="1">'Assumption '!AM138</f>
        <v>950000</v>
      </c>
      <c r="AG108" s="311">
        <f ca="1">'Assumption '!AN138</f>
        <v>950000</v>
      </c>
      <c r="AH108" s="311">
        <f ca="1">'Assumption '!AO138</f>
        <v>950000</v>
      </c>
      <c r="AI108" s="311">
        <f ca="1">'Assumption '!AP138</f>
        <v>950000</v>
      </c>
      <c r="AJ108" s="311"/>
      <c r="AK108" s="311"/>
      <c r="AL108" s="311"/>
      <c r="AM108" s="311"/>
      <c r="AN108" s="311"/>
      <c r="AO108" s="311"/>
      <c r="AP108" s="311"/>
      <c r="AQ108" s="311"/>
      <c r="AR108" s="311"/>
      <c r="AS108" s="311"/>
      <c r="AT108" s="311"/>
      <c r="AU108" s="311"/>
      <c r="AV108" s="311"/>
    </row>
    <row r="109" spans="5:48">
      <c r="E109" s="2116"/>
      <c r="F109" s="2117">
        <f>F100</f>
        <v>2027</v>
      </c>
      <c r="G109" s="2117">
        <f t="shared" ref="G109:AI109" si="11">G100</f>
        <v>2028</v>
      </c>
      <c r="H109" s="2117">
        <f t="shared" si="11"/>
        <v>2029</v>
      </c>
      <c r="I109" s="2117">
        <f t="shared" si="11"/>
        <v>2030</v>
      </c>
      <c r="J109" s="2117">
        <f t="shared" si="11"/>
        <v>2031</v>
      </c>
      <c r="K109" s="2117">
        <f t="shared" si="11"/>
        <v>2032</v>
      </c>
      <c r="L109" s="2118">
        <f t="shared" si="11"/>
        <v>2033</v>
      </c>
      <c r="M109" s="2114">
        <f t="shared" si="11"/>
        <v>2034</v>
      </c>
      <c r="N109" s="2113">
        <f t="shared" si="11"/>
        <v>2035</v>
      </c>
      <c r="O109" s="2113">
        <f t="shared" si="11"/>
        <v>2036</v>
      </c>
      <c r="P109" s="2113">
        <f t="shared" si="11"/>
        <v>2037</v>
      </c>
      <c r="Q109" s="2113">
        <f t="shared" si="11"/>
        <v>2038</v>
      </c>
      <c r="R109" s="2113">
        <f t="shared" si="11"/>
        <v>2039</v>
      </c>
      <c r="S109" s="2113">
        <f t="shared" si="11"/>
        <v>2040</v>
      </c>
      <c r="T109" s="2113">
        <f t="shared" si="11"/>
        <v>2041</v>
      </c>
      <c r="U109" s="2113">
        <f t="shared" si="11"/>
        <v>2042</v>
      </c>
      <c r="V109" s="2113">
        <f t="shared" si="11"/>
        <v>2043</v>
      </c>
      <c r="W109" s="2113">
        <f t="shared" si="11"/>
        <v>2044</v>
      </c>
      <c r="X109" s="2113">
        <f t="shared" si="11"/>
        <v>2045</v>
      </c>
      <c r="Y109" s="2113">
        <f t="shared" si="11"/>
        <v>2046</v>
      </c>
      <c r="Z109" s="2113">
        <f t="shared" si="11"/>
        <v>2047</v>
      </c>
      <c r="AA109" s="2113">
        <f t="shared" si="11"/>
        <v>2048</v>
      </c>
      <c r="AB109" s="2113">
        <f t="shared" si="11"/>
        <v>2049</v>
      </c>
      <c r="AC109" s="2113">
        <f t="shared" si="11"/>
        <v>2050</v>
      </c>
      <c r="AD109" s="2113">
        <f t="shared" si="11"/>
        <v>2051</v>
      </c>
      <c r="AE109" s="2113">
        <f t="shared" si="11"/>
        <v>2052</v>
      </c>
      <c r="AF109" s="2113">
        <f t="shared" si="11"/>
        <v>2053</v>
      </c>
      <c r="AG109" s="2113">
        <f t="shared" si="11"/>
        <v>2054</v>
      </c>
      <c r="AH109" s="2113">
        <f t="shared" si="11"/>
        <v>2055</v>
      </c>
      <c r="AI109" s="2113">
        <f t="shared" si="11"/>
        <v>2056</v>
      </c>
      <c r="AJ109" s="2113"/>
      <c r="AK109" s="2113"/>
      <c r="AL109" s="2113"/>
      <c r="AM109" s="2113"/>
      <c r="AN109" s="2113"/>
      <c r="AO109" s="2113"/>
      <c r="AP109" s="2113"/>
      <c r="AQ109" s="2113"/>
      <c r="AR109" s="2113"/>
      <c r="AS109" s="2113"/>
      <c r="AT109" s="2113"/>
      <c r="AU109" s="2113"/>
      <c r="AV109" s="2113"/>
    </row>
    <row r="110" spans="5:48">
      <c r="E110" s="459" t="s">
        <v>1133</v>
      </c>
      <c r="F110" s="436">
        <f>SUM(F107:F108)</f>
        <v>0</v>
      </c>
      <c r="G110" s="436">
        <f t="shared" ref="G110:Y110" si="12">SUM(G107:G108)</f>
        <v>975000</v>
      </c>
      <c r="H110" s="436">
        <f t="shared" ca="1" si="12"/>
        <v>1868750</v>
      </c>
      <c r="I110" s="436">
        <f t="shared" ca="1" si="12"/>
        <v>2237500</v>
      </c>
      <c r="J110" s="436">
        <f t="shared" ca="1" si="12"/>
        <v>2375000</v>
      </c>
      <c r="K110" s="436">
        <f t="shared" ca="1" si="12"/>
        <v>2375000</v>
      </c>
      <c r="L110" s="461">
        <f t="shared" ca="1" si="12"/>
        <v>2375000</v>
      </c>
      <c r="M110" s="2115">
        <f t="shared" ca="1" si="12"/>
        <v>2375000</v>
      </c>
      <c r="N110" s="436">
        <f t="shared" ca="1" si="12"/>
        <v>2375000</v>
      </c>
      <c r="O110" s="436">
        <f t="shared" ca="1" si="12"/>
        <v>2375000</v>
      </c>
      <c r="P110" s="436">
        <f t="shared" ca="1" si="12"/>
        <v>2375000</v>
      </c>
      <c r="Q110" s="436">
        <f t="shared" ca="1" si="12"/>
        <v>2375000</v>
      </c>
      <c r="R110" s="436">
        <f t="shared" ca="1" si="12"/>
        <v>2375000</v>
      </c>
      <c r="S110" s="436">
        <f t="shared" ca="1" si="12"/>
        <v>2375000</v>
      </c>
      <c r="T110" s="436">
        <f t="shared" ca="1" si="12"/>
        <v>2375000</v>
      </c>
      <c r="U110" s="436">
        <f t="shared" ca="1" si="12"/>
        <v>2375000</v>
      </c>
      <c r="V110" s="436">
        <f t="shared" ca="1" si="12"/>
        <v>2375000</v>
      </c>
      <c r="W110" s="436">
        <f t="shared" ca="1" si="12"/>
        <v>2375000</v>
      </c>
      <c r="X110" s="436">
        <f t="shared" ca="1" si="12"/>
        <v>2375000</v>
      </c>
      <c r="Y110" s="436">
        <f t="shared" ca="1" si="12"/>
        <v>2375000</v>
      </c>
      <c r="Z110" s="436">
        <f t="shared" ref="Z110:AI110" ca="1" si="13">SUM(Z107:Z108)</f>
        <v>2375000</v>
      </c>
      <c r="AA110" s="436">
        <f t="shared" ca="1" si="13"/>
        <v>2375000</v>
      </c>
      <c r="AB110" s="436">
        <f t="shared" ca="1" si="13"/>
        <v>2375000</v>
      </c>
      <c r="AC110" s="436">
        <f t="shared" ca="1" si="13"/>
        <v>2375000</v>
      </c>
      <c r="AD110" s="436">
        <f t="shared" ca="1" si="13"/>
        <v>2375000</v>
      </c>
      <c r="AE110" s="436">
        <f t="shared" ca="1" si="13"/>
        <v>2375000</v>
      </c>
      <c r="AF110" s="436">
        <f t="shared" ca="1" si="13"/>
        <v>2375000</v>
      </c>
      <c r="AG110" s="436">
        <f t="shared" ca="1" si="13"/>
        <v>2375000</v>
      </c>
      <c r="AH110" s="436">
        <f t="shared" ca="1" si="13"/>
        <v>2375000</v>
      </c>
      <c r="AI110" s="436">
        <f t="shared" ca="1" si="13"/>
        <v>2375000</v>
      </c>
      <c r="AJ110" s="436"/>
      <c r="AK110" s="436"/>
      <c r="AL110" s="436"/>
      <c r="AM110" s="436"/>
      <c r="AN110" s="436"/>
      <c r="AO110" s="436"/>
      <c r="AP110" s="436"/>
      <c r="AQ110" s="436"/>
      <c r="AR110" s="436"/>
      <c r="AS110" s="436"/>
      <c r="AT110" s="436"/>
      <c r="AU110" s="436"/>
      <c r="AV110" s="436"/>
    </row>
    <row r="111" spans="5:48" ht="15.75" thickBot="1">
      <c r="E111" s="460" t="s">
        <v>1132</v>
      </c>
      <c r="F111" s="462">
        <f>'Assumption '!M141</f>
        <v>0</v>
      </c>
      <c r="G111" s="462">
        <f>'Assumption '!N141</f>
        <v>650000</v>
      </c>
      <c r="H111" s="462">
        <f ca="1">'Assumption '!O141</f>
        <v>812500</v>
      </c>
      <c r="I111" s="462">
        <f ca="1">'Assumption '!P141</f>
        <v>950000</v>
      </c>
      <c r="J111" s="462">
        <f ca="1">'Assumption '!Q141</f>
        <v>950000</v>
      </c>
      <c r="K111" s="462">
        <f ca="1">'Assumption '!R141</f>
        <v>950000</v>
      </c>
      <c r="L111" s="1340">
        <f ca="1">'Assumption '!S141</f>
        <v>950000</v>
      </c>
      <c r="M111" s="2115">
        <f ca="1">'Assumption '!T141</f>
        <v>950000</v>
      </c>
      <c r="N111" s="436">
        <f ca="1">'Assumption '!U141</f>
        <v>950000</v>
      </c>
      <c r="O111" s="436">
        <f ca="1">'Assumption '!V141</f>
        <v>950000</v>
      </c>
      <c r="P111" s="436">
        <f ca="1">'Assumption '!W141</f>
        <v>950000</v>
      </c>
      <c r="Q111" s="436">
        <f ca="1">'Assumption '!X141</f>
        <v>950000</v>
      </c>
      <c r="R111" s="436">
        <f ca="1">'Assumption '!Y141</f>
        <v>950000</v>
      </c>
      <c r="S111" s="436">
        <f ca="1">'Assumption '!Z141</f>
        <v>950000</v>
      </c>
      <c r="T111" s="436">
        <f ca="1">'Assumption '!AA141</f>
        <v>950000</v>
      </c>
      <c r="U111" s="436">
        <f ca="1">'Assumption '!AB141</f>
        <v>950000</v>
      </c>
      <c r="V111" s="436">
        <f ca="1">'Assumption '!AC141</f>
        <v>950000</v>
      </c>
      <c r="W111" s="436">
        <f ca="1">'Assumption '!AD141</f>
        <v>950000</v>
      </c>
      <c r="X111" s="436">
        <f ca="1">'Assumption '!AE141</f>
        <v>950000</v>
      </c>
      <c r="Y111" s="436">
        <f ca="1">'Assumption '!AF141</f>
        <v>950000</v>
      </c>
      <c r="Z111" s="436">
        <f ca="1">'Assumption '!AG141</f>
        <v>950000</v>
      </c>
      <c r="AA111" s="436">
        <f ca="1">'Assumption '!AH141</f>
        <v>950000</v>
      </c>
      <c r="AB111" s="436">
        <f ca="1">'Assumption '!AI141</f>
        <v>950000</v>
      </c>
      <c r="AC111" s="436">
        <f ca="1">'Assumption '!AJ141</f>
        <v>950000</v>
      </c>
      <c r="AD111" s="436">
        <f ca="1">'Assumption '!AK141</f>
        <v>950000</v>
      </c>
      <c r="AE111" s="436">
        <f ca="1">'Assumption '!AL141</f>
        <v>950000</v>
      </c>
      <c r="AF111" s="436">
        <f ca="1">'Assumption '!AM141</f>
        <v>950000</v>
      </c>
      <c r="AG111" s="436">
        <f ca="1">'Assumption '!AN141</f>
        <v>950000</v>
      </c>
      <c r="AH111" s="436">
        <f ca="1">'Assumption '!AO141</f>
        <v>950000</v>
      </c>
      <c r="AI111" s="436">
        <f ca="1">'Assumption '!AP141</f>
        <v>950000</v>
      </c>
      <c r="AJ111" s="436"/>
      <c r="AK111" s="436"/>
      <c r="AL111" s="436"/>
      <c r="AM111" s="436"/>
      <c r="AN111" s="436"/>
      <c r="AO111" s="436"/>
      <c r="AP111" s="436"/>
      <c r="AQ111" s="436"/>
      <c r="AR111" s="436"/>
      <c r="AS111" s="436"/>
      <c r="AT111" s="436"/>
      <c r="AU111" s="436"/>
      <c r="AV111" s="436"/>
    </row>
    <row r="112" spans="5:48">
      <c r="E112" s="2391" t="s">
        <v>2230</v>
      </c>
      <c r="F112" s="978">
        <f>'Assumption '!M140</f>
        <v>0</v>
      </c>
      <c r="G112" s="978">
        <f>'Assumption '!N140</f>
        <v>0</v>
      </c>
      <c r="H112" s="978">
        <f ca="1">'Assumption '!O140</f>
        <v>0</v>
      </c>
      <c r="I112" s="978">
        <f ca="1">'Assumption '!P140</f>
        <v>0</v>
      </c>
      <c r="J112" s="978">
        <f ca="1">'Assumption '!Q140</f>
        <v>0</v>
      </c>
      <c r="K112" s="978">
        <f ca="1">'Assumption '!R140</f>
        <v>0</v>
      </c>
      <c r="L112" s="978">
        <f ca="1">'Assumption '!S140</f>
        <v>0</v>
      </c>
      <c r="M112" s="978">
        <f ca="1">'Assumption '!T140</f>
        <v>0</v>
      </c>
      <c r="N112" s="978">
        <f ca="1">'Assumption '!U140</f>
        <v>0</v>
      </c>
      <c r="O112" s="978">
        <f ca="1">'Assumption '!V140</f>
        <v>0</v>
      </c>
      <c r="P112" s="978">
        <f ca="1">'Assumption '!W140</f>
        <v>0</v>
      </c>
      <c r="Q112" s="978">
        <f ca="1">'Assumption '!X140</f>
        <v>0</v>
      </c>
      <c r="R112" s="978">
        <f ca="1">'Assumption '!Y140</f>
        <v>0</v>
      </c>
      <c r="S112" s="978">
        <f ca="1">'Assumption '!Z140</f>
        <v>0</v>
      </c>
      <c r="T112" s="978">
        <f ca="1">'Assumption '!AA140</f>
        <v>0</v>
      </c>
      <c r="U112" s="978">
        <f ca="1">'Assumption '!AB140</f>
        <v>0</v>
      </c>
      <c r="V112" s="978">
        <f ca="1">'Assumption '!AC140</f>
        <v>0</v>
      </c>
      <c r="W112" s="978">
        <f ca="1">'Assumption '!AD140</f>
        <v>0</v>
      </c>
      <c r="X112" s="978">
        <f ca="1">'Assumption '!AE140</f>
        <v>0</v>
      </c>
      <c r="Y112" s="978">
        <f ca="1">'Assumption '!AF140</f>
        <v>0</v>
      </c>
      <c r="Z112" s="978">
        <f ca="1">'Assumption '!AG140</f>
        <v>0</v>
      </c>
      <c r="AA112" s="978">
        <f ca="1">'Assumption '!AH140</f>
        <v>0</v>
      </c>
      <c r="AB112" s="978">
        <f ca="1">'Assumption '!AI140</f>
        <v>0</v>
      </c>
      <c r="AC112" s="978">
        <f ca="1">'Assumption '!AJ140</f>
        <v>0</v>
      </c>
      <c r="AD112" s="978">
        <f ca="1">'Assumption '!AK140</f>
        <v>0</v>
      </c>
      <c r="AE112" s="978">
        <f ca="1">'Assumption '!AL140</f>
        <v>0</v>
      </c>
      <c r="AF112" s="978">
        <f ca="1">'Assumption '!AM140</f>
        <v>0</v>
      </c>
      <c r="AG112" s="978">
        <f ca="1">'Assumption '!AN140</f>
        <v>0</v>
      </c>
      <c r="AH112" s="978">
        <f ca="1">'Assumption '!AO140</f>
        <v>0</v>
      </c>
      <c r="AI112" s="978">
        <f ca="1">'Assumption '!AP140</f>
        <v>0</v>
      </c>
      <c r="AJ112" s="978"/>
      <c r="AK112" s="978"/>
      <c r="AL112" s="978"/>
      <c r="AM112" s="978"/>
      <c r="AN112" s="978"/>
      <c r="AO112" s="978"/>
      <c r="AP112" s="978"/>
      <c r="AQ112" s="978"/>
      <c r="AR112" s="978"/>
      <c r="AS112" s="978"/>
      <c r="AT112" s="978"/>
      <c r="AU112" s="978"/>
      <c r="AV112" s="978"/>
    </row>
    <row r="117" spans="5:35" s="311" customFormat="1">
      <c r="E117" s="311" t="s">
        <v>2047</v>
      </c>
      <c r="F117" s="311">
        <f>'Assumption '!M505</f>
        <v>0</v>
      </c>
      <c r="G117" s="311">
        <f>'Assumption '!N505</f>
        <v>305976828.83349055</v>
      </c>
      <c r="H117" s="311">
        <f ca="1">'Assumption '!O505+'Assumption '!O506</f>
        <v>630716387.73695922</v>
      </c>
      <c r="I117" s="311">
        <f ca="1">'Assumption '!P505+'Assumption '!P506</f>
        <v>812166252.80244792</v>
      </c>
      <c r="J117" s="311">
        <f ca="1">'Assumption '!Q505+'Assumption '!Q506</f>
        <v>910872660.46358657</v>
      </c>
      <c r="K117" s="311">
        <f ca="1">'Assumption '!R505+'Assumption '!R506</f>
        <v>969878716.42799211</v>
      </c>
      <c r="L117" s="311">
        <f ca="1">'Assumption '!S505+'Assumption '!S506</f>
        <v>1032707166.8846226</v>
      </c>
      <c r="M117" s="311">
        <f ca="1">'Assumption '!T505+'Assumption '!T506</f>
        <v>1099605625.3947546</v>
      </c>
      <c r="N117" s="311">
        <f ca="1">'Assumption '!U505+'Assumption '!U506</f>
        <v>1170837745.8514116</v>
      </c>
      <c r="O117" s="311">
        <f ca="1">'Assumption '!V505+'Assumption '!V506</f>
        <v>1246684261.5672145</v>
      </c>
      <c r="P117" s="311">
        <f ca="1">'Assumption '!W505+'Assumption '!W506</f>
        <v>1327444091.6740258</v>
      </c>
      <c r="Q117" s="311">
        <f ca="1">'Assumption '!X505+'Assumption '!X506</f>
        <v>1413435519.1948299</v>
      </c>
      <c r="R117" s="311">
        <f ca="1">'Assumption '!Y505+'Assumption '!Y506</f>
        <v>1504997445.4307559</v>
      </c>
      <c r="S117" s="311">
        <f ca="1">'Assumption '!Z505+'Assumption '!Z506</f>
        <v>1602490725.6069088</v>
      </c>
      <c r="T117" s="311">
        <f ca="1">'Assumption '!AA505+'Assumption '!AA506</f>
        <v>1706299591.0409398</v>
      </c>
      <c r="U117" s="311">
        <f ca="1">'Assumption '!AB505+'Assumption '!AB506</f>
        <v>947077681.52561605</v>
      </c>
      <c r="V117" s="311">
        <f ca="1">'Assumption '!AC505+'Assumption '!AC506</f>
        <v>975490011.97138453</v>
      </c>
      <c r="W117" s="311">
        <f ca="1">'Assumption '!AD505+'Assumption '!AD506</f>
        <v>1004754712.3305261</v>
      </c>
      <c r="X117" s="311">
        <f ca="1">'Assumption '!AE505+'Assumption '!AE506</f>
        <v>1034897353.700442</v>
      </c>
      <c r="Y117" s="311">
        <f ca="1">'Assumption '!AF505+'Assumption '!AF506</f>
        <v>1065944274.3114554</v>
      </c>
      <c r="Z117" s="311">
        <f ca="1">'Assumption '!AG505+'Assumption '!AG506</f>
        <v>1097922602.5407991</v>
      </c>
      <c r="AA117" s="311">
        <f ca="1">'Assumption '!AH505+'Assumption '!AH506</f>
        <v>1130860280.617023</v>
      </c>
      <c r="AB117" s="311">
        <f ca="1">'Assumption '!AI505+'Assumption '!AI506</f>
        <v>1164786089.0355337</v>
      </c>
      <c r="AC117" s="311">
        <f ca="1">'Assumption '!AJ505+'Assumption '!AJ506</f>
        <v>1199729671.7065997</v>
      </c>
      <c r="AD117" s="311">
        <f ca="1">'Assumption '!AK505+'Assumption '!AK506</f>
        <v>1235721561.8577979</v>
      </c>
      <c r="AE117" s="311">
        <f ca="1">'Assumption '!AL505+'Assumption '!AL506</f>
        <v>1272793208.7135317</v>
      </c>
      <c r="AF117" s="311">
        <f ca="1">'Assumption '!AM505+'Assumption '!AM506</f>
        <v>1310977004.9749379</v>
      </c>
      <c r="AG117" s="311">
        <f ca="1">'Assumption '!AN505+'Assumption '!AN506</f>
        <v>1350306315.124186</v>
      </c>
      <c r="AH117" s="311">
        <f ca="1">'Assumption '!AO505+'Assumption '!AO506</f>
        <v>1390815504.5779116</v>
      </c>
      <c r="AI117" s="311">
        <f ca="1">'Assumption '!AP505+'Assumption '!AP506</f>
        <v>1432539969.7152488</v>
      </c>
    </row>
    <row r="118" spans="5:35" s="311" customFormat="1">
      <c r="E118" s="311" t="s">
        <v>2048</v>
      </c>
      <c r="F118" s="311">
        <f>'Assumption '!M513+'Assumption '!M514</f>
        <v>0</v>
      </c>
      <c r="G118" s="311">
        <f>'Assumption '!N513+'Assumption '!N514</f>
        <v>105395900.49160714</v>
      </c>
      <c r="H118" s="311">
        <f ca="1">'Assumption '!O513+'Assumption '!O514</f>
        <v>208069073.55384779</v>
      </c>
      <c r="I118" s="311">
        <f ca="1">'Assumption '!P513+'Assumption '!P514</f>
        <v>256599967.16470182</v>
      </c>
      <c r="J118" s="311">
        <f ca="1">'Assumption '!Q513+'Assumption '!Q514</f>
        <v>280539740.63760972</v>
      </c>
      <c r="K118" s="311">
        <f ca="1">'Assumption '!R513+'Assumption '!R514</f>
        <v>288955932.85673803</v>
      </c>
      <c r="L118" s="311">
        <f ca="1">'Assumption '!S513+'Assumption '!S514</f>
        <v>297624610.84244019</v>
      </c>
      <c r="M118" s="311">
        <f ca="1">'Assumption '!T513+'Assumption '!T514</f>
        <v>306553349.1677134</v>
      </c>
      <c r="N118" s="311">
        <f ca="1">'Assumption '!U513+'Assumption '!U514</f>
        <v>315749949.64274484</v>
      </c>
      <c r="O118" s="311">
        <f ca="1">'Assumption '!V513+'Assumption '!V514</f>
        <v>325222448.13202715</v>
      </c>
      <c r="P118" s="311">
        <f ca="1">'Assumption '!W513+'Assumption '!W514</f>
        <v>334979121.57598799</v>
      </c>
      <c r="Q118" s="311">
        <f ca="1">'Assumption '!X513+'Assumption '!X514</f>
        <v>345028495.22326767</v>
      </c>
      <c r="R118" s="311">
        <f ca="1">'Assumption '!Y513+'Assumption '!Y514</f>
        <v>355379350.07996571</v>
      </c>
      <c r="S118" s="311">
        <f ca="1">'Assumption '!Z513+'Assumption '!Z514</f>
        <v>366040730.58236468</v>
      </c>
      <c r="T118" s="311">
        <f ca="1">'Assumption '!AA513+'Assumption '!AA514</f>
        <v>377021952.49983561</v>
      </c>
      <c r="U118" s="311">
        <f ca="1">'Assumption '!AB513+'Assumption '!AB514</f>
        <v>388332611.07483077</v>
      </c>
      <c r="V118" s="311">
        <f ca="1">'Assumption '!AC513+'Assumption '!AC514</f>
        <v>399982589.4070757</v>
      </c>
      <c r="W118" s="311">
        <f ca="1">'Assumption '!AD513+'Assumption '!AD514</f>
        <v>411982067.089288</v>
      </c>
      <c r="X118" s="311">
        <f ca="1">'Assumption '!AE513+'Assumption '!AE514</f>
        <v>424341529.10196662</v>
      </c>
      <c r="Y118" s="311">
        <f ca="1">'Assumption '!AF513+'Assumption '!AF514</f>
        <v>437071774.97502565</v>
      </c>
      <c r="Z118" s="311">
        <f ca="1">'Assumption '!AG513+'Assumption '!AG514</f>
        <v>450183928.22427654</v>
      </c>
      <c r="AA118" s="311">
        <f ca="1">'Assumption '!AH513+'Assumption '!AH514</f>
        <v>463689446.07100475</v>
      </c>
      <c r="AB118" s="311">
        <f ca="1">'Assumption '!AI513+'Assumption '!AI514</f>
        <v>477600129.45313495</v>
      </c>
      <c r="AC118" s="311">
        <f ca="1">'Assumption '!AJ513+'Assumption '!AJ514</f>
        <v>491928133.33672905</v>
      </c>
      <c r="AD118" s="311">
        <f ca="1">'Assumption '!AK513+'Assumption '!AK514</f>
        <v>506685977.33683085</v>
      </c>
      <c r="AE118" s="311">
        <f ca="1">'Assumption '!AL513+'Assumption '!AL514</f>
        <v>521886556.65693581</v>
      </c>
      <c r="AF118" s="311">
        <f ca="1">'Assumption '!AM513+'Assumption '!AM514</f>
        <v>537543153.35664392</v>
      </c>
      <c r="AG118" s="311">
        <f ca="1">'Assumption '!AN513+'Assumption '!AN514</f>
        <v>553669447.95734334</v>
      </c>
      <c r="AH118" s="311">
        <f ca="1">'Assumption '!AO513+'Assumption '!AO514</f>
        <v>570279531.39606357</v>
      </c>
      <c r="AI118" s="311">
        <f ca="1">'Assumption '!AP513+'Assumption '!AP514</f>
        <v>587387917.33794546</v>
      </c>
    </row>
    <row r="121" spans="5:35">
      <c r="E121" t="s">
        <v>1281</v>
      </c>
    </row>
    <row r="122" spans="5:35" s="311" customFormat="1" ht="15" customHeight="1">
      <c r="E122" s="311" t="s">
        <v>867</v>
      </c>
      <c r="F122" s="311">
        <f>'Rev &amp; Receivables'!J143</f>
        <v>0</v>
      </c>
      <c r="G122" s="311">
        <f>'Rev &amp; Receivables'!K143</f>
        <v>0</v>
      </c>
      <c r="H122" s="311">
        <f ca="1">H117+H118</f>
        <v>838785461.29080701</v>
      </c>
      <c r="I122" s="311">
        <f t="shared" ref="I122:AI122" ca="1" si="14">I117+I118</f>
        <v>1068766219.9671497</v>
      </c>
      <c r="J122" s="311">
        <f t="shared" ca="1" si="14"/>
        <v>1191412401.1011963</v>
      </c>
      <c r="K122" s="311">
        <f t="shared" ca="1" si="14"/>
        <v>1258834649.2847302</v>
      </c>
      <c r="L122" s="311">
        <f t="shared" ca="1" si="14"/>
        <v>1330331777.7270627</v>
      </c>
      <c r="M122" s="311">
        <f t="shared" ca="1" si="14"/>
        <v>1406158974.5624681</v>
      </c>
      <c r="N122" s="311">
        <f t="shared" ca="1" si="14"/>
        <v>1486587695.4941564</v>
      </c>
      <c r="O122" s="311">
        <f t="shared" ca="1" si="14"/>
        <v>1571906709.6992416</v>
      </c>
      <c r="P122" s="311">
        <f t="shared" ca="1" si="14"/>
        <v>1662423213.2500138</v>
      </c>
      <c r="Q122" s="311">
        <f t="shared" ca="1" si="14"/>
        <v>1758464014.4180975</v>
      </c>
      <c r="R122" s="311">
        <f t="shared" ca="1" si="14"/>
        <v>1860376795.5107217</v>
      </c>
      <c r="S122" s="311">
        <f t="shared" ca="1" si="14"/>
        <v>1968531456.1892734</v>
      </c>
      <c r="T122" s="311">
        <f t="shared" ca="1" si="14"/>
        <v>2083321543.5407753</v>
      </c>
      <c r="U122" s="311">
        <f t="shared" ca="1" si="14"/>
        <v>1335410292.6004467</v>
      </c>
      <c r="V122" s="311">
        <f t="shared" ca="1" si="14"/>
        <v>1375472601.3784602</v>
      </c>
      <c r="W122" s="311">
        <f t="shared" ca="1" si="14"/>
        <v>1416736779.4198141</v>
      </c>
      <c r="X122" s="311">
        <f t="shared" ca="1" si="14"/>
        <v>1459238882.8024087</v>
      </c>
      <c r="Y122" s="311">
        <f t="shared" ca="1" si="14"/>
        <v>1503016049.2864809</v>
      </c>
      <c r="Z122" s="311">
        <f t="shared" ca="1" si="14"/>
        <v>1548106530.7650757</v>
      </c>
      <c r="AA122" s="311">
        <f t="shared" ca="1" si="14"/>
        <v>1594549726.6880279</v>
      </c>
      <c r="AB122" s="311">
        <f t="shared" ca="1" si="14"/>
        <v>1642386218.4886687</v>
      </c>
      <c r="AC122" s="311">
        <f t="shared" ca="1" si="14"/>
        <v>1691657805.0433288</v>
      </c>
      <c r="AD122" s="311">
        <f t="shared" ca="1" si="14"/>
        <v>1742407539.1946287</v>
      </c>
      <c r="AE122" s="311">
        <f t="shared" ca="1" si="14"/>
        <v>1794679765.3704677</v>
      </c>
      <c r="AF122" s="311">
        <f t="shared" ca="1" si="14"/>
        <v>1848520158.3315818</v>
      </c>
      <c r="AG122" s="311">
        <f t="shared" ca="1" si="14"/>
        <v>1903975763.0815294</v>
      </c>
      <c r="AH122" s="311">
        <f t="shared" ca="1" si="14"/>
        <v>1961095035.9739752</v>
      </c>
      <c r="AI122" s="311">
        <f t="shared" ca="1" si="14"/>
        <v>2019927887.0531943</v>
      </c>
    </row>
    <row r="123" spans="5:35" s="311" customFormat="1">
      <c r="E123" s="311" t="s">
        <v>863</v>
      </c>
      <c r="F123" s="311">
        <f>'Rev &amp; Receivables'!J144</f>
        <v>0</v>
      </c>
      <c r="G123" s="311">
        <f>'Rev &amp; Receivables'!K144</f>
        <v>0</v>
      </c>
      <c r="H123" s="311">
        <f>'Assumption '!O516+'Assumption '!O510</f>
        <v>0</v>
      </c>
      <c r="I123" s="311">
        <f>'Assumption '!P516+'Assumption '!P510</f>
        <v>0</v>
      </c>
      <c r="J123" s="311">
        <f>'Assumption '!Q516+'Assumption '!Q510</f>
        <v>0</v>
      </c>
      <c r="K123" s="311">
        <f>'Assumption '!R516+'Assumption '!R510</f>
        <v>0</v>
      </c>
      <c r="L123" s="311">
        <f>'Assumption '!S516+'Assumption '!S510</f>
        <v>0</v>
      </c>
      <c r="M123" s="311">
        <f>'Assumption '!T516+'Assumption '!T510</f>
        <v>0</v>
      </c>
      <c r="N123" s="311">
        <f>'Assumption '!U516+'Assumption '!U510</f>
        <v>0</v>
      </c>
      <c r="O123" s="311">
        <f>'Assumption '!V516+'Assumption '!V510</f>
        <v>0</v>
      </c>
      <c r="P123" s="311">
        <f>'Assumption '!W516+'Assumption '!W510</f>
        <v>0</v>
      </c>
      <c r="Q123" s="311">
        <f>'Assumption '!X516+'Assumption '!X510</f>
        <v>0</v>
      </c>
      <c r="R123" s="311">
        <f>'Assumption '!Y516+'Assumption '!Y510</f>
        <v>0</v>
      </c>
      <c r="S123" s="311">
        <f>'Assumption '!Z516+'Assumption '!Z510</f>
        <v>0</v>
      </c>
      <c r="T123" s="311">
        <f>'Assumption '!AA516+'Assumption '!AA510</f>
        <v>0</v>
      </c>
      <c r="U123" s="311">
        <f>'Assumption '!AB516+'Assumption '!AB510</f>
        <v>0</v>
      </c>
      <c r="V123" s="311">
        <f>'Assumption '!AC516+'Assumption '!AC510</f>
        <v>0</v>
      </c>
      <c r="W123" s="311">
        <f>'Assumption '!AD516+'Assumption '!AD510</f>
        <v>0</v>
      </c>
      <c r="X123" s="311">
        <f>'Assumption '!AE516+'Assumption '!AE510</f>
        <v>0</v>
      </c>
      <c r="Y123" s="311">
        <f>'Assumption '!AF516+'Assumption '!AF510</f>
        <v>0</v>
      </c>
      <c r="Z123" s="311">
        <f>'Assumption '!AG516+'Assumption '!AG510</f>
        <v>0</v>
      </c>
      <c r="AA123" s="311">
        <f>'Assumption '!AH516+'Assumption '!AH510</f>
        <v>0</v>
      </c>
      <c r="AB123" s="311">
        <f>'Assumption '!AI516+'Assumption '!AI510</f>
        <v>0</v>
      </c>
      <c r="AC123" s="311">
        <f>'Assumption '!AJ516+'Assumption '!AJ510</f>
        <v>0</v>
      </c>
      <c r="AD123" s="311">
        <f>'Assumption '!AK516+'Assumption '!AK510</f>
        <v>0</v>
      </c>
      <c r="AE123" s="311">
        <f>'Assumption '!AL516+'Assumption '!AL510</f>
        <v>0</v>
      </c>
      <c r="AF123" s="311">
        <f>'Assumption '!AM516+'Assumption '!AM510</f>
        <v>0</v>
      </c>
      <c r="AG123" s="311">
        <f>'Assumption '!AN516+'Assumption '!AN510</f>
        <v>0</v>
      </c>
      <c r="AH123" s="311">
        <f>'Assumption '!AO516+'Assumption '!AO510</f>
        <v>0</v>
      </c>
      <c r="AI123" s="311">
        <f>'Assumption '!AP516+'Assumption '!AP510</f>
        <v>0</v>
      </c>
    </row>
    <row r="131" spans="5:50">
      <c r="AW131" t="s">
        <v>144</v>
      </c>
      <c r="AX131" s="423">
        <f>'Input '!F299</f>
        <v>0.7</v>
      </c>
    </row>
    <row r="132" spans="5:50">
      <c r="AW132" t="s">
        <v>145</v>
      </c>
      <c r="AX132" s="423">
        <f>'Input '!F300</f>
        <v>0.3</v>
      </c>
    </row>
    <row r="139" spans="5:50" ht="15.75" thickBot="1"/>
    <row r="140" spans="5:50" ht="18">
      <c r="E140" s="3308" t="s">
        <v>2060</v>
      </c>
      <c r="F140" s="3309"/>
      <c r="G140" s="3310"/>
      <c r="H140" s="296"/>
    </row>
    <row r="141" spans="5:50" ht="18">
      <c r="E141" s="2082" t="s">
        <v>2061</v>
      </c>
      <c r="F141" s="2083" t="s">
        <v>2062</v>
      </c>
      <c r="G141" s="2084" t="s">
        <v>2063</v>
      </c>
    </row>
    <row r="142" spans="5:50" ht="18">
      <c r="E142" s="2085" t="s">
        <v>1641</v>
      </c>
      <c r="F142" s="2086"/>
      <c r="G142" s="2064"/>
    </row>
    <row r="143" spans="5:50" ht="18">
      <c r="E143" s="2060" t="s">
        <v>1637</v>
      </c>
      <c r="F143" s="2061">
        <v>0.18342873401299187</v>
      </c>
      <c r="G143" s="2075">
        <v>0.18188591709908142</v>
      </c>
    </row>
    <row r="144" spans="5:50" ht="18">
      <c r="E144" s="2060" t="s">
        <v>1638</v>
      </c>
      <c r="F144" s="2061">
        <v>0.15956459161406311</v>
      </c>
      <c r="G144" s="2075">
        <v>0.15811656336261803</v>
      </c>
    </row>
    <row r="145" spans="5:11" ht="18">
      <c r="E145" s="2060" t="s">
        <v>1639</v>
      </c>
      <c r="F145" s="2062">
        <v>9788108781.4255066</v>
      </c>
      <c r="G145" s="2076">
        <v>8603324865.184021</v>
      </c>
    </row>
    <row r="146" spans="5:11" ht="18">
      <c r="E146" s="2060" t="s">
        <v>1640</v>
      </c>
      <c r="F146" s="2063">
        <v>5991101777.2805424</v>
      </c>
      <c r="G146" s="2076">
        <v>5376219807.4670095</v>
      </c>
    </row>
    <row r="147" spans="5:11" ht="18">
      <c r="E147" s="3311" t="s">
        <v>1642</v>
      </c>
      <c r="F147" s="3312"/>
      <c r="G147" s="2064"/>
    </row>
    <row r="148" spans="5:11" ht="18">
      <c r="E148" s="2060" t="s">
        <v>1643</v>
      </c>
      <c r="F148" s="2061">
        <v>0.3365963630963289</v>
      </c>
      <c r="G148" s="2075">
        <v>0.33265209175530952</v>
      </c>
    </row>
    <row r="149" spans="5:11" ht="18">
      <c r="E149" s="2060" t="s">
        <v>1644</v>
      </c>
      <c r="F149" s="2061">
        <v>0.31301659122858672</v>
      </c>
      <c r="G149" s="2075">
        <v>0.3091186828411403</v>
      </c>
    </row>
    <row r="150" spans="5:11" ht="18">
      <c r="E150" s="2060" t="s">
        <v>1646</v>
      </c>
      <c r="F150" s="2062">
        <v>4582464057.2665129</v>
      </c>
      <c r="G150" s="2076">
        <v>4016901684.4000616</v>
      </c>
    </row>
    <row r="151" spans="5:11" ht="18">
      <c r="E151" s="2060" t="s">
        <v>1645</v>
      </c>
      <c r="F151" s="2063">
        <v>3326975994.7010727</v>
      </c>
      <c r="G151" s="2076">
        <v>2908325298.9775114</v>
      </c>
    </row>
    <row r="152" spans="5:11" ht="18">
      <c r="E152" s="3311" t="s">
        <v>1647</v>
      </c>
      <c r="F152" s="3312"/>
      <c r="G152" s="2064"/>
    </row>
    <row r="153" spans="5:11" ht="18">
      <c r="E153" s="2060" t="s">
        <v>1843</v>
      </c>
      <c r="F153" s="2065">
        <v>1.9205504227730117</v>
      </c>
      <c r="G153" s="2077">
        <v>1.9022290763773821</v>
      </c>
    </row>
    <row r="154" spans="5:11" ht="18">
      <c r="E154" s="2060" t="s">
        <v>1947</v>
      </c>
      <c r="F154" s="2065">
        <v>4.1489156488858665</v>
      </c>
      <c r="G154" s="2077">
        <v>4.1166034844527619</v>
      </c>
      <c r="J154" t="s">
        <v>1653</v>
      </c>
      <c r="K154" s="423">
        <f>'Input '!D399</f>
        <v>0.7</v>
      </c>
    </row>
    <row r="155" spans="5:11" ht="18">
      <c r="E155" s="2060" t="s">
        <v>1845</v>
      </c>
      <c r="F155" s="2065">
        <v>12.123598810781271</v>
      </c>
      <c r="G155" s="2077">
        <v>12.038924880485641</v>
      </c>
      <c r="J155" t="s">
        <v>1652</v>
      </c>
      <c r="K155" s="423">
        <f>'Input '!D398</f>
        <v>0.3</v>
      </c>
    </row>
    <row r="156" spans="5:11" ht="18">
      <c r="E156" s="2060"/>
      <c r="F156" s="2065"/>
      <c r="G156" s="2078"/>
    </row>
    <row r="157" spans="5:11" ht="18">
      <c r="E157" s="3311" t="s">
        <v>1948</v>
      </c>
      <c r="F157" s="3312"/>
      <c r="G157" s="2064"/>
    </row>
    <row r="158" spans="5:11" ht="22.15" customHeight="1" thickBot="1">
      <c r="E158" s="2079" t="s">
        <v>660</v>
      </c>
      <c r="F158" s="2047">
        <v>0.18508097396703382</v>
      </c>
      <c r="G158" s="2080">
        <v>0.16420647275686243</v>
      </c>
    </row>
    <row r="159" spans="5:11" ht="18">
      <c r="E159" s="3313" t="s">
        <v>1649</v>
      </c>
      <c r="F159" s="3314"/>
      <c r="G159" s="2066"/>
    </row>
    <row r="160" spans="5:11" ht="21" customHeight="1">
      <c r="E160" s="2067" t="s">
        <v>1650</v>
      </c>
      <c r="F160" s="2068"/>
      <c r="G160" s="2081"/>
    </row>
    <row r="161" spans="5:57" ht="17.45" customHeight="1">
      <c r="E161" s="2060" t="s">
        <v>1506</v>
      </c>
      <c r="F161" s="2069">
        <v>8.2840378765179956</v>
      </c>
      <c r="G161" s="2070">
        <v>8.3649448397795894</v>
      </c>
    </row>
    <row r="162" spans="5:57" ht="21.6" customHeight="1">
      <c r="E162" s="2060" t="s">
        <v>1507</v>
      </c>
      <c r="F162" s="2069">
        <v>8.7487840057328334</v>
      </c>
      <c r="G162" s="2070">
        <v>8.8406859737199373</v>
      </c>
    </row>
    <row r="163" spans="5:57" ht="19.899999999999999" customHeight="1">
      <c r="E163" s="2067" t="s">
        <v>1651</v>
      </c>
      <c r="F163" s="2071"/>
      <c r="G163" s="2078"/>
    </row>
    <row r="164" spans="5:57" ht="27.6" customHeight="1" thickBot="1">
      <c r="E164" s="2060" t="s">
        <v>1506</v>
      </c>
      <c r="F164" s="2069">
        <v>5.8388601994051079</v>
      </c>
      <c r="G164" s="2070">
        <v>5.8937068896997191</v>
      </c>
    </row>
    <row r="165" spans="5:57" ht="27" customHeight="1" thickBot="1">
      <c r="E165" s="2072" t="s">
        <v>1507</v>
      </c>
      <c r="F165" s="2073">
        <v>5.9328407785491946</v>
      </c>
      <c r="G165" s="2074">
        <v>5.9930694395482202</v>
      </c>
      <c r="BC165" s="2007"/>
      <c r="BD165" s="2010" t="s">
        <v>2053</v>
      </c>
      <c r="BE165" s="2010" t="s">
        <v>2054</v>
      </c>
    </row>
    <row r="166" spans="5:57">
      <c r="BC166" s="1990" t="s">
        <v>1641</v>
      </c>
      <c r="BD166" s="1991"/>
      <c r="BE166" s="2023"/>
    </row>
    <row r="167" spans="5:57">
      <c r="BC167" s="1993" t="s">
        <v>1637</v>
      </c>
      <c r="BD167" s="2000">
        <v>0.18342873401299187</v>
      </c>
      <c r="BE167" s="2005">
        <v>0.19014779838151474</v>
      </c>
    </row>
    <row r="168" spans="5:57">
      <c r="BC168" s="1993" t="s">
        <v>1638</v>
      </c>
      <c r="BD168" s="2001">
        <v>0.15956459161406311</v>
      </c>
      <c r="BE168" s="2005">
        <v>0.16551931350633375</v>
      </c>
    </row>
    <row r="169" spans="5:57">
      <c r="BC169" s="1993" t="s">
        <v>1639</v>
      </c>
      <c r="BD169" s="254">
        <v>9788108781.4255123</v>
      </c>
      <c r="BE169" s="254">
        <v>9908949898.407198</v>
      </c>
    </row>
    <row r="170" spans="5:57">
      <c r="BC170" s="1993" t="s">
        <v>1640</v>
      </c>
      <c r="BD170" s="254">
        <v>5991101777.2805424</v>
      </c>
      <c r="BE170" s="254">
        <v>6148120148.2725258</v>
      </c>
    </row>
    <row r="171" spans="5:57">
      <c r="BC171" s="1994" t="s">
        <v>1642</v>
      </c>
      <c r="BD171" s="2004"/>
      <c r="BE171" s="2024"/>
    </row>
    <row r="172" spans="5:57">
      <c r="BC172" s="1995" t="s">
        <v>1643</v>
      </c>
      <c r="BD172" s="2005">
        <v>0.33659636309632779</v>
      </c>
      <c r="BE172" s="2005">
        <v>0.34626802331607553</v>
      </c>
    </row>
    <row r="173" spans="5:57" ht="15.75" thickBot="1">
      <c r="BC173" s="1995" t="s">
        <v>1644</v>
      </c>
      <c r="BD173" s="2005">
        <v>0.31301659122858538</v>
      </c>
      <c r="BE173" s="2005">
        <v>0.32191307304591854</v>
      </c>
    </row>
    <row r="174" spans="5:57">
      <c r="E174" s="3305" t="s">
        <v>1654</v>
      </c>
      <c r="F174" s="3306"/>
      <c r="G174" s="2059"/>
      <c r="BC174" s="1995" t="s">
        <v>1646</v>
      </c>
      <c r="BD174" s="254">
        <v>4582464057.266448</v>
      </c>
      <c r="BE174" s="254">
        <v>4586481011.1909914</v>
      </c>
    </row>
    <row r="175" spans="5:57">
      <c r="E175" s="2015" t="s">
        <v>1652</v>
      </c>
      <c r="F175" s="2040">
        <f>Summary!L169</f>
        <v>0</v>
      </c>
      <c r="G175" s="444"/>
      <c r="BC175" s="1995" t="s">
        <v>1645</v>
      </c>
      <c r="BD175" s="254">
        <v>3326975994.7010446</v>
      </c>
      <c r="BE175" s="254">
        <v>3329398140.8023829</v>
      </c>
    </row>
    <row r="176" spans="5:57">
      <c r="E176" s="2015" t="s">
        <v>1653</v>
      </c>
      <c r="F176" s="2040">
        <f>Summary!L171</f>
        <v>0</v>
      </c>
      <c r="G176" s="444"/>
      <c r="BC176" s="1994" t="s">
        <v>1647</v>
      </c>
      <c r="BD176" s="2004"/>
      <c r="BE176" s="2024"/>
    </row>
    <row r="177" spans="5:57" ht="15.75" thickBot="1">
      <c r="E177" s="2016" t="s">
        <v>1656</v>
      </c>
      <c r="F177" s="2055">
        <f>SUM(F175:F176)</f>
        <v>0</v>
      </c>
      <c r="G177" s="444"/>
      <c r="BC177" s="1995" t="s">
        <v>1843</v>
      </c>
      <c r="BD177" s="1992">
        <v>1.9205504227730295</v>
      </c>
      <c r="BE177" s="1965">
        <v>1.999511217597199</v>
      </c>
    </row>
    <row r="178" spans="5:57">
      <c r="E178" s="3303" t="s">
        <v>1655</v>
      </c>
      <c r="F178" s="3307"/>
      <c r="G178" s="2059"/>
      <c r="BC178" s="1995" t="s">
        <v>1947</v>
      </c>
      <c r="BD178" s="1992">
        <v>4.1489156488858532</v>
      </c>
      <c r="BE178" s="1965">
        <v>4.3146300334162619</v>
      </c>
    </row>
    <row r="179" spans="5:57">
      <c r="E179" s="2015" t="s">
        <v>1657</v>
      </c>
      <c r="F179" s="2040">
        <f>'Project Cost Monthly'!C174</f>
        <v>0</v>
      </c>
      <c r="G179" s="444"/>
      <c r="BC179" s="1995" t="s">
        <v>1845</v>
      </c>
      <c r="BD179" s="1992">
        <v>12.123598810781326</v>
      </c>
      <c r="BE179" s="1965">
        <v>12.749079463853425</v>
      </c>
    </row>
    <row r="180" spans="5:57">
      <c r="E180" s="2015" t="s">
        <v>1658</v>
      </c>
      <c r="F180" s="2040" t="str">
        <f>'Project Cost Monthly'!C212</f>
        <v>US$</v>
      </c>
      <c r="G180" s="444"/>
      <c r="BC180" s="1996" t="s">
        <v>1649</v>
      </c>
      <c r="BD180" s="2004"/>
      <c r="BE180" s="2024"/>
    </row>
    <row r="181" spans="5:57">
      <c r="E181" s="2015" t="s">
        <v>1659</v>
      </c>
      <c r="F181" s="2040" t="str">
        <f>'Project Cost Monthly'!C251</f>
        <v>US$</v>
      </c>
      <c r="G181" s="444"/>
      <c r="BC181" s="2002" t="s">
        <v>1650</v>
      </c>
      <c r="BD181" s="1966"/>
      <c r="BE181" s="1966"/>
    </row>
    <row r="182" spans="5:57">
      <c r="E182" s="2015" t="s">
        <v>1660</v>
      </c>
      <c r="F182" s="2040" t="str">
        <f>'Project Cost Monthly'!C290</f>
        <v>Flag</v>
      </c>
      <c r="G182" s="444"/>
      <c r="BC182" s="1997" t="s">
        <v>1506</v>
      </c>
      <c r="BD182" s="2008">
        <v>8.2840378765179956</v>
      </c>
      <c r="BE182" s="2008">
        <v>8.069340258788225</v>
      </c>
    </row>
    <row r="183" spans="5:57">
      <c r="E183" s="2056" t="s">
        <v>221</v>
      </c>
      <c r="F183" s="2040">
        <f>'Project Cost Monthly'!C339</f>
        <v>0</v>
      </c>
      <c r="G183" s="444"/>
      <c r="BC183" s="1997" t="s">
        <v>1507</v>
      </c>
      <c r="BD183" s="2008">
        <v>8.7487840057328334</v>
      </c>
      <c r="BE183" s="2008">
        <v>8.5056453358838677</v>
      </c>
    </row>
    <row r="184" spans="5:57">
      <c r="E184" s="2056" t="s">
        <v>222</v>
      </c>
      <c r="F184" s="2040">
        <f>'Project Cost Monthly'!C340</f>
        <v>0</v>
      </c>
      <c r="G184" s="444"/>
      <c r="BC184" s="2003" t="s">
        <v>1651</v>
      </c>
      <c r="BD184" s="1999"/>
      <c r="BE184" s="1966"/>
    </row>
    <row r="185" spans="5:57" ht="15.75" thickBot="1">
      <c r="E185" s="2057" t="s">
        <v>1661</v>
      </c>
      <c r="F185" s="2058">
        <f>SUM(F179:F184)</f>
        <v>0</v>
      </c>
      <c r="G185" s="301"/>
      <c r="BC185" s="1997" t="s">
        <v>1506</v>
      </c>
      <c r="BD185" s="2008">
        <v>5.8388601994051079</v>
      </c>
      <c r="BE185" s="2011">
        <v>5.751024297247481</v>
      </c>
    </row>
    <row r="186" spans="5:57" ht="15.75" thickBot="1">
      <c r="BC186" s="1998" t="s">
        <v>1507</v>
      </c>
      <c r="BD186" s="2009">
        <v>5.9328407785491937</v>
      </c>
      <c r="BE186" s="2014">
        <v>5.8376483430236261</v>
      </c>
    </row>
    <row r="187" spans="5:57">
      <c r="BC187" s="1996" t="s">
        <v>1654</v>
      </c>
      <c r="BD187" s="2018"/>
      <c r="BE187" s="1973"/>
    </row>
    <row r="188" spans="5:57">
      <c r="BC188" s="2017" t="s">
        <v>1652</v>
      </c>
      <c r="BD188" s="2019">
        <v>1705412977.4748671</v>
      </c>
      <c r="BE188" s="461">
        <v>1586416471.8253567</v>
      </c>
    </row>
    <row r="189" spans="5:57" ht="15.75" thickBot="1">
      <c r="BC189" s="2017" t="s">
        <v>1653</v>
      </c>
      <c r="BD189" s="2019">
        <v>3979296947.4413562</v>
      </c>
      <c r="BE189" s="461">
        <v>3701638434.2591653</v>
      </c>
    </row>
    <row r="190" spans="5:57" ht="24" thickBot="1">
      <c r="E190" s="2491" t="s">
        <v>2066</v>
      </c>
      <c r="F190" s="2492" t="s">
        <v>2067</v>
      </c>
      <c r="G190" s="2492" t="s">
        <v>1544</v>
      </c>
      <c r="H190" s="2493" t="s">
        <v>1799</v>
      </c>
      <c r="BC190" s="2021" t="s">
        <v>1656</v>
      </c>
      <c r="BD190" s="2020">
        <v>5684709924.9162235</v>
      </c>
      <c r="BE190" s="461">
        <v>5288054906.0845222</v>
      </c>
    </row>
    <row r="191" spans="5:57" ht="21">
      <c r="E191" s="2088"/>
      <c r="F191" s="2090"/>
      <c r="G191" s="2090"/>
      <c r="H191" s="2094"/>
      <c r="BC191" s="2026" t="s">
        <v>1655</v>
      </c>
      <c r="BD191" s="2022"/>
      <c r="BE191" s="2027"/>
    </row>
    <row r="192" spans="5:57" ht="21">
      <c r="E192" s="2087" t="s">
        <v>1703</v>
      </c>
      <c r="F192" s="2487">
        <v>-0.1</v>
      </c>
      <c r="G192" s="2487">
        <v>0</v>
      </c>
      <c r="H192" s="2488">
        <v>0.1</v>
      </c>
      <c r="BC192" s="2028" t="s">
        <v>1657</v>
      </c>
      <c r="BD192" s="436">
        <v>1772088514.5238101</v>
      </c>
      <c r="BE192" s="461">
        <v>1430220347.0238097</v>
      </c>
    </row>
    <row r="193" spans="5:57" ht="21">
      <c r="E193" s="2087"/>
      <c r="F193" s="2092"/>
      <c r="G193" s="2092"/>
      <c r="H193" s="2095"/>
      <c r="BC193" s="2006" t="s">
        <v>1658</v>
      </c>
      <c r="BD193" s="436">
        <v>1231323847.0238092</v>
      </c>
      <c r="BE193" s="461">
        <v>1231323847.0238092</v>
      </c>
    </row>
    <row r="194" spans="5:57" ht="21">
      <c r="E194" s="2087" t="s">
        <v>1281</v>
      </c>
      <c r="F194" s="2487">
        <v>0.1</v>
      </c>
      <c r="G194" s="2487">
        <v>0</v>
      </c>
      <c r="H194" s="2488">
        <v>-0.1</v>
      </c>
      <c r="BC194" s="2006" t="s">
        <v>1659</v>
      </c>
      <c r="BD194" s="436">
        <v>0</v>
      </c>
      <c r="BE194" s="461">
        <v>0</v>
      </c>
    </row>
    <row r="195" spans="5:57" ht="21">
      <c r="E195" s="2087"/>
      <c r="F195" s="2092"/>
      <c r="G195" s="2092"/>
      <c r="H195" s="2095"/>
      <c r="BC195" s="2006" t="s">
        <v>1660</v>
      </c>
      <c r="BD195" s="436">
        <v>1966920026.7857134</v>
      </c>
      <c r="BE195" s="461">
        <v>1966920026.7857134</v>
      </c>
    </row>
    <row r="196" spans="5:57" ht="21">
      <c r="E196" s="2087" t="s">
        <v>909</v>
      </c>
      <c r="F196" s="2487">
        <v>-0.1</v>
      </c>
      <c r="G196" s="2487">
        <v>0</v>
      </c>
      <c r="H196" s="2488">
        <v>0.1</v>
      </c>
      <c r="BC196" s="2006" t="s">
        <v>221</v>
      </c>
      <c r="BD196" s="436">
        <v>614895112.89685619</v>
      </c>
      <c r="BE196" s="461">
        <v>567049724.3947109</v>
      </c>
    </row>
    <row r="197" spans="5:57" ht="21">
      <c r="E197" s="2087"/>
      <c r="F197" s="2092"/>
      <c r="G197" s="2092"/>
      <c r="H197" s="2095"/>
      <c r="BC197" s="2006" t="s">
        <v>222</v>
      </c>
      <c r="BD197" s="436">
        <v>99482423.686033785</v>
      </c>
      <c r="BE197" s="461">
        <v>92540960.856479123</v>
      </c>
    </row>
    <row r="198" spans="5:57" ht="21">
      <c r="E198" s="2087" t="s">
        <v>2068</v>
      </c>
      <c r="F198" s="2487">
        <v>-0.1</v>
      </c>
      <c r="G198" s="2487">
        <v>0</v>
      </c>
      <c r="H198" s="2488">
        <v>0.1</v>
      </c>
      <c r="BC198" s="2006" t="s">
        <v>2056</v>
      </c>
      <c r="BD198" s="2025">
        <v>5684709924.9162235</v>
      </c>
      <c r="BE198" s="2029">
        <f>SUM(BE192:BE197)</f>
        <v>5288054906.0845213</v>
      </c>
    </row>
    <row r="199" spans="5:57" ht="21">
      <c r="E199" s="2087"/>
      <c r="F199" s="2092"/>
      <c r="G199" s="2092"/>
      <c r="H199" s="2095"/>
      <c r="BC199" s="2026" t="s">
        <v>909</v>
      </c>
      <c r="BD199" s="2022"/>
      <c r="BE199" s="2022"/>
    </row>
    <row r="200" spans="5:57" ht="21.75" thickBot="1">
      <c r="E200" s="2087" t="s">
        <v>2069</v>
      </c>
      <c r="F200" s="2487">
        <v>0.1</v>
      </c>
      <c r="G200" s="2487">
        <v>0</v>
      </c>
      <c r="H200" s="2488">
        <v>-0.1</v>
      </c>
      <c r="BC200" s="299"/>
      <c r="BD200" s="309">
        <v>29965945651.75576</v>
      </c>
      <c r="BE200" s="2030">
        <v>31437864910.304691</v>
      </c>
    </row>
    <row r="201" spans="5:57" ht="21">
      <c r="E201" s="2087"/>
      <c r="F201" s="2092"/>
      <c r="G201" s="2092"/>
      <c r="H201" s="2095"/>
    </row>
    <row r="202" spans="5:57" ht="21">
      <c r="E202" s="2087" t="s">
        <v>1274</v>
      </c>
      <c r="F202" s="2487">
        <v>0.1</v>
      </c>
      <c r="G202" s="2487">
        <v>0</v>
      </c>
      <c r="H202" s="2488">
        <v>-0.1</v>
      </c>
    </row>
    <row r="203" spans="5:57" ht="21">
      <c r="E203" s="2087"/>
      <c r="F203" s="2092"/>
      <c r="G203" s="2092"/>
      <c r="H203" s="2095"/>
    </row>
    <row r="204" spans="5:57" ht="21">
      <c r="E204" s="2087" t="s">
        <v>2070</v>
      </c>
      <c r="F204" s="2487">
        <v>-0.1</v>
      </c>
      <c r="G204" s="2487">
        <v>0</v>
      </c>
      <c r="H204" s="2488">
        <v>0.1</v>
      </c>
    </row>
    <row r="205" spans="5:57" ht="21">
      <c r="E205" s="2087"/>
      <c r="F205" s="2093"/>
      <c r="G205" s="2093"/>
      <c r="H205" s="2096"/>
    </row>
    <row r="206" spans="5:57" ht="21">
      <c r="E206" s="2087" t="s">
        <v>2071</v>
      </c>
      <c r="F206" s="2487">
        <v>-0.1</v>
      </c>
      <c r="G206" s="2487">
        <v>0</v>
      </c>
      <c r="H206" s="2488">
        <v>0.1</v>
      </c>
    </row>
    <row r="207" spans="5:57" ht="21">
      <c r="E207" s="2087"/>
      <c r="F207" s="2092"/>
      <c r="G207" s="2091"/>
      <c r="H207" s="2095"/>
    </row>
    <row r="208" spans="5:57" ht="21.75" thickBot="1">
      <c r="E208" s="2089" t="s">
        <v>2072</v>
      </c>
      <c r="F208" s="2489">
        <v>-0.1</v>
      </c>
      <c r="G208" s="2489">
        <v>0</v>
      </c>
      <c r="H208" s="2490">
        <v>0.1</v>
      </c>
    </row>
    <row r="211" spans="6:56" ht="15.75" thickBot="1"/>
    <row r="212" spans="6:56" ht="15.75" thickBot="1">
      <c r="BB212" s="2012" t="s">
        <v>2055</v>
      </c>
      <c r="BC212" s="1989"/>
      <c r="BD212" s="2013">
        <v>0.22616479554304969</v>
      </c>
    </row>
    <row r="224" spans="6:56" ht="15.75" thickBot="1">
      <c r="F224">
        <v>1</v>
      </c>
      <c r="G224">
        <v>2</v>
      </c>
      <c r="H224">
        <v>3</v>
      </c>
      <c r="I224">
        <v>4</v>
      </c>
      <c r="J224">
        <v>5</v>
      </c>
      <c r="K224">
        <v>6</v>
      </c>
      <c r="L224">
        <v>7</v>
      </c>
      <c r="M224">
        <v>8</v>
      </c>
      <c r="N224">
        <v>9</v>
      </c>
      <c r="O224">
        <v>10</v>
      </c>
      <c r="P224">
        <v>11</v>
      </c>
      <c r="Q224">
        <v>12</v>
      </c>
      <c r="R224">
        <v>13</v>
      </c>
      <c r="S224">
        <v>14</v>
      </c>
      <c r="T224">
        <v>15</v>
      </c>
      <c r="U224">
        <v>16</v>
      </c>
      <c r="V224">
        <v>17</v>
      </c>
      <c r="W224">
        <v>18</v>
      </c>
      <c r="X224">
        <v>19</v>
      </c>
      <c r="Y224">
        <v>20</v>
      </c>
      <c r="Z224">
        <v>21</v>
      </c>
      <c r="AA224">
        <v>22</v>
      </c>
      <c r="AB224">
        <v>23</v>
      </c>
      <c r="AC224">
        <v>24</v>
      </c>
      <c r="AD224">
        <v>25</v>
      </c>
      <c r="AE224">
        <v>26</v>
      </c>
      <c r="AF224">
        <v>27</v>
      </c>
      <c r="AG224">
        <v>28</v>
      </c>
      <c r="AH224">
        <v>29</v>
      </c>
      <c r="AI224">
        <v>30</v>
      </c>
    </row>
    <row r="225" spans="5:35">
      <c r="E225" s="2206" t="s">
        <v>2095</v>
      </c>
      <c r="F225" s="2117">
        <f>F109</f>
        <v>2027</v>
      </c>
      <c r="G225" s="2117">
        <f t="shared" ref="G225:Y225" si="15">G109</f>
        <v>2028</v>
      </c>
      <c r="H225" s="2117">
        <f t="shared" si="15"/>
        <v>2029</v>
      </c>
      <c r="I225" s="2117">
        <f t="shared" si="15"/>
        <v>2030</v>
      </c>
      <c r="J225" s="2117">
        <f t="shared" si="15"/>
        <v>2031</v>
      </c>
      <c r="K225" s="2117">
        <f t="shared" si="15"/>
        <v>2032</v>
      </c>
      <c r="L225" s="2212">
        <f t="shared" si="15"/>
        <v>2033</v>
      </c>
      <c r="M225" s="2211">
        <f t="shared" si="15"/>
        <v>2034</v>
      </c>
      <c r="N225" s="2117">
        <f t="shared" si="15"/>
        <v>2035</v>
      </c>
      <c r="O225" s="2117">
        <f t="shared" si="15"/>
        <v>2036</v>
      </c>
      <c r="P225" s="2117">
        <f t="shared" si="15"/>
        <v>2037</v>
      </c>
      <c r="Q225" s="2117">
        <f t="shared" si="15"/>
        <v>2038</v>
      </c>
      <c r="R225" s="2117">
        <f t="shared" si="15"/>
        <v>2039</v>
      </c>
      <c r="S225" s="2117">
        <f t="shared" si="15"/>
        <v>2040</v>
      </c>
      <c r="T225" s="2117">
        <f t="shared" si="15"/>
        <v>2041</v>
      </c>
      <c r="U225" s="2117">
        <f t="shared" si="15"/>
        <v>2042</v>
      </c>
      <c r="V225" s="2117">
        <f t="shared" si="15"/>
        <v>2043</v>
      </c>
      <c r="W225" s="2117">
        <f t="shared" si="15"/>
        <v>2044</v>
      </c>
      <c r="X225" s="2117">
        <f t="shared" si="15"/>
        <v>2045</v>
      </c>
      <c r="Y225" s="2117">
        <f t="shared" si="15"/>
        <v>2046</v>
      </c>
      <c r="Z225" s="2117">
        <f>Y225+1</f>
        <v>2047</v>
      </c>
      <c r="AA225" s="2117">
        <f t="shared" ref="AA225:AG225" si="16">Z225+1</f>
        <v>2048</v>
      </c>
      <c r="AB225" s="2117">
        <f t="shared" si="16"/>
        <v>2049</v>
      </c>
      <c r="AC225" s="2117">
        <f t="shared" si="16"/>
        <v>2050</v>
      </c>
      <c r="AD225" s="2117">
        <f t="shared" si="16"/>
        <v>2051</v>
      </c>
      <c r="AE225" s="2117">
        <f t="shared" si="16"/>
        <v>2052</v>
      </c>
      <c r="AF225" s="2117">
        <f t="shared" si="16"/>
        <v>2053</v>
      </c>
      <c r="AG225" s="2117">
        <f t="shared" si="16"/>
        <v>2054</v>
      </c>
      <c r="AH225" s="2117">
        <f>AG225+1</f>
        <v>2055</v>
      </c>
      <c r="AI225" s="2117">
        <f>AH225+1</f>
        <v>2056</v>
      </c>
    </row>
    <row r="226" spans="5:35">
      <c r="E226" s="2207" t="s">
        <v>961</v>
      </c>
      <c r="F226" s="2204">
        <f>'Assumption '!M137</f>
        <v>0</v>
      </c>
      <c r="G226" s="2204">
        <f>'Assumption '!N137</f>
        <v>975000</v>
      </c>
      <c r="H226" s="2204">
        <f ca="1">'Assumption '!O137</f>
        <v>1218750</v>
      </c>
      <c r="I226" s="2204">
        <f ca="1">'Assumption '!P137</f>
        <v>1425000</v>
      </c>
      <c r="J226" s="2204">
        <f ca="1">'Assumption '!Q137</f>
        <v>1425000</v>
      </c>
      <c r="K226" s="2204">
        <f ca="1">'Assumption '!R137</f>
        <v>1425000</v>
      </c>
      <c r="L226" s="2204">
        <f ca="1">'Assumption '!S137</f>
        <v>1425000</v>
      </c>
      <c r="M226" s="2204">
        <f ca="1">'Assumption '!T137</f>
        <v>1425000</v>
      </c>
      <c r="N226" s="2204">
        <f ca="1">'Assumption '!U137</f>
        <v>1425000</v>
      </c>
      <c r="O226" s="2204">
        <f ca="1">'Assumption '!V137</f>
        <v>1425000</v>
      </c>
      <c r="P226" s="2204">
        <f ca="1">'Assumption '!W137</f>
        <v>1425000</v>
      </c>
      <c r="Q226" s="2204">
        <f ca="1">'Assumption '!X137</f>
        <v>1425000</v>
      </c>
      <c r="R226" s="2204">
        <f ca="1">'Assumption '!Y137</f>
        <v>1425000</v>
      </c>
      <c r="S226" s="2204">
        <f ca="1">'Assumption '!Z137</f>
        <v>1425000</v>
      </c>
      <c r="T226" s="2204">
        <f ca="1">'Assumption '!AA137</f>
        <v>1425000</v>
      </c>
      <c r="U226" s="2204">
        <f ca="1">'Assumption '!AB137</f>
        <v>1425000</v>
      </c>
      <c r="V226" s="2204">
        <f ca="1">'Assumption '!AC137</f>
        <v>1425000</v>
      </c>
      <c r="W226" s="2204">
        <f ca="1">'Assumption '!AD137</f>
        <v>1425000</v>
      </c>
      <c r="X226" s="2205">
        <f ca="1">'Assumption '!AE137</f>
        <v>1425000</v>
      </c>
      <c r="Y226" s="2205">
        <f ca="1">'Assumption '!AF137</f>
        <v>1425000</v>
      </c>
      <c r="Z226" s="2205">
        <f ca="1">'Assumption '!AG137</f>
        <v>1425000</v>
      </c>
      <c r="AA226" s="2205">
        <f ca="1">'Assumption '!AH137</f>
        <v>1425000</v>
      </c>
      <c r="AB226" s="2205">
        <f ca="1">'Assumption '!AI137</f>
        <v>1425000</v>
      </c>
      <c r="AC226" s="2205">
        <f ca="1">'Assumption '!AJ137</f>
        <v>1425000</v>
      </c>
      <c r="AD226" s="2205">
        <f ca="1">'Assumption '!AK137</f>
        <v>1425000</v>
      </c>
      <c r="AE226" s="2205">
        <f ca="1">'Assumption '!AL137</f>
        <v>1425000</v>
      </c>
      <c r="AF226" s="2205">
        <f ca="1">'Assumption '!AM137</f>
        <v>1425000</v>
      </c>
      <c r="AG226" s="2205">
        <f ca="1">'Assumption '!AN137</f>
        <v>1425000</v>
      </c>
      <c r="AH226" s="2205">
        <f ca="1">'Assumption '!AO137</f>
        <v>1425000</v>
      </c>
      <c r="AI226" s="2205">
        <f ca="1">'Assumption '!AP137</f>
        <v>1425000</v>
      </c>
    </row>
    <row r="227" spans="5:35">
      <c r="E227" s="2207" t="s">
        <v>981</v>
      </c>
      <c r="F227" s="2204">
        <f>'Assumption '!M138</f>
        <v>0</v>
      </c>
      <c r="G227" s="2204">
        <f>'Assumption '!N138</f>
        <v>0</v>
      </c>
      <c r="H227" s="2204">
        <f>'Assumption '!O138</f>
        <v>650000</v>
      </c>
      <c r="I227" s="2204">
        <f ca="1">'Assumption '!P138</f>
        <v>812500</v>
      </c>
      <c r="J227" s="2204">
        <f ca="1">'Assumption '!Q138</f>
        <v>950000</v>
      </c>
      <c r="K227" s="2204">
        <f ca="1">'Assumption '!R138</f>
        <v>950000</v>
      </c>
      <c r="L227" s="2204">
        <f ca="1">'Assumption '!S138</f>
        <v>950000</v>
      </c>
      <c r="M227" s="2204">
        <f ca="1">'Assumption '!T138</f>
        <v>950000</v>
      </c>
      <c r="N227" s="2204">
        <f ca="1">'Assumption '!U138</f>
        <v>950000</v>
      </c>
      <c r="O227" s="2204">
        <f ca="1">'Assumption '!V138</f>
        <v>950000</v>
      </c>
      <c r="P227" s="2204">
        <f ca="1">'Assumption '!W138</f>
        <v>950000</v>
      </c>
      <c r="Q227" s="2204">
        <f ca="1">'Assumption '!X138</f>
        <v>950000</v>
      </c>
      <c r="R227" s="2204">
        <f ca="1">'Assumption '!Y138</f>
        <v>950000</v>
      </c>
      <c r="S227" s="2204">
        <f ca="1">'Assumption '!Z138</f>
        <v>950000</v>
      </c>
      <c r="T227" s="2204">
        <f ca="1">'Assumption '!AA138</f>
        <v>950000</v>
      </c>
      <c r="U227" s="2204">
        <f ca="1">'Assumption '!AB138</f>
        <v>950000</v>
      </c>
      <c r="V227" s="2204">
        <f ca="1">'Assumption '!AC138</f>
        <v>950000</v>
      </c>
      <c r="W227" s="2204">
        <f ca="1">'Assumption '!AD138</f>
        <v>950000</v>
      </c>
      <c r="X227" s="2205">
        <f ca="1">'Assumption '!AE138</f>
        <v>950000</v>
      </c>
      <c r="Y227" s="2205">
        <f ca="1">'Assumption '!AF138</f>
        <v>950000</v>
      </c>
      <c r="Z227" s="2205">
        <f ca="1">'Assumption '!AG138</f>
        <v>950000</v>
      </c>
      <c r="AA227" s="2205">
        <f ca="1">'Assumption '!AH138</f>
        <v>950000</v>
      </c>
      <c r="AB227" s="2205">
        <f ca="1">'Assumption '!AI138</f>
        <v>950000</v>
      </c>
      <c r="AC227" s="2205">
        <f ca="1">'Assumption '!AJ138</f>
        <v>950000</v>
      </c>
      <c r="AD227" s="2205">
        <f ca="1">'Assumption '!AK138</f>
        <v>950000</v>
      </c>
      <c r="AE227" s="2205">
        <f ca="1">'Assumption '!AL138</f>
        <v>950000</v>
      </c>
      <c r="AF227" s="2205">
        <f ca="1">'Assumption '!AM138</f>
        <v>950000</v>
      </c>
      <c r="AG227" s="2205">
        <f ca="1">'Assumption '!AN138</f>
        <v>950000</v>
      </c>
      <c r="AH227" s="2205">
        <f ca="1">'Assumption '!AO138</f>
        <v>950000</v>
      </c>
      <c r="AI227" s="2205">
        <f ca="1">'Assumption '!AP138</f>
        <v>950000</v>
      </c>
    </row>
    <row r="228" spans="5:35">
      <c r="E228" s="2207" t="s">
        <v>1936</v>
      </c>
      <c r="F228" s="2204">
        <f>'Assumption '!M141</f>
        <v>0</v>
      </c>
      <c r="G228" s="2204">
        <f>'Assumption '!N141</f>
        <v>650000</v>
      </c>
      <c r="H228" s="2204">
        <f ca="1">'Assumption '!O141</f>
        <v>812500</v>
      </c>
      <c r="I228" s="2204">
        <f ca="1">'Assumption '!P141</f>
        <v>950000</v>
      </c>
      <c r="J228" s="2204">
        <f ca="1">'Assumption '!Q141</f>
        <v>950000</v>
      </c>
      <c r="K228" s="2204">
        <f ca="1">'Assumption '!R141</f>
        <v>950000</v>
      </c>
      <c r="L228" s="2204">
        <f ca="1">'Assumption '!S141</f>
        <v>950000</v>
      </c>
      <c r="M228" s="2204">
        <f ca="1">'Assumption '!T141</f>
        <v>950000</v>
      </c>
      <c r="N228" s="2204">
        <f ca="1">'Assumption '!U141</f>
        <v>950000</v>
      </c>
      <c r="O228" s="2204">
        <f ca="1">'Assumption '!V141</f>
        <v>950000</v>
      </c>
      <c r="P228" s="2204">
        <f ca="1">'Assumption '!W141</f>
        <v>950000</v>
      </c>
      <c r="Q228" s="2204">
        <f ca="1">'Assumption '!X141</f>
        <v>950000</v>
      </c>
      <c r="R228" s="2204">
        <f ca="1">'Assumption '!Y141</f>
        <v>950000</v>
      </c>
      <c r="S228" s="2204">
        <f ca="1">'Assumption '!Z141</f>
        <v>950000</v>
      </c>
      <c r="T228" s="2204">
        <f ca="1">'Assumption '!AA141</f>
        <v>950000</v>
      </c>
      <c r="U228" s="2204">
        <f ca="1">'Assumption '!AB141</f>
        <v>950000</v>
      </c>
      <c r="V228" s="2204">
        <f ca="1">'Assumption '!AC141</f>
        <v>950000</v>
      </c>
      <c r="W228" s="2204">
        <f ca="1">'Assumption '!AD141</f>
        <v>950000</v>
      </c>
      <c r="X228" s="2204">
        <f ca="1">'Assumption '!AE141</f>
        <v>950000</v>
      </c>
      <c r="Y228" s="2204">
        <f ca="1">'Assumption '!AF141</f>
        <v>950000</v>
      </c>
      <c r="Z228" s="2204">
        <f ca="1">'Assumption '!AG141</f>
        <v>950000</v>
      </c>
      <c r="AA228" s="2204">
        <f ca="1">'Assumption '!AH141</f>
        <v>950000</v>
      </c>
      <c r="AB228" s="2204">
        <f ca="1">'Assumption '!AI141</f>
        <v>950000</v>
      </c>
      <c r="AC228" s="2204">
        <f ca="1">'Assumption '!AJ141</f>
        <v>950000</v>
      </c>
      <c r="AD228" s="2204">
        <f ca="1">'Assumption '!AK141</f>
        <v>950000</v>
      </c>
      <c r="AE228" s="2204">
        <f ca="1">'Assumption '!AL141</f>
        <v>950000</v>
      </c>
      <c r="AF228" s="2204">
        <f ca="1">'Assumption '!AM141</f>
        <v>950000</v>
      </c>
      <c r="AG228" s="2204">
        <f ca="1">'Assumption '!AN141</f>
        <v>950000</v>
      </c>
      <c r="AH228" s="2204">
        <f ca="1">'Assumption '!AO141</f>
        <v>950000</v>
      </c>
      <c r="AI228" s="2204">
        <f ca="1">'Assumption '!AP141</f>
        <v>950000</v>
      </c>
    </row>
    <row r="229" spans="5:35" ht="15.75" thickBot="1">
      <c r="E229" s="2208" t="s">
        <v>2096</v>
      </c>
      <c r="F229" s="2203">
        <f t="shared" ref="F229:AI229" si="17">SUM(F226:F228)</f>
        <v>0</v>
      </c>
      <c r="G229" s="2203">
        <f t="shared" si="17"/>
        <v>1625000</v>
      </c>
      <c r="H229" s="2203">
        <f t="shared" ca="1" si="17"/>
        <v>2681250</v>
      </c>
      <c r="I229" s="2203">
        <f t="shared" ca="1" si="17"/>
        <v>3187500</v>
      </c>
      <c r="J229" s="2203">
        <f t="shared" ca="1" si="17"/>
        <v>3325000</v>
      </c>
      <c r="K229" s="2203">
        <f t="shared" ca="1" si="17"/>
        <v>3325000</v>
      </c>
      <c r="L229" s="2203">
        <f t="shared" ca="1" si="17"/>
        <v>3325000</v>
      </c>
      <c r="M229" s="2203">
        <f t="shared" ca="1" si="17"/>
        <v>3325000</v>
      </c>
      <c r="N229" s="2203">
        <f t="shared" ca="1" si="17"/>
        <v>3325000</v>
      </c>
      <c r="O229" s="2203">
        <f t="shared" ca="1" si="17"/>
        <v>3325000</v>
      </c>
      <c r="P229" s="2203">
        <f t="shared" ca="1" si="17"/>
        <v>3325000</v>
      </c>
      <c r="Q229" s="2203">
        <f t="shared" ca="1" si="17"/>
        <v>3325000</v>
      </c>
      <c r="R229" s="2203">
        <f t="shared" ca="1" si="17"/>
        <v>3325000</v>
      </c>
      <c r="S229" s="2203">
        <f t="shared" ca="1" si="17"/>
        <v>3325000</v>
      </c>
      <c r="T229" s="2203">
        <f t="shared" ca="1" si="17"/>
        <v>3325000</v>
      </c>
      <c r="U229" s="2203">
        <f t="shared" ca="1" si="17"/>
        <v>3325000</v>
      </c>
      <c r="V229" s="2203">
        <f t="shared" ca="1" si="17"/>
        <v>3325000</v>
      </c>
      <c r="W229" s="2203">
        <f t="shared" ca="1" si="17"/>
        <v>3325000</v>
      </c>
      <c r="X229" s="2203">
        <f t="shared" ca="1" si="17"/>
        <v>3325000</v>
      </c>
      <c r="Y229" s="2203">
        <f t="shared" ca="1" si="17"/>
        <v>3325000</v>
      </c>
      <c r="Z229" s="2203">
        <f t="shared" ca="1" si="17"/>
        <v>3325000</v>
      </c>
      <c r="AA229" s="2203">
        <f t="shared" ca="1" si="17"/>
        <v>3325000</v>
      </c>
      <c r="AB229" s="2203">
        <f t="shared" ca="1" si="17"/>
        <v>3325000</v>
      </c>
      <c r="AC229" s="2203">
        <f t="shared" ca="1" si="17"/>
        <v>3325000</v>
      </c>
      <c r="AD229" s="2203">
        <f t="shared" ca="1" si="17"/>
        <v>3325000</v>
      </c>
      <c r="AE229" s="2203">
        <f t="shared" ca="1" si="17"/>
        <v>3325000</v>
      </c>
      <c r="AF229" s="2203">
        <f t="shared" ca="1" si="17"/>
        <v>3325000</v>
      </c>
      <c r="AG229" s="2203">
        <f t="shared" ca="1" si="17"/>
        <v>3325000</v>
      </c>
      <c r="AH229" s="2203">
        <f t="shared" ca="1" si="17"/>
        <v>3325000</v>
      </c>
      <c r="AI229" s="2203">
        <f t="shared" ca="1" si="17"/>
        <v>3325000</v>
      </c>
    </row>
    <row r="230" spans="5:35">
      <c r="E230" s="2209" t="s">
        <v>2099</v>
      </c>
      <c r="F230" s="2117">
        <f t="shared" ref="F230:AI230" si="18">F225</f>
        <v>2027</v>
      </c>
      <c r="G230" s="2117">
        <f t="shared" si="18"/>
        <v>2028</v>
      </c>
      <c r="H230" s="2117">
        <f t="shared" si="18"/>
        <v>2029</v>
      </c>
      <c r="I230" s="2117">
        <f t="shared" si="18"/>
        <v>2030</v>
      </c>
      <c r="J230" s="2117">
        <f t="shared" si="18"/>
        <v>2031</v>
      </c>
      <c r="K230" s="2117">
        <f t="shared" si="18"/>
        <v>2032</v>
      </c>
      <c r="L230" s="2212">
        <f t="shared" si="18"/>
        <v>2033</v>
      </c>
      <c r="M230" s="2211">
        <f t="shared" si="18"/>
        <v>2034</v>
      </c>
      <c r="N230" s="2117">
        <f t="shared" si="18"/>
        <v>2035</v>
      </c>
      <c r="O230" s="2117">
        <f t="shared" si="18"/>
        <v>2036</v>
      </c>
      <c r="P230" s="2117">
        <f t="shared" si="18"/>
        <v>2037</v>
      </c>
      <c r="Q230" s="2117">
        <f t="shared" si="18"/>
        <v>2038</v>
      </c>
      <c r="R230" s="2117">
        <f t="shared" si="18"/>
        <v>2039</v>
      </c>
      <c r="S230" s="2117">
        <f t="shared" si="18"/>
        <v>2040</v>
      </c>
      <c r="T230" s="2117">
        <f t="shared" si="18"/>
        <v>2041</v>
      </c>
      <c r="U230" s="2117">
        <f t="shared" si="18"/>
        <v>2042</v>
      </c>
      <c r="V230" s="2117">
        <f t="shared" si="18"/>
        <v>2043</v>
      </c>
      <c r="W230" s="2117">
        <f t="shared" si="18"/>
        <v>2044</v>
      </c>
      <c r="X230" s="2117">
        <f t="shared" si="18"/>
        <v>2045</v>
      </c>
      <c r="Y230" s="2117">
        <f t="shared" si="18"/>
        <v>2046</v>
      </c>
      <c r="Z230" s="2117">
        <f t="shared" si="18"/>
        <v>2047</v>
      </c>
      <c r="AA230" s="2117">
        <f t="shared" si="18"/>
        <v>2048</v>
      </c>
      <c r="AB230" s="2117">
        <f t="shared" si="18"/>
        <v>2049</v>
      </c>
      <c r="AC230" s="2117">
        <f t="shared" si="18"/>
        <v>2050</v>
      </c>
      <c r="AD230" s="2117">
        <f t="shared" si="18"/>
        <v>2051</v>
      </c>
      <c r="AE230" s="2117">
        <f t="shared" si="18"/>
        <v>2052</v>
      </c>
      <c r="AF230" s="2117">
        <f t="shared" si="18"/>
        <v>2053</v>
      </c>
      <c r="AG230" s="2117">
        <f t="shared" si="18"/>
        <v>2054</v>
      </c>
      <c r="AH230" s="2117">
        <f t="shared" si="18"/>
        <v>2055</v>
      </c>
      <c r="AI230" s="2117">
        <f t="shared" si="18"/>
        <v>2056</v>
      </c>
    </row>
    <row r="231" spans="5:35">
      <c r="E231" s="2207" t="s">
        <v>961</v>
      </c>
      <c r="F231" s="393">
        <f>'Assumption '!M537</f>
        <v>0</v>
      </c>
      <c r="G231" s="393">
        <f>'Assumption '!N537</f>
        <v>411372729.32509768</v>
      </c>
      <c r="H231" s="393">
        <f ca="1">'Assumption '!O537</f>
        <v>547033996.49400461</v>
      </c>
      <c r="I231" s="393">
        <f ca="1">'Assumption '!P537</f>
        <v>680666754.61595011</v>
      </c>
      <c r="J231" s="393">
        <f ca="1">'Assumption '!Q537</f>
        <v>714847440.66071773</v>
      </c>
      <c r="K231" s="393">
        <f ca="1">'Assumption '!R537</f>
        <v>755300789.57083797</v>
      </c>
      <c r="L231" s="393">
        <f ca="1">'Assumption '!S537</f>
        <v>798199066.63623762</v>
      </c>
      <c r="M231" s="393">
        <f ca="1">'Assumption '!T537</f>
        <v>843695384.73748088</v>
      </c>
      <c r="N231" s="393">
        <f ca="1">'Assumption '!U537</f>
        <v>891952617.29649377</v>
      </c>
      <c r="O231" s="393">
        <f ca="1">'Assumption '!V537</f>
        <v>943144025.81954503</v>
      </c>
      <c r="P231" s="393">
        <f ca="1">'Assumption '!W537</f>
        <v>997453927.95000815</v>
      </c>
      <c r="Q231" s="393">
        <f ca="1">'Assumption '!X537</f>
        <v>1055078408.6508585</v>
      </c>
      <c r="R231" s="393">
        <f ca="1">'Assumption '!Y537</f>
        <v>1116226077.306433</v>
      </c>
      <c r="S231" s="393">
        <f ca="1">'Assumption '!Z537</f>
        <v>1181118873.7135642</v>
      </c>
      <c r="T231" s="393">
        <f ca="1">'Assumption '!AA537</f>
        <v>1249992926.1244652</v>
      </c>
      <c r="U231" s="393">
        <f ca="1">'Assumption '!AB537</f>
        <v>801246175.56026816</v>
      </c>
      <c r="V231" s="393">
        <f ca="1">'Assumption '!AC537</f>
        <v>825283560.82707608</v>
      </c>
      <c r="W231" s="393">
        <f ca="1">'Assumption '!AD537</f>
        <v>850042067.65188849</v>
      </c>
      <c r="X231" s="536">
        <f ca="1">'Assumption '!AE537</f>
        <v>875543329.68144512</v>
      </c>
      <c r="Y231" s="536">
        <f ca="1">'Assumption '!AF537</f>
        <v>901809629.57188857</v>
      </c>
      <c r="Z231" s="536">
        <f ca="1">'Assumption '!AG537</f>
        <v>928863918.45904529</v>
      </c>
      <c r="AA231" s="536">
        <f ca="1">'Assumption '!AH537</f>
        <v>956729836.01281667</v>
      </c>
      <c r="AB231" s="536">
        <f ca="1">'Assumption '!AI537</f>
        <v>985431731.09320116</v>
      </c>
      <c r="AC231" s="536">
        <f ca="1">'Assumption '!AJ537</f>
        <v>1014994683.0259973</v>
      </c>
      <c r="AD231" s="536">
        <f ca="1">'Assumption '!AK537</f>
        <v>1045444523.5167772</v>
      </c>
      <c r="AE231" s="536">
        <f ca="1">'Assumption '!AL537</f>
        <v>1076807859.2222805</v>
      </c>
      <c r="AF231" s="536">
        <f ca="1">'Assumption '!AM537</f>
        <v>1109112094.9989491</v>
      </c>
      <c r="AG231" s="536">
        <f ca="1">'Assumption '!AN537</f>
        <v>1142385457.8489175</v>
      </c>
      <c r="AH231" s="536">
        <f ca="1">'Assumption '!AO537</f>
        <v>1176657021.5843849</v>
      </c>
      <c r="AI231" s="536">
        <f ca="1">'Assumption '!AP537</f>
        <v>1211956732.2319164</v>
      </c>
    </row>
    <row r="232" spans="5:35">
      <c r="E232" s="2207" t="s">
        <v>981</v>
      </c>
      <c r="F232" s="393">
        <f>'Assumption '!M538</f>
        <v>0</v>
      </c>
      <c r="G232" s="393">
        <f>'Assumption '!N538</f>
        <v>0</v>
      </c>
      <c r="H232" s="393">
        <f>'Assumption '!O538</f>
        <v>291751464.79680246</v>
      </c>
      <c r="I232" s="393">
        <f ca="1">'Assumption '!P538</f>
        <v>388099465.35119969</v>
      </c>
      <c r="J232" s="393">
        <f ca="1">'Assumption '!Q538</f>
        <v>476564960.44047856</v>
      </c>
      <c r="K232" s="393">
        <f ca="1">'Assumption '!R538</f>
        <v>503533859.7138921</v>
      </c>
      <c r="L232" s="393">
        <f ca="1">'Assumption '!S538</f>
        <v>532132711.0908252</v>
      </c>
      <c r="M232" s="393">
        <f ca="1">'Assumption '!T538</f>
        <v>562463589.82498729</v>
      </c>
      <c r="N232" s="393">
        <f ca="1">'Assumption '!U538</f>
        <v>594635078.19766259</v>
      </c>
      <c r="O232" s="393">
        <f ca="1">'Assumption '!V538</f>
        <v>628762683.87969673</v>
      </c>
      <c r="P232" s="393">
        <f ca="1">'Assumption '!W538</f>
        <v>664969285.30000556</v>
      </c>
      <c r="Q232" s="393">
        <f ca="1">'Assumption '!X538</f>
        <v>703385605.76723909</v>
      </c>
      <c r="R232" s="393">
        <f ca="1">'Assumption '!Y538</f>
        <v>744150718.20428872</v>
      </c>
      <c r="S232" s="393">
        <f ca="1">'Assumption '!Z538</f>
        <v>787412582.47570944</v>
      </c>
      <c r="T232" s="393">
        <f ca="1">'Assumption '!AA538</f>
        <v>833328617.41631031</v>
      </c>
      <c r="U232" s="393">
        <f ca="1">'Assumption '!AB538</f>
        <v>534164117.04017878</v>
      </c>
      <c r="V232" s="393">
        <f ca="1">'Assumption '!AC538</f>
        <v>550189040.55138409</v>
      </c>
      <c r="W232" s="393">
        <f ca="1">'Assumption '!AD538</f>
        <v>566694711.76792574</v>
      </c>
      <c r="X232" s="536">
        <f ca="1">'Assumption '!AE538</f>
        <v>583695553.12096345</v>
      </c>
      <c r="Y232" s="536">
        <f ca="1">'Assumption '!AF538</f>
        <v>601206419.71459246</v>
      </c>
      <c r="Z232" s="536">
        <f ca="1">'Assumption '!AG538</f>
        <v>619242612.30603027</v>
      </c>
      <c r="AA232" s="536">
        <f ca="1">'Assumption '!AH538</f>
        <v>637819890.67521119</v>
      </c>
      <c r="AB232" s="536">
        <f ca="1">'Assumption '!AI538</f>
        <v>656954487.39546752</v>
      </c>
      <c r="AC232" s="536">
        <f ca="1">'Assumption '!AJ538</f>
        <v>676663122.0173316</v>
      </c>
      <c r="AD232" s="536">
        <f ca="1">'Assumption '!AK538</f>
        <v>696963015.67785156</v>
      </c>
      <c r="AE232" s="536">
        <f ca="1">'Assumption '!AL538</f>
        <v>717871906.14818716</v>
      </c>
      <c r="AF232" s="536">
        <f ca="1">'Assumption '!AM538</f>
        <v>739408063.33263278</v>
      </c>
      <c r="AG232" s="536">
        <f ca="1">'Assumption '!AN538</f>
        <v>761590305.23261166</v>
      </c>
      <c r="AH232" s="536">
        <f ca="1">'Assumption '!AO538</f>
        <v>784438014.38959014</v>
      </c>
      <c r="AI232" s="536">
        <f ca="1">'Assumption '!AP538</f>
        <v>807971154.82127774</v>
      </c>
    </row>
    <row r="233" spans="5:35" ht="15.75" thickBot="1">
      <c r="E233" s="2207" t="s">
        <v>1936</v>
      </c>
      <c r="F233" s="393">
        <f>'Assumption '!M541</f>
        <v>0</v>
      </c>
      <c r="G233" s="393">
        <f>'Assumption '!N541</f>
        <v>363590293.33464235</v>
      </c>
      <c r="H233" s="393">
        <f ca="1">'Assumption '!O541</f>
        <v>468122502.66835201</v>
      </c>
      <c r="I233" s="393">
        <f ca="1">'Assumption '!P541</f>
        <v>563763530.90582466</v>
      </c>
      <c r="J233" s="393">
        <f ca="1">'Assumption '!Q541</f>
        <v>580676436.83299935</v>
      </c>
      <c r="K233" s="393">
        <f ca="1">'Assumption '!R541</f>
        <v>598096729.93798935</v>
      </c>
      <c r="L233" s="393">
        <f ca="1">'Assumption '!S541</f>
        <v>616039631.83612907</v>
      </c>
      <c r="M233" s="393">
        <f ca="1">'Assumption '!T541</f>
        <v>634520820.79121304</v>
      </c>
      <c r="N233" s="393">
        <f ca="1">'Assumption '!U541</f>
        <v>653556445.41494942</v>
      </c>
      <c r="O233" s="393">
        <f ca="1">'Assumption '!V541</f>
        <v>673163138.77739775</v>
      </c>
      <c r="P233" s="393">
        <f ca="1">'Assumption '!W541</f>
        <v>693358032.94071972</v>
      </c>
      <c r="Q233" s="393">
        <f ca="1">'Assumption '!X541</f>
        <v>714158773.92894137</v>
      </c>
      <c r="R233" s="393">
        <f ca="1">'Assumption '!Y541</f>
        <v>735583537.1468097</v>
      </c>
      <c r="S233" s="393">
        <f ca="1">'Assumption '!Z541</f>
        <v>757651043.26121402</v>
      </c>
      <c r="T233" s="393">
        <f ca="1">'Assumption '!AA541</f>
        <v>780380574.55905044</v>
      </c>
      <c r="U233" s="393">
        <f ca="1">'Assumption '!AB541</f>
        <v>803791991.79582202</v>
      </c>
      <c r="V233" s="393">
        <f ca="1">'Assumption '!AC541</f>
        <v>827905751.54969668</v>
      </c>
      <c r="W233" s="393">
        <f ca="1">'Assumption '!AD541</f>
        <v>852742924.09618759</v>
      </c>
      <c r="X233" s="536">
        <f ca="1">'Assumption '!AE541</f>
        <v>878325211.81907332</v>
      </c>
      <c r="Y233" s="536">
        <f ca="1">'Assumption '!AF541</f>
        <v>904674968.17364562</v>
      </c>
      <c r="Z233" s="536">
        <f ca="1">'Assumption '!AG541</f>
        <v>931815217.21885502</v>
      </c>
      <c r="AA233" s="536">
        <f ca="1">'Assumption '!AH541</f>
        <v>959769673.73542082</v>
      </c>
      <c r="AB233" s="536">
        <f ca="1">'Assumption '!AI541</f>
        <v>988562763.94748342</v>
      </c>
      <c r="AC233" s="536">
        <f ca="1">'Assumption '!AJ541</f>
        <v>1018219646.865908</v>
      </c>
      <c r="AD233" s="536">
        <f ca="1">'Assumption '!AK541</f>
        <v>1048766236.2718852</v>
      </c>
      <c r="AE233" s="536">
        <f ca="1">'Assumption '!AL541</f>
        <v>1080229223.3600419</v>
      </c>
      <c r="AF233" s="536">
        <f ca="1">'Assumption '!AM541</f>
        <v>1112636100.0608432</v>
      </c>
      <c r="AG233" s="536">
        <f ca="1">'Assumption '!AN541</f>
        <v>1146015183.0626683</v>
      </c>
      <c r="AH233" s="536">
        <f ca="1">'Assumption '!AO541</f>
        <v>1180395638.5545483</v>
      </c>
      <c r="AI233" s="536">
        <f ca="1">'Assumption '!AP541</f>
        <v>1215807507.711185</v>
      </c>
    </row>
    <row r="234" spans="5:35" ht="15.75" thickBot="1">
      <c r="E234" s="2210" t="s">
        <v>2098</v>
      </c>
      <c r="F234" s="561">
        <f t="shared" ref="F234:AI234" si="19">SUM(F231:F233)</f>
        <v>0</v>
      </c>
      <c r="G234" s="561">
        <f t="shared" si="19"/>
        <v>774963022.65973997</v>
      </c>
      <c r="H234" s="561">
        <f t="shared" ca="1" si="19"/>
        <v>1306907963.9591589</v>
      </c>
      <c r="I234" s="561">
        <f t="shared" ca="1" si="19"/>
        <v>1632529750.8729744</v>
      </c>
      <c r="J234" s="561">
        <f t="shared" ca="1" si="19"/>
        <v>1772088837.9341955</v>
      </c>
      <c r="K234" s="561">
        <f t="shared" ca="1" si="19"/>
        <v>1856931379.2227192</v>
      </c>
      <c r="L234" s="561">
        <f t="shared" ca="1" si="19"/>
        <v>1946371409.5631919</v>
      </c>
      <c r="M234" s="561">
        <f t="shared" ca="1" si="19"/>
        <v>2040679795.3536811</v>
      </c>
      <c r="N234" s="561">
        <f t="shared" ca="1" si="19"/>
        <v>2140144140.9091058</v>
      </c>
      <c r="O234" s="561">
        <f t="shared" ca="1" si="19"/>
        <v>2245069848.4766393</v>
      </c>
      <c r="P234" s="561">
        <f t="shared" ca="1" si="19"/>
        <v>2355781246.1907334</v>
      </c>
      <c r="Q234" s="561">
        <f t="shared" ca="1" si="19"/>
        <v>2472622788.3470387</v>
      </c>
      <c r="R234" s="561">
        <f t="shared" ca="1" si="19"/>
        <v>2595960332.6575313</v>
      </c>
      <c r="S234" s="561">
        <f t="shared" ca="1" si="19"/>
        <v>2726182499.4504876</v>
      </c>
      <c r="T234" s="561">
        <f t="shared" ca="1" si="19"/>
        <v>2863702118.0998259</v>
      </c>
      <c r="U234" s="561">
        <f t="shared" ca="1" si="19"/>
        <v>2139202284.3962688</v>
      </c>
      <c r="V234" s="561">
        <f t="shared" ca="1" si="19"/>
        <v>2203378352.9281569</v>
      </c>
      <c r="W234" s="561">
        <f t="shared" ca="1" si="19"/>
        <v>2269479703.5160017</v>
      </c>
      <c r="X234" s="561">
        <f t="shared" ca="1" si="19"/>
        <v>2337564094.6214819</v>
      </c>
      <c r="Y234" s="561">
        <f t="shared" ca="1" si="19"/>
        <v>2407691017.4601264</v>
      </c>
      <c r="Z234" s="561">
        <f t="shared" ca="1" si="19"/>
        <v>2479921747.9839306</v>
      </c>
      <c r="AA234" s="561">
        <f t="shared" ca="1" si="19"/>
        <v>2554319400.4234486</v>
      </c>
      <c r="AB234" s="561">
        <f t="shared" ca="1" si="19"/>
        <v>2630948982.436152</v>
      </c>
      <c r="AC234" s="561">
        <f t="shared" ca="1" si="19"/>
        <v>2709877451.9092369</v>
      </c>
      <c r="AD234" s="561">
        <f t="shared" ca="1" si="19"/>
        <v>2791173775.4665136</v>
      </c>
      <c r="AE234" s="561">
        <f t="shared" ca="1" si="19"/>
        <v>2874908988.7305098</v>
      </c>
      <c r="AF234" s="561">
        <f t="shared" ca="1" si="19"/>
        <v>2961156258.3924251</v>
      </c>
      <c r="AG234" s="561">
        <f t="shared" ca="1" si="19"/>
        <v>3049990946.1441975</v>
      </c>
      <c r="AH234" s="561">
        <f t="shared" ca="1" si="19"/>
        <v>3141490674.5285234</v>
      </c>
      <c r="AI234" s="561">
        <f t="shared" ca="1" si="19"/>
        <v>3235735394.764379</v>
      </c>
    </row>
    <row r="494" spans="10:10">
      <c r="J494">
        <f>SUM(J487:J493)</f>
        <v>0</v>
      </c>
    </row>
    <row r="503" spans="10:10">
      <c r="J503">
        <f>SUM(J497:J502)</f>
        <v>0</v>
      </c>
    </row>
    <row r="527" spans="10:10">
      <c r="J527">
        <f>SUM(J520:J526)</f>
        <v>0</v>
      </c>
    </row>
  </sheetData>
  <mergeCells count="7">
    <mergeCell ref="E174:F174"/>
    <mergeCell ref="E178:F178"/>
    <mergeCell ref="E140:G140"/>
    <mergeCell ref="E147:F147"/>
    <mergeCell ref="E152:F152"/>
    <mergeCell ref="E157:F157"/>
    <mergeCell ref="E159:F159"/>
  </mergeCells>
  <phoneticPr fontId="47" type="noConversion"/>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8C52C5A-C7E8-43D2-8D5B-B1ABCB1E5F6A}">
          <x14:formula1>
            <xm:f>'Drop down list'!$S$4:$S$32</xm:f>
          </x14:formula1>
          <xm:sqref>F192:H192 F194:H194 F196:H196 F198:H198 F200:H200 F202:H202 F204:H204 F208:H208 F206:H206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58192-7864-4A5C-AA30-CF50F36334C1}">
  <sheetPr codeName="Sheet53">
    <tabColor rgb="FFFF0000"/>
  </sheetPr>
  <dimension ref="A1:AL38"/>
  <sheetViews>
    <sheetView topLeftCell="Z1" workbookViewId="0">
      <selection activeCell="AK21" sqref="AK21"/>
    </sheetView>
  </sheetViews>
  <sheetFormatPr defaultRowHeight="15"/>
  <cols>
    <col min="7" max="7" width="43.31640625" customWidth="1"/>
    <col min="8" max="8" width="26.76953125" customWidth="1"/>
    <col min="9" max="9" width="30.53515625" customWidth="1"/>
    <col min="13" max="13" width="38.203125" customWidth="1"/>
    <col min="14" max="14" width="28.515625" customWidth="1"/>
    <col min="15" max="15" width="25.828125" customWidth="1"/>
    <col min="18" max="18" width="37.6640625" customWidth="1"/>
    <col min="19" max="19" width="32.8203125" customWidth="1"/>
    <col min="20" max="20" width="36.9921875" customWidth="1"/>
    <col min="36" max="36" width="38.3359375" customWidth="1"/>
    <col min="37" max="37" width="27.3046875" customWidth="1"/>
    <col min="38" max="38" width="26.6328125" customWidth="1"/>
  </cols>
  <sheetData>
    <row r="1" spans="1:38">
      <c r="A1" t="s">
        <v>2232</v>
      </c>
    </row>
    <row r="2" spans="1:38" ht="18.75">
      <c r="M2" s="3315" t="s">
        <v>2235</v>
      </c>
      <c r="N2" s="3315"/>
      <c r="O2" s="3315"/>
      <c r="R2" s="3315" t="s">
        <v>2241</v>
      </c>
      <c r="S2" s="3315"/>
      <c r="T2" s="3315"/>
    </row>
    <row r="4" spans="1:38" ht="27" customHeight="1">
      <c r="G4" s="2472"/>
      <c r="H4" s="2473" t="s">
        <v>2053</v>
      </c>
      <c r="I4" s="2473" t="s">
        <v>2054</v>
      </c>
      <c r="M4" s="2472"/>
      <c r="N4" s="2473" t="s">
        <v>2234</v>
      </c>
      <c r="O4" s="2473" t="s">
        <v>1940</v>
      </c>
      <c r="R4" s="2472"/>
      <c r="S4" s="2473" t="s">
        <v>1042</v>
      </c>
      <c r="T4" s="2473" t="s">
        <v>1042</v>
      </c>
      <c r="AJ4" s="2507"/>
      <c r="AK4" s="2508" t="s">
        <v>2234</v>
      </c>
      <c r="AL4" s="2508" t="s">
        <v>2237</v>
      </c>
    </row>
    <row r="5" spans="1:38" ht="18">
      <c r="G5" s="2474" t="s">
        <v>1641</v>
      </c>
      <c r="H5" s="2470"/>
      <c r="I5" s="2471"/>
      <c r="M5" s="2474" t="s">
        <v>1641</v>
      </c>
      <c r="N5" s="2470"/>
      <c r="O5" s="2471"/>
      <c r="R5" s="2474" t="s">
        <v>1641</v>
      </c>
      <c r="S5" s="2470"/>
      <c r="T5" s="2471"/>
      <c r="AJ5" s="2509" t="s">
        <v>1641</v>
      </c>
      <c r="AK5" s="2470"/>
      <c r="AL5" s="2471"/>
    </row>
    <row r="6" spans="1:38" ht="16.5">
      <c r="G6" s="2441" t="s">
        <v>1637</v>
      </c>
      <c r="H6" s="2460">
        <v>0.26406796974078328</v>
      </c>
      <c r="I6" s="2448">
        <v>0.26824555865895028</v>
      </c>
      <c r="M6" s="2441" t="s">
        <v>1637</v>
      </c>
      <c r="N6" s="2460">
        <v>0.26406796974078328</v>
      </c>
      <c r="O6" s="2448">
        <v>0.2744110114644589</v>
      </c>
      <c r="R6" s="2441" t="s">
        <v>1637</v>
      </c>
      <c r="S6" s="2460">
        <v>0.24309109761308179</v>
      </c>
      <c r="T6" s="2448">
        <v>0.25067596135177728</v>
      </c>
      <c r="AJ6" s="2441" t="s">
        <v>1637</v>
      </c>
      <c r="AK6" s="2460">
        <v>0.2891944145024945</v>
      </c>
      <c r="AL6" s="2448">
        <v>0.29952019486037784</v>
      </c>
    </row>
    <row r="7" spans="1:38" ht="16.5">
      <c r="G7" s="2441" t="s">
        <v>1638</v>
      </c>
      <c r="H7" s="2460">
        <v>0.22925437056965658</v>
      </c>
      <c r="I7" s="2449">
        <v>0.23284803506094409</v>
      </c>
      <c r="M7" s="2441" t="s">
        <v>1638</v>
      </c>
      <c r="N7" s="2460">
        <v>0.22925437056965658</v>
      </c>
      <c r="O7" s="2449">
        <v>0.23846544154801408</v>
      </c>
      <c r="R7" s="2441" t="s">
        <v>1638</v>
      </c>
      <c r="S7" s="2460">
        <v>0.21182450849022061</v>
      </c>
      <c r="T7" s="2449">
        <v>0.21870606758545508</v>
      </c>
      <c r="AJ7" s="2441" t="s">
        <v>1638</v>
      </c>
      <c r="AK7" s="2460">
        <v>0.25338423600615001</v>
      </c>
      <c r="AL7" s="2449">
        <v>0.25589466500993474</v>
      </c>
    </row>
    <row r="8" spans="1:38" ht="16.5">
      <c r="G8" s="2441" t="s">
        <v>1639</v>
      </c>
      <c r="H8" s="2461">
        <v>11458992232.369999</v>
      </c>
      <c r="I8" s="2450">
        <v>11126228594.874249</v>
      </c>
      <c r="M8" s="2441" t="s">
        <v>1639</v>
      </c>
      <c r="N8" s="2461">
        <v>11458992232.369999</v>
      </c>
      <c r="O8" s="2450">
        <v>10496399320.445251</v>
      </c>
      <c r="R8" s="2441" t="s">
        <v>1639</v>
      </c>
      <c r="S8" s="2461">
        <v>6985008431.043541</v>
      </c>
      <c r="T8" s="2450">
        <v>5964005383.6406832</v>
      </c>
      <c r="AJ8" s="2441" t="s">
        <v>1639</v>
      </c>
      <c r="AK8" s="2461">
        <v>12084710897.029505</v>
      </c>
      <c r="AL8" s="2450">
        <v>11946527729.916128</v>
      </c>
    </row>
    <row r="9" spans="1:38" ht="17.25" thickBot="1">
      <c r="G9" s="2441" t="s">
        <v>1640</v>
      </c>
      <c r="H9" s="2461">
        <v>7500064526.8012218</v>
      </c>
      <c r="I9" s="2451">
        <v>7288852249.2826567</v>
      </c>
      <c r="M9" s="2479" t="s">
        <v>1640</v>
      </c>
      <c r="N9" s="2480">
        <v>7500064526.8012218</v>
      </c>
      <c r="O9" s="2481">
        <v>6897450229.1905642</v>
      </c>
      <c r="R9" s="2479" t="s">
        <v>1640</v>
      </c>
      <c r="S9" s="2480">
        <v>4557743403.2099485</v>
      </c>
      <c r="T9" s="2481">
        <v>3909357176.8794637</v>
      </c>
      <c r="AJ9" s="2479" t="s">
        <v>1640</v>
      </c>
      <c r="AK9" s="2480">
        <v>8026757426.211235</v>
      </c>
      <c r="AL9" s="2481">
        <v>7783843529.3075542</v>
      </c>
    </row>
    <row r="10" spans="1:38" ht="17.25" thickBot="1">
      <c r="G10" s="2474" t="s">
        <v>1642</v>
      </c>
      <c r="H10" s="2475"/>
      <c r="I10" s="2476"/>
      <c r="M10" s="2485" t="s">
        <v>1642</v>
      </c>
      <c r="N10" s="2486"/>
      <c r="O10" s="2477"/>
      <c r="R10" s="2485" t="s">
        <v>1642</v>
      </c>
      <c r="S10" s="2486"/>
      <c r="T10" s="2477"/>
      <c r="AJ10" s="2510" t="s">
        <v>1642</v>
      </c>
      <c r="AK10" s="2511"/>
      <c r="AL10" s="2512"/>
    </row>
    <row r="11" spans="1:38" ht="16.5">
      <c r="G11" s="2442" t="s">
        <v>1643</v>
      </c>
      <c r="H11" s="2462">
        <v>0.37423351770824342</v>
      </c>
      <c r="I11" s="2452">
        <v>0.37940704844778161</v>
      </c>
      <c r="M11" s="2482" t="s">
        <v>1643</v>
      </c>
      <c r="N11" s="2483">
        <v>0.37423351770824342</v>
      </c>
      <c r="O11" s="2484">
        <v>0.39085202682258924</v>
      </c>
      <c r="R11" s="2482" t="s">
        <v>1643</v>
      </c>
      <c r="S11" s="2483">
        <v>0.35368298762362782</v>
      </c>
      <c r="T11" s="2484">
        <v>0.36919715477544757</v>
      </c>
      <c r="AJ11" s="2482" t="s">
        <v>1643</v>
      </c>
      <c r="AK11" s="2483">
        <v>0.42644992152644723</v>
      </c>
      <c r="AL11" s="2484">
        <v>0.47842126761702497</v>
      </c>
    </row>
    <row r="12" spans="1:38" ht="16.5">
      <c r="G12" s="2442" t="s">
        <v>1644</v>
      </c>
      <c r="H12" s="2462">
        <v>0.32729812655949231</v>
      </c>
      <c r="I12" s="2452">
        <v>0.33190566143929945</v>
      </c>
      <c r="M12" s="2442" t="s">
        <v>1644</v>
      </c>
      <c r="N12" s="2462">
        <v>0.32729812655949231</v>
      </c>
      <c r="O12" s="2452">
        <v>0.34290052418708372</v>
      </c>
      <c r="R12" s="2442" t="s">
        <v>1644</v>
      </c>
      <c r="S12" s="2462">
        <v>0.3107373882224671</v>
      </c>
      <c r="T12" s="2452">
        <v>0.32569938936449572</v>
      </c>
      <c r="AJ12" s="2442" t="s">
        <v>1644</v>
      </c>
      <c r="AK12" s="2462">
        <v>0.37964772627102206</v>
      </c>
      <c r="AL12" s="2452">
        <v>0.42282187543690197</v>
      </c>
    </row>
    <row r="13" spans="1:38" ht="16.5">
      <c r="G13" s="2442" t="s">
        <v>1646</v>
      </c>
      <c r="H13" s="2461">
        <v>3925790621.5236144</v>
      </c>
      <c r="I13" s="2453">
        <v>3836636505.6777611</v>
      </c>
      <c r="M13" s="2442" t="s">
        <v>1646</v>
      </c>
      <c r="N13" s="2461">
        <v>3925790621.5236144</v>
      </c>
      <c r="O13" s="2453">
        <v>3695049428.7243876</v>
      </c>
      <c r="R13" s="2442" t="s">
        <v>1646</v>
      </c>
      <c r="S13" s="2461">
        <v>2324967251.4331856</v>
      </c>
      <c r="T13" s="2453">
        <v>2057756783.7972102</v>
      </c>
      <c r="AJ13" s="2442" t="s">
        <v>1646</v>
      </c>
      <c r="AK13" s="2461">
        <v>4260541013.5094714</v>
      </c>
      <c r="AL13" s="2453">
        <v>4453478347.31427</v>
      </c>
    </row>
    <row r="14" spans="1:38" ht="17.25" thickBot="1">
      <c r="G14" s="2442" t="s">
        <v>1645</v>
      </c>
      <c r="H14" s="2461">
        <v>2671232158.5244493</v>
      </c>
      <c r="I14" s="2453">
        <v>2613594200.1972651</v>
      </c>
      <c r="M14" s="2442" t="s">
        <v>1645</v>
      </c>
      <c r="N14" s="2461">
        <v>2671232158.5244493</v>
      </c>
      <c r="O14" s="2453">
        <v>2530022654.2500124</v>
      </c>
      <c r="R14" s="2442" t="s">
        <v>1645</v>
      </c>
      <c r="S14" s="2461">
        <v>1588938302.0327098</v>
      </c>
      <c r="T14" s="2453">
        <v>1417194426.9457688</v>
      </c>
      <c r="AJ14" s="2442" t="s">
        <v>1645</v>
      </c>
      <c r="AK14" s="2461">
        <v>3004639881.513772</v>
      </c>
      <c r="AL14" s="2453">
        <v>3109239451.3858719</v>
      </c>
    </row>
    <row r="15" spans="1:38" ht="17.25" thickBot="1">
      <c r="G15" s="2474" t="s">
        <v>1647</v>
      </c>
      <c r="H15" s="2475"/>
      <c r="I15" s="2476"/>
      <c r="M15" s="2485" t="s">
        <v>1647</v>
      </c>
      <c r="N15" s="2486"/>
      <c r="O15" s="2477"/>
      <c r="R15" s="2485" t="s">
        <v>1647</v>
      </c>
      <c r="S15" s="2486"/>
      <c r="T15" s="2477"/>
      <c r="AJ15" s="2510" t="s">
        <v>1647</v>
      </c>
      <c r="AK15" s="2511"/>
      <c r="AL15" s="2512"/>
    </row>
    <row r="16" spans="1:38" ht="16.5">
      <c r="G16" s="2442" t="s">
        <v>1843</v>
      </c>
      <c r="H16" s="2463">
        <v>2.2126279327139295</v>
      </c>
      <c r="I16" s="2454">
        <v>2.2523357294306146</v>
      </c>
      <c r="M16" s="2442" t="s">
        <v>1843</v>
      </c>
      <c r="N16" s="2463">
        <v>2.2126279327139295</v>
      </c>
      <c r="O16" s="2454">
        <v>2.2936231099170135</v>
      </c>
      <c r="R16" s="2442" t="s">
        <v>1843</v>
      </c>
      <c r="S16" s="2463">
        <v>2.0762790303384615</v>
      </c>
      <c r="T16" s="2454">
        <v>2.1436148181159793</v>
      </c>
      <c r="AJ16" s="2442" t="s">
        <v>1843</v>
      </c>
      <c r="AK16" s="2463">
        <v>2.4360946412996727</v>
      </c>
      <c r="AL16" s="2454">
        <v>1.5637859464323469</v>
      </c>
    </row>
    <row r="17" spans="7:38" ht="16.5">
      <c r="G17" s="2442" t="s">
        <v>1947</v>
      </c>
      <c r="H17" s="2463">
        <v>4.3768627498541601</v>
      </c>
      <c r="I17" s="2454">
        <v>4.4585201956376865</v>
      </c>
      <c r="M17" s="2442" t="s">
        <v>1947</v>
      </c>
      <c r="N17" s="2463">
        <v>4.3768627498541601</v>
      </c>
      <c r="O17" s="2454">
        <v>4.5327894623117917</v>
      </c>
      <c r="R17" s="2442" t="s">
        <v>1947</v>
      </c>
      <c r="S17" s="2463">
        <v>4.081669167967231</v>
      </c>
      <c r="T17" s="2454">
        <v>4.2063088542591709</v>
      </c>
      <c r="AJ17" s="2442" t="s">
        <v>1947</v>
      </c>
      <c r="AK17" s="2463">
        <v>4.758628389690271</v>
      </c>
      <c r="AL17" s="2454">
        <v>1.7457302392670631</v>
      </c>
    </row>
    <row r="18" spans="7:38" ht="17.25" thickBot="1">
      <c r="G18" s="2442" t="s">
        <v>1845</v>
      </c>
      <c r="H18" s="2463">
        <v>12.949143875051034</v>
      </c>
      <c r="I18" s="2454">
        <v>13.246006305173269</v>
      </c>
      <c r="M18" s="2442" t="s">
        <v>1845</v>
      </c>
      <c r="N18" s="2463">
        <v>12.949143875051034</v>
      </c>
      <c r="O18" s="2454">
        <v>13.379327018023192</v>
      </c>
      <c r="R18" s="2442" t="s">
        <v>1845</v>
      </c>
      <c r="S18" s="2463">
        <v>11.967261126793961</v>
      </c>
      <c r="T18" s="2454">
        <v>12.230902357822092</v>
      </c>
      <c r="AJ18" s="2442" t="s">
        <v>1845</v>
      </c>
      <c r="AK18" s="2463">
        <v>14.513759188218867</v>
      </c>
      <c r="AL18" s="2454">
        <v>7.8302385711865812</v>
      </c>
    </row>
    <row r="19" spans="7:38" ht="17.25" thickBot="1">
      <c r="G19" s="2474" t="s">
        <v>1649</v>
      </c>
      <c r="H19" s="2475"/>
      <c r="I19" s="2476"/>
      <c r="M19" s="2485" t="s">
        <v>1649</v>
      </c>
      <c r="N19" s="2486"/>
      <c r="O19" s="2477"/>
      <c r="R19" s="2485" t="s">
        <v>1649</v>
      </c>
      <c r="S19" s="2486"/>
      <c r="T19" s="2477"/>
      <c r="AJ19" s="2510" t="s">
        <v>1649</v>
      </c>
      <c r="AK19" s="2511"/>
      <c r="AL19" s="2512"/>
    </row>
    <row r="20" spans="7:38" ht="16.5">
      <c r="G20" s="2443" t="s">
        <v>1650</v>
      </c>
      <c r="H20" s="2464"/>
      <c r="I20" s="2455"/>
      <c r="M20" s="2443" t="s">
        <v>1650</v>
      </c>
      <c r="N20" s="2464"/>
      <c r="O20" s="2455"/>
      <c r="R20" s="2443" t="s">
        <v>1650</v>
      </c>
      <c r="S20" s="2464"/>
      <c r="T20" s="2455"/>
      <c r="AJ20" s="2443" t="s">
        <v>1650</v>
      </c>
      <c r="AK20" s="2464"/>
      <c r="AL20" s="2455"/>
    </row>
    <row r="21" spans="7:38" ht="16.5">
      <c r="G21" s="2432" t="s">
        <v>1506</v>
      </c>
      <c r="H21" s="2465">
        <v>6.8038398323951874</v>
      </c>
      <c r="I21" s="2465">
        <v>6.7656687217141265</v>
      </c>
      <c r="M21" s="2432" t="s">
        <v>1506</v>
      </c>
      <c r="N21" s="2465">
        <v>6.8038398323951874</v>
      </c>
      <c r="O21" s="2465">
        <v>6.6778161233708975</v>
      </c>
      <c r="R21" s="2432" t="s">
        <v>1506</v>
      </c>
      <c r="S21" s="2465">
        <v>6.8705345649079357</v>
      </c>
      <c r="T21" s="2465">
        <v>6.7219472503239244</v>
      </c>
      <c r="AJ21" s="2432" t="s">
        <v>1506</v>
      </c>
      <c r="AK21" s="2465">
        <v>6.3183065781626873</v>
      </c>
      <c r="AL21" s="2465">
        <v>6.6397213062173748</v>
      </c>
    </row>
    <row r="22" spans="7:38" ht="16.5">
      <c r="G22" s="2432" t="s">
        <v>1507</v>
      </c>
      <c r="H22" s="2465">
        <v>7.0719040273188032</v>
      </c>
      <c r="I22" s="2465">
        <v>7.0306416953096749</v>
      </c>
      <c r="M22" s="2432" t="s">
        <v>1507</v>
      </c>
      <c r="N22" s="2465">
        <v>7.0719040273188032</v>
      </c>
      <c r="O22" s="2465">
        <v>6.9311925861740429</v>
      </c>
      <c r="R22" s="2432" t="s">
        <v>1507</v>
      </c>
      <c r="S22" s="2465">
        <v>7.1420576945377405</v>
      </c>
      <c r="T22" s="2465">
        <v>6.9784355430382119</v>
      </c>
      <c r="AJ22" s="2432" t="s">
        <v>1507</v>
      </c>
      <c r="AK22" s="2465">
        <v>6.5192198972232047</v>
      </c>
      <c r="AL22" s="2465">
        <v>7.1101243974516617</v>
      </c>
    </row>
    <row r="23" spans="7:38" ht="16.5">
      <c r="G23" s="2444" t="s">
        <v>1651</v>
      </c>
      <c r="H23" s="2464"/>
      <c r="I23" s="2465"/>
      <c r="M23" s="2444" t="s">
        <v>1651</v>
      </c>
      <c r="N23" s="2464"/>
      <c r="O23" s="2465"/>
      <c r="R23" s="2444" t="s">
        <v>1651</v>
      </c>
      <c r="S23" s="2464"/>
      <c r="T23" s="2465"/>
      <c r="AJ23" s="2444" t="s">
        <v>1651</v>
      </c>
      <c r="AK23" s="2464"/>
      <c r="AL23" s="2465"/>
    </row>
    <row r="24" spans="7:38" ht="16.5">
      <c r="G24" s="2432" t="s">
        <v>1506</v>
      </c>
      <c r="H24" s="2465">
        <v>5.8477517619136936</v>
      </c>
      <c r="I24" s="2465">
        <v>5.8164729420035792</v>
      </c>
      <c r="M24" s="2432" t="s">
        <v>1506</v>
      </c>
      <c r="N24" s="2465">
        <v>5.8477517619136936</v>
      </c>
      <c r="O24" s="2465">
        <v>5.6768812580422505</v>
      </c>
      <c r="R24" s="2432" t="s">
        <v>1506</v>
      </c>
      <c r="S24" s="2465">
        <v>5.7647680161498061</v>
      </c>
      <c r="T24" s="2465">
        <v>5.5217798958963007</v>
      </c>
      <c r="AJ24" s="2432" t="s">
        <v>1506</v>
      </c>
      <c r="AK24" s="2465">
        <v>5.1109153678362667</v>
      </c>
      <c r="AL24" s="2465">
        <v>4.1315737934374015</v>
      </c>
    </row>
    <row r="25" spans="7:38" ht="17.25" thickBot="1">
      <c r="G25" s="2445" t="s">
        <v>1507</v>
      </c>
      <c r="H25" s="2465">
        <v>6.1149896168975451</v>
      </c>
      <c r="I25" s="2465">
        <v>6.0752556671131899</v>
      </c>
      <c r="M25" s="2445" t="s">
        <v>1507</v>
      </c>
      <c r="N25" s="2465">
        <v>6.1149896168975451</v>
      </c>
      <c r="O25" s="2465">
        <v>5.9008694678290423</v>
      </c>
      <c r="R25" s="2445" t="s">
        <v>1507</v>
      </c>
      <c r="S25" s="2465">
        <v>6.0488359775612821</v>
      </c>
      <c r="T25" s="2465">
        <v>5.7157811667551286</v>
      </c>
      <c r="AJ25" s="2445" t="s">
        <v>1507</v>
      </c>
      <c r="AK25" s="2465">
        <v>5.1457567277438265</v>
      </c>
      <c r="AL25" s="2465">
        <v>4.1315737934374015</v>
      </c>
    </row>
    <row r="26" spans="7:38" ht="17.25" thickBot="1">
      <c r="G26" s="2474" t="s">
        <v>1654</v>
      </c>
      <c r="H26" s="2466"/>
      <c r="I26" s="2456"/>
      <c r="M26" s="2485" t="s">
        <v>1654</v>
      </c>
      <c r="N26" s="2486"/>
      <c r="O26" s="2477"/>
      <c r="R26" s="2485" t="s">
        <v>1654</v>
      </c>
      <c r="S26" s="2486"/>
      <c r="T26" s="2477"/>
      <c r="AJ26" s="2510" t="s">
        <v>1654</v>
      </c>
      <c r="AK26" s="2511"/>
      <c r="AL26" s="2512"/>
    </row>
    <row r="27" spans="7:38" ht="16.5">
      <c r="G27" s="2446" t="s">
        <v>1652</v>
      </c>
      <c r="H27" s="2467">
        <v>1244655020.1302609</v>
      </c>
      <c r="I27" s="2453">
        <v>1172622057.854753</v>
      </c>
      <c r="M27" s="2446" t="s">
        <v>1652</v>
      </c>
      <c r="N27" s="2467">
        <v>1244655020.1302609</v>
      </c>
      <c r="O27" s="2453">
        <v>1091910109.7463675</v>
      </c>
      <c r="R27" s="2446" t="s">
        <v>1652</v>
      </c>
      <c r="S27" s="2467">
        <v>838495072.01727188</v>
      </c>
      <c r="T27" s="2453">
        <v>696038589.3283571</v>
      </c>
      <c r="AJ27" s="2446" t="s">
        <v>1652</v>
      </c>
      <c r="AK27" s="2467">
        <v>1092059402.9591074</v>
      </c>
      <c r="AL27" s="2453">
        <v>1101558806.102258</v>
      </c>
    </row>
    <row r="28" spans="7:38" ht="16.5">
      <c r="G28" s="2446" t="s">
        <v>1653</v>
      </c>
      <c r="H28" s="2467">
        <v>2904195046.9706087</v>
      </c>
      <c r="I28" s="2453">
        <v>2736118134.9944239</v>
      </c>
      <c r="M28" s="2446" t="s">
        <v>1653</v>
      </c>
      <c r="N28" s="2467">
        <v>2904195046.9706087</v>
      </c>
      <c r="O28" s="2453">
        <v>2547790256.0748572</v>
      </c>
      <c r="R28" s="2446" t="s">
        <v>1653</v>
      </c>
      <c r="S28" s="2467">
        <v>1956488501.3736343</v>
      </c>
      <c r="T28" s="2453">
        <v>1624090041.7661667</v>
      </c>
      <c r="AJ28" s="2446" t="s">
        <v>1653</v>
      </c>
      <c r="AK28" s="2467">
        <v>2548138606.9045839</v>
      </c>
      <c r="AL28" s="2453">
        <v>2570303880.9052672</v>
      </c>
    </row>
    <row r="29" spans="7:38" ht="17.25" thickBot="1">
      <c r="G29" s="2447" t="s">
        <v>1656</v>
      </c>
      <c r="H29" s="2468">
        <f>SUM(H27:H28)</f>
        <v>4148850067.1008697</v>
      </c>
      <c r="I29" s="2457">
        <f>SUM(I27:I28)</f>
        <v>3908740192.8491769</v>
      </c>
      <c r="M29" s="2447" t="s">
        <v>1656</v>
      </c>
      <c r="N29" s="2468">
        <f>SUM(N27:N28)</f>
        <v>4148850067.1008697</v>
      </c>
      <c r="O29" s="2457">
        <f>SUM(O27:O28)</f>
        <v>3639700365.8212247</v>
      </c>
      <c r="R29" s="2447" t="s">
        <v>1656</v>
      </c>
      <c r="S29" s="2468">
        <f>SUM(S27:S28)</f>
        <v>2794983573.3909063</v>
      </c>
      <c r="T29" s="2457">
        <f>SUM(T27:T28)</f>
        <v>2320128631.0945239</v>
      </c>
      <c r="AJ29" s="2447" t="s">
        <v>1656</v>
      </c>
      <c r="AK29" s="2468">
        <v>3640198009.8636913</v>
      </c>
      <c r="AL29" s="2457">
        <v>3671862687.0075254</v>
      </c>
    </row>
    <row r="30" spans="7:38" ht="17.25" thickBot="1">
      <c r="G30" s="2474" t="s">
        <v>1655</v>
      </c>
      <c r="H30" s="2475"/>
      <c r="I30" s="2477"/>
      <c r="M30" s="2485" t="s">
        <v>1655</v>
      </c>
      <c r="N30" s="2486"/>
      <c r="O30" s="2477"/>
      <c r="R30" s="2485" t="s">
        <v>1655</v>
      </c>
      <c r="S30" s="2486"/>
      <c r="T30" s="2477"/>
      <c r="AJ30" s="2510" t="s">
        <v>1655</v>
      </c>
      <c r="AK30" s="2511"/>
      <c r="AL30" s="2512"/>
    </row>
    <row r="31" spans="7:38" ht="16.5">
      <c r="G31" s="2431" t="s">
        <v>1657</v>
      </c>
      <c r="H31" s="2461">
        <v>2090358328.7499998</v>
      </c>
      <c r="I31" s="2458">
        <v>1874358328.7499998</v>
      </c>
      <c r="M31" s="2431" t="s">
        <v>1657</v>
      </c>
      <c r="N31" s="2461">
        <v>2090358328.7499998</v>
      </c>
      <c r="O31" s="2458">
        <v>1632431709.9999998</v>
      </c>
      <c r="R31" s="2431" t="s">
        <v>1657</v>
      </c>
      <c r="S31" s="2461">
        <v>1986514578.7499998</v>
      </c>
      <c r="T31" s="2458">
        <v>1560031709.9999998</v>
      </c>
      <c r="AJ31" s="2431" t="s">
        <v>1657</v>
      </c>
      <c r="AK31" s="2461">
        <v>1213979145</v>
      </c>
      <c r="AL31" s="2458">
        <v>1213979145</v>
      </c>
    </row>
    <row r="32" spans="7:38" ht="16.5">
      <c r="G32" s="2432" t="s">
        <v>1658</v>
      </c>
      <c r="H32" s="2461">
        <v>1225105496.25</v>
      </c>
      <c r="I32" s="2453">
        <v>1225105496.25</v>
      </c>
      <c r="M32" s="2432" t="s">
        <v>1658</v>
      </c>
      <c r="N32" s="2461">
        <v>1225105496.25</v>
      </c>
      <c r="O32" s="2453">
        <v>1224805496.25</v>
      </c>
      <c r="R32" s="2432" t="s">
        <v>1658</v>
      </c>
      <c r="S32" s="2461">
        <v>0</v>
      </c>
      <c r="T32" s="2453">
        <v>0</v>
      </c>
      <c r="AJ32" s="2432" t="s">
        <v>1658</v>
      </c>
      <c r="AK32" s="2461">
        <v>875737752.5</v>
      </c>
      <c r="AL32" s="2453">
        <v>875737752.5</v>
      </c>
    </row>
    <row r="33" spans="7:38" ht="16.5">
      <c r="G33" s="2432" t="s">
        <v>1660</v>
      </c>
      <c r="H33" s="2461">
        <v>524052255</v>
      </c>
      <c r="I33" s="2453">
        <v>524052255</v>
      </c>
      <c r="M33" s="2432" t="s">
        <v>1660</v>
      </c>
      <c r="N33" s="2461">
        <v>524052255</v>
      </c>
      <c r="O33" s="2453">
        <v>524052255</v>
      </c>
      <c r="R33" s="2432" t="s">
        <v>1660</v>
      </c>
      <c r="S33" s="2461">
        <v>523752255</v>
      </c>
      <c r="T33" s="2453">
        <v>523752255</v>
      </c>
      <c r="AJ33" s="2432" t="s">
        <v>1660</v>
      </c>
      <c r="AK33" s="2461">
        <v>1261526980</v>
      </c>
      <c r="AL33" s="2040">
        <v>1261526980</v>
      </c>
    </row>
    <row r="34" spans="7:38" ht="16.5">
      <c r="G34" s="2432" t="s">
        <v>221</v>
      </c>
      <c r="H34" s="2461">
        <v>280292036.63116425</v>
      </c>
      <c r="I34" s="2453">
        <v>257862931.49923322</v>
      </c>
      <c r="M34" s="2432" t="s">
        <v>221</v>
      </c>
      <c r="N34" s="2461">
        <v>280292036.63116425</v>
      </c>
      <c r="O34" s="2453">
        <v>232933002.01047605</v>
      </c>
      <c r="R34" s="2432" t="s">
        <v>221</v>
      </c>
      <c r="S34" s="2461">
        <v>265151854.62717015</v>
      </c>
      <c r="T34" s="2453">
        <v>220103765.676862</v>
      </c>
      <c r="AJ34" s="2432" t="s">
        <v>221</v>
      </c>
      <c r="AK34" s="2461">
        <v>263472746.29464549</v>
      </c>
      <c r="AL34" s="2461">
        <v>291702890.84734136</v>
      </c>
    </row>
    <row r="35" spans="7:38" ht="16.5">
      <c r="G35" s="2432" t="s">
        <v>222</v>
      </c>
      <c r="H35" s="2461">
        <v>29041950.469706107</v>
      </c>
      <c r="I35" s="2453">
        <v>27361181.349944249</v>
      </c>
      <c r="M35" s="2432" t="s">
        <v>222</v>
      </c>
      <c r="N35" s="2461">
        <v>29041950.469706107</v>
      </c>
      <c r="O35" s="2453">
        <v>25477902.560748566</v>
      </c>
      <c r="R35" s="2432" t="s">
        <v>222</v>
      </c>
      <c r="S35" s="2461">
        <v>19564885.013736352</v>
      </c>
      <c r="T35" s="2453">
        <v>16240900.417661656</v>
      </c>
      <c r="AJ35" s="2432" t="s">
        <v>222</v>
      </c>
      <c r="AK35" s="2461">
        <v>25481386.069045853</v>
      </c>
      <c r="AL35" s="2461">
        <v>28915918.660184287</v>
      </c>
    </row>
    <row r="36" spans="7:38" ht="17.25" thickBot="1">
      <c r="G36" s="2434" t="s">
        <v>2056</v>
      </c>
      <c r="H36" s="2469">
        <f>SUM(H31:H35)</f>
        <v>4148850067.1008701</v>
      </c>
      <c r="I36" s="2459">
        <f>SUM(I31:I35)</f>
        <v>3908740192.8491774</v>
      </c>
      <c r="M36" s="2434" t="s">
        <v>2056</v>
      </c>
      <c r="N36" s="2469">
        <f>SUM(N31:N35)</f>
        <v>4148850067.1008701</v>
      </c>
      <c r="O36" s="2459">
        <f>SUM(O31:O35)</f>
        <v>3639700365.8212247</v>
      </c>
      <c r="R36" s="2434" t="s">
        <v>2056</v>
      </c>
      <c r="S36" s="2459">
        <f>SUM(S31:S35)</f>
        <v>2794983573.3909063</v>
      </c>
      <c r="T36" s="2459">
        <f>SUM(T31:T35)</f>
        <v>2320128631.0945234</v>
      </c>
      <c r="AJ36" s="2434" t="s">
        <v>2056</v>
      </c>
      <c r="AK36" s="2469">
        <f>SUM(AK31:AK35)</f>
        <v>3640198009.8636913</v>
      </c>
      <c r="AL36" s="2459">
        <f>SUM(AL31:AL35)</f>
        <v>3671862687.0075259</v>
      </c>
    </row>
    <row r="37" spans="7:38" ht="17.25" thickBot="1">
      <c r="G37" s="2474" t="s">
        <v>909</v>
      </c>
      <c r="H37" s="2475"/>
      <c r="I37" s="2478"/>
      <c r="M37" s="2485" t="s">
        <v>909</v>
      </c>
      <c r="N37" s="2486"/>
      <c r="O37" s="2477"/>
      <c r="R37" s="2485" t="s">
        <v>909</v>
      </c>
      <c r="S37" s="2486"/>
      <c r="T37" s="2477"/>
      <c r="AJ37" s="2510" t="s">
        <v>909</v>
      </c>
      <c r="AK37" s="2511"/>
      <c r="AL37" s="2512"/>
    </row>
    <row r="38" spans="7:38" ht="18.75" thickBot="1">
      <c r="G38" s="2433"/>
      <c r="H38" s="2430">
        <v>21019680772.581497</v>
      </c>
      <c r="I38" s="2440">
        <v>22833700239.611343</v>
      </c>
      <c r="M38" s="2433"/>
      <c r="N38" s="2430">
        <v>21019680772.581497</v>
      </c>
      <c r="O38" s="2440">
        <v>16010312573.995113</v>
      </c>
      <c r="R38" s="2433"/>
      <c r="S38" s="2430">
        <v>15101207992.524628</v>
      </c>
      <c r="T38" s="2440">
        <v>10171050468.389847</v>
      </c>
      <c r="AJ38" s="2433"/>
      <c r="AK38" s="2430">
        <v>17104921032.592207</v>
      </c>
      <c r="AL38" s="2440">
        <v>17010271986.856657</v>
      </c>
    </row>
  </sheetData>
  <mergeCells count="2">
    <mergeCell ref="M2:O2"/>
    <mergeCell ref="R2:T2"/>
  </mergeCells>
  <pageMargins left="0.7" right="0.7" top="0.75" bottom="0.75" header="0.3" footer="0.3"/>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tabColor theme="5" tint="0.39997558519241921"/>
  </sheetPr>
  <dimension ref="A1:AK521"/>
  <sheetViews>
    <sheetView zoomScaleNormal="131" zoomScaleSheetLayoutView="72" workbookViewId="0">
      <selection activeCell="B5" sqref="B5"/>
    </sheetView>
  </sheetViews>
  <sheetFormatPr defaultColWidth="9.14453125" defaultRowHeight="10.5"/>
  <cols>
    <col min="1" max="1" width="3.49609375" style="2" customWidth="1"/>
    <col min="2" max="2" width="23.5390625" style="2" customWidth="1"/>
    <col min="3" max="3" width="9.01171875" style="2" customWidth="1"/>
    <col min="4" max="4" width="12.5078125" style="2" customWidth="1"/>
    <col min="5" max="5" width="15.06640625" style="2" customWidth="1"/>
    <col min="6" max="6" width="11.56640625" style="2" customWidth="1"/>
    <col min="7" max="7" width="2.6875" style="2" customWidth="1"/>
    <col min="8" max="8" width="3.09375" style="2" customWidth="1"/>
    <col min="9" max="9" width="23.5390625" style="2" customWidth="1"/>
    <col min="10" max="10" width="1.61328125" style="2" customWidth="1"/>
    <col min="11" max="11" width="7.6640625" style="2" customWidth="1"/>
    <col min="12" max="12" width="9.14453125" style="2" customWidth="1"/>
    <col min="13" max="13" width="15.06640625" style="2" customWidth="1"/>
    <col min="14" max="14" width="16.41015625" style="2" customWidth="1"/>
    <col min="15" max="15" width="14.9296875" style="2" customWidth="1"/>
    <col min="16" max="16" width="9.14453125" style="2"/>
    <col min="17" max="17" width="16.0078125" style="2" customWidth="1"/>
    <col min="18" max="16384" width="9.14453125" style="2"/>
  </cols>
  <sheetData>
    <row r="1" spans="1:37" s="2714" customFormat="1" ht="14.25">
      <c r="A1" s="3263" t="s">
        <v>1272</v>
      </c>
      <c r="B1" s="3264"/>
      <c r="C1" s="3264"/>
      <c r="D1" s="3264"/>
      <c r="E1" s="3264"/>
      <c r="F1" s="3264"/>
      <c r="G1" s="3264"/>
      <c r="H1" s="3264"/>
      <c r="I1" s="3264"/>
      <c r="J1" s="3264"/>
      <c r="K1" s="3264"/>
      <c r="L1" s="3264"/>
      <c r="M1" s="3264"/>
      <c r="N1" s="3264"/>
      <c r="O1" s="3264"/>
    </row>
    <row r="2" spans="1:37" s="135" customFormat="1" ht="11.25">
      <c r="A2" s="2711" t="s">
        <v>2397</v>
      </c>
      <c r="B2" s="2711"/>
      <c r="C2" s="2714"/>
      <c r="D2" s="2711"/>
      <c r="E2" s="2704"/>
      <c r="F2" s="2704"/>
      <c r="G2" s="2704"/>
      <c r="H2" s="2704"/>
      <c r="I2" s="2704"/>
      <c r="J2" s="2704"/>
      <c r="K2" s="2704"/>
      <c r="L2" s="2704"/>
      <c r="M2" s="2704"/>
      <c r="N2" s="2704"/>
      <c r="O2" s="2704"/>
      <c r="Q2" s="2714"/>
      <c r="R2" s="2714"/>
      <c r="S2" s="2714"/>
      <c r="T2" s="2714"/>
      <c r="U2" s="2714"/>
      <c r="V2" s="2714"/>
      <c r="W2" s="2714"/>
      <c r="X2" s="2714"/>
      <c r="Y2" s="2714"/>
      <c r="Z2" s="2714"/>
      <c r="AA2" s="2714"/>
      <c r="AB2" s="2714"/>
      <c r="AC2" s="2714"/>
      <c r="AD2" s="2714"/>
      <c r="AE2" s="2714"/>
      <c r="AF2" s="2714"/>
      <c r="AG2" s="2714"/>
      <c r="AH2" s="2714"/>
      <c r="AI2" s="2714"/>
      <c r="AJ2" s="2714"/>
      <c r="AK2" s="2714"/>
    </row>
    <row r="3" spans="1:37" s="135" customFormat="1" ht="11.25">
      <c r="A3" s="2711" t="s">
        <v>2395</v>
      </c>
      <c r="B3" s="2704"/>
      <c r="C3" s="2714"/>
      <c r="D3" s="2711"/>
      <c r="E3" s="2704"/>
      <c r="F3" s="2704"/>
      <c r="G3" s="2704"/>
      <c r="H3" s="2704"/>
      <c r="I3" s="2704"/>
      <c r="J3" s="2704"/>
      <c r="K3" s="2704"/>
      <c r="L3" s="2704"/>
      <c r="M3" s="2704"/>
      <c r="N3" s="2704"/>
      <c r="O3" s="2704"/>
      <c r="Q3" s="2719"/>
      <c r="R3" s="2719"/>
      <c r="S3" s="2719"/>
      <c r="T3" s="2719"/>
      <c r="U3" s="2719"/>
      <c r="V3" s="2719"/>
      <c r="W3" s="2719"/>
      <c r="X3" s="2719"/>
      <c r="Y3" s="2719"/>
      <c r="Z3" s="2719"/>
      <c r="AA3" s="2719"/>
      <c r="AB3" s="2719"/>
      <c r="AC3" s="2719"/>
      <c r="AD3" s="2719"/>
      <c r="AE3" s="2719"/>
      <c r="AF3" s="2719"/>
      <c r="AG3" s="2719"/>
      <c r="AH3" s="2719"/>
      <c r="AI3" s="2719"/>
      <c r="AJ3" s="2714"/>
      <c r="AK3" s="2714"/>
    </row>
    <row r="4" spans="1:37" s="135" customFormat="1" ht="11.25">
      <c r="A4" s="2704" t="s">
        <v>849</v>
      </c>
      <c r="B4" s="2704"/>
      <c r="C4" s="2720"/>
      <c r="D4" s="2711"/>
      <c r="E4" s="2704"/>
      <c r="F4" s="2704"/>
      <c r="G4" s="2704"/>
      <c r="H4" s="2704"/>
      <c r="I4" s="2704"/>
      <c r="J4" s="2704"/>
      <c r="K4" s="2704"/>
      <c r="L4" s="2704"/>
      <c r="M4" s="2704"/>
      <c r="N4" s="2704"/>
      <c r="O4" s="2704"/>
      <c r="Q4" s="2719"/>
      <c r="R4" s="2719"/>
      <c r="S4" s="2719"/>
      <c r="T4" s="2719"/>
      <c r="U4" s="2719"/>
      <c r="V4" s="2719"/>
      <c r="W4" s="2719"/>
      <c r="X4" s="2719"/>
      <c r="Y4" s="2719"/>
      <c r="Z4" s="2719"/>
      <c r="AA4" s="2719"/>
      <c r="AB4" s="2719"/>
      <c r="AC4" s="2719"/>
      <c r="AD4" s="2719"/>
      <c r="AE4" s="2719"/>
      <c r="AF4" s="2719"/>
      <c r="AG4" s="2719"/>
      <c r="AH4" s="2719"/>
      <c r="AI4" s="2719"/>
      <c r="AJ4" s="2714"/>
      <c r="AK4" s="2714"/>
    </row>
    <row r="5" spans="1:37" s="135" customFormat="1" ht="11.25">
      <c r="A5" s="2704" t="s">
        <v>640</v>
      </c>
      <c r="B5" s="2704"/>
      <c r="C5" s="2723"/>
      <c r="D5" s="2711"/>
      <c r="E5" s="2704"/>
      <c r="F5" s="2704"/>
      <c r="G5" s="2704"/>
      <c r="H5" s="2704"/>
      <c r="I5" s="2704"/>
      <c r="J5" s="2704"/>
      <c r="K5" s="2704"/>
      <c r="L5" s="2704"/>
      <c r="M5" s="2704"/>
      <c r="N5" s="2704"/>
      <c r="O5" s="2704"/>
      <c r="Q5" s="2714"/>
      <c r="R5" s="2714"/>
      <c r="S5" s="2714"/>
      <c r="T5" s="2714"/>
      <c r="U5" s="2714"/>
      <c r="V5" s="2714"/>
      <c r="W5" s="2714"/>
      <c r="X5" s="2714"/>
      <c r="Y5" s="2714"/>
      <c r="Z5" s="2714"/>
      <c r="AA5" s="2714"/>
      <c r="AB5" s="2714"/>
      <c r="AC5" s="2714"/>
      <c r="AD5" s="2714"/>
      <c r="AE5" s="2714"/>
      <c r="AF5" s="2714"/>
      <c r="AG5" s="2714"/>
      <c r="AH5" s="2714"/>
      <c r="AI5" s="2714"/>
      <c r="AJ5" s="2714"/>
      <c r="AK5" s="2714"/>
    </row>
    <row r="6" spans="1:37" ht="11.25" thickBot="1">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row>
    <row r="7" spans="1:37">
      <c r="A7" s="5"/>
      <c r="B7" s="6" t="s">
        <v>561</v>
      </c>
      <c r="C7" s="9"/>
      <c r="D7" s="9"/>
      <c r="E7" s="9"/>
      <c r="F7" s="9"/>
      <c r="I7" s="281" t="s">
        <v>549</v>
      </c>
      <c r="J7" s="282"/>
      <c r="K7" s="282"/>
      <c r="L7" s="282"/>
      <c r="M7" s="282"/>
      <c r="N7" s="282"/>
      <c r="O7" s="283"/>
      <c r="P7" s="5"/>
      <c r="Q7" s="5"/>
      <c r="R7" s="5"/>
      <c r="S7" s="5"/>
      <c r="T7" s="5"/>
      <c r="U7" s="5"/>
      <c r="V7" s="5"/>
      <c r="W7" s="5"/>
      <c r="X7" s="5"/>
      <c r="Y7" s="5"/>
      <c r="Z7" s="5"/>
      <c r="AA7" s="5"/>
      <c r="AB7" s="5"/>
      <c r="AC7" s="5"/>
      <c r="AD7" s="5"/>
      <c r="AE7" s="5"/>
      <c r="AF7" s="5"/>
      <c r="AG7" s="5"/>
      <c r="AH7" s="5"/>
      <c r="AI7" s="5"/>
      <c r="AJ7" s="5"/>
      <c r="AK7" s="5"/>
    </row>
    <row r="8" spans="1:37">
      <c r="A8" s="5"/>
      <c r="B8" s="5"/>
      <c r="C8" s="5"/>
      <c r="D8" s="5"/>
      <c r="E8" s="5"/>
      <c r="F8" s="5"/>
      <c r="G8" s="5"/>
      <c r="H8" s="5"/>
      <c r="I8" s="284"/>
      <c r="J8" s="1208"/>
      <c r="K8" s="1208"/>
      <c r="L8" s="1208"/>
      <c r="M8" s="1208"/>
      <c r="N8" s="1208"/>
      <c r="O8" s="285"/>
      <c r="P8" s="5"/>
      <c r="Q8" s="5"/>
      <c r="R8" s="5"/>
      <c r="S8" s="5"/>
      <c r="T8" s="5"/>
      <c r="U8" s="5"/>
      <c r="V8" s="5"/>
      <c r="W8" s="5"/>
      <c r="X8" s="5"/>
      <c r="Y8" s="5"/>
      <c r="Z8" s="5"/>
      <c r="AA8" s="5"/>
      <c r="AB8" s="5"/>
      <c r="AC8" s="5"/>
      <c r="AD8" s="5"/>
      <c r="AE8" s="5"/>
      <c r="AF8" s="5"/>
      <c r="AG8" s="5"/>
      <c r="AH8" s="5"/>
      <c r="AI8" s="5"/>
      <c r="AJ8" s="5"/>
      <c r="AK8" s="5"/>
    </row>
    <row r="9" spans="1:37">
      <c r="A9" s="5"/>
      <c r="B9" s="50" t="s">
        <v>562</v>
      </c>
      <c r="E9" s="82" t="s">
        <v>31</v>
      </c>
      <c r="F9" s="82" t="s">
        <v>563</v>
      </c>
      <c r="G9" s="5"/>
      <c r="H9" s="5"/>
      <c r="I9" s="286" t="s">
        <v>564</v>
      </c>
      <c r="J9" s="1208"/>
      <c r="K9" s="1208"/>
      <c r="L9" s="489"/>
      <c r="M9" s="489"/>
      <c r="N9" s="1209" t="s">
        <v>558</v>
      </c>
      <c r="O9" s="287" t="s">
        <v>559</v>
      </c>
      <c r="P9" s="5"/>
      <c r="Q9" s="5"/>
      <c r="R9" s="5"/>
      <c r="S9" s="5"/>
      <c r="T9" s="5"/>
      <c r="U9" s="5"/>
      <c r="V9" s="5"/>
      <c r="W9" s="5"/>
      <c r="X9" s="5"/>
      <c r="Y9" s="5"/>
      <c r="Z9" s="5"/>
      <c r="AA9" s="5"/>
      <c r="AB9" s="5"/>
      <c r="AC9" s="5"/>
      <c r="AD9" s="5"/>
      <c r="AE9" s="5"/>
      <c r="AF9" s="5"/>
      <c r="AG9" s="5"/>
      <c r="AH9" s="5"/>
      <c r="AI9" s="5"/>
      <c r="AJ9" s="5"/>
      <c r="AK9" s="5"/>
    </row>
    <row r="10" spans="1:37">
      <c r="A10" s="5"/>
      <c r="B10" s="2" t="s">
        <v>1</v>
      </c>
      <c r="C10" s="15" t="s">
        <v>41</v>
      </c>
      <c r="D10" s="5"/>
      <c r="E10" s="35">
        <f>Const_start</f>
        <v>46023</v>
      </c>
      <c r="F10" s="35">
        <f>Ops_start</f>
        <v>47119</v>
      </c>
      <c r="G10" s="5"/>
      <c r="H10" s="5"/>
      <c r="I10" s="258" t="s">
        <v>521</v>
      </c>
      <c r="J10" s="1208"/>
      <c r="K10" s="1210" t="str">
        <f>IF('Input '!$F$9=1,"US$","=N=")</f>
        <v>US$</v>
      </c>
      <c r="L10" s="489"/>
      <c r="M10" s="489"/>
      <c r="N10" s="191">
        <f ca="1">Valuation!D92</f>
        <v>12395601380.905083</v>
      </c>
      <c r="O10" s="288">
        <f ca="1">IFERROR(Valuation!D93,Valuation!D94)</f>
        <v>0.27222468570640945</v>
      </c>
      <c r="P10" s="5"/>
      <c r="Q10" s="5"/>
      <c r="R10" s="5"/>
      <c r="S10" s="5"/>
      <c r="T10" s="5"/>
      <c r="U10" s="5"/>
      <c r="V10" s="5"/>
      <c r="W10" s="5"/>
      <c r="X10" s="5"/>
      <c r="Y10" s="5"/>
      <c r="Z10" s="5"/>
      <c r="AA10" s="5"/>
      <c r="AB10" s="5"/>
      <c r="AC10" s="5"/>
      <c r="AD10" s="5"/>
      <c r="AE10" s="5"/>
      <c r="AF10" s="5"/>
      <c r="AG10" s="5"/>
      <c r="AH10" s="5"/>
      <c r="AI10" s="5"/>
      <c r="AJ10" s="5"/>
      <c r="AK10" s="5"/>
    </row>
    <row r="11" spans="1:37">
      <c r="A11" s="5"/>
      <c r="B11" s="2" t="s">
        <v>33</v>
      </c>
      <c r="C11" s="15" t="s">
        <v>48</v>
      </c>
      <c r="D11" s="191"/>
      <c r="E11" s="53">
        <f>Const_duration</f>
        <v>36</v>
      </c>
      <c r="F11" s="5">
        <f>Ops_duration</f>
        <v>27</v>
      </c>
      <c r="G11" s="5"/>
      <c r="H11" s="5"/>
      <c r="I11" s="258" t="s">
        <v>526</v>
      </c>
      <c r="J11" s="191"/>
      <c r="K11" s="194" t="str">
        <f>$K$10</f>
        <v>US$</v>
      </c>
      <c r="L11" s="489"/>
      <c r="M11" s="489"/>
      <c r="N11" s="191">
        <f ca="1">Valuation!E50</f>
        <v>8189883598.9666405</v>
      </c>
      <c r="O11" s="288">
        <f ca="1">IFERROR(Valuation!E51,Valuation!E52)</f>
        <v>0.23775777553507305</v>
      </c>
      <c r="P11" s="191"/>
      <c r="Q11" s="191"/>
      <c r="R11" s="191"/>
      <c r="S11" s="191"/>
      <c r="T11" s="191"/>
      <c r="U11" s="191"/>
      <c r="V11" s="191"/>
      <c r="W11" s="191"/>
      <c r="X11" s="191"/>
      <c r="Y11" s="191"/>
      <c r="Z11" s="191"/>
      <c r="AA11" s="191"/>
      <c r="AB11" s="191"/>
      <c r="AC11" s="191"/>
      <c r="AD11" s="191"/>
      <c r="AE11" s="191"/>
      <c r="AF11" s="191"/>
      <c r="AG11" s="191"/>
      <c r="AH11" s="191"/>
      <c r="AI11" s="191"/>
      <c r="AJ11" s="5"/>
      <c r="AK11" s="5"/>
    </row>
    <row r="12" spans="1:37">
      <c r="A12" s="5"/>
      <c r="B12" s="2" t="s">
        <v>2</v>
      </c>
      <c r="C12" s="15" t="s">
        <v>41</v>
      </c>
      <c r="D12" s="191"/>
      <c r="E12" s="35">
        <f>Const_end</f>
        <v>47118</v>
      </c>
      <c r="F12" s="35">
        <f>Ops_end</f>
        <v>56979</v>
      </c>
      <c r="G12" s="5"/>
      <c r="H12" s="5"/>
      <c r="I12" s="289"/>
      <c r="J12" s="191"/>
      <c r="K12" s="194"/>
      <c r="L12" s="489"/>
      <c r="M12" s="489"/>
      <c r="N12" s="191"/>
      <c r="O12" s="290"/>
      <c r="P12" s="191"/>
      <c r="Q12" s="191"/>
      <c r="R12" s="191"/>
      <c r="S12" s="191"/>
      <c r="T12" s="191"/>
      <c r="U12" s="191"/>
      <c r="V12" s="191"/>
      <c r="W12" s="191"/>
      <c r="X12" s="191"/>
      <c r="Y12" s="191"/>
      <c r="Z12" s="191"/>
      <c r="AA12" s="191"/>
      <c r="AB12" s="191"/>
      <c r="AC12" s="191"/>
      <c r="AD12" s="191"/>
      <c r="AE12" s="191"/>
      <c r="AF12" s="191"/>
      <c r="AG12" s="191"/>
      <c r="AH12" s="191"/>
      <c r="AI12" s="191"/>
      <c r="AJ12" s="5"/>
      <c r="AK12" s="5"/>
    </row>
    <row r="13" spans="1:37">
      <c r="A13" s="5"/>
      <c r="B13" s="5"/>
      <c r="C13" s="201"/>
      <c r="D13" s="191"/>
      <c r="E13" s="5"/>
      <c r="F13" s="202"/>
      <c r="G13" s="5"/>
      <c r="H13" s="5"/>
      <c r="I13" s="286" t="s">
        <v>565</v>
      </c>
      <c r="J13" s="191"/>
      <c r="K13" s="194"/>
      <c r="L13" s="489"/>
      <c r="M13" s="489"/>
      <c r="N13" s="1209" t="s">
        <v>558</v>
      </c>
      <c r="O13" s="287" t="s">
        <v>559</v>
      </c>
      <c r="P13" s="191"/>
      <c r="Q13" s="191"/>
      <c r="R13" s="191"/>
      <c r="S13" s="191"/>
      <c r="T13" s="191"/>
      <c r="U13" s="191"/>
      <c r="V13" s="191"/>
      <c r="W13" s="191"/>
      <c r="X13" s="191"/>
      <c r="Y13" s="191"/>
      <c r="Z13" s="191"/>
      <c r="AA13" s="191"/>
      <c r="AB13" s="191"/>
      <c r="AC13" s="191"/>
      <c r="AD13" s="191"/>
      <c r="AE13" s="191"/>
      <c r="AF13" s="191"/>
      <c r="AG13" s="191"/>
      <c r="AH13" s="191"/>
      <c r="AI13" s="191"/>
      <c r="AJ13" s="5"/>
      <c r="AK13" s="5"/>
    </row>
    <row r="14" spans="1:37">
      <c r="A14" s="5"/>
      <c r="B14" s="5"/>
      <c r="C14" s="5"/>
      <c r="D14" s="5"/>
      <c r="E14" s="5"/>
      <c r="F14" s="5"/>
      <c r="G14" s="5"/>
      <c r="H14" s="5"/>
      <c r="I14" s="258" t="s">
        <v>518</v>
      </c>
      <c r="J14" s="1208"/>
      <c r="K14" s="194" t="str">
        <f>$K$10</f>
        <v>US$</v>
      </c>
      <c r="L14" s="1208"/>
      <c r="M14" s="489"/>
      <c r="N14" s="191">
        <f ca="1">Valuation!D110</f>
        <v>4219669912.7216091</v>
      </c>
      <c r="O14" s="288">
        <f ca="1">IFERROR(Valuation!D111,Valuation!D112)</f>
        <v>0.39596746177121789</v>
      </c>
      <c r="P14" s="5"/>
      <c r="Q14" s="5"/>
      <c r="R14" s="5"/>
      <c r="S14" s="5"/>
      <c r="T14" s="5"/>
      <c r="U14" s="5"/>
      <c r="V14" s="5"/>
      <c r="W14" s="5"/>
      <c r="X14" s="5"/>
      <c r="Y14" s="5"/>
      <c r="Z14" s="5"/>
      <c r="AA14" s="5"/>
      <c r="AB14" s="5"/>
      <c r="AC14" s="5"/>
      <c r="AD14" s="5"/>
      <c r="AE14" s="5"/>
      <c r="AF14" s="5"/>
      <c r="AG14" s="5"/>
      <c r="AH14" s="5"/>
      <c r="AI14" s="5"/>
      <c r="AJ14" s="5"/>
      <c r="AK14" s="5"/>
    </row>
    <row r="15" spans="1:37" ht="10.5" customHeight="1">
      <c r="A15" s="5"/>
      <c r="B15" s="6" t="s">
        <v>566</v>
      </c>
      <c r="C15" s="9"/>
      <c r="D15" s="9"/>
      <c r="E15" s="9"/>
      <c r="F15" s="9"/>
      <c r="G15" s="5"/>
      <c r="H15" s="5"/>
      <c r="I15" s="258" t="s">
        <v>519</v>
      </c>
      <c r="J15" s="1208"/>
      <c r="K15" s="194" t="str">
        <f>$K$10</f>
        <v>US$</v>
      </c>
      <c r="L15" s="1208"/>
      <c r="M15" s="489"/>
      <c r="N15" s="191">
        <f ca="1">Valuation!E72</f>
        <v>2928852920.5914397</v>
      </c>
      <c r="O15" s="288">
        <f ca="1">IFERROR(Valuation!E73,Valuation!E74)</f>
        <v>0.35058754987217089</v>
      </c>
      <c r="P15" s="5"/>
      <c r="Q15" s="5"/>
      <c r="R15" s="5"/>
      <c r="S15" s="5"/>
      <c r="T15" s="5"/>
      <c r="U15" s="5"/>
      <c r="V15" s="5"/>
      <c r="W15" s="5"/>
      <c r="X15" s="5"/>
      <c r="Y15" s="5"/>
      <c r="Z15" s="5"/>
      <c r="AA15" s="5"/>
      <c r="AB15" s="5"/>
      <c r="AC15" s="5"/>
      <c r="AD15" s="5"/>
      <c r="AE15" s="5"/>
      <c r="AF15" s="5"/>
      <c r="AG15" s="5"/>
      <c r="AH15" s="5"/>
      <c r="AI15" s="5"/>
      <c r="AJ15" s="5"/>
      <c r="AK15" s="5"/>
    </row>
    <row r="16" spans="1:37">
      <c r="A16" s="5"/>
      <c r="B16" s="5"/>
      <c r="C16" s="201"/>
      <c r="D16" s="191"/>
      <c r="E16" s="5"/>
      <c r="F16" s="5"/>
      <c r="G16" s="5"/>
      <c r="H16" s="5"/>
      <c r="I16" s="289"/>
      <c r="J16" s="191"/>
      <c r="K16" s="194"/>
      <c r="L16" s="191"/>
      <c r="M16" s="191"/>
      <c r="N16" s="191"/>
      <c r="O16" s="290"/>
      <c r="P16" s="191"/>
      <c r="Q16" s="191"/>
      <c r="R16" s="191"/>
      <c r="S16" s="191"/>
      <c r="T16" s="191"/>
      <c r="U16" s="191"/>
      <c r="V16" s="191"/>
      <c r="W16" s="191"/>
      <c r="X16" s="191"/>
      <c r="Y16" s="191"/>
      <c r="Z16" s="191"/>
      <c r="AA16" s="191"/>
      <c r="AB16" s="191"/>
      <c r="AC16" s="191"/>
      <c r="AD16" s="191"/>
      <c r="AE16" s="191"/>
      <c r="AF16" s="191"/>
      <c r="AG16" s="191"/>
      <c r="AH16" s="191"/>
      <c r="AI16" s="191"/>
      <c r="AJ16" s="5"/>
      <c r="AK16" s="5"/>
    </row>
    <row r="17" spans="1:37">
      <c r="A17" s="5"/>
      <c r="B17" s="50" t="s">
        <v>37</v>
      </c>
      <c r="D17" s="191"/>
      <c r="E17" s="82" t="s">
        <v>18</v>
      </c>
      <c r="F17" s="82" t="s">
        <v>569</v>
      </c>
      <c r="G17" s="5"/>
      <c r="H17" s="5"/>
      <c r="I17" s="258" t="s">
        <v>660</v>
      </c>
      <c r="J17" s="191"/>
      <c r="K17" s="191"/>
      <c r="L17" s="191"/>
      <c r="M17" s="191"/>
      <c r="N17" s="489"/>
      <c r="O17" s="313">
        <f ca="1">(AVERAGE(IS!K27:AL27)/'Input '!D83)</f>
        <v>0.27244180948223873</v>
      </c>
      <c r="P17" s="191"/>
      <c r="Q17" s="191"/>
      <c r="R17" s="191"/>
      <c r="S17" s="191"/>
      <c r="T17" s="191"/>
      <c r="U17" s="191"/>
      <c r="V17" s="191"/>
      <c r="W17" s="191"/>
      <c r="X17" s="191"/>
      <c r="Y17" s="191"/>
      <c r="Z17" s="191"/>
      <c r="AA17" s="191"/>
      <c r="AB17" s="191"/>
      <c r="AC17" s="191"/>
      <c r="AD17" s="191"/>
      <c r="AE17" s="191"/>
      <c r="AF17" s="191"/>
      <c r="AG17" s="191"/>
      <c r="AH17" s="191"/>
      <c r="AI17" s="191"/>
      <c r="AJ17" s="5"/>
      <c r="AK17" s="5"/>
    </row>
    <row r="18" spans="1:37">
      <c r="A18" s="5"/>
      <c r="B18" s="2" t="s">
        <v>124</v>
      </c>
      <c r="C18" s="15" t="s">
        <v>18</v>
      </c>
      <c r="D18" s="191"/>
      <c r="E18" s="13" t="s">
        <v>568</v>
      </c>
      <c r="F18" s="35">
        <f>'Timing &amp; Flags'!C79</f>
        <v>46753</v>
      </c>
      <c r="G18" s="5"/>
      <c r="H18" s="5"/>
      <c r="I18" s="1217" t="s">
        <v>1650</v>
      </c>
      <c r="J18" s="489"/>
      <c r="K18" s="489"/>
      <c r="L18" s="489"/>
      <c r="M18" s="489"/>
      <c r="N18" s="489"/>
      <c r="O18" s="568"/>
      <c r="P18" s="191"/>
      <c r="Q18" s="191"/>
      <c r="R18" s="191"/>
      <c r="S18" s="191"/>
      <c r="T18" s="191"/>
      <c r="U18" s="191"/>
      <c r="V18" s="191"/>
      <c r="W18" s="191"/>
      <c r="X18" s="191"/>
      <c r="Y18" s="191"/>
      <c r="Z18" s="191"/>
      <c r="AA18" s="191"/>
      <c r="AB18" s="191"/>
      <c r="AC18" s="191"/>
      <c r="AD18" s="191"/>
      <c r="AE18" s="191"/>
      <c r="AF18" s="191"/>
      <c r="AG18" s="191"/>
      <c r="AH18" s="191"/>
      <c r="AI18" s="191"/>
      <c r="AJ18" s="5"/>
      <c r="AK18" s="5"/>
    </row>
    <row r="19" spans="1:37">
      <c r="A19" s="5"/>
      <c r="B19" s="2" t="s">
        <v>567</v>
      </c>
      <c r="C19" s="15" t="s">
        <v>18</v>
      </c>
      <c r="D19" s="5"/>
      <c r="E19" s="13" t="s">
        <v>568</v>
      </c>
      <c r="F19" s="35">
        <f>'Timing &amp; Flags'!C79</f>
        <v>46753</v>
      </c>
      <c r="G19" s="5"/>
      <c r="H19" s="5"/>
      <c r="I19" s="258" t="s">
        <v>1506</v>
      </c>
      <c r="J19" s="1208"/>
      <c r="K19" s="1208"/>
      <c r="L19" s="1208"/>
      <c r="M19" s="1208"/>
      <c r="N19" s="1208"/>
      <c r="O19" s="1876">
        <f ca="1">Valuation!D127</f>
        <v>6.5294955480705967</v>
      </c>
      <c r="P19" s="5"/>
      <c r="Q19" s="5"/>
      <c r="R19" s="5"/>
      <c r="S19" s="5"/>
      <c r="T19" s="5"/>
      <c r="U19" s="5"/>
      <c r="V19" s="5"/>
      <c r="W19" s="5"/>
      <c r="X19" s="5"/>
      <c r="Y19" s="5"/>
      <c r="Z19" s="5"/>
      <c r="AA19" s="5"/>
      <c r="AB19" s="5"/>
      <c r="AC19" s="5"/>
      <c r="AD19" s="5"/>
      <c r="AE19" s="5"/>
      <c r="AF19" s="5"/>
      <c r="AG19" s="5"/>
      <c r="AH19" s="5"/>
      <c r="AI19" s="5"/>
      <c r="AJ19" s="5"/>
      <c r="AK19" s="5"/>
    </row>
    <row r="20" spans="1:37">
      <c r="A20" s="5"/>
      <c r="B20" s="2" t="s">
        <v>38</v>
      </c>
      <c r="C20" s="15" t="s">
        <v>18</v>
      </c>
      <c r="D20" s="5"/>
      <c r="E20" s="203">
        <f>'Input '!F64</f>
        <v>0.03</v>
      </c>
      <c r="F20" s="35">
        <f>'Timing &amp; Flags'!C80</f>
        <v>46753</v>
      </c>
      <c r="G20" s="5"/>
      <c r="H20" s="5"/>
      <c r="I20" s="258" t="s">
        <v>1507</v>
      </c>
      <c r="J20" s="489"/>
      <c r="K20" s="489"/>
      <c r="L20" s="489"/>
      <c r="M20" s="489"/>
      <c r="N20" s="489"/>
      <c r="O20" s="1876">
        <f ca="1">Valuation!D118</f>
        <v>6.7604904890031641</v>
      </c>
      <c r="P20" s="5"/>
      <c r="Q20" s="5"/>
      <c r="R20" s="5"/>
      <c r="S20" s="5"/>
      <c r="T20" s="5"/>
      <c r="U20" s="5"/>
      <c r="V20" s="5"/>
      <c r="W20" s="5"/>
      <c r="X20" s="5"/>
      <c r="Y20" s="5"/>
      <c r="Z20" s="5"/>
      <c r="AA20" s="5"/>
      <c r="AB20" s="5"/>
      <c r="AC20" s="5"/>
      <c r="AD20" s="5"/>
      <c r="AE20" s="5"/>
      <c r="AF20" s="5"/>
      <c r="AG20" s="5"/>
      <c r="AH20" s="5"/>
      <c r="AI20" s="5"/>
      <c r="AJ20" s="5"/>
      <c r="AK20" s="5"/>
    </row>
    <row r="21" spans="1:37">
      <c r="A21" s="5"/>
      <c r="B21" s="2" t="s">
        <v>39</v>
      </c>
      <c r="C21" s="15" t="s">
        <v>18</v>
      </c>
      <c r="D21" s="5"/>
      <c r="E21" s="203">
        <f>'Input '!F65</f>
        <v>0.03</v>
      </c>
      <c r="F21" s="35">
        <f>'Timing &amp; Flags'!C81</f>
        <v>46753</v>
      </c>
      <c r="G21" s="5"/>
      <c r="H21" s="5"/>
      <c r="I21" s="1217" t="s">
        <v>1651</v>
      </c>
      <c r="J21" s="489"/>
      <c r="K21" s="489"/>
      <c r="L21" s="489"/>
      <c r="M21" s="489"/>
      <c r="N21" s="489"/>
      <c r="O21" s="568"/>
      <c r="P21" s="191"/>
      <c r="Q21" s="5"/>
      <c r="R21" s="5"/>
      <c r="S21" s="5"/>
      <c r="T21" s="5"/>
      <c r="U21" s="5"/>
      <c r="V21" s="5"/>
      <c r="W21" s="5"/>
      <c r="X21" s="5"/>
      <c r="Y21" s="5"/>
      <c r="Z21" s="5"/>
      <c r="AA21" s="5"/>
      <c r="AB21" s="5"/>
      <c r="AC21" s="5"/>
      <c r="AD21" s="5"/>
      <c r="AE21" s="5"/>
      <c r="AF21" s="5"/>
      <c r="AG21" s="5"/>
      <c r="AH21" s="5"/>
      <c r="AI21" s="5"/>
      <c r="AJ21" s="5"/>
      <c r="AK21" s="5"/>
    </row>
    <row r="22" spans="1:37">
      <c r="A22" s="5"/>
      <c r="D22" s="5"/>
      <c r="E22" s="5"/>
      <c r="F22" s="5"/>
      <c r="G22" s="5"/>
      <c r="H22" s="5"/>
      <c r="I22" s="258" t="s">
        <v>1506</v>
      </c>
      <c r="J22" s="489"/>
      <c r="K22" s="489"/>
      <c r="L22" s="489"/>
      <c r="M22" s="489"/>
      <c r="N22" s="489"/>
      <c r="O22" s="1853">
        <f ca="1">Valuation!D141</f>
        <v>5.289012545811004</v>
      </c>
      <c r="P22" s="191"/>
      <c r="Q22" s="5"/>
      <c r="R22" s="5"/>
      <c r="S22" s="5"/>
      <c r="T22" s="5"/>
      <c r="U22" s="5"/>
      <c r="V22" s="5"/>
      <c r="W22" s="5"/>
      <c r="X22" s="5"/>
      <c r="Y22" s="5"/>
      <c r="Z22" s="5"/>
      <c r="AA22" s="5"/>
      <c r="AB22" s="5"/>
      <c r="AC22" s="5"/>
      <c r="AD22" s="5"/>
      <c r="AE22" s="5"/>
      <c r="AF22" s="5"/>
      <c r="AG22" s="5"/>
      <c r="AH22" s="5"/>
      <c r="AI22" s="5"/>
      <c r="AJ22" s="5"/>
      <c r="AK22" s="5"/>
    </row>
    <row r="23" spans="1:37" ht="11.25" thickBot="1">
      <c r="A23" s="5"/>
      <c r="B23" s="10"/>
      <c r="D23" s="191"/>
      <c r="E23" s="5"/>
      <c r="F23" s="5"/>
      <c r="G23" s="5"/>
      <c r="H23" s="5"/>
      <c r="I23" s="1211" t="s">
        <v>1507</v>
      </c>
      <c r="J23" s="271"/>
      <c r="K23" s="271"/>
      <c r="L23" s="271"/>
      <c r="M23" s="271"/>
      <c r="N23" s="271"/>
      <c r="O23" s="1854">
        <f ca="1">Valuation!D137</f>
        <v>5.3876906919728382</v>
      </c>
      <c r="P23" s="191"/>
      <c r="Q23" s="203"/>
      <c r="R23" s="203"/>
      <c r="S23" s="203"/>
      <c r="T23" s="203"/>
      <c r="U23" s="203"/>
      <c r="V23" s="203"/>
      <c r="W23" s="203"/>
      <c r="X23" s="203"/>
      <c r="Y23" s="203"/>
      <c r="Z23" s="203"/>
      <c r="AA23" s="203"/>
      <c r="AB23" s="203"/>
      <c r="AC23" s="203"/>
      <c r="AD23" s="203"/>
      <c r="AE23" s="203"/>
      <c r="AF23" s="203"/>
      <c r="AG23" s="203"/>
      <c r="AH23" s="203"/>
      <c r="AI23" s="203"/>
      <c r="AJ23" s="5"/>
      <c r="AK23" s="5"/>
    </row>
    <row r="24" spans="1:37" ht="11.25" thickBot="1">
      <c r="A24" s="5"/>
      <c r="B24" s="187" t="s">
        <v>220</v>
      </c>
      <c r="C24" s="12"/>
      <c r="D24" s="191"/>
      <c r="E24" s="5"/>
      <c r="F24" s="5"/>
      <c r="G24" s="5"/>
      <c r="H24" s="5"/>
      <c r="I24" s="1218" t="s">
        <v>587</v>
      </c>
      <c r="J24" s="1219"/>
      <c r="K24" s="1219"/>
      <c r="L24" s="1219"/>
      <c r="M24" s="1219"/>
      <c r="N24" s="1219"/>
      <c r="O24" s="1220"/>
      <c r="P24" s="191"/>
      <c r="Q24" s="203"/>
      <c r="R24" s="203"/>
      <c r="S24" s="203"/>
      <c r="T24" s="203"/>
      <c r="U24" s="203"/>
      <c r="V24" s="203"/>
      <c r="W24" s="203"/>
      <c r="X24" s="203"/>
      <c r="Y24" s="203"/>
      <c r="Z24" s="203"/>
      <c r="AA24" s="203"/>
      <c r="AB24" s="203"/>
      <c r="AC24" s="203"/>
      <c r="AD24" s="203"/>
      <c r="AE24" s="203"/>
      <c r="AF24" s="203"/>
      <c r="AG24" s="203"/>
      <c r="AH24" s="203"/>
      <c r="AI24" s="203"/>
      <c r="AJ24" s="5"/>
      <c r="AK24" s="5"/>
    </row>
    <row r="25" spans="1:37" ht="19.5">
      <c r="A25" s="5"/>
      <c r="D25" s="204"/>
      <c r="E25" s="82" t="s">
        <v>71</v>
      </c>
      <c r="F25" s="69" t="s">
        <v>1116</v>
      </c>
      <c r="G25" s="5"/>
      <c r="H25" s="5"/>
      <c r="I25" s="600" t="s">
        <v>526</v>
      </c>
      <c r="J25" s="1212"/>
      <c r="K25" s="1212"/>
      <c r="L25" s="1212"/>
      <c r="M25" s="1213" t="s">
        <v>591</v>
      </c>
      <c r="N25" s="1213" t="s">
        <v>592</v>
      </c>
      <c r="O25" s="601" t="s">
        <v>593</v>
      </c>
      <c r="P25" s="203"/>
      <c r="Q25" s="203"/>
      <c r="R25" s="203"/>
      <c r="S25" s="203"/>
      <c r="T25" s="203"/>
      <c r="U25" s="203"/>
      <c r="V25" s="203"/>
      <c r="W25" s="203"/>
      <c r="X25" s="203"/>
      <c r="Y25" s="203"/>
      <c r="Z25" s="203"/>
      <c r="AA25" s="203"/>
      <c r="AB25" s="203"/>
      <c r="AC25" s="203"/>
      <c r="AD25" s="203"/>
      <c r="AE25" s="203"/>
      <c r="AF25" s="203"/>
      <c r="AG25" s="203"/>
      <c r="AH25" s="203"/>
      <c r="AI25" s="203"/>
      <c r="AJ25" s="5"/>
      <c r="AK25" s="5"/>
    </row>
    <row r="26" spans="1:37">
      <c r="A26" s="5"/>
      <c r="B26" s="2" t="s">
        <v>570</v>
      </c>
      <c r="C26" s="194" t="str">
        <f>$K$10</f>
        <v>US$</v>
      </c>
      <c r="D26" s="5"/>
      <c r="E26" s="191">
        <f>'Project Cost Monthly'!D209</f>
        <v>3811261872.65306</v>
      </c>
      <c r="F26" s="204">
        <f>E26/Cap_total</f>
        <v>1088.9319636151599</v>
      </c>
      <c r="G26" s="5"/>
      <c r="H26" s="5"/>
      <c r="I26" s="602" t="s">
        <v>513</v>
      </c>
      <c r="J26" s="1212"/>
      <c r="K26" s="1214" t="s">
        <v>306</v>
      </c>
      <c r="L26" s="1212"/>
      <c r="M26" s="603">
        <f ca="1">Valuation!E22</f>
        <v>2.3392727124940742</v>
      </c>
      <c r="N26" s="603">
        <f ca="1">Valuation!E23</f>
        <v>4.6008271277158812</v>
      </c>
      <c r="O26" s="604">
        <f ca="1">Valuation!E24</f>
        <v>13.708554810319765</v>
      </c>
      <c r="P26" s="5"/>
      <c r="Q26" s="5"/>
      <c r="R26" s="5"/>
      <c r="S26" s="5"/>
      <c r="T26" s="5"/>
      <c r="U26" s="5"/>
      <c r="V26" s="5"/>
      <c r="W26" s="5"/>
      <c r="X26" s="5"/>
      <c r="Y26" s="5"/>
      <c r="Z26" s="5"/>
      <c r="AA26" s="5"/>
      <c r="AB26" s="5"/>
      <c r="AC26" s="5"/>
      <c r="AD26" s="5"/>
      <c r="AE26" s="5"/>
      <c r="AF26" s="5"/>
      <c r="AG26" s="5"/>
      <c r="AH26" s="5"/>
      <c r="AI26" s="5"/>
      <c r="AJ26" s="5"/>
      <c r="AK26" s="5"/>
    </row>
    <row r="27" spans="1:37">
      <c r="A27" s="5"/>
      <c r="B27" s="2" t="s">
        <v>571</v>
      </c>
      <c r="C27" s="194" t="str">
        <f>$K$10</f>
        <v>US$</v>
      </c>
      <c r="D27" s="5"/>
      <c r="E27" s="191">
        <f>'Project Cost Monthly'!D213</f>
        <v>4140451092.8002262</v>
      </c>
      <c r="F27" s="204">
        <f>E27/Cap_total</f>
        <v>1182.9860265143504</v>
      </c>
      <c r="G27" s="5"/>
      <c r="H27" s="5"/>
      <c r="I27" s="602" t="s">
        <v>514</v>
      </c>
      <c r="J27" s="1215"/>
      <c r="K27" s="1214" t="s">
        <v>306</v>
      </c>
      <c r="L27" s="1215"/>
      <c r="M27" s="603">
        <f ca="1">Valuation!E25</f>
        <v>1.5618520582690452</v>
      </c>
      <c r="N27" s="603">
        <f ca="1">Valuation!E26</f>
        <v>1.2500369053410898</v>
      </c>
      <c r="O27" s="604">
        <f ca="1">Valuation!E27</f>
        <v>12.661133873277615</v>
      </c>
      <c r="P27" s="5"/>
      <c r="Q27" s="5"/>
      <c r="R27" s="5"/>
      <c r="S27" s="5"/>
      <c r="T27" s="5"/>
      <c r="U27" s="5"/>
      <c r="V27" s="5"/>
      <c r="W27" s="5"/>
      <c r="X27" s="5"/>
      <c r="Y27" s="5"/>
      <c r="Z27" s="5"/>
      <c r="AA27" s="5"/>
      <c r="AB27" s="5"/>
      <c r="AC27" s="5"/>
      <c r="AD27" s="5"/>
      <c r="AE27" s="5"/>
      <c r="AF27" s="5"/>
      <c r="AG27" s="5"/>
      <c r="AH27" s="5"/>
      <c r="AI27" s="5"/>
      <c r="AJ27" s="5"/>
      <c r="AK27" s="5"/>
    </row>
    <row r="28" spans="1:37">
      <c r="A28" s="5"/>
      <c r="B28" s="10"/>
      <c r="C28" s="5"/>
      <c r="D28" s="5"/>
      <c r="E28" s="5"/>
      <c r="F28" s="5"/>
      <c r="G28" s="5"/>
      <c r="H28" s="5"/>
      <c r="I28" s="602" t="s">
        <v>588</v>
      </c>
      <c r="J28" s="1215"/>
      <c r="K28" s="1214" t="s">
        <v>41</v>
      </c>
      <c r="L28" s="1215"/>
      <c r="M28" s="1216">
        <f ca="1">Ratios!D41</f>
        <v>47119</v>
      </c>
      <c r="N28" s="1216">
        <f ca="1">Ratios!D69</f>
        <v>46753</v>
      </c>
      <c r="O28" s="605">
        <f ca="1">Ratios!E96</f>
        <v>46753</v>
      </c>
      <c r="P28" s="5"/>
      <c r="Q28" s="5"/>
      <c r="R28" s="5"/>
      <c r="S28" s="5"/>
      <c r="T28" s="5"/>
      <c r="U28" s="5"/>
      <c r="V28" s="5"/>
      <c r="W28" s="5"/>
      <c r="X28" s="5"/>
      <c r="Y28" s="5"/>
      <c r="Z28" s="5"/>
      <c r="AA28" s="5"/>
      <c r="AB28" s="5"/>
      <c r="AC28" s="5"/>
      <c r="AD28" s="5"/>
      <c r="AE28" s="5"/>
      <c r="AF28" s="5"/>
      <c r="AG28" s="5"/>
      <c r="AH28" s="5"/>
      <c r="AI28" s="5"/>
      <c r="AJ28" s="5"/>
      <c r="AK28" s="5"/>
    </row>
    <row r="29" spans="1:37">
      <c r="A29" s="5"/>
      <c r="B29" s="50" t="s">
        <v>572</v>
      </c>
      <c r="C29" s="5"/>
      <c r="D29" s="5"/>
      <c r="E29" s="5"/>
      <c r="F29" s="5"/>
      <c r="G29" s="5"/>
      <c r="H29" s="5"/>
      <c r="I29" s="258"/>
      <c r="J29" s="489"/>
      <c r="K29" s="489"/>
      <c r="L29" s="489"/>
      <c r="M29" s="489"/>
      <c r="N29" s="489"/>
      <c r="O29" s="568"/>
      <c r="P29" s="5"/>
      <c r="Q29" s="5"/>
      <c r="R29" s="5"/>
      <c r="S29" s="5"/>
      <c r="T29" s="5"/>
      <c r="U29" s="5"/>
      <c r="V29" s="5"/>
      <c r="W29" s="5"/>
      <c r="X29" s="5"/>
      <c r="Y29" s="5"/>
      <c r="Z29" s="5"/>
      <c r="AA29" s="5"/>
      <c r="AB29" s="5"/>
      <c r="AC29" s="5"/>
      <c r="AD29" s="5"/>
      <c r="AE29" s="5"/>
      <c r="AF29" s="5"/>
      <c r="AG29" s="5"/>
      <c r="AH29" s="5"/>
      <c r="AI29" s="5"/>
      <c r="AJ29" s="5"/>
      <c r="AK29" s="5"/>
    </row>
    <row r="30" spans="1:37">
      <c r="A30" s="5"/>
      <c r="B30" s="2" t="s">
        <v>573</v>
      </c>
      <c r="C30" s="15" t="s">
        <v>41</v>
      </c>
      <c r="D30" s="5"/>
      <c r="E30" s="5"/>
      <c r="F30" s="35">
        <f>Returns!D36</f>
        <v>46023</v>
      </c>
      <c r="G30" s="5"/>
      <c r="H30" s="5"/>
      <c r="I30" s="258" t="s">
        <v>589</v>
      </c>
      <c r="J30" s="1208"/>
      <c r="K30" s="577" t="s">
        <v>306</v>
      </c>
      <c r="L30" s="1208"/>
      <c r="M30" s="1208"/>
      <c r="N30" s="1208"/>
      <c r="O30" s="285">
        <f>'Input '!F321</f>
        <v>1</v>
      </c>
      <c r="P30" s="5"/>
      <c r="Q30" s="5"/>
      <c r="R30" s="5"/>
      <c r="S30" s="5"/>
      <c r="T30" s="5"/>
      <c r="U30" s="5"/>
      <c r="V30" s="5"/>
      <c r="W30" s="5"/>
      <c r="X30" s="5"/>
      <c r="Y30" s="5"/>
      <c r="Z30" s="5"/>
      <c r="AA30" s="5"/>
      <c r="AB30" s="5"/>
      <c r="AC30" s="5"/>
      <c r="AD30" s="5"/>
      <c r="AE30" s="5"/>
      <c r="AF30" s="5"/>
      <c r="AG30" s="5"/>
      <c r="AH30" s="5"/>
      <c r="AI30" s="5"/>
      <c r="AJ30" s="5"/>
      <c r="AK30" s="5"/>
    </row>
    <row r="31" spans="1:37">
      <c r="A31" s="5"/>
      <c r="B31" s="2" t="s">
        <v>574</v>
      </c>
      <c r="C31" s="15" t="s">
        <v>18</v>
      </c>
      <c r="D31" s="5"/>
      <c r="E31" s="5"/>
      <c r="F31" s="230">
        <f>WACC</f>
        <v>9.800642619047617E-2</v>
      </c>
      <c r="G31" s="5"/>
      <c r="H31" s="5"/>
      <c r="I31" s="258" t="s">
        <v>590</v>
      </c>
      <c r="J31" s="1208"/>
      <c r="K31" s="577" t="s">
        <v>183</v>
      </c>
      <c r="L31" s="1208"/>
      <c r="M31" s="1208"/>
      <c r="N31" s="1208"/>
      <c r="O31" s="291" t="str">
        <f>IF('Input '!F322=1,"Yes","No")</f>
        <v>Yes</v>
      </c>
      <c r="P31" s="5"/>
      <c r="Q31" s="5"/>
      <c r="R31" s="5"/>
      <c r="S31" s="5"/>
      <c r="T31" s="5"/>
      <c r="U31" s="5"/>
      <c r="V31" s="5"/>
      <c r="W31" s="5"/>
      <c r="X31" s="5"/>
      <c r="Y31" s="5"/>
      <c r="Z31" s="5"/>
      <c r="AA31" s="5"/>
      <c r="AB31" s="5"/>
      <c r="AC31" s="5"/>
      <c r="AD31" s="5"/>
      <c r="AE31" s="5"/>
      <c r="AF31" s="5"/>
      <c r="AG31" s="5"/>
      <c r="AH31" s="5"/>
      <c r="AI31" s="5"/>
      <c r="AJ31" s="5"/>
      <c r="AK31" s="5"/>
    </row>
    <row r="32" spans="1:37">
      <c r="A32" s="5"/>
      <c r="B32" s="2" t="s">
        <v>215</v>
      </c>
      <c r="C32" s="15" t="s">
        <v>18</v>
      </c>
      <c r="D32" s="5"/>
      <c r="E32" s="5"/>
      <c r="F32" s="202">
        <f>'Input '!E404</f>
        <v>0.1623747539682539</v>
      </c>
      <c r="G32" s="5"/>
      <c r="H32" s="5"/>
      <c r="I32" s="6" t="s">
        <v>594</v>
      </c>
      <c r="J32" s="9"/>
      <c r="K32" s="9"/>
      <c r="L32" s="9"/>
      <c r="M32" s="9"/>
      <c r="N32" s="9"/>
      <c r="O32" s="9"/>
      <c r="P32" s="5"/>
      <c r="Q32" s="5"/>
      <c r="R32" s="5"/>
      <c r="S32" s="5"/>
      <c r="T32" s="5"/>
      <c r="U32" s="5"/>
      <c r="V32" s="5"/>
      <c r="W32" s="5"/>
      <c r="X32" s="5"/>
      <c r="Y32" s="5"/>
      <c r="Z32" s="5"/>
      <c r="AA32" s="5"/>
      <c r="AB32" s="5"/>
      <c r="AC32" s="5"/>
      <c r="AD32" s="5"/>
      <c r="AE32" s="5"/>
      <c r="AF32" s="5"/>
      <c r="AG32" s="5"/>
      <c r="AH32" s="5"/>
      <c r="AI32" s="5"/>
      <c r="AJ32" s="5"/>
      <c r="AK32" s="5"/>
    </row>
    <row r="33" spans="1:37">
      <c r="A33" s="5"/>
      <c r="D33" s="5"/>
      <c r="E33" s="5"/>
      <c r="F33" s="5"/>
      <c r="G33" s="5"/>
      <c r="H33" s="5"/>
      <c r="I33" s="5" t="s">
        <v>596</v>
      </c>
      <c r="J33" s="5"/>
      <c r="K33" s="5"/>
      <c r="L33" s="5"/>
      <c r="M33" s="5" t="s">
        <v>600</v>
      </c>
      <c r="N33" s="5"/>
      <c r="O33" s="5"/>
      <c r="P33" s="5"/>
      <c r="Q33" s="5"/>
      <c r="R33" s="5"/>
      <c r="S33" s="5"/>
      <c r="T33" s="5"/>
      <c r="U33" s="5"/>
      <c r="V33" s="5"/>
      <c r="W33" s="5"/>
      <c r="X33" s="5"/>
      <c r="Y33" s="5"/>
      <c r="Z33" s="5"/>
      <c r="AA33" s="5"/>
      <c r="AB33" s="5"/>
      <c r="AC33" s="5"/>
      <c r="AD33" s="5"/>
      <c r="AE33" s="5"/>
      <c r="AF33" s="5"/>
      <c r="AG33" s="5"/>
      <c r="AH33" s="5"/>
      <c r="AI33" s="5"/>
      <c r="AJ33" s="5"/>
      <c r="AK33" s="5"/>
    </row>
    <row r="34" spans="1:37">
      <c r="A34" s="5"/>
      <c r="B34" s="50" t="s">
        <v>575</v>
      </c>
      <c r="D34" s="5"/>
      <c r="E34" s="5"/>
      <c r="F34" s="5"/>
      <c r="G34" s="5"/>
      <c r="H34" s="5"/>
      <c r="I34" s="5" t="s">
        <v>597</v>
      </c>
      <c r="J34" s="5"/>
      <c r="K34" s="5"/>
      <c r="L34" s="5"/>
      <c r="M34" s="5" t="s">
        <v>601</v>
      </c>
      <c r="N34" s="5"/>
      <c r="O34" s="5"/>
      <c r="P34" s="5"/>
      <c r="Q34" s="5"/>
      <c r="R34" s="5"/>
      <c r="S34" s="5"/>
      <c r="T34" s="5"/>
      <c r="U34" s="5"/>
      <c r="V34" s="5"/>
      <c r="W34" s="5"/>
      <c r="X34" s="5"/>
      <c r="Y34" s="5"/>
      <c r="Z34" s="5"/>
      <c r="AA34" s="5"/>
      <c r="AB34" s="5"/>
      <c r="AC34" s="5"/>
      <c r="AD34" s="5"/>
      <c r="AE34" s="5"/>
      <c r="AF34" s="5"/>
      <c r="AG34" s="5"/>
      <c r="AH34" s="5"/>
      <c r="AI34" s="5"/>
      <c r="AJ34" s="5"/>
      <c r="AK34" s="5"/>
    </row>
    <row r="35" spans="1:37">
      <c r="A35" s="5"/>
      <c r="B35" s="2" t="s">
        <v>374</v>
      </c>
      <c r="C35" s="15" t="s">
        <v>18</v>
      </c>
      <c r="D35" s="5"/>
      <c r="E35" s="5"/>
      <c r="F35" s="229">
        <f>Corporate_tax</f>
        <v>0.3</v>
      </c>
      <c r="G35" s="5"/>
      <c r="H35" s="5"/>
      <c r="I35" s="5" t="s">
        <v>598</v>
      </c>
      <c r="J35" s="5"/>
      <c r="K35" s="5"/>
      <c r="L35" s="5"/>
      <c r="M35" s="5" t="s">
        <v>602</v>
      </c>
      <c r="N35" s="5"/>
      <c r="O35" s="5"/>
      <c r="P35" s="5"/>
      <c r="Q35" s="5"/>
      <c r="R35" s="5"/>
      <c r="S35" s="5"/>
      <c r="T35" s="5"/>
      <c r="U35" s="5"/>
      <c r="V35" s="5"/>
      <c r="W35" s="5"/>
      <c r="X35" s="5"/>
      <c r="Y35" s="5"/>
      <c r="Z35" s="5"/>
      <c r="AA35" s="5"/>
      <c r="AB35" s="5"/>
      <c r="AC35" s="5"/>
      <c r="AD35" s="5"/>
      <c r="AE35" s="5"/>
      <c r="AF35" s="5"/>
      <c r="AG35" s="5"/>
      <c r="AH35" s="5"/>
      <c r="AI35" s="5"/>
      <c r="AJ35" s="5"/>
      <c r="AK35" s="5"/>
    </row>
    <row r="36" spans="1:37">
      <c r="A36" s="5"/>
      <c r="D36" s="5"/>
      <c r="E36" s="5"/>
      <c r="F36" s="5"/>
      <c r="G36" s="5"/>
      <c r="H36" s="5"/>
      <c r="I36" s="5" t="s">
        <v>599</v>
      </c>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row>
    <row r="37" spans="1:37">
      <c r="A37" s="5"/>
      <c r="B37" s="50" t="s">
        <v>576</v>
      </c>
      <c r="D37" s="5"/>
      <c r="E37" s="231" t="s">
        <v>578</v>
      </c>
      <c r="F37" s="5"/>
      <c r="G37" s="5"/>
      <c r="H37" s="5"/>
      <c r="I37" s="6" t="s">
        <v>595</v>
      </c>
      <c r="J37" s="9"/>
      <c r="K37" s="9"/>
      <c r="L37" s="9"/>
      <c r="M37" s="9"/>
      <c r="N37" s="9"/>
      <c r="O37" s="9"/>
      <c r="P37" s="5"/>
      <c r="Q37" s="5"/>
      <c r="R37" s="5"/>
      <c r="S37" s="5"/>
      <c r="T37" s="5"/>
      <c r="U37" s="5"/>
      <c r="V37" s="5"/>
      <c r="W37" s="5"/>
      <c r="X37" s="5"/>
      <c r="Y37" s="5"/>
      <c r="Z37" s="5"/>
      <c r="AA37" s="5"/>
      <c r="AB37" s="5"/>
      <c r="AC37" s="5"/>
      <c r="AD37" s="5"/>
      <c r="AE37" s="5"/>
      <c r="AF37" s="5"/>
      <c r="AG37" s="5"/>
      <c r="AH37" s="5"/>
      <c r="AI37" s="5"/>
      <c r="AJ37" s="5"/>
      <c r="AK37" s="5"/>
    </row>
    <row r="38" spans="1:37">
      <c r="A38" s="5"/>
      <c r="B38" s="2" t="s">
        <v>577</v>
      </c>
      <c r="C38" s="224" t="s">
        <v>45</v>
      </c>
      <c r="D38" s="5"/>
      <c r="E38" s="5">
        <f>'Input '!E362</f>
        <v>50</v>
      </c>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row>
    <row r="39" spans="1:37">
      <c r="A39" s="5"/>
      <c r="B39" s="5"/>
      <c r="C39" s="5"/>
      <c r="D39" s="5"/>
      <c r="E39" s="5"/>
      <c r="F39" s="5"/>
      <c r="G39" s="5"/>
      <c r="H39" s="5"/>
      <c r="I39" s="50" t="s">
        <v>603</v>
      </c>
      <c r="J39" s="5"/>
      <c r="K39" s="5"/>
      <c r="L39" s="5"/>
      <c r="M39" s="82" t="s">
        <v>31</v>
      </c>
      <c r="O39" s="82" t="s">
        <v>610</v>
      </c>
      <c r="P39" s="5"/>
      <c r="Q39" s="5"/>
      <c r="R39" s="5"/>
      <c r="S39" s="5"/>
      <c r="T39" s="5"/>
      <c r="U39" s="5"/>
      <c r="V39" s="5"/>
      <c r="W39" s="5"/>
      <c r="X39" s="5"/>
      <c r="Y39" s="5"/>
      <c r="Z39" s="5"/>
      <c r="AA39" s="5"/>
      <c r="AB39" s="5"/>
      <c r="AC39" s="5"/>
      <c r="AD39" s="5"/>
      <c r="AE39" s="5"/>
      <c r="AF39" s="5"/>
      <c r="AG39" s="5"/>
      <c r="AH39" s="5"/>
      <c r="AI39" s="5"/>
      <c r="AJ39" s="5"/>
      <c r="AK39" s="5"/>
    </row>
    <row r="40" spans="1:37">
      <c r="A40" s="5"/>
      <c r="B40" s="6" t="s">
        <v>566</v>
      </c>
      <c r="C40" s="9"/>
      <c r="D40" s="9"/>
      <c r="E40" s="9"/>
      <c r="F40" s="9"/>
      <c r="G40" s="5"/>
      <c r="H40" s="5"/>
      <c r="I40" s="232" t="s">
        <v>413</v>
      </c>
      <c r="J40" s="5"/>
      <c r="K40" s="194" t="str">
        <f t="shared" ref="K40:K45" si="0">$K$10</f>
        <v>US$</v>
      </c>
      <c r="L40" s="5"/>
      <c r="M40" s="191">
        <f>'Project Cost Monthly'!D255</f>
        <v>1242135327.8400679</v>
      </c>
      <c r="N40" s="5"/>
      <c r="O40" s="191">
        <f>Dividend!D31</f>
        <v>1242135327.8400679</v>
      </c>
      <c r="P40" s="5"/>
      <c r="Q40" s="5"/>
      <c r="R40" s="5"/>
      <c r="S40" s="5"/>
      <c r="T40" s="5"/>
      <c r="U40" s="5"/>
      <c r="V40" s="5"/>
      <c r="W40" s="5"/>
      <c r="X40" s="5"/>
      <c r="Y40" s="5"/>
      <c r="Z40" s="5"/>
      <c r="AA40" s="5"/>
      <c r="AB40" s="5"/>
      <c r="AC40" s="5"/>
      <c r="AD40" s="5"/>
      <c r="AE40" s="5"/>
      <c r="AF40" s="5"/>
      <c r="AG40" s="5"/>
      <c r="AH40" s="5"/>
      <c r="AI40" s="5"/>
      <c r="AJ40" s="5"/>
      <c r="AK40" s="5"/>
    </row>
    <row r="41" spans="1:37">
      <c r="A41" s="5"/>
      <c r="B41" s="5"/>
      <c r="C41" s="5"/>
      <c r="D41" s="5"/>
      <c r="E41" s="5"/>
      <c r="F41" s="5"/>
      <c r="G41" s="5"/>
      <c r="H41" s="5"/>
      <c r="I41" s="232" t="s">
        <v>604</v>
      </c>
      <c r="J41" s="5"/>
      <c r="K41" s="194" t="str">
        <f t="shared" si="0"/>
        <v>US$</v>
      </c>
      <c r="L41" s="5"/>
      <c r="M41" s="191">
        <f>'Project Cost Monthly'!D256</f>
        <v>0</v>
      </c>
      <c r="N41" s="5"/>
      <c r="O41" s="228">
        <f ca="1">'Debt Schedule'!D97</f>
        <v>0</v>
      </c>
      <c r="P41" s="5"/>
      <c r="Q41" s="5"/>
      <c r="R41" s="5"/>
      <c r="S41" s="5"/>
      <c r="T41" s="5"/>
      <c r="U41" s="5"/>
      <c r="V41" s="5"/>
      <c r="W41" s="5"/>
      <c r="X41" s="5"/>
      <c r="Y41" s="5"/>
      <c r="Z41" s="5"/>
      <c r="AA41" s="5"/>
      <c r="AB41" s="5"/>
      <c r="AC41" s="5"/>
      <c r="AD41" s="5"/>
      <c r="AE41" s="5"/>
      <c r="AF41" s="5"/>
      <c r="AG41" s="5"/>
      <c r="AH41" s="5"/>
      <c r="AI41" s="5"/>
      <c r="AJ41" s="5"/>
      <c r="AK41" s="5"/>
    </row>
    <row r="42" spans="1:37">
      <c r="A42" s="5"/>
      <c r="B42" s="50" t="s">
        <v>579</v>
      </c>
      <c r="C42" s="5"/>
      <c r="D42" s="5"/>
      <c r="E42" s="5"/>
      <c r="F42" s="5"/>
      <c r="G42" s="5"/>
      <c r="H42" s="5"/>
      <c r="I42" s="232" t="s">
        <v>487</v>
      </c>
      <c r="J42" s="5"/>
      <c r="K42" s="194" t="str">
        <f t="shared" si="0"/>
        <v>US$</v>
      </c>
      <c r="L42" s="5"/>
      <c r="M42" s="191">
        <f>'Project Cost Monthly'!D257</f>
        <v>2898315764.9601583</v>
      </c>
      <c r="N42" s="5"/>
      <c r="O42" s="191">
        <f ca="1">'Debt Schedule'!D50</f>
        <v>2898315764.9601583</v>
      </c>
      <c r="P42" s="5"/>
      <c r="Q42" s="5"/>
      <c r="R42" s="5"/>
      <c r="S42" s="5"/>
      <c r="T42" s="5"/>
      <c r="U42" s="5"/>
      <c r="V42" s="5"/>
      <c r="W42" s="5"/>
      <c r="X42" s="5"/>
      <c r="Y42" s="5"/>
      <c r="Z42" s="5"/>
      <c r="AA42" s="5"/>
      <c r="AB42" s="5"/>
      <c r="AC42" s="5"/>
      <c r="AD42" s="5"/>
      <c r="AE42" s="5"/>
      <c r="AF42" s="5"/>
      <c r="AG42" s="5"/>
      <c r="AH42" s="5"/>
      <c r="AI42" s="5"/>
      <c r="AJ42" s="5"/>
      <c r="AK42" s="5"/>
    </row>
    <row r="43" spans="1:37">
      <c r="A43" s="5"/>
      <c r="B43" s="2" t="s">
        <v>580</v>
      </c>
      <c r="C43" s="194" t="str">
        <f>$K$10</f>
        <v>US$</v>
      </c>
      <c r="D43" s="5" t="s">
        <v>1073</v>
      </c>
      <c r="E43" s="191">
        <f>SUM('Project Cost Monthly'!E231:E232)</f>
        <v>2898315764.9601583</v>
      </c>
      <c r="F43" s="5"/>
      <c r="G43" s="5"/>
      <c r="H43" s="5"/>
      <c r="I43" s="232" t="s">
        <v>445</v>
      </c>
      <c r="J43" s="5"/>
      <c r="K43" s="194" t="str">
        <f t="shared" si="0"/>
        <v>US$</v>
      </c>
      <c r="L43" s="5"/>
      <c r="M43" s="200" t="s">
        <v>611</v>
      </c>
      <c r="N43" s="5"/>
      <c r="O43" s="191">
        <f ca="1">IS!D16</f>
        <v>3351872823.1400719</v>
      </c>
      <c r="P43" s="5"/>
      <c r="Q43" s="5"/>
      <c r="R43" s="5"/>
      <c r="S43" s="5"/>
      <c r="T43" s="5"/>
      <c r="U43" s="5"/>
      <c r="V43" s="5"/>
      <c r="W43" s="5"/>
      <c r="X43" s="5"/>
      <c r="Y43" s="5"/>
      <c r="Z43" s="5"/>
      <c r="AA43" s="5"/>
      <c r="AB43" s="5"/>
      <c r="AC43" s="5"/>
      <c r="AD43" s="5"/>
      <c r="AE43" s="5"/>
      <c r="AF43" s="5"/>
      <c r="AG43" s="5"/>
      <c r="AH43" s="5"/>
      <c r="AI43" s="5"/>
      <c r="AJ43" s="5"/>
      <c r="AK43" s="5"/>
    </row>
    <row r="44" spans="1:37">
      <c r="A44" s="26"/>
      <c r="B44" s="27" t="s">
        <v>581</v>
      </c>
      <c r="C44" s="195" t="str">
        <f>$K$10</f>
        <v>US$</v>
      </c>
      <c r="D44" s="133"/>
      <c r="E44" s="192">
        <f>'Project Cost Monthly'!E230</f>
        <v>1242135327.8400679</v>
      </c>
      <c r="F44" s="5"/>
      <c r="G44" s="5"/>
      <c r="H44" s="5"/>
      <c r="I44" s="232" t="s">
        <v>441</v>
      </c>
      <c r="J44" s="133"/>
      <c r="K44" s="195" t="str">
        <f t="shared" si="0"/>
        <v>US$</v>
      </c>
      <c r="L44" s="133"/>
      <c r="M44" s="206" t="s">
        <v>611</v>
      </c>
      <c r="N44" s="133"/>
      <c r="O44" s="192">
        <f ca="1">-'Rev &amp; Receivables'!F178</f>
        <v>67303901887.30986</v>
      </c>
      <c r="P44" s="5"/>
      <c r="Q44" s="204">
        <f ca="1">O44-IS!D7</f>
        <v>0</v>
      </c>
      <c r="R44" s="5"/>
      <c r="S44" s="5"/>
      <c r="T44" s="5"/>
      <c r="U44" s="5"/>
      <c r="V44" s="5"/>
      <c r="W44" s="5"/>
      <c r="X44" s="5"/>
      <c r="Y44" s="5"/>
      <c r="Z44" s="5"/>
      <c r="AA44" s="5"/>
      <c r="AB44" s="5"/>
      <c r="AC44" s="5"/>
      <c r="AD44" s="5"/>
      <c r="AE44" s="5"/>
      <c r="AF44" s="5"/>
      <c r="AG44" s="5"/>
      <c r="AH44" s="5"/>
      <c r="AI44" s="5"/>
      <c r="AJ44" s="5"/>
      <c r="AK44" s="5"/>
    </row>
    <row r="45" spans="1:37">
      <c r="A45" s="5"/>
      <c r="B45" s="2" t="s">
        <v>579</v>
      </c>
      <c r="C45" s="15" t="s">
        <v>18</v>
      </c>
      <c r="D45" s="5"/>
      <c r="E45" s="229">
        <f>E43/SUM(E43:E44)</f>
        <v>0.7</v>
      </c>
      <c r="F45" s="5"/>
      <c r="G45" s="5"/>
      <c r="H45" s="5"/>
      <c r="I45" s="233" t="s">
        <v>603</v>
      </c>
      <c r="J45" s="5"/>
      <c r="K45" s="194" t="str">
        <f t="shared" si="0"/>
        <v>US$</v>
      </c>
      <c r="L45" s="5"/>
      <c r="M45" s="204">
        <f>SUM(M40:M44)</f>
        <v>4140451092.8002262</v>
      </c>
      <c r="N45" s="5"/>
      <c r="O45" s="204">
        <f ca="1">SUM(O40:O44)</f>
        <v>74796225803.250153</v>
      </c>
      <c r="P45" s="5"/>
      <c r="Q45" s="5"/>
      <c r="R45" s="5"/>
      <c r="S45" s="5"/>
      <c r="T45" s="5"/>
      <c r="U45" s="5"/>
      <c r="V45" s="5"/>
      <c r="W45" s="5"/>
      <c r="X45" s="5"/>
      <c r="Y45" s="5"/>
      <c r="Z45" s="5"/>
      <c r="AA45" s="5"/>
      <c r="AB45" s="5"/>
      <c r="AC45" s="5"/>
      <c r="AD45" s="5"/>
      <c r="AE45" s="5"/>
      <c r="AF45" s="5"/>
      <c r="AG45" s="5"/>
      <c r="AH45" s="5"/>
      <c r="AI45" s="5"/>
      <c r="AJ45" s="5"/>
      <c r="AK45" s="5"/>
    </row>
    <row r="46" spans="1:37">
      <c r="A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row>
    <row r="47" spans="1:37">
      <c r="A47" s="5"/>
      <c r="B47" s="50" t="s">
        <v>582</v>
      </c>
      <c r="C47" s="82" t="s">
        <v>583</v>
      </c>
      <c r="D47" s="82" t="s">
        <v>292</v>
      </c>
      <c r="E47" s="82" t="s">
        <v>1</v>
      </c>
      <c r="F47" s="82" t="s">
        <v>584</v>
      </c>
      <c r="G47" s="5"/>
      <c r="H47" s="5"/>
      <c r="I47" s="50" t="s">
        <v>605</v>
      </c>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row>
    <row r="48" spans="1:37">
      <c r="A48" s="5"/>
      <c r="B48" s="2" t="s">
        <v>98</v>
      </c>
      <c r="C48" s="203">
        <f>'Input '!E309</f>
        <v>0</v>
      </c>
      <c r="D48" s="201" t="str">
        <f>'Input '!D318</f>
        <v>Straight Line</v>
      </c>
      <c r="E48" s="35">
        <f>'Input '!E318</f>
        <v>46753</v>
      </c>
      <c r="F48" s="201">
        <f>'Input '!F318</f>
        <v>10</v>
      </c>
      <c r="G48" s="5"/>
      <c r="H48" s="5"/>
      <c r="I48" s="232" t="s">
        <v>329</v>
      </c>
      <c r="J48" s="5"/>
      <c r="K48" s="194" t="str">
        <f t="shared" ref="K48:K62" si="1">$K$10</f>
        <v>US$</v>
      </c>
      <c r="L48" s="5"/>
      <c r="M48" s="200" t="s">
        <v>611</v>
      </c>
      <c r="N48" s="5"/>
      <c r="O48" s="191">
        <f ca="1">-'O&amp;M Costs'!D234+'Rev &amp; Receivables'!F243</f>
        <v>16265604325.378914</v>
      </c>
      <c r="P48" s="5"/>
      <c r="Q48" s="5"/>
      <c r="R48" s="5"/>
      <c r="S48" s="5"/>
      <c r="T48" s="5"/>
      <c r="U48" s="5"/>
      <c r="V48" s="5"/>
      <c r="W48" s="5"/>
      <c r="X48" s="5"/>
      <c r="Y48" s="5"/>
      <c r="Z48" s="5"/>
      <c r="AA48" s="5"/>
      <c r="AB48" s="5"/>
      <c r="AC48" s="5"/>
      <c r="AD48" s="5"/>
      <c r="AE48" s="5"/>
      <c r="AF48" s="5"/>
      <c r="AG48" s="5"/>
      <c r="AH48" s="5"/>
      <c r="AI48" s="5"/>
      <c r="AJ48" s="5"/>
      <c r="AK48" s="5"/>
    </row>
    <row r="49" spans="1:37">
      <c r="A49" s="5"/>
      <c r="B49" s="2" t="s">
        <v>99</v>
      </c>
      <c r="C49" s="203">
        <f>'Input '!E310</f>
        <v>1</v>
      </c>
      <c r="D49" s="201" t="str">
        <f>'Input '!D319</f>
        <v>Straight Line</v>
      </c>
      <c r="E49" s="35">
        <f>'Input '!E319</f>
        <v>46753</v>
      </c>
      <c r="F49" s="201">
        <f>'Input '!F319</f>
        <v>10</v>
      </c>
      <c r="G49" s="5"/>
      <c r="H49" s="5"/>
      <c r="I49" s="232" t="s">
        <v>606</v>
      </c>
      <c r="J49" s="5"/>
      <c r="K49" s="194" t="str">
        <f t="shared" si="1"/>
        <v>US$</v>
      </c>
      <c r="L49" s="5"/>
      <c r="M49" s="200" t="s">
        <v>611</v>
      </c>
      <c r="N49" s="5"/>
      <c r="O49" s="191">
        <f ca="1">-'O&amp;M Costs'!D279-'O&amp;M Costs'!D351</f>
        <v>0</v>
      </c>
      <c r="P49" s="5"/>
      <c r="Q49" s="5"/>
      <c r="R49" s="5"/>
      <c r="S49" s="5"/>
      <c r="T49" s="5"/>
      <c r="U49" s="5"/>
      <c r="V49" s="5"/>
      <c r="W49" s="5"/>
      <c r="X49" s="5"/>
      <c r="Y49" s="5"/>
      <c r="Z49" s="5"/>
      <c r="AA49" s="5"/>
      <c r="AB49" s="5"/>
      <c r="AC49" s="5"/>
      <c r="AD49" s="5"/>
      <c r="AE49" s="5"/>
      <c r="AF49" s="5"/>
      <c r="AG49" s="5"/>
      <c r="AH49" s="5"/>
      <c r="AI49" s="5"/>
      <c r="AJ49" s="5"/>
      <c r="AK49" s="5"/>
    </row>
    <row r="50" spans="1:37">
      <c r="A50" s="5"/>
      <c r="C50" s="5"/>
      <c r="D50" s="5"/>
      <c r="E50" s="5"/>
      <c r="F50" s="5"/>
      <c r="G50" s="5"/>
      <c r="H50" s="5"/>
      <c r="I50" s="232" t="s">
        <v>541</v>
      </c>
      <c r="J50" s="5"/>
      <c r="K50" s="194" t="str">
        <f t="shared" si="1"/>
        <v>US$</v>
      </c>
      <c r="L50" s="5"/>
      <c r="M50" s="200" t="s">
        <v>611</v>
      </c>
      <c r="N50" s="5"/>
      <c r="O50" s="191">
        <f ca="1">-Taxation!D90</f>
        <v>15472667845.4466</v>
      </c>
      <c r="P50" s="5"/>
      <c r="Q50" s="5"/>
      <c r="R50" s="5"/>
      <c r="S50" s="5"/>
      <c r="T50" s="5"/>
      <c r="U50" s="5"/>
      <c r="V50" s="5"/>
      <c r="W50" s="5"/>
      <c r="X50" s="5"/>
      <c r="Y50" s="5"/>
      <c r="Z50" s="5"/>
      <c r="AA50" s="5"/>
      <c r="AB50" s="5"/>
      <c r="AC50" s="5"/>
      <c r="AD50" s="5"/>
      <c r="AE50" s="5"/>
      <c r="AF50" s="5"/>
      <c r="AG50" s="5"/>
      <c r="AH50" s="5"/>
      <c r="AI50" s="5"/>
      <c r="AJ50" s="5"/>
      <c r="AK50" s="5"/>
    </row>
    <row r="51" spans="1:37">
      <c r="A51" s="5"/>
      <c r="B51" s="50" t="s">
        <v>297</v>
      </c>
      <c r="C51" s="5"/>
      <c r="D51" s="5"/>
      <c r="E51" s="5"/>
      <c r="F51" s="5"/>
      <c r="G51" s="5"/>
      <c r="H51" s="5"/>
      <c r="I51" s="232" t="s">
        <v>607</v>
      </c>
      <c r="J51" s="5"/>
      <c r="K51" s="194" t="str">
        <f t="shared" si="1"/>
        <v>US$</v>
      </c>
      <c r="L51" s="5"/>
      <c r="M51" s="200" t="s">
        <v>611</v>
      </c>
      <c r="N51" s="5"/>
      <c r="O51" s="191">
        <f ca="1">-IS!D17</f>
        <v>0</v>
      </c>
      <c r="P51" s="5"/>
      <c r="Q51" s="5"/>
      <c r="R51" s="5"/>
      <c r="S51" s="5"/>
      <c r="T51" s="5"/>
      <c r="U51" s="5"/>
      <c r="V51" s="5"/>
      <c r="W51" s="5"/>
      <c r="X51" s="5"/>
      <c r="Y51" s="5"/>
      <c r="Z51" s="5"/>
      <c r="AA51" s="5"/>
      <c r="AB51" s="5"/>
      <c r="AC51" s="5"/>
      <c r="AD51" s="5"/>
      <c r="AE51" s="5"/>
      <c r="AF51" s="5"/>
      <c r="AG51" s="5"/>
      <c r="AH51" s="5"/>
      <c r="AI51" s="5"/>
      <c r="AJ51" s="5"/>
      <c r="AK51" s="5"/>
    </row>
    <row r="52" spans="1:37">
      <c r="A52" s="5"/>
      <c r="B52" s="2" t="s">
        <v>98</v>
      </c>
      <c r="C52" s="15" t="s">
        <v>18</v>
      </c>
      <c r="D52" s="203">
        <f>'Input '!F327</f>
        <v>7.0419999999999996E-2</v>
      </c>
      <c r="E52" s="5"/>
      <c r="F52" s="5"/>
      <c r="G52" s="5"/>
      <c r="H52" s="5"/>
      <c r="I52" s="232" t="s">
        <v>486</v>
      </c>
      <c r="J52" s="5"/>
      <c r="K52" s="194" t="str">
        <f t="shared" si="1"/>
        <v>US$</v>
      </c>
      <c r="L52" s="5"/>
      <c r="M52" s="191">
        <f>'Project Cost Monthly'!D190</f>
        <v>3811261872.6530604</v>
      </c>
      <c r="N52" s="5"/>
      <c r="O52" s="191">
        <f ca="1">'Fixed Assets'!D51</f>
        <v>4140451092.8002276</v>
      </c>
      <c r="P52" s="5"/>
      <c r="Q52" s="5"/>
      <c r="R52" s="5"/>
      <c r="S52" s="5"/>
      <c r="T52" s="5"/>
      <c r="U52" s="5"/>
      <c r="V52" s="5"/>
      <c r="W52" s="5"/>
      <c r="X52" s="5"/>
      <c r="Y52" s="5"/>
      <c r="Z52" s="5"/>
      <c r="AA52" s="5"/>
      <c r="AB52" s="5"/>
      <c r="AC52" s="5"/>
      <c r="AD52" s="5"/>
      <c r="AE52" s="5"/>
      <c r="AF52" s="5"/>
      <c r="AG52" s="5"/>
      <c r="AH52" s="5"/>
      <c r="AI52" s="5"/>
      <c r="AJ52" s="5"/>
      <c r="AK52" s="5"/>
    </row>
    <row r="53" spans="1:37">
      <c r="A53" s="5"/>
      <c r="B53" s="2" t="s">
        <v>99</v>
      </c>
      <c r="C53" s="15" t="s">
        <v>18</v>
      </c>
      <c r="D53" s="203">
        <f>'Input '!F328</f>
        <v>0</v>
      </c>
      <c r="E53" s="5"/>
      <c r="F53" s="5"/>
      <c r="G53" s="5"/>
      <c r="H53" s="5"/>
      <c r="I53" s="234" t="s">
        <v>451</v>
      </c>
      <c r="J53" s="5"/>
      <c r="K53" s="194" t="str">
        <f t="shared" si="1"/>
        <v>US$</v>
      </c>
      <c r="L53" s="5"/>
      <c r="M53" s="191">
        <f>SUM('Project Cost Monthly'!I280:CB280,'Project Cost Monthly'!I309:CB309)</f>
        <v>329189220.14716715</v>
      </c>
      <c r="N53" s="5"/>
      <c r="O53" s="1089">
        <f ca="1">-('Debt Schedule'!D58+'Debt Schedule'!D67)</f>
        <v>1195033431.6136172</v>
      </c>
      <c r="P53" s="5"/>
      <c r="Q53" s="1868">
        <f ca="1">Q60-Q55</f>
        <v>0</v>
      </c>
      <c r="R53" s="5"/>
      <c r="S53" s="5"/>
      <c r="T53" s="5"/>
      <c r="U53" s="5"/>
      <c r="V53" s="5"/>
      <c r="W53" s="5"/>
      <c r="X53" s="5"/>
      <c r="Y53" s="5"/>
      <c r="Z53" s="5"/>
      <c r="AA53" s="5"/>
      <c r="AB53" s="5"/>
      <c r="AC53" s="5"/>
      <c r="AD53" s="5"/>
      <c r="AE53" s="5"/>
      <c r="AF53" s="5"/>
      <c r="AG53" s="5"/>
      <c r="AH53" s="5"/>
      <c r="AI53" s="5"/>
      <c r="AJ53" s="5"/>
      <c r="AK53" s="5"/>
    </row>
    <row r="54" spans="1:37">
      <c r="A54" s="5"/>
      <c r="C54" s="5"/>
      <c r="D54" s="5"/>
      <c r="E54" s="5"/>
      <c r="F54" s="5"/>
      <c r="G54" s="5"/>
      <c r="H54" s="5"/>
      <c r="I54" s="232" t="s">
        <v>491</v>
      </c>
      <c r="J54" s="5"/>
      <c r="K54" s="194" t="str">
        <f t="shared" si="1"/>
        <v>US$</v>
      </c>
      <c r="L54" s="5"/>
      <c r="M54" s="235" t="s">
        <v>611</v>
      </c>
      <c r="N54" s="5"/>
      <c r="O54" s="1089">
        <f ca="1">-'Debt Schedule'!D52</f>
        <v>2898315764.9601583</v>
      </c>
      <c r="P54" s="5"/>
      <c r="Q54" s="5"/>
      <c r="R54" s="5"/>
      <c r="S54" s="5"/>
      <c r="T54" s="5"/>
      <c r="U54" s="5"/>
      <c r="V54" s="5"/>
      <c r="W54" s="5"/>
      <c r="X54" s="5"/>
      <c r="Y54" s="5"/>
      <c r="Z54" s="5"/>
      <c r="AA54" s="5"/>
      <c r="AB54" s="5"/>
      <c r="AC54" s="5"/>
      <c r="AD54" s="5"/>
      <c r="AE54" s="5"/>
      <c r="AF54" s="5"/>
      <c r="AG54" s="5"/>
      <c r="AH54" s="5"/>
      <c r="AI54" s="5"/>
      <c r="AJ54" s="5"/>
      <c r="AK54" s="5"/>
    </row>
    <row r="55" spans="1:37">
      <c r="A55" s="5"/>
      <c r="B55" s="50" t="s">
        <v>174</v>
      </c>
      <c r="C55" s="5"/>
      <c r="D55" s="82" t="s">
        <v>247</v>
      </c>
      <c r="E55" s="82" t="s">
        <v>585</v>
      </c>
      <c r="F55" s="82" t="s">
        <v>586</v>
      </c>
      <c r="G55" s="5"/>
      <c r="H55" s="5"/>
      <c r="I55" s="232" t="s">
        <v>608</v>
      </c>
      <c r="J55" s="5"/>
      <c r="K55" s="194" t="str">
        <f t="shared" si="1"/>
        <v>US$</v>
      </c>
      <c r="L55" s="5"/>
      <c r="M55" s="191">
        <f ca="1">SUM('Reserve Accounts'!J74:J75)</f>
        <v>0</v>
      </c>
      <c r="N55" s="5"/>
      <c r="O55" s="191">
        <f ca="1">SUM('Reserve Accounts'!D74:D75)</f>
        <v>0</v>
      </c>
      <c r="P55" s="5"/>
      <c r="Q55" s="204">
        <f ca="1">M42-O42</f>
        <v>0</v>
      </c>
      <c r="R55" s="5"/>
      <c r="S55" s="5"/>
      <c r="T55" s="5"/>
      <c r="U55" s="5"/>
      <c r="V55" s="5"/>
      <c r="W55" s="5"/>
      <c r="X55" s="5"/>
      <c r="Y55" s="5"/>
      <c r="Z55" s="5"/>
      <c r="AA55" s="5"/>
      <c r="AB55" s="5"/>
      <c r="AC55" s="5"/>
      <c r="AD55" s="5"/>
      <c r="AE55" s="5"/>
      <c r="AF55" s="5"/>
      <c r="AG55" s="5"/>
      <c r="AH55" s="5"/>
      <c r="AI55" s="5"/>
      <c r="AJ55" s="5"/>
      <c r="AK55" s="5"/>
    </row>
    <row r="56" spans="1:37">
      <c r="A56" s="26"/>
      <c r="B56" s="2" t="s">
        <v>98</v>
      </c>
      <c r="C56" s="15" t="s">
        <v>18</v>
      </c>
      <c r="D56" s="202">
        <f>'Input '!D337</f>
        <v>0</v>
      </c>
      <c r="E56" s="202">
        <f>'Input '!E337</f>
        <v>0</v>
      </c>
      <c r="F56" s="202">
        <f>'Input '!F337</f>
        <v>0</v>
      </c>
      <c r="G56" s="5"/>
      <c r="H56" s="5"/>
      <c r="I56" s="234" t="s">
        <v>609</v>
      </c>
      <c r="J56" s="5"/>
      <c r="K56" s="194" t="str">
        <f t="shared" si="1"/>
        <v>US$</v>
      </c>
      <c r="L56" s="5"/>
      <c r="M56" s="191">
        <f>SUM('Reserve Accounts'!J46:J47)</f>
        <v>0</v>
      </c>
      <c r="N56" s="5"/>
      <c r="O56" s="191">
        <f>SUM('Reserve Accounts'!D46:D47)</f>
        <v>0</v>
      </c>
      <c r="P56" s="5"/>
      <c r="Q56" s="5"/>
      <c r="R56" s="5"/>
      <c r="S56" s="5"/>
      <c r="T56" s="5"/>
      <c r="U56" s="5"/>
      <c r="V56" s="5"/>
      <c r="W56" s="5"/>
      <c r="X56" s="5"/>
      <c r="Y56" s="5"/>
      <c r="Z56" s="5"/>
      <c r="AA56" s="5"/>
      <c r="AB56" s="5"/>
      <c r="AC56" s="5"/>
      <c r="AD56" s="5"/>
      <c r="AE56" s="5"/>
      <c r="AF56" s="5"/>
      <c r="AG56" s="5"/>
      <c r="AH56" s="5"/>
      <c r="AI56" s="5"/>
      <c r="AJ56" s="5"/>
      <c r="AK56" s="5"/>
    </row>
    <row r="57" spans="1:37">
      <c r="B57" s="2" t="s">
        <v>99</v>
      </c>
      <c r="C57" s="15" t="s">
        <v>18</v>
      </c>
      <c r="D57" s="202">
        <f>'Input '!D338</f>
        <v>2.5000000000000001E-3</v>
      </c>
      <c r="E57" s="202">
        <f>'Input '!E338</f>
        <v>2.5000000000000001E-3</v>
      </c>
      <c r="F57" s="202">
        <f>'Input '!F338</f>
        <v>2.5000000000000001E-3</v>
      </c>
      <c r="I57" s="234" t="s">
        <v>452</v>
      </c>
      <c r="K57" s="194" t="str">
        <f t="shared" si="1"/>
        <v>US$</v>
      </c>
      <c r="M57" s="191">
        <f>SUM('Project Cost Monthly'!I279:AI279,'Project Cost Monthly'!I308:AI308)</f>
        <v>0</v>
      </c>
      <c r="O57" s="191">
        <f ca="1">-('Debt Schedule'!D105+'Debt Schedule'!D114)</f>
        <v>0</v>
      </c>
    </row>
    <row r="58" spans="1:37">
      <c r="I58" s="232" t="s">
        <v>498</v>
      </c>
      <c r="K58" s="194" t="str">
        <f t="shared" si="1"/>
        <v>US$</v>
      </c>
      <c r="M58" s="236" t="s">
        <v>611</v>
      </c>
      <c r="O58" s="191">
        <f ca="1">-'Debt Schedule'!D99</f>
        <v>0</v>
      </c>
    </row>
    <row r="59" spans="1:37">
      <c r="I59" s="232" t="s">
        <v>414</v>
      </c>
      <c r="K59" s="194" t="str">
        <f t="shared" si="1"/>
        <v>US$</v>
      </c>
      <c r="M59" s="236" t="s">
        <v>611</v>
      </c>
      <c r="O59" s="191">
        <f>-Dividend!D32</f>
        <v>1242135327.8400679</v>
      </c>
      <c r="Q59" s="42">
        <f ca="1">M45-M62</f>
        <v>0</v>
      </c>
    </row>
    <row r="60" spans="1:37">
      <c r="I60" s="232" t="s">
        <v>500</v>
      </c>
      <c r="K60" s="194" t="str">
        <f t="shared" si="1"/>
        <v>US$</v>
      </c>
      <c r="M60" s="236" t="s">
        <v>611</v>
      </c>
      <c r="O60" s="191">
        <f ca="1">-Dividend!D60</f>
        <v>21210912668.453354</v>
      </c>
      <c r="Q60" s="42">
        <f ca="1">O62-O45</f>
        <v>0</v>
      </c>
    </row>
    <row r="61" spans="1:37">
      <c r="I61" s="232" t="s">
        <v>502</v>
      </c>
      <c r="J61" s="27"/>
      <c r="K61" s="195" t="str">
        <f t="shared" si="1"/>
        <v>US$</v>
      </c>
      <c r="L61" s="27"/>
      <c r="M61" s="237" t="s">
        <v>611</v>
      </c>
      <c r="N61" s="27"/>
      <c r="O61" s="43">
        <f ca="1">CF!D42</f>
        <v>12371105346.757208</v>
      </c>
    </row>
    <row r="62" spans="1:37">
      <c r="I62" s="124"/>
      <c r="K62" s="194" t="str">
        <f t="shared" si="1"/>
        <v>US$</v>
      </c>
      <c r="M62" s="41">
        <f ca="1">SUM(M48:M61)</f>
        <v>4140451092.8002276</v>
      </c>
      <c r="O62" s="42">
        <f ca="1">SUM(O48:O61)</f>
        <v>74796225803.250137</v>
      </c>
    </row>
    <row r="63" spans="1:37">
      <c r="A63" s="12"/>
      <c r="Q63" s="107">
        <f ca="1">Q60/2</f>
        <v>0</v>
      </c>
    </row>
    <row r="64" spans="1:37">
      <c r="I64" s="50" t="s">
        <v>612</v>
      </c>
      <c r="M64" s="238">
        <f ca="1">M45-M62</f>
        <v>0</v>
      </c>
      <c r="N64" s="238"/>
      <c r="O64" s="238">
        <f ca="1">O62-O45</f>
        <v>0</v>
      </c>
    </row>
    <row r="66" spans="1:35">
      <c r="A66" s="130" t="s">
        <v>109</v>
      </c>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row>
    <row r="68" spans="1:35">
      <c r="M68" s="42">
        <f ca="1">M45-M62</f>
        <v>0</v>
      </c>
    </row>
    <row r="488" spans="10:10">
      <c r="J488" s="2">
        <f>SUM(J481:J487)</f>
        <v>0</v>
      </c>
    </row>
    <row r="497" spans="10:10">
      <c r="J497" s="2">
        <f>SUM(J491:J496)</f>
        <v>0</v>
      </c>
    </row>
    <row r="521" spans="10:10">
      <c r="J521" s="2">
        <f>SUM(J514:J520)</f>
        <v>0</v>
      </c>
    </row>
  </sheetData>
  <sheetProtection formatCells="0" formatColumns="0" formatRows="0" insertColumns="0" insertRows="0" insertHyperlinks="0" deleteColumns="0" deleteRows="0" sort="0" autoFilter="0" pivotTables="0"/>
  <phoneticPr fontId="47"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theme="4" tint="-0.249977111117893"/>
  </sheetPr>
  <dimension ref="A1:AW64"/>
  <sheetViews>
    <sheetView zoomScale="98" zoomScaleNormal="98" workbookViewId="0">
      <selection activeCell="J12" sqref="J12"/>
    </sheetView>
  </sheetViews>
  <sheetFormatPr defaultColWidth="9.14453125" defaultRowHeight="10.5"/>
  <cols>
    <col min="1" max="1" width="3.49609375" style="2" customWidth="1"/>
    <col min="2" max="2" width="26.5" style="2" bestFit="1" customWidth="1"/>
    <col min="3" max="3" width="9.14453125" style="2"/>
    <col min="4" max="4" width="16.0078125" style="2" bestFit="1" customWidth="1"/>
    <col min="5" max="5" width="2.28515625" style="2" customWidth="1"/>
    <col min="6" max="6" width="1.8828125" style="2" customWidth="1"/>
    <col min="7" max="7" width="2.28515625" style="2" customWidth="1"/>
    <col min="8" max="8" width="14.9296875" style="2" customWidth="1"/>
    <col min="9" max="9" width="8.875" style="2" customWidth="1"/>
    <col min="10" max="10" width="18.16015625" style="2" customWidth="1"/>
    <col min="11" max="27" width="13.85546875" style="2" bestFit="1" customWidth="1"/>
    <col min="28" max="35" width="15.06640625" style="2" bestFit="1" customWidth="1"/>
    <col min="36" max="49" width="14.390625" style="2" customWidth="1"/>
    <col min="50" max="16384" width="9.14453125" style="2"/>
  </cols>
  <sheetData>
    <row r="1" spans="1:49" s="3265" customFormat="1" ht="14.25">
      <c r="A1" s="3259" t="s">
        <v>672</v>
      </c>
      <c r="B1" s="3260"/>
      <c r="C1" s="3260"/>
      <c r="D1" s="3260"/>
      <c r="E1" s="3260"/>
      <c r="F1" s="3260"/>
      <c r="G1" s="3260"/>
      <c r="H1" s="3260"/>
      <c r="I1" s="3260"/>
      <c r="J1" s="3260"/>
      <c r="K1" s="3260"/>
      <c r="L1" s="3260"/>
      <c r="M1" s="3260"/>
      <c r="N1" s="3260"/>
      <c r="O1" s="3260"/>
      <c r="P1" s="3260"/>
      <c r="Q1" s="3260"/>
      <c r="R1" s="3260"/>
      <c r="S1" s="3260"/>
      <c r="T1" s="3260"/>
      <c r="U1" s="3260"/>
      <c r="V1" s="3260"/>
      <c r="W1" s="3260"/>
      <c r="X1" s="3260"/>
      <c r="Y1" s="3260"/>
      <c r="Z1" s="3260"/>
      <c r="AA1" s="3260"/>
      <c r="AB1" s="3260"/>
      <c r="AC1" s="3260"/>
      <c r="AD1" s="3260"/>
      <c r="AE1" s="3260"/>
      <c r="AF1" s="3260"/>
      <c r="AG1" s="3260"/>
      <c r="AH1" s="3260"/>
      <c r="AI1" s="3260"/>
      <c r="AJ1" s="3260"/>
      <c r="AK1" s="3260"/>
      <c r="AL1" s="3260"/>
      <c r="AM1" s="3260"/>
      <c r="AN1" s="3260"/>
      <c r="AO1" s="3260"/>
      <c r="AP1" s="3260"/>
      <c r="AQ1" s="3260"/>
      <c r="AR1" s="3260"/>
      <c r="AS1" s="3260"/>
      <c r="AT1" s="3260"/>
      <c r="AU1" s="3260"/>
      <c r="AV1" s="3260"/>
      <c r="AW1" s="3260"/>
    </row>
    <row r="2" spans="1:49" s="135" customFormat="1" ht="11.25">
      <c r="A2" s="2711" t="s">
        <v>2397</v>
      </c>
      <c r="B2" s="2711"/>
      <c r="C2" s="2704"/>
      <c r="D2" s="2704"/>
      <c r="E2" s="2704"/>
      <c r="F2" s="2704"/>
      <c r="G2" s="2704"/>
      <c r="H2" s="2704" t="s">
        <v>0</v>
      </c>
      <c r="I2" s="2714">
        <f>'Timing &amp; Flags'!I2</f>
        <v>1</v>
      </c>
      <c r="J2" s="2714">
        <f>'Timing &amp; Flags'!J2</f>
        <v>2</v>
      </c>
      <c r="K2" s="2714">
        <f>'Timing &amp; Flags'!K2</f>
        <v>3</v>
      </c>
      <c r="L2" s="2714">
        <f>'Timing &amp; Flags'!L2</f>
        <v>4</v>
      </c>
      <c r="M2" s="2714">
        <f>'Timing &amp; Flags'!M2</f>
        <v>5</v>
      </c>
      <c r="N2" s="2714">
        <f>'Timing &amp; Flags'!N2</f>
        <v>6</v>
      </c>
      <c r="O2" s="2714">
        <f>'Timing &amp; Flags'!O2</f>
        <v>7</v>
      </c>
      <c r="P2" s="2714">
        <f>'Timing &amp; Flags'!P2</f>
        <v>8</v>
      </c>
      <c r="Q2" s="2714">
        <f>'Timing &amp; Flags'!Q2</f>
        <v>9</v>
      </c>
      <c r="R2" s="2714">
        <f>'Timing &amp; Flags'!R2</f>
        <v>10</v>
      </c>
      <c r="S2" s="2714">
        <f>'Timing &amp; Flags'!S2</f>
        <v>11</v>
      </c>
      <c r="T2" s="2714">
        <f>'Timing &amp; Flags'!T2</f>
        <v>12</v>
      </c>
      <c r="U2" s="2714">
        <f>'Timing &amp; Flags'!U2</f>
        <v>13</v>
      </c>
      <c r="V2" s="2714">
        <f>'Timing &amp; Flags'!V2</f>
        <v>14</v>
      </c>
      <c r="W2" s="2714">
        <f>'Timing &amp; Flags'!W2</f>
        <v>15</v>
      </c>
      <c r="X2" s="2714">
        <f>'Timing &amp; Flags'!X2</f>
        <v>16</v>
      </c>
      <c r="Y2" s="2714">
        <f>'Timing &amp; Flags'!Y2</f>
        <v>17</v>
      </c>
      <c r="Z2" s="2714">
        <f>'Timing &amp; Flags'!Z2</f>
        <v>18</v>
      </c>
      <c r="AA2" s="2714">
        <f>'Timing &amp; Flags'!AA2</f>
        <v>19</v>
      </c>
      <c r="AB2" s="2714">
        <f>'Timing &amp; Flags'!AB2</f>
        <v>20</v>
      </c>
      <c r="AC2" s="2714">
        <f>'Timing &amp; Flags'!AC2</f>
        <v>21</v>
      </c>
      <c r="AD2" s="2714">
        <f>'Timing &amp; Flags'!AD2</f>
        <v>22</v>
      </c>
      <c r="AE2" s="2714">
        <f>'Timing &amp; Flags'!AE2</f>
        <v>23</v>
      </c>
      <c r="AF2" s="2714">
        <f>'Timing &amp; Flags'!AF2</f>
        <v>24</v>
      </c>
      <c r="AG2" s="2714">
        <f>'Timing &amp; Flags'!AG2</f>
        <v>25</v>
      </c>
      <c r="AH2" s="2714">
        <f>'Timing &amp; Flags'!AH2</f>
        <v>26</v>
      </c>
      <c r="AI2" s="2714">
        <f>'Timing &amp; Flags'!AI2</f>
        <v>27</v>
      </c>
      <c r="AJ2" s="2714">
        <f>'Timing &amp; Flags'!AJ2</f>
        <v>28</v>
      </c>
      <c r="AK2" s="2714">
        <f>'Timing &amp; Flags'!AK2</f>
        <v>29</v>
      </c>
      <c r="AL2" s="2714">
        <f>'Timing &amp; Flags'!AL2</f>
        <v>30</v>
      </c>
      <c r="AM2" s="2714"/>
      <c r="AN2" s="2714"/>
      <c r="AO2" s="2714"/>
      <c r="AP2" s="2714"/>
      <c r="AQ2" s="2714"/>
      <c r="AR2" s="2714"/>
      <c r="AS2" s="2714"/>
      <c r="AT2" s="2714"/>
      <c r="AU2" s="2714"/>
      <c r="AV2" s="2714"/>
      <c r="AW2" s="2714"/>
    </row>
    <row r="3" spans="1:49" s="135" customFormat="1" ht="11.25">
      <c r="A3" s="2711" t="s">
        <v>2395</v>
      </c>
      <c r="B3" s="2704"/>
      <c r="C3" s="2704"/>
      <c r="D3" s="2704"/>
      <c r="E3" s="2704"/>
      <c r="F3" s="2704"/>
      <c r="G3" s="2704"/>
      <c r="H3" s="2704" t="s">
        <v>1</v>
      </c>
      <c r="I3" s="2719">
        <f>'Timing &amp; Flags'!I3</f>
        <v>46023</v>
      </c>
      <c r="J3" s="2719">
        <f>'Timing &amp; Flags'!J3</f>
        <v>46388</v>
      </c>
      <c r="K3" s="2719">
        <f>'Timing &amp; Flags'!K3</f>
        <v>46753</v>
      </c>
      <c r="L3" s="2719">
        <f>'Timing &amp; Flags'!L3</f>
        <v>47119</v>
      </c>
      <c r="M3" s="2719">
        <f>'Timing &amp; Flags'!M3</f>
        <v>47484</v>
      </c>
      <c r="N3" s="2719">
        <f>'Timing &amp; Flags'!N3</f>
        <v>47849</v>
      </c>
      <c r="O3" s="2719">
        <f>'Timing &amp; Flags'!O3</f>
        <v>48214</v>
      </c>
      <c r="P3" s="2719">
        <f>'Timing &amp; Flags'!P3</f>
        <v>48580</v>
      </c>
      <c r="Q3" s="2719">
        <f>'Timing &amp; Flags'!Q3</f>
        <v>48945</v>
      </c>
      <c r="R3" s="2719">
        <f>'Timing &amp; Flags'!R3</f>
        <v>49310</v>
      </c>
      <c r="S3" s="2719">
        <f>'Timing &amp; Flags'!S3</f>
        <v>49675</v>
      </c>
      <c r="T3" s="2719">
        <f>'Timing &amp; Flags'!T3</f>
        <v>50041</v>
      </c>
      <c r="U3" s="2719">
        <f>'Timing &amp; Flags'!U3</f>
        <v>50406</v>
      </c>
      <c r="V3" s="2719">
        <f>'Timing &amp; Flags'!V3</f>
        <v>50771</v>
      </c>
      <c r="W3" s="2719">
        <f>'Timing &amp; Flags'!W3</f>
        <v>51136</v>
      </c>
      <c r="X3" s="2719">
        <f>'Timing &amp; Flags'!X3</f>
        <v>51502</v>
      </c>
      <c r="Y3" s="2719">
        <f>'Timing &amp; Flags'!Y3</f>
        <v>51867</v>
      </c>
      <c r="Z3" s="2719">
        <f>'Timing &amp; Flags'!Z3</f>
        <v>52232</v>
      </c>
      <c r="AA3" s="2719">
        <f>'Timing &amp; Flags'!AA3</f>
        <v>52597</v>
      </c>
      <c r="AB3" s="2719">
        <f>'Timing &amp; Flags'!AB3</f>
        <v>52963</v>
      </c>
      <c r="AC3" s="2719">
        <f>'Timing &amp; Flags'!AC3</f>
        <v>53328</v>
      </c>
      <c r="AD3" s="2719">
        <f>'Timing &amp; Flags'!AD3</f>
        <v>53693</v>
      </c>
      <c r="AE3" s="2719">
        <f>'Timing &amp; Flags'!AE3</f>
        <v>54058</v>
      </c>
      <c r="AF3" s="2719">
        <f>'Timing &amp; Flags'!AF3</f>
        <v>54424</v>
      </c>
      <c r="AG3" s="2719">
        <f>'Timing &amp; Flags'!AG3</f>
        <v>54789</v>
      </c>
      <c r="AH3" s="2719">
        <f>'Timing &amp; Flags'!AH3</f>
        <v>55154</v>
      </c>
      <c r="AI3" s="2719">
        <f>'Timing &amp; Flags'!AI3</f>
        <v>55519</v>
      </c>
      <c r="AJ3" s="2719">
        <f>'Timing &amp; Flags'!AJ3</f>
        <v>55885</v>
      </c>
      <c r="AK3" s="2719">
        <f>'Timing &amp; Flags'!AK3</f>
        <v>56250</v>
      </c>
      <c r="AL3" s="2719">
        <f>'Timing &amp; Flags'!AL3</f>
        <v>56615</v>
      </c>
      <c r="AM3" s="2719"/>
      <c r="AN3" s="2719"/>
      <c r="AO3" s="2719"/>
      <c r="AP3" s="2719"/>
      <c r="AQ3" s="2719"/>
      <c r="AR3" s="2719"/>
      <c r="AS3" s="2719"/>
      <c r="AT3" s="2719"/>
      <c r="AU3" s="2719"/>
      <c r="AV3" s="2719"/>
      <c r="AW3" s="2719"/>
    </row>
    <row r="4" spans="1:49" s="135" customFormat="1" ht="11.25">
      <c r="A4" s="2704" t="s">
        <v>849</v>
      </c>
      <c r="B4" s="2704"/>
      <c r="C4" s="2704"/>
      <c r="D4" s="2704"/>
      <c r="E4" s="2704"/>
      <c r="F4" s="2704"/>
      <c r="G4" s="2704"/>
      <c r="H4" s="2704" t="s">
        <v>2</v>
      </c>
      <c r="I4" s="2722">
        <f>'Timing &amp; Flags'!I4</f>
        <v>46387</v>
      </c>
      <c r="J4" s="2722">
        <f>'Timing &amp; Flags'!J4</f>
        <v>46752</v>
      </c>
      <c r="K4" s="2722">
        <f>'Timing &amp; Flags'!K4</f>
        <v>47118</v>
      </c>
      <c r="L4" s="2722">
        <f>'Timing &amp; Flags'!L4</f>
        <v>47483</v>
      </c>
      <c r="M4" s="2722">
        <f>'Timing &amp; Flags'!M4</f>
        <v>47848</v>
      </c>
      <c r="N4" s="2722">
        <f>'Timing &amp; Flags'!N4</f>
        <v>48213</v>
      </c>
      <c r="O4" s="2722">
        <f>'Timing &amp; Flags'!O4</f>
        <v>48579</v>
      </c>
      <c r="P4" s="2722">
        <f>'Timing &amp; Flags'!P4</f>
        <v>48944</v>
      </c>
      <c r="Q4" s="2722">
        <f>'Timing &amp; Flags'!Q4</f>
        <v>49309</v>
      </c>
      <c r="R4" s="2722">
        <f>'Timing &amp; Flags'!R4</f>
        <v>49674</v>
      </c>
      <c r="S4" s="2722">
        <f>'Timing &amp; Flags'!S4</f>
        <v>50040</v>
      </c>
      <c r="T4" s="2722">
        <f>'Timing &amp; Flags'!T4</f>
        <v>50405</v>
      </c>
      <c r="U4" s="2722">
        <f>'Timing &amp; Flags'!U4</f>
        <v>50770</v>
      </c>
      <c r="V4" s="2722">
        <f>'Timing &amp; Flags'!V4</f>
        <v>51135</v>
      </c>
      <c r="W4" s="2722">
        <f>'Timing &amp; Flags'!W4</f>
        <v>51501</v>
      </c>
      <c r="X4" s="2722">
        <f>'Timing &amp; Flags'!X4</f>
        <v>51866</v>
      </c>
      <c r="Y4" s="2722">
        <f>'Timing &amp; Flags'!Y4</f>
        <v>52231</v>
      </c>
      <c r="Z4" s="2722">
        <f>'Timing &amp; Flags'!Z4</f>
        <v>52596</v>
      </c>
      <c r="AA4" s="2722">
        <f>'Timing &amp; Flags'!AA4</f>
        <v>52962</v>
      </c>
      <c r="AB4" s="2722">
        <f>'Timing &amp; Flags'!AB4</f>
        <v>53327</v>
      </c>
      <c r="AC4" s="2722">
        <f>'Timing &amp; Flags'!AC4</f>
        <v>53692</v>
      </c>
      <c r="AD4" s="2722">
        <f>'Timing &amp; Flags'!AD4</f>
        <v>54057</v>
      </c>
      <c r="AE4" s="2722">
        <f>'Timing &amp; Flags'!AE4</f>
        <v>54423</v>
      </c>
      <c r="AF4" s="2722">
        <f>'Timing &amp; Flags'!AF4</f>
        <v>54788</v>
      </c>
      <c r="AG4" s="2722">
        <f>'Timing &amp; Flags'!AG4</f>
        <v>55153</v>
      </c>
      <c r="AH4" s="2722">
        <f>'Timing &amp; Flags'!AH4</f>
        <v>55518</v>
      </c>
      <c r="AI4" s="2722">
        <f>'Timing &amp; Flags'!AI4</f>
        <v>55884</v>
      </c>
      <c r="AJ4" s="2722">
        <f>'Timing &amp; Flags'!AJ4</f>
        <v>56249</v>
      </c>
      <c r="AK4" s="2722">
        <f>'Timing &amp; Flags'!AK4</f>
        <v>56614</v>
      </c>
      <c r="AL4" s="2722">
        <f>'Timing &amp; Flags'!AL4</f>
        <v>56979</v>
      </c>
      <c r="AM4" s="2722"/>
      <c r="AN4" s="2722"/>
      <c r="AO4" s="2722"/>
      <c r="AP4" s="2722"/>
      <c r="AQ4" s="2722"/>
      <c r="AR4" s="2722"/>
      <c r="AS4" s="2722"/>
      <c r="AT4" s="2722"/>
      <c r="AU4" s="2722"/>
      <c r="AV4" s="2722"/>
      <c r="AW4" s="2722"/>
    </row>
    <row r="5" spans="1:49" s="135" customFormat="1" ht="11.25">
      <c r="A5" s="2704" t="s">
        <v>640</v>
      </c>
      <c r="B5" s="2704"/>
      <c r="C5" s="2704"/>
      <c r="D5" s="2704"/>
      <c r="E5" s="2704"/>
      <c r="F5" s="2704"/>
      <c r="G5" s="2704"/>
      <c r="H5" s="2704" t="s">
        <v>3</v>
      </c>
      <c r="I5" s="2723">
        <f ca="1">'Timing &amp; Flags'!I5</f>
        <v>365</v>
      </c>
      <c r="J5" s="2723">
        <f ca="1">'Timing &amp; Flags'!J5</f>
        <v>366</v>
      </c>
      <c r="K5" s="2723">
        <f ca="1">'Timing &amp; Flags'!K5</f>
        <v>365</v>
      </c>
      <c r="L5" s="2723">
        <f ca="1">'Timing &amp; Flags'!L5</f>
        <v>365</v>
      </c>
      <c r="M5" s="2723">
        <f ca="1">'Timing &amp; Flags'!M5</f>
        <v>365</v>
      </c>
      <c r="N5" s="2723">
        <f ca="1">'Timing &amp; Flags'!N5</f>
        <v>366</v>
      </c>
      <c r="O5" s="2723">
        <f ca="1">'Timing &amp; Flags'!O5</f>
        <v>365</v>
      </c>
      <c r="P5" s="2723">
        <f ca="1">'Timing &amp; Flags'!P5</f>
        <v>365</v>
      </c>
      <c r="Q5" s="2723">
        <f ca="1">'Timing &amp; Flags'!Q5</f>
        <v>365</v>
      </c>
      <c r="R5" s="2723">
        <f ca="1">'Timing &amp; Flags'!R5</f>
        <v>366</v>
      </c>
      <c r="S5" s="2723">
        <f ca="1">'Timing &amp; Flags'!S5</f>
        <v>365</v>
      </c>
      <c r="T5" s="2723">
        <f ca="1">'Timing &amp; Flags'!T5</f>
        <v>365</v>
      </c>
      <c r="U5" s="2723">
        <f ca="1">'Timing &amp; Flags'!U5</f>
        <v>365</v>
      </c>
      <c r="V5" s="2723">
        <f ca="1">'Timing &amp; Flags'!V5</f>
        <v>366</v>
      </c>
      <c r="W5" s="2723">
        <f ca="1">'Timing &amp; Flags'!W5</f>
        <v>365</v>
      </c>
      <c r="X5" s="2723">
        <f ca="1">'Timing &amp; Flags'!X5</f>
        <v>365</v>
      </c>
      <c r="Y5" s="2723">
        <f ca="1">'Timing &amp; Flags'!Y5</f>
        <v>365</v>
      </c>
      <c r="Z5" s="2723">
        <f ca="1">'Timing &amp; Flags'!Z5</f>
        <v>366</v>
      </c>
      <c r="AA5" s="2723">
        <f ca="1">'Timing &amp; Flags'!AA5</f>
        <v>365</v>
      </c>
      <c r="AB5" s="2723">
        <f ca="1">'Timing &amp; Flags'!AB5</f>
        <v>365</v>
      </c>
      <c r="AC5" s="2723">
        <f ca="1">'Timing &amp; Flags'!AC5</f>
        <v>365</v>
      </c>
      <c r="AD5" s="2723">
        <f ca="1">'Timing &amp; Flags'!AD5</f>
        <v>366</v>
      </c>
      <c r="AE5" s="2723">
        <f ca="1">'Timing &amp; Flags'!AE5</f>
        <v>365</v>
      </c>
      <c r="AF5" s="2723">
        <f ca="1">'Timing &amp; Flags'!AF5</f>
        <v>365</v>
      </c>
      <c r="AG5" s="2723">
        <f ca="1">'Timing &amp; Flags'!AG5</f>
        <v>365</v>
      </c>
      <c r="AH5" s="2723">
        <f ca="1">'Timing &amp; Flags'!AH5</f>
        <v>366</v>
      </c>
      <c r="AI5" s="2723">
        <f ca="1">'Timing &amp; Flags'!AI5</f>
        <v>365</v>
      </c>
      <c r="AJ5" s="2723">
        <f ca="1">'Timing &amp; Flags'!AJ5</f>
        <v>365</v>
      </c>
      <c r="AK5" s="2723">
        <f ca="1">'Timing &amp; Flags'!AK5</f>
        <v>365</v>
      </c>
      <c r="AL5" s="2723">
        <f ca="1">'Timing &amp; Flags'!AL5</f>
        <v>365</v>
      </c>
      <c r="AM5" s="2723"/>
      <c r="AN5" s="2723"/>
      <c r="AO5" s="2723"/>
      <c r="AP5" s="2723"/>
      <c r="AQ5" s="2723"/>
      <c r="AR5" s="2723"/>
      <c r="AS5" s="2723"/>
      <c r="AT5" s="2723"/>
      <c r="AU5" s="2723"/>
      <c r="AV5" s="2723"/>
      <c r="AW5" s="2723"/>
    </row>
    <row r="6" spans="1:49">
      <c r="A6" s="53"/>
      <c r="B6" s="53"/>
      <c r="C6" s="191"/>
      <c r="D6" s="191"/>
      <c r="E6" s="191"/>
      <c r="F6" s="191"/>
      <c r="G6" s="191"/>
      <c r="H6" s="191"/>
      <c r="I6" s="191"/>
      <c r="J6" s="191"/>
      <c r="K6" s="191"/>
      <c r="L6" s="191"/>
      <c r="M6" s="191"/>
      <c r="N6" s="191"/>
      <c r="O6" s="191"/>
      <c r="P6" s="191"/>
      <c r="Q6" s="191"/>
      <c r="R6" s="191"/>
      <c r="S6" s="191"/>
      <c r="T6" s="191"/>
      <c r="U6" s="191"/>
      <c r="V6" s="191"/>
      <c r="W6" s="191"/>
      <c r="X6" s="191"/>
      <c r="Y6" s="191"/>
      <c r="Z6" s="191"/>
      <c r="AA6" s="191"/>
      <c r="AB6" s="191"/>
      <c r="AC6" s="191"/>
      <c r="AD6" s="191"/>
      <c r="AE6" s="191"/>
      <c r="AF6" s="191"/>
      <c r="AG6" s="191"/>
      <c r="AH6" s="191"/>
      <c r="AI6" s="191"/>
      <c r="AJ6" s="191"/>
    </row>
    <row r="7" spans="1:49">
      <c r="A7" s="190"/>
      <c r="B7" s="2" t="s">
        <v>124</v>
      </c>
      <c r="C7" s="194" t="str">
        <f>IF('Input '!$F$9=1,"US$","=N=")</f>
        <v>US$</v>
      </c>
      <c r="D7" s="191">
        <f ca="1">SUM(I7:AW7)</f>
        <v>67303901887.30986</v>
      </c>
      <c r="E7" s="191"/>
      <c r="F7" s="191"/>
      <c r="G7" s="191"/>
      <c r="H7" s="191"/>
      <c r="I7" s="191">
        <f>'Rev &amp; Receivables'!J170</f>
        <v>0</v>
      </c>
      <c r="J7" s="191">
        <f>'Rev &amp; Receivables'!K170</f>
        <v>0</v>
      </c>
      <c r="K7" s="191">
        <f ca="1">'Rev &amp; Receivables'!L170</f>
        <v>1015156499.1623566</v>
      </c>
      <c r="L7" s="191">
        <f ca="1">'Rev &amp; Receivables'!M170</f>
        <v>1551313125.5927296</v>
      </c>
      <c r="M7" s="191">
        <f ca="1">'Rev &amp; Receivables'!N170</f>
        <v>1726545204.911016</v>
      </c>
      <c r="N7" s="191">
        <f ca="1">'Rev &amp; Receivables'!O170</f>
        <v>1837533804.8941593</v>
      </c>
      <c r="O7" s="191">
        <f ca="1">'Rev &amp; Receivables'!P170</f>
        <v>1946371409.5631919</v>
      </c>
      <c r="P7" s="191">
        <f ca="1">'Rev &amp; Receivables'!Q170</f>
        <v>2040679795.3536811</v>
      </c>
      <c r="Q7" s="191">
        <f ca="1">'Rev &amp; Receivables'!R170</f>
        <v>2140144140.9091058</v>
      </c>
      <c r="R7" s="191">
        <f ca="1">'Rev &amp; Receivables'!S170</f>
        <v>2245069848.4766393</v>
      </c>
      <c r="S7" s="191">
        <f ca="1">'Rev &amp; Receivables'!T170</f>
        <v>2355781246.1907334</v>
      </c>
      <c r="T7" s="191">
        <f ca="1">'Rev &amp; Receivables'!U170</f>
        <v>2472622788.3470387</v>
      </c>
      <c r="U7" s="191">
        <f ca="1">'Rev &amp; Receivables'!V170</f>
        <v>2595960332.6575313</v>
      </c>
      <c r="V7" s="191">
        <f ca="1">'Rev &amp; Receivables'!W170</f>
        <v>2726182499.4504876</v>
      </c>
      <c r="W7" s="191">
        <f ca="1">'Rev &amp; Receivables'!X170</f>
        <v>2863702118.0998259</v>
      </c>
      <c r="X7" s="191">
        <f ca="1">'Rev &amp; Receivables'!Y170</f>
        <v>2139202284.3962688</v>
      </c>
      <c r="Y7" s="191">
        <f ca="1">'Rev &amp; Receivables'!Z170</f>
        <v>2203378352.9281569</v>
      </c>
      <c r="Z7" s="191">
        <f ca="1">'Rev &amp; Receivables'!AA170</f>
        <v>2269479703.5160017</v>
      </c>
      <c r="AA7" s="191">
        <f ca="1">'Rev &amp; Receivables'!AB170</f>
        <v>2337564094.6214819</v>
      </c>
      <c r="AB7" s="191">
        <f ca="1">'Rev &amp; Receivables'!AC170</f>
        <v>2407691017.4601264</v>
      </c>
      <c r="AC7" s="191">
        <f ca="1">'Rev &amp; Receivables'!AD170</f>
        <v>2479921747.9839306</v>
      </c>
      <c r="AD7" s="191">
        <f ca="1">'Rev &amp; Receivables'!AE170</f>
        <v>2554319400.4234486</v>
      </c>
      <c r="AE7" s="191">
        <f ca="1">'Rev &amp; Receivables'!AF170</f>
        <v>2630948982.436152</v>
      </c>
      <c r="AF7" s="191">
        <f ca="1">'Rev &amp; Receivables'!AG170</f>
        <v>2709877451.9092369</v>
      </c>
      <c r="AG7" s="191">
        <f ca="1">'Rev &amp; Receivables'!AH170</f>
        <v>2791173775.4665136</v>
      </c>
      <c r="AH7" s="191">
        <f ca="1">'Rev &amp; Receivables'!AI170</f>
        <v>2874908988.7305098</v>
      </c>
      <c r="AI7" s="191">
        <f ca="1">'Rev &amp; Receivables'!AJ170</f>
        <v>2961156258.3924251</v>
      </c>
      <c r="AJ7" s="191">
        <f ca="1">'Rev &amp; Receivables'!AK170</f>
        <v>3049990946.1441975</v>
      </c>
      <c r="AK7" s="191">
        <f ca="1">'Rev &amp; Receivables'!AL170</f>
        <v>3141490674.5285234</v>
      </c>
      <c r="AL7" s="191">
        <f ca="1">'Rev &amp; Receivables'!AM170</f>
        <v>3235735394.764379</v>
      </c>
      <c r="AM7" s="191"/>
      <c r="AN7" s="191"/>
      <c r="AO7" s="191"/>
      <c r="AP7" s="191"/>
      <c r="AQ7" s="191"/>
      <c r="AR7" s="191"/>
      <c r="AS7" s="191"/>
      <c r="AT7" s="191"/>
      <c r="AU7" s="191"/>
      <c r="AV7" s="191"/>
      <c r="AW7" s="191"/>
    </row>
    <row r="8" spans="1:49">
      <c r="A8" s="190"/>
      <c r="B8" s="2" t="s">
        <v>1501</v>
      </c>
      <c r="C8" s="194" t="str">
        <f>IF('Input '!$F$9=1,"US$","=N=")</f>
        <v>US$</v>
      </c>
      <c r="D8" s="1531">
        <f ca="1">SUM(I8:AW8)</f>
        <v>-12245491202.22703</v>
      </c>
      <c r="E8" s="191"/>
      <c r="F8" s="191"/>
      <c r="G8" s="191"/>
      <c r="H8" s="191"/>
      <c r="I8" s="191">
        <f ca="1">-'Rev &amp; Receivables'!J248</f>
        <v>0</v>
      </c>
      <c r="J8" s="191">
        <f ca="1">-'Rev &amp; Receivables'!K248</f>
        <v>-144780637.06971791</v>
      </c>
      <c r="K8" s="1531">
        <f ca="1">-'Rev &amp; Receivables'!L248</f>
        <v>-237693732.04710868</v>
      </c>
      <c r="L8" s="1531">
        <f ca="1">-'Rev &amp; Receivables'!M248</f>
        <v>-290365035.91105747</v>
      </c>
      <c r="M8" s="1531">
        <f ca="1">-'Rev &amp; Receivables'!N248</f>
        <v>-310490498.42123908</v>
      </c>
      <c r="N8" s="1531">
        <f ca="1">-'Rev &amp; Receivables'!O248</f>
        <v>-319701901.38475114</v>
      </c>
      <c r="O8" s="1531">
        <f ca="1">-'Rev &amp; Receivables'!P248</f>
        <v>-329189646.43716848</v>
      </c>
      <c r="P8" s="1531">
        <f ca="1">-'Rev &amp; Receivables'!Q248</f>
        <v>-338962023.84115833</v>
      </c>
      <c r="Q8" s="1531">
        <f ca="1">-'Rev &amp; Receivables'!R248</f>
        <v>-349027572.56726795</v>
      </c>
      <c r="R8" s="1531">
        <f ca="1">-'Rev &amp; Receivables'!S248</f>
        <v>-359395087.75516087</v>
      </c>
      <c r="S8" s="1531">
        <f ca="1">-'Rev &amp; Receivables'!T248</f>
        <v>-370073628.3986904</v>
      </c>
      <c r="T8" s="1531">
        <f ca="1">-'Rev &amp; Receivables'!U248</f>
        <v>-381072525.26152593</v>
      </c>
      <c r="U8" s="1531">
        <f ca="1">-'Rev &amp; Receivables'!V248</f>
        <v>-392401389.03024656</v>
      </c>
      <c r="V8" s="1531">
        <f ca="1">-'Rev &amp; Receivables'!W248</f>
        <v>-404070118.71202892</v>
      </c>
      <c r="W8" s="1531">
        <f ca="1">-'Rev &amp; Receivables'!X248</f>
        <v>-416088910.28426456</v>
      </c>
      <c r="X8" s="1531">
        <f ca="1">-'Rev &amp; Receivables'!Y248</f>
        <v>-428468265.60366732</v>
      </c>
      <c r="Y8" s="1531">
        <f ca="1">-'Rev &amp; Receivables'!Z248</f>
        <v>-441219001.58265227</v>
      </c>
      <c r="Z8" s="1531">
        <f ca="1">-'Rev &amp; Receivables'!AA248</f>
        <v>-450909411.1784941</v>
      </c>
      <c r="AA8" s="1531">
        <f ca="1">-'Rev &amp; Receivables'!AB248</f>
        <v>-460887316.97079194</v>
      </c>
      <c r="AB8" s="1531">
        <f ca="1">-'Rev &amp; Receivables'!AC248</f>
        <v>-471164559.93685848</v>
      </c>
      <c r="AC8" s="1531">
        <f ca="1">-'Rev &amp; Receivables'!AD248</f>
        <v>-481750120.19190699</v>
      </c>
      <c r="AD8" s="1531">
        <f ca="1">-'Rev &amp; Receivables'!AE248</f>
        <v>-492653247.25460708</v>
      </c>
      <c r="AE8" s="1531">
        <f ca="1">-'Rev &amp; Receivables'!AF248</f>
        <v>-503883468.12918818</v>
      </c>
      <c r="AF8" s="1531">
        <f ca="1">-'Rev &amp; Receivables'!AG248</f>
        <v>-515450595.63000667</v>
      </c>
      <c r="AG8" s="1531">
        <f ca="1">-'Rev &amp; Receivables'!AH248</f>
        <v>-527364736.95584971</v>
      </c>
      <c r="AH8" s="1531">
        <f ca="1">-'Rev &amp; Receivables'!AI248</f>
        <v>-539636302.52146804</v>
      </c>
      <c r="AI8" s="1531">
        <f ca="1">-'Rev &amp; Receivables'!AJ248</f>
        <v>-552276015.05405498</v>
      </c>
      <c r="AJ8" s="1531">
        <f ca="1">-'Rev &amp; Receivables'!AK248</f>
        <v>-565294918.96261942</v>
      </c>
      <c r="AK8" s="1531">
        <f ca="1">-'Rev &amp; Receivables'!AL248</f>
        <v>-578704389.98844075</v>
      </c>
      <c r="AL8" s="1531">
        <f ca="1">-'Rev &amp; Receivables'!AM248</f>
        <v>-592516145.14503682</v>
      </c>
      <c r="AM8" s="1531"/>
      <c r="AN8" s="1531"/>
      <c r="AO8" s="1531"/>
      <c r="AP8" s="1531"/>
      <c r="AQ8" s="1531"/>
      <c r="AR8" s="1531"/>
      <c r="AS8" s="1531"/>
      <c r="AT8" s="1531"/>
      <c r="AU8" s="1531"/>
      <c r="AV8" s="1531"/>
      <c r="AW8" s="1531"/>
    </row>
    <row r="9" spans="1:49">
      <c r="A9" s="53"/>
      <c r="B9" s="2" t="s">
        <v>446</v>
      </c>
      <c r="C9" s="194" t="str">
        <f>$C$7</f>
        <v>US$</v>
      </c>
      <c r="D9" s="1531">
        <f ca="1">SUM(I9:AW9)</f>
        <v>-4020113123.1518841</v>
      </c>
      <c r="E9" s="191"/>
      <c r="F9" s="191"/>
      <c r="G9" s="191"/>
      <c r="H9" s="191"/>
      <c r="I9" s="1529">
        <f>-'O&amp;M Costs'!I225</f>
        <v>0</v>
      </c>
      <c r="J9" s="1529">
        <f>-'O&amp;M Costs'!J225</f>
        <v>0</v>
      </c>
      <c r="K9" s="1531">
        <f ca="1">-'O&amp;M Costs'!K225</f>
        <v>-29414131.261703771</v>
      </c>
      <c r="L9" s="1531">
        <f ca="1">-'O&amp;M Costs'!L225</f>
        <v>-106702586.72443059</v>
      </c>
      <c r="M9" s="1531">
        <f ca="1">-'O&amp;M Costs'!M225</f>
        <v>-109168783.44192578</v>
      </c>
      <c r="N9" s="1531">
        <f ca="1">-'O&amp;M Costs'!N225</f>
        <v>-111493998.38342088</v>
      </c>
      <c r="O9" s="1531">
        <f ca="1">-'O&amp;M Costs'!O225</f>
        <v>-114807428.10413587</v>
      </c>
      <c r="P9" s="1531">
        <f ca="1">-'O&amp;M Costs'!P225</f>
        <v>-117252871.77969016</v>
      </c>
      <c r="Q9" s="1531">
        <f ca="1">-'O&amp;M Costs'!Q225</f>
        <v>-120078554.21458776</v>
      </c>
      <c r="R9" s="1531">
        <f ca="1">-'O&amp;M Costs'!R225</f>
        <v>-122636411.26543796</v>
      </c>
      <c r="S9" s="1531">
        <f ca="1">-'O&amp;M Costs'!S225</f>
        <v>-126281261.90439415</v>
      </c>
      <c r="T9" s="1531">
        <f ca="1">-'O&amp;M Costs'!T225</f>
        <v>-128971392.10746129</v>
      </c>
      <c r="U9" s="1531">
        <f ca="1">-'O&amp;M Costs'!U225</f>
        <v>-132079777.68690053</v>
      </c>
      <c r="V9" s="1531">
        <f ca="1">-'O&amp;M Costs'!V225</f>
        <v>-134893585.21895877</v>
      </c>
      <c r="W9" s="1531">
        <f ca="1">-'O&amp;M Costs'!W225</f>
        <v>-138903050.04547429</v>
      </c>
      <c r="X9" s="1531">
        <f ca="1">-'O&amp;M Costs'!X225</f>
        <v>-141862383.78835806</v>
      </c>
      <c r="Y9" s="1531">
        <f ca="1">-'O&amp;M Costs'!Y225</f>
        <v>-145281795.03203517</v>
      </c>
      <c r="Z9" s="1531">
        <f ca="1">-'O&amp;M Costs'!Z225</f>
        <v>-148377200.68794605</v>
      </c>
      <c r="AA9" s="1531">
        <f ca="1">-'O&amp;M Costs'!AA225</f>
        <v>-152787802.84469527</v>
      </c>
      <c r="AB9" s="1531">
        <f ca="1">-'O&amp;M Costs'!AB225</f>
        <v>-156043317.95041707</v>
      </c>
      <c r="AC9" s="1531">
        <f ca="1">-'O&amp;M Costs'!AC225</f>
        <v>-159804919.69592088</v>
      </c>
      <c r="AD9" s="1531">
        <f ca="1">-'O&amp;M Costs'!AD225</f>
        <v>-163210145.66275007</v>
      </c>
      <c r="AE9" s="1531">
        <f ca="1">-'O&amp;M Costs'!AE225</f>
        <v>-168062072.88757193</v>
      </c>
      <c r="AF9" s="1531">
        <f ca="1">-'O&amp;M Costs'!AF225</f>
        <v>-171643455.51716417</v>
      </c>
      <c r="AG9" s="1531">
        <f ca="1">-'O&amp;M Costs'!AG225</f>
        <v>-175781540.76522607</v>
      </c>
      <c r="AH9" s="1531">
        <f ca="1">-'O&amp;M Costs'!AH225</f>
        <v>-179527642.77316809</v>
      </c>
      <c r="AI9" s="1531">
        <f ca="1">-'O&amp;M Costs'!AI225</f>
        <v>-184865115.85168853</v>
      </c>
      <c r="AJ9" s="1531">
        <f ca="1">-'O&amp;M Costs'!AJ225</f>
        <v>-188805032.99592233</v>
      </c>
      <c r="AK9" s="1531">
        <f ca="1">-'O&amp;M Costs'!AK225</f>
        <v>-193357337.57758921</v>
      </c>
      <c r="AL9" s="1531">
        <f ca="1">-'O&amp;M Costs'!AL225</f>
        <v>-198019526.98290899</v>
      </c>
      <c r="AM9" s="1531"/>
      <c r="AN9" s="1531"/>
      <c r="AO9" s="1531"/>
      <c r="AP9" s="1531"/>
      <c r="AQ9" s="1531"/>
      <c r="AR9" s="1531"/>
      <c r="AS9" s="1531"/>
      <c r="AT9" s="1531"/>
      <c r="AU9" s="1531"/>
      <c r="AV9" s="1531"/>
      <c r="AW9" s="1531"/>
    </row>
    <row r="10" spans="1:49">
      <c r="A10" s="53"/>
      <c r="B10" s="27" t="s">
        <v>338</v>
      </c>
      <c r="C10" s="195" t="str">
        <f>$C$9</f>
        <v>US$</v>
      </c>
      <c r="D10" s="192">
        <f ca="1">SUM(I10:AV10)</f>
        <v>0</v>
      </c>
      <c r="E10" s="192"/>
      <c r="F10" s="193"/>
      <c r="G10" s="192"/>
      <c r="H10" s="192"/>
      <c r="I10" s="192">
        <f>-'O&amp;M Costs'!I278-'O&amp;M Costs'!I350</f>
        <v>0</v>
      </c>
      <c r="J10" s="192">
        <f ca="1">-'O&amp;M Costs'!J278-'O&amp;M Costs'!J350</f>
        <v>0</v>
      </c>
      <c r="K10" s="192">
        <f ca="1">-'O&amp;M Costs'!K278-'O&amp;M Costs'!K350</f>
        <v>0</v>
      </c>
      <c r="L10" s="192">
        <f ca="1">-'O&amp;M Costs'!L278-'O&amp;M Costs'!L350</f>
        <v>0</v>
      </c>
      <c r="M10" s="192">
        <f ca="1">-'O&amp;M Costs'!M278-'O&amp;M Costs'!M350</f>
        <v>0</v>
      </c>
      <c r="N10" s="192">
        <f ca="1">-'O&amp;M Costs'!N278-'O&amp;M Costs'!N350</f>
        <v>0</v>
      </c>
      <c r="O10" s="192">
        <f ca="1">-'O&amp;M Costs'!O278-'O&amp;M Costs'!O350</f>
        <v>0</v>
      </c>
      <c r="P10" s="192">
        <f ca="1">-'O&amp;M Costs'!P278-'O&amp;M Costs'!P350</f>
        <v>0</v>
      </c>
      <c r="Q10" s="192">
        <f ca="1">-'O&amp;M Costs'!Q278-'O&amp;M Costs'!Q350</f>
        <v>0</v>
      </c>
      <c r="R10" s="192">
        <f ca="1">-'O&amp;M Costs'!R278-'O&amp;M Costs'!R350</f>
        <v>0</v>
      </c>
      <c r="S10" s="192">
        <f ca="1">-'O&amp;M Costs'!S278-'O&amp;M Costs'!S350</f>
        <v>0</v>
      </c>
      <c r="T10" s="192">
        <f ca="1">-'O&amp;M Costs'!T278-'O&amp;M Costs'!T350</f>
        <v>0</v>
      </c>
      <c r="U10" s="192">
        <f ca="1">-'O&amp;M Costs'!U278-'O&amp;M Costs'!U350</f>
        <v>0</v>
      </c>
      <c r="V10" s="192">
        <f ca="1">-'O&amp;M Costs'!V278-'O&amp;M Costs'!V350</f>
        <v>0</v>
      </c>
      <c r="W10" s="192">
        <f ca="1">-'O&amp;M Costs'!W278-'O&amp;M Costs'!W350</f>
        <v>0</v>
      </c>
      <c r="X10" s="192">
        <f ca="1">-'O&amp;M Costs'!X278-'O&amp;M Costs'!X350</f>
        <v>0</v>
      </c>
      <c r="Y10" s="192">
        <f ca="1">-'O&amp;M Costs'!Y278-'O&amp;M Costs'!Y350</f>
        <v>0</v>
      </c>
      <c r="Z10" s="192">
        <f ca="1">-'O&amp;M Costs'!Z278-'O&amp;M Costs'!Z350</f>
        <v>0</v>
      </c>
      <c r="AA10" s="192">
        <f ca="1">-'O&amp;M Costs'!AA278-'O&amp;M Costs'!AA350</f>
        <v>0</v>
      </c>
      <c r="AB10" s="192">
        <f ca="1">-'O&amp;M Costs'!AB278-'O&amp;M Costs'!AB350</f>
        <v>0</v>
      </c>
      <c r="AC10" s="192">
        <f ca="1">-'O&amp;M Costs'!AC278-'O&amp;M Costs'!AC350</f>
        <v>0</v>
      </c>
      <c r="AD10" s="192">
        <f ca="1">-'O&amp;M Costs'!AD278-'O&amp;M Costs'!AD350</f>
        <v>0</v>
      </c>
      <c r="AE10" s="192">
        <f ca="1">-'O&amp;M Costs'!AE278-'O&amp;M Costs'!AE350</f>
        <v>0</v>
      </c>
      <c r="AF10" s="192">
        <f ca="1">-'O&amp;M Costs'!AF278-'O&amp;M Costs'!AF350</f>
        <v>0</v>
      </c>
      <c r="AG10" s="192">
        <f ca="1">-'O&amp;M Costs'!AG278-'O&amp;M Costs'!AG350</f>
        <v>0</v>
      </c>
      <c r="AH10" s="192">
        <f ca="1">-'O&amp;M Costs'!AH278-'O&amp;M Costs'!AH350</f>
        <v>0</v>
      </c>
      <c r="AI10" s="192">
        <f ca="1">-'O&amp;M Costs'!AI278-'O&amp;M Costs'!AI350</f>
        <v>0</v>
      </c>
      <c r="AJ10" s="192">
        <f ca="1">-'O&amp;M Costs'!AJ278-'O&amp;M Costs'!AJ350</f>
        <v>0</v>
      </c>
      <c r="AK10" s="192">
        <f ca="1">-'O&amp;M Costs'!AK278-'O&amp;M Costs'!AK350</f>
        <v>0</v>
      </c>
      <c r="AL10" s="192">
        <f ca="1">-'O&amp;M Costs'!AL278-'O&amp;M Costs'!AL350</f>
        <v>0</v>
      </c>
      <c r="AM10" s="192"/>
      <c r="AN10" s="192"/>
      <c r="AO10" s="192"/>
      <c r="AP10" s="192"/>
      <c r="AQ10" s="192"/>
      <c r="AR10" s="192"/>
      <c r="AS10" s="192"/>
      <c r="AT10" s="192"/>
      <c r="AU10" s="192"/>
      <c r="AV10" s="192"/>
      <c r="AW10" s="192"/>
    </row>
    <row r="11" spans="1:49">
      <c r="A11" s="53"/>
      <c r="B11" s="10" t="s">
        <v>447</v>
      </c>
      <c r="C11" s="196" t="str">
        <f>$C$10</f>
        <v>US$</v>
      </c>
      <c r="D11" s="197">
        <f ca="1">SUM(D7:D10)</f>
        <v>51038297561.930946</v>
      </c>
      <c r="E11" s="197"/>
      <c r="F11" s="197"/>
      <c r="G11" s="197"/>
      <c r="H11" s="197"/>
      <c r="I11" s="197">
        <f ca="1">SUM(I7:I10)</f>
        <v>0</v>
      </c>
      <c r="J11" s="197">
        <f t="shared" ref="J11:AL11" ca="1" si="0">SUM(J7:J10)</f>
        <v>-144780637.06971791</v>
      </c>
      <c r="K11" s="197">
        <f t="shared" ca="1" si="0"/>
        <v>748048635.85354424</v>
      </c>
      <c r="L11" s="197">
        <f ca="1">SUM(L7:L10)</f>
        <v>1154245502.9572415</v>
      </c>
      <c r="M11" s="197">
        <f t="shared" ca="1" si="0"/>
        <v>1306885923.0478511</v>
      </c>
      <c r="N11" s="197">
        <f t="shared" ca="1" si="0"/>
        <v>1406337905.1259873</v>
      </c>
      <c r="O11" s="197">
        <f t="shared" ca="1" si="0"/>
        <v>1502374335.0218873</v>
      </c>
      <c r="P11" s="197">
        <f t="shared" ca="1" si="0"/>
        <v>1584464899.7328324</v>
      </c>
      <c r="Q11" s="197">
        <f t="shared" ca="1" si="0"/>
        <v>1671038014.1272502</v>
      </c>
      <c r="R11" s="197">
        <f t="shared" ca="1" si="0"/>
        <v>1763038349.4560404</v>
      </c>
      <c r="S11" s="197">
        <f t="shared" ca="1" si="0"/>
        <v>1859426355.8876488</v>
      </c>
      <c r="T11" s="197">
        <f t="shared" ca="1" si="0"/>
        <v>1962578870.9780517</v>
      </c>
      <c r="U11" s="197">
        <f t="shared" ca="1" si="0"/>
        <v>2071479165.9403839</v>
      </c>
      <c r="V11" s="197">
        <f t="shared" ca="1" si="0"/>
        <v>2187218795.5194998</v>
      </c>
      <c r="W11" s="197">
        <f t="shared" ca="1" si="0"/>
        <v>2308710157.7700872</v>
      </c>
      <c r="X11" s="197">
        <f t="shared" ca="1" si="0"/>
        <v>1568871635.0042436</v>
      </c>
      <c r="Y11" s="197">
        <f t="shared" ca="1" si="0"/>
        <v>1616877556.3134694</v>
      </c>
      <c r="Z11" s="197">
        <f t="shared" ca="1" si="0"/>
        <v>1670193091.6495616</v>
      </c>
      <c r="AA11" s="197">
        <f t="shared" ca="1" si="0"/>
        <v>1723888974.8059947</v>
      </c>
      <c r="AB11" s="197">
        <f t="shared" ca="1" si="0"/>
        <v>1780483139.5728509</v>
      </c>
      <c r="AC11" s="197">
        <f t="shared" ca="1" si="0"/>
        <v>1838366708.0961027</v>
      </c>
      <c r="AD11" s="197">
        <f t="shared" ca="1" si="0"/>
        <v>1898456007.5060914</v>
      </c>
      <c r="AE11" s="197">
        <f t="shared" ca="1" si="0"/>
        <v>1959003441.4193921</v>
      </c>
      <c r="AF11" s="197">
        <f t="shared" ca="1" si="0"/>
        <v>2022783400.7620659</v>
      </c>
      <c r="AG11" s="197">
        <f t="shared" ca="1" si="0"/>
        <v>2088027497.7454379</v>
      </c>
      <c r="AH11" s="197">
        <f t="shared" ca="1" si="0"/>
        <v>2155745043.4358735</v>
      </c>
      <c r="AI11" s="197">
        <f t="shared" ca="1" si="0"/>
        <v>2224015127.4866819</v>
      </c>
      <c r="AJ11" s="197">
        <f t="shared" ca="1" si="0"/>
        <v>2295890994.1856556</v>
      </c>
      <c r="AK11" s="197">
        <f t="shared" ca="1" si="0"/>
        <v>2369428946.9624939</v>
      </c>
      <c r="AL11" s="197">
        <f t="shared" ca="1" si="0"/>
        <v>2445199722.6364331</v>
      </c>
      <c r="AM11" s="197"/>
      <c r="AN11" s="197"/>
      <c r="AO11" s="197"/>
      <c r="AP11" s="197"/>
      <c r="AQ11" s="197"/>
      <c r="AR11" s="197"/>
      <c r="AS11" s="197"/>
      <c r="AT11" s="197"/>
      <c r="AU11" s="197"/>
      <c r="AV11" s="197"/>
      <c r="AW11" s="197"/>
    </row>
    <row r="12" spans="1:49">
      <c r="A12" s="53"/>
      <c r="B12" s="29"/>
      <c r="C12" s="194"/>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row>
    <row r="13" spans="1:49">
      <c r="A13" s="53"/>
      <c r="B13" s="27" t="s">
        <v>269</v>
      </c>
      <c r="C13" s="195" t="str">
        <f>$C$9</f>
        <v>US$</v>
      </c>
      <c r="D13" s="1532">
        <f ca="1">SUM(I12:AW13)</f>
        <v>-4140451092.8002276</v>
      </c>
      <c r="E13" s="192"/>
      <c r="F13" s="192"/>
      <c r="G13" s="192"/>
      <c r="H13" s="192"/>
      <c r="I13" s="192">
        <f ca="1">'Fixed Assets'!I52</f>
        <v>0</v>
      </c>
      <c r="J13" s="192">
        <f ca="1">'Fixed Assets'!J52</f>
        <v>0</v>
      </c>
      <c r="K13" s="1532">
        <f ca="1">'Fixed Assets'!K52</f>
        <v>-147873253.31429383</v>
      </c>
      <c r="L13" s="1532">
        <f ca="1">'Fixed Assets'!L52</f>
        <v>-147873253.31429383</v>
      </c>
      <c r="M13" s="1532">
        <f ca="1">'Fixed Assets'!M52</f>
        <v>-147873253.31429383</v>
      </c>
      <c r="N13" s="1532">
        <f ca="1">'Fixed Assets'!N52</f>
        <v>-147469228.03201434</v>
      </c>
      <c r="O13" s="1532">
        <f ca="1">'Fixed Assets'!O52</f>
        <v>-148278385.51515493</v>
      </c>
      <c r="P13" s="1532">
        <f ca="1">'Fixed Assets'!P52</f>
        <v>-147873253.31429383</v>
      </c>
      <c r="Q13" s="1532">
        <f ca="1">'Fixed Assets'!Q52</f>
        <v>-147873253.31429383</v>
      </c>
      <c r="R13" s="1532">
        <f ca="1">'Fixed Assets'!R52</f>
        <v>-147469228.03201434</v>
      </c>
      <c r="S13" s="1532">
        <f ca="1">'Fixed Assets'!S52</f>
        <v>-148278385.51515493</v>
      </c>
      <c r="T13" s="1532">
        <f ca="1">'Fixed Assets'!T52</f>
        <v>-147873253.31429383</v>
      </c>
      <c r="U13" s="1532">
        <f ca="1">'Fixed Assets'!U52</f>
        <v>-147873253.31429383</v>
      </c>
      <c r="V13" s="1532">
        <f ca="1">'Fixed Assets'!V52</f>
        <v>-147469228.03201434</v>
      </c>
      <c r="W13" s="1532">
        <f ca="1">'Fixed Assets'!W52</f>
        <v>-148278385.51515493</v>
      </c>
      <c r="X13" s="1532">
        <f ca="1">'Fixed Assets'!X52</f>
        <v>-147873253.31429383</v>
      </c>
      <c r="Y13" s="1532">
        <f ca="1">'Fixed Assets'!Y52</f>
        <v>-147873253.31429383</v>
      </c>
      <c r="Z13" s="1532">
        <f ca="1">'Fixed Assets'!Z52</f>
        <v>-147469228.03201434</v>
      </c>
      <c r="AA13" s="1532">
        <f ca="1">'Fixed Assets'!AA52</f>
        <v>-148278385.51515493</v>
      </c>
      <c r="AB13" s="1532">
        <f ca="1">'Fixed Assets'!AB52</f>
        <v>-147873253.31429383</v>
      </c>
      <c r="AC13" s="1532">
        <f ca="1">'Fixed Assets'!AC52</f>
        <v>-147873253.31429383</v>
      </c>
      <c r="AD13" s="1532">
        <f ca="1">'Fixed Assets'!AD52</f>
        <v>-147469228.03201434</v>
      </c>
      <c r="AE13" s="1532">
        <f ca="1">'Fixed Assets'!AE52</f>
        <v>-148278385.51515493</v>
      </c>
      <c r="AF13" s="1532">
        <f ca="1">'Fixed Assets'!AF52</f>
        <v>-147873253.31429383</v>
      </c>
      <c r="AG13" s="1532">
        <f ca="1">'Fixed Assets'!AG52</f>
        <v>-147873253.31429383</v>
      </c>
      <c r="AH13" s="1532">
        <f ca="1">'Fixed Assets'!AH52</f>
        <v>-147469228.03201434</v>
      </c>
      <c r="AI13" s="1532">
        <f ca="1">'Fixed Assets'!AI52</f>
        <v>-148278385.51515493</v>
      </c>
      <c r="AJ13" s="1532">
        <f ca="1">'Fixed Assets'!AJ52</f>
        <v>-147873253.31429383</v>
      </c>
      <c r="AK13" s="1532">
        <f ca="1">'Fixed Assets'!AK52</f>
        <v>-147873253.31429383</v>
      </c>
      <c r="AL13" s="1532">
        <f ca="1">'Fixed Assets'!AL52</f>
        <v>-147866611.80280447</v>
      </c>
      <c r="AM13" s="1532"/>
      <c r="AN13" s="1532"/>
      <c r="AO13" s="1532"/>
      <c r="AP13" s="1532"/>
      <c r="AQ13" s="1532"/>
      <c r="AR13" s="1532"/>
      <c r="AS13" s="1532"/>
      <c r="AT13" s="1532"/>
      <c r="AU13" s="1532"/>
      <c r="AV13" s="1532"/>
      <c r="AW13" s="1532"/>
    </row>
    <row r="14" spans="1:49">
      <c r="A14" s="53"/>
      <c r="B14" s="10" t="s">
        <v>448</v>
      </c>
      <c r="C14" s="196" t="str">
        <f>$C$10</f>
        <v>US$</v>
      </c>
      <c r="D14" s="197">
        <f ca="1">D13+D11</f>
        <v>46897846469.130722</v>
      </c>
      <c r="E14" s="197"/>
      <c r="F14" s="197"/>
      <c r="G14" s="197"/>
      <c r="H14" s="197"/>
      <c r="I14" s="197">
        <f t="shared" ref="I14:AL14" ca="1" si="1">I13+I11</f>
        <v>0</v>
      </c>
      <c r="J14" s="197">
        <f t="shared" ca="1" si="1"/>
        <v>-144780637.06971791</v>
      </c>
      <c r="K14" s="1531">
        <f t="shared" ca="1" si="1"/>
        <v>600175382.53925037</v>
      </c>
      <c r="L14" s="1531">
        <f t="shared" ca="1" si="1"/>
        <v>1006372249.6429477</v>
      </c>
      <c r="M14" s="1531">
        <f t="shared" ca="1" si="1"/>
        <v>1159012669.7335572</v>
      </c>
      <c r="N14" s="1531">
        <f t="shared" ca="1" si="1"/>
        <v>1258868677.0939729</v>
      </c>
      <c r="O14" s="1531">
        <f t="shared" ca="1" si="1"/>
        <v>1354095949.5067325</v>
      </c>
      <c r="P14" s="1531">
        <f t="shared" ca="1" si="1"/>
        <v>1436591646.4185386</v>
      </c>
      <c r="Q14" s="1531">
        <f t="shared" ca="1" si="1"/>
        <v>1523164760.8129563</v>
      </c>
      <c r="R14" s="1531">
        <f t="shared" ca="1" si="1"/>
        <v>1615569121.424026</v>
      </c>
      <c r="S14" s="1531">
        <f t="shared" ca="1" si="1"/>
        <v>1711147970.372494</v>
      </c>
      <c r="T14" s="1531">
        <f t="shared" ca="1" si="1"/>
        <v>1814705617.6637578</v>
      </c>
      <c r="U14" s="1531">
        <f t="shared" ca="1" si="1"/>
        <v>1923605912.62609</v>
      </c>
      <c r="V14" s="1531">
        <f t="shared" ca="1" si="1"/>
        <v>2039749567.4874854</v>
      </c>
      <c r="W14" s="1531">
        <f t="shared" ca="1" si="1"/>
        <v>2160431772.2549324</v>
      </c>
      <c r="X14" s="1531">
        <f t="shared" ca="1" si="1"/>
        <v>1420998381.6899498</v>
      </c>
      <c r="Y14" s="1531">
        <f t="shared" ca="1" si="1"/>
        <v>1469004302.9991755</v>
      </c>
      <c r="Z14" s="1531">
        <f t="shared" ca="1" si="1"/>
        <v>1522723863.6175473</v>
      </c>
      <c r="AA14" s="1531">
        <f t="shared" ca="1" si="1"/>
        <v>1575610589.2908399</v>
      </c>
      <c r="AB14" s="1531">
        <f t="shared" ca="1" si="1"/>
        <v>1632609886.2585571</v>
      </c>
      <c r="AC14" s="1531">
        <f t="shared" ca="1" si="1"/>
        <v>1690493454.7818089</v>
      </c>
      <c r="AD14" s="1531">
        <f t="shared" ca="1" si="1"/>
        <v>1750986779.474077</v>
      </c>
      <c r="AE14" s="1531">
        <f t="shared" ca="1" si="1"/>
        <v>1810725055.9042373</v>
      </c>
      <c r="AF14" s="1531">
        <f t="shared" ca="1" si="1"/>
        <v>1874910147.447772</v>
      </c>
      <c r="AG14" s="1531">
        <f t="shared" ca="1" si="1"/>
        <v>1940154244.431144</v>
      </c>
      <c r="AH14" s="1531">
        <f t="shared" ca="1" si="1"/>
        <v>2008275815.4038591</v>
      </c>
      <c r="AI14" s="1531">
        <f t="shared" ca="1" si="1"/>
        <v>2075736741.9715271</v>
      </c>
      <c r="AJ14" s="1531">
        <f t="shared" ca="1" si="1"/>
        <v>2148017740.8713617</v>
      </c>
      <c r="AK14" s="1531">
        <f t="shared" ca="1" si="1"/>
        <v>2221555693.6482</v>
      </c>
      <c r="AL14" s="1531">
        <f t="shared" ca="1" si="1"/>
        <v>2297333110.8336287</v>
      </c>
      <c r="AM14" s="1531"/>
      <c r="AN14" s="1531"/>
      <c r="AO14" s="1531"/>
      <c r="AP14" s="1531"/>
      <c r="AQ14" s="1531"/>
      <c r="AR14" s="1531"/>
      <c r="AS14" s="1531"/>
      <c r="AT14" s="1531"/>
      <c r="AU14" s="1531"/>
      <c r="AV14" s="1531"/>
      <c r="AW14" s="1531"/>
    </row>
    <row r="15" spans="1:49">
      <c r="A15" s="53"/>
      <c r="C15" s="191"/>
      <c r="D15" s="191"/>
      <c r="E15" s="191"/>
      <c r="F15" s="191"/>
      <c r="G15" s="191"/>
      <c r="H15" s="191"/>
      <c r="I15" s="191"/>
      <c r="J15" s="191"/>
      <c r="K15" s="191"/>
      <c r="L15" s="191"/>
      <c r="M15" s="191"/>
      <c r="N15" s="191"/>
      <c r="O15" s="191"/>
      <c r="P15" s="191"/>
      <c r="Q15" s="191"/>
      <c r="R15" s="191"/>
      <c r="S15" s="191"/>
      <c r="T15" s="191"/>
      <c r="U15" s="191"/>
      <c r="V15" s="191"/>
      <c r="W15" s="191"/>
      <c r="X15" s="191"/>
      <c r="Y15" s="191"/>
      <c r="Z15" s="191"/>
      <c r="AA15" s="191"/>
      <c r="AB15" s="191"/>
      <c r="AC15" s="191"/>
      <c r="AD15" s="191"/>
      <c r="AE15" s="191"/>
      <c r="AF15" s="191"/>
      <c r="AG15" s="191"/>
      <c r="AH15" s="191"/>
      <c r="AI15" s="191"/>
      <c r="AJ15" s="191"/>
    </row>
    <row r="16" spans="1:49">
      <c r="A16" s="53"/>
      <c r="B16" s="2" t="s">
        <v>449</v>
      </c>
      <c r="C16" s="194" t="str">
        <f>$C$7</f>
        <v>US$</v>
      </c>
      <c r="D16" s="191">
        <f ca="1">SUM(I16:AW16)</f>
        <v>3351872823.1400719</v>
      </c>
      <c r="E16" s="191"/>
      <c r="F16" s="191"/>
      <c r="G16" s="191"/>
      <c r="H16" s="191"/>
      <c r="I16" s="1529">
        <f>'Rev &amp; Receivables'!J188</f>
        <v>0</v>
      </c>
      <c r="J16" s="1529">
        <f ca="1">'Rev &amp; Receivables'!K188</f>
        <v>0</v>
      </c>
      <c r="K16" s="1529">
        <f ca="1">'Rev &amp; Receivables'!L188</f>
        <v>0</v>
      </c>
      <c r="L16" s="1531">
        <f ca="1">'Rev &amp; Receivables'!M188</f>
        <v>14558520.697438626</v>
      </c>
      <c r="M16" s="1529">
        <f ca="1">'Rev &amp; Receivables'!N188</f>
        <v>20204961.009751782</v>
      </c>
      <c r="N16" s="1529">
        <f ca="1">'Rev &amp; Receivables'!O188</f>
        <v>29549938.736195337</v>
      </c>
      <c r="O16" s="1529">
        <f ca="1">'Rev &amp; Receivables'!P188</f>
        <v>37776441.42145364</v>
      </c>
      <c r="P16" s="1529">
        <f ca="1">'Rev &amp; Receivables'!Q188</f>
        <v>46936716.80945757</v>
      </c>
      <c r="Q16" s="1529">
        <f ca="1">'Rev &amp; Receivables'!R188</f>
        <v>57163759.714412756</v>
      </c>
      <c r="R16" s="1529">
        <f ca="1">'Rev &amp; Receivables'!S188</f>
        <v>68031525.691744074</v>
      </c>
      <c r="S16" s="1529">
        <f ca="1">'Rev &amp; Receivables'!T188</f>
        <v>75185947.269447565</v>
      </c>
      <c r="T16" s="1529">
        <f ca="1">'Rev &amp; Receivables'!U188</f>
        <v>88774522.899694592</v>
      </c>
      <c r="U16" s="1529">
        <f ca="1">'Rev &amp; Receivables'!V188</f>
        <v>102068372.97023477</v>
      </c>
      <c r="V16" s="1529">
        <f ca="1">'Rev &amp; Receivables'!W188</f>
        <v>114640168.02233456</v>
      </c>
      <c r="W16" s="1529">
        <f ca="1">'Rev &amp; Receivables'!X188</f>
        <v>127998239.10688062</v>
      </c>
      <c r="X16" s="1529">
        <f ca="1">'Rev &amp; Receivables'!Y188</f>
        <v>140029438.29102582</v>
      </c>
      <c r="Y16" s="1529">
        <f ca="1">'Rev &amp; Receivables'!Z188</f>
        <v>143179953.31027451</v>
      </c>
      <c r="Z16" s="1529">
        <f ca="1">'Rev &amp; Receivables'!AA188</f>
        <v>144233215.19220558</v>
      </c>
      <c r="AA16" s="1529">
        <f ca="1">'Rev &amp; Receivables'!AB188</f>
        <v>147046356.56353334</v>
      </c>
      <c r="AB16" s="1529">
        <f ca="1">'Rev &amp; Receivables'!AC188</f>
        <v>148929012.86344239</v>
      </c>
      <c r="AC16" s="1529">
        <f ca="1">'Rev &amp; Receivables'!AD188</f>
        <v>152041334.52032745</v>
      </c>
      <c r="AD16" s="1529">
        <f ca="1">'Rev &amp; Receivables'!AE188</f>
        <v>155386742.77876014</v>
      </c>
      <c r="AE16" s="1529">
        <f ca="1">'Rev &amp; Receivables'!AF188</f>
        <v>160701620.03123683</v>
      </c>
      <c r="AF16" s="1529">
        <f ca="1">'Rev &amp; Receivables'!AG188</f>
        <v>165055341.54263267</v>
      </c>
      <c r="AG16" s="1529">
        <f ca="1">'Rev &amp; Receivables'!AH188</f>
        <v>170432003.71515882</v>
      </c>
      <c r="AH16" s="1529">
        <f ca="1">'Rev &amp; Receivables'!AI188</f>
        <v>175768467.01460215</v>
      </c>
      <c r="AI16" s="1529">
        <f ca="1">'Rev &amp; Receivables'!AJ188</f>
        <v>183070723.87063196</v>
      </c>
      <c r="AJ16" s="1529">
        <f ca="1">'Rev &amp; Receivables'!AK188</f>
        <v>189058513.97494468</v>
      </c>
      <c r="AK16" s="1529">
        <f ca="1">'Rev &amp; Receivables'!AL188</f>
        <v>227131743.93598267</v>
      </c>
      <c r="AL16" s="1529">
        <f ca="1">'Rev &amp; Receivables'!AM188</f>
        <v>266919241.18626624</v>
      </c>
      <c r="AM16" s="1529"/>
      <c r="AN16" s="1529"/>
      <c r="AO16" s="1529"/>
      <c r="AP16" s="1529"/>
      <c r="AQ16" s="1529"/>
      <c r="AR16" s="1529"/>
      <c r="AS16" s="1529"/>
      <c r="AT16" s="1529"/>
      <c r="AU16" s="1529"/>
      <c r="AV16" s="1529"/>
      <c r="AW16" s="1529"/>
    </row>
    <row r="17" spans="1:49">
      <c r="A17" s="53"/>
      <c r="B17" s="2" t="s">
        <v>450</v>
      </c>
      <c r="C17" s="194" t="str">
        <f>$C$7</f>
        <v>US$</v>
      </c>
      <c r="D17" s="1529">
        <f ca="1">SUM(I17:AW17)</f>
        <v>0</v>
      </c>
      <c r="E17" s="191"/>
      <c r="F17" s="191"/>
      <c r="G17" s="191"/>
      <c r="H17" s="191"/>
      <c r="I17" s="1529">
        <f>'O&amp;M Costs'!I361</f>
        <v>0</v>
      </c>
      <c r="J17" s="1529">
        <f ca="1">'O&amp;M Costs'!J361</f>
        <v>0</v>
      </c>
      <c r="K17" s="1529">
        <f ca="1">'O&amp;M Costs'!K361</f>
        <v>0</v>
      </c>
      <c r="L17" s="1529">
        <f ca="1">'O&amp;M Costs'!L361</f>
        <v>0</v>
      </c>
      <c r="M17" s="1529">
        <f ca="1">'O&amp;M Costs'!M361</f>
        <v>0</v>
      </c>
      <c r="N17" s="1529">
        <f ca="1">'O&amp;M Costs'!N361</f>
        <v>0</v>
      </c>
      <c r="O17" s="1529">
        <f ca="1">'O&amp;M Costs'!O361</f>
        <v>0</v>
      </c>
      <c r="P17" s="1529">
        <f ca="1">'O&amp;M Costs'!P361</f>
        <v>0</v>
      </c>
      <c r="Q17" s="1529">
        <f ca="1">'O&amp;M Costs'!Q361</f>
        <v>0</v>
      </c>
      <c r="R17" s="1529">
        <f ca="1">'O&amp;M Costs'!R361</f>
        <v>0</v>
      </c>
      <c r="S17" s="1529">
        <f ca="1">'O&amp;M Costs'!S361</f>
        <v>0</v>
      </c>
      <c r="T17" s="1529">
        <f ca="1">'O&amp;M Costs'!T361</f>
        <v>0</v>
      </c>
      <c r="U17" s="1529">
        <f ca="1">'O&amp;M Costs'!U361</f>
        <v>0</v>
      </c>
      <c r="V17" s="1529">
        <f ca="1">'O&amp;M Costs'!V361</f>
        <v>0</v>
      </c>
      <c r="W17" s="1529">
        <f ca="1">'O&amp;M Costs'!W361</f>
        <v>0</v>
      </c>
      <c r="X17" s="1529">
        <f ca="1">'O&amp;M Costs'!X361</f>
        <v>0</v>
      </c>
      <c r="Y17" s="1529">
        <f ca="1">'O&amp;M Costs'!Y361</f>
        <v>0</v>
      </c>
      <c r="Z17" s="1529">
        <f ca="1">'O&amp;M Costs'!Z361</f>
        <v>0</v>
      </c>
      <c r="AA17" s="1529">
        <f ca="1">'O&amp;M Costs'!AA361</f>
        <v>0</v>
      </c>
      <c r="AB17" s="1529">
        <f ca="1">'O&amp;M Costs'!AB361</f>
        <v>0</v>
      </c>
      <c r="AC17" s="1529">
        <f ca="1">'O&amp;M Costs'!AC361</f>
        <v>0</v>
      </c>
      <c r="AD17" s="1529">
        <f ca="1">'O&amp;M Costs'!AD361</f>
        <v>0</v>
      </c>
      <c r="AE17" s="1529">
        <f ca="1">'O&amp;M Costs'!AE361</f>
        <v>0</v>
      </c>
      <c r="AF17" s="1529">
        <f ca="1">'O&amp;M Costs'!AF361</f>
        <v>0</v>
      </c>
      <c r="AG17" s="1529">
        <f ca="1">'O&amp;M Costs'!AG361</f>
        <v>0</v>
      </c>
      <c r="AH17" s="1529">
        <f ca="1">'O&amp;M Costs'!AH361</f>
        <v>0</v>
      </c>
      <c r="AI17" s="1529">
        <f ca="1">'O&amp;M Costs'!AI361</f>
        <v>0</v>
      </c>
      <c r="AJ17" s="1529">
        <f ca="1">'O&amp;M Costs'!AJ361</f>
        <v>0</v>
      </c>
      <c r="AK17" s="1529">
        <f ca="1">'O&amp;M Costs'!AK361</f>
        <v>0</v>
      </c>
      <c r="AL17" s="1529">
        <f ca="1">'O&amp;M Costs'!AL361</f>
        <v>0</v>
      </c>
      <c r="AM17" s="1529"/>
      <c r="AN17" s="1529"/>
      <c r="AO17" s="1529"/>
      <c r="AP17" s="1529"/>
      <c r="AQ17" s="1529"/>
      <c r="AR17" s="1529"/>
      <c r="AS17" s="1529"/>
      <c r="AT17" s="1529"/>
      <c r="AU17" s="1529"/>
      <c r="AV17" s="1529"/>
      <c r="AW17" s="1529"/>
    </row>
    <row r="18" spans="1:49">
      <c r="A18" s="53"/>
      <c r="B18" s="2" t="s">
        <v>451</v>
      </c>
      <c r="C18" s="194" t="str">
        <f>$C$7</f>
        <v>US$</v>
      </c>
      <c r="D18" s="1531">
        <f ca="1">SUM(I18:AW18)</f>
        <v>-1195033431.6136169</v>
      </c>
      <c r="E18" s="191"/>
      <c r="F18" s="191"/>
      <c r="G18" s="191"/>
      <c r="H18" s="191"/>
      <c r="I18" s="1529">
        <f>SUM('Debt Schedule'!I73:I74,'Debt Schedule'!I51)</f>
        <v>0</v>
      </c>
      <c r="J18" s="1529">
        <f ca="1">SUM('Debt Schedule'!J73:J74,'Debt Schedule'!J51)</f>
        <v>0</v>
      </c>
      <c r="K18" s="1529">
        <f ca="1">SUM('Debt Schedule'!K73:K74,'Debt Schedule'!K51)</f>
        <v>0</v>
      </c>
      <c r="L18" s="1531">
        <f ca="1">-SUM('Debt Schedule'!L73:L74,'Debt Schedule'!L51)</f>
        <v>-298816355.36739236</v>
      </c>
      <c r="M18" s="1531">
        <f ca="1">-SUM('Debt Schedule'!M73:M74,'Debt Schedule'!M51)</f>
        <v>-256128304.60062197</v>
      </c>
      <c r="N18" s="1531">
        <f ca="1">-SUM('Debt Schedule'!N73:N74,'Debt Schedule'!N51)</f>
        <v>-212857083.74140942</v>
      </c>
      <c r="O18" s="1531">
        <f ca="1">-SUM('Debt Schedule'!O73:O74,'Debt Schedule'!O51)</f>
        <v>-171220017.32205963</v>
      </c>
      <c r="P18" s="1531">
        <f ca="1">-SUM('Debt Schedule'!P73:P74,'Debt Schedule'!P51)</f>
        <v>-128064152.30031098</v>
      </c>
      <c r="Q18" s="1531">
        <f ca="1">-SUM('Debt Schedule'!Q73:Q74,'Debt Schedule'!Q51)</f>
        <v>-85376101.533540666</v>
      </c>
      <c r="R18" s="1531">
        <f ca="1">-SUM('Debt Schedule'!R73:R74,'Debt Schedule'!R51)</f>
        <v>-42571416.748281889</v>
      </c>
      <c r="S18" s="1531">
        <f ca="1">-SUM('Debt Schedule'!S73:S74,'Debt Schedule'!S51)</f>
        <v>0</v>
      </c>
      <c r="T18" s="1531">
        <f ca="1">-SUM('Debt Schedule'!T73:T74,'Debt Schedule'!T51)</f>
        <v>0</v>
      </c>
      <c r="U18" s="1531">
        <f ca="1">-SUM('Debt Schedule'!U73:U74,'Debt Schedule'!U51)</f>
        <v>0</v>
      </c>
      <c r="V18" s="1531">
        <f ca="1">-SUM('Debt Schedule'!V73:V74,'Debt Schedule'!V51)</f>
        <v>0</v>
      </c>
      <c r="W18" s="1531">
        <f ca="1">-SUM('Debt Schedule'!W73:W74,'Debt Schedule'!W51)</f>
        <v>0</v>
      </c>
      <c r="X18" s="1531">
        <f ca="1">-SUM('Debt Schedule'!X73:X74,'Debt Schedule'!X51)</f>
        <v>0</v>
      </c>
      <c r="Y18" s="1531">
        <f ca="1">-SUM('Debt Schedule'!Y73:Y74,'Debt Schedule'!Y51)</f>
        <v>0</v>
      </c>
      <c r="Z18" s="1531">
        <f ca="1">-SUM('Debt Schedule'!Z73:Z74,'Debt Schedule'!Z51)</f>
        <v>0</v>
      </c>
      <c r="AA18" s="1531">
        <f ca="1">-SUM('Debt Schedule'!AA73:AA74,'Debt Schedule'!AA51)</f>
        <v>0</v>
      </c>
      <c r="AB18" s="1531">
        <f ca="1">-SUM('Debt Schedule'!AB73:AB74,'Debt Schedule'!AB51)</f>
        <v>0</v>
      </c>
      <c r="AC18" s="1531">
        <f ca="1">-SUM('Debt Schedule'!AC73:AC74,'Debt Schedule'!AC51)</f>
        <v>0</v>
      </c>
      <c r="AD18" s="1531">
        <f ca="1">-SUM('Debt Schedule'!AD73:AD74,'Debt Schedule'!AD51)</f>
        <v>0</v>
      </c>
      <c r="AE18" s="1531">
        <f ca="1">-SUM('Debt Schedule'!AE73:AE74,'Debt Schedule'!AE51)</f>
        <v>0</v>
      </c>
      <c r="AF18" s="1531">
        <f ca="1">-SUM('Debt Schedule'!AF73:AF74,'Debt Schedule'!AF51)</f>
        <v>0</v>
      </c>
      <c r="AG18" s="1531">
        <f ca="1">-SUM('Debt Schedule'!AG73:AG74,'Debt Schedule'!AG51)</f>
        <v>0</v>
      </c>
      <c r="AH18" s="1531">
        <f ca="1">-SUM('Debt Schedule'!AH73:AH74,'Debt Schedule'!AH51)</f>
        <v>0</v>
      </c>
      <c r="AI18" s="1531">
        <f ca="1">-SUM('Debt Schedule'!AI73:AI74,'Debt Schedule'!AI51)</f>
        <v>0</v>
      </c>
      <c r="AJ18" s="1531">
        <f ca="1">-SUM('Debt Schedule'!AJ73:AJ74,'Debt Schedule'!AJ51)</f>
        <v>0</v>
      </c>
      <c r="AK18" s="1531">
        <f ca="1">-SUM('Debt Schedule'!AK73:AK74,'Debt Schedule'!AK51)</f>
        <v>0</v>
      </c>
      <c r="AL18" s="1531">
        <f ca="1">-SUM('Debt Schedule'!AL73:AL74,'Debt Schedule'!AL51)</f>
        <v>0</v>
      </c>
      <c r="AM18" s="1531"/>
      <c r="AN18" s="1531"/>
      <c r="AO18" s="1531"/>
      <c r="AP18" s="1531"/>
      <c r="AQ18" s="1531"/>
      <c r="AR18" s="1531"/>
      <c r="AS18" s="1531"/>
      <c r="AT18" s="1531"/>
      <c r="AU18" s="1531"/>
      <c r="AV18" s="1531"/>
      <c r="AW18" s="1531"/>
    </row>
    <row r="19" spans="1:49">
      <c r="A19" s="53"/>
      <c r="B19" s="27" t="s">
        <v>452</v>
      </c>
      <c r="C19" s="195" t="str">
        <f>$C$9</f>
        <v>US$</v>
      </c>
      <c r="D19" s="192">
        <f ca="1">SUM(I19:AW19)</f>
        <v>0</v>
      </c>
      <c r="E19" s="192"/>
      <c r="F19" s="192"/>
      <c r="G19" s="192"/>
      <c r="H19" s="192"/>
      <c r="I19" s="192">
        <f ca="1">-SUM('Debt Schedule'!I119:I120,'Debt Schedule'!I98)</f>
        <v>0</v>
      </c>
      <c r="J19" s="192">
        <f ca="1">-SUM('Debt Schedule'!J119:J120,'Debt Schedule'!J98)</f>
        <v>0</v>
      </c>
      <c r="K19" s="192">
        <f ca="1">-SUM('Debt Schedule'!K119:K120,'Debt Schedule'!K98)</f>
        <v>0</v>
      </c>
      <c r="L19" s="192">
        <f ca="1">-SUM('Debt Schedule'!L119:L120,'Debt Schedule'!L98)</f>
        <v>0</v>
      </c>
      <c r="M19" s="192">
        <f ca="1">-SUM('Debt Schedule'!M119:M120,'Debt Schedule'!M98)</f>
        <v>0</v>
      </c>
      <c r="N19" s="192">
        <f ca="1">-SUM('Debt Schedule'!N119:N120,'Debt Schedule'!N98)</f>
        <v>0</v>
      </c>
      <c r="O19" s="192">
        <f ca="1">-SUM('Debt Schedule'!O119:O120,'Debt Schedule'!O98)</f>
        <v>0</v>
      </c>
      <c r="P19" s="192">
        <f ca="1">-SUM('Debt Schedule'!P119:P120,'Debt Schedule'!P98)</f>
        <v>0</v>
      </c>
      <c r="Q19" s="192">
        <f ca="1">-SUM('Debt Schedule'!Q119:Q120,'Debt Schedule'!Q98)</f>
        <v>0</v>
      </c>
      <c r="R19" s="192">
        <f ca="1">-SUM('Debt Schedule'!R119:R120,'Debt Schedule'!R98)</f>
        <v>0</v>
      </c>
      <c r="S19" s="192">
        <f ca="1">-SUM('Debt Schedule'!S119:S120,'Debt Schedule'!S98)</f>
        <v>0</v>
      </c>
      <c r="T19" s="192">
        <f ca="1">-SUM('Debt Schedule'!T119:T120,'Debt Schedule'!T98)</f>
        <v>0</v>
      </c>
      <c r="U19" s="192">
        <f ca="1">-SUM('Debt Schedule'!U119:U120,'Debt Schedule'!U98)</f>
        <v>0</v>
      </c>
      <c r="V19" s="192">
        <f ca="1">-SUM('Debt Schedule'!V119:V120,'Debt Schedule'!V98)</f>
        <v>0</v>
      </c>
      <c r="W19" s="192">
        <f ca="1">-SUM('Debt Schedule'!W119:W120,'Debt Schedule'!W98)</f>
        <v>0</v>
      </c>
      <c r="X19" s="192">
        <f ca="1">-SUM('Debt Schedule'!X119:X120,'Debt Schedule'!X98)</f>
        <v>0</v>
      </c>
      <c r="Y19" s="192">
        <f ca="1">-SUM('Debt Schedule'!Y119:Y120,'Debt Schedule'!Y98)</f>
        <v>0</v>
      </c>
      <c r="Z19" s="192">
        <f ca="1">-SUM('Debt Schedule'!Z119:Z120,'Debt Schedule'!Z98)</f>
        <v>0</v>
      </c>
      <c r="AA19" s="192">
        <f ca="1">-SUM('Debt Schedule'!AA119:AA120,'Debt Schedule'!AA98)</f>
        <v>0</v>
      </c>
      <c r="AB19" s="192">
        <f ca="1">-SUM('Debt Schedule'!AB119:AB120,'Debt Schedule'!AB98)</f>
        <v>0</v>
      </c>
      <c r="AC19" s="192">
        <f ca="1">-SUM('Debt Schedule'!AC119:AC120,'Debt Schedule'!AC98)</f>
        <v>0</v>
      </c>
      <c r="AD19" s="192">
        <f ca="1">-SUM('Debt Schedule'!AD119:AD120,'Debt Schedule'!AD98)</f>
        <v>0</v>
      </c>
      <c r="AE19" s="192">
        <f ca="1">-SUM('Debt Schedule'!AE119:AE120,'Debt Schedule'!AE98)</f>
        <v>0</v>
      </c>
      <c r="AF19" s="192">
        <f ca="1">-SUM('Debt Schedule'!AF119:AF120,'Debt Schedule'!AF98)</f>
        <v>0</v>
      </c>
      <c r="AG19" s="192">
        <f ca="1">-SUM('Debt Schedule'!AG119:AG120,'Debt Schedule'!AG98)</f>
        <v>0</v>
      </c>
      <c r="AH19" s="192">
        <f ca="1">-SUM('Debt Schedule'!AH119:AH120,'Debt Schedule'!AH98)</f>
        <v>0</v>
      </c>
      <c r="AI19" s="192">
        <f ca="1">-SUM('Debt Schedule'!AI119:AI120,'Debt Schedule'!AI98)</f>
        <v>0</v>
      </c>
      <c r="AJ19" s="192">
        <f ca="1">-SUM('Debt Schedule'!AJ119:AJ120,'Debt Schedule'!AJ98)</f>
        <v>0</v>
      </c>
      <c r="AK19" s="192">
        <f ca="1">-SUM('Debt Schedule'!AK119:AK120,'Debt Schedule'!AK98)</f>
        <v>0</v>
      </c>
      <c r="AL19" s="192">
        <f ca="1">-SUM('Debt Schedule'!AL119:AL120,'Debt Schedule'!AL98)</f>
        <v>0</v>
      </c>
      <c r="AM19" s="192"/>
      <c r="AN19" s="192"/>
      <c r="AO19" s="192"/>
      <c r="AP19" s="192"/>
      <c r="AQ19" s="192"/>
      <c r="AR19" s="192"/>
      <c r="AS19" s="192"/>
      <c r="AT19" s="192"/>
      <c r="AU19" s="192"/>
      <c r="AV19" s="192"/>
      <c r="AW19" s="192"/>
    </row>
    <row r="20" spans="1:49">
      <c r="A20" s="53"/>
      <c r="B20" s="10" t="s">
        <v>392</v>
      </c>
      <c r="C20" s="196" t="str">
        <f>$C$10</f>
        <v>US$</v>
      </c>
      <c r="D20" s="191">
        <f ca="1">SUM(D16:D19)+D14</f>
        <v>49054685860.657181</v>
      </c>
      <c r="E20" s="191"/>
      <c r="F20" s="191"/>
      <c r="G20" s="191"/>
      <c r="H20" s="191"/>
      <c r="I20" s="191">
        <f ca="1">SUM(I16:I19)+I14</f>
        <v>0</v>
      </c>
      <c r="J20" s="1529">
        <f t="shared" ref="J20:AL20" ca="1" si="2">SUM(J16:J19)+J14</f>
        <v>-144780637.06971791</v>
      </c>
      <c r="K20" s="1531">
        <f t="shared" ca="1" si="2"/>
        <v>600175382.53925037</v>
      </c>
      <c r="L20" s="1531">
        <f t="shared" ca="1" si="2"/>
        <v>722114414.97299385</v>
      </c>
      <c r="M20" s="1529">
        <f t="shared" ca="1" si="2"/>
        <v>923089326.14268708</v>
      </c>
      <c r="N20" s="1529">
        <f t="shared" ca="1" si="2"/>
        <v>1075561532.0887589</v>
      </c>
      <c r="O20" s="1529">
        <f t="shared" ca="1" si="2"/>
        <v>1220652373.6061265</v>
      </c>
      <c r="P20" s="1529">
        <f t="shared" ca="1" si="2"/>
        <v>1355464210.9276853</v>
      </c>
      <c r="Q20" s="1529">
        <f t="shared" ca="1" si="2"/>
        <v>1494952418.9938285</v>
      </c>
      <c r="R20" s="1529">
        <f t="shared" ca="1" si="2"/>
        <v>1641029230.3674881</v>
      </c>
      <c r="S20" s="1529">
        <f t="shared" ca="1" si="2"/>
        <v>1786333917.6419415</v>
      </c>
      <c r="T20" s="1529">
        <f t="shared" ca="1" si="2"/>
        <v>1903480140.5634525</v>
      </c>
      <c r="U20" s="1529">
        <f t="shared" ca="1" si="2"/>
        <v>2025674285.5963249</v>
      </c>
      <c r="V20" s="1529">
        <f t="shared" ca="1" si="2"/>
        <v>2154389735.50982</v>
      </c>
      <c r="W20" s="1529">
        <f t="shared" ca="1" si="2"/>
        <v>2288430011.3618131</v>
      </c>
      <c r="X20" s="1529">
        <f t="shared" ca="1" si="2"/>
        <v>1561027819.9809756</v>
      </c>
      <c r="Y20" s="1529">
        <f t="shared" ca="1" si="2"/>
        <v>1612184256.3094501</v>
      </c>
      <c r="Z20" s="1529">
        <f t="shared" ca="1" si="2"/>
        <v>1666957078.8097529</v>
      </c>
      <c r="AA20" s="1529">
        <f t="shared" ca="1" si="2"/>
        <v>1722656945.8543732</v>
      </c>
      <c r="AB20" s="1529">
        <f t="shared" ca="1" si="2"/>
        <v>1781538899.1219995</v>
      </c>
      <c r="AC20" s="1529">
        <f t="shared" ca="1" si="2"/>
        <v>1842534789.3021364</v>
      </c>
      <c r="AD20" s="1529">
        <f t="shared" ca="1" si="2"/>
        <v>1906373522.2528372</v>
      </c>
      <c r="AE20" s="1529">
        <f t="shared" ca="1" si="2"/>
        <v>1971426675.9354742</v>
      </c>
      <c r="AF20" s="1529">
        <f t="shared" ca="1" si="2"/>
        <v>2039965488.9904046</v>
      </c>
      <c r="AG20" s="1529">
        <f t="shared" ca="1" si="2"/>
        <v>2110586248.1463027</v>
      </c>
      <c r="AH20" s="1529">
        <f t="shared" ca="1" si="2"/>
        <v>2184044282.4184613</v>
      </c>
      <c r="AI20" s="1529">
        <f t="shared" ca="1" si="2"/>
        <v>2258807465.8421593</v>
      </c>
      <c r="AJ20" s="1529">
        <f t="shared" ca="1" si="2"/>
        <v>2337076254.8463063</v>
      </c>
      <c r="AK20" s="1529">
        <f t="shared" ca="1" si="2"/>
        <v>2448687437.5841827</v>
      </c>
      <c r="AL20" s="1529">
        <f t="shared" ca="1" si="2"/>
        <v>2564252352.0198951</v>
      </c>
      <c r="AM20" s="1529"/>
      <c r="AN20" s="1529"/>
      <c r="AO20" s="1529"/>
      <c r="AP20" s="1529"/>
      <c r="AQ20" s="1529"/>
      <c r="AR20" s="1529"/>
      <c r="AS20" s="1529"/>
      <c r="AT20" s="1529"/>
      <c r="AU20" s="1529"/>
      <c r="AV20" s="1529"/>
      <c r="AW20" s="1529"/>
    </row>
    <row r="21" spans="1:49">
      <c r="A21" s="53"/>
      <c r="C21" s="194"/>
      <c r="D21" s="191"/>
      <c r="E21" s="191"/>
      <c r="F21" s="191"/>
      <c r="G21" s="191"/>
      <c r="H21" s="191"/>
      <c r="I21" s="191"/>
      <c r="J21" s="1529"/>
      <c r="K21" s="1529"/>
      <c r="L21" s="1529"/>
      <c r="M21" s="1529"/>
      <c r="N21" s="1529"/>
      <c r="O21" s="1529"/>
      <c r="P21" s="1529"/>
      <c r="Q21" s="1529"/>
      <c r="R21" s="1529"/>
      <c r="S21" s="1529"/>
      <c r="T21" s="1529"/>
      <c r="U21" s="1529"/>
      <c r="V21" s="1529"/>
      <c r="W21" s="1529"/>
      <c r="X21" s="1529"/>
      <c r="Y21" s="1529"/>
      <c r="Z21" s="1529"/>
      <c r="AA21" s="1529"/>
      <c r="AB21" s="1529"/>
      <c r="AC21" s="1529"/>
      <c r="AD21" s="1529"/>
      <c r="AE21" s="1529"/>
      <c r="AF21" s="1529"/>
      <c r="AG21" s="1529"/>
      <c r="AH21" s="1529"/>
      <c r="AI21" s="1529"/>
      <c r="AJ21" s="1529"/>
      <c r="AK21" s="1529"/>
      <c r="AL21" s="1529"/>
      <c r="AM21" s="1529"/>
      <c r="AN21" s="1529"/>
      <c r="AO21" s="1529"/>
      <c r="AP21" s="1529"/>
      <c r="AQ21" s="1529"/>
      <c r="AR21" s="1529"/>
      <c r="AS21" s="1529"/>
      <c r="AT21" s="1529"/>
      <c r="AU21" s="1529"/>
      <c r="AV21" s="1529"/>
      <c r="AW21" s="1529"/>
    </row>
    <row r="22" spans="1:49">
      <c r="A22" s="53"/>
      <c r="B22" s="2" t="s">
        <v>453</v>
      </c>
      <c r="C22" s="194" t="str">
        <f>$C$7</f>
        <v>US$</v>
      </c>
      <c r="D22" s="1531">
        <f ca="1">SUM(I22:AW22)</f>
        <v>-15472667845.4466</v>
      </c>
      <c r="E22" s="191"/>
      <c r="F22" s="191"/>
      <c r="G22" s="191"/>
      <c r="H22" s="191"/>
      <c r="I22" s="191">
        <f ca="1">-Taxation!I89</f>
        <v>0</v>
      </c>
      <c r="J22" s="1529">
        <f ca="1">-Taxation!J89</f>
        <v>0</v>
      </c>
      <c r="K22" s="1529">
        <f ca="1">-Taxation!K89</f>
        <v>0</v>
      </c>
      <c r="L22" s="1529">
        <f ca="1">-Taxation!L89</f>
        <v>0</v>
      </c>
      <c r="M22" s="1529">
        <f ca="1">-Taxation!M89</f>
        <v>0</v>
      </c>
      <c r="N22" s="1531">
        <f ca="1">-Taxation!N89</f>
        <v>-158981768.50809935</v>
      </c>
      <c r="O22" s="1531">
        <f ca="1">-Taxation!O89</f>
        <v>-177947309.37817538</v>
      </c>
      <c r="P22" s="1531">
        <f ca="1">-Taxation!P89</f>
        <v>-195418836.97681487</v>
      </c>
      <c r="Q22" s="1531">
        <f ca="1">-Taxation!Q89</f>
        <v>-213550909.14333284</v>
      </c>
      <c r="R22" s="1531">
        <f ca="1">-Taxation!R89</f>
        <v>-495751475.83675665</v>
      </c>
      <c r="S22" s="1531">
        <f ca="1">-Taxation!S89</f>
        <v>-638422060.04184175</v>
      </c>
      <c r="T22" s="1531">
        <f ca="1">-Taxation!T89</f>
        <v>-676946619.97965622</v>
      </c>
      <c r="U22" s="1531">
        <f ca="1">-Taxation!U89</f>
        <v>-717270687.84050417</v>
      </c>
      <c r="V22" s="1531">
        <f ca="1">-Taxation!V89</f>
        <v>-759613457.96880531</v>
      </c>
      <c r="W22" s="1531">
        <f ca="1">-Taxation!W89</f>
        <v>-804113770.96939933</v>
      </c>
      <c r="X22" s="1531">
        <f ca="1">-Taxation!X89</f>
        <v>-563937354.18743896</v>
      </c>
      <c r="Y22" s="1531">
        <f ca="1">-Taxation!Y89</f>
        <v>-580818978.17583549</v>
      </c>
      <c r="Z22" s="1531">
        <f ca="1">-Taxation!Z89</f>
        <v>-598760681.25778317</v>
      </c>
      <c r="AA22" s="1531">
        <f ca="1">-Taxation!AA89</f>
        <v>-617408659.35194421</v>
      </c>
      <c r="AB22" s="1531">
        <f ca="1">-Taxation!AB89</f>
        <v>-636706010.30397677</v>
      </c>
      <c r="AC22" s="1531">
        <f ca="1">-Taxation!AC89</f>
        <v>-656834654.06342196</v>
      </c>
      <c r="AD22" s="1531">
        <f ca="1">-Taxation!AD89</f>
        <v>-677768107.59400094</v>
      </c>
      <c r="AE22" s="1531">
        <f ca="1">-Taxation!AE89</f>
        <v>-699502670.2787075</v>
      </c>
      <c r="AF22" s="1531">
        <f ca="1">-Taxation!AF89</f>
        <v>-721986784.96055043</v>
      </c>
      <c r="AG22" s="1531">
        <f ca="1">-Taxation!AG89</f>
        <v>-745291635.48199677</v>
      </c>
      <c r="AH22" s="1531">
        <f ca="1">-Taxation!AH89</f>
        <v>-769399458.44865692</v>
      </c>
      <c r="AI22" s="1531">
        <f ca="1">-Taxation!AI89</f>
        <v>-794338330.94791365</v>
      </c>
      <c r="AJ22" s="1531">
        <f ca="1">-Taxation!AJ89</f>
        <v>-820033337.69299805</v>
      </c>
      <c r="AK22" s="1531">
        <f ca="1">-Taxation!AK89</f>
        <v>-856865027.99649727</v>
      </c>
      <c r="AL22" s="1531">
        <f ca="1">-Taxation!AL89</f>
        <v>-894999258.06149077</v>
      </c>
      <c r="AM22" s="1531"/>
      <c r="AN22" s="1531"/>
      <c r="AO22" s="1531"/>
      <c r="AP22" s="1531"/>
      <c r="AQ22" s="1531"/>
      <c r="AR22" s="1531"/>
      <c r="AS22" s="1531"/>
      <c r="AT22" s="1531"/>
      <c r="AU22" s="1531"/>
      <c r="AV22" s="1531"/>
      <c r="AW22" s="1529"/>
    </row>
    <row r="23" spans="1:49">
      <c r="A23" s="53"/>
      <c r="B23" s="27" t="s">
        <v>409</v>
      </c>
      <c r="C23" s="195" t="str">
        <f>$C$9</f>
        <v>US$</v>
      </c>
      <c r="D23" s="192">
        <f ca="1">SUM(I23:AW23)</f>
        <v>3.2782554626464844E-7</v>
      </c>
      <c r="E23" s="192"/>
      <c r="F23" s="192"/>
      <c r="G23" s="192"/>
      <c r="H23" s="192"/>
      <c r="I23" s="1532">
        <f ca="1">-Taxation!I104</f>
        <v>0</v>
      </c>
      <c r="J23" s="1532">
        <f ca="1">-Taxation!J104</f>
        <v>43434191.120915376</v>
      </c>
      <c r="K23" s="1532">
        <f ca="1">-Taxation!K104</f>
        <v>927784.87337277527</v>
      </c>
      <c r="L23" s="1532">
        <f ca="1">-Taxation!L104</f>
        <v>44361975.994288146</v>
      </c>
      <c r="M23" s="1532">
        <f ca="1">-Taxation!M104</f>
        <v>44361975.994288146</v>
      </c>
      <c r="N23" s="1532">
        <f ca="1">-Taxation!N104</f>
        <v>-200377613.92215154</v>
      </c>
      <c r="O23" s="1532">
        <f ca="1">-Taxation!O104</f>
        <v>-229316325.47730097</v>
      </c>
      <c r="P23" s="1532">
        <f ca="1">-Taxation!P104</f>
        <v>-256320550.22875005</v>
      </c>
      <c r="Q23" s="1532">
        <f ca="1">-Taxation!Q104</f>
        <v>-284219586.7240594</v>
      </c>
      <c r="R23" s="1532">
        <f ca="1">-Taxation!R104</f>
        <v>-50212247.025474869</v>
      </c>
      <c r="S23" s="1532">
        <f ca="1">-Taxation!S104</f>
        <v>44483515.654546477</v>
      </c>
      <c r="T23" s="1532">
        <f ca="1">-Taxation!T104</f>
        <v>44361975.994288146</v>
      </c>
      <c r="U23" s="1532">
        <f ca="1">-Taxation!U104</f>
        <v>44361975.994288146</v>
      </c>
      <c r="V23" s="1532">
        <f ca="1">-Taxation!V104</f>
        <v>44240768.409604304</v>
      </c>
      <c r="W23" s="1532">
        <f ca="1">-Taxation!W104</f>
        <v>44483515.654546477</v>
      </c>
      <c r="X23" s="1532">
        <f ca="1">-Taxation!X104</f>
        <v>44361975.994288146</v>
      </c>
      <c r="Y23" s="1532">
        <f ca="1">-Taxation!Y104</f>
        <v>44361975.994288146</v>
      </c>
      <c r="Z23" s="1532">
        <f ca="1">-Taxation!Z104</f>
        <v>44240768.409604304</v>
      </c>
      <c r="AA23" s="1532">
        <f ca="1">-Taxation!AA104</f>
        <v>44483515.654546477</v>
      </c>
      <c r="AB23" s="1532">
        <f ca="1">-Taxation!AB104</f>
        <v>44361975.994288146</v>
      </c>
      <c r="AC23" s="1532">
        <f ca="1">-Taxation!AC104</f>
        <v>44361975.994288146</v>
      </c>
      <c r="AD23" s="1532">
        <f ca="1">-Taxation!AD104</f>
        <v>44240768.409604304</v>
      </c>
      <c r="AE23" s="1532">
        <f ca="1">-Taxation!AE104</f>
        <v>44483515.654546477</v>
      </c>
      <c r="AF23" s="1532">
        <f ca="1">-Taxation!AF104</f>
        <v>44361975.994288146</v>
      </c>
      <c r="AG23" s="1532">
        <f ca="1">-Taxation!AG104</f>
        <v>44361975.994288146</v>
      </c>
      <c r="AH23" s="1532">
        <f ca="1">-Taxation!AH104</f>
        <v>44240768.409604304</v>
      </c>
      <c r="AI23" s="1532">
        <f ca="1">-Taxation!AI104</f>
        <v>44483515.654546477</v>
      </c>
      <c r="AJ23" s="1532">
        <f ca="1">-Taxation!AJ104</f>
        <v>44361975.994288146</v>
      </c>
      <c r="AK23" s="1532">
        <f ca="1">-Taxation!AK104</f>
        <v>44361975.994288146</v>
      </c>
      <c r="AL23" s="1532">
        <f ca="1">-Taxation!AL104</f>
        <v>44359983.540841341</v>
      </c>
      <c r="AM23" s="1532"/>
      <c r="AN23" s="1532"/>
      <c r="AO23" s="1532"/>
      <c r="AP23" s="1532"/>
      <c r="AQ23" s="1532"/>
      <c r="AR23" s="1532"/>
      <c r="AS23" s="1532"/>
      <c r="AT23" s="1532"/>
      <c r="AU23" s="1532"/>
      <c r="AV23" s="1532"/>
      <c r="AW23" s="1532"/>
    </row>
    <row r="24" spans="1:49">
      <c r="A24" s="53"/>
      <c r="B24" s="10" t="s">
        <v>454</v>
      </c>
      <c r="C24" s="196" t="str">
        <f>$C$10</f>
        <v>US$</v>
      </c>
      <c r="D24" s="191">
        <f ca="1">SUM(D22:D23)+D20</f>
        <v>33582018015.210579</v>
      </c>
      <c r="E24" s="191"/>
      <c r="F24" s="191"/>
      <c r="G24" s="191"/>
      <c r="H24" s="1529"/>
      <c r="I24" s="1529">
        <f ca="1">SUM(I22:I23)+I20</f>
        <v>0</v>
      </c>
      <c r="J24" s="1529">
        <f t="shared" ref="J24:AL24" ca="1" si="3">SUM(J22:J23)+J20</f>
        <v>-101346445.94880253</v>
      </c>
      <c r="K24" s="1531">
        <f t="shared" ca="1" si="3"/>
        <v>601103167.41262317</v>
      </c>
      <c r="L24" s="1531">
        <f t="shared" ca="1" si="3"/>
        <v>766476390.96728206</v>
      </c>
      <c r="M24" s="1531">
        <f t="shared" ca="1" si="3"/>
        <v>967451302.13697529</v>
      </c>
      <c r="N24" s="1531">
        <f t="shared" ca="1" si="3"/>
        <v>716202149.65850806</v>
      </c>
      <c r="O24" s="1531">
        <f t="shared" ca="1" si="3"/>
        <v>813388738.75065017</v>
      </c>
      <c r="P24" s="1531">
        <f t="shared" ca="1" si="3"/>
        <v>903724823.72212029</v>
      </c>
      <c r="Q24" s="1531">
        <f t="shared" ca="1" si="3"/>
        <v>997181923.12643623</v>
      </c>
      <c r="R24" s="1531">
        <f t="shared" ca="1" si="3"/>
        <v>1095065507.5052567</v>
      </c>
      <c r="S24" s="1531">
        <f t="shared" ca="1" si="3"/>
        <v>1192395373.2546463</v>
      </c>
      <c r="T24" s="1531">
        <f t="shared" ca="1" si="3"/>
        <v>1270895496.5780845</v>
      </c>
      <c r="U24" s="1531">
        <f t="shared" ca="1" si="3"/>
        <v>1352765573.750109</v>
      </c>
      <c r="V24" s="1531">
        <f t="shared" ca="1" si="3"/>
        <v>1439017045.950619</v>
      </c>
      <c r="W24" s="1531">
        <f t="shared" ca="1" si="3"/>
        <v>1528799756.0469604</v>
      </c>
      <c r="X24" s="1531">
        <f t="shared" ca="1" si="3"/>
        <v>1041452441.7878249</v>
      </c>
      <c r="Y24" s="1531">
        <f t="shared" ca="1" si="3"/>
        <v>1075727254.1279027</v>
      </c>
      <c r="Z24" s="1531">
        <f t="shared" ca="1" si="3"/>
        <v>1112437165.9615741</v>
      </c>
      <c r="AA24" s="1531">
        <f t="shared" ca="1" si="3"/>
        <v>1149731802.1569755</v>
      </c>
      <c r="AB24" s="1531">
        <f t="shared" ca="1" si="3"/>
        <v>1189194864.8123109</v>
      </c>
      <c r="AC24" s="1531">
        <f t="shared" ca="1" si="3"/>
        <v>1230062111.2330027</v>
      </c>
      <c r="AD24" s="1531">
        <f t="shared" ca="1" si="3"/>
        <v>1272846183.0684404</v>
      </c>
      <c r="AE24" s="1531">
        <f t="shared" ca="1" si="3"/>
        <v>1316407521.3113132</v>
      </c>
      <c r="AF24" s="1531">
        <f t="shared" ca="1" si="3"/>
        <v>1362340680.0241423</v>
      </c>
      <c r="AG24" s="1531">
        <f t="shared" ca="1" si="3"/>
        <v>1409656588.6585941</v>
      </c>
      <c r="AH24" s="1531">
        <f t="shared" ca="1" si="3"/>
        <v>1458885592.3794088</v>
      </c>
      <c r="AI24" s="1531">
        <f t="shared" ca="1" si="3"/>
        <v>1508952650.5487921</v>
      </c>
      <c r="AJ24" s="1531">
        <f t="shared" ca="1" si="3"/>
        <v>1561404893.1475964</v>
      </c>
      <c r="AK24" s="1531">
        <f t="shared" ca="1" si="3"/>
        <v>1636184385.5819736</v>
      </c>
      <c r="AL24" s="1531">
        <f t="shared" ca="1" si="3"/>
        <v>1713613077.4992456</v>
      </c>
      <c r="AM24" s="1531"/>
      <c r="AN24" s="1531"/>
      <c r="AO24" s="1531"/>
      <c r="AP24" s="1531"/>
      <c r="AQ24" s="1531"/>
      <c r="AR24" s="1531"/>
      <c r="AS24" s="1531"/>
      <c r="AT24" s="1531"/>
      <c r="AU24" s="1531"/>
      <c r="AV24" s="1531"/>
      <c r="AW24" s="1531"/>
    </row>
    <row r="25" spans="1:49">
      <c r="A25" s="53"/>
      <c r="B25" s="10"/>
      <c r="C25" s="194"/>
      <c r="D25" s="191"/>
      <c r="E25" s="191"/>
      <c r="F25" s="191"/>
      <c r="G25" s="191"/>
      <c r="H25" s="1529"/>
      <c r="I25" s="1529"/>
      <c r="J25" s="1529"/>
      <c r="K25" s="1529"/>
      <c r="L25" s="1529"/>
      <c r="M25" s="1529"/>
      <c r="N25" s="1529"/>
      <c r="O25" s="1529"/>
      <c r="P25" s="1529"/>
      <c r="Q25" s="1529"/>
      <c r="R25" s="1529"/>
      <c r="S25" s="1529"/>
      <c r="T25" s="1529"/>
      <c r="U25" s="1529"/>
      <c r="V25" s="1529"/>
      <c r="W25" s="1529"/>
      <c r="X25" s="1529"/>
      <c r="Y25" s="1529"/>
      <c r="Z25" s="1529"/>
      <c r="AA25" s="1529"/>
      <c r="AB25" s="1529"/>
      <c r="AC25" s="1529"/>
      <c r="AD25" s="1529"/>
      <c r="AE25" s="1529"/>
      <c r="AF25" s="1529"/>
      <c r="AG25" s="1529"/>
      <c r="AH25" s="1529"/>
      <c r="AI25" s="1529"/>
      <c r="AJ25" s="1529"/>
      <c r="AK25" s="1529"/>
      <c r="AL25" s="1529"/>
      <c r="AM25" s="1529"/>
      <c r="AN25" s="1529"/>
      <c r="AO25" s="1529"/>
      <c r="AP25" s="1529"/>
      <c r="AQ25" s="1529"/>
      <c r="AR25" s="1529"/>
      <c r="AS25" s="1529"/>
      <c r="AT25" s="1529"/>
      <c r="AU25" s="1529"/>
      <c r="AV25" s="1529"/>
      <c r="AW25" s="1529"/>
    </row>
    <row r="26" spans="1:49">
      <c r="A26" s="53"/>
      <c r="B26" s="27" t="s">
        <v>455</v>
      </c>
      <c r="C26" s="195" t="str">
        <f>$C$9</f>
        <v>US$</v>
      </c>
      <c r="D26" s="1532">
        <f ca="1">SUM(I26:AW26)</f>
        <v>-21210912668.453354</v>
      </c>
      <c r="E26" s="192"/>
      <c r="F26" s="192"/>
      <c r="G26" s="192"/>
      <c r="H26" s="1530"/>
      <c r="I26" s="1530">
        <f ca="1">-Dividend!I59</f>
        <v>0</v>
      </c>
      <c r="J26" s="1530">
        <f ca="1">-Dividend!J59</f>
        <v>0</v>
      </c>
      <c r="K26" s="1530">
        <f ca="1">-Dividend!K59</f>
        <v>0</v>
      </c>
      <c r="L26" s="1530">
        <f ca="1">-Dividend!L59</f>
        <v>-155025276.2896556</v>
      </c>
      <c r="M26" s="1530">
        <f ca="1">-Dividend!M59</f>
        <v>-227347039.43063083</v>
      </c>
      <c r="N26" s="1530">
        <f ca="1">-Dividend!N59</f>
        <v>-288124209.36050177</v>
      </c>
      <c r="O26" s="1532">
        <f ca="1">-Dividend!O59</f>
        <v>-361289591.41360027</v>
      </c>
      <c r="P26" s="1532">
        <f ca="1">-Dividend!P59</f>
        <v>-438596621.84971422</v>
      </c>
      <c r="Q26" s="1532">
        <f ca="1">-Dividend!Q59</f>
        <v>-523411100.51175404</v>
      </c>
      <c r="R26" s="1532">
        <f ca="1">-Dividend!R59</f>
        <v>-573449769.13911676</v>
      </c>
      <c r="S26" s="1530">
        <f ca="1">-Dividend!S59</f>
        <v>-683330946.14545572</v>
      </c>
      <c r="T26" s="1530">
        <f ca="1">-Dividend!T59</f>
        <v>-783133296.44681394</v>
      </c>
      <c r="U26" s="1530">
        <f ca="1">-Dividend!U59</f>
        <v>-882001923.3333801</v>
      </c>
      <c r="V26" s="1530">
        <f ca="1">-Dividend!V59</f>
        <v>-976253719.36866021</v>
      </c>
      <c r="W26" s="1530">
        <f ca="1">-Dividend!W59</f>
        <v>-1077859338.8075821</v>
      </c>
      <c r="X26" s="1530">
        <f ca="1">-Dividend!X59</f>
        <v>-1098567416.7028735</v>
      </c>
      <c r="Y26" s="1530">
        <f ca="1">-Dividend!Y59</f>
        <v>-1109680624.1883595</v>
      </c>
      <c r="Z26" s="1530">
        <f ca="1">-Dividend!Z59</f>
        <v>-1121535370.4584107</v>
      </c>
      <c r="AA26" s="1530">
        <f ca="1">-Dividend!AA59</f>
        <v>-1146362716.9640911</v>
      </c>
      <c r="AB26" s="1530">
        <f ca="1">-Dividend!AB59</f>
        <v>-1149854305.7021184</v>
      </c>
      <c r="AC26" s="1530">
        <f ca="1">-Dividend!AC59</f>
        <v>-1161885476.5317512</v>
      </c>
      <c r="AD26" s="1530">
        <f ca="1">-Dividend!AD59</f>
        <v>-1175309556.3305271</v>
      </c>
      <c r="AE26" s="1530">
        <f ca="1">-Dividend!AE59</f>
        <v>-1202981110.8956997</v>
      </c>
      <c r="AF26" s="1530">
        <f ca="1">-Dividend!AF59</f>
        <v>-1223598212.6286387</v>
      </c>
      <c r="AG26" s="1530">
        <f ca="1">-Dividend!AG59</f>
        <v>-1251506969.0331321</v>
      </c>
      <c r="AH26" s="1530">
        <f ca="1">-Dividend!AH59</f>
        <v>-1279109353.3478193</v>
      </c>
      <c r="AI26" s="1530">
        <f ca="1">-Dividend!AI59</f>
        <v>-1320698723.5730693</v>
      </c>
      <c r="AJ26" s="1530">
        <f ca="1">-Dividend!AJ59</f>
        <v>0</v>
      </c>
      <c r="AK26" s="1530">
        <f ca="1">-Dividend!AK59</f>
        <v>0</v>
      </c>
      <c r="AL26" s="1530">
        <f ca="1">-Dividend!AL59</f>
        <v>0</v>
      </c>
      <c r="AM26" s="1530"/>
      <c r="AN26" s="1530"/>
      <c r="AO26" s="1530"/>
      <c r="AP26" s="1530"/>
      <c r="AQ26" s="1530"/>
      <c r="AR26" s="1530"/>
      <c r="AS26" s="1530"/>
      <c r="AT26" s="1530"/>
      <c r="AU26" s="1530"/>
      <c r="AV26" s="1530"/>
      <c r="AW26" s="1530"/>
    </row>
    <row r="27" spans="1:49">
      <c r="A27" s="53"/>
      <c r="B27" s="10" t="s">
        <v>456</v>
      </c>
      <c r="C27" s="196" t="str">
        <f>$C$10</f>
        <v>US$</v>
      </c>
      <c r="D27" s="191">
        <f ca="1">D26+D24</f>
        <v>12371105346.757225</v>
      </c>
      <c r="E27" s="191"/>
      <c r="F27" s="191"/>
      <c r="G27" s="191"/>
      <c r="H27" s="191"/>
      <c r="I27" s="1529">
        <f ca="1">I26+I24</f>
        <v>0</v>
      </c>
      <c r="J27" s="1529">
        <f t="shared" ref="J27:AL27" ca="1" si="4">J26+J24</f>
        <v>-101346445.94880253</v>
      </c>
      <c r="K27" s="1531">
        <f t="shared" ca="1" si="4"/>
        <v>601103167.41262317</v>
      </c>
      <c r="L27" s="1529">
        <f t="shared" ca="1" si="4"/>
        <v>611451114.67762649</v>
      </c>
      <c r="M27" s="1529">
        <f t="shared" ca="1" si="4"/>
        <v>740104262.70634449</v>
      </c>
      <c r="N27" s="1529">
        <f t="shared" ca="1" si="4"/>
        <v>428077940.2980063</v>
      </c>
      <c r="O27" s="1529">
        <f t="shared" ca="1" si="4"/>
        <v>452099147.3370499</v>
      </c>
      <c r="P27" s="1529">
        <f t="shared" ca="1" si="4"/>
        <v>465128201.87240607</v>
      </c>
      <c r="Q27" s="1529">
        <f t="shared" ca="1" si="4"/>
        <v>473770822.6146822</v>
      </c>
      <c r="R27" s="1529">
        <f t="shared" ca="1" si="4"/>
        <v>521615738.36613989</v>
      </c>
      <c r="S27" s="1529">
        <f t="shared" ca="1" si="4"/>
        <v>509064427.10919058</v>
      </c>
      <c r="T27" s="1529">
        <f t="shared" ca="1" si="4"/>
        <v>487762200.13127053</v>
      </c>
      <c r="U27" s="1529">
        <f t="shared" ca="1" si="4"/>
        <v>470763650.41672885</v>
      </c>
      <c r="V27" s="1529">
        <f t="shared" ca="1" si="4"/>
        <v>462763326.58195877</v>
      </c>
      <c r="W27" s="1529">
        <f t="shared" ca="1" si="4"/>
        <v>450940417.23937821</v>
      </c>
      <c r="X27" s="1529">
        <f t="shared" ca="1" si="4"/>
        <v>-57114974.915048599</v>
      </c>
      <c r="Y27" s="1529">
        <f t="shared" ca="1" si="4"/>
        <v>-33953370.060456753</v>
      </c>
      <c r="Z27" s="1529">
        <f t="shared" ca="1" si="4"/>
        <v>-9098204.4968366623</v>
      </c>
      <c r="AA27" s="1529">
        <f t="shared" ca="1" si="4"/>
        <v>3369085.1928844452</v>
      </c>
      <c r="AB27" s="1529">
        <f t="shared" ca="1" si="4"/>
        <v>39340559.110192537</v>
      </c>
      <c r="AC27" s="1529">
        <f t="shared" ca="1" si="4"/>
        <v>68176634.701251507</v>
      </c>
      <c r="AD27" s="1529">
        <f t="shared" ca="1" si="4"/>
        <v>97536626.73791337</v>
      </c>
      <c r="AE27" s="1529">
        <f t="shared" ca="1" si="4"/>
        <v>113426410.41561341</v>
      </c>
      <c r="AF27" s="1529">
        <f t="shared" ca="1" si="4"/>
        <v>138742467.39550352</v>
      </c>
      <c r="AG27" s="1529">
        <f t="shared" ca="1" si="4"/>
        <v>158149619.62546206</v>
      </c>
      <c r="AH27" s="1529">
        <f t="shared" ca="1" si="4"/>
        <v>179776239.03158951</v>
      </c>
      <c r="AI27" s="1529">
        <f t="shared" ca="1" si="4"/>
        <v>188253926.97572279</v>
      </c>
      <c r="AJ27" s="1529">
        <f t="shared" ca="1" si="4"/>
        <v>1561404893.1475964</v>
      </c>
      <c r="AK27" s="1529">
        <f t="shared" ca="1" si="4"/>
        <v>1636184385.5819736</v>
      </c>
      <c r="AL27" s="1529">
        <f t="shared" ca="1" si="4"/>
        <v>1713613077.4992456</v>
      </c>
      <c r="AM27" s="1529"/>
      <c r="AN27" s="1529"/>
      <c r="AO27" s="1529"/>
      <c r="AP27" s="1529"/>
      <c r="AQ27" s="1529"/>
      <c r="AR27" s="1529"/>
      <c r="AS27" s="1529"/>
      <c r="AT27" s="1529"/>
      <c r="AU27" s="1529"/>
      <c r="AV27" s="1529"/>
      <c r="AW27" s="1529"/>
    </row>
    <row r="28" spans="1:49">
      <c r="A28" s="190"/>
      <c r="C28" s="191"/>
      <c r="D28" s="191"/>
      <c r="E28" s="191"/>
      <c r="F28" s="191"/>
      <c r="G28" s="191"/>
      <c r="H28" s="191"/>
      <c r="I28" s="1529"/>
      <c r="J28" s="1529"/>
      <c r="K28" s="1529"/>
      <c r="L28" s="1529"/>
      <c r="M28" s="1529"/>
      <c r="N28" s="1529"/>
      <c r="O28" s="1529"/>
      <c r="P28" s="1529"/>
      <c r="Q28" s="1529"/>
      <c r="R28" s="1529"/>
      <c r="S28" s="1529"/>
      <c r="T28" s="1529"/>
      <c r="U28" s="1529"/>
      <c r="V28" s="1529"/>
      <c r="W28" s="1529"/>
      <c r="X28" s="1529"/>
      <c r="Y28" s="1529"/>
      <c r="Z28" s="1529"/>
      <c r="AA28" s="1529"/>
      <c r="AB28" s="1529"/>
      <c r="AC28" s="1529"/>
      <c r="AD28" s="1529"/>
      <c r="AE28" s="1529"/>
      <c r="AF28" s="1529"/>
      <c r="AG28" s="1529"/>
      <c r="AH28" s="1529"/>
      <c r="AI28" s="1529"/>
      <c r="AJ28" s="1529"/>
      <c r="AK28" s="1529"/>
      <c r="AL28" s="1529"/>
      <c r="AM28" s="1529"/>
      <c r="AN28" s="1529"/>
      <c r="AO28" s="1529"/>
      <c r="AP28" s="1529"/>
      <c r="AQ28" s="1529"/>
      <c r="AR28" s="1529"/>
      <c r="AS28" s="1529"/>
      <c r="AT28" s="1529"/>
      <c r="AU28" s="1529"/>
      <c r="AV28" s="1529"/>
      <c r="AW28" s="1529"/>
    </row>
    <row r="29" spans="1:49">
      <c r="A29" s="53"/>
      <c r="B29" s="2" t="s">
        <v>457</v>
      </c>
      <c r="C29" s="58" t="str">
        <f>$C$7</f>
        <v>US$</v>
      </c>
      <c r="D29" s="191"/>
      <c r="E29" s="191"/>
      <c r="F29" s="191"/>
      <c r="G29" s="191"/>
      <c r="H29" s="191"/>
      <c r="I29" s="1529">
        <f>H31*'Timing &amp; Flags'!I49</f>
        <v>0</v>
      </c>
      <c r="J29" s="1529">
        <f ca="1">I31*'Timing &amp; Flags'!J49</f>
        <v>0</v>
      </c>
      <c r="K29" s="1529">
        <f ca="1">J31*'Timing &amp; Flags'!K49</f>
        <v>-101346445.94880253</v>
      </c>
      <c r="L29" s="1531">
        <f ca="1">K31*'Timing &amp; Flags'!L49</f>
        <v>499756721.46382064</v>
      </c>
      <c r="M29" s="1529">
        <f ca="1">L31*'Timing &amp; Flags'!M49</f>
        <v>1111207836.1414471</v>
      </c>
      <c r="N29" s="1529">
        <f ca="1">M31*'Timing &amp; Flags'!N49</f>
        <v>1851312098.8477917</v>
      </c>
      <c r="O29" s="1529">
        <f ca="1">N31*'Timing &amp; Flags'!O49</f>
        <v>2279390039.1457977</v>
      </c>
      <c r="P29" s="1529">
        <f ca="1">O31*'Timing &amp; Flags'!P49</f>
        <v>2731489186.4828477</v>
      </c>
      <c r="Q29" s="1529">
        <f ca="1">P31*'Timing &amp; Flags'!Q49</f>
        <v>3196617388.3552537</v>
      </c>
      <c r="R29" s="1529">
        <f ca="1">Q31*'Timing &amp; Flags'!R49</f>
        <v>3670388210.9699359</v>
      </c>
      <c r="S29" s="1529">
        <f ca="1">R31*'Timing &amp; Flags'!S49</f>
        <v>4192003949.3360758</v>
      </c>
      <c r="T29" s="1529">
        <f ca="1">S31*'Timing &amp; Flags'!T49</f>
        <v>4701068376.4452667</v>
      </c>
      <c r="U29" s="1529">
        <f ca="1">T31*'Timing &amp; Flags'!U49</f>
        <v>5188830576.5765371</v>
      </c>
      <c r="V29" s="1529">
        <f ca="1">U31*'Timing &amp; Flags'!V49</f>
        <v>5659594226.9932661</v>
      </c>
      <c r="W29" s="1529">
        <f ca="1">V31*'Timing &amp; Flags'!W49</f>
        <v>6122357553.5752249</v>
      </c>
      <c r="X29" s="1529">
        <f ca="1">W31*'Timing &amp; Flags'!X49</f>
        <v>6573297970.8146029</v>
      </c>
      <c r="Y29" s="1529">
        <f ca="1">X31*'Timing &amp; Flags'!Y49</f>
        <v>6516182995.8995543</v>
      </c>
      <c r="Z29" s="1529">
        <f ca="1">Y31*'Timing &amp; Flags'!Z49</f>
        <v>6482229625.839098</v>
      </c>
      <c r="AA29" s="1529">
        <f ca="1">Z31*'Timing &amp; Flags'!AA49</f>
        <v>6473131421.3422613</v>
      </c>
      <c r="AB29" s="1529">
        <f ca="1">AA31*'Timing &amp; Flags'!AB49</f>
        <v>6476500506.5351458</v>
      </c>
      <c r="AC29" s="1529">
        <f ca="1">AB31*'Timing &amp; Flags'!AC49</f>
        <v>6515841065.6453381</v>
      </c>
      <c r="AD29" s="1529">
        <f ca="1">AC31*'Timing &amp; Flags'!AD49</f>
        <v>6584017700.34659</v>
      </c>
      <c r="AE29" s="1529">
        <f ca="1">AD31*'Timing &amp; Flags'!AE49</f>
        <v>6681554327.0845032</v>
      </c>
      <c r="AF29" s="1529">
        <f ca="1">AE31*'Timing &amp; Flags'!AF49</f>
        <v>6794980737.5001163</v>
      </c>
      <c r="AG29" s="1529">
        <f ca="1">AF31*'Timing &amp; Flags'!AG49</f>
        <v>6933723204.8956203</v>
      </c>
      <c r="AH29" s="1529">
        <f ca="1">AG31*'Timing &amp; Flags'!AH49</f>
        <v>7091872824.5210819</v>
      </c>
      <c r="AI29" s="1529">
        <f ca="1">AH31*'Timing &amp; Flags'!AI49</f>
        <v>7271649063.5526714</v>
      </c>
      <c r="AJ29" s="1529">
        <f ca="1">AI31*'Timing &amp; Flags'!AJ49</f>
        <v>7459902990.5283947</v>
      </c>
      <c r="AK29" s="1529">
        <f ca="1">AJ31*'Timing &amp; Flags'!AK49</f>
        <v>9021307883.6759911</v>
      </c>
      <c r="AL29" s="1529">
        <f ca="1">AK31*'Timing &amp; Flags'!AL49</f>
        <v>10657492269.257965</v>
      </c>
      <c r="AM29" s="1529"/>
      <c r="AN29" s="1529"/>
      <c r="AO29" s="1529"/>
      <c r="AP29" s="1529"/>
      <c r="AQ29" s="1529"/>
      <c r="AR29" s="1529"/>
      <c r="AS29" s="1529"/>
      <c r="AT29" s="1529"/>
      <c r="AU29" s="1529"/>
      <c r="AV29" s="1529"/>
      <c r="AW29" s="1529"/>
    </row>
    <row r="30" spans="1:49">
      <c r="A30" s="53"/>
      <c r="B30" s="27" t="s">
        <v>458</v>
      </c>
      <c r="C30" s="198" t="str">
        <f>$C$7</f>
        <v>US$</v>
      </c>
      <c r="D30" s="192">
        <f ca="1">SUM(I30:AW30)</f>
        <v>12371105346.75721</v>
      </c>
      <c r="E30" s="192"/>
      <c r="F30" s="192"/>
      <c r="G30" s="192"/>
      <c r="H30" s="192"/>
      <c r="I30" s="1530">
        <f ca="1">I27</f>
        <v>0</v>
      </c>
      <c r="J30" s="1530">
        <f t="shared" ref="J30:AL30" ca="1" si="5">J27</f>
        <v>-101346445.94880253</v>
      </c>
      <c r="K30" s="1532">
        <f t="shared" ca="1" si="5"/>
        <v>601103167.41262317</v>
      </c>
      <c r="L30" s="1530">
        <f t="shared" ca="1" si="5"/>
        <v>611451114.67762649</v>
      </c>
      <c r="M30" s="1530">
        <f t="shared" ca="1" si="5"/>
        <v>740104262.70634449</v>
      </c>
      <c r="N30" s="1530">
        <f t="shared" ca="1" si="5"/>
        <v>428077940.2980063</v>
      </c>
      <c r="O30" s="1530">
        <f t="shared" ca="1" si="5"/>
        <v>452099147.3370499</v>
      </c>
      <c r="P30" s="1530">
        <f t="shared" ca="1" si="5"/>
        <v>465128201.87240607</v>
      </c>
      <c r="Q30" s="1530">
        <f t="shared" ca="1" si="5"/>
        <v>473770822.6146822</v>
      </c>
      <c r="R30" s="1530">
        <f t="shared" ca="1" si="5"/>
        <v>521615738.36613989</v>
      </c>
      <c r="S30" s="1530">
        <f t="shared" ca="1" si="5"/>
        <v>509064427.10919058</v>
      </c>
      <c r="T30" s="1530">
        <f t="shared" ca="1" si="5"/>
        <v>487762200.13127053</v>
      </c>
      <c r="U30" s="1530">
        <f t="shared" ca="1" si="5"/>
        <v>470763650.41672885</v>
      </c>
      <c r="V30" s="1530">
        <f t="shared" ca="1" si="5"/>
        <v>462763326.58195877</v>
      </c>
      <c r="W30" s="1530">
        <f t="shared" ca="1" si="5"/>
        <v>450940417.23937821</v>
      </c>
      <c r="X30" s="1530">
        <f t="shared" ca="1" si="5"/>
        <v>-57114974.915048599</v>
      </c>
      <c r="Y30" s="1530">
        <f t="shared" ca="1" si="5"/>
        <v>-33953370.060456753</v>
      </c>
      <c r="Z30" s="1530">
        <f t="shared" ca="1" si="5"/>
        <v>-9098204.4968366623</v>
      </c>
      <c r="AA30" s="1530">
        <f t="shared" ca="1" si="5"/>
        <v>3369085.1928844452</v>
      </c>
      <c r="AB30" s="1530">
        <f t="shared" ca="1" si="5"/>
        <v>39340559.110192537</v>
      </c>
      <c r="AC30" s="1530">
        <f t="shared" ca="1" si="5"/>
        <v>68176634.701251507</v>
      </c>
      <c r="AD30" s="1530">
        <f t="shared" ca="1" si="5"/>
        <v>97536626.73791337</v>
      </c>
      <c r="AE30" s="1530">
        <f t="shared" ca="1" si="5"/>
        <v>113426410.41561341</v>
      </c>
      <c r="AF30" s="1530">
        <f t="shared" ca="1" si="5"/>
        <v>138742467.39550352</v>
      </c>
      <c r="AG30" s="1530">
        <f t="shared" ca="1" si="5"/>
        <v>158149619.62546206</v>
      </c>
      <c r="AH30" s="1530">
        <f t="shared" ca="1" si="5"/>
        <v>179776239.03158951</v>
      </c>
      <c r="AI30" s="1530">
        <f t="shared" ca="1" si="5"/>
        <v>188253926.97572279</v>
      </c>
      <c r="AJ30" s="1530">
        <f t="shared" ca="1" si="5"/>
        <v>1561404893.1475964</v>
      </c>
      <c r="AK30" s="1530">
        <f t="shared" ca="1" si="5"/>
        <v>1636184385.5819736</v>
      </c>
      <c r="AL30" s="1530">
        <f t="shared" ca="1" si="5"/>
        <v>1713613077.4992456</v>
      </c>
      <c r="AM30" s="1530"/>
      <c r="AN30" s="1530"/>
      <c r="AO30" s="1530"/>
      <c r="AP30" s="1530"/>
      <c r="AQ30" s="1530"/>
      <c r="AR30" s="1530"/>
      <c r="AS30" s="1530"/>
      <c r="AT30" s="1530"/>
      <c r="AU30" s="1530"/>
      <c r="AV30" s="1530"/>
      <c r="AW30" s="1530"/>
    </row>
    <row r="31" spans="1:49">
      <c r="A31" s="53"/>
      <c r="B31" s="10" t="s">
        <v>459</v>
      </c>
      <c r="C31" s="199" t="str">
        <f>$C$7</f>
        <v>US$</v>
      </c>
      <c r="D31" s="191"/>
      <c r="E31" s="191"/>
      <c r="F31" s="191"/>
      <c r="G31" s="191"/>
      <c r="H31" s="191"/>
      <c r="I31" s="191">
        <f ca="1">SUM(I29:I30)</f>
        <v>0</v>
      </c>
      <c r="J31" s="191">
        <f t="shared" ref="J31:AL31" ca="1" si="6">SUM(J29:J30)</f>
        <v>-101346445.94880253</v>
      </c>
      <c r="K31" s="1531">
        <f t="shared" ca="1" si="6"/>
        <v>499756721.46382064</v>
      </c>
      <c r="L31" s="1529">
        <f t="shared" ca="1" si="6"/>
        <v>1111207836.1414471</v>
      </c>
      <c r="M31" s="1529">
        <f t="shared" ca="1" si="6"/>
        <v>1851312098.8477917</v>
      </c>
      <c r="N31" s="1529">
        <f t="shared" ca="1" si="6"/>
        <v>2279390039.1457977</v>
      </c>
      <c r="O31" s="1529">
        <f t="shared" ca="1" si="6"/>
        <v>2731489186.4828477</v>
      </c>
      <c r="P31" s="1529">
        <f t="shared" ca="1" si="6"/>
        <v>3196617388.3552537</v>
      </c>
      <c r="Q31" s="1529">
        <f t="shared" ca="1" si="6"/>
        <v>3670388210.9699359</v>
      </c>
      <c r="R31" s="1529">
        <f t="shared" ca="1" si="6"/>
        <v>4192003949.3360758</v>
      </c>
      <c r="S31" s="1529">
        <f t="shared" ca="1" si="6"/>
        <v>4701068376.4452667</v>
      </c>
      <c r="T31" s="1529">
        <f t="shared" ca="1" si="6"/>
        <v>5188830576.5765371</v>
      </c>
      <c r="U31" s="1529">
        <f t="shared" ca="1" si="6"/>
        <v>5659594226.9932661</v>
      </c>
      <c r="V31" s="1529">
        <f t="shared" ca="1" si="6"/>
        <v>6122357553.5752249</v>
      </c>
      <c r="W31" s="1529">
        <f t="shared" ca="1" si="6"/>
        <v>6573297970.8146029</v>
      </c>
      <c r="X31" s="1529">
        <f t="shared" ca="1" si="6"/>
        <v>6516182995.8995543</v>
      </c>
      <c r="Y31" s="1529">
        <f t="shared" ca="1" si="6"/>
        <v>6482229625.839098</v>
      </c>
      <c r="Z31" s="1529">
        <f t="shared" ca="1" si="6"/>
        <v>6473131421.3422613</v>
      </c>
      <c r="AA31" s="1529">
        <f t="shared" ca="1" si="6"/>
        <v>6476500506.5351458</v>
      </c>
      <c r="AB31" s="1529">
        <f t="shared" ca="1" si="6"/>
        <v>6515841065.6453381</v>
      </c>
      <c r="AC31" s="1529">
        <f t="shared" ca="1" si="6"/>
        <v>6584017700.34659</v>
      </c>
      <c r="AD31" s="1529">
        <f t="shared" ca="1" si="6"/>
        <v>6681554327.0845032</v>
      </c>
      <c r="AE31" s="1529">
        <f t="shared" ca="1" si="6"/>
        <v>6794980737.5001163</v>
      </c>
      <c r="AF31" s="1529">
        <f t="shared" ca="1" si="6"/>
        <v>6933723204.8956203</v>
      </c>
      <c r="AG31" s="1529">
        <f t="shared" ca="1" si="6"/>
        <v>7091872824.5210819</v>
      </c>
      <c r="AH31" s="1529">
        <f t="shared" ca="1" si="6"/>
        <v>7271649063.5526714</v>
      </c>
      <c r="AI31" s="1529">
        <f t="shared" ca="1" si="6"/>
        <v>7459902990.5283947</v>
      </c>
      <c r="AJ31" s="1529">
        <f t="shared" ca="1" si="6"/>
        <v>9021307883.6759911</v>
      </c>
      <c r="AK31" s="1529">
        <f t="shared" ca="1" si="6"/>
        <v>10657492269.257965</v>
      </c>
      <c r="AL31" s="1529">
        <f t="shared" ca="1" si="6"/>
        <v>12371105346.75721</v>
      </c>
      <c r="AM31" s="1529"/>
      <c r="AN31" s="1529"/>
      <c r="AO31" s="1529"/>
      <c r="AP31" s="1529"/>
      <c r="AQ31" s="1529"/>
      <c r="AR31" s="1529"/>
      <c r="AS31" s="1529"/>
      <c r="AT31" s="1529"/>
      <c r="AU31" s="1529"/>
      <c r="AV31" s="1529"/>
      <c r="AW31" s="1529"/>
    </row>
    <row r="32" spans="1:49">
      <c r="A32" s="53"/>
      <c r="B32" s="191"/>
      <c r="C32" s="191"/>
      <c r="D32" s="191"/>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191"/>
      <c r="AE32" s="191"/>
      <c r="AF32" s="191"/>
      <c r="AG32" s="191"/>
      <c r="AH32" s="191"/>
      <c r="AI32" s="191"/>
      <c r="AJ32" s="191"/>
      <c r="AK32" s="104"/>
    </row>
    <row r="33" spans="1:48">
      <c r="A33" s="40" t="s">
        <v>373</v>
      </c>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row>
    <row r="34" spans="1:48">
      <c r="A34" s="53"/>
      <c r="B34" s="191"/>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48">
      <c r="A35" s="53"/>
      <c r="B35" s="191"/>
      <c r="C35" s="53"/>
      <c r="D35" s="53"/>
      <c r="E35" s="1531"/>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48">
      <c r="A36" s="53"/>
      <c r="B36" s="191"/>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row r="37" spans="1:48">
      <c r="A37" s="53"/>
      <c r="B37" s="191"/>
      <c r="C37" s="53"/>
      <c r="D37" s="53"/>
      <c r="E37" s="53"/>
      <c r="F37" s="53"/>
      <c r="G37" s="53"/>
      <c r="H37" s="53"/>
      <c r="I37" s="53"/>
      <c r="J37" s="53"/>
      <c r="K37" s="53"/>
      <c r="L37" s="53"/>
      <c r="M37" s="53"/>
      <c r="N37" s="53"/>
      <c r="O37" s="53"/>
      <c r="P37" s="53"/>
      <c r="Q37" s="53"/>
      <c r="R37" s="53"/>
      <c r="S37" s="53"/>
      <c r="T37" s="53"/>
      <c r="U37" s="53"/>
      <c r="V37" s="53"/>
      <c r="W37" s="53"/>
      <c r="X37" s="53"/>
      <c r="Y37" s="53"/>
      <c r="Z37" s="53"/>
      <c r="AA37" s="53"/>
      <c r="AB37" s="53"/>
      <c r="AC37" s="53"/>
      <c r="AD37" s="53"/>
      <c r="AE37" s="53"/>
      <c r="AF37" s="53"/>
      <c r="AG37" s="53"/>
      <c r="AH37" s="53"/>
      <c r="AI37" s="53"/>
      <c r="AJ37" s="53"/>
    </row>
    <row r="38" spans="1:48">
      <c r="A38" s="53"/>
      <c r="B38" s="191"/>
      <c r="C38" s="53"/>
      <c r="D38" s="53"/>
      <c r="E38" s="53"/>
      <c r="F38" s="53"/>
      <c r="G38" s="53"/>
      <c r="H38" s="53"/>
      <c r="I38" s="53"/>
      <c r="J38" s="53"/>
      <c r="K38" s="53"/>
      <c r="L38" s="53"/>
      <c r="M38" s="53"/>
      <c r="N38" s="53"/>
      <c r="O38" s="53"/>
      <c r="P38" s="53"/>
      <c r="Q38" s="53"/>
      <c r="R38" s="53"/>
      <c r="S38" s="53"/>
      <c r="T38" s="53"/>
      <c r="U38" s="53"/>
      <c r="V38" s="53"/>
      <c r="W38" s="53"/>
      <c r="X38" s="53"/>
      <c r="Y38" s="53"/>
      <c r="Z38" s="53"/>
      <c r="AA38" s="53"/>
      <c r="AB38" s="53"/>
      <c r="AC38" s="53"/>
      <c r="AD38" s="53"/>
      <c r="AE38" s="53"/>
      <c r="AF38" s="53"/>
      <c r="AG38" s="53"/>
      <c r="AH38" s="53"/>
      <c r="AI38" s="53"/>
      <c r="AJ38" s="53"/>
    </row>
    <row r="39" spans="1:48">
      <c r="A39" s="53"/>
      <c r="B39" s="191"/>
      <c r="C39" s="53"/>
      <c r="D39" s="53"/>
      <c r="E39" s="53"/>
      <c r="F39" s="53"/>
      <c r="G39" s="53"/>
      <c r="H39" s="2513"/>
      <c r="I39" s="2513"/>
      <c r="J39" s="2513"/>
      <c r="K39" s="2513"/>
      <c r="L39" s="2513"/>
      <c r="M39" s="2513"/>
      <c r="N39" s="2513"/>
      <c r="O39" s="2513"/>
      <c r="P39" s="2513"/>
      <c r="Q39" s="2513"/>
      <c r="R39" s="2513"/>
      <c r="S39" s="2513"/>
      <c r="T39" s="2513"/>
      <c r="U39" s="38"/>
      <c r="V39" s="38"/>
      <c r="W39" s="38"/>
      <c r="X39" s="38"/>
      <c r="Y39" s="38"/>
      <c r="Z39" s="38"/>
      <c r="AA39" s="38"/>
      <c r="AB39" s="38"/>
      <c r="AC39" s="38"/>
      <c r="AD39" s="38"/>
      <c r="AE39" s="38"/>
      <c r="AF39" s="38"/>
      <c r="AG39" s="38"/>
      <c r="AH39" s="38"/>
      <c r="AI39" s="38"/>
      <c r="AJ39" s="38"/>
      <c r="AK39" s="38"/>
      <c r="AL39" s="38"/>
    </row>
    <row r="40" spans="1:48">
      <c r="B40" s="5"/>
      <c r="K40" s="104"/>
    </row>
    <row r="41" spans="1:48" ht="11.25">
      <c r="B41" s="5"/>
      <c r="H41" s="319" t="s">
        <v>0</v>
      </c>
      <c r="I41" s="388">
        <v>1</v>
      </c>
      <c r="J41" s="388">
        <v>2</v>
      </c>
      <c r="K41" s="388">
        <v>3</v>
      </c>
      <c r="L41" s="388">
        <v>4</v>
      </c>
      <c r="M41" s="388">
        <v>5</v>
      </c>
      <c r="N41" s="388">
        <v>6</v>
      </c>
      <c r="O41" s="388">
        <v>7</v>
      </c>
      <c r="P41" s="388">
        <v>8</v>
      </c>
      <c r="Q41" s="388">
        <v>9</v>
      </c>
      <c r="R41" s="388">
        <v>10</v>
      </c>
      <c r="S41" s="388">
        <v>11</v>
      </c>
      <c r="T41" s="388">
        <v>12</v>
      </c>
      <c r="U41" s="388">
        <v>13</v>
      </c>
      <c r="V41" s="388">
        <v>14</v>
      </c>
      <c r="W41" s="388">
        <v>15</v>
      </c>
      <c r="X41" s="388">
        <v>16</v>
      </c>
      <c r="Y41" s="388">
        <v>17</v>
      </c>
      <c r="Z41" s="388">
        <v>18</v>
      </c>
      <c r="AA41" s="388">
        <v>19</v>
      </c>
      <c r="AB41" s="388">
        <v>20</v>
      </c>
      <c r="AC41" s="388">
        <v>21</v>
      </c>
      <c r="AD41" s="388">
        <v>22</v>
      </c>
      <c r="AE41" s="388">
        <v>23</v>
      </c>
      <c r="AF41" s="388">
        <v>24</v>
      </c>
      <c r="AG41" s="388">
        <v>25</v>
      </c>
      <c r="AH41" s="388">
        <v>26</v>
      </c>
      <c r="AI41" s="388">
        <v>27</v>
      </c>
      <c r="AJ41" s="388">
        <v>28</v>
      </c>
      <c r="AK41" s="388">
        <v>29</v>
      </c>
      <c r="AL41" s="388">
        <v>30</v>
      </c>
    </row>
    <row r="42" spans="1:48" ht="11.25">
      <c r="B42" s="5"/>
      <c r="H42" s="319" t="s">
        <v>1</v>
      </c>
      <c r="I42" s="389">
        <v>46023</v>
      </c>
      <c r="J42" s="389">
        <v>46388</v>
      </c>
      <c r="K42" s="389">
        <v>46753</v>
      </c>
      <c r="L42" s="389">
        <v>47119</v>
      </c>
      <c r="M42" s="389">
        <v>47484</v>
      </c>
      <c r="N42" s="389">
        <v>47849</v>
      </c>
      <c r="O42" s="389">
        <v>48214</v>
      </c>
      <c r="P42" s="389">
        <v>48580</v>
      </c>
      <c r="Q42" s="389">
        <v>48945</v>
      </c>
      <c r="R42" s="389">
        <v>49310</v>
      </c>
      <c r="S42" s="389">
        <v>49675</v>
      </c>
      <c r="T42" s="389">
        <v>50041</v>
      </c>
      <c r="U42" s="389">
        <v>50406</v>
      </c>
      <c r="V42" s="389">
        <v>50771</v>
      </c>
      <c r="W42" s="389">
        <v>51136</v>
      </c>
      <c r="X42" s="389">
        <v>51136</v>
      </c>
      <c r="Y42" s="389">
        <v>51136</v>
      </c>
      <c r="Z42" s="389">
        <v>51136</v>
      </c>
      <c r="AA42" s="389">
        <v>51136</v>
      </c>
      <c r="AB42" s="389">
        <v>51136</v>
      </c>
      <c r="AC42" s="389">
        <v>51136</v>
      </c>
      <c r="AD42" s="389">
        <v>51136</v>
      </c>
      <c r="AE42" s="389">
        <v>51136</v>
      </c>
      <c r="AF42" s="389">
        <v>51136</v>
      </c>
      <c r="AG42" s="389">
        <v>51136</v>
      </c>
      <c r="AH42" s="389">
        <v>51136</v>
      </c>
      <c r="AI42" s="389">
        <v>51136</v>
      </c>
      <c r="AJ42" s="389">
        <v>51136</v>
      </c>
      <c r="AK42" s="389">
        <v>51136</v>
      </c>
      <c r="AL42" s="389">
        <v>51136</v>
      </c>
    </row>
    <row r="43" spans="1:48" ht="11.25">
      <c r="B43" s="3"/>
      <c r="H43" s="319" t="s">
        <v>2</v>
      </c>
      <c r="I43" s="390">
        <v>46387</v>
      </c>
      <c r="J43" s="390">
        <v>46752</v>
      </c>
      <c r="K43" s="390">
        <v>47118</v>
      </c>
      <c r="L43" s="390">
        <v>47483</v>
      </c>
      <c r="M43" s="390">
        <v>47848</v>
      </c>
      <c r="N43" s="390">
        <v>48213</v>
      </c>
      <c r="O43" s="390">
        <v>48579</v>
      </c>
      <c r="P43" s="390">
        <v>48944</v>
      </c>
      <c r="Q43" s="390">
        <v>49309</v>
      </c>
      <c r="R43" s="390">
        <v>49674</v>
      </c>
      <c r="S43" s="390">
        <v>50040</v>
      </c>
      <c r="T43" s="390">
        <v>50405</v>
      </c>
      <c r="U43" s="390">
        <v>50770</v>
      </c>
      <c r="V43" s="390">
        <v>51135</v>
      </c>
      <c r="W43" s="390">
        <v>51501</v>
      </c>
      <c r="X43" s="390">
        <v>51501</v>
      </c>
      <c r="Y43" s="390">
        <v>51501</v>
      </c>
      <c r="Z43" s="390">
        <v>51501</v>
      </c>
      <c r="AA43" s="390">
        <v>51501</v>
      </c>
      <c r="AB43" s="390">
        <v>51501</v>
      </c>
      <c r="AC43" s="390">
        <v>51501</v>
      </c>
      <c r="AD43" s="390">
        <v>51501</v>
      </c>
      <c r="AE43" s="390">
        <v>51501</v>
      </c>
      <c r="AF43" s="390">
        <v>51501</v>
      </c>
      <c r="AG43" s="390">
        <v>51501</v>
      </c>
      <c r="AH43" s="390">
        <v>51501</v>
      </c>
      <c r="AI43" s="390">
        <v>51501</v>
      </c>
      <c r="AJ43" s="390">
        <v>51501</v>
      </c>
      <c r="AK43" s="390">
        <v>51501</v>
      </c>
      <c r="AL43" s="390">
        <v>51501</v>
      </c>
    </row>
    <row r="44" spans="1:48" ht="11.25">
      <c r="B44" s="5"/>
      <c r="H44" s="319" t="s">
        <v>3</v>
      </c>
      <c r="I44" s="391">
        <v>365</v>
      </c>
      <c r="J44" s="391">
        <v>366</v>
      </c>
      <c r="K44" s="391">
        <v>365</v>
      </c>
      <c r="L44" s="391">
        <v>365</v>
      </c>
      <c r="M44" s="391">
        <v>365</v>
      </c>
      <c r="N44" s="391">
        <v>366</v>
      </c>
      <c r="O44" s="391">
        <v>365</v>
      </c>
      <c r="P44" s="391">
        <v>365</v>
      </c>
      <c r="Q44" s="391">
        <v>365</v>
      </c>
      <c r="R44" s="391">
        <v>366</v>
      </c>
      <c r="S44" s="391">
        <v>365</v>
      </c>
      <c r="T44" s="391">
        <v>365</v>
      </c>
      <c r="U44" s="391">
        <v>365</v>
      </c>
      <c r="V44" s="391">
        <v>366</v>
      </c>
      <c r="W44" s="391">
        <v>365</v>
      </c>
      <c r="X44" s="391">
        <v>366</v>
      </c>
      <c r="Y44" s="391">
        <v>367</v>
      </c>
      <c r="Z44" s="391">
        <v>368</v>
      </c>
      <c r="AA44" s="391">
        <v>369</v>
      </c>
      <c r="AB44" s="391">
        <v>370</v>
      </c>
      <c r="AC44" s="391">
        <v>371</v>
      </c>
      <c r="AD44" s="391">
        <v>372</v>
      </c>
      <c r="AE44" s="391">
        <v>373</v>
      </c>
      <c r="AF44" s="391">
        <v>374</v>
      </c>
      <c r="AG44" s="391">
        <v>375</v>
      </c>
      <c r="AH44" s="391">
        <v>376</v>
      </c>
      <c r="AI44" s="391">
        <v>377</v>
      </c>
      <c r="AJ44" s="391">
        <v>378</v>
      </c>
      <c r="AK44" s="391">
        <v>379</v>
      </c>
      <c r="AL44" s="391">
        <v>380</v>
      </c>
    </row>
    <row r="45" spans="1:48">
      <c r="A45" s="12"/>
      <c r="I45" s="1558"/>
      <c r="K45" s="1558"/>
      <c r="L45" s="1558"/>
      <c r="M45" s="1558"/>
      <c r="N45" s="1558"/>
      <c r="O45" s="1558"/>
      <c r="P45" s="1558"/>
      <c r="Q45" s="1558"/>
      <c r="R45" s="1558"/>
      <c r="S45" s="1558"/>
      <c r="T45" s="1558"/>
      <c r="U45" s="1558"/>
      <c r="V45" s="1558"/>
      <c r="W45" s="1558"/>
      <c r="X45" s="1558"/>
      <c r="Y45" s="1558"/>
      <c r="Z45" s="1558"/>
      <c r="AA45" s="1558"/>
      <c r="AB45" s="1558"/>
      <c r="AC45" s="1558"/>
      <c r="AD45" s="1558"/>
      <c r="AE45" s="1558"/>
      <c r="AF45" s="1558"/>
      <c r="AG45" s="1558"/>
      <c r="AH45" s="1558"/>
      <c r="AI45" s="1558"/>
      <c r="AJ45" s="1558"/>
      <c r="AK45" s="1558"/>
      <c r="AL45" s="1558"/>
    </row>
    <row r="46" spans="1:48">
      <c r="H46" s="2" t="s">
        <v>2305</v>
      </c>
      <c r="I46" s="42">
        <f>I7</f>
        <v>0</v>
      </c>
      <c r="J46" s="42">
        <f t="shared" ref="J46:AL46" si="7">J7</f>
        <v>0</v>
      </c>
      <c r="K46" s="42">
        <f t="shared" ca="1" si="7"/>
        <v>1015156499.1623566</v>
      </c>
      <c r="L46" s="42">
        <f t="shared" ca="1" si="7"/>
        <v>1551313125.5927296</v>
      </c>
      <c r="M46" s="42">
        <f t="shared" ca="1" si="7"/>
        <v>1726545204.911016</v>
      </c>
      <c r="N46" s="42">
        <f t="shared" ca="1" si="7"/>
        <v>1837533804.8941593</v>
      </c>
      <c r="O46" s="42">
        <f t="shared" ca="1" si="7"/>
        <v>1946371409.5631919</v>
      </c>
      <c r="P46" s="42">
        <f t="shared" ca="1" si="7"/>
        <v>2040679795.3536811</v>
      </c>
      <c r="Q46" s="42">
        <f t="shared" ca="1" si="7"/>
        <v>2140144140.9091058</v>
      </c>
      <c r="R46" s="42">
        <f t="shared" ca="1" si="7"/>
        <v>2245069848.4766393</v>
      </c>
      <c r="S46" s="42">
        <f t="shared" ca="1" si="7"/>
        <v>2355781246.1907334</v>
      </c>
      <c r="T46" s="42">
        <f t="shared" ca="1" si="7"/>
        <v>2472622788.3470387</v>
      </c>
      <c r="U46" s="42">
        <f t="shared" ca="1" si="7"/>
        <v>2595960332.6575313</v>
      </c>
      <c r="V46" s="42">
        <f t="shared" ca="1" si="7"/>
        <v>2726182499.4504876</v>
      </c>
      <c r="W46" s="42">
        <f t="shared" ca="1" si="7"/>
        <v>2863702118.0998259</v>
      </c>
      <c r="X46" s="42">
        <f t="shared" ca="1" si="7"/>
        <v>2139202284.3962688</v>
      </c>
      <c r="Y46" s="42">
        <f t="shared" ca="1" si="7"/>
        <v>2203378352.9281569</v>
      </c>
      <c r="Z46" s="42">
        <f t="shared" ca="1" si="7"/>
        <v>2269479703.5160017</v>
      </c>
      <c r="AA46" s="42">
        <f t="shared" ca="1" si="7"/>
        <v>2337564094.6214819</v>
      </c>
      <c r="AB46" s="42">
        <f t="shared" ca="1" si="7"/>
        <v>2407691017.4601264</v>
      </c>
      <c r="AC46" s="42">
        <f t="shared" ca="1" si="7"/>
        <v>2479921747.9839306</v>
      </c>
      <c r="AD46" s="42">
        <f t="shared" ca="1" si="7"/>
        <v>2554319400.4234486</v>
      </c>
      <c r="AE46" s="42">
        <f t="shared" ca="1" si="7"/>
        <v>2630948982.436152</v>
      </c>
      <c r="AF46" s="42">
        <f t="shared" ca="1" si="7"/>
        <v>2709877451.9092369</v>
      </c>
      <c r="AG46" s="42">
        <f t="shared" ca="1" si="7"/>
        <v>2791173775.4665136</v>
      </c>
      <c r="AH46" s="42">
        <f t="shared" ca="1" si="7"/>
        <v>2874908988.7305098</v>
      </c>
      <c r="AI46" s="42">
        <f t="shared" ca="1" si="7"/>
        <v>2961156258.3924251</v>
      </c>
      <c r="AJ46" s="42">
        <f t="shared" ca="1" si="7"/>
        <v>3049990946.1441975</v>
      </c>
      <c r="AK46" s="42">
        <f t="shared" ca="1" si="7"/>
        <v>3141490674.5285234</v>
      </c>
      <c r="AL46" s="42">
        <f t="shared" ca="1" si="7"/>
        <v>3235735394.764379</v>
      </c>
    </row>
    <row r="47" spans="1:48">
      <c r="B47" s="10"/>
      <c r="H47" s="2" t="s">
        <v>2306</v>
      </c>
      <c r="I47" s="42">
        <f ca="1">I11</f>
        <v>0</v>
      </c>
      <c r="J47" s="42">
        <f t="shared" ref="J47:AL47" ca="1" si="8">J11</f>
        <v>-144780637.06971791</v>
      </c>
      <c r="K47" s="42">
        <f t="shared" ca="1" si="8"/>
        <v>748048635.85354424</v>
      </c>
      <c r="L47" s="42">
        <f t="shared" ca="1" si="8"/>
        <v>1154245502.9572415</v>
      </c>
      <c r="M47" s="42">
        <f t="shared" ca="1" si="8"/>
        <v>1306885923.0478511</v>
      </c>
      <c r="N47" s="42">
        <f t="shared" ca="1" si="8"/>
        <v>1406337905.1259873</v>
      </c>
      <c r="O47" s="42">
        <f t="shared" ca="1" si="8"/>
        <v>1502374335.0218873</v>
      </c>
      <c r="P47" s="42">
        <f t="shared" ca="1" si="8"/>
        <v>1584464899.7328324</v>
      </c>
      <c r="Q47" s="42">
        <f t="shared" ca="1" si="8"/>
        <v>1671038014.1272502</v>
      </c>
      <c r="R47" s="42">
        <f t="shared" ca="1" si="8"/>
        <v>1763038349.4560404</v>
      </c>
      <c r="S47" s="42">
        <f t="shared" ca="1" si="8"/>
        <v>1859426355.8876488</v>
      </c>
      <c r="T47" s="42">
        <f t="shared" ca="1" si="8"/>
        <v>1962578870.9780517</v>
      </c>
      <c r="U47" s="42">
        <f t="shared" ca="1" si="8"/>
        <v>2071479165.9403839</v>
      </c>
      <c r="V47" s="42">
        <f t="shared" ca="1" si="8"/>
        <v>2187218795.5194998</v>
      </c>
      <c r="W47" s="42">
        <f t="shared" ca="1" si="8"/>
        <v>2308710157.7700872</v>
      </c>
      <c r="X47" s="42">
        <f t="shared" ca="1" si="8"/>
        <v>1568871635.0042436</v>
      </c>
      <c r="Y47" s="42">
        <f t="shared" ca="1" si="8"/>
        <v>1616877556.3134694</v>
      </c>
      <c r="Z47" s="42">
        <f t="shared" ca="1" si="8"/>
        <v>1670193091.6495616</v>
      </c>
      <c r="AA47" s="42">
        <f t="shared" ca="1" si="8"/>
        <v>1723888974.8059947</v>
      </c>
      <c r="AB47" s="42">
        <f t="shared" ca="1" si="8"/>
        <v>1780483139.5728509</v>
      </c>
      <c r="AC47" s="42">
        <f t="shared" ca="1" si="8"/>
        <v>1838366708.0961027</v>
      </c>
      <c r="AD47" s="42">
        <f t="shared" ca="1" si="8"/>
        <v>1898456007.5060914</v>
      </c>
      <c r="AE47" s="42">
        <f t="shared" ca="1" si="8"/>
        <v>1959003441.4193921</v>
      </c>
      <c r="AF47" s="42">
        <f t="shared" ca="1" si="8"/>
        <v>2022783400.7620659</v>
      </c>
      <c r="AG47" s="42">
        <f t="shared" ca="1" si="8"/>
        <v>2088027497.7454379</v>
      </c>
      <c r="AH47" s="42">
        <f t="shared" ca="1" si="8"/>
        <v>2155745043.4358735</v>
      </c>
      <c r="AI47" s="42">
        <f t="shared" ca="1" si="8"/>
        <v>2224015127.4866819</v>
      </c>
      <c r="AJ47" s="42">
        <f t="shared" ca="1" si="8"/>
        <v>2295890994.1856556</v>
      </c>
      <c r="AK47" s="42">
        <f t="shared" ca="1" si="8"/>
        <v>2369428946.9624939</v>
      </c>
      <c r="AL47" s="42">
        <f t="shared" ca="1" si="8"/>
        <v>2445199722.6364331</v>
      </c>
    </row>
    <row r="48" spans="1:48">
      <c r="H48" s="2" t="s">
        <v>2307</v>
      </c>
      <c r="I48" s="42">
        <f ca="1">I14</f>
        <v>0</v>
      </c>
      <c r="J48" s="42">
        <f t="shared" ref="J48:AL48" ca="1" si="9">J14</f>
        <v>-144780637.06971791</v>
      </c>
      <c r="K48" s="42">
        <f t="shared" ca="1" si="9"/>
        <v>600175382.53925037</v>
      </c>
      <c r="L48" s="42">
        <f t="shared" ca="1" si="9"/>
        <v>1006372249.6429477</v>
      </c>
      <c r="M48" s="42">
        <f t="shared" ca="1" si="9"/>
        <v>1159012669.7335572</v>
      </c>
      <c r="N48" s="42">
        <f t="shared" ca="1" si="9"/>
        <v>1258868677.0939729</v>
      </c>
      <c r="O48" s="42">
        <f t="shared" ca="1" si="9"/>
        <v>1354095949.5067325</v>
      </c>
      <c r="P48" s="42">
        <f t="shared" ca="1" si="9"/>
        <v>1436591646.4185386</v>
      </c>
      <c r="Q48" s="42">
        <f t="shared" ca="1" si="9"/>
        <v>1523164760.8129563</v>
      </c>
      <c r="R48" s="42">
        <f t="shared" ca="1" si="9"/>
        <v>1615569121.424026</v>
      </c>
      <c r="S48" s="42">
        <f t="shared" ca="1" si="9"/>
        <v>1711147970.372494</v>
      </c>
      <c r="T48" s="42">
        <f t="shared" ca="1" si="9"/>
        <v>1814705617.6637578</v>
      </c>
      <c r="U48" s="42">
        <f t="shared" ca="1" si="9"/>
        <v>1923605912.62609</v>
      </c>
      <c r="V48" s="42">
        <f t="shared" ca="1" si="9"/>
        <v>2039749567.4874854</v>
      </c>
      <c r="W48" s="42">
        <f t="shared" ca="1" si="9"/>
        <v>2160431772.2549324</v>
      </c>
      <c r="X48" s="42">
        <f t="shared" ca="1" si="9"/>
        <v>1420998381.6899498</v>
      </c>
      <c r="Y48" s="42">
        <f t="shared" ca="1" si="9"/>
        <v>1469004302.9991755</v>
      </c>
      <c r="Z48" s="42">
        <f t="shared" ca="1" si="9"/>
        <v>1522723863.6175473</v>
      </c>
      <c r="AA48" s="42">
        <f t="shared" ca="1" si="9"/>
        <v>1575610589.2908399</v>
      </c>
      <c r="AB48" s="42">
        <f t="shared" ca="1" si="9"/>
        <v>1632609886.2585571</v>
      </c>
      <c r="AC48" s="42">
        <f t="shared" ca="1" si="9"/>
        <v>1690493454.7818089</v>
      </c>
      <c r="AD48" s="42">
        <f t="shared" ca="1" si="9"/>
        <v>1750986779.474077</v>
      </c>
      <c r="AE48" s="42">
        <f t="shared" ca="1" si="9"/>
        <v>1810725055.9042373</v>
      </c>
      <c r="AF48" s="42">
        <f t="shared" ca="1" si="9"/>
        <v>1874910147.447772</v>
      </c>
      <c r="AG48" s="42">
        <f t="shared" ca="1" si="9"/>
        <v>1940154244.431144</v>
      </c>
      <c r="AH48" s="42">
        <f t="shared" ca="1" si="9"/>
        <v>2008275815.4038591</v>
      </c>
      <c r="AI48" s="42">
        <f t="shared" ca="1" si="9"/>
        <v>2075736741.9715271</v>
      </c>
      <c r="AJ48" s="42">
        <f t="shared" ca="1" si="9"/>
        <v>2148017740.8713617</v>
      </c>
      <c r="AK48" s="42">
        <f t="shared" ca="1" si="9"/>
        <v>2221555693.6482</v>
      </c>
      <c r="AL48" s="42">
        <f t="shared" ca="1" si="9"/>
        <v>2297333110.8336287</v>
      </c>
    </row>
    <row r="49" spans="1:38">
      <c r="H49" s="2" t="s">
        <v>2308</v>
      </c>
      <c r="I49" s="214">
        <f ca="1">I24</f>
        <v>0</v>
      </c>
      <c r="J49" s="214">
        <f t="shared" ref="J49:AL49" ca="1" si="10">J24</f>
        <v>-101346445.94880253</v>
      </c>
      <c r="K49" s="214">
        <f t="shared" ca="1" si="10"/>
        <v>601103167.41262317</v>
      </c>
      <c r="L49" s="214">
        <f t="shared" ca="1" si="10"/>
        <v>766476390.96728206</v>
      </c>
      <c r="M49" s="214">
        <f t="shared" ca="1" si="10"/>
        <v>967451302.13697529</v>
      </c>
      <c r="N49" s="214">
        <f t="shared" ca="1" si="10"/>
        <v>716202149.65850806</v>
      </c>
      <c r="O49" s="214">
        <f t="shared" ca="1" si="10"/>
        <v>813388738.75065017</v>
      </c>
      <c r="P49" s="214">
        <f t="shared" ca="1" si="10"/>
        <v>903724823.72212029</v>
      </c>
      <c r="Q49" s="214">
        <f t="shared" ca="1" si="10"/>
        <v>997181923.12643623</v>
      </c>
      <c r="R49" s="214">
        <f t="shared" ca="1" si="10"/>
        <v>1095065507.5052567</v>
      </c>
      <c r="S49" s="214">
        <f t="shared" ca="1" si="10"/>
        <v>1192395373.2546463</v>
      </c>
      <c r="T49" s="214">
        <f t="shared" ca="1" si="10"/>
        <v>1270895496.5780845</v>
      </c>
      <c r="U49" s="214">
        <f t="shared" ca="1" si="10"/>
        <v>1352765573.750109</v>
      </c>
      <c r="V49" s="214">
        <f t="shared" ca="1" si="10"/>
        <v>1439017045.950619</v>
      </c>
      <c r="W49" s="214">
        <f t="shared" ca="1" si="10"/>
        <v>1528799756.0469604</v>
      </c>
      <c r="X49" s="214">
        <f t="shared" ca="1" si="10"/>
        <v>1041452441.7878249</v>
      </c>
      <c r="Y49" s="214">
        <f t="shared" ca="1" si="10"/>
        <v>1075727254.1279027</v>
      </c>
      <c r="Z49" s="214">
        <f t="shared" ca="1" si="10"/>
        <v>1112437165.9615741</v>
      </c>
      <c r="AA49" s="214">
        <f t="shared" ca="1" si="10"/>
        <v>1149731802.1569755</v>
      </c>
      <c r="AB49" s="214">
        <f t="shared" ca="1" si="10"/>
        <v>1189194864.8123109</v>
      </c>
      <c r="AC49" s="214">
        <f t="shared" ca="1" si="10"/>
        <v>1230062111.2330027</v>
      </c>
      <c r="AD49" s="214">
        <f t="shared" ca="1" si="10"/>
        <v>1272846183.0684404</v>
      </c>
      <c r="AE49" s="214">
        <f t="shared" ca="1" si="10"/>
        <v>1316407521.3113132</v>
      </c>
      <c r="AF49" s="214">
        <f t="shared" ca="1" si="10"/>
        <v>1362340680.0241423</v>
      </c>
      <c r="AG49" s="214">
        <f t="shared" ca="1" si="10"/>
        <v>1409656588.6585941</v>
      </c>
      <c r="AH49" s="214">
        <f t="shared" ca="1" si="10"/>
        <v>1458885592.3794088</v>
      </c>
      <c r="AI49" s="214">
        <f t="shared" ca="1" si="10"/>
        <v>1508952650.5487921</v>
      </c>
      <c r="AJ49" s="214">
        <f t="shared" ca="1" si="10"/>
        <v>1561404893.1475964</v>
      </c>
      <c r="AK49" s="214">
        <f t="shared" ca="1" si="10"/>
        <v>1636184385.5819736</v>
      </c>
      <c r="AL49" s="214">
        <f t="shared" ca="1" si="10"/>
        <v>1713613077.4992456</v>
      </c>
    </row>
    <row r="50" spans="1:38">
      <c r="H50" s="2" t="s">
        <v>1670</v>
      </c>
      <c r="I50" s="104">
        <f ca="1">IFERROR(I11/I7,0)</f>
        <v>0</v>
      </c>
      <c r="J50" s="104">
        <f t="shared" ref="J50:AL50" ca="1" si="11">IFERROR(J11/J7,0)</f>
        <v>0</v>
      </c>
      <c r="K50" s="104">
        <f t="shared" ca="1" si="11"/>
        <v>0.73688011303753365</v>
      </c>
      <c r="L50" s="104">
        <f t="shared" ca="1" si="11"/>
        <v>0.74404418032383024</v>
      </c>
      <c r="M50" s="104">
        <f t="shared" ca="1" si="11"/>
        <v>0.75693698568130241</v>
      </c>
      <c r="N50" s="104">
        <f t="shared" ca="1" si="11"/>
        <v>0.76533988184614177</v>
      </c>
      <c r="O50" s="104">
        <f t="shared" ca="1" si="11"/>
        <v>0.77188471205454712</v>
      </c>
      <c r="P50" s="104">
        <f t="shared" ca="1" si="11"/>
        <v>0.77643974490285983</v>
      </c>
      <c r="Q50" s="104">
        <f t="shared" ca="1" si="11"/>
        <v>0.78080629345713826</v>
      </c>
      <c r="R50" s="104">
        <f t="shared" ca="1" si="11"/>
        <v>0.78529331755638931</v>
      </c>
      <c r="S50" s="104">
        <f t="shared" ca="1" si="11"/>
        <v>0.78930348855366605</v>
      </c>
      <c r="T50" s="104">
        <f t="shared" ca="1" si="11"/>
        <v>0.7937235231460622</v>
      </c>
      <c r="U50" s="104">
        <f t="shared" ca="1" si="11"/>
        <v>0.79796256509812435</v>
      </c>
      <c r="V50" s="104">
        <f t="shared" ca="1" si="11"/>
        <v>0.80230094498822957</v>
      </c>
      <c r="W50" s="104">
        <f t="shared" ca="1" si="11"/>
        <v>0.80619773375800807</v>
      </c>
      <c r="X50" s="104">
        <f t="shared" ca="1" si="11"/>
        <v>0.73339096842214457</v>
      </c>
      <c r="Y50" s="104">
        <f t="shared" ca="1" si="11"/>
        <v>0.73381748266916424</v>
      </c>
      <c r="Z50" s="104">
        <f t="shared" ca="1" si="11"/>
        <v>0.73593656249139727</v>
      </c>
      <c r="AA50" s="104">
        <f t="shared" ca="1" si="11"/>
        <v>0.73747238793259329</v>
      </c>
      <c r="AB50" s="104">
        <f t="shared" ca="1" si="11"/>
        <v>0.73949818588062965</v>
      </c>
      <c r="AC50" s="104">
        <f t="shared" ca="1" si="11"/>
        <v>0.74130028884605559</v>
      </c>
      <c r="AD50" s="104">
        <f t="shared" ca="1" si="11"/>
        <v>0.74323360155796103</v>
      </c>
      <c r="AE50" s="104">
        <f t="shared" ca="1" si="11"/>
        <v>0.7445995549504858</v>
      </c>
      <c r="AF50" s="104">
        <f t="shared" ca="1" si="11"/>
        <v>0.74644829393924039</v>
      </c>
      <c r="AG50" s="104">
        <f t="shared" ca="1" si="11"/>
        <v>0.74808222837950933</v>
      </c>
      <c r="AH50" s="104">
        <f t="shared" ca="1" si="11"/>
        <v>0.74984810019596426</v>
      </c>
      <c r="AI50" s="104">
        <f t="shared" ca="1" si="11"/>
        <v>0.75106307584526866</v>
      </c>
      <c r="AJ50" s="104">
        <f t="shared" ca="1" si="11"/>
        <v>0.75275338016597193</v>
      </c>
      <c r="AK50" s="104">
        <f t="shared" ca="1" si="11"/>
        <v>0.754237141677366</v>
      </c>
      <c r="AL50" s="104">
        <f t="shared" ca="1" si="11"/>
        <v>0.75568593358805491</v>
      </c>
    </row>
    <row r="51" spans="1:38" s="104" customFormat="1">
      <c r="H51" s="104" t="s">
        <v>2309</v>
      </c>
      <c r="I51" s="104">
        <f ca="1">IFERROR(I14/I7,0)</f>
        <v>0</v>
      </c>
      <c r="J51" s="104">
        <f t="shared" ref="J51:AL51" ca="1" si="12">IFERROR(J14/J7,0)</f>
        <v>0</v>
      </c>
      <c r="K51" s="104">
        <f t="shared" ca="1" si="12"/>
        <v>0.59121463836805199</v>
      </c>
      <c r="L51" s="104">
        <f t="shared" ca="1" si="12"/>
        <v>0.64872283553871846</v>
      </c>
      <c r="M51" s="104">
        <f t="shared" ca="1" si="12"/>
        <v>0.67129008058221751</v>
      </c>
      <c r="N51" s="104">
        <f t="shared" ca="1" si="12"/>
        <v>0.68508599610034537</v>
      </c>
      <c r="O51" s="104">
        <f t="shared" ca="1" si="12"/>
        <v>0.69570275377741042</v>
      </c>
      <c r="P51" s="104">
        <f t="shared" ca="1" si="12"/>
        <v>0.70397700300137245</v>
      </c>
      <c r="Q51" s="104">
        <f t="shared" ca="1" si="12"/>
        <v>0.71171129630826435</v>
      </c>
      <c r="R51" s="104">
        <f t="shared" ca="1" si="12"/>
        <v>0.71960750910277815</v>
      </c>
      <c r="S51" s="104">
        <f t="shared" ca="1" si="12"/>
        <v>0.7263611479798463</v>
      </c>
      <c r="T51" s="104">
        <f t="shared" ca="1" si="12"/>
        <v>0.73391931281070899</v>
      </c>
      <c r="U51" s="104">
        <f t="shared" ca="1" si="12"/>
        <v>0.74099973271042241</v>
      </c>
      <c r="V51" s="104">
        <f t="shared" ca="1" si="12"/>
        <v>0.74820727075264937</v>
      </c>
      <c r="W51" s="104">
        <f t="shared" ca="1" si="12"/>
        <v>0.75441916901903894</v>
      </c>
      <c r="X51" s="104">
        <f t="shared" ca="1" si="12"/>
        <v>0.66426554985237762</v>
      </c>
      <c r="Y51" s="104">
        <f t="shared" ca="1" si="12"/>
        <v>0.66670542580531278</v>
      </c>
      <c r="Z51" s="104">
        <f t="shared" ca="1" si="12"/>
        <v>0.67095725124065242</v>
      </c>
      <c r="AA51" s="104">
        <f t="shared" ca="1" si="12"/>
        <v>0.67403952384286436</v>
      </c>
      <c r="AB51" s="104">
        <f t="shared" ca="1" si="12"/>
        <v>0.67808114679964104</v>
      </c>
      <c r="AC51" s="104">
        <f t="shared" ca="1" si="12"/>
        <v>0.68167209556354236</v>
      </c>
      <c r="AD51" s="104">
        <f t="shared" ca="1" si="12"/>
        <v>0.68550032512919212</v>
      </c>
      <c r="AE51" s="104">
        <f t="shared" ca="1" si="12"/>
        <v>0.68824027679456534</v>
      </c>
      <c r="AF51" s="104">
        <f t="shared" ca="1" si="12"/>
        <v>0.69188005019445031</v>
      </c>
      <c r="AG51" s="104">
        <f t="shared" ca="1" si="12"/>
        <v>0.69510335095738307</v>
      </c>
      <c r="AH51" s="104">
        <f t="shared" ca="1" si="12"/>
        <v>0.69855283185526684</v>
      </c>
      <c r="AI51" s="104">
        <f t="shared" ca="1" si="12"/>
        <v>0.70098858717385581</v>
      </c>
      <c r="AJ51" s="104">
        <f t="shared" ca="1" si="12"/>
        <v>0.70427020237121973</v>
      </c>
      <c r="AK51" s="104">
        <f t="shared" ca="1" si="12"/>
        <v>0.70716609527469387</v>
      </c>
      <c r="AL51" s="104">
        <f t="shared" ca="1" si="12"/>
        <v>0.70998794108778374</v>
      </c>
    </row>
    <row r="52" spans="1:38" s="104" customFormat="1">
      <c r="B52" s="2613"/>
      <c r="H52" s="104" t="s">
        <v>2310</v>
      </c>
      <c r="I52" s="104">
        <f ca="1">IFERROR(I24/I7,0)</f>
        <v>0</v>
      </c>
      <c r="J52" s="104">
        <f t="shared" ref="J52:AL52" ca="1" si="13">IFERROR(J24/J7,0)</f>
        <v>0</v>
      </c>
      <c r="K52" s="104">
        <f t="shared" ca="1" si="13"/>
        <v>0.59212857121893592</v>
      </c>
      <c r="L52" s="104">
        <f t="shared" ca="1" si="13"/>
        <v>0.49408232182295553</v>
      </c>
      <c r="M52" s="104">
        <f t="shared" ca="1" si="13"/>
        <v>0.56033939880933292</v>
      </c>
      <c r="N52" s="104">
        <f t="shared" ca="1" si="13"/>
        <v>0.38976270681439834</v>
      </c>
      <c r="O52" s="104">
        <f t="shared" ca="1" si="13"/>
        <v>0.41790006509250582</v>
      </c>
      <c r="P52" s="104">
        <f t="shared" ca="1" si="13"/>
        <v>0.44285479073187517</v>
      </c>
      <c r="Q52" s="104">
        <f t="shared" ca="1" si="13"/>
        <v>0.46594147752255888</v>
      </c>
      <c r="R52" s="104">
        <f t="shared" ca="1" si="13"/>
        <v>0.48776456030902471</v>
      </c>
      <c r="S52" s="104">
        <f t="shared" ca="1" si="13"/>
        <v>0.5061570870312061</v>
      </c>
      <c r="T52" s="104">
        <f t="shared" ca="1" si="13"/>
        <v>0.51398680889278903</v>
      </c>
      <c r="U52" s="104">
        <f t="shared" ca="1" si="13"/>
        <v>0.52110410037169497</v>
      </c>
      <c r="V52" s="104">
        <f t="shared" ca="1" si="13"/>
        <v>0.52785059189569272</v>
      </c>
      <c r="W52" s="104">
        <f t="shared" ca="1" si="13"/>
        <v>0.53385432317987613</v>
      </c>
      <c r="X52" s="104">
        <f t="shared" ca="1" si="13"/>
        <v>0.48684149665712717</v>
      </c>
      <c r="Y52" s="104">
        <f t="shared" ca="1" si="13"/>
        <v>0.4882172200241171</v>
      </c>
      <c r="Z52" s="104">
        <f t="shared" ca="1" si="13"/>
        <v>0.49017277582968721</v>
      </c>
      <c r="AA52" s="104">
        <f t="shared" ca="1" si="13"/>
        <v>0.49185038596477493</v>
      </c>
      <c r="AB52" s="104">
        <f t="shared" ca="1" si="13"/>
        <v>0.49391506476059072</v>
      </c>
      <c r="AC52" s="104">
        <f t="shared" ca="1" si="13"/>
        <v>0.49600843745694401</v>
      </c>
      <c r="AD52" s="104">
        <f t="shared" ca="1" si="13"/>
        <v>0.49831128513428324</v>
      </c>
      <c r="AE52" s="104">
        <f t="shared" ca="1" si="13"/>
        <v>0.50035463633064192</v>
      </c>
      <c r="AF52" s="104">
        <f t="shared" ca="1" si="13"/>
        <v>0.50273147188420231</v>
      </c>
      <c r="AG52" s="104">
        <f t="shared" ca="1" si="13"/>
        <v>0.50504078285952858</v>
      </c>
      <c r="AH52" s="104">
        <f t="shared" ca="1" si="13"/>
        <v>0.50745453094277515</v>
      </c>
      <c r="AI52" s="104">
        <f t="shared" ca="1" si="13"/>
        <v>0.50958224385226591</v>
      </c>
      <c r="AJ52" s="104">
        <f t="shared" ca="1" si="13"/>
        <v>0.51193755021519871</v>
      </c>
      <c r="AK52" s="104">
        <f t="shared" ca="1" si="13"/>
        <v>0.52083057220201134</v>
      </c>
      <c r="AL52" s="104">
        <f t="shared" ca="1" si="13"/>
        <v>0.52958999066239409</v>
      </c>
    </row>
    <row r="54" spans="1:38">
      <c r="B54" s="11"/>
    </row>
    <row r="55" spans="1:38">
      <c r="B55" s="11"/>
    </row>
    <row r="57" spans="1:38">
      <c r="A57" s="12"/>
    </row>
    <row r="64" spans="1:38">
      <c r="A64" s="12"/>
    </row>
  </sheetData>
  <sheetProtection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4" tint="-0.249977111117893"/>
  </sheetPr>
  <dimension ref="A1:AX64"/>
  <sheetViews>
    <sheetView zoomScale="112" zoomScaleNormal="112" workbookViewId="0">
      <selection sqref="A1:B5"/>
    </sheetView>
  </sheetViews>
  <sheetFormatPr defaultColWidth="9.14453125" defaultRowHeight="10.5"/>
  <cols>
    <col min="1" max="1" width="3.49609375" style="2" customWidth="1"/>
    <col min="2" max="2" width="36.3203125" style="2" customWidth="1"/>
    <col min="3" max="3" width="9.14453125" style="2"/>
    <col min="4" max="4" width="2.6875" style="2" customWidth="1"/>
    <col min="5" max="6" width="2.015625" style="2" customWidth="1"/>
    <col min="7" max="7" width="1.8828125" style="2" customWidth="1"/>
    <col min="8" max="8" width="16.94921875" style="2" customWidth="1"/>
    <col min="9" max="9" width="12.9140625" style="2" bestFit="1" customWidth="1"/>
    <col min="10" max="29" width="13.85546875" style="2" bestFit="1" customWidth="1"/>
    <col min="30" max="35" width="15.06640625" style="2" bestFit="1" customWidth="1"/>
    <col min="36" max="48" width="14.66015625" style="2" customWidth="1"/>
    <col min="49" max="49" width="13.046875" style="2" customWidth="1"/>
    <col min="50" max="16384" width="9.14453125" style="2"/>
  </cols>
  <sheetData>
    <row r="1" spans="1:50" s="3265" customFormat="1" ht="14.25">
      <c r="A1" s="3259" t="s">
        <v>672</v>
      </c>
      <c r="B1" s="3260"/>
      <c r="C1" s="3260"/>
      <c r="D1" s="3260"/>
      <c r="E1" s="3260"/>
      <c r="F1" s="3260"/>
      <c r="G1" s="3260"/>
      <c r="H1" s="3260"/>
      <c r="I1" s="3260"/>
      <c r="J1" s="3260"/>
      <c r="K1" s="3260"/>
      <c r="L1" s="3260"/>
      <c r="M1" s="3260"/>
      <c r="N1" s="3260"/>
      <c r="O1" s="3260"/>
      <c r="P1" s="3260"/>
      <c r="Q1" s="3260"/>
      <c r="R1" s="3260"/>
      <c r="S1" s="3260"/>
      <c r="T1" s="3260"/>
      <c r="U1" s="3260"/>
      <c r="V1" s="3260"/>
      <c r="W1" s="3260"/>
      <c r="X1" s="3260"/>
      <c r="Y1" s="3260"/>
      <c r="Z1" s="3260"/>
      <c r="AA1" s="3260"/>
      <c r="AB1" s="3260"/>
      <c r="AC1" s="3260"/>
      <c r="AD1" s="3260"/>
      <c r="AE1" s="3260"/>
      <c r="AF1" s="3260"/>
      <c r="AG1" s="3260"/>
      <c r="AH1" s="3260"/>
      <c r="AI1" s="3260"/>
      <c r="AJ1" s="3260"/>
      <c r="AK1" s="3260"/>
      <c r="AL1" s="3260"/>
      <c r="AM1" s="3260"/>
      <c r="AN1" s="3260"/>
      <c r="AO1" s="3260"/>
      <c r="AP1" s="3260"/>
      <c r="AQ1" s="3260"/>
      <c r="AR1" s="3260"/>
      <c r="AS1" s="3260"/>
      <c r="AT1" s="3260"/>
      <c r="AU1" s="3260"/>
      <c r="AV1" s="3260"/>
      <c r="AW1" s="3260"/>
    </row>
    <row r="2" spans="1:50" s="135" customFormat="1" ht="11.25">
      <c r="A2" s="2711" t="s">
        <v>2393</v>
      </c>
      <c r="B2" s="2711"/>
      <c r="C2" s="2704"/>
      <c r="D2" s="2704"/>
      <c r="E2" s="2704"/>
      <c r="F2" s="2704"/>
      <c r="G2" s="2704"/>
      <c r="H2" s="2704" t="s">
        <v>0</v>
      </c>
      <c r="I2" s="2714">
        <f>'Timing &amp; Flags'!I2</f>
        <v>1</v>
      </c>
      <c r="J2" s="2714">
        <f>'Timing &amp; Flags'!J2</f>
        <v>2</v>
      </c>
      <c r="K2" s="2714">
        <f>'Timing &amp; Flags'!K2</f>
        <v>3</v>
      </c>
      <c r="L2" s="2714">
        <f>'Timing &amp; Flags'!L2</f>
        <v>4</v>
      </c>
      <c r="M2" s="2714">
        <f>'Timing &amp; Flags'!M2</f>
        <v>5</v>
      </c>
      <c r="N2" s="2714">
        <f>'Timing &amp; Flags'!N2</f>
        <v>6</v>
      </c>
      <c r="O2" s="2714">
        <f>'Timing &amp; Flags'!O2</f>
        <v>7</v>
      </c>
      <c r="P2" s="2714">
        <f>'Timing &amp; Flags'!P2</f>
        <v>8</v>
      </c>
      <c r="Q2" s="2714">
        <f>'Timing &amp; Flags'!Q2</f>
        <v>9</v>
      </c>
      <c r="R2" s="2714">
        <f>'Timing &amp; Flags'!R2</f>
        <v>10</v>
      </c>
      <c r="S2" s="2714">
        <f>'Timing &amp; Flags'!S2</f>
        <v>11</v>
      </c>
      <c r="T2" s="2714">
        <f>'Timing &amp; Flags'!T2</f>
        <v>12</v>
      </c>
      <c r="U2" s="2714">
        <f>'Timing &amp; Flags'!U2</f>
        <v>13</v>
      </c>
      <c r="V2" s="2714">
        <f>'Timing &amp; Flags'!V2</f>
        <v>14</v>
      </c>
      <c r="W2" s="2714">
        <f>'Timing &amp; Flags'!W2</f>
        <v>15</v>
      </c>
      <c r="X2" s="2714">
        <f>'Timing &amp; Flags'!X2</f>
        <v>16</v>
      </c>
      <c r="Y2" s="2714">
        <f>'Timing &amp; Flags'!Y2</f>
        <v>17</v>
      </c>
      <c r="Z2" s="2714">
        <f>'Timing &amp; Flags'!Z2</f>
        <v>18</v>
      </c>
      <c r="AA2" s="2714">
        <f>'Timing &amp; Flags'!AA2</f>
        <v>19</v>
      </c>
      <c r="AB2" s="2714">
        <f>'Timing &amp; Flags'!AB2</f>
        <v>20</v>
      </c>
      <c r="AC2" s="2714">
        <f>'Timing &amp; Flags'!AC2</f>
        <v>21</v>
      </c>
      <c r="AD2" s="2714">
        <f>'Timing &amp; Flags'!AD2</f>
        <v>22</v>
      </c>
      <c r="AE2" s="2714">
        <f>'Timing &amp; Flags'!AE2</f>
        <v>23</v>
      </c>
      <c r="AF2" s="2714">
        <f>'Timing &amp; Flags'!AF2</f>
        <v>24</v>
      </c>
      <c r="AG2" s="2714">
        <f>'Timing &amp; Flags'!AG2</f>
        <v>25</v>
      </c>
      <c r="AH2" s="2714">
        <f>'Timing &amp; Flags'!AH2</f>
        <v>26</v>
      </c>
      <c r="AI2" s="2714">
        <f>'Timing &amp; Flags'!AI2</f>
        <v>27</v>
      </c>
      <c r="AJ2" s="2714">
        <f>'Timing &amp; Flags'!AJ2</f>
        <v>28</v>
      </c>
      <c r="AK2" s="2714">
        <f>'Timing &amp; Flags'!AK2</f>
        <v>29</v>
      </c>
      <c r="AL2" s="2714">
        <f>'Timing &amp; Flags'!AL2</f>
        <v>30</v>
      </c>
      <c r="AM2" s="2714"/>
      <c r="AN2" s="2714"/>
      <c r="AO2" s="2714"/>
      <c r="AP2" s="2714"/>
      <c r="AQ2" s="2714"/>
      <c r="AR2" s="2714"/>
      <c r="AS2" s="2714"/>
      <c r="AT2" s="2714"/>
      <c r="AU2" s="2714"/>
      <c r="AV2" s="2714"/>
      <c r="AW2" s="2714"/>
    </row>
    <row r="3" spans="1:50" s="135" customFormat="1" ht="11.25">
      <c r="A3" s="2711" t="s">
        <v>673</v>
      </c>
      <c r="B3" s="2704"/>
      <c r="C3" s="2704"/>
      <c r="D3" s="2704"/>
      <c r="E3" s="2704"/>
      <c r="F3" s="2704"/>
      <c r="G3" s="2704"/>
      <c r="H3" s="2704" t="s">
        <v>1</v>
      </c>
      <c r="I3" s="2719">
        <f>'Timing &amp; Flags'!I3</f>
        <v>46023</v>
      </c>
      <c r="J3" s="2719">
        <f>'Timing &amp; Flags'!J3</f>
        <v>46388</v>
      </c>
      <c r="K3" s="2719">
        <f>'Timing &amp; Flags'!K3</f>
        <v>46753</v>
      </c>
      <c r="L3" s="2719">
        <f>'Timing &amp; Flags'!L3</f>
        <v>47119</v>
      </c>
      <c r="M3" s="2719">
        <f>'Timing &amp; Flags'!M3</f>
        <v>47484</v>
      </c>
      <c r="N3" s="2719">
        <f>'Timing &amp; Flags'!N3</f>
        <v>47849</v>
      </c>
      <c r="O3" s="2719">
        <f>'Timing &amp; Flags'!O3</f>
        <v>48214</v>
      </c>
      <c r="P3" s="2719">
        <f>'Timing &amp; Flags'!P3</f>
        <v>48580</v>
      </c>
      <c r="Q3" s="2719">
        <f>'Timing &amp; Flags'!Q3</f>
        <v>48945</v>
      </c>
      <c r="R3" s="2719">
        <f>'Timing &amp; Flags'!R3</f>
        <v>49310</v>
      </c>
      <c r="S3" s="2719">
        <f>'Timing &amp; Flags'!S3</f>
        <v>49675</v>
      </c>
      <c r="T3" s="2719">
        <f>'Timing &amp; Flags'!T3</f>
        <v>50041</v>
      </c>
      <c r="U3" s="2719">
        <f>'Timing &amp; Flags'!U3</f>
        <v>50406</v>
      </c>
      <c r="V3" s="2719">
        <f>'Timing &amp; Flags'!V3</f>
        <v>50771</v>
      </c>
      <c r="W3" s="2719">
        <f>'Timing &amp; Flags'!W3</f>
        <v>51136</v>
      </c>
      <c r="X3" s="2719">
        <f>'Timing &amp; Flags'!X3</f>
        <v>51502</v>
      </c>
      <c r="Y3" s="2719">
        <f>'Timing &amp; Flags'!Y3</f>
        <v>51867</v>
      </c>
      <c r="Z3" s="2719">
        <f>'Timing &amp; Flags'!Z3</f>
        <v>52232</v>
      </c>
      <c r="AA3" s="2719">
        <f>'Timing &amp; Flags'!AA3</f>
        <v>52597</v>
      </c>
      <c r="AB3" s="2719">
        <f>'Timing &amp; Flags'!AB3</f>
        <v>52963</v>
      </c>
      <c r="AC3" s="2719">
        <f>'Timing &amp; Flags'!AC3</f>
        <v>53328</v>
      </c>
      <c r="AD3" s="2719">
        <f>'Timing &amp; Flags'!AD3</f>
        <v>53693</v>
      </c>
      <c r="AE3" s="2719">
        <f>'Timing &amp; Flags'!AE3</f>
        <v>54058</v>
      </c>
      <c r="AF3" s="2719">
        <f>'Timing &amp; Flags'!AF3</f>
        <v>54424</v>
      </c>
      <c r="AG3" s="2719">
        <f>'Timing &amp; Flags'!AG3</f>
        <v>54789</v>
      </c>
      <c r="AH3" s="2719">
        <f>'Timing &amp; Flags'!AH3</f>
        <v>55154</v>
      </c>
      <c r="AI3" s="2719">
        <f>'Timing &amp; Flags'!AI3</f>
        <v>55519</v>
      </c>
      <c r="AJ3" s="2719">
        <f>'Timing &amp; Flags'!AJ3</f>
        <v>55885</v>
      </c>
      <c r="AK3" s="2719">
        <f>'Timing &amp; Flags'!AK3</f>
        <v>56250</v>
      </c>
      <c r="AL3" s="2719">
        <f>'Timing &amp; Flags'!AL3</f>
        <v>56615</v>
      </c>
      <c r="AM3" s="2719"/>
      <c r="AN3" s="2719"/>
      <c r="AO3" s="2719"/>
      <c r="AP3" s="2719"/>
      <c r="AQ3" s="2719"/>
      <c r="AR3" s="2719"/>
      <c r="AS3" s="2719"/>
      <c r="AT3" s="2719"/>
      <c r="AU3" s="2719"/>
      <c r="AV3" s="2719"/>
      <c r="AW3" s="2719"/>
    </row>
    <row r="4" spans="1:50" s="135" customFormat="1" ht="11.25">
      <c r="A4" s="2704" t="s">
        <v>849</v>
      </c>
      <c r="B4" s="2704"/>
      <c r="C4" s="2704"/>
      <c r="D4" s="2704"/>
      <c r="E4" s="2704"/>
      <c r="F4" s="2704"/>
      <c r="G4" s="2704"/>
      <c r="H4" s="2704" t="s">
        <v>2</v>
      </c>
      <c r="I4" s="2722">
        <f>'Timing &amp; Flags'!I4</f>
        <v>46387</v>
      </c>
      <c r="J4" s="2722">
        <f>'Timing &amp; Flags'!J4</f>
        <v>46752</v>
      </c>
      <c r="K4" s="2722">
        <f>'Timing &amp; Flags'!K4</f>
        <v>47118</v>
      </c>
      <c r="L4" s="2722">
        <f>'Timing &amp; Flags'!L4</f>
        <v>47483</v>
      </c>
      <c r="M4" s="2722">
        <f>'Timing &amp; Flags'!M4</f>
        <v>47848</v>
      </c>
      <c r="N4" s="2722">
        <f>'Timing &amp; Flags'!N4</f>
        <v>48213</v>
      </c>
      <c r="O4" s="2722">
        <f>'Timing &amp; Flags'!O4</f>
        <v>48579</v>
      </c>
      <c r="P4" s="2722">
        <f>'Timing &amp; Flags'!P4</f>
        <v>48944</v>
      </c>
      <c r="Q4" s="2722">
        <f>'Timing &amp; Flags'!Q4</f>
        <v>49309</v>
      </c>
      <c r="R4" s="2722">
        <f>'Timing &amp; Flags'!R4</f>
        <v>49674</v>
      </c>
      <c r="S4" s="2722">
        <f>'Timing &amp; Flags'!S4</f>
        <v>50040</v>
      </c>
      <c r="T4" s="2722">
        <f>'Timing &amp; Flags'!T4</f>
        <v>50405</v>
      </c>
      <c r="U4" s="2722">
        <f>'Timing &amp; Flags'!U4</f>
        <v>50770</v>
      </c>
      <c r="V4" s="2722">
        <f>'Timing &amp; Flags'!V4</f>
        <v>51135</v>
      </c>
      <c r="W4" s="2722">
        <f>'Timing &amp; Flags'!W4</f>
        <v>51501</v>
      </c>
      <c r="X4" s="2722">
        <f>'Timing &amp; Flags'!X4</f>
        <v>51866</v>
      </c>
      <c r="Y4" s="2722">
        <f>'Timing &amp; Flags'!Y4</f>
        <v>52231</v>
      </c>
      <c r="Z4" s="2722">
        <f>'Timing &amp; Flags'!Z4</f>
        <v>52596</v>
      </c>
      <c r="AA4" s="2722">
        <f>'Timing &amp; Flags'!AA4</f>
        <v>52962</v>
      </c>
      <c r="AB4" s="2722">
        <f>'Timing &amp; Flags'!AB4</f>
        <v>53327</v>
      </c>
      <c r="AC4" s="2722">
        <f>'Timing &amp; Flags'!AC4</f>
        <v>53692</v>
      </c>
      <c r="AD4" s="2722">
        <f>'Timing &amp; Flags'!AD4</f>
        <v>54057</v>
      </c>
      <c r="AE4" s="2722">
        <f>'Timing &amp; Flags'!AE4</f>
        <v>54423</v>
      </c>
      <c r="AF4" s="2722">
        <f>'Timing &amp; Flags'!AF4</f>
        <v>54788</v>
      </c>
      <c r="AG4" s="2722">
        <f>'Timing &amp; Flags'!AG4</f>
        <v>55153</v>
      </c>
      <c r="AH4" s="2722">
        <f>'Timing &amp; Flags'!AH4</f>
        <v>55518</v>
      </c>
      <c r="AI4" s="2722">
        <f>'Timing &amp; Flags'!AI4</f>
        <v>55884</v>
      </c>
      <c r="AJ4" s="2722">
        <f>'Timing &amp; Flags'!AJ4</f>
        <v>56249</v>
      </c>
      <c r="AK4" s="2722">
        <f>'Timing &amp; Flags'!AK4</f>
        <v>56614</v>
      </c>
      <c r="AL4" s="2722">
        <f>'Timing &amp; Flags'!AL4</f>
        <v>56979</v>
      </c>
      <c r="AM4" s="2722"/>
      <c r="AN4" s="2722"/>
      <c r="AO4" s="2722"/>
      <c r="AP4" s="2722"/>
      <c r="AQ4" s="2722"/>
      <c r="AR4" s="2722"/>
      <c r="AS4" s="2722"/>
      <c r="AT4" s="2722"/>
      <c r="AU4" s="2722"/>
      <c r="AV4" s="2722"/>
      <c r="AW4" s="2722"/>
    </row>
    <row r="5" spans="1:50" s="135" customFormat="1" ht="11.25">
      <c r="A5" s="2704" t="s">
        <v>640</v>
      </c>
      <c r="B5" s="2704"/>
      <c r="C5" s="2704"/>
      <c r="D5" s="2704"/>
      <c r="E5" s="2704"/>
      <c r="F5" s="2704"/>
      <c r="G5" s="2704"/>
      <c r="H5" s="2704" t="s">
        <v>3</v>
      </c>
      <c r="I5" s="2723">
        <f ca="1">'Timing &amp; Flags'!I5</f>
        <v>365</v>
      </c>
      <c r="J5" s="2723">
        <f ca="1">'Timing &amp; Flags'!J5</f>
        <v>366</v>
      </c>
      <c r="K5" s="2723">
        <f ca="1">'Timing &amp; Flags'!K5</f>
        <v>365</v>
      </c>
      <c r="L5" s="2723">
        <f ca="1">'Timing &amp; Flags'!L5</f>
        <v>365</v>
      </c>
      <c r="M5" s="2723">
        <f ca="1">'Timing &amp; Flags'!M5</f>
        <v>365</v>
      </c>
      <c r="N5" s="2723">
        <f ca="1">'Timing &amp; Flags'!N5</f>
        <v>366</v>
      </c>
      <c r="O5" s="2723">
        <f ca="1">'Timing &amp; Flags'!O5</f>
        <v>365</v>
      </c>
      <c r="P5" s="2723">
        <f ca="1">'Timing &amp; Flags'!P5</f>
        <v>365</v>
      </c>
      <c r="Q5" s="2723">
        <f ca="1">'Timing &amp; Flags'!Q5</f>
        <v>365</v>
      </c>
      <c r="R5" s="2723">
        <f ca="1">'Timing &amp; Flags'!R5</f>
        <v>366</v>
      </c>
      <c r="S5" s="2723">
        <f ca="1">'Timing &amp; Flags'!S5</f>
        <v>365</v>
      </c>
      <c r="T5" s="2723">
        <f ca="1">'Timing &amp; Flags'!T5</f>
        <v>365</v>
      </c>
      <c r="U5" s="2723">
        <f ca="1">'Timing &amp; Flags'!U5</f>
        <v>365</v>
      </c>
      <c r="V5" s="2723">
        <f ca="1">'Timing &amp; Flags'!V5</f>
        <v>366</v>
      </c>
      <c r="W5" s="2723">
        <f ca="1">'Timing &amp; Flags'!W5</f>
        <v>365</v>
      </c>
      <c r="X5" s="2723">
        <f ca="1">'Timing &amp; Flags'!X5</f>
        <v>365</v>
      </c>
      <c r="Y5" s="2723">
        <f ca="1">'Timing &amp; Flags'!Y5</f>
        <v>365</v>
      </c>
      <c r="Z5" s="2723">
        <f ca="1">'Timing &amp; Flags'!Z5</f>
        <v>366</v>
      </c>
      <c r="AA5" s="2723">
        <f ca="1">'Timing &amp; Flags'!AA5</f>
        <v>365</v>
      </c>
      <c r="AB5" s="2723">
        <f ca="1">'Timing &amp; Flags'!AB5</f>
        <v>365</v>
      </c>
      <c r="AC5" s="2723">
        <f ca="1">'Timing &amp; Flags'!AC5</f>
        <v>365</v>
      </c>
      <c r="AD5" s="2723">
        <f ca="1">'Timing &amp; Flags'!AD5</f>
        <v>366</v>
      </c>
      <c r="AE5" s="2723">
        <f ca="1">'Timing &amp; Flags'!AE5</f>
        <v>365</v>
      </c>
      <c r="AF5" s="2723">
        <f ca="1">'Timing &amp; Flags'!AF5</f>
        <v>365</v>
      </c>
      <c r="AG5" s="2723">
        <f ca="1">'Timing &amp; Flags'!AG5</f>
        <v>365</v>
      </c>
      <c r="AH5" s="2723">
        <f ca="1">'Timing &amp; Flags'!AH5</f>
        <v>366</v>
      </c>
      <c r="AI5" s="2723">
        <f ca="1">'Timing &amp; Flags'!AI5</f>
        <v>365</v>
      </c>
      <c r="AJ5" s="2723">
        <f ca="1">'Timing &amp; Flags'!AJ5</f>
        <v>365</v>
      </c>
      <c r="AK5" s="2723">
        <f ca="1">'Timing &amp; Flags'!AK5</f>
        <v>365</v>
      </c>
      <c r="AL5" s="2723">
        <f ca="1">'Timing &amp; Flags'!AL5</f>
        <v>365</v>
      </c>
      <c r="AM5" s="2723"/>
      <c r="AN5" s="2723"/>
      <c r="AO5" s="2723"/>
      <c r="AP5" s="2723"/>
      <c r="AQ5" s="2723"/>
      <c r="AR5" s="2723"/>
      <c r="AS5" s="2723"/>
      <c r="AT5" s="2723"/>
      <c r="AU5" s="2723"/>
      <c r="AV5" s="2723"/>
      <c r="AW5" s="2723"/>
    </row>
    <row r="6" spans="1:50">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row>
    <row r="7" spans="1:50">
      <c r="A7" s="5"/>
      <c r="B7" s="29" t="s">
        <v>188</v>
      </c>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row>
    <row r="8" spans="1:50">
      <c r="A8" s="5"/>
      <c r="B8" s="2" t="s">
        <v>460</v>
      </c>
      <c r="C8" s="201" t="str">
        <f>IF('Input '!$F$9=1,"US$","=N=")</f>
        <v>US$</v>
      </c>
      <c r="D8" s="5"/>
      <c r="E8" s="5"/>
      <c r="F8" s="5"/>
      <c r="G8" s="5"/>
      <c r="H8" s="191"/>
      <c r="I8" s="1531">
        <f>'Fixed Assets'!I37</f>
        <v>715288869.70235205</v>
      </c>
      <c r="J8" s="1531">
        <f>'Fixed Assets'!J37</f>
        <v>3137677632.1611538</v>
      </c>
      <c r="K8" s="1531">
        <f ca="1">'Fixed Assets'!K37</f>
        <v>0</v>
      </c>
      <c r="L8" s="1531">
        <f ca="1">'Fixed Assets'!L37</f>
        <v>0</v>
      </c>
      <c r="M8" s="1531">
        <f ca="1">'Fixed Assets'!M37</f>
        <v>0</v>
      </c>
      <c r="N8" s="1531">
        <f ca="1">'Fixed Assets'!N37</f>
        <v>0</v>
      </c>
      <c r="O8" s="1531">
        <f ca="1">'Fixed Assets'!O37</f>
        <v>0</v>
      </c>
      <c r="P8" s="1531">
        <f ca="1">'Fixed Assets'!P37</f>
        <v>0</v>
      </c>
      <c r="Q8" s="1531">
        <f ca="1">'Fixed Assets'!Q37</f>
        <v>0</v>
      </c>
      <c r="R8" s="1531">
        <f ca="1">'Fixed Assets'!R37</f>
        <v>0</v>
      </c>
      <c r="S8" s="1531">
        <f ca="1">'Fixed Assets'!S37</f>
        <v>0</v>
      </c>
      <c r="T8" s="1531">
        <f ca="1">'Fixed Assets'!T37</f>
        <v>0</v>
      </c>
      <c r="U8" s="1531">
        <f ca="1">'Fixed Assets'!U37</f>
        <v>0</v>
      </c>
      <c r="V8" s="1531">
        <f ca="1">'Fixed Assets'!V37</f>
        <v>0</v>
      </c>
      <c r="W8" s="1531">
        <f ca="1">'Fixed Assets'!W37</f>
        <v>0</v>
      </c>
      <c r="X8" s="1531">
        <f ca="1">'Fixed Assets'!X37</f>
        <v>0</v>
      </c>
      <c r="Y8" s="1531">
        <f ca="1">'Fixed Assets'!Y37</f>
        <v>0</v>
      </c>
      <c r="Z8" s="1531">
        <f ca="1">'Fixed Assets'!Z37</f>
        <v>0</v>
      </c>
      <c r="AA8" s="1531">
        <f ca="1">'Fixed Assets'!AA37</f>
        <v>0</v>
      </c>
      <c r="AB8" s="1531">
        <f ca="1">'Fixed Assets'!AB37</f>
        <v>0</v>
      </c>
      <c r="AC8" s="1531">
        <f ca="1">'Fixed Assets'!AC37</f>
        <v>0</v>
      </c>
      <c r="AD8" s="1531">
        <f ca="1">'Fixed Assets'!AD37</f>
        <v>0</v>
      </c>
      <c r="AE8" s="1531">
        <f ca="1">'Fixed Assets'!AE37</f>
        <v>0</v>
      </c>
      <c r="AF8" s="1531">
        <f ca="1">'Fixed Assets'!AF37</f>
        <v>0</v>
      </c>
      <c r="AG8" s="1531">
        <f ca="1">'Fixed Assets'!AG37</f>
        <v>0</v>
      </c>
      <c r="AH8" s="1531">
        <f ca="1">'Fixed Assets'!AH37</f>
        <v>0</v>
      </c>
      <c r="AI8" s="1531">
        <f ca="1">'Fixed Assets'!AI37</f>
        <v>0</v>
      </c>
      <c r="AJ8" s="1531">
        <f>'Fixed Assets'!AJ37</f>
        <v>0</v>
      </c>
      <c r="AK8" s="1531">
        <f>'Fixed Assets'!AK37</f>
        <v>0</v>
      </c>
      <c r="AL8" s="1531">
        <f>'Fixed Assets'!AL37</f>
        <v>0</v>
      </c>
      <c r="AM8" s="1531"/>
      <c r="AN8" s="1531"/>
      <c r="AO8" s="1531"/>
      <c r="AP8" s="1531"/>
      <c r="AQ8" s="1531"/>
      <c r="AR8" s="1531"/>
      <c r="AS8" s="1531"/>
      <c r="AT8" s="1531"/>
      <c r="AU8" s="1531"/>
      <c r="AV8" s="1531"/>
      <c r="AW8" s="1531"/>
      <c r="AX8" s="1531"/>
    </row>
    <row r="9" spans="1:50">
      <c r="A9" s="5"/>
      <c r="B9" s="27" t="s">
        <v>259</v>
      </c>
      <c r="C9" s="207" t="str">
        <f>$C$8</f>
        <v>US$</v>
      </c>
      <c r="D9" s="133"/>
      <c r="E9" s="133"/>
      <c r="F9" s="206"/>
      <c r="G9" s="133"/>
      <c r="H9" s="192"/>
      <c r="I9" s="1532">
        <f ca="1">'Fixed Assets'!I53</f>
        <v>0</v>
      </c>
      <c r="J9" s="1532">
        <f ca="1">'Fixed Assets'!J53</f>
        <v>0</v>
      </c>
      <c r="K9" s="1532">
        <f ca="1">'Fixed Assets'!K53</f>
        <v>3992577839.4859338</v>
      </c>
      <c r="L9" s="1532">
        <f ca="1">'Fixed Assets'!L53</f>
        <v>3844704586.1716399</v>
      </c>
      <c r="M9" s="1532">
        <f ca="1">'Fixed Assets'!M53</f>
        <v>3696831332.8573461</v>
      </c>
      <c r="N9" s="1532">
        <f ca="1">'Fixed Assets'!N53</f>
        <v>3549362104.8253317</v>
      </c>
      <c r="O9" s="1532">
        <f ca="1">'Fixed Assets'!O53</f>
        <v>3401083719.3101768</v>
      </c>
      <c r="P9" s="1532">
        <f ca="1">'Fixed Assets'!P53</f>
        <v>3253210465.995883</v>
      </c>
      <c r="Q9" s="1532">
        <f ca="1">'Fixed Assets'!Q53</f>
        <v>3105337212.6815891</v>
      </c>
      <c r="R9" s="1532">
        <f ca="1">'Fixed Assets'!R53</f>
        <v>2957867984.6495748</v>
      </c>
      <c r="S9" s="1532">
        <f ca="1">'Fixed Assets'!S53</f>
        <v>2809589599.1344199</v>
      </c>
      <c r="T9" s="1532">
        <f ca="1">'Fixed Assets'!T53</f>
        <v>2661716345.8201261</v>
      </c>
      <c r="U9" s="1532">
        <f ca="1">'Fixed Assets'!U53</f>
        <v>2513843092.5058322</v>
      </c>
      <c r="V9" s="1532">
        <f ca="1">'Fixed Assets'!V53</f>
        <v>2366373864.4738178</v>
      </c>
      <c r="W9" s="1532">
        <f ca="1">'Fixed Assets'!W53</f>
        <v>2218095478.958663</v>
      </c>
      <c r="X9" s="1532">
        <f ca="1">'Fixed Assets'!X53</f>
        <v>2070222225.6443691</v>
      </c>
      <c r="Y9" s="1532">
        <f ca="1">'Fixed Assets'!Y53</f>
        <v>1922348972.3300753</v>
      </c>
      <c r="Z9" s="1532">
        <f ca="1">'Fixed Assets'!Z53</f>
        <v>1774879744.2980609</v>
      </c>
      <c r="AA9" s="1532">
        <f ca="1">'Fixed Assets'!AA53</f>
        <v>1626601358.7829061</v>
      </c>
      <c r="AB9" s="1532">
        <f ca="1">'Fixed Assets'!AB53</f>
        <v>1478728105.4686122</v>
      </c>
      <c r="AC9" s="1532">
        <f ca="1">'Fixed Assets'!AC53</f>
        <v>1330854852.1543183</v>
      </c>
      <c r="AD9" s="1532">
        <f ca="1">'Fixed Assets'!AD53</f>
        <v>1183385624.122304</v>
      </c>
      <c r="AE9" s="1532">
        <f ca="1">'Fixed Assets'!AE53</f>
        <v>1035107238.607149</v>
      </c>
      <c r="AF9" s="1532">
        <f ca="1">'Fixed Assets'!AF53</f>
        <v>887233985.29285514</v>
      </c>
      <c r="AG9" s="1532">
        <f ca="1">'Fixed Assets'!AG53</f>
        <v>739360731.97856128</v>
      </c>
      <c r="AH9" s="1532">
        <f ca="1">'Fixed Assets'!AH53</f>
        <v>591891503.94654691</v>
      </c>
      <c r="AI9" s="1532">
        <f ca="1">'Fixed Assets'!AI53</f>
        <v>443613118.43139195</v>
      </c>
      <c r="AJ9" s="1532">
        <f ca="1">'Fixed Assets'!AJ53</f>
        <v>295739865.11709809</v>
      </c>
      <c r="AK9" s="1532">
        <f ca="1">'Fixed Assets'!AK53</f>
        <v>147866611.80280426</v>
      </c>
      <c r="AL9" s="1532">
        <f ca="1">'Fixed Assets'!AL53</f>
        <v>0</v>
      </c>
      <c r="AM9" s="1532"/>
      <c r="AN9" s="1532"/>
      <c r="AO9" s="1532"/>
      <c r="AP9" s="1532"/>
      <c r="AQ9" s="1532"/>
      <c r="AR9" s="1532"/>
      <c r="AS9" s="1532"/>
      <c r="AT9" s="1532"/>
      <c r="AU9" s="1532"/>
      <c r="AV9" s="1532"/>
      <c r="AW9" s="1532"/>
      <c r="AX9" s="1531"/>
    </row>
    <row r="10" spans="1:50">
      <c r="A10" s="5"/>
      <c r="B10" s="2" t="s">
        <v>461</v>
      </c>
      <c r="C10" s="201" t="str">
        <f>$C$8</f>
        <v>US$</v>
      </c>
      <c r="D10" s="5"/>
      <c r="E10" s="5"/>
      <c r="F10" s="5"/>
      <c r="G10" s="5"/>
      <c r="H10" s="204"/>
      <c r="I10" s="204">
        <f t="shared" ref="I10:AL10" ca="1" si="0">SUM(I8:I9)</f>
        <v>715288869.70235205</v>
      </c>
      <c r="J10" s="204">
        <f t="shared" ca="1" si="0"/>
        <v>3137677632.1611538</v>
      </c>
      <c r="K10" s="204">
        <f t="shared" ca="1" si="0"/>
        <v>3992577839.4859338</v>
      </c>
      <c r="L10" s="204">
        <f t="shared" ca="1" si="0"/>
        <v>3844704586.1716399</v>
      </c>
      <c r="M10" s="204">
        <f t="shared" ca="1" si="0"/>
        <v>3696831332.8573461</v>
      </c>
      <c r="N10" s="204">
        <f t="shared" ca="1" si="0"/>
        <v>3549362104.8253317</v>
      </c>
      <c r="O10" s="204">
        <f t="shared" ca="1" si="0"/>
        <v>3401083719.3101768</v>
      </c>
      <c r="P10" s="204">
        <f t="shared" ca="1" si="0"/>
        <v>3253210465.995883</v>
      </c>
      <c r="Q10" s="204">
        <f t="shared" ca="1" si="0"/>
        <v>3105337212.6815891</v>
      </c>
      <c r="R10" s="204">
        <f t="shared" ca="1" si="0"/>
        <v>2957867984.6495748</v>
      </c>
      <c r="S10" s="204">
        <f t="shared" ca="1" si="0"/>
        <v>2809589599.1344199</v>
      </c>
      <c r="T10" s="204">
        <f t="shared" ca="1" si="0"/>
        <v>2661716345.8201261</v>
      </c>
      <c r="U10" s="204">
        <f t="shared" ca="1" si="0"/>
        <v>2513843092.5058322</v>
      </c>
      <c r="V10" s="204">
        <f t="shared" ca="1" si="0"/>
        <v>2366373864.4738178</v>
      </c>
      <c r="W10" s="204">
        <f t="shared" ca="1" si="0"/>
        <v>2218095478.958663</v>
      </c>
      <c r="X10" s="204">
        <f t="shared" ca="1" si="0"/>
        <v>2070222225.6443691</v>
      </c>
      <c r="Y10" s="204">
        <f t="shared" ca="1" si="0"/>
        <v>1922348972.3300753</v>
      </c>
      <c r="Z10" s="204">
        <f t="shared" ca="1" si="0"/>
        <v>1774879744.2980609</v>
      </c>
      <c r="AA10" s="204">
        <f t="shared" ca="1" si="0"/>
        <v>1626601358.7829061</v>
      </c>
      <c r="AB10" s="204">
        <f t="shared" ca="1" si="0"/>
        <v>1478728105.4686122</v>
      </c>
      <c r="AC10" s="204">
        <f t="shared" ca="1" si="0"/>
        <v>1330854852.1543183</v>
      </c>
      <c r="AD10" s="204">
        <f t="shared" ca="1" si="0"/>
        <v>1183385624.122304</v>
      </c>
      <c r="AE10" s="204">
        <f t="shared" ca="1" si="0"/>
        <v>1035107238.607149</v>
      </c>
      <c r="AF10" s="204">
        <f t="shared" ca="1" si="0"/>
        <v>887233985.29285514</v>
      </c>
      <c r="AG10" s="204">
        <f t="shared" ca="1" si="0"/>
        <v>739360731.97856128</v>
      </c>
      <c r="AH10" s="204">
        <f t="shared" ca="1" si="0"/>
        <v>591891503.94654691</v>
      </c>
      <c r="AI10" s="204">
        <f t="shared" ca="1" si="0"/>
        <v>443613118.43139195</v>
      </c>
      <c r="AJ10" s="204">
        <f t="shared" ca="1" si="0"/>
        <v>295739865.11709809</v>
      </c>
      <c r="AK10" s="204">
        <f t="shared" ca="1" si="0"/>
        <v>147866611.80280426</v>
      </c>
      <c r="AL10" s="204">
        <f t="shared" ca="1" si="0"/>
        <v>0</v>
      </c>
      <c r="AM10" s="204"/>
      <c r="AN10" s="204"/>
      <c r="AO10" s="204"/>
      <c r="AP10" s="204"/>
      <c r="AQ10" s="204"/>
      <c r="AR10" s="204"/>
      <c r="AS10" s="204"/>
      <c r="AT10" s="204"/>
      <c r="AU10" s="204"/>
      <c r="AV10" s="204"/>
      <c r="AW10" s="204"/>
    </row>
    <row r="11" spans="1:50">
      <c r="A11" s="5"/>
      <c r="B11" s="29"/>
      <c r="C11" s="201"/>
      <c r="D11" s="191"/>
      <c r="E11" s="5"/>
      <c r="F11" s="5"/>
      <c r="G11" s="5"/>
      <c r="H11" s="5"/>
      <c r="I11" s="191"/>
      <c r="J11" s="191"/>
      <c r="K11" s="191"/>
      <c r="L11" s="19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5"/>
      <c r="AK11" s="5"/>
      <c r="AL11" s="5"/>
      <c r="AM11" s="5"/>
      <c r="AN11" s="5"/>
    </row>
    <row r="12" spans="1:50">
      <c r="A12" s="5"/>
      <c r="B12" s="29" t="s">
        <v>462</v>
      </c>
      <c r="C12" s="201"/>
      <c r="D12" s="191"/>
      <c r="E12" s="5"/>
      <c r="F12" s="5"/>
      <c r="G12" s="5"/>
      <c r="H12" s="5"/>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5"/>
      <c r="AK12" s="5"/>
      <c r="AL12" s="5"/>
      <c r="AM12" s="5"/>
      <c r="AN12" s="5"/>
    </row>
    <row r="13" spans="1:50">
      <c r="A13" s="5"/>
      <c r="B13" s="2" t="s">
        <v>463</v>
      </c>
      <c r="C13" s="201" t="str">
        <f t="shared" ref="C13:C18" si="1">$C$8</f>
        <v>US$</v>
      </c>
      <c r="D13" s="191"/>
      <c r="E13" s="5"/>
      <c r="F13" s="202"/>
      <c r="G13" s="5"/>
      <c r="H13" s="5"/>
      <c r="I13" s="191">
        <f ca="1">'Rev &amp; Receivables'!J179</f>
        <v>0</v>
      </c>
      <c r="J13" s="1531">
        <f ca="1">'Rev &amp; Receivables'!K179</f>
        <v>0</v>
      </c>
      <c r="K13" s="1531">
        <f ca="1">'Rev &amp; Receivables'!L179</f>
        <v>125156280.71864671</v>
      </c>
      <c r="L13" s="1531">
        <f ca="1">'Rev &amp; Receivables'!M179</f>
        <v>191257782.60732284</v>
      </c>
      <c r="M13" s="1531">
        <f ca="1">'Rev &amp; Receivables'!N179</f>
        <v>212861737.59176907</v>
      </c>
      <c r="N13" s="1531">
        <f ca="1">'Rev &amp; Receivables'!O179</f>
        <v>225926287.48698679</v>
      </c>
      <c r="O13" s="1531">
        <f ca="1">'Rev &amp; Receivables'!P179</f>
        <v>239963598.43929762</v>
      </c>
      <c r="P13" s="1531">
        <f ca="1">'Rev &amp; Receivables'!Q179</f>
        <v>251590659.70113876</v>
      </c>
      <c r="Q13" s="1531">
        <f ca="1">'Rev &amp; Receivables'!R179</f>
        <v>263853387.23536921</v>
      </c>
      <c r="R13" s="1531">
        <f ca="1">'Rev &amp; Receivables'!S179</f>
        <v>276033178.09139007</v>
      </c>
      <c r="S13" s="1531">
        <f ca="1">'Rev &amp; Receivables'!T179</f>
        <v>290438783.77693975</v>
      </c>
      <c r="T13" s="1531">
        <f ca="1">'Rev &amp; Receivables'!U179</f>
        <v>304843905.41264862</v>
      </c>
      <c r="U13" s="1531">
        <f ca="1">'Rev &amp; Receivables'!V179</f>
        <v>320049904.02627099</v>
      </c>
      <c r="V13" s="1531">
        <f ca="1">'Rev &amp; Receivables'!W179</f>
        <v>335186372.88325667</v>
      </c>
      <c r="W13" s="1531">
        <f ca="1">'Rev &amp; Receivables'!X179</f>
        <v>353059165.245184</v>
      </c>
      <c r="X13" s="1531">
        <f ca="1">'Rev &amp; Receivables'!Y179</f>
        <v>263737267.939266</v>
      </c>
      <c r="Y13" s="1531">
        <f ca="1">'Rev &amp; Receivables'!Z179</f>
        <v>271649385.97744399</v>
      </c>
      <c r="Z13" s="1531">
        <f ca="1">'Rev &amp; Receivables'!AA179</f>
        <v>279034389.77655756</v>
      </c>
      <c r="AA13" s="1531">
        <f ca="1">'Rev &amp; Receivables'!AB179</f>
        <v>288192833.5834704</v>
      </c>
      <c r="AB13" s="1531">
        <f ca="1">'Rev &amp; Receivables'!AC179</f>
        <v>296838618.59097451</v>
      </c>
      <c r="AC13" s="1531">
        <f ca="1">'Rev &amp; Receivables'!AD179</f>
        <v>305743777.14870375</v>
      </c>
      <c r="AD13" s="1531">
        <f ca="1">'Rev &amp; Receivables'!AE179</f>
        <v>314055663.98648959</v>
      </c>
      <c r="AE13" s="1531">
        <f ca="1">'Rev &amp; Receivables'!AF179</f>
        <v>324363573.17705983</v>
      </c>
      <c r="AF13" s="1531">
        <f ca="1">'Rev &amp; Receivables'!AG179</f>
        <v>334094480.37237167</v>
      </c>
      <c r="AG13" s="1531">
        <f ca="1">'Rev &amp; Receivables'!AH179</f>
        <v>344117314.78354281</v>
      </c>
      <c r="AH13" s="1531">
        <f ca="1">'Rev &amp; Receivables'!AI179</f>
        <v>353472416.64719385</v>
      </c>
      <c r="AI13" s="1531">
        <f ca="1">'Rev &amp; Receivables'!AJ179</f>
        <v>365074059.25386065</v>
      </c>
      <c r="AJ13" s="1531">
        <f ca="1">'Rev &amp; Receivables'!AK179</f>
        <v>376026281.03147644</v>
      </c>
      <c r="AK13" s="1531">
        <f ca="1">'Rev &amp; Receivables'!AL179</f>
        <v>387307069.46242076</v>
      </c>
      <c r="AL13" s="1531">
        <f>'Rev &amp; Receivables'!AM179</f>
        <v>0</v>
      </c>
      <c r="AM13" s="1531"/>
      <c r="AN13" s="1531"/>
      <c r="AO13" s="1531"/>
      <c r="AP13" s="1531"/>
      <c r="AQ13" s="1531"/>
      <c r="AR13" s="1531"/>
      <c r="AS13" s="1531"/>
      <c r="AT13" s="1531"/>
      <c r="AU13" s="1531"/>
      <c r="AV13" s="1531"/>
      <c r="AW13" s="1531"/>
    </row>
    <row r="14" spans="1:50">
      <c r="A14" s="5"/>
      <c r="B14" s="2" t="s">
        <v>410</v>
      </c>
      <c r="C14" s="201" t="str">
        <f t="shared" si="1"/>
        <v>US$</v>
      </c>
      <c r="D14" s="5"/>
      <c r="E14" s="5"/>
      <c r="F14" s="5"/>
      <c r="G14" s="5"/>
      <c r="H14" s="5"/>
      <c r="I14" s="1531">
        <f ca="1">Taxation!I107</f>
        <v>0</v>
      </c>
      <c r="J14" s="1531">
        <f ca="1">Taxation!J107</f>
        <v>43434191.120915376</v>
      </c>
      <c r="K14" s="1531">
        <f ca="1">Taxation!K107</f>
        <v>44361975.994288154</v>
      </c>
      <c r="L14" s="1531">
        <f ca="1">Taxation!L107</f>
        <v>88723951.988576293</v>
      </c>
      <c r="M14" s="1531">
        <f ca="1">Taxation!M107</f>
        <v>133085927.98286444</v>
      </c>
      <c r="N14" s="1531">
        <f ca="1">Taxation!N107</f>
        <v>0</v>
      </c>
      <c r="O14" s="1531">
        <f ca="1">Taxation!O107</f>
        <v>0</v>
      </c>
      <c r="P14" s="1531">
        <f ca="1">Taxation!P107</f>
        <v>0</v>
      </c>
      <c r="Q14" s="1531">
        <f ca="1">Taxation!Q107</f>
        <v>0</v>
      </c>
      <c r="R14" s="1531">
        <f ca="1">Taxation!R107</f>
        <v>0</v>
      </c>
      <c r="S14" s="1531">
        <f ca="1">Taxation!S107</f>
        <v>0</v>
      </c>
      <c r="T14" s="1531">
        <f ca="1">Taxation!T107</f>
        <v>0</v>
      </c>
      <c r="U14" s="1531">
        <f ca="1">Taxation!U107</f>
        <v>0</v>
      </c>
      <c r="V14" s="1531">
        <f ca="1">Taxation!V107</f>
        <v>0</v>
      </c>
      <c r="W14" s="1531">
        <f ca="1">Taxation!W107</f>
        <v>0</v>
      </c>
      <c r="X14" s="1531">
        <f ca="1">Taxation!X107</f>
        <v>0</v>
      </c>
      <c r="Y14" s="1531">
        <f ca="1">Taxation!Y107</f>
        <v>0</v>
      </c>
      <c r="Z14" s="1531">
        <f ca="1">Taxation!Z107</f>
        <v>0</v>
      </c>
      <c r="AA14" s="1531">
        <f ca="1">Taxation!AA107</f>
        <v>0</v>
      </c>
      <c r="AB14" s="1531">
        <f ca="1">Taxation!AB107</f>
        <v>0</v>
      </c>
      <c r="AC14" s="1531">
        <f ca="1">Taxation!AC107</f>
        <v>0</v>
      </c>
      <c r="AD14" s="1531">
        <f ca="1">Taxation!AD107</f>
        <v>0</v>
      </c>
      <c r="AE14" s="1531">
        <f ca="1">Taxation!AE107</f>
        <v>0</v>
      </c>
      <c r="AF14" s="1531">
        <f ca="1">Taxation!AF107</f>
        <v>0</v>
      </c>
      <c r="AG14" s="1531">
        <f ca="1">Taxation!AG107</f>
        <v>0</v>
      </c>
      <c r="AH14" s="1531">
        <f ca="1">Taxation!AH107</f>
        <v>0</v>
      </c>
      <c r="AI14" s="1531">
        <f ca="1">Taxation!AI107</f>
        <v>0</v>
      </c>
      <c r="AJ14" s="1531">
        <f ca="1">Taxation!AJ107</f>
        <v>0</v>
      </c>
      <c r="AK14" s="1531">
        <f ca="1">Taxation!AK107</f>
        <v>0</v>
      </c>
      <c r="AL14" s="1531">
        <f ca="1">Taxation!AL107</f>
        <v>3.2782554626464844E-7</v>
      </c>
      <c r="AM14" s="1531"/>
      <c r="AN14" s="1531"/>
      <c r="AO14" s="1531"/>
      <c r="AP14" s="1531"/>
      <c r="AQ14" s="1531"/>
      <c r="AR14" s="1531"/>
      <c r="AS14" s="1531"/>
      <c r="AT14" s="1531"/>
      <c r="AU14" s="1531"/>
      <c r="AV14" s="1531"/>
      <c r="AW14" s="1531"/>
    </row>
    <row r="15" spans="1:50">
      <c r="A15" s="5"/>
      <c r="B15" s="2" t="s">
        <v>464</v>
      </c>
      <c r="C15" s="201" t="str">
        <f t="shared" si="1"/>
        <v>US$</v>
      </c>
      <c r="D15" s="5"/>
      <c r="E15" s="5"/>
      <c r="F15" s="5"/>
      <c r="G15" s="5"/>
      <c r="H15" s="5"/>
      <c r="I15" s="1531">
        <f ca="1">CF!I43</f>
        <v>0</v>
      </c>
      <c r="J15" s="1531">
        <f ca="1">CF!J43</f>
        <v>-132913371.73613448</v>
      </c>
      <c r="K15" s="1531">
        <f ca="1">CF!K43</f>
        <v>632979160.75820112</v>
      </c>
      <c r="L15" s="1531">
        <f ca="1">CF!L43</f>
        <v>878476565.64138186</v>
      </c>
      <c r="M15" s="1531">
        <f ca="1">CF!M43</f>
        <v>1288299890.1069081</v>
      </c>
      <c r="N15" s="1531">
        <f ca="1">CF!N43</f>
        <v>1637966395.679565</v>
      </c>
      <c r="O15" s="1531">
        <f ca="1">CF!O43</f>
        <v>2040726817.8025031</v>
      </c>
      <c r="P15" s="1531">
        <f ca="1">CF!P43</f>
        <v>2485380857.1483808</v>
      </c>
      <c r="Q15" s="1531">
        <f ca="1">CF!Q43</f>
        <v>2965996236.233273</v>
      </c>
      <c r="R15" s="1531">
        <f ca="1">CF!R43</f>
        <v>3260022660.1744308</v>
      </c>
      <c r="S15" s="1531">
        <f ca="1">CF!S43</f>
        <v>3859761865.2041125</v>
      </c>
      <c r="T15" s="1531">
        <f ca="1">CF!T43</f>
        <v>4437755346.5319462</v>
      </c>
      <c r="U15" s="1531">
        <f ca="1">CF!U43</f>
        <v>4998010898.8891544</v>
      </c>
      <c r="V15" s="1531">
        <f ca="1">CF!V43</f>
        <v>5549935527.9177265</v>
      </c>
      <c r="W15" s="1531">
        <f ca="1">CF!W43</f>
        <v>6088236447.4359055</v>
      </c>
      <c r="X15" s="1531">
        <f ca="1">CF!X43</f>
        <v>6225215361.3162832</v>
      </c>
      <c r="Y15" s="1531">
        <f ca="1">CF!Y43</f>
        <v>6288190203.7340374</v>
      </c>
      <c r="Z15" s="1531">
        <f ca="1">CF!Z43</f>
        <v>6375851763.5649385</v>
      </c>
      <c r="AA15" s="1531">
        <f ca="1">CF!AA43</f>
        <v>6475174472.3235817</v>
      </c>
      <c r="AB15" s="1531">
        <f ca="1">CF!AB43</f>
        <v>6610492805.2316284</v>
      </c>
      <c r="AC15" s="1531">
        <f ca="1">CF!AC43</f>
        <v>6774454777.4897223</v>
      </c>
      <c r="AD15" s="1531">
        <f ca="1">CF!AD43</f>
        <v>6967936720.2900257</v>
      </c>
      <c r="AE15" s="1531">
        <f ca="1">CF!AE43</f>
        <v>7176319197.5057688</v>
      </c>
      <c r="AF15" s="1531">
        <f ca="1">CF!AF43</f>
        <v>7410087118.0503836</v>
      </c>
      <c r="AG15" s="1531">
        <f ca="1">CF!AG43</f>
        <v>7663044541.6729469</v>
      </c>
      <c r="AH15" s="1531">
        <f ca="1">CF!AH43</f>
        <v>7937849158.0875101</v>
      </c>
      <c r="AI15" s="1531">
        <f ca="1">CF!AI43</f>
        <v>8219935390.2149868</v>
      </c>
      <c r="AJ15" s="1531">
        <f ca="1">CF!AJ43</f>
        <v>9875293214.6079426</v>
      </c>
      <c r="AK15" s="1531">
        <f ca="1">CF!AK43</f>
        <v>11605184399.40288</v>
      </c>
      <c r="AL15" s="1531">
        <f ca="1">CF!AL43</f>
        <v>12504018718.493343</v>
      </c>
      <c r="AM15" s="1531"/>
      <c r="AN15" s="1531"/>
      <c r="AO15" s="1531"/>
      <c r="AP15" s="1531"/>
      <c r="AQ15" s="1531"/>
      <c r="AR15" s="1531"/>
      <c r="AS15" s="1531"/>
      <c r="AT15" s="1531"/>
      <c r="AU15" s="1531"/>
      <c r="AV15" s="1531"/>
      <c r="AW15" s="1531"/>
    </row>
    <row r="16" spans="1:50">
      <c r="A16" s="5"/>
      <c r="B16" s="2" t="s">
        <v>465</v>
      </c>
      <c r="C16" s="201" t="str">
        <f t="shared" si="1"/>
        <v>US$</v>
      </c>
      <c r="D16" s="191"/>
      <c r="E16" s="5"/>
      <c r="F16" s="5"/>
      <c r="G16" s="5"/>
      <c r="H16" s="5"/>
      <c r="I16" s="1531">
        <f>'Reserve Accounts'!I48</f>
        <v>0</v>
      </c>
      <c r="J16" s="1531">
        <f>'Reserve Accounts'!J48</f>
        <v>0</v>
      </c>
      <c r="K16" s="1531">
        <f>'Reserve Accounts'!K48</f>
        <v>0</v>
      </c>
      <c r="L16" s="1531">
        <f>'Reserve Accounts'!L48</f>
        <v>0</v>
      </c>
      <c r="M16" s="1531">
        <f>'Reserve Accounts'!M48</f>
        <v>0</v>
      </c>
      <c r="N16" s="1531">
        <f>'Reserve Accounts'!N48</f>
        <v>0</v>
      </c>
      <c r="O16" s="1531">
        <f>'Reserve Accounts'!O48</f>
        <v>0</v>
      </c>
      <c r="P16" s="1531">
        <f>'Reserve Accounts'!P48</f>
        <v>0</v>
      </c>
      <c r="Q16" s="1531">
        <f>'Reserve Accounts'!Q48</f>
        <v>0</v>
      </c>
      <c r="R16" s="1531">
        <f>'Reserve Accounts'!R48</f>
        <v>0</v>
      </c>
      <c r="S16" s="1531">
        <f>'Reserve Accounts'!S48</f>
        <v>0</v>
      </c>
      <c r="T16" s="1531">
        <f>'Reserve Accounts'!T48</f>
        <v>0</v>
      </c>
      <c r="U16" s="1531">
        <f>'Reserve Accounts'!U48</f>
        <v>0</v>
      </c>
      <c r="V16" s="1531">
        <f>'Reserve Accounts'!V48</f>
        <v>0</v>
      </c>
      <c r="W16" s="1531">
        <f>'Reserve Accounts'!W48</f>
        <v>0</v>
      </c>
      <c r="X16" s="1531">
        <f>'Reserve Accounts'!X48</f>
        <v>0</v>
      </c>
      <c r="Y16" s="1531">
        <f>'Reserve Accounts'!Y48</f>
        <v>0</v>
      </c>
      <c r="Z16" s="1531">
        <f>'Reserve Accounts'!Z48</f>
        <v>0</v>
      </c>
      <c r="AA16" s="1531">
        <f>'Reserve Accounts'!AA48</f>
        <v>0</v>
      </c>
      <c r="AB16" s="1531">
        <f>'Reserve Accounts'!AB48</f>
        <v>0</v>
      </c>
      <c r="AC16" s="1531">
        <f>'Reserve Accounts'!AC48</f>
        <v>0</v>
      </c>
      <c r="AD16" s="1531">
        <f>'Reserve Accounts'!AD48</f>
        <v>0</v>
      </c>
      <c r="AE16" s="1531">
        <f>'Reserve Accounts'!AE48</f>
        <v>0</v>
      </c>
      <c r="AF16" s="1531">
        <f>'Reserve Accounts'!AF48</f>
        <v>0</v>
      </c>
      <c r="AG16" s="1531">
        <f>'Reserve Accounts'!AG48</f>
        <v>0</v>
      </c>
      <c r="AH16" s="1531">
        <f>'Reserve Accounts'!AH48</f>
        <v>0</v>
      </c>
      <c r="AI16" s="1531">
        <f>'Reserve Accounts'!AI48</f>
        <v>0</v>
      </c>
      <c r="AJ16" s="1531">
        <f>'Reserve Accounts'!AJ48</f>
        <v>0</v>
      </c>
      <c r="AK16" s="1531">
        <f>'Reserve Accounts'!AK48</f>
        <v>0</v>
      </c>
      <c r="AL16" s="1531">
        <f>'Reserve Accounts'!AL48</f>
        <v>0</v>
      </c>
      <c r="AM16" s="1531"/>
      <c r="AN16" s="1531"/>
      <c r="AO16" s="1531"/>
      <c r="AP16" s="1531"/>
      <c r="AQ16" s="1531"/>
      <c r="AR16" s="1531"/>
      <c r="AS16" s="1531"/>
      <c r="AT16" s="1531"/>
      <c r="AU16" s="1531"/>
      <c r="AV16" s="1531"/>
      <c r="AW16" s="1531"/>
    </row>
    <row r="17" spans="1:49">
      <c r="A17" s="5"/>
      <c r="B17" s="27" t="s">
        <v>466</v>
      </c>
      <c r="C17" s="207" t="str">
        <f t="shared" si="1"/>
        <v>US$</v>
      </c>
      <c r="D17" s="192"/>
      <c r="E17" s="133"/>
      <c r="F17" s="133"/>
      <c r="G17" s="133"/>
      <c r="H17" s="133"/>
      <c r="I17" s="192">
        <f ca="1">'Reserve Accounts'!I76</f>
        <v>0</v>
      </c>
      <c r="J17" s="192">
        <f ca="1">'Reserve Accounts'!J76</f>
        <v>0</v>
      </c>
      <c r="K17" s="192">
        <f ca="1">'Reserve Accounts'!K76</f>
        <v>0</v>
      </c>
      <c r="L17" s="192">
        <f ca="1">'Reserve Accounts'!L76</f>
        <v>0</v>
      </c>
      <c r="M17" s="192">
        <f ca="1">'Reserve Accounts'!M76</f>
        <v>0</v>
      </c>
      <c r="N17" s="192">
        <f ca="1">'Reserve Accounts'!N76</f>
        <v>0</v>
      </c>
      <c r="O17" s="192">
        <f ca="1">'Reserve Accounts'!O76</f>
        <v>0</v>
      </c>
      <c r="P17" s="192">
        <f ca="1">'Reserve Accounts'!P76</f>
        <v>0</v>
      </c>
      <c r="Q17" s="192">
        <f ca="1">'Reserve Accounts'!Q76</f>
        <v>0</v>
      </c>
      <c r="R17" s="192">
        <f ca="1">'Reserve Accounts'!R76</f>
        <v>0</v>
      </c>
      <c r="S17" s="192">
        <f ca="1">'Reserve Accounts'!S76</f>
        <v>0</v>
      </c>
      <c r="T17" s="192">
        <f ca="1">'Reserve Accounts'!T76</f>
        <v>0</v>
      </c>
      <c r="U17" s="192">
        <f ca="1">'Reserve Accounts'!U76</f>
        <v>0</v>
      </c>
      <c r="V17" s="192">
        <f ca="1">'Reserve Accounts'!V76</f>
        <v>0</v>
      </c>
      <c r="W17" s="192">
        <f ca="1">'Reserve Accounts'!W76</f>
        <v>0</v>
      </c>
      <c r="X17" s="192">
        <f ca="1">'Reserve Accounts'!X76</f>
        <v>0</v>
      </c>
      <c r="Y17" s="192">
        <f ca="1">'Reserve Accounts'!Y76</f>
        <v>0</v>
      </c>
      <c r="Z17" s="192">
        <f ca="1">'Reserve Accounts'!Z76</f>
        <v>0</v>
      </c>
      <c r="AA17" s="192">
        <f ca="1">'Reserve Accounts'!AA76</f>
        <v>0</v>
      </c>
      <c r="AB17" s="192">
        <f ca="1">'Reserve Accounts'!AB76</f>
        <v>0</v>
      </c>
      <c r="AC17" s="192">
        <f ca="1">'Reserve Accounts'!AC76</f>
        <v>0</v>
      </c>
      <c r="AD17" s="192">
        <f ca="1">'Reserve Accounts'!AD76</f>
        <v>0</v>
      </c>
      <c r="AE17" s="192">
        <f ca="1">'Reserve Accounts'!AE76</f>
        <v>0</v>
      </c>
      <c r="AF17" s="192">
        <f ca="1">'Reserve Accounts'!AF76</f>
        <v>0</v>
      </c>
      <c r="AG17" s="192">
        <f ca="1">'Reserve Accounts'!AG76</f>
        <v>0</v>
      </c>
      <c r="AH17" s="192">
        <f ca="1">'Reserve Accounts'!AH76</f>
        <v>0</v>
      </c>
      <c r="AI17" s="192">
        <f ca="1">'Reserve Accounts'!AI76</f>
        <v>0</v>
      </c>
      <c r="AJ17" s="192">
        <f>'Reserve Accounts'!AJ76</f>
        <v>0</v>
      </c>
      <c r="AK17" s="192">
        <f>'Reserve Accounts'!AK76</f>
        <v>0</v>
      </c>
      <c r="AL17" s="192">
        <f>'Reserve Accounts'!AL76</f>
        <v>0</v>
      </c>
      <c r="AM17" s="192"/>
      <c r="AN17" s="192"/>
      <c r="AO17" s="192"/>
      <c r="AP17" s="192"/>
      <c r="AQ17" s="192"/>
      <c r="AR17" s="192"/>
      <c r="AS17" s="192"/>
      <c r="AT17" s="192"/>
      <c r="AU17" s="192"/>
      <c r="AV17" s="192"/>
      <c r="AW17" s="192"/>
    </row>
    <row r="18" spans="1:49">
      <c r="A18" s="5"/>
      <c r="B18" s="2" t="s">
        <v>467</v>
      </c>
      <c r="C18" s="201" t="str">
        <f t="shared" si="1"/>
        <v>US$</v>
      </c>
      <c r="D18" s="191"/>
      <c r="E18" s="5"/>
      <c r="F18" s="5"/>
      <c r="G18" s="5"/>
      <c r="H18" s="5"/>
      <c r="I18" s="1531">
        <f ca="1">SUM(I13:I17)</f>
        <v>0</v>
      </c>
      <c r="J18" s="1531">
        <f t="shared" ref="J18:AL18" ca="1" si="2">SUM(J13:J17)</f>
        <v>-89479180.615219116</v>
      </c>
      <c r="K18" s="1531">
        <f ca="1">SUM(K13:K17)</f>
        <v>802497417.47113597</v>
      </c>
      <c r="L18" s="1531">
        <f t="shared" ca="1" si="2"/>
        <v>1158458300.2372808</v>
      </c>
      <c r="M18" s="1531">
        <f t="shared" ca="1" si="2"/>
        <v>1634247555.6815414</v>
      </c>
      <c r="N18" s="1531">
        <f t="shared" ca="1" si="2"/>
        <v>1863892683.1665518</v>
      </c>
      <c r="O18" s="1531">
        <f t="shared" ca="1" si="2"/>
        <v>2280690416.2418008</v>
      </c>
      <c r="P18" s="1531">
        <f t="shared" ca="1" si="2"/>
        <v>2736971516.8495197</v>
      </c>
      <c r="Q18" s="1531">
        <f t="shared" ca="1" si="2"/>
        <v>3229849623.4686422</v>
      </c>
      <c r="R18" s="1531">
        <f t="shared" ca="1" si="2"/>
        <v>3536055838.265821</v>
      </c>
      <c r="S18" s="1531">
        <f t="shared" ca="1" si="2"/>
        <v>4150200648.9810524</v>
      </c>
      <c r="T18" s="1531">
        <f t="shared" ca="1" si="2"/>
        <v>4742599251.9445944</v>
      </c>
      <c r="U18" s="1531">
        <f t="shared" ca="1" si="2"/>
        <v>5318060802.9154253</v>
      </c>
      <c r="V18" s="1531">
        <f t="shared" ca="1" si="2"/>
        <v>5885121900.8009834</v>
      </c>
      <c r="W18" s="1531">
        <f t="shared" ca="1" si="2"/>
        <v>6441295612.6810894</v>
      </c>
      <c r="X18" s="1531">
        <f t="shared" ca="1" si="2"/>
        <v>6488952629.2555494</v>
      </c>
      <c r="Y18" s="1531">
        <f t="shared" ca="1" si="2"/>
        <v>6559839589.7114811</v>
      </c>
      <c r="Z18" s="1531">
        <f t="shared" ca="1" si="2"/>
        <v>6654886153.3414965</v>
      </c>
      <c r="AA18" s="1531">
        <f t="shared" ca="1" si="2"/>
        <v>6763367305.907052</v>
      </c>
      <c r="AB18" s="1531">
        <f t="shared" ca="1" si="2"/>
        <v>6907331423.8226032</v>
      </c>
      <c r="AC18" s="1531">
        <f t="shared" ca="1" si="2"/>
        <v>7080198554.6384258</v>
      </c>
      <c r="AD18" s="1531">
        <f t="shared" ca="1" si="2"/>
        <v>7281992384.276515</v>
      </c>
      <c r="AE18" s="1531">
        <f t="shared" ca="1" si="2"/>
        <v>7500682770.6828289</v>
      </c>
      <c r="AF18" s="1531">
        <f t="shared" ca="1" si="2"/>
        <v>7744181598.4227552</v>
      </c>
      <c r="AG18" s="1531">
        <f t="shared" ca="1" si="2"/>
        <v>8007161856.4564896</v>
      </c>
      <c r="AH18" s="1531">
        <f t="shared" ca="1" si="2"/>
        <v>8291321574.734704</v>
      </c>
      <c r="AI18" s="1531">
        <f t="shared" ca="1" si="2"/>
        <v>8585009449.4688473</v>
      </c>
      <c r="AJ18" s="1531">
        <f t="shared" ca="1" si="2"/>
        <v>10251319495.63942</v>
      </c>
      <c r="AK18" s="1531">
        <f t="shared" ca="1" si="2"/>
        <v>11992491468.865301</v>
      </c>
      <c r="AL18" s="1531">
        <f t="shared" ca="1" si="2"/>
        <v>12504018718.493343</v>
      </c>
      <c r="AM18" s="1531"/>
      <c r="AN18" s="1531"/>
      <c r="AO18" s="1531"/>
      <c r="AP18" s="1531"/>
      <c r="AQ18" s="1531"/>
      <c r="AR18" s="1531"/>
      <c r="AS18" s="1531"/>
      <c r="AT18" s="1531"/>
      <c r="AU18" s="1531"/>
      <c r="AV18" s="1531"/>
      <c r="AW18" s="1531"/>
    </row>
    <row r="19" spans="1:49">
      <c r="A19" s="5"/>
      <c r="C19" s="201"/>
      <c r="D19" s="5"/>
      <c r="E19" s="5"/>
      <c r="F19" s="5"/>
      <c r="G19" s="5"/>
      <c r="H19" s="5"/>
      <c r="I19" s="1531"/>
      <c r="J19" s="1531"/>
      <c r="K19" s="1531"/>
      <c r="L19" s="1531"/>
      <c r="M19" s="1531"/>
      <c r="N19" s="1531"/>
      <c r="O19" s="1531"/>
      <c r="P19" s="1531"/>
      <c r="Q19" s="1531"/>
      <c r="R19" s="1531"/>
      <c r="S19" s="1531"/>
      <c r="T19" s="1531"/>
      <c r="U19" s="1531"/>
      <c r="V19" s="1531"/>
      <c r="W19" s="1531"/>
      <c r="X19" s="1531"/>
      <c r="Y19" s="1531"/>
      <c r="Z19" s="1531"/>
      <c r="AA19" s="1531"/>
      <c r="AB19" s="1531"/>
      <c r="AC19" s="1531"/>
      <c r="AD19" s="1531"/>
      <c r="AE19" s="1531"/>
      <c r="AF19" s="1531"/>
      <c r="AG19" s="1531"/>
      <c r="AH19" s="1531"/>
      <c r="AI19" s="1531"/>
      <c r="AJ19" s="1531"/>
      <c r="AK19" s="1531"/>
      <c r="AL19" s="1531"/>
      <c r="AM19" s="1531"/>
      <c r="AN19" s="1531"/>
      <c r="AO19" s="1531"/>
      <c r="AP19" s="1531"/>
      <c r="AQ19" s="1531"/>
      <c r="AR19" s="1531"/>
      <c r="AS19" s="1531"/>
      <c r="AT19" s="1531"/>
      <c r="AU19" s="1531"/>
      <c r="AV19" s="1531"/>
      <c r="AW19" s="1531"/>
    </row>
    <row r="20" spans="1:49">
      <c r="A20" s="5"/>
      <c r="B20" s="10" t="s">
        <v>468</v>
      </c>
      <c r="C20" s="208" t="str">
        <f>$C$8</f>
        <v>US$</v>
      </c>
      <c r="D20" s="26"/>
      <c r="E20" s="26"/>
      <c r="F20" s="26"/>
      <c r="G20" s="26"/>
      <c r="H20" s="26"/>
      <c r="I20" s="1531">
        <f ca="1">I18+I10</f>
        <v>715288869.70235205</v>
      </c>
      <c r="J20" s="1531">
        <f t="shared" ref="J20:AL20" ca="1" si="3">J18+J10</f>
        <v>3048198451.5459347</v>
      </c>
      <c r="K20" s="1531">
        <f ca="1">K18+K10</f>
        <v>4795075256.9570694</v>
      </c>
      <c r="L20" s="1531">
        <f t="shared" ca="1" si="3"/>
        <v>5003162886.4089203</v>
      </c>
      <c r="M20" s="1531">
        <f t="shared" ca="1" si="3"/>
        <v>5331078888.538887</v>
      </c>
      <c r="N20" s="1531">
        <f t="shared" ca="1" si="3"/>
        <v>5413254787.9918833</v>
      </c>
      <c r="O20" s="1531">
        <f t="shared" ca="1" si="3"/>
        <v>5681774135.5519772</v>
      </c>
      <c r="P20" s="1531">
        <f t="shared" ca="1" si="3"/>
        <v>5990181982.8454027</v>
      </c>
      <c r="Q20" s="1531">
        <f t="shared" ca="1" si="3"/>
        <v>6335186836.1502314</v>
      </c>
      <c r="R20" s="1531">
        <f t="shared" ca="1" si="3"/>
        <v>6493923822.9153957</v>
      </c>
      <c r="S20" s="1531">
        <f t="shared" ca="1" si="3"/>
        <v>6959790248.1154728</v>
      </c>
      <c r="T20" s="1531">
        <f t="shared" ca="1" si="3"/>
        <v>7404315597.7647209</v>
      </c>
      <c r="U20" s="1531">
        <f t="shared" ca="1" si="3"/>
        <v>7831903895.421257</v>
      </c>
      <c r="V20" s="1531">
        <f t="shared" ca="1" si="3"/>
        <v>8251495765.2748013</v>
      </c>
      <c r="W20" s="1531">
        <f t="shared" ca="1" si="3"/>
        <v>8659391091.6397514</v>
      </c>
      <c r="X20" s="1531">
        <f t="shared" ca="1" si="3"/>
        <v>8559174854.8999186</v>
      </c>
      <c r="Y20" s="1531">
        <f t="shared" ca="1" si="3"/>
        <v>8482188562.0415564</v>
      </c>
      <c r="Z20" s="1531">
        <f t="shared" ca="1" si="3"/>
        <v>8429765897.6395569</v>
      </c>
      <c r="AA20" s="1531">
        <f t="shared" ca="1" si="3"/>
        <v>8389968664.6899586</v>
      </c>
      <c r="AB20" s="1531">
        <f t="shared" ca="1" si="3"/>
        <v>8386059529.2912159</v>
      </c>
      <c r="AC20" s="1531">
        <f t="shared" ca="1" si="3"/>
        <v>8411053406.7927437</v>
      </c>
      <c r="AD20" s="1531">
        <f t="shared" ca="1" si="3"/>
        <v>8465378008.398819</v>
      </c>
      <c r="AE20" s="1531">
        <f t="shared" ca="1" si="3"/>
        <v>8535790009.289978</v>
      </c>
      <c r="AF20" s="1531">
        <f t="shared" ca="1" si="3"/>
        <v>8631415583.7156105</v>
      </c>
      <c r="AG20" s="1531">
        <f t="shared" ca="1" si="3"/>
        <v>8746522588.435051</v>
      </c>
      <c r="AH20" s="1531">
        <f t="shared" ca="1" si="3"/>
        <v>8883213078.6812515</v>
      </c>
      <c r="AI20" s="1531">
        <f t="shared" ca="1" si="3"/>
        <v>9028622567.9002399</v>
      </c>
      <c r="AJ20" s="1531">
        <f t="shared" ca="1" si="3"/>
        <v>10547059360.756517</v>
      </c>
      <c r="AK20" s="1531">
        <f t="shared" ca="1" si="3"/>
        <v>12140358080.668106</v>
      </c>
      <c r="AL20" s="1531">
        <f t="shared" ca="1" si="3"/>
        <v>12504018718.493343</v>
      </c>
      <c r="AM20" s="1531"/>
      <c r="AN20" s="1531"/>
      <c r="AO20" s="1531"/>
      <c r="AP20" s="1531"/>
      <c r="AQ20" s="1531"/>
      <c r="AR20" s="1531"/>
      <c r="AS20" s="1531"/>
      <c r="AT20" s="1531"/>
      <c r="AU20" s="1531"/>
      <c r="AV20" s="1531"/>
      <c r="AW20" s="1531"/>
    </row>
    <row r="21" spans="1:49">
      <c r="A21" s="5"/>
      <c r="C21" s="201"/>
      <c r="D21" s="5"/>
      <c r="E21" s="5"/>
      <c r="F21" s="5"/>
      <c r="G21" s="5"/>
      <c r="H21" s="5"/>
      <c r="I21" s="1531"/>
      <c r="J21" s="1531"/>
      <c r="K21" s="1531"/>
      <c r="L21" s="1531"/>
      <c r="M21" s="1531"/>
      <c r="N21" s="1531"/>
      <c r="O21" s="1531"/>
      <c r="P21" s="1531"/>
      <c r="Q21" s="1531"/>
      <c r="R21" s="1531"/>
      <c r="S21" s="1531"/>
      <c r="T21" s="1531"/>
      <c r="U21" s="1531"/>
      <c r="V21" s="1531"/>
      <c r="W21" s="1531"/>
      <c r="X21" s="1531"/>
      <c r="Y21" s="1531"/>
      <c r="Z21" s="1531"/>
      <c r="AA21" s="1531"/>
      <c r="AB21" s="1531"/>
      <c r="AC21" s="1531"/>
      <c r="AD21" s="1531"/>
      <c r="AE21" s="1531"/>
      <c r="AF21" s="1531"/>
      <c r="AG21" s="1531"/>
      <c r="AH21" s="1531"/>
      <c r="AI21" s="1531"/>
      <c r="AJ21" s="1531"/>
      <c r="AK21" s="1531"/>
      <c r="AL21" s="1531"/>
      <c r="AM21" s="1531"/>
      <c r="AN21" s="1531"/>
      <c r="AO21" s="1531"/>
      <c r="AP21" s="1531"/>
      <c r="AQ21" s="1531"/>
      <c r="AR21" s="1531"/>
      <c r="AS21" s="1531"/>
      <c r="AT21" s="1531"/>
      <c r="AU21" s="1531"/>
      <c r="AV21" s="1531"/>
      <c r="AW21" s="1531"/>
    </row>
    <row r="22" spans="1:49">
      <c r="A22" s="5"/>
      <c r="B22" s="29" t="s">
        <v>469</v>
      </c>
      <c r="C22" s="201"/>
      <c r="D22" s="5"/>
      <c r="E22" s="5"/>
      <c r="F22" s="5"/>
      <c r="G22" s="5"/>
      <c r="H22" s="5"/>
      <c r="I22" s="1531"/>
      <c r="J22" s="1531"/>
      <c r="K22" s="1531"/>
      <c r="L22" s="1531"/>
      <c r="M22" s="1531"/>
      <c r="N22" s="1531"/>
      <c r="O22" s="1531"/>
      <c r="P22" s="1531"/>
      <c r="Q22" s="1531"/>
      <c r="R22" s="1531"/>
      <c r="S22" s="1531"/>
      <c r="T22" s="1531"/>
      <c r="U22" s="1531"/>
      <c r="V22" s="1531"/>
      <c r="W22" s="1531"/>
      <c r="X22" s="1531"/>
      <c r="Y22" s="1531"/>
      <c r="Z22" s="1531"/>
      <c r="AA22" s="1531"/>
      <c r="AB22" s="1531"/>
      <c r="AC22" s="1531"/>
      <c r="AD22" s="1531"/>
      <c r="AE22" s="1531"/>
      <c r="AF22" s="1531"/>
      <c r="AG22" s="1531"/>
      <c r="AH22" s="1531"/>
      <c r="AI22" s="1531"/>
      <c r="AJ22" s="1531"/>
      <c r="AK22" s="1531"/>
      <c r="AL22" s="1531"/>
      <c r="AM22" s="1531"/>
      <c r="AN22" s="1531"/>
      <c r="AO22" s="1531"/>
      <c r="AP22" s="1531"/>
      <c r="AQ22" s="1531"/>
      <c r="AR22" s="1531"/>
      <c r="AS22" s="1531"/>
      <c r="AT22" s="1531"/>
      <c r="AU22" s="1531"/>
      <c r="AV22" s="1531"/>
      <c r="AW22" s="1531"/>
    </row>
    <row r="23" spans="1:49">
      <c r="A23" s="5"/>
      <c r="B23" s="2" t="s">
        <v>470</v>
      </c>
      <c r="C23" s="201" t="str">
        <f>$C$8</f>
        <v>US$</v>
      </c>
      <c r="D23" s="191"/>
      <c r="E23" s="5"/>
      <c r="F23" s="5"/>
      <c r="G23" s="5"/>
      <c r="H23" s="5"/>
      <c r="I23" s="1531">
        <f ca="1">-'O&amp;M Costs'!I235-'Rev &amp; Receivables'!J263</f>
        <v>0</v>
      </c>
      <c r="J23" s="1531">
        <f ca="1">-'O&amp;M Costs'!J235-'Rev &amp; Receivables'!K263</f>
        <v>-11867265.333583435</v>
      </c>
      <c r="K23" s="1531">
        <f ca="1">-'O&amp;M Costs'!K235-'Rev &amp; Receivables'!L263</f>
        <v>-21954070.956888694</v>
      </c>
      <c r="L23" s="1531">
        <f ca="1">-'O&amp;M Costs'!L235-'Rev &amp; Receivables'!M263</f>
        <v>-32635695.011136003</v>
      </c>
      <c r="M23" s="1531">
        <f ca="1">-'O&amp;M Costs'!M235-'Rev &amp; Receivables'!N263</f>
        <v>-34492543.714780673</v>
      </c>
      <c r="N23" s="1531">
        <f ca="1">-'O&amp;M Costs'!N235-'Rev &amp; Receivables'!O263</f>
        <v>-35343926.210505903</v>
      </c>
      <c r="O23" s="1531">
        <f ca="1">-'O&amp;M Costs'!O235-'Rev &amp; Receivables'!P263</f>
        <v>-36492910.23627159</v>
      </c>
      <c r="P23" s="1531">
        <f ca="1">-'O&amp;M Costs'!P235-'Rev &amp; Receivables'!Q263</f>
        <v>-37497114.708562896</v>
      </c>
      <c r="Q23" s="1531">
        <f ca="1">-'O&amp;M Costs'!Q235-'Rev &amp; Receivables'!R263</f>
        <v>-38556667.954673067</v>
      </c>
      <c r="R23" s="1531">
        <f ca="1">-'O&amp;M Costs'!R235-'Rev &amp; Receivables'!S263</f>
        <v>-39510778.608245805</v>
      </c>
      <c r="S23" s="1531">
        <f ca="1">-'O&amp;M Costs'!S235-'Rev &amp; Receivables'!T263</f>
        <v>-40796292.353678182</v>
      </c>
      <c r="T23" s="1531">
        <f ca="1">-'O&amp;M Costs'!T235-'Rev &amp; Receivables'!U263</f>
        <v>-41921417.865944155</v>
      </c>
      <c r="U23" s="1531">
        <f ca="1">-'O&amp;M Costs'!U235-'Rev &amp; Receivables'!V263</f>
        <v>-43108041.100039482</v>
      </c>
      <c r="V23" s="1531">
        <f ca="1">-'O&amp;M Costs'!V235-'Rev &amp; Receivables'!W263</f>
        <v>-44177352.781228498</v>
      </c>
      <c r="W23" s="1531">
        <f ca="1">-'O&amp;M Costs'!W235-'Rev &amp; Receivables'!X263</f>
        <v>-45615777.561348401</v>
      </c>
      <c r="X23" s="1531">
        <f ca="1">-'O&amp;M Costs'!X235-'Rev &amp; Receivables'!Y263</f>
        <v>-46876491.730851404</v>
      </c>
      <c r="Y23" s="1531">
        <f ca="1">-'O&amp;M Costs'!Y235-'Rev &amp; Receivables'!Z263</f>
        <v>-48205544.927234583</v>
      </c>
      <c r="Z23" s="1531">
        <f ca="1">-'O&amp;M Costs'!Z235-'Rev &amp; Receivables'!AA263</f>
        <v>-49121853.431675419</v>
      </c>
      <c r="AA23" s="1531">
        <f ca="1">-'O&amp;M Costs'!AA235-'Rev &amp; Receivables'!AB263</f>
        <v>-50439050.943738677</v>
      </c>
      <c r="AB23" s="1531">
        <f ca="1">-'O&amp;M Costs'!AB235-'Rev &amp; Receivables'!AC263</f>
        <v>-51551332.429091141</v>
      </c>
      <c r="AC23" s="1531">
        <f ca="1">-'O&amp;M Costs'!AC235-'Rev &amp; Receivables'!AD263</f>
        <v>-52730551.223657086</v>
      </c>
      <c r="AD23" s="1531">
        <f ca="1">-'O&amp;M Costs'!AD235-'Rev &amp; Receivables'!AE263</f>
        <v>-53759294.501422718</v>
      </c>
      <c r="AE23" s="1531">
        <f ca="1">-'O&amp;M Costs'!AE235-'Rev &amp; Receivables'!AF263</f>
        <v>-55228400.631514527</v>
      </c>
      <c r="AF23" s="1531">
        <f ca="1">-'O&amp;M Costs'!AF235-'Rev &amp; Receivables'!AG263</f>
        <v>-56473483.655931845</v>
      </c>
      <c r="AG23" s="1531">
        <f ca="1">-'O&amp;M Costs'!AG235-'Rev &amp; Receivables'!AH263</f>
        <v>-57792844.744198009</v>
      </c>
      <c r="AH23" s="1531">
        <f ca="1">-'O&amp;M Costs'!AH235-'Rev &amp; Receivables'!AI263</f>
        <v>-58947864.368412793</v>
      </c>
      <c r="AI23" s="1531">
        <f ca="1">-'O&amp;M Costs'!AI235-'Rev &amp; Receivables'!AJ263</f>
        <v>-60586942.266225494</v>
      </c>
      <c r="AJ23" s="1531">
        <f ca="1">-'O&amp;M Costs'!AJ235-'Rev &amp; Receivables'!AK263</f>
        <v>-61980817.969195209</v>
      </c>
      <c r="AK23" s="1531">
        <f ca="1">-'O&amp;M Costs'!AK235-'Rev &amp; Receivables'!AL263</f>
        <v>-63457128.293098353</v>
      </c>
      <c r="AL23" s="1531">
        <f>-'O&amp;M Costs'!AL235-'Rev &amp; Receivables'!AM263</f>
        <v>0</v>
      </c>
      <c r="AM23" s="1531"/>
      <c r="AN23" s="1531"/>
      <c r="AO23" s="1531"/>
      <c r="AP23" s="1531"/>
      <c r="AQ23" s="1531"/>
      <c r="AR23" s="1531"/>
      <c r="AS23" s="1531"/>
      <c r="AT23" s="1531"/>
      <c r="AU23" s="1531"/>
      <c r="AV23" s="1531"/>
      <c r="AW23" s="1531"/>
    </row>
    <row r="24" spans="1:49">
      <c r="A24" s="5"/>
      <c r="B24" s="2" t="s">
        <v>471</v>
      </c>
      <c r="C24" s="201" t="str">
        <f>$C$8</f>
        <v>US$</v>
      </c>
      <c r="D24" s="191"/>
      <c r="E24" s="5"/>
      <c r="F24" s="5"/>
      <c r="G24" s="5"/>
      <c r="H24" s="5"/>
      <c r="I24" s="1531">
        <f ca="1">-Taxation!I108</f>
        <v>0</v>
      </c>
      <c r="J24" s="1531">
        <f ca="1">-Taxation!J108</f>
        <v>0</v>
      </c>
      <c r="K24" s="1531">
        <f ca="1">-Taxation!K108</f>
        <v>0</v>
      </c>
      <c r="L24" s="1531">
        <f ca="1">-Taxation!L108</f>
        <v>0</v>
      </c>
      <c r="M24" s="1531">
        <f ca="1">-Taxation!M108</f>
        <v>0</v>
      </c>
      <c r="N24" s="1531">
        <f ca="1">-Taxation!N108</f>
        <v>-67291685.939287096</v>
      </c>
      <c r="O24" s="1531">
        <f ca="1">-Taxation!O108</f>
        <v>-296608011.41658807</v>
      </c>
      <c r="P24" s="1531">
        <f ca="1">-Taxation!P108</f>
        <v>-552928561.64533806</v>
      </c>
      <c r="Q24" s="1531">
        <f ca="1">-Taxation!Q108</f>
        <v>-837148148.3693974</v>
      </c>
      <c r="R24" s="1531">
        <f ca="1">-Taxation!R108</f>
        <v>-887360395.39487231</v>
      </c>
      <c r="S24" s="1531">
        <f ca="1">-Taxation!S108</f>
        <v>-842876879.74032581</v>
      </c>
      <c r="T24" s="1531">
        <f ca="1">-Taxation!T108</f>
        <v>-798514903.74603772</v>
      </c>
      <c r="U24" s="1531">
        <f ca="1">-Taxation!U108</f>
        <v>-754152927.75174952</v>
      </c>
      <c r="V24" s="1531">
        <f ca="1">-Taxation!V108</f>
        <v>-709912159.3421452</v>
      </c>
      <c r="W24" s="1531">
        <f ca="1">-Taxation!W108</f>
        <v>-665428643.68759871</v>
      </c>
      <c r="X24" s="1531">
        <f ca="1">-Taxation!X108</f>
        <v>-621066667.6933105</v>
      </c>
      <c r="Y24" s="1531">
        <f ca="1">-Taxation!Y108</f>
        <v>-576704691.69902229</v>
      </c>
      <c r="Z24" s="1531">
        <f ca="1">-Taxation!Z108</f>
        <v>-532463923.28941798</v>
      </c>
      <c r="AA24" s="1531">
        <f ca="1">-Taxation!AA108</f>
        <v>-487980407.63487148</v>
      </c>
      <c r="AB24" s="1531">
        <f ca="1">-Taxation!AB108</f>
        <v>-443618431.64058334</v>
      </c>
      <c r="AC24" s="1531">
        <f ca="1">-Taxation!AC108</f>
        <v>-399256455.64629519</v>
      </c>
      <c r="AD24" s="1531">
        <f ca="1">-Taxation!AD108</f>
        <v>-355015687.23669088</v>
      </c>
      <c r="AE24" s="1531">
        <f ca="1">-Taxation!AE108</f>
        <v>-310532171.58214438</v>
      </c>
      <c r="AF24" s="1531">
        <f ca="1">-Taxation!AF108</f>
        <v>-266170195.58785623</v>
      </c>
      <c r="AG24" s="1531">
        <f ca="1">-Taxation!AG108</f>
        <v>-221808219.59356809</v>
      </c>
      <c r="AH24" s="1531">
        <f ca="1">-Taxation!AH108</f>
        <v>-177567451.18396378</v>
      </c>
      <c r="AI24" s="1531">
        <f ca="1">-Taxation!AI108</f>
        <v>-133083935.52941731</v>
      </c>
      <c r="AJ24" s="1531">
        <f ca="1">-Taxation!AJ108</f>
        <v>-88721959.53512916</v>
      </c>
      <c r="AK24" s="1531">
        <f ca="1">-Taxation!AK108</f>
        <v>-44359983.540841013</v>
      </c>
      <c r="AL24" s="1531">
        <f ca="1">-Taxation!AL108</f>
        <v>0</v>
      </c>
      <c r="AM24" s="1531"/>
      <c r="AN24" s="1531"/>
      <c r="AO24" s="1531"/>
      <c r="AP24" s="1531"/>
      <c r="AQ24" s="1531"/>
      <c r="AR24" s="1531"/>
      <c r="AS24" s="1531"/>
      <c r="AT24" s="1531"/>
      <c r="AU24" s="1531"/>
      <c r="AV24" s="1531"/>
      <c r="AW24" s="1531"/>
    </row>
    <row r="25" spans="1:49">
      <c r="A25" s="5"/>
      <c r="B25" s="2" t="s">
        <v>472</v>
      </c>
      <c r="C25" s="201" t="str">
        <f>$C$8</f>
        <v>US$</v>
      </c>
      <c r="D25" s="204"/>
      <c r="E25" s="5"/>
      <c r="F25" s="5"/>
      <c r="G25" s="5"/>
      <c r="H25" s="5"/>
      <c r="I25" s="1531">
        <f ca="1">-Taxation!I91</f>
        <v>0</v>
      </c>
      <c r="J25" s="1531">
        <f ca="1">-Taxation!J91</f>
        <v>0</v>
      </c>
      <c r="K25" s="1531">
        <f ca="1">-Taxation!K91</f>
        <v>0</v>
      </c>
      <c r="L25" s="1531">
        <f ca="1">-Taxation!L91</f>
        <v>0</v>
      </c>
      <c r="M25" s="1531">
        <f ca="1">-Taxation!M91</f>
        <v>0</v>
      </c>
      <c r="N25" s="1531">
        <f ca="1">-Taxation!N91</f>
        <v>0</v>
      </c>
      <c r="O25" s="1531">
        <f ca="1">-Taxation!O91</f>
        <v>0</v>
      </c>
      <c r="P25" s="1531">
        <f ca="1">-Taxation!P91</f>
        <v>0</v>
      </c>
      <c r="Q25" s="1531">
        <f ca="1">-Taxation!Q91</f>
        <v>0</v>
      </c>
      <c r="R25" s="1531">
        <f ca="1">-Taxation!R91</f>
        <v>0</v>
      </c>
      <c r="S25" s="1531">
        <f ca="1">-Taxation!S91</f>
        <v>0</v>
      </c>
      <c r="T25" s="1531">
        <f ca="1">-Taxation!T91</f>
        <v>0</v>
      </c>
      <c r="U25" s="1531">
        <f ca="1">-Taxation!U91</f>
        <v>0</v>
      </c>
      <c r="V25" s="1531">
        <f ca="1">-Taxation!V91</f>
        <v>0</v>
      </c>
      <c r="W25" s="1531">
        <f ca="1">-Taxation!W91</f>
        <v>0</v>
      </c>
      <c r="X25" s="1531">
        <f ca="1">-Taxation!X91</f>
        <v>0</v>
      </c>
      <c r="Y25" s="1531">
        <f ca="1">-Taxation!Y91</f>
        <v>0</v>
      </c>
      <c r="Z25" s="1531">
        <f ca="1">-Taxation!Z91</f>
        <v>0</v>
      </c>
      <c r="AA25" s="1531">
        <f ca="1">-Taxation!AA91</f>
        <v>0</v>
      </c>
      <c r="AB25" s="1531">
        <f ca="1">-Taxation!AB91</f>
        <v>0</v>
      </c>
      <c r="AC25" s="1531">
        <f ca="1">-Taxation!AC91</f>
        <v>0</v>
      </c>
      <c r="AD25" s="1531">
        <f ca="1">-Taxation!AD91</f>
        <v>0</v>
      </c>
      <c r="AE25" s="1531">
        <f ca="1">-Taxation!AE91</f>
        <v>0</v>
      </c>
      <c r="AF25" s="1531">
        <f ca="1">-Taxation!AF91</f>
        <v>0</v>
      </c>
      <c r="AG25" s="1531">
        <f ca="1">-Taxation!AG91</f>
        <v>0</v>
      </c>
      <c r="AH25" s="1531">
        <f ca="1">-Taxation!AH91</f>
        <v>0</v>
      </c>
      <c r="AI25" s="1531">
        <f ca="1">-Taxation!AI91</f>
        <v>0</v>
      </c>
      <c r="AJ25" s="1531">
        <f>-Taxation!AJ91</f>
        <v>0</v>
      </c>
      <c r="AK25" s="1531">
        <f>-Taxation!AK91</f>
        <v>0</v>
      </c>
      <c r="AL25" s="1531">
        <f>-Taxation!AL91</f>
        <v>0</v>
      </c>
      <c r="AM25" s="1531"/>
      <c r="AN25" s="1531"/>
      <c r="AO25" s="1531"/>
      <c r="AP25" s="1531"/>
      <c r="AQ25" s="1531"/>
      <c r="AR25" s="1531"/>
      <c r="AS25" s="1531"/>
      <c r="AT25" s="1531"/>
      <c r="AU25" s="1531"/>
      <c r="AV25" s="1531"/>
      <c r="AW25" s="1531"/>
    </row>
    <row r="26" spans="1:49">
      <c r="A26" s="5"/>
      <c r="B26" s="27" t="s">
        <v>430</v>
      </c>
      <c r="C26" s="207" t="str">
        <f>$C$8</f>
        <v>US$</v>
      </c>
      <c r="D26" s="133"/>
      <c r="E26" s="133"/>
      <c r="F26" s="133"/>
      <c r="G26" s="133"/>
      <c r="H26" s="133"/>
      <c r="I26" s="192">
        <f ca="1">Dividend!I61</f>
        <v>0</v>
      </c>
      <c r="J26" s="192">
        <f ca="1">Dividend!J61</f>
        <v>0</v>
      </c>
      <c r="K26" s="192">
        <f ca="1">Dividend!K61</f>
        <v>0</v>
      </c>
      <c r="L26" s="192">
        <f ca="1">Dividend!L61</f>
        <v>0</v>
      </c>
      <c r="M26" s="192">
        <f ca="1">Dividend!M61</f>
        <v>0</v>
      </c>
      <c r="N26" s="192">
        <f ca="1">Dividend!N61</f>
        <v>0</v>
      </c>
      <c r="O26" s="192">
        <f ca="1">Dividend!O61</f>
        <v>0</v>
      </c>
      <c r="P26" s="192">
        <f ca="1">Dividend!P61</f>
        <v>0</v>
      </c>
      <c r="Q26" s="192">
        <f ca="1">Dividend!Q61</f>
        <v>0</v>
      </c>
      <c r="R26" s="192">
        <f ca="1">Dividend!R61</f>
        <v>0</v>
      </c>
      <c r="S26" s="192">
        <f ca="1">Dividend!S61</f>
        <v>0</v>
      </c>
      <c r="T26" s="192">
        <f ca="1">Dividend!T61</f>
        <v>0</v>
      </c>
      <c r="U26" s="192">
        <f ca="1">Dividend!U61</f>
        <v>0</v>
      </c>
      <c r="V26" s="192">
        <f ca="1">Dividend!V61</f>
        <v>0</v>
      </c>
      <c r="W26" s="192">
        <f ca="1">Dividend!W61</f>
        <v>0</v>
      </c>
      <c r="X26" s="192">
        <f ca="1">Dividend!X61</f>
        <v>0</v>
      </c>
      <c r="Y26" s="192">
        <f ca="1">Dividend!Y61</f>
        <v>0</v>
      </c>
      <c r="Z26" s="192">
        <f ca="1">Dividend!Z61</f>
        <v>0</v>
      </c>
      <c r="AA26" s="192">
        <f ca="1">Dividend!AA61</f>
        <v>0</v>
      </c>
      <c r="AB26" s="192">
        <f ca="1">Dividend!AB61</f>
        <v>0</v>
      </c>
      <c r="AC26" s="192">
        <f ca="1">Dividend!AC61</f>
        <v>0</v>
      </c>
      <c r="AD26" s="192">
        <f ca="1">Dividend!AD61</f>
        <v>0</v>
      </c>
      <c r="AE26" s="192">
        <f ca="1">Dividend!AE61</f>
        <v>0</v>
      </c>
      <c r="AF26" s="192">
        <f ca="1">Dividend!AF61</f>
        <v>0</v>
      </c>
      <c r="AG26" s="192">
        <f ca="1">Dividend!AG61</f>
        <v>0</v>
      </c>
      <c r="AH26" s="192">
        <f ca="1">Dividend!AH61</f>
        <v>0</v>
      </c>
      <c r="AI26" s="192">
        <f ca="1">Dividend!AI61</f>
        <v>0</v>
      </c>
      <c r="AJ26" s="192">
        <f ca="1">Dividend!AJ61</f>
        <v>0</v>
      </c>
      <c r="AK26" s="192">
        <f ca="1">Dividend!AK61</f>
        <v>0</v>
      </c>
      <c r="AL26" s="192">
        <f ca="1">Dividend!AL61</f>
        <v>0</v>
      </c>
      <c r="AM26" s="192"/>
      <c r="AN26" s="192"/>
      <c r="AO26" s="192"/>
      <c r="AP26" s="192"/>
      <c r="AQ26" s="192"/>
      <c r="AR26" s="192"/>
      <c r="AS26" s="192"/>
      <c r="AT26" s="192"/>
      <c r="AU26" s="192"/>
      <c r="AV26" s="192"/>
      <c r="AW26" s="192"/>
    </row>
    <row r="27" spans="1:49">
      <c r="A27" s="5"/>
      <c r="B27" s="2" t="s">
        <v>473</v>
      </c>
      <c r="C27" s="201" t="str">
        <f>$C$8</f>
        <v>US$</v>
      </c>
      <c r="D27" s="5"/>
      <c r="E27" s="5"/>
      <c r="F27" s="5"/>
      <c r="G27" s="5"/>
      <c r="H27" s="5"/>
      <c r="I27" s="204">
        <f ca="1">SUM(I23:I26)</f>
        <v>0</v>
      </c>
      <c r="J27" s="1531">
        <f t="shared" ref="J27:AL27" ca="1" si="4">SUM(J23:J26)</f>
        <v>-11867265.333583435</v>
      </c>
      <c r="K27" s="1531">
        <f t="shared" ca="1" si="4"/>
        <v>-21954070.956888694</v>
      </c>
      <c r="L27" s="1531">
        <f t="shared" ca="1" si="4"/>
        <v>-32635695.011136003</v>
      </c>
      <c r="M27" s="1531">
        <f t="shared" ca="1" si="4"/>
        <v>-34492543.714780673</v>
      </c>
      <c r="N27" s="1531">
        <f t="shared" ca="1" si="4"/>
        <v>-102635612.149793</v>
      </c>
      <c r="O27" s="1531">
        <f t="shared" ca="1" si="4"/>
        <v>-333100921.65285969</v>
      </c>
      <c r="P27" s="1531">
        <f t="shared" ca="1" si="4"/>
        <v>-590425676.35390091</v>
      </c>
      <c r="Q27" s="1531">
        <f t="shared" ca="1" si="4"/>
        <v>-875704816.32407045</v>
      </c>
      <c r="R27" s="1531">
        <f t="shared" ca="1" si="4"/>
        <v>-926871174.00311816</v>
      </c>
      <c r="S27" s="1531">
        <f t="shared" ca="1" si="4"/>
        <v>-883673172.09400403</v>
      </c>
      <c r="T27" s="1531">
        <f t="shared" ca="1" si="4"/>
        <v>-840436321.61198187</v>
      </c>
      <c r="U27" s="1531">
        <f t="shared" ca="1" si="4"/>
        <v>-797260968.851789</v>
      </c>
      <c r="V27" s="1531">
        <f t="shared" ca="1" si="4"/>
        <v>-754089512.12337375</v>
      </c>
      <c r="W27" s="1531">
        <f t="shared" ca="1" si="4"/>
        <v>-711044421.24894714</v>
      </c>
      <c r="X27" s="1531">
        <f t="shared" ca="1" si="4"/>
        <v>-667943159.42416191</v>
      </c>
      <c r="Y27" s="1531">
        <f t="shared" ca="1" si="4"/>
        <v>-624910236.62625682</v>
      </c>
      <c r="Z27" s="1531">
        <f t="shared" ca="1" si="4"/>
        <v>-581585776.72109342</v>
      </c>
      <c r="AA27" s="1531">
        <f t="shared" ca="1" si="4"/>
        <v>-538419458.57861018</v>
      </c>
      <c r="AB27" s="1531">
        <f t="shared" ca="1" si="4"/>
        <v>-495169764.06967449</v>
      </c>
      <c r="AC27" s="1531">
        <f t="shared" ca="1" si="4"/>
        <v>-451987006.86995226</v>
      </c>
      <c r="AD27" s="1531">
        <f t="shared" ca="1" si="4"/>
        <v>-408774981.73811358</v>
      </c>
      <c r="AE27" s="1531">
        <f t="shared" ca="1" si="4"/>
        <v>-365760572.21365893</v>
      </c>
      <c r="AF27" s="1531">
        <f t="shared" ca="1" si="4"/>
        <v>-322643679.24378806</v>
      </c>
      <c r="AG27" s="1531">
        <f t="shared" ca="1" si="4"/>
        <v>-279601064.33776611</v>
      </c>
      <c r="AH27" s="1531">
        <f t="shared" ca="1" si="4"/>
        <v>-236515315.55237657</v>
      </c>
      <c r="AI27" s="1531">
        <f t="shared" ca="1" si="4"/>
        <v>-193670877.79564279</v>
      </c>
      <c r="AJ27" s="1531">
        <f t="shared" ca="1" si="4"/>
        <v>-150702777.50432438</v>
      </c>
      <c r="AK27" s="1531">
        <f t="shared" ca="1" si="4"/>
        <v>-107817111.83393937</v>
      </c>
      <c r="AL27" s="1531">
        <f t="shared" ca="1" si="4"/>
        <v>0</v>
      </c>
      <c r="AM27" s="1531"/>
      <c r="AN27" s="1531"/>
      <c r="AO27" s="1531"/>
      <c r="AP27" s="1531"/>
      <c r="AQ27" s="1531"/>
      <c r="AR27" s="1531"/>
      <c r="AS27" s="1531"/>
      <c r="AT27" s="1531"/>
      <c r="AU27" s="1531"/>
      <c r="AV27" s="1531"/>
      <c r="AW27" s="1531"/>
    </row>
    <row r="28" spans="1:49">
      <c r="A28" s="5"/>
      <c r="C28" s="201"/>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row>
    <row r="29" spans="1:49">
      <c r="A29" s="5"/>
      <c r="B29" s="29" t="s">
        <v>474</v>
      </c>
      <c r="C29" s="201"/>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row>
    <row r="30" spans="1:49">
      <c r="A30" s="5"/>
      <c r="B30" s="2" t="s">
        <v>475</v>
      </c>
      <c r="C30" s="201" t="str">
        <f>$C$8</f>
        <v>US$</v>
      </c>
      <c r="D30" s="5"/>
      <c r="E30" s="5"/>
      <c r="F30" s="5"/>
      <c r="G30" s="5"/>
      <c r="H30" s="5"/>
      <c r="I30" s="1531">
        <f>-'O&amp;M Costs'!I352</f>
        <v>0</v>
      </c>
      <c r="J30" s="1531">
        <f ca="1">-'O&amp;M Costs'!J352</f>
        <v>0</v>
      </c>
      <c r="K30" s="1531">
        <f ca="1">-'O&amp;M Costs'!K352</f>
        <v>0</v>
      </c>
      <c r="L30" s="1531">
        <f ca="1">-'O&amp;M Costs'!L352</f>
        <v>0</v>
      </c>
      <c r="M30" s="1531">
        <f ca="1">-'O&amp;M Costs'!M352</f>
        <v>0</v>
      </c>
      <c r="N30" s="1531">
        <f ca="1">-'O&amp;M Costs'!N352</f>
        <v>0</v>
      </c>
      <c r="O30" s="1531">
        <f ca="1">-'O&amp;M Costs'!O352</f>
        <v>0</v>
      </c>
      <c r="P30" s="1531">
        <f ca="1">-'O&amp;M Costs'!P352</f>
        <v>0</v>
      </c>
      <c r="Q30" s="1531">
        <f ca="1">-'O&amp;M Costs'!Q352</f>
        <v>0</v>
      </c>
      <c r="R30" s="1531">
        <f ca="1">-'O&amp;M Costs'!R352</f>
        <v>0</v>
      </c>
      <c r="S30" s="1531">
        <f ca="1">-'O&amp;M Costs'!S352</f>
        <v>0</v>
      </c>
      <c r="T30" s="1531">
        <f ca="1">-'O&amp;M Costs'!T352</f>
        <v>0</v>
      </c>
      <c r="U30" s="1531">
        <f ca="1">-'O&amp;M Costs'!U352</f>
        <v>0</v>
      </c>
      <c r="V30" s="1531">
        <f ca="1">-'O&amp;M Costs'!V352</f>
        <v>0</v>
      </c>
      <c r="W30" s="1531">
        <f ca="1">-'O&amp;M Costs'!W352</f>
        <v>0</v>
      </c>
      <c r="X30" s="1531">
        <f ca="1">-'O&amp;M Costs'!X352</f>
        <v>0</v>
      </c>
      <c r="Y30" s="1531">
        <f ca="1">-'O&amp;M Costs'!Y352</f>
        <v>0</v>
      </c>
      <c r="Z30" s="1531">
        <f ca="1">-'O&amp;M Costs'!Z352</f>
        <v>0</v>
      </c>
      <c r="AA30" s="1531">
        <f ca="1">-'O&amp;M Costs'!AA352</f>
        <v>0</v>
      </c>
      <c r="AB30" s="1531">
        <f ca="1">-'O&amp;M Costs'!AB352</f>
        <v>0</v>
      </c>
      <c r="AC30" s="1531">
        <f ca="1">-'O&amp;M Costs'!AC352</f>
        <v>0</v>
      </c>
      <c r="AD30" s="1531">
        <f ca="1">-'O&amp;M Costs'!AD352</f>
        <v>0</v>
      </c>
      <c r="AE30" s="1531">
        <f ca="1">-'O&amp;M Costs'!AE352</f>
        <v>0</v>
      </c>
      <c r="AF30" s="1531">
        <f ca="1">-'O&amp;M Costs'!AF352</f>
        <v>0</v>
      </c>
      <c r="AG30" s="1531">
        <f ca="1">-'O&amp;M Costs'!AG352</f>
        <v>0</v>
      </c>
      <c r="AH30" s="1531">
        <f ca="1">-'O&amp;M Costs'!AH352</f>
        <v>0</v>
      </c>
      <c r="AI30" s="1531">
        <f ca="1">-'O&amp;M Costs'!AI352</f>
        <v>0</v>
      </c>
      <c r="AJ30" s="1531">
        <f ca="1">-'O&amp;M Costs'!AJ352</f>
        <v>0</v>
      </c>
      <c r="AK30" s="1531">
        <f ca="1">-'O&amp;M Costs'!AK352</f>
        <v>0</v>
      </c>
      <c r="AL30" s="1531">
        <f ca="1">-'O&amp;M Costs'!AL352</f>
        <v>0</v>
      </c>
      <c r="AM30" s="1531"/>
      <c r="AN30" s="1531"/>
      <c r="AO30" s="1531"/>
      <c r="AP30" s="1531"/>
      <c r="AQ30" s="1531"/>
      <c r="AR30" s="1531"/>
      <c r="AS30" s="1531"/>
      <c r="AT30" s="1531"/>
      <c r="AU30" s="1531"/>
      <c r="AV30" s="1531"/>
      <c r="AW30" s="1531"/>
    </row>
    <row r="31" spans="1:49" s="590" customFormat="1">
      <c r="A31" s="591"/>
      <c r="B31" s="590" t="s">
        <v>476</v>
      </c>
      <c r="C31" s="1090" t="str">
        <f>$C$8</f>
        <v>US$</v>
      </c>
      <c r="D31" s="5"/>
      <c r="E31" s="5"/>
      <c r="F31" s="5"/>
      <c r="G31" s="5"/>
      <c r="H31" s="5"/>
      <c r="I31" s="1531">
        <f ca="1">-'Debt Schedule'!I53</f>
        <v>0</v>
      </c>
      <c r="J31" s="1531">
        <f ca="1">-'Debt Schedule'!J53</f>
        <v>-1895542304.3210859</v>
      </c>
      <c r="K31" s="1531">
        <f ca="1">-'Debt Schedule'!K53</f>
        <v>-2898315764.9601583</v>
      </c>
      <c r="L31" s="1531">
        <f ca="1">-'Debt Schedule'!L53</f>
        <v>-2484270655.6801357</v>
      </c>
      <c r="M31" s="1531">
        <f ca="1">-'Debt Schedule'!M53</f>
        <v>-2070225546.4001131</v>
      </c>
      <c r="N31" s="1531">
        <f ca="1">-'Debt Schedule'!N53</f>
        <v>-1656180437.1200905</v>
      </c>
      <c r="O31" s="1531">
        <f ca="1">-'Debt Schedule'!O53</f>
        <v>-1242135327.8400679</v>
      </c>
      <c r="P31" s="1531">
        <f ca="1">-'Debt Schedule'!P53</f>
        <v>-828090218.56004524</v>
      </c>
      <c r="Q31" s="1531">
        <f ca="1">-'Debt Schedule'!Q53</f>
        <v>-414045109.28002262</v>
      </c>
      <c r="R31" s="1531">
        <f ca="1">-'Debt Schedule'!R53</f>
        <v>0</v>
      </c>
      <c r="S31" s="1531">
        <f ca="1">-'Debt Schedule'!S53</f>
        <v>0</v>
      </c>
      <c r="T31" s="1531">
        <f ca="1">-'Debt Schedule'!T53</f>
        <v>0</v>
      </c>
      <c r="U31" s="1531">
        <f ca="1">-'Debt Schedule'!U53</f>
        <v>0</v>
      </c>
      <c r="V31" s="1531">
        <f ca="1">-'Debt Schedule'!V53</f>
        <v>0</v>
      </c>
      <c r="W31" s="1531">
        <f ca="1">-'Debt Schedule'!W53</f>
        <v>0</v>
      </c>
      <c r="X31" s="1531">
        <f ca="1">-'Debt Schedule'!X53</f>
        <v>0</v>
      </c>
      <c r="Y31" s="1531">
        <f ca="1">-'Debt Schedule'!Y53</f>
        <v>0</v>
      </c>
      <c r="Z31" s="1531">
        <f ca="1">-'Debt Schedule'!Z53</f>
        <v>0</v>
      </c>
      <c r="AA31" s="1531">
        <f ca="1">-'Debt Schedule'!AA53</f>
        <v>0</v>
      </c>
      <c r="AB31" s="1531">
        <f ca="1">-'Debt Schedule'!AB53</f>
        <v>0</v>
      </c>
      <c r="AC31" s="1531">
        <f ca="1">-'Debt Schedule'!AC53</f>
        <v>0</v>
      </c>
      <c r="AD31" s="1531">
        <f ca="1">-'Debt Schedule'!AD53</f>
        <v>0</v>
      </c>
      <c r="AE31" s="1531">
        <f ca="1">-'Debt Schedule'!AE53</f>
        <v>0</v>
      </c>
      <c r="AF31" s="1531">
        <f ca="1">-'Debt Schedule'!AF53</f>
        <v>0</v>
      </c>
      <c r="AG31" s="1531">
        <f ca="1">-'Debt Schedule'!AG53</f>
        <v>0</v>
      </c>
      <c r="AH31" s="1531">
        <f ca="1">-'Debt Schedule'!AH53</f>
        <v>0</v>
      </c>
      <c r="AI31" s="1531">
        <f ca="1">-'Debt Schedule'!AI54</f>
        <v>0</v>
      </c>
      <c r="AJ31" s="1531">
        <f ca="1">-'Debt Schedule'!AJ54</f>
        <v>0</v>
      </c>
      <c r="AK31" s="1531">
        <f ca="1">-'Debt Schedule'!AK54</f>
        <v>0</v>
      </c>
      <c r="AL31" s="1531">
        <f ca="1">-'Debt Schedule'!AL54</f>
        <v>0</v>
      </c>
      <c r="AM31" s="1531"/>
      <c r="AN31" s="1531"/>
      <c r="AO31" s="1531"/>
      <c r="AP31" s="1531"/>
      <c r="AQ31" s="1531"/>
      <c r="AR31" s="1531"/>
      <c r="AS31" s="1531"/>
      <c r="AT31" s="1531"/>
      <c r="AU31" s="1531"/>
      <c r="AV31" s="1531"/>
      <c r="AW31" s="1531"/>
    </row>
    <row r="32" spans="1:49">
      <c r="A32" s="5"/>
      <c r="B32" s="27" t="s">
        <v>98</v>
      </c>
      <c r="C32" s="207" t="str">
        <f>$C$8</f>
        <v>US$</v>
      </c>
      <c r="D32" s="133"/>
      <c r="E32" s="133"/>
      <c r="F32" s="133"/>
      <c r="G32" s="133"/>
      <c r="H32" s="133"/>
      <c r="I32" s="192">
        <f ca="1">-'Debt Schedule'!I100</f>
        <v>0</v>
      </c>
      <c r="J32" s="192">
        <f ca="1">-'Debt Schedule'!J100</f>
        <v>0</v>
      </c>
      <c r="K32" s="192">
        <f ca="1">-'Debt Schedule'!K100</f>
        <v>0</v>
      </c>
      <c r="L32" s="192">
        <f ca="1">-'Debt Schedule'!L100</f>
        <v>0</v>
      </c>
      <c r="M32" s="192">
        <f ca="1">-'Debt Schedule'!M100</f>
        <v>0</v>
      </c>
      <c r="N32" s="192">
        <f ca="1">-'Debt Schedule'!N100</f>
        <v>0</v>
      </c>
      <c r="O32" s="192">
        <f ca="1">-'Debt Schedule'!O100</f>
        <v>0</v>
      </c>
      <c r="P32" s="192">
        <f ca="1">-'Debt Schedule'!P100</f>
        <v>0</v>
      </c>
      <c r="Q32" s="192">
        <f ca="1">-'Debt Schedule'!Q100</f>
        <v>0</v>
      </c>
      <c r="R32" s="192">
        <f ca="1">-'Debt Schedule'!R100</f>
        <v>0</v>
      </c>
      <c r="S32" s="192">
        <f ca="1">-'Debt Schedule'!S100</f>
        <v>0</v>
      </c>
      <c r="T32" s="192">
        <f ca="1">-'Debt Schedule'!T100</f>
        <v>0</v>
      </c>
      <c r="U32" s="192">
        <f ca="1">-'Debt Schedule'!U100</f>
        <v>0</v>
      </c>
      <c r="V32" s="192">
        <f ca="1">-'Debt Schedule'!V100</f>
        <v>0</v>
      </c>
      <c r="W32" s="192">
        <f ca="1">-'Debt Schedule'!W100</f>
        <v>0</v>
      </c>
      <c r="X32" s="192">
        <f ca="1">-'Debt Schedule'!X100</f>
        <v>0</v>
      </c>
      <c r="Y32" s="192">
        <f ca="1">-'Debt Schedule'!Y100</f>
        <v>0</v>
      </c>
      <c r="Z32" s="192">
        <f ca="1">-'Debt Schedule'!Z100</f>
        <v>0</v>
      </c>
      <c r="AA32" s="192">
        <f ca="1">-'Debt Schedule'!AA100</f>
        <v>0</v>
      </c>
      <c r="AB32" s="192">
        <f ca="1">-'Debt Schedule'!AB100</f>
        <v>0</v>
      </c>
      <c r="AC32" s="192">
        <f ca="1">-'Debt Schedule'!AC100</f>
        <v>0</v>
      </c>
      <c r="AD32" s="192">
        <f ca="1">-'Debt Schedule'!AD100</f>
        <v>0</v>
      </c>
      <c r="AE32" s="192">
        <f ca="1">-'Debt Schedule'!AE100</f>
        <v>0</v>
      </c>
      <c r="AF32" s="192">
        <f ca="1">-'Debt Schedule'!AF100</f>
        <v>0</v>
      </c>
      <c r="AG32" s="192">
        <f ca="1">-'Debt Schedule'!AG100</f>
        <v>0</v>
      </c>
      <c r="AH32" s="192">
        <f ca="1">-'Debt Schedule'!AH100</f>
        <v>0</v>
      </c>
      <c r="AI32" s="192">
        <f ca="1">-'Debt Schedule'!AI100</f>
        <v>0</v>
      </c>
      <c r="AJ32" s="192">
        <f>-'Debt Schedule'!AJ100</f>
        <v>0</v>
      </c>
      <c r="AK32" s="192">
        <f>-'Debt Schedule'!AK100</f>
        <v>0</v>
      </c>
      <c r="AL32" s="192">
        <f>-'Debt Schedule'!AL100</f>
        <v>0</v>
      </c>
      <c r="AM32" s="192"/>
      <c r="AN32" s="192"/>
      <c r="AO32" s="192"/>
      <c r="AP32" s="192"/>
      <c r="AQ32" s="192"/>
      <c r="AR32" s="192"/>
      <c r="AS32" s="192"/>
      <c r="AT32" s="192"/>
      <c r="AU32" s="192"/>
      <c r="AV32" s="192"/>
      <c r="AW32" s="192"/>
    </row>
    <row r="33" spans="1:50">
      <c r="A33" s="5"/>
      <c r="B33" s="2" t="s">
        <v>477</v>
      </c>
      <c r="C33" s="201" t="str">
        <f>$C$8</f>
        <v>US$</v>
      </c>
      <c r="D33" s="5"/>
      <c r="E33" s="5"/>
      <c r="F33" s="5"/>
      <c r="G33" s="5"/>
      <c r="H33" s="5"/>
      <c r="I33" s="1531">
        <f ca="1">SUM(I30:I32)</f>
        <v>0</v>
      </c>
      <c r="J33" s="1531">
        <f t="shared" ref="J33:AL33" ca="1" si="5">SUM(J30:J32)</f>
        <v>-1895542304.3210859</v>
      </c>
      <c r="K33" s="1531">
        <f t="shared" ca="1" si="5"/>
        <v>-2898315764.9601583</v>
      </c>
      <c r="L33" s="1531">
        <f t="shared" ca="1" si="5"/>
        <v>-2484270655.6801357</v>
      </c>
      <c r="M33" s="1531">
        <f t="shared" ca="1" si="5"/>
        <v>-2070225546.4001131</v>
      </c>
      <c r="N33" s="1531">
        <f t="shared" ca="1" si="5"/>
        <v>-1656180437.1200905</v>
      </c>
      <c r="O33" s="1531">
        <f t="shared" ca="1" si="5"/>
        <v>-1242135327.8400679</v>
      </c>
      <c r="P33" s="1531">
        <f t="shared" ca="1" si="5"/>
        <v>-828090218.56004524</v>
      </c>
      <c r="Q33" s="1531">
        <f t="shared" ca="1" si="5"/>
        <v>-414045109.28002262</v>
      </c>
      <c r="R33" s="1531">
        <f t="shared" ca="1" si="5"/>
        <v>0</v>
      </c>
      <c r="S33" s="1531">
        <f t="shared" ca="1" si="5"/>
        <v>0</v>
      </c>
      <c r="T33" s="1531">
        <f t="shared" ca="1" si="5"/>
        <v>0</v>
      </c>
      <c r="U33" s="1531">
        <f t="shared" ca="1" si="5"/>
        <v>0</v>
      </c>
      <c r="V33" s="1531">
        <f t="shared" ca="1" si="5"/>
        <v>0</v>
      </c>
      <c r="W33" s="1531">
        <f t="shared" ca="1" si="5"/>
        <v>0</v>
      </c>
      <c r="X33" s="1531">
        <f t="shared" ca="1" si="5"/>
        <v>0</v>
      </c>
      <c r="Y33" s="1531">
        <f t="shared" ca="1" si="5"/>
        <v>0</v>
      </c>
      <c r="Z33" s="1531">
        <f t="shared" ca="1" si="5"/>
        <v>0</v>
      </c>
      <c r="AA33" s="1531">
        <f t="shared" ca="1" si="5"/>
        <v>0</v>
      </c>
      <c r="AB33" s="1531">
        <f t="shared" ca="1" si="5"/>
        <v>0</v>
      </c>
      <c r="AC33" s="1531">
        <f t="shared" ca="1" si="5"/>
        <v>0</v>
      </c>
      <c r="AD33" s="1531">
        <f t="shared" ca="1" si="5"/>
        <v>0</v>
      </c>
      <c r="AE33" s="1531">
        <f t="shared" ca="1" si="5"/>
        <v>0</v>
      </c>
      <c r="AF33" s="1531">
        <f t="shared" ca="1" si="5"/>
        <v>0</v>
      </c>
      <c r="AG33" s="1531">
        <f t="shared" ca="1" si="5"/>
        <v>0</v>
      </c>
      <c r="AH33" s="1531">
        <f t="shared" ca="1" si="5"/>
        <v>0</v>
      </c>
      <c r="AI33" s="1531">
        <f t="shared" ca="1" si="5"/>
        <v>0</v>
      </c>
      <c r="AJ33" s="1531">
        <f t="shared" ca="1" si="5"/>
        <v>0</v>
      </c>
      <c r="AK33" s="1531">
        <f t="shared" ca="1" si="5"/>
        <v>0</v>
      </c>
      <c r="AL33" s="1529">
        <f t="shared" ca="1" si="5"/>
        <v>0</v>
      </c>
      <c r="AM33" s="1531"/>
      <c r="AN33" s="1529"/>
      <c r="AO33" s="1529"/>
      <c r="AP33" s="1529"/>
      <c r="AQ33" s="1529"/>
      <c r="AR33" s="1531"/>
      <c r="AS33" s="1529"/>
      <c r="AT33" s="1529"/>
      <c r="AU33" s="1529"/>
      <c r="AV33" s="1529"/>
      <c r="AW33" s="1531"/>
    </row>
    <row r="34" spans="1:50">
      <c r="A34" s="5"/>
      <c r="C34" s="201"/>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row>
    <row r="35" spans="1:50">
      <c r="A35" s="5"/>
      <c r="B35" s="10" t="s">
        <v>478</v>
      </c>
      <c r="C35" s="208" t="str">
        <f>$C$8</f>
        <v>US$</v>
      </c>
      <c r="D35" s="26"/>
      <c r="E35" s="26"/>
      <c r="F35" s="26"/>
      <c r="G35" s="26"/>
      <c r="H35" s="26"/>
      <c r="I35" s="1531">
        <f ca="1">I33+I27</f>
        <v>0</v>
      </c>
      <c r="J35" s="1531">
        <f t="shared" ref="J35:AL35" ca="1" si="6">J33+J27</f>
        <v>-1907409569.6546693</v>
      </c>
      <c r="K35" s="1531">
        <f t="shared" ca="1" si="6"/>
        <v>-2920269835.917047</v>
      </c>
      <c r="L35" s="1531">
        <f t="shared" ca="1" si="6"/>
        <v>-2516906350.6912718</v>
      </c>
      <c r="M35" s="1531">
        <f t="shared" ca="1" si="6"/>
        <v>-2104718090.1148937</v>
      </c>
      <c r="N35" s="1531">
        <f t="shared" ca="1" si="6"/>
        <v>-1758816049.2698834</v>
      </c>
      <c r="O35" s="1531">
        <f t="shared" ca="1" si="6"/>
        <v>-1575236249.4929276</v>
      </c>
      <c r="P35" s="1531">
        <f t="shared" ca="1" si="6"/>
        <v>-1418515894.9139462</v>
      </c>
      <c r="Q35" s="1531">
        <f t="shared" ca="1" si="6"/>
        <v>-1289749925.6040931</v>
      </c>
      <c r="R35" s="1531">
        <f t="shared" ca="1" si="6"/>
        <v>-926871174.00311816</v>
      </c>
      <c r="S35" s="1531">
        <f t="shared" ca="1" si="6"/>
        <v>-883673172.09400403</v>
      </c>
      <c r="T35" s="1531">
        <f t="shared" ca="1" si="6"/>
        <v>-840436321.61198187</v>
      </c>
      <c r="U35" s="1531">
        <f t="shared" ca="1" si="6"/>
        <v>-797260968.851789</v>
      </c>
      <c r="V35" s="1531">
        <f t="shared" ca="1" si="6"/>
        <v>-754089512.12337375</v>
      </c>
      <c r="W35" s="1531">
        <f t="shared" ca="1" si="6"/>
        <v>-711044421.24894714</v>
      </c>
      <c r="X35" s="1531">
        <f t="shared" ca="1" si="6"/>
        <v>-667943159.42416191</v>
      </c>
      <c r="Y35" s="1531">
        <f t="shared" ca="1" si="6"/>
        <v>-624910236.62625682</v>
      </c>
      <c r="Z35" s="1531">
        <f t="shared" ca="1" si="6"/>
        <v>-581585776.72109342</v>
      </c>
      <c r="AA35" s="1531">
        <f t="shared" ca="1" si="6"/>
        <v>-538419458.57861018</v>
      </c>
      <c r="AB35" s="1531">
        <f t="shared" ca="1" si="6"/>
        <v>-495169764.06967449</v>
      </c>
      <c r="AC35" s="1531">
        <f t="shared" ca="1" si="6"/>
        <v>-451987006.86995226</v>
      </c>
      <c r="AD35" s="1531">
        <f t="shared" ca="1" si="6"/>
        <v>-408774981.73811358</v>
      </c>
      <c r="AE35" s="1531">
        <f t="shared" ca="1" si="6"/>
        <v>-365760572.21365893</v>
      </c>
      <c r="AF35" s="1531">
        <f t="shared" ca="1" si="6"/>
        <v>-322643679.24378806</v>
      </c>
      <c r="AG35" s="1531">
        <f t="shared" ca="1" si="6"/>
        <v>-279601064.33776611</v>
      </c>
      <c r="AH35" s="1531">
        <f t="shared" ca="1" si="6"/>
        <v>-236515315.55237657</v>
      </c>
      <c r="AI35" s="1531">
        <f t="shared" ca="1" si="6"/>
        <v>-193670877.79564279</v>
      </c>
      <c r="AJ35" s="1531">
        <f t="shared" ca="1" si="6"/>
        <v>-150702777.50432438</v>
      </c>
      <c r="AK35" s="1531">
        <f t="shared" ca="1" si="6"/>
        <v>-107817111.83393937</v>
      </c>
      <c r="AL35" s="1531">
        <f t="shared" ca="1" si="6"/>
        <v>0</v>
      </c>
      <c r="AM35" s="1531"/>
      <c r="AN35" s="1531"/>
      <c r="AO35" s="1531"/>
      <c r="AP35" s="1531"/>
      <c r="AQ35" s="1531"/>
      <c r="AR35" s="1531"/>
      <c r="AS35" s="1531"/>
      <c r="AT35" s="1531"/>
      <c r="AU35" s="1531"/>
      <c r="AV35" s="1531"/>
      <c r="AW35" s="1531"/>
    </row>
    <row r="36" spans="1:50">
      <c r="C36" s="28"/>
      <c r="D36" s="27"/>
      <c r="E36" s="27"/>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c r="AE36" s="27"/>
      <c r="AF36" s="27"/>
      <c r="AG36" s="27"/>
      <c r="AH36" s="27"/>
      <c r="AI36" s="27"/>
    </row>
    <row r="37" spans="1:50" ht="11.25" thickBot="1">
      <c r="B37" s="205" t="s">
        <v>479</v>
      </c>
      <c r="C37" s="209" t="str">
        <f>$C$8</f>
        <v>US$</v>
      </c>
      <c r="D37" s="205"/>
      <c r="E37" s="205"/>
      <c r="F37" s="205"/>
      <c r="G37" s="205"/>
      <c r="H37" s="205"/>
      <c r="I37" s="211">
        <f ca="1">I20+I35</f>
        <v>715288869.70235205</v>
      </c>
      <c r="J37" s="211">
        <f ca="1">J20+J35</f>
        <v>1140788881.8912654</v>
      </c>
      <c r="K37" s="211">
        <f ca="1">K20+K35</f>
        <v>1874805421.0400224</v>
      </c>
      <c r="L37" s="211">
        <f t="shared" ref="L37:AL37" ca="1" si="7">L20+L35</f>
        <v>2486256535.7176485</v>
      </c>
      <c r="M37" s="211">
        <f t="shared" ca="1" si="7"/>
        <v>3226360798.4239931</v>
      </c>
      <c r="N37" s="211">
        <f t="shared" ca="1" si="7"/>
        <v>3654438738.7220001</v>
      </c>
      <c r="O37" s="211">
        <f t="shared" ca="1" si="7"/>
        <v>4106537886.0590496</v>
      </c>
      <c r="P37" s="211">
        <f t="shared" ca="1" si="7"/>
        <v>4571666087.9314566</v>
      </c>
      <c r="Q37" s="211">
        <f t="shared" ca="1" si="7"/>
        <v>5045436910.5461388</v>
      </c>
      <c r="R37" s="211">
        <f t="shared" ca="1" si="7"/>
        <v>5567052648.9122772</v>
      </c>
      <c r="S37" s="211">
        <f t="shared" ca="1" si="7"/>
        <v>6076117076.0214691</v>
      </c>
      <c r="T37" s="211">
        <f t="shared" ca="1" si="7"/>
        <v>6563879276.1527386</v>
      </c>
      <c r="U37" s="211">
        <f t="shared" ca="1" si="7"/>
        <v>7034642926.5694675</v>
      </c>
      <c r="V37" s="211">
        <f t="shared" ca="1" si="7"/>
        <v>7497406253.1514273</v>
      </c>
      <c r="W37" s="211">
        <f t="shared" ca="1" si="7"/>
        <v>7948346670.3908043</v>
      </c>
      <c r="X37" s="211">
        <f t="shared" ca="1" si="7"/>
        <v>7891231695.4757566</v>
      </c>
      <c r="Y37" s="211">
        <f t="shared" ca="1" si="7"/>
        <v>7857278325.4152994</v>
      </c>
      <c r="Z37" s="211">
        <f t="shared" ca="1" si="7"/>
        <v>7848180120.9184637</v>
      </c>
      <c r="AA37" s="211">
        <f t="shared" ca="1" si="7"/>
        <v>7851549206.1113482</v>
      </c>
      <c r="AB37" s="211">
        <f t="shared" ca="1" si="7"/>
        <v>7890889765.2215414</v>
      </c>
      <c r="AC37" s="211">
        <f t="shared" ca="1" si="7"/>
        <v>7959066399.9227915</v>
      </c>
      <c r="AD37" s="211">
        <f t="shared" ca="1" si="7"/>
        <v>8056603026.6607056</v>
      </c>
      <c r="AE37" s="211">
        <f t="shared" ca="1" si="7"/>
        <v>8170029437.0763187</v>
      </c>
      <c r="AF37" s="211">
        <f t="shared" ca="1" si="7"/>
        <v>8308771904.4718227</v>
      </c>
      <c r="AG37" s="211">
        <f t="shared" ca="1" si="7"/>
        <v>8466921524.0972853</v>
      </c>
      <c r="AH37" s="211">
        <f t="shared" ca="1" si="7"/>
        <v>8646697763.1288757</v>
      </c>
      <c r="AI37" s="211">
        <f t="shared" ca="1" si="7"/>
        <v>8834951690.1045971</v>
      </c>
      <c r="AJ37" s="211">
        <f t="shared" ca="1" si="7"/>
        <v>10396356583.252193</v>
      </c>
      <c r="AK37" s="211">
        <f t="shared" ca="1" si="7"/>
        <v>12032540968.834167</v>
      </c>
      <c r="AL37" s="211">
        <f t="shared" ca="1" si="7"/>
        <v>12504018718.493343</v>
      </c>
      <c r="AM37" s="211"/>
      <c r="AN37" s="211"/>
      <c r="AO37" s="211"/>
      <c r="AP37" s="211"/>
      <c r="AQ37" s="211"/>
      <c r="AR37" s="211"/>
      <c r="AS37" s="211"/>
      <c r="AT37" s="211"/>
      <c r="AU37" s="211"/>
      <c r="AV37" s="211"/>
      <c r="AW37" s="211"/>
    </row>
    <row r="38" spans="1:50" ht="11.25" thickTop="1">
      <c r="C38" s="15"/>
    </row>
    <row r="39" spans="1:50">
      <c r="B39" s="29" t="s">
        <v>480</v>
      </c>
      <c r="C39" s="15"/>
    </row>
    <row r="40" spans="1:50">
      <c r="B40" s="2" t="s">
        <v>145</v>
      </c>
      <c r="C40" s="201" t="str">
        <f>$C$8</f>
        <v>US$</v>
      </c>
      <c r="I40" s="1531">
        <f>Dividend!I33</f>
        <v>715288869.70235205</v>
      </c>
      <c r="J40" s="1531">
        <f>Dividend!J33</f>
        <v>1242135327.8400679</v>
      </c>
      <c r="K40" s="1531">
        <f>Dividend!K33</f>
        <v>1242135327.8400679</v>
      </c>
      <c r="L40" s="1531">
        <f>Dividend!L33</f>
        <v>1242135327.8400679</v>
      </c>
      <c r="M40" s="1531">
        <f>Dividend!M33</f>
        <v>1242135327.8400679</v>
      </c>
      <c r="N40" s="1531">
        <f>Dividend!N33</f>
        <v>1242135327.8400679</v>
      </c>
      <c r="O40" s="1531">
        <f>Dividend!O33</f>
        <v>1242135327.8400679</v>
      </c>
      <c r="P40" s="1531">
        <f>Dividend!P33</f>
        <v>1242135327.8400679</v>
      </c>
      <c r="Q40" s="1531">
        <f>Dividend!Q33</f>
        <v>1242135327.8400679</v>
      </c>
      <c r="R40" s="1531">
        <f>Dividend!R33</f>
        <v>1242135327.8400679</v>
      </c>
      <c r="S40" s="1531">
        <f>Dividend!S33</f>
        <v>1242135327.8400679</v>
      </c>
      <c r="T40" s="1531">
        <f>Dividend!T33</f>
        <v>1242135327.8400679</v>
      </c>
      <c r="U40" s="1531">
        <f>Dividend!U33</f>
        <v>1242135327.8400679</v>
      </c>
      <c r="V40" s="1531">
        <f>Dividend!V33</f>
        <v>1242135327.8400679</v>
      </c>
      <c r="W40" s="1531">
        <f>Dividend!W33</f>
        <v>1242135327.8400679</v>
      </c>
      <c r="X40" s="1531">
        <f>Dividend!X33</f>
        <v>1242135327.8400679</v>
      </c>
      <c r="Y40" s="1531">
        <f>Dividend!Y33</f>
        <v>1242135327.8400679</v>
      </c>
      <c r="Z40" s="1531">
        <f>Dividend!Z33</f>
        <v>1242135327.8400679</v>
      </c>
      <c r="AA40" s="1531">
        <f>Dividend!AA33</f>
        <v>1242135327.8400679</v>
      </c>
      <c r="AB40" s="1531">
        <f>Dividend!AB33</f>
        <v>1242135327.8400679</v>
      </c>
      <c r="AC40" s="1531">
        <f>Dividend!AC33</f>
        <v>1242135327.8400679</v>
      </c>
      <c r="AD40" s="1531">
        <f>Dividend!AD33</f>
        <v>1242135327.8400679</v>
      </c>
      <c r="AE40" s="1531">
        <f>Dividend!AE33</f>
        <v>1242135327.8400679</v>
      </c>
      <c r="AF40" s="1531">
        <f>Dividend!AF33</f>
        <v>1242135327.8400679</v>
      </c>
      <c r="AG40" s="1531">
        <f>Dividend!AG33</f>
        <v>1242135327.8400679</v>
      </c>
      <c r="AH40" s="1531">
        <f>Dividend!AH33</f>
        <v>1242135327.8400679</v>
      </c>
      <c r="AI40" s="1531">
        <f>Dividend!AI33</f>
        <v>1242135327.8400679</v>
      </c>
      <c r="AJ40" s="1531">
        <f>Dividend!AJ33</f>
        <v>1242135327.8400679</v>
      </c>
      <c r="AK40" s="1531">
        <f>Dividend!AK33</f>
        <v>1242135327.8400679</v>
      </c>
      <c r="AL40" s="1531">
        <f>Dividend!AL33</f>
        <v>0</v>
      </c>
      <c r="AM40" s="1531"/>
      <c r="AN40" s="1531"/>
      <c r="AO40" s="1531"/>
      <c r="AP40" s="1531"/>
      <c r="AQ40" s="1531"/>
      <c r="AR40" s="1531"/>
      <c r="AS40" s="1531"/>
      <c r="AT40" s="1531"/>
      <c r="AU40" s="1531"/>
      <c r="AV40" s="1531"/>
      <c r="AW40" s="1531"/>
      <c r="AX40" s="41">
        <f>Dividend!AX33</f>
        <v>0</v>
      </c>
    </row>
    <row r="41" spans="1:50">
      <c r="B41" s="27" t="s">
        <v>481</v>
      </c>
      <c r="C41" s="207" t="str">
        <f>$C$8</f>
        <v>US$</v>
      </c>
      <c r="I41" s="1531">
        <f ca="1">IS!I31</f>
        <v>0</v>
      </c>
      <c r="J41" s="1531">
        <f ca="1">IS!J31</f>
        <v>-101346445.94880253</v>
      </c>
      <c r="K41" s="1531">
        <f ca="1">IS!K31</f>
        <v>499756721.46382064</v>
      </c>
      <c r="L41" s="1531">
        <f ca="1">IS!L31</f>
        <v>1111207836.1414471</v>
      </c>
      <c r="M41" s="1531">
        <f ca="1">IS!M31</f>
        <v>1851312098.8477917</v>
      </c>
      <c r="N41" s="1531">
        <f ca="1">IS!N31</f>
        <v>2279390039.1457977</v>
      </c>
      <c r="O41" s="1531">
        <f ca="1">IS!O31</f>
        <v>2731489186.4828477</v>
      </c>
      <c r="P41" s="1531">
        <f ca="1">IS!P31</f>
        <v>3196617388.3552537</v>
      </c>
      <c r="Q41" s="1531">
        <f ca="1">IS!Q31</f>
        <v>3670388210.9699359</v>
      </c>
      <c r="R41" s="1531">
        <f ca="1">IS!R31</f>
        <v>4192003949.3360758</v>
      </c>
      <c r="S41" s="1531">
        <f ca="1">IS!S31</f>
        <v>4701068376.4452667</v>
      </c>
      <c r="T41" s="1531">
        <f ca="1">IS!T31</f>
        <v>5188830576.5765371</v>
      </c>
      <c r="U41" s="1531">
        <f ca="1">IS!U31</f>
        <v>5659594226.9932661</v>
      </c>
      <c r="V41" s="1531">
        <f ca="1">IS!V31</f>
        <v>6122357553.5752249</v>
      </c>
      <c r="W41" s="1531">
        <f ca="1">IS!W31</f>
        <v>6573297970.8146029</v>
      </c>
      <c r="X41" s="1531">
        <f ca="1">IS!X31</f>
        <v>6516182995.8995543</v>
      </c>
      <c r="Y41" s="1531">
        <f ca="1">IS!Y31</f>
        <v>6482229625.839098</v>
      </c>
      <c r="Z41" s="1531">
        <f ca="1">IS!Z31</f>
        <v>6473131421.3422613</v>
      </c>
      <c r="AA41" s="1531">
        <f ca="1">IS!AA31</f>
        <v>6476500506.5351458</v>
      </c>
      <c r="AB41" s="1531">
        <f ca="1">IS!AB31</f>
        <v>6515841065.6453381</v>
      </c>
      <c r="AC41" s="1531">
        <f ca="1">IS!AC31</f>
        <v>6584017700.34659</v>
      </c>
      <c r="AD41" s="1531">
        <f ca="1">IS!AD31</f>
        <v>6681554327.0845032</v>
      </c>
      <c r="AE41" s="1531">
        <f ca="1">IS!AE31</f>
        <v>6794980737.5001163</v>
      </c>
      <c r="AF41" s="1531">
        <f ca="1">IS!AF31</f>
        <v>6933723204.8956203</v>
      </c>
      <c r="AG41" s="1531">
        <f ca="1">IS!AG31</f>
        <v>7091872824.5210819</v>
      </c>
      <c r="AH41" s="1531">
        <f ca="1">IS!AH31</f>
        <v>7271649063.5526714</v>
      </c>
      <c r="AI41" s="1531">
        <f ca="1">IS!AI31</f>
        <v>7459902990.5283947</v>
      </c>
      <c r="AJ41" s="1531">
        <f ca="1">IS!AJ31</f>
        <v>9021307883.6759911</v>
      </c>
      <c r="AK41" s="1531">
        <f ca="1">IS!AK31</f>
        <v>10657492269.257965</v>
      </c>
      <c r="AL41" s="1531">
        <f ca="1">IS!AL31</f>
        <v>12371105346.75721</v>
      </c>
      <c r="AM41" s="1531"/>
      <c r="AN41" s="1531"/>
      <c r="AO41" s="1531"/>
      <c r="AP41" s="1531"/>
      <c r="AQ41" s="1531"/>
      <c r="AR41" s="1531"/>
      <c r="AS41" s="1531"/>
      <c r="AT41" s="1531"/>
      <c r="AU41" s="1531"/>
      <c r="AV41" s="1531"/>
      <c r="AW41" s="1531"/>
      <c r="AX41" s="41">
        <f>IS!AX31</f>
        <v>0</v>
      </c>
    </row>
    <row r="42" spans="1:50" ht="11.25" thickBot="1">
      <c r="B42" s="205" t="s">
        <v>480</v>
      </c>
      <c r="C42" s="209" t="str">
        <f>$C$8</f>
        <v>US$</v>
      </c>
      <c r="D42" s="205"/>
      <c r="E42" s="205"/>
      <c r="F42" s="205"/>
      <c r="G42" s="205"/>
      <c r="H42" s="205"/>
      <c r="I42" s="211">
        <f ca="1">SUM(I40:I41)</f>
        <v>715288869.70235205</v>
      </c>
      <c r="J42" s="211">
        <f t="shared" ref="J42:AL42" ca="1" si="8">SUM(J40:J41)</f>
        <v>1140788881.8912654</v>
      </c>
      <c r="K42" s="211">
        <f t="shared" ca="1" si="8"/>
        <v>1741892049.3038886</v>
      </c>
      <c r="L42" s="211">
        <f t="shared" ca="1" si="8"/>
        <v>2353343163.9815149</v>
      </c>
      <c r="M42" s="211">
        <f t="shared" ca="1" si="8"/>
        <v>3093447426.6878595</v>
      </c>
      <c r="N42" s="211">
        <f t="shared" ca="1" si="8"/>
        <v>3521525366.9858656</v>
      </c>
      <c r="O42" s="211">
        <f t="shared" ca="1" si="8"/>
        <v>3973624514.3229156</v>
      </c>
      <c r="P42" s="211">
        <f t="shared" ca="1" si="8"/>
        <v>4438752716.195322</v>
      </c>
      <c r="Q42" s="211">
        <f t="shared" ca="1" si="8"/>
        <v>4912523538.8100033</v>
      </c>
      <c r="R42" s="211">
        <f t="shared" ca="1" si="8"/>
        <v>5434139277.1761436</v>
      </c>
      <c r="S42" s="211">
        <f t="shared" ca="1" si="8"/>
        <v>5943203704.2853346</v>
      </c>
      <c r="T42" s="211">
        <f t="shared" ca="1" si="8"/>
        <v>6430965904.416605</v>
      </c>
      <c r="U42" s="211">
        <f t="shared" ca="1" si="8"/>
        <v>6901729554.833334</v>
      </c>
      <c r="V42" s="211">
        <f t="shared" ca="1" si="8"/>
        <v>7364492881.4152927</v>
      </c>
      <c r="W42" s="211">
        <f t="shared" ca="1" si="8"/>
        <v>7815433298.6546707</v>
      </c>
      <c r="X42" s="211">
        <f t="shared" ca="1" si="8"/>
        <v>7758318323.7396221</v>
      </c>
      <c r="Y42" s="211">
        <f t="shared" ca="1" si="8"/>
        <v>7724364953.6791658</v>
      </c>
      <c r="Z42" s="211">
        <f t="shared" ca="1" si="8"/>
        <v>7715266749.1823292</v>
      </c>
      <c r="AA42" s="211">
        <f t="shared" ca="1" si="8"/>
        <v>7718635834.3752136</v>
      </c>
      <c r="AB42" s="211">
        <f t="shared" ca="1" si="8"/>
        <v>7757976393.4854059</v>
      </c>
      <c r="AC42" s="211">
        <f t="shared" ca="1" si="8"/>
        <v>7826153028.1866579</v>
      </c>
      <c r="AD42" s="211">
        <f t="shared" ca="1" si="8"/>
        <v>7923689654.924571</v>
      </c>
      <c r="AE42" s="211">
        <f t="shared" ca="1" si="8"/>
        <v>8037116065.3401842</v>
      </c>
      <c r="AF42" s="211">
        <f t="shared" ca="1" si="8"/>
        <v>8175858532.7356882</v>
      </c>
      <c r="AG42" s="211">
        <f t="shared" ca="1" si="8"/>
        <v>8334008152.3611498</v>
      </c>
      <c r="AH42" s="211">
        <f t="shared" ca="1" si="8"/>
        <v>8513784391.3927393</v>
      </c>
      <c r="AI42" s="211">
        <f t="shared" ca="1" si="8"/>
        <v>8702038318.3684616</v>
      </c>
      <c r="AJ42" s="211">
        <f t="shared" ca="1" si="8"/>
        <v>10263443211.51606</v>
      </c>
      <c r="AK42" s="211">
        <f t="shared" ca="1" si="8"/>
        <v>11899627597.098034</v>
      </c>
      <c r="AL42" s="211">
        <f t="shared" ca="1" si="8"/>
        <v>12371105346.75721</v>
      </c>
      <c r="AM42" s="211"/>
      <c r="AN42" s="211"/>
      <c r="AO42" s="211"/>
      <c r="AP42" s="211"/>
      <c r="AQ42" s="211"/>
      <c r="AR42" s="211"/>
      <c r="AS42" s="211"/>
      <c r="AT42" s="211"/>
      <c r="AU42" s="211"/>
      <c r="AV42" s="211"/>
      <c r="AW42" s="211"/>
    </row>
    <row r="43" spans="1:50" ht="11.25" thickTop="1">
      <c r="B43" s="5"/>
    </row>
    <row r="44" spans="1:50">
      <c r="A44" s="12"/>
      <c r="I44" s="42">
        <f ca="1">I37-I42</f>
        <v>0</v>
      </c>
      <c r="J44" s="1533">
        <f ca="1">J37-J42</f>
        <v>0</v>
      </c>
      <c r="K44" s="1533">
        <f t="shared" ref="K44:AL44" ca="1" si="9">K37-K42</f>
        <v>132913371.73613381</v>
      </c>
      <c r="L44" s="1533">
        <f t="shared" ca="1" si="9"/>
        <v>132913371.73613358</v>
      </c>
      <c r="M44" s="1533">
        <f t="shared" ca="1" si="9"/>
        <v>132913371.73613358</v>
      </c>
      <c r="N44" s="1533">
        <f t="shared" ca="1" si="9"/>
        <v>132913371.73613453</v>
      </c>
      <c r="O44" s="1533">
        <f t="shared" ca="1" si="9"/>
        <v>132913371.73613405</v>
      </c>
      <c r="P44" s="1533">
        <f t="shared" ca="1" si="9"/>
        <v>132913371.73613453</v>
      </c>
      <c r="Q44" s="1533">
        <f t="shared" ca="1" si="9"/>
        <v>132913371.73613548</v>
      </c>
      <c r="R44" s="1533">
        <f t="shared" ca="1" si="9"/>
        <v>132913371.73613358</v>
      </c>
      <c r="S44" s="1533">
        <f t="shared" ca="1" si="9"/>
        <v>132913371.73613453</v>
      </c>
      <c r="T44" s="1533">
        <f t="shared" ca="1" si="9"/>
        <v>132913371.73613358</v>
      </c>
      <c r="U44" s="1533">
        <f t="shared" ca="1" si="9"/>
        <v>132913371.73613358</v>
      </c>
      <c r="V44" s="1533">
        <f t="shared" ca="1" si="9"/>
        <v>132913371.73613453</v>
      </c>
      <c r="W44" s="1533">
        <f t="shared" ca="1" si="9"/>
        <v>132913371.73613358</v>
      </c>
      <c r="X44" s="1533">
        <f t="shared" ca="1" si="9"/>
        <v>132913371.73613453</v>
      </c>
      <c r="Y44" s="1533">
        <f t="shared" ca="1" si="9"/>
        <v>132913371.73613358</v>
      </c>
      <c r="Z44" s="1533">
        <f t="shared" ca="1" si="9"/>
        <v>132913371.73613453</v>
      </c>
      <c r="AA44" s="1533">
        <f t="shared" ca="1" si="9"/>
        <v>132913371.73613453</v>
      </c>
      <c r="AB44" s="1533">
        <f t="shared" ca="1" si="9"/>
        <v>132913371.73613548</v>
      </c>
      <c r="AC44" s="1533">
        <f t="shared" ca="1" si="9"/>
        <v>132913371.73613358</v>
      </c>
      <c r="AD44" s="1533">
        <f t="shared" ca="1" si="9"/>
        <v>132913371.73613453</v>
      </c>
      <c r="AE44" s="1533">
        <f t="shared" ca="1" si="9"/>
        <v>132913371.73613453</v>
      </c>
      <c r="AF44" s="1533">
        <f t="shared" ca="1" si="9"/>
        <v>132913371.73613453</v>
      </c>
      <c r="AG44" s="1533">
        <f t="shared" ca="1" si="9"/>
        <v>132913371.73613548</v>
      </c>
      <c r="AH44" s="1533">
        <f t="shared" ca="1" si="9"/>
        <v>132913371.73613644</v>
      </c>
      <c r="AI44" s="1533">
        <f t="shared" ca="1" si="9"/>
        <v>132913371.73613548</v>
      </c>
      <c r="AJ44" s="1533">
        <f t="shared" ca="1" si="9"/>
        <v>132913371.73613358</v>
      </c>
      <c r="AK44" s="1533">
        <f t="shared" ca="1" si="9"/>
        <v>132913371.73613358</v>
      </c>
      <c r="AL44" s="1533">
        <f t="shared" ca="1" si="9"/>
        <v>132913371.73613358</v>
      </c>
      <c r="AM44" s="1533"/>
      <c r="AN44" s="1533"/>
      <c r="AO44" s="1533"/>
      <c r="AP44" s="1533"/>
      <c r="AQ44" s="1533"/>
      <c r="AR44" s="1533"/>
      <c r="AS44" s="1533"/>
      <c r="AT44" s="1533"/>
      <c r="AU44" s="1533"/>
      <c r="AV44" s="1533"/>
      <c r="AW44" s="1533"/>
    </row>
    <row r="45" spans="1:50">
      <c r="A45" s="12"/>
      <c r="I45" s="42"/>
      <c r="J45" s="42"/>
      <c r="K45" s="42"/>
      <c r="L45" s="42"/>
      <c r="M45" s="42"/>
      <c r="N45" s="42"/>
      <c r="O45" s="42"/>
      <c r="P45" s="42"/>
      <c r="Q45" s="42"/>
      <c r="R45" s="42"/>
      <c r="S45" s="42"/>
      <c r="T45" s="42"/>
      <c r="U45" s="42"/>
      <c r="V45" s="42"/>
      <c r="W45" s="42"/>
      <c r="X45" s="42"/>
      <c r="Y45" s="42"/>
      <c r="Z45" s="42"/>
      <c r="AA45" s="42"/>
      <c r="AB45" s="42"/>
      <c r="AC45" s="42"/>
      <c r="AD45" s="42"/>
      <c r="AE45" s="42"/>
      <c r="AF45" s="42"/>
      <c r="AG45" s="42"/>
      <c r="AH45" s="42"/>
      <c r="AI45" s="42"/>
    </row>
    <row r="46" spans="1:50">
      <c r="A46" s="40" t="s">
        <v>373</v>
      </c>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50">
      <c r="B47" s="10"/>
    </row>
    <row r="48" spans="1:50">
      <c r="K48" s="107">
        <f ca="1">K44/2</f>
        <v>66456685.868066907</v>
      </c>
    </row>
    <row r="49" spans="1:38" ht="11.25">
      <c r="H49" s="319" t="s">
        <v>0</v>
      </c>
      <c r="I49" s="388">
        <v>1</v>
      </c>
      <c r="J49" s="388">
        <v>2</v>
      </c>
      <c r="K49" s="388">
        <v>3</v>
      </c>
      <c r="L49" s="388">
        <v>4</v>
      </c>
      <c r="M49" s="388">
        <v>5</v>
      </c>
      <c r="N49" s="388">
        <v>6</v>
      </c>
      <c r="O49" s="388">
        <v>7</v>
      </c>
      <c r="P49" s="388">
        <v>8</v>
      </c>
      <c r="Q49" s="388">
        <v>9</v>
      </c>
      <c r="R49" s="388">
        <v>10</v>
      </c>
      <c r="S49" s="388">
        <v>11</v>
      </c>
      <c r="T49" s="388">
        <v>12</v>
      </c>
      <c r="U49" s="388">
        <v>13</v>
      </c>
      <c r="V49" s="388">
        <v>14</v>
      </c>
      <c r="W49" s="388">
        <v>15</v>
      </c>
      <c r="X49" s="388">
        <v>16</v>
      </c>
      <c r="Y49" s="388">
        <v>17</v>
      </c>
      <c r="Z49" s="388">
        <v>18</v>
      </c>
      <c r="AA49" s="388">
        <v>19</v>
      </c>
      <c r="AB49" s="388">
        <v>20</v>
      </c>
      <c r="AC49" s="388">
        <v>21</v>
      </c>
      <c r="AD49" s="388">
        <v>22</v>
      </c>
      <c r="AE49" s="388">
        <v>23</v>
      </c>
      <c r="AF49" s="388">
        <v>24</v>
      </c>
      <c r="AG49" s="388">
        <v>25</v>
      </c>
      <c r="AH49" s="388">
        <v>26</v>
      </c>
      <c r="AI49" s="388">
        <v>27</v>
      </c>
      <c r="AJ49" s="388">
        <v>28</v>
      </c>
      <c r="AK49" s="388">
        <v>29</v>
      </c>
      <c r="AL49" s="388">
        <v>30</v>
      </c>
    </row>
    <row r="50" spans="1:38" ht="11.25">
      <c r="H50" s="319" t="s">
        <v>1</v>
      </c>
      <c r="I50" s="389">
        <v>46023</v>
      </c>
      <c r="J50" s="389">
        <v>46388</v>
      </c>
      <c r="K50" s="389">
        <v>46753</v>
      </c>
      <c r="L50" s="389">
        <v>47119</v>
      </c>
      <c r="M50" s="389">
        <v>47484</v>
      </c>
      <c r="N50" s="389">
        <v>47849</v>
      </c>
      <c r="O50" s="389">
        <v>48214</v>
      </c>
      <c r="P50" s="389">
        <v>48580</v>
      </c>
      <c r="Q50" s="389">
        <v>48945</v>
      </c>
      <c r="R50" s="389">
        <v>49310</v>
      </c>
      <c r="S50" s="389">
        <v>49675</v>
      </c>
      <c r="T50" s="389">
        <v>50041</v>
      </c>
      <c r="U50" s="389">
        <v>50406</v>
      </c>
      <c r="V50" s="389">
        <v>50771</v>
      </c>
      <c r="W50" s="389">
        <v>51136</v>
      </c>
      <c r="X50" s="389">
        <v>51502</v>
      </c>
      <c r="Y50" s="389">
        <v>51867</v>
      </c>
      <c r="Z50" s="389">
        <v>52232</v>
      </c>
      <c r="AA50" s="389">
        <v>52597</v>
      </c>
      <c r="AB50" s="389">
        <v>52963</v>
      </c>
      <c r="AC50" s="389">
        <v>53328</v>
      </c>
      <c r="AD50" s="389">
        <v>53693</v>
      </c>
      <c r="AE50" s="389">
        <v>54058</v>
      </c>
      <c r="AF50" s="389">
        <v>54424</v>
      </c>
      <c r="AG50" s="389">
        <v>54789</v>
      </c>
      <c r="AH50" s="389">
        <v>55154</v>
      </c>
      <c r="AI50" s="389">
        <v>55519</v>
      </c>
      <c r="AJ50" s="389">
        <v>55885</v>
      </c>
      <c r="AK50" s="389">
        <v>56250</v>
      </c>
      <c r="AL50" s="389">
        <v>56615</v>
      </c>
    </row>
    <row r="51" spans="1:38" ht="11.25">
      <c r="H51" s="319" t="s">
        <v>2</v>
      </c>
      <c r="I51" s="390">
        <v>46387</v>
      </c>
      <c r="J51" s="390">
        <v>46752</v>
      </c>
      <c r="K51" s="390">
        <v>47118</v>
      </c>
      <c r="L51" s="390">
        <v>47483</v>
      </c>
      <c r="M51" s="390">
        <v>47848</v>
      </c>
      <c r="N51" s="390">
        <v>48213</v>
      </c>
      <c r="O51" s="390">
        <v>48579</v>
      </c>
      <c r="P51" s="390">
        <v>48944</v>
      </c>
      <c r="Q51" s="390">
        <v>49309</v>
      </c>
      <c r="R51" s="390">
        <v>49674</v>
      </c>
      <c r="S51" s="390">
        <v>50040</v>
      </c>
      <c r="T51" s="390">
        <v>50405</v>
      </c>
      <c r="U51" s="390">
        <v>50770</v>
      </c>
      <c r="V51" s="390">
        <v>51135</v>
      </c>
      <c r="W51" s="390">
        <v>51501</v>
      </c>
      <c r="X51" s="390">
        <v>51866</v>
      </c>
      <c r="Y51" s="390">
        <v>52231</v>
      </c>
      <c r="Z51" s="390">
        <v>52596</v>
      </c>
      <c r="AA51" s="390">
        <v>52962</v>
      </c>
      <c r="AB51" s="390">
        <v>53327</v>
      </c>
      <c r="AC51" s="390">
        <v>53692</v>
      </c>
      <c r="AD51" s="390">
        <v>54057</v>
      </c>
      <c r="AE51" s="390">
        <v>54423</v>
      </c>
      <c r="AF51" s="390">
        <v>54788</v>
      </c>
      <c r="AG51" s="390">
        <v>55153</v>
      </c>
      <c r="AH51" s="390">
        <v>55518</v>
      </c>
      <c r="AI51" s="390">
        <v>55884</v>
      </c>
      <c r="AJ51" s="390">
        <v>56249</v>
      </c>
      <c r="AK51" s="390">
        <v>56614</v>
      </c>
      <c r="AL51" s="390">
        <v>56979</v>
      </c>
    </row>
    <row r="52" spans="1:38" ht="11.25">
      <c r="B52" s="10"/>
      <c r="H52" s="319" t="s">
        <v>3</v>
      </c>
      <c r="I52" s="391">
        <v>365</v>
      </c>
      <c r="J52" s="391">
        <v>366</v>
      </c>
      <c r="K52" s="391">
        <v>365</v>
      </c>
      <c r="L52" s="391">
        <v>365</v>
      </c>
      <c r="M52" s="391">
        <v>365</v>
      </c>
      <c r="N52" s="391">
        <v>366</v>
      </c>
      <c r="O52" s="391">
        <v>365</v>
      </c>
      <c r="P52" s="391">
        <v>365</v>
      </c>
      <c r="Q52" s="391">
        <v>365</v>
      </c>
      <c r="R52" s="391">
        <v>366</v>
      </c>
      <c r="S52" s="391">
        <v>365</v>
      </c>
      <c r="T52" s="391">
        <v>365</v>
      </c>
      <c r="U52" s="391">
        <v>365</v>
      </c>
      <c r="V52" s="391">
        <v>366</v>
      </c>
      <c r="W52" s="391">
        <v>365</v>
      </c>
      <c r="X52" s="391">
        <v>365</v>
      </c>
      <c r="Y52" s="391">
        <v>365</v>
      </c>
      <c r="Z52" s="391">
        <v>366</v>
      </c>
      <c r="AA52" s="391">
        <v>365</v>
      </c>
      <c r="AB52" s="391">
        <v>365</v>
      </c>
      <c r="AC52" s="391">
        <v>365</v>
      </c>
      <c r="AD52" s="391">
        <v>366</v>
      </c>
      <c r="AE52" s="391">
        <v>365</v>
      </c>
      <c r="AF52" s="391">
        <v>365</v>
      </c>
      <c r="AG52" s="391">
        <v>365</v>
      </c>
      <c r="AH52" s="391">
        <v>366</v>
      </c>
      <c r="AI52" s="391">
        <v>365</v>
      </c>
      <c r="AJ52" s="391">
        <v>365</v>
      </c>
      <c r="AK52" s="391">
        <v>365</v>
      </c>
      <c r="AL52" s="391">
        <v>365</v>
      </c>
    </row>
    <row r="54" spans="1:38">
      <c r="B54" s="11"/>
      <c r="H54" s="489" t="s">
        <v>259</v>
      </c>
      <c r="I54" s="37">
        <f ca="1">I9</f>
        <v>0</v>
      </c>
      <c r="J54" s="37">
        <f t="shared" ref="J54:AL54" ca="1" si="10">J9</f>
        <v>0</v>
      </c>
      <c r="K54" s="37">
        <f t="shared" ca="1" si="10"/>
        <v>3992577839.4859338</v>
      </c>
      <c r="L54" s="37">
        <f t="shared" ca="1" si="10"/>
        <v>3844704586.1716399</v>
      </c>
      <c r="M54" s="37">
        <f t="shared" ca="1" si="10"/>
        <v>3696831332.8573461</v>
      </c>
      <c r="N54" s="37">
        <f t="shared" ca="1" si="10"/>
        <v>3549362104.8253317</v>
      </c>
      <c r="O54" s="37">
        <f t="shared" ca="1" si="10"/>
        <v>3401083719.3101768</v>
      </c>
      <c r="P54" s="37">
        <f t="shared" ca="1" si="10"/>
        <v>3253210465.995883</v>
      </c>
      <c r="Q54" s="37">
        <f t="shared" ca="1" si="10"/>
        <v>3105337212.6815891</v>
      </c>
      <c r="R54" s="37">
        <f t="shared" ca="1" si="10"/>
        <v>2957867984.6495748</v>
      </c>
      <c r="S54" s="37">
        <f t="shared" ca="1" si="10"/>
        <v>2809589599.1344199</v>
      </c>
      <c r="T54" s="37">
        <f t="shared" ca="1" si="10"/>
        <v>2661716345.8201261</v>
      </c>
      <c r="U54" s="37">
        <f t="shared" ca="1" si="10"/>
        <v>2513843092.5058322</v>
      </c>
      <c r="V54" s="37">
        <f t="shared" ca="1" si="10"/>
        <v>2366373864.4738178</v>
      </c>
      <c r="W54" s="37">
        <f t="shared" ca="1" si="10"/>
        <v>2218095478.958663</v>
      </c>
      <c r="X54" s="37">
        <f t="shared" ca="1" si="10"/>
        <v>2070222225.6443691</v>
      </c>
      <c r="Y54" s="37">
        <f t="shared" ca="1" si="10"/>
        <v>1922348972.3300753</v>
      </c>
      <c r="Z54" s="37">
        <f t="shared" ca="1" si="10"/>
        <v>1774879744.2980609</v>
      </c>
      <c r="AA54" s="37">
        <f t="shared" ca="1" si="10"/>
        <v>1626601358.7829061</v>
      </c>
      <c r="AB54" s="37">
        <f t="shared" ca="1" si="10"/>
        <v>1478728105.4686122</v>
      </c>
      <c r="AC54" s="37">
        <f t="shared" ca="1" si="10"/>
        <v>1330854852.1543183</v>
      </c>
      <c r="AD54" s="37">
        <f t="shared" ca="1" si="10"/>
        <v>1183385624.122304</v>
      </c>
      <c r="AE54" s="37">
        <f t="shared" ca="1" si="10"/>
        <v>1035107238.607149</v>
      </c>
      <c r="AF54" s="37">
        <f t="shared" ca="1" si="10"/>
        <v>887233985.29285514</v>
      </c>
      <c r="AG54" s="37">
        <f t="shared" ca="1" si="10"/>
        <v>739360731.97856128</v>
      </c>
      <c r="AH54" s="37">
        <f t="shared" ca="1" si="10"/>
        <v>591891503.94654691</v>
      </c>
      <c r="AI54" s="37">
        <f t="shared" ca="1" si="10"/>
        <v>443613118.43139195</v>
      </c>
      <c r="AJ54" s="37">
        <f t="shared" ca="1" si="10"/>
        <v>295739865.11709809</v>
      </c>
      <c r="AK54" s="37">
        <f t="shared" ca="1" si="10"/>
        <v>147866611.80280426</v>
      </c>
      <c r="AL54" s="37">
        <f t="shared" ca="1" si="10"/>
        <v>0</v>
      </c>
    </row>
    <row r="55" spans="1:38">
      <c r="B55" s="11"/>
      <c r="H55" s="489" t="s">
        <v>462</v>
      </c>
      <c r="I55" s="37">
        <f ca="1">I18</f>
        <v>0</v>
      </c>
      <c r="J55" s="37">
        <f t="shared" ref="J55:AL55" ca="1" si="11">J18</f>
        <v>-89479180.615219116</v>
      </c>
      <c r="K55" s="37">
        <f t="shared" ca="1" si="11"/>
        <v>802497417.47113597</v>
      </c>
      <c r="L55" s="37">
        <f t="shared" ca="1" si="11"/>
        <v>1158458300.2372808</v>
      </c>
      <c r="M55" s="37">
        <f t="shared" ca="1" si="11"/>
        <v>1634247555.6815414</v>
      </c>
      <c r="N55" s="37">
        <f t="shared" ca="1" si="11"/>
        <v>1863892683.1665518</v>
      </c>
      <c r="O55" s="37">
        <f t="shared" ca="1" si="11"/>
        <v>2280690416.2418008</v>
      </c>
      <c r="P55" s="37">
        <f t="shared" ca="1" si="11"/>
        <v>2736971516.8495197</v>
      </c>
      <c r="Q55" s="37">
        <f t="shared" ca="1" si="11"/>
        <v>3229849623.4686422</v>
      </c>
      <c r="R55" s="37">
        <f t="shared" ca="1" si="11"/>
        <v>3536055838.265821</v>
      </c>
      <c r="S55" s="37">
        <f t="shared" ca="1" si="11"/>
        <v>4150200648.9810524</v>
      </c>
      <c r="T55" s="37">
        <f t="shared" ca="1" si="11"/>
        <v>4742599251.9445944</v>
      </c>
      <c r="U55" s="37">
        <f t="shared" ca="1" si="11"/>
        <v>5318060802.9154253</v>
      </c>
      <c r="V55" s="37">
        <f t="shared" ca="1" si="11"/>
        <v>5885121900.8009834</v>
      </c>
      <c r="W55" s="37">
        <f t="shared" ca="1" si="11"/>
        <v>6441295612.6810894</v>
      </c>
      <c r="X55" s="37">
        <f t="shared" ca="1" si="11"/>
        <v>6488952629.2555494</v>
      </c>
      <c r="Y55" s="37">
        <f t="shared" ca="1" si="11"/>
        <v>6559839589.7114811</v>
      </c>
      <c r="Z55" s="37">
        <f t="shared" ca="1" si="11"/>
        <v>6654886153.3414965</v>
      </c>
      <c r="AA55" s="37">
        <f t="shared" ca="1" si="11"/>
        <v>6763367305.907052</v>
      </c>
      <c r="AB55" s="37">
        <f t="shared" ca="1" si="11"/>
        <v>6907331423.8226032</v>
      </c>
      <c r="AC55" s="37">
        <f t="shared" ca="1" si="11"/>
        <v>7080198554.6384258</v>
      </c>
      <c r="AD55" s="37">
        <f t="shared" ca="1" si="11"/>
        <v>7281992384.276515</v>
      </c>
      <c r="AE55" s="37">
        <f t="shared" ca="1" si="11"/>
        <v>7500682770.6828289</v>
      </c>
      <c r="AF55" s="37">
        <f t="shared" ca="1" si="11"/>
        <v>7744181598.4227552</v>
      </c>
      <c r="AG55" s="37">
        <f t="shared" ca="1" si="11"/>
        <v>8007161856.4564896</v>
      </c>
      <c r="AH55" s="37">
        <f t="shared" ca="1" si="11"/>
        <v>8291321574.734704</v>
      </c>
      <c r="AI55" s="37">
        <f t="shared" ca="1" si="11"/>
        <v>8585009449.4688473</v>
      </c>
      <c r="AJ55" s="37">
        <f t="shared" ca="1" si="11"/>
        <v>10251319495.63942</v>
      </c>
      <c r="AK55" s="37">
        <f t="shared" ca="1" si="11"/>
        <v>11992491468.865301</v>
      </c>
      <c r="AL55" s="37">
        <f t="shared" ca="1" si="11"/>
        <v>12504018718.493343</v>
      </c>
    </row>
    <row r="56" spans="1:38">
      <c r="H56" s="2" t="s">
        <v>464</v>
      </c>
      <c r="I56" s="37">
        <f ca="1">I15</f>
        <v>0</v>
      </c>
      <c r="J56" s="37">
        <f t="shared" ref="J56:AL56" ca="1" si="12">J15</f>
        <v>-132913371.73613448</v>
      </c>
      <c r="K56" s="37">
        <f t="shared" ca="1" si="12"/>
        <v>632979160.75820112</v>
      </c>
      <c r="L56" s="37">
        <f t="shared" ca="1" si="12"/>
        <v>878476565.64138186</v>
      </c>
      <c r="M56" s="37">
        <f t="shared" ca="1" si="12"/>
        <v>1288299890.1069081</v>
      </c>
      <c r="N56" s="37">
        <f t="shared" ca="1" si="12"/>
        <v>1637966395.679565</v>
      </c>
      <c r="O56" s="37">
        <f t="shared" ca="1" si="12"/>
        <v>2040726817.8025031</v>
      </c>
      <c r="P56" s="37">
        <f t="shared" ca="1" si="12"/>
        <v>2485380857.1483808</v>
      </c>
      <c r="Q56" s="37">
        <f t="shared" ca="1" si="12"/>
        <v>2965996236.233273</v>
      </c>
      <c r="R56" s="37">
        <f t="shared" ca="1" si="12"/>
        <v>3260022660.1744308</v>
      </c>
      <c r="S56" s="37">
        <f t="shared" ca="1" si="12"/>
        <v>3859761865.2041125</v>
      </c>
      <c r="T56" s="37">
        <f t="shared" ca="1" si="12"/>
        <v>4437755346.5319462</v>
      </c>
      <c r="U56" s="37">
        <f t="shared" ca="1" si="12"/>
        <v>4998010898.8891544</v>
      </c>
      <c r="V56" s="37">
        <f t="shared" ca="1" si="12"/>
        <v>5549935527.9177265</v>
      </c>
      <c r="W56" s="37">
        <f t="shared" ca="1" si="12"/>
        <v>6088236447.4359055</v>
      </c>
      <c r="X56" s="37">
        <f t="shared" ca="1" si="12"/>
        <v>6225215361.3162832</v>
      </c>
      <c r="Y56" s="37">
        <f t="shared" ca="1" si="12"/>
        <v>6288190203.7340374</v>
      </c>
      <c r="Z56" s="37">
        <f t="shared" ca="1" si="12"/>
        <v>6375851763.5649385</v>
      </c>
      <c r="AA56" s="37">
        <f t="shared" ca="1" si="12"/>
        <v>6475174472.3235817</v>
      </c>
      <c r="AB56" s="37">
        <f t="shared" ca="1" si="12"/>
        <v>6610492805.2316284</v>
      </c>
      <c r="AC56" s="37">
        <f t="shared" ca="1" si="12"/>
        <v>6774454777.4897223</v>
      </c>
      <c r="AD56" s="37">
        <f t="shared" ca="1" si="12"/>
        <v>6967936720.2900257</v>
      </c>
      <c r="AE56" s="37">
        <f t="shared" ca="1" si="12"/>
        <v>7176319197.5057688</v>
      </c>
      <c r="AF56" s="37">
        <f t="shared" ca="1" si="12"/>
        <v>7410087118.0503836</v>
      </c>
      <c r="AG56" s="37">
        <f t="shared" ca="1" si="12"/>
        <v>7663044541.6729469</v>
      </c>
      <c r="AH56" s="37">
        <f t="shared" ca="1" si="12"/>
        <v>7937849158.0875101</v>
      </c>
      <c r="AI56" s="37">
        <f t="shared" ca="1" si="12"/>
        <v>8219935390.2149868</v>
      </c>
      <c r="AJ56" s="37">
        <f t="shared" ca="1" si="12"/>
        <v>9875293214.6079426</v>
      </c>
      <c r="AK56" s="37">
        <f t="shared" ca="1" si="12"/>
        <v>11605184399.40288</v>
      </c>
      <c r="AL56" s="37">
        <f t="shared" ca="1" si="12"/>
        <v>12504018718.493343</v>
      </c>
    </row>
    <row r="57" spans="1:38">
      <c r="A57" s="12"/>
      <c r="H57" s="2" t="s">
        <v>1652</v>
      </c>
      <c r="I57" s="37">
        <f>I40</f>
        <v>715288869.70235205</v>
      </c>
      <c r="J57" s="37">
        <f t="shared" ref="J57:AL57" si="13">J40</f>
        <v>1242135327.8400679</v>
      </c>
      <c r="K57" s="37">
        <f t="shared" si="13"/>
        <v>1242135327.8400679</v>
      </c>
      <c r="L57" s="37">
        <f t="shared" si="13"/>
        <v>1242135327.8400679</v>
      </c>
      <c r="M57" s="37">
        <f t="shared" si="13"/>
        <v>1242135327.8400679</v>
      </c>
      <c r="N57" s="37">
        <f t="shared" si="13"/>
        <v>1242135327.8400679</v>
      </c>
      <c r="O57" s="37">
        <f t="shared" si="13"/>
        <v>1242135327.8400679</v>
      </c>
      <c r="P57" s="37">
        <f t="shared" si="13"/>
        <v>1242135327.8400679</v>
      </c>
      <c r="Q57" s="37">
        <f t="shared" si="13"/>
        <v>1242135327.8400679</v>
      </c>
      <c r="R57" s="37">
        <f t="shared" si="13"/>
        <v>1242135327.8400679</v>
      </c>
      <c r="S57" s="37">
        <f t="shared" si="13"/>
        <v>1242135327.8400679</v>
      </c>
      <c r="T57" s="37">
        <f t="shared" si="13"/>
        <v>1242135327.8400679</v>
      </c>
      <c r="U57" s="37">
        <f t="shared" si="13"/>
        <v>1242135327.8400679</v>
      </c>
      <c r="V57" s="37">
        <f t="shared" si="13"/>
        <v>1242135327.8400679</v>
      </c>
      <c r="W57" s="37">
        <f t="shared" si="13"/>
        <v>1242135327.8400679</v>
      </c>
      <c r="X57" s="37">
        <f t="shared" si="13"/>
        <v>1242135327.8400679</v>
      </c>
      <c r="Y57" s="37">
        <f t="shared" si="13"/>
        <v>1242135327.8400679</v>
      </c>
      <c r="Z57" s="37">
        <f t="shared" si="13"/>
        <v>1242135327.8400679</v>
      </c>
      <c r="AA57" s="37">
        <f t="shared" si="13"/>
        <v>1242135327.8400679</v>
      </c>
      <c r="AB57" s="37">
        <f t="shared" si="13"/>
        <v>1242135327.8400679</v>
      </c>
      <c r="AC57" s="37">
        <f t="shared" si="13"/>
        <v>1242135327.8400679</v>
      </c>
      <c r="AD57" s="37">
        <f t="shared" si="13"/>
        <v>1242135327.8400679</v>
      </c>
      <c r="AE57" s="37">
        <f t="shared" si="13"/>
        <v>1242135327.8400679</v>
      </c>
      <c r="AF57" s="37">
        <f t="shared" si="13"/>
        <v>1242135327.8400679</v>
      </c>
      <c r="AG57" s="37">
        <f t="shared" si="13"/>
        <v>1242135327.8400679</v>
      </c>
      <c r="AH57" s="37">
        <f t="shared" si="13"/>
        <v>1242135327.8400679</v>
      </c>
      <c r="AI57" s="37">
        <f t="shared" si="13"/>
        <v>1242135327.8400679</v>
      </c>
      <c r="AJ57" s="37">
        <f t="shared" si="13"/>
        <v>1242135327.8400679</v>
      </c>
      <c r="AK57" s="37">
        <f t="shared" si="13"/>
        <v>1242135327.8400679</v>
      </c>
      <c r="AL57" s="37">
        <f t="shared" si="13"/>
        <v>0</v>
      </c>
    </row>
    <row r="58" spans="1:38">
      <c r="H58" s="2" t="s">
        <v>2311</v>
      </c>
      <c r="I58" s="37">
        <f ca="1">-I33</f>
        <v>0</v>
      </c>
      <c r="J58" s="37">
        <f ca="1">-J33</f>
        <v>1895542304.3210859</v>
      </c>
      <c r="K58" s="37">
        <f t="shared" ref="K58:AL58" ca="1" si="14">-K33</f>
        <v>2898315764.9601583</v>
      </c>
      <c r="L58" s="37">
        <f t="shared" ca="1" si="14"/>
        <v>2484270655.6801357</v>
      </c>
      <c r="M58" s="37">
        <f t="shared" ca="1" si="14"/>
        <v>2070225546.4001131</v>
      </c>
      <c r="N58" s="37">
        <f t="shared" ca="1" si="14"/>
        <v>1656180437.1200905</v>
      </c>
      <c r="O58" s="37">
        <f t="shared" ca="1" si="14"/>
        <v>1242135327.8400679</v>
      </c>
      <c r="P58" s="37">
        <f t="shared" ca="1" si="14"/>
        <v>828090218.56004524</v>
      </c>
      <c r="Q58" s="37">
        <f t="shared" ca="1" si="14"/>
        <v>414045109.28002262</v>
      </c>
      <c r="R58" s="37">
        <f t="shared" ca="1" si="14"/>
        <v>0</v>
      </c>
      <c r="S58" s="37">
        <f t="shared" ca="1" si="14"/>
        <v>0</v>
      </c>
      <c r="T58" s="37">
        <f t="shared" ca="1" si="14"/>
        <v>0</v>
      </c>
      <c r="U58" s="37">
        <f t="shared" ca="1" si="14"/>
        <v>0</v>
      </c>
      <c r="V58" s="37">
        <f t="shared" ca="1" si="14"/>
        <v>0</v>
      </c>
      <c r="W58" s="37">
        <f t="shared" ca="1" si="14"/>
        <v>0</v>
      </c>
      <c r="X58" s="37">
        <f t="shared" ca="1" si="14"/>
        <v>0</v>
      </c>
      <c r="Y58" s="37">
        <f t="shared" ca="1" si="14"/>
        <v>0</v>
      </c>
      <c r="Z58" s="37">
        <f t="shared" ca="1" si="14"/>
        <v>0</v>
      </c>
      <c r="AA58" s="37">
        <f t="shared" ca="1" si="14"/>
        <v>0</v>
      </c>
      <c r="AB58" s="37">
        <f t="shared" ca="1" si="14"/>
        <v>0</v>
      </c>
      <c r="AC58" s="37">
        <f t="shared" ca="1" si="14"/>
        <v>0</v>
      </c>
      <c r="AD58" s="37">
        <f t="shared" ca="1" si="14"/>
        <v>0</v>
      </c>
      <c r="AE58" s="37">
        <f t="shared" ca="1" si="14"/>
        <v>0</v>
      </c>
      <c r="AF58" s="37">
        <f t="shared" ca="1" si="14"/>
        <v>0</v>
      </c>
      <c r="AG58" s="37">
        <f t="shared" ca="1" si="14"/>
        <v>0</v>
      </c>
      <c r="AH58" s="37">
        <f t="shared" ca="1" si="14"/>
        <v>0</v>
      </c>
      <c r="AI58" s="37">
        <f t="shared" ca="1" si="14"/>
        <v>0</v>
      </c>
      <c r="AJ58" s="37">
        <f t="shared" ca="1" si="14"/>
        <v>0</v>
      </c>
      <c r="AK58" s="37">
        <f t="shared" ca="1" si="14"/>
        <v>0</v>
      </c>
      <c r="AL58" s="37">
        <f t="shared" ca="1" si="14"/>
        <v>0</v>
      </c>
    </row>
    <row r="64" spans="1:38">
      <c r="A64" s="12"/>
    </row>
  </sheetData>
  <sheetProtection formatCells="0" formatColumns="0" formatRows="0" insertColumns="0" insertRows="0" insertHyperlinks="0" deleteColumns="0" deleteRows="0" sort="0" autoFilter="0" pivotTables="0"/>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theme="4" tint="-0.249977111117893"/>
  </sheetPr>
  <dimension ref="A1:AX66"/>
  <sheetViews>
    <sheetView workbookViewId="0">
      <selection sqref="A1:B5"/>
    </sheetView>
  </sheetViews>
  <sheetFormatPr defaultColWidth="9.14453125" defaultRowHeight="10.5"/>
  <cols>
    <col min="1" max="1" width="3.49609375" style="2" customWidth="1"/>
    <col min="2" max="2" width="43.8515625" style="2" customWidth="1"/>
    <col min="3" max="3" width="9.14453125" style="2"/>
    <col min="4" max="4" width="16.0078125" style="2" bestFit="1" customWidth="1"/>
    <col min="5" max="5" width="3.359375" style="2" customWidth="1"/>
    <col min="6" max="6" width="2.015625" style="2" customWidth="1"/>
    <col min="7" max="7" width="2.6875" style="2" customWidth="1"/>
    <col min="8" max="8" width="29.19140625" style="2" customWidth="1"/>
    <col min="9" max="9" width="12.9140625" style="2" bestFit="1" customWidth="1"/>
    <col min="10" max="27" width="13.85546875" style="2" bestFit="1" customWidth="1"/>
    <col min="28" max="35" width="15.06640625" style="2" bestFit="1" customWidth="1"/>
    <col min="36" max="36" width="13.71875" style="2" customWidth="1"/>
    <col min="37" max="48" width="14.66015625" style="2" customWidth="1"/>
    <col min="49" max="49" width="11.8359375" style="2" customWidth="1"/>
    <col min="50" max="16384" width="9.14453125" style="2"/>
  </cols>
  <sheetData>
    <row r="1" spans="1:50" s="2714" customFormat="1" ht="14.25">
      <c r="A1" s="3263" t="s">
        <v>672</v>
      </c>
      <c r="B1" s="3264"/>
      <c r="C1" s="3264"/>
      <c r="D1" s="3264"/>
      <c r="E1" s="3264"/>
      <c r="F1" s="3264"/>
      <c r="G1" s="3264"/>
      <c r="H1" s="3264"/>
      <c r="I1" s="3264"/>
      <c r="J1" s="3264"/>
      <c r="K1" s="3264"/>
      <c r="L1" s="3264"/>
      <c r="M1" s="3264"/>
      <c r="N1" s="3264"/>
      <c r="O1" s="3264"/>
      <c r="P1" s="3264"/>
      <c r="Q1" s="3264"/>
      <c r="R1" s="3264"/>
      <c r="S1" s="3264"/>
      <c r="T1" s="3264"/>
      <c r="U1" s="3264"/>
      <c r="V1" s="3264"/>
      <c r="W1" s="3264"/>
      <c r="X1" s="3264"/>
      <c r="Y1" s="3264"/>
      <c r="Z1" s="3264"/>
      <c r="AA1" s="3264"/>
      <c r="AB1" s="3264"/>
      <c r="AC1" s="3264"/>
      <c r="AD1" s="3264"/>
      <c r="AE1" s="3264"/>
      <c r="AF1" s="3264"/>
      <c r="AG1" s="3264"/>
      <c r="AH1" s="3264"/>
      <c r="AI1" s="3264"/>
      <c r="AJ1" s="3264"/>
      <c r="AK1" s="3264"/>
      <c r="AL1" s="3264"/>
      <c r="AM1" s="3264"/>
      <c r="AN1" s="3264"/>
      <c r="AO1" s="3264"/>
      <c r="AP1" s="3264"/>
      <c r="AQ1" s="3264"/>
      <c r="AR1" s="3264"/>
      <c r="AS1" s="3264"/>
      <c r="AT1" s="3264"/>
      <c r="AU1" s="3264"/>
      <c r="AV1" s="3264"/>
      <c r="AW1" s="3264"/>
    </row>
    <row r="2" spans="1:50" s="135" customFormat="1" ht="11.25">
      <c r="A2" s="2711" t="s">
        <v>2393</v>
      </c>
      <c r="B2" s="2711"/>
      <c r="C2" s="2704"/>
      <c r="D2" s="2704"/>
      <c r="E2" s="2704"/>
      <c r="F2" s="2704"/>
      <c r="G2" s="2704"/>
      <c r="H2" s="2704" t="s">
        <v>0</v>
      </c>
      <c r="I2" s="2714">
        <f>'Timing &amp; Flags'!I2</f>
        <v>1</v>
      </c>
      <c r="J2" s="2714">
        <f>'Timing &amp; Flags'!J2</f>
        <v>2</v>
      </c>
      <c r="K2" s="2714">
        <f>'Timing &amp; Flags'!K2</f>
        <v>3</v>
      </c>
      <c r="L2" s="2714">
        <f>'Timing &amp; Flags'!L2</f>
        <v>4</v>
      </c>
      <c r="M2" s="2714">
        <f>'Timing &amp; Flags'!M2</f>
        <v>5</v>
      </c>
      <c r="N2" s="2714">
        <f>'Timing &amp; Flags'!N2</f>
        <v>6</v>
      </c>
      <c r="O2" s="2714">
        <f>'Timing &amp; Flags'!O2</f>
        <v>7</v>
      </c>
      <c r="P2" s="2714">
        <f>'Timing &amp; Flags'!P2</f>
        <v>8</v>
      </c>
      <c r="Q2" s="2714">
        <f>'Timing &amp; Flags'!Q2</f>
        <v>9</v>
      </c>
      <c r="R2" s="2714">
        <f>'Timing &amp; Flags'!R2</f>
        <v>10</v>
      </c>
      <c r="S2" s="2714">
        <f>'Timing &amp; Flags'!S2</f>
        <v>11</v>
      </c>
      <c r="T2" s="2714">
        <f>'Timing &amp; Flags'!T2</f>
        <v>12</v>
      </c>
      <c r="U2" s="2714">
        <f>'Timing &amp; Flags'!U2</f>
        <v>13</v>
      </c>
      <c r="V2" s="2714">
        <f>'Timing &amp; Flags'!V2</f>
        <v>14</v>
      </c>
      <c r="W2" s="2714">
        <f>'Timing &amp; Flags'!W2</f>
        <v>15</v>
      </c>
      <c r="X2" s="2714">
        <f>'Timing &amp; Flags'!X2</f>
        <v>16</v>
      </c>
      <c r="Y2" s="2714">
        <f>'Timing &amp; Flags'!Y2</f>
        <v>17</v>
      </c>
      <c r="Z2" s="2714">
        <f>'Timing &amp; Flags'!Z2</f>
        <v>18</v>
      </c>
      <c r="AA2" s="2714">
        <f>'Timing &amp; Flags'!AA2</f>
        <v>19</v>
      </c>
      <c r="AB2" s="2714">
        <f>'Timing &amp; Flags'!AB2</f>
        <v>20</v>
      </c>
      <c r="AC2" s="2714">
        <f>'Timing &amp; Flags'!AC2</f>
        <v>21</v>
      </c>
      <c r="AD2" s="2714">
        <f>'Timing &amp; Flags'!AD2</f>
        <v>22</v>
      </c>
      <c r="AE2" s="2714">
        <f>'Timing &amp; Flags'!AE2</f>
        <v>23</v>
      </c>
      <c r="AF2" s="2714">
        <f>'Timing &amp; Flags'!AF2</f>
        <v>24</v>
      </c>
      <c r="AG2" s="2714">
        <f>'Timing &amp; Flags'!AG2</f>
        <v>25</v>
      </c>
      <c r="AH2" s="2714">
        <f>'Timing &amp; Flags'!AH2</f>
        <v>26</v>
      </c>
      <c r="AI2" s="2714">
        <f>'Timing &amp; Flags'!AI2</f>
        <v>27</v>
      </c>
      <c r="AJ2" s="2714">
        <f>'Timing &amp; Flags'!AJ2</f>
        <v>28</v>
      </c>
      <c r="AK2" s="2714">
        <f>'Timing &amp; Flags'!AK2</f>
        <v>29</v>
      </c>
      <c r="AL2" s="2714">
        <f>'Timing &amp; Flags'!AL2</f>
        <v>30</v>
      </c>
      <c r="AM2" s="2714"/>
      <c r="AN2" s="2714"/>
      <c r="AO2" s="2714"/>
      <c r="AP2" s="2714"/>
      <c r="AQ2" s="2714"/>
      <c r="AR2" s="2714"/>
      <c r="AS2" s="2714"/>
      <c r="AT2" s="2714"/>
      <c r="AU2" s="2714"/>
      <c r="AV2" s="2714"/>
      <c r="AW2" s="2714"/>
    </row>
    <row r="3" spans="1:50" s="135" customFormat="1" ht="11.25">
      <c r="A3" s="2711" t="s">
        <v>673</v>
      </c>
      <c r="B3" s="2704"/>
      <c r="C3" s="2704"/>
      <c r="D3" s="2704"/>
      <c r="E3" s="2704"/>
      <c r="F3" s="2704"/>
      <c r="G3" s="2704"/>
      <c r="H3" s="2704" t="s">
        <v>1</v>
      </c>
      <c r="I3" s="2719">
        <f>'Timing &amp; Flags'!I3</f>
        <v>46023</v>
      </c>
      <c r="J3" s="2719">
        <f>'Timing &amp; Flags'!J3</f>
        <v>46388</v>
      </c>
      <c r="K3" s="2719">
        <f>'Timing &amp; Flags'!K3</f>
        <v>46753</v>
      </c>
      <c r="L3" s="2719">
        <f>'Timing &amp; Flags'!L3</f>
        <v>47119</v>
      </c>
      <c r="M3" s="2719">
        <f>'Timing &amp; Flags'!M3</f>
        <v>47484</v>
      </c>
      <c r="N3" s="2719">
        <f>'Timing &amp; Flags'!N3</f>
        <v>47849</v>
      </c>
      <c r="O3" s="2719">
        <f>'Timing &amp; Flags'!O3</f>
        <v>48214</v>
      </c>
      <c r="P3" s="2719">
        <f>'Timing &amp; Flags'!P3</f>
        <v>48580</v>
      </c>
      <c r="Q3" s="2719">
        <f>'Timing &amp; Flags'!Q3</f>
        <v>48945</v>
      </c>
      <c r="R3" s="2719">
        <f>'Timing &amp; Flags'!R3</f>
        <v>49310</v>
      </c>
      <c r="S3" s="2719">
        <f>'Timing &amp; Flags'!S3</f>
        <v>49675</v>
      </c>
      <c r="T3" s="2719">
        <f>'Timing &amp; Flags'!T3</f>
        <v>50041</v>
      </c>
      <c r="U3" s="2719">
        <f>'Timing &amp; Flags'!U3</f>
        <v>50406</v>
      </c>
      <c r="V3" s="2719">
        <f>'Timing &amp; Flags'!V3</f>
        <v>50771</v>
      </c>
      <c r="W3" s="2719">
        <f>'Timing &amp; Flags'!W3</f>
        <v>51136</v>
      </c>
      <c r="X3" s="2719">
        <f>'Timing &amp; Flags'!X3</f>
        <v>51502</v>
      </c>
      <c r="Y3" s="2719">
        <f>'Timing &amp; Flags'!Y3</f>
        <v>51867</v>
      </c>
      <c r="Z3" s="2719">
        <f>'Timing &amp; Flags'!Z3</f>
        <v>52232</v>
      </c>
      <c r="AA3" s="2719">
        <f>'Timing &amp; Flags'!AA3</f>
        <v>52597</v>
      </c>
      <c r="AB3" s="2719">
        <f>'Timing &amp; Flags'!AB3</f>
        <v>52963</v>
      </c>
      <c r="AC3" s="2719">
        <f>'Timing &amp; Flags'!AC3</f>
        <v>53328</v>
      </c>
      <c r="AD3" s="2719">
        <f>'Timing &amp; Flags'!AD3</f>
        <v>53693</v>
      </c>
      <c r="AE3" s="2719">
        <f>'Timing &amp; Flags'!AE3</f>
        <v>54058</v>
      </c>
      <c r="AF3" s="2719">
        <f>'Timing &amp; Flags'!AF3</f>
        <v>54424</v>
      </c>
      <c r="AG3" s="2719">
        <f>'Timing &amp; Flags'!AG3</f>
        <v>54789</v>
      </c>
      <c r="AH3" s="2719">
        <f>'Timing &amp; Flags'!AH3</f>
        <v>55154</v>
      </c>
      <c r="AI3" s="2719">
        <f>'Timing &amp; Flags'!AI3</f>
        <v>55519</v>
      </c>
      <c r="AJ3" s="2719">
        <f>'Timing &amp; Flags'!AJ3</f>
        <v>55885</v>
      </c>
      <c r="AK3" s="2719">
        <f>'Timing &amp; Flags'!AK3</f>
        <v>56250</v>
      </c>
      <c r="AL3" s="2719">
        <f>'Timing &amp; Flags'!AL3</f>
        <v>56615</v>
      </c>
      <c r="AM3" s="2719"/>
      <c r="AN3" s="2719"/>
      <c r="AO3" s="2719"/>
      <c r="AP3" s="2719"/>
      <c r="AQ3" s="2719"/>
      <c r="AR3" s="2719"/>
      <c r="AS3" s="2719"/>
      <c r="AT3" s="2719"/>
      <c r="AU3" s="2719"/>
      <c r="AV3" s="2719"/>
      <c r="AW3" s="2719"/>
    </row>
    <row r="4" spans="1:50" s="135" customFormat="1" ht="11.25">
      <c r="A4" s="2704" t="s">
        <v>849</v>
      </c>
      <c r="B4" s="2704"/>
      <c r="C4" s="2704"/>
      <c r="D4" s="2704"/>
      <c r="E4" s="2704"/>
      <c r="F4" s="2704"/>
      <c r="G4" s="2704"/>
      <c r="H4" s="2704" t="s">
        <v>2</v>
      </c>
      <c r="I4" s="2722">
        <f>'Timing &amp; Flags'!I4</f>
        <v>46387</v>
      </c>
      <c r="J4" s="2722">
        <f>'Timing &amp; Flags'!J4</f>
        <v>46752</v>
      </c>
      <c r="K4" s="2722">
        <f>'Timing &amp; Flags'!K4</f>
        <v>47118</v>
      </c>
      <c r="L4" s="2722">
        <f>'Timing &amp; Flags'!L4</f>
        <v>47483</v>
      </c>
      <c r="M4" s="2722">
        <f>'Timing &amp; Flags'!M4</f>
        <v>47848</v>
      </c>
      <c r="N4" s="2722">
        <f>'Timing &amp; Flags'!N4</f>
        <v>48213</v>
      </c>
      <c r="O4" s="2722">
        <f>'Timing &amp; Flags'!O4</f>
        <v>48579</v>
      </c>
      <c r="P4" s="2722">
        <f>'Timing &amp; Flags'!P4</f>
        <v>48944</v>
      </c>
      <c r="Q4" s="2722">
        <f>'Timing &amp; Flags'!Q4</f>
        <v>49309</v>
      </c>
      <c r="R4" s="2722">
        <f>'Timing &amp; Flags'!R4</f>
        <v>49674</v>
      </c>
      <c r="S4" s="2722">
        <f>'Timing &amp; Flags'!S4</f>
        <v>50040</v>
      </c>
      <c r="T4" s="2722">
        <f>'Timing &amp; Flags'!T4</f>
        <v>50405</v>
      </c>
      <c r="U4" s="2722">
        <f>'Timing &amp; Flags'!U4</f>
        <v>50770</v>
      </c>
      <c r="V4" s="2722">
        <f>'Timing &amp; Flags'!V4</f>
        <v>51135</v>
      </c>
      <c r="W4" s="2722">
        <f>'Timing &amp; Flags'!W4</f>
        <v>51501</v>
      </c>
      <c r="X4" s="2722">
        <f>'Timing &amp; Flags'!X4</f>
        <v>51866</v>
      </c>
      <c r="Y4" s="2722">
        <f>'Timing &amp; Flags'!Y4</f>
        <v>52231</v>
      </c>
      <c r="Z4" s="2722">
        <f>'Timing &amp; Flags'!Z4</f>
        <v>52596</v>
      </c>
      <c r="AA4" s="2722">
        <f>'Timing &amp; Flags'!AA4</f>
        <v>52962</v>
      </c>
      <c r="AB4" s="2722">
        <f>'Timing &amp; Flags'!AB4</f>
        <v>53327</v>
      </c>
      <c r="AC4" s="2722">
        <f>'Timing &amp; Flags'!AC4</f>
        <v>53692</v>
      </c>
      <c r="AD4" s="2722">
        <f>'Timing &amp; Flags'!AD4</f>
        <v>54057</v>
      </c>
      <c r="AE4" s="2722">
        <f>'Timing &amp; Flags'!AE4</f>
        <v>54423</v>
      </c>
      <c r="AF4" s="2722">
        <f>'Timing &amp; Flags'!AF4</f>
        <v>54788</v>
      </c>
      <c r="AG4" s="2722">
        <f>'Timing &amp; Flags'!AG4</f>
        <v>55153</v>
      </c>
      <c r="AH4" s="2722">
        <f>'Timing &amp; Flags'!AH4</f>
        <v>55518</v>
      </c>
      <c r="AI4" s="2722">
        <f>'Timing &amp; Flags'!AI4</f>
        <v>55884</v>
      </c>
      <c r="AJ4" s="2722">
        <f>'Timing &amp; Flags'!AJ4</f>
        <v>56249</v>
      </c>
      <c r="AK4" s="2722">
        <f>'Timing &amp; Flags'!AK4</f>
        <v>56614</v>
      </c>
      <c r="AL4" s="2722">
        <f>'Timing &amp; Flags'!AL4</f>
        <v>56979</v>
      </c>
      <c r="AM4" s="2722"/>
      <c r="AN4" s="2722"/>
      <c r="AO4" s="2722"/>
      <c r="AP4" s="2722"/>
      <c r="AQ4" s="2722"/>
      <c r="AR4" s="2722"/>
      <c r="AS4" s="2722"/>
      <c r="AT4" s="2722"/>
      <c r="AU4" s="2722"/>
      <c r="AV4" s="2722"/>
      <c r="AW4" s="2722"/>
    </row>
    <row r="5" spans="1:50" s="135" customFormat="1" ht="11.25">
      <c r="A5" s="2704" t="s">
        <v>640</v>
      </c>
      <c r="B5" s="2704"/>
      <c r="C5" s="2704"/>
      <c r="D5" s="2704"/>
      <c r="E5" s="2704"/>
      <c r="F5" s="2704"/>
      <c r="G5" s="2704"/>
      <c r="H5" s="2704" t="s">
        <v>3</v>
      </c>
      <c r="I5" s="2723">
        <f ca="1">'Timing &amp; Flags'!I5</f>
        <v>365</v>
      </c>
      <c r="J5" s="2723">
        <f ca="1">'Timing &amp; Flags'!J5</f>
        <v>366</v>
      </c>
      <c r="K5" s="2723">
        <f ca="1">'Timing &amp; Flags'!K5</f>
        <v>365</v>
      </c>
      <c r="L5" s="2723">
        <f ca="1">'Timing &amp; Flags'!L5</f>
        <v>365</v>
      </c>
      <c r="M5" s="2723">
        <f ca="1">'Timing &amp; Flags'!M5</f>
        <v>365</v>
      </c>
      <c r="N5" s="2723">
        <f ca="1">'Timing &amp; Flags'!N5</f>
        <v>366</v>
      </c>
      <c r="O5" s="2723">
        <f ca="1">'Timing &amp; Flags'!O5</f>
        <v>365</v>
      </c>
      <c r="P5" s="2723">
        <f ca="1">'Timing &amp; Flags'!P5</f>
        <v>365</v>
      </c>
      <c r="Q5" s="2723">
        <f ca="1">'Timing &amp; Flags'!Q5</f>
        <v>365</v>
      </c>
      <c r="R5" s="2723">
        <f ca="1">'Timing &amp; Flags'!R5</f>
        <v>366</v>
      </c>
      <c r="S5" s="2723">
        <f ca="1">'Timing &amp; Flags'!S5</f>
        <v>365</v>
      </c>
      <c r="T5" s="2723">
        <f ca="1">'Timing &amp; Flags'!T5</f>
        <v>365</v>
      </c>
      <c r="U5" s="2723">
        <f ca="1">'Timing &amp; Flags'!U5</f>
        <v>365</v>
      </c>
      <c r="V5" s="2723">
        <f ca="1">'Timing &amp; Flags'!V5</f>
        <v>366</v>
      </c>
      <c r="W5" s="2723">
        <f ca="1">'Timing &amp; Flags'!W5</f>
        <v>365</v>
      </c>
      <c r="X5" s="2723">
        <f ca="1">'Timing &amp; Flags'!X5</f>
        <v>365</v>
      </c>
      <c r="Y5" s="2723">
        <f ca="1">'Timing &amp; Flags'!Y5</f>
        <v>365</v>
      </c>
      <c r="Z5" s="2723">
        <f ca="1">'Timing &amp; Flags'!Z5</f>
        <v>366</v>
      </c>
      <c r="AA5" s="2723">
        <f ca="1">'Timing &amp; Flags'!AA5</f>
        <v>365</v>
      </c>
      <c r="AB5" s="2723">
        <f ca="1">'Timing &amp; Flags'!AB5</f>
        <v>365</v>
      </c>
      <c r="AC5" s="2723">
        <f ca="1">'Timing &amp; Flags'!AC5</f>
        <v>365</v>
      </c>
      <c r="AD5" s="2723">
        <f ca="1">'Timing &amp; Flags'!AD5</f>
        <v>366</v>
      </c>
      <c r="AE5" s="2723">
        <f ca="1">'Timing &amp; Flags'!AE5</f>
        <v>365</v>
      </c>
      <c r="AF5" s="2723">
        <f ca="1">'Timing &amp; Flags'!AF5</f>
        <v>365</v>
      </c>
      <c r="AG5" s="2723">
        <f ca="1">'Timing &amp; Flags'!AG5</f>
        <v>365</v>
      </c>
      <c r="AH5" s="2723">
        <f ca="1">'Timing &amp; Flags'!AH5</f>
        <v>366</v>
      </c>
      <c r="AI5" s="2723">
        <f ca="1">'Timing &amp; Flags'!AI5</f>
        <v>365</v>
      </c>
      <c r="AJ5" s="2723">
        <f ca="1">'Timing &amp; Flags'!AJ5</f>
        <v>365</v>
      </c>
      <c r="AK5" s="2723">
        <f ca="1">'Timing &amp; Flags'!AK5</f>
        <v>365</v>
      </c>
      <c r="AL5" s="2723">
        <f ca="1">'Timing &amp; Flags'!AL5</f>
        <v>365</v>
      </c>
      <c r="AM5" s="2723"/>
      <c r="AN5" s="2723"/>
      <c r="AO5" s="2723"/>
      <c r="AP5" s="2723"/>
      <c r="AQ5" s="2723"/>
      <c r="AR5" s="2723"/>
      <c r="AS5" s="2723"/>
      <c r="AT5" s="2723"/>
      <c r="AU5" s="2723"/>
      <c r="AV5" s="2723"/>
      <c r="AW5" s="2723"/>
    </row>
    <row r="6" spans="1:50">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row>
    <row r="7" spans="1:50">
      <c r="A7" s="5"/>
      <c r="B7" s="2" t="s">
        <v>441</v>
      </c>
      <c r="C7" s="201" t="str">
        <f>IF('Input '!$F$9=1,"US$","=N=")</f>
        <v>US$</v>
      </c>
      <c r="D7" s="191">
        <f ca="1">SUM(I7:AW7)</f>
        <v>67303901887.30986</v>
      </c>
      <c r="E7" s="5"/>
      <c r="F7" s="5"/>
      <c r="G7" s="5"/>
      <c r="H7" s="5"/>
      <c r="I7" s="191">
        <f ca="1">-'Rev &amp; Receivables'!J178</f>
        <v>0</v>
      </c>
      <c r="J7" s="191">
        <f ca="1">-'Rev &amp; Receivables'!K178</f>
        <v>0</v>
      </c>
      <c r="K7" s="191">
        <f ca="1">-'Rev &amp; Receivables'!L178</f>
        <v>890000218.44370985</v>
      </c>
      <c r="L7" s="191">
        <f ca="1">-'Rev &amp; Receivables'!M178</f>
        <v>1485211623.7040534</v>
      </c>
      <c r="M7" s="191">
        <f ca="1">-'Rev &amp; Receivables'!N178</f>
        <v>1704941249.9265699</v>
      </c>
      <c r="N7" s="191">
        <f ca="1">-'Rev &amp; Receivables'!O178</f>
        <v>1824469254.9989414</v>
      </c>
      <c r="O7" s="191">
        <f ca="1">-'Rev &amp; Receivables'!P178</f>
        <v>1932334098.6108809</v>
      </c>
      <c r="P7" s="191">
        <f ca="1">-'Rev &amp; Receivables'!Q178</f>
        <v>2029052734.09184</v>
      </c>
      <c r="Q7" s="191">
        <f ca="1">-'Rev &amp; Receivables'!R178</f>
        <v>2127881413.3748755</v>
      </c>
      <c r="R7" s="191">
        <f ca="1">-'Rev &amp; Receivables'!S178</f>
        <v>2232890057.6206183</v>
      </c>
      <c r="S7" s="191">
        <f ca="1">-'Rev &amp; Receivables'!T178</f>
        <v>2341375640.5051837</v>
      </c>
      <c r="T7" s="191">
        <f ca="1">-'Rev &amp; Receivables'!U178</f>
        <v>2458217666.7113299</v>
      </c>
      <c r="U7" s="191">
        <f ca="1">-'Rev &amp; Receivables'!V178</f>
        <v>2580754334.0439091</v>
      </c>
      <c r="V7" s="191">
        <f ca="1">-'Rev &amp; Receivables'!W178</f>
        <v>2711046030.593502</v>
      </c>
      <c r="W7" s="191">
        <f ca="1">-'Rev &amp; Receivables'!X178</f>
        <v>2845829325.7378988</v>
      </c>
      <c r="X7" s="191">
        <f ca="1">-'Rev &amp; Receivables'!Y178</f>
        <v>2228524181.7021866</v>
      </c>
      <c r="Y7" s="191">
        <f ca="1">-'Rev &amp; Receivables'!Z178</f>
        <v>2195466234.8899789</v>
      </c>
      <c r="Z7" s="191">
        <f ca="1">-'Rev &amp; Receivables'!AA178</f>
        <v>2262094699.7168884</v>
      </c>
      <c r="AA7" s="191">
        <f ca="1">-'Rev &amp; Receivables'!AB178</f>
        <v>2328405650.814569</v>
      </c>
      <c r="AB7" s="191">
        <f ca="1">-'Rev &amp; Receivables'!AC178</f>
        <v>2399045232.4526224</v>
      </c>
      <c r="AC7" s="191">
        <f ca="1">-'Rev &amp; Receivables'!AD178</f>
        <v>2471016589.4262013</v>
      </c>
      <c r="AD7" s="191">
        <f ca="1">-'Rev &amp; Receivables'!AE178</f>
        <v>2546007513.5856624</v>
      </c>
      <c r="AE7" s="191">
        <f ca="1">-'Rev &amp; Receivables'!AF178</f>
        <v>2620641073.2455821</v>
      </c>
      <c r="AF7" s="191">
        <f ca="1">-'Rev &amp; Receivables'!AG178</f>
        <v>2700146544.7139249</v>
      </c>
      <c r="AG7" s="191">
        <f ca="1">-'Rev &amp; Receivables'!AH178</f>
        <v>2781150941.0553427</v>
      </c>
      <c r="AH7" s="191">
        <f ca="1">-'Rev &amp; Receivables'!AI178</f>
        <v>2865553886.8668585</v>
      </c>
      <c r="AI7" s="191">
        <f ca="1">-'Rev &amp; Receivables'!AJ178</f>
        <v>2949554615.7857585</v>
      </c>
      <c r="AJ7" s="191">
        <f ca="1">-'Rev &amp; Receivables'!AK178</f>
        <v>3039038724.3665814</v>
      </c>
      <c r="AK7" s="191">
        <f ca="1">-'Rev &amp; Receivables'!AL178</f>
        <v>3130209886.097579</v>
      </c>
      <c r="AL7" s="191">
        <f ca="1">-'Rev &amp; Receivables'!AM178</f>
        <v>3623042464.2268</v>
      </c>
      <c r="AM7" s="191"/>
      <c r="AN7" s="191"/>
      <c r="AO7" s="191"/>
      <c r="AP7" s="191"/>
      <c r="AQ7" s="191"/>
      <c r="AR7" s="191"/>
      <c r="AS7" s="191"/>
      <c r="AT7" s="191"/>
      <c r="AU7" s="191"/>
      <c r="AV7" s="191"/>
      <c r="AW7" s="191"/>
    </row>
    <row r="8" spans="1:50">
      <c r="A8" s="5"/>
      <c r="B8" s="2" t="s">
        <v>1485</v>
      </c>
      <c r="C8" s="201" t="str">
        <f>IF('Input '!$F$9=1,"US$","=N=")</f>
        <v>US$</v>
      </c>
      <c r="D8" s="1531">
        <f ca="1">SUM(I8:AW8)</f>
        <v>-12245491202.227028</v>
      </c>
      <c r="E8" s="5"/>
      <c r="F8" s="5"/>
      <c r="G8" s="5"/>
      <c r="H8" s="5"/>
      <c r="I8" s="191">
        <f ca="1">'Rev &amp; Receivables'!J262</f>
        <v>0</v>
      </c>
      <c r="J8" s="191">
        <f ca="1">'Rev &amp; Receivables'!K262</f>
        <v>-132913371.73613448</v>
      </c>
      <c r="K8" s="1531">
        <f ca="1">'Rev &amp; Receivables'!L262</f>
        <v>-230024526.2535325</v>
      </c>
      <c r="L8" s="1531">
        <f ca="1">'Rev &amp; Receivables'!M262</f>
        <v>-286035887.64826715</v>
      </c>
      <c r="M8" s="1531">
        <f ca="1">'Rev &amp; Receivables'!N262</f>
        <v>-308836350.81766248</v>
      </c>
      <c r="N8" s="1531">
        <f ca="1">'Rev &amp; Receivables'!O262</f>
        <v>-319016594.49428165</v>
      </c>
      <c r="O8" s="1531">
        <f ca="1">'Rev &amp; Receivables'!P262</f>
        <v>-328338037.05235612</v>
      </c>
      <c r="P8" s="1531">
        <f ca="1">'Rev &amp; Receivables'!Q262</f>
        <v>-338158814.73946053</v>
      </c>
      <c r="Q8" s="1531">
        <f ca="1">'Rev &amp; Receivables'!R262</f>
        <v>-348200267.19251925</v>
      </c>
      <c r="R8" s="1531">
        <f ca="1">'Rev &amp; Receivables'!S262</f>
        <v>-358623671.74999273</v>
      </c>
      <c r="S8" s="1531">
        <f ca="1">'Rev &amp; Receivables'!T262</f>
        <v>-369115231.59579641</v>
      </c>
      <c r="T8" s="1531">
        <f ca="1">'Rev &amp; Receivables'!U262</f>
        <v>-380168506.34129286</v>
      </c>
      <c r="U8" s="1531">
        <f ca="1">'Rev &amp; Receivables'!V262</f>
        <v>-391470249.5424065</v>
      </c>
      <c r="V8" s="1531">
        <f ca="1">'Rev &amp; Receivables'!W262</f>
        <v>-403201786.13964617</v>
      </c>
      <c r="W8" s="1531">
        <f ca="1">'Rev &amp; Receivables'!X262</f>
        <v>-415010323.30152255</v>
      </c>
      <c r="X8" s="1531">
        <f ca="1">'Rev &amp; Receivables'!Y262</f>
        <v>-427450784.34453833</v>
      </c>
      <c r="Y8" s="1531">
        <f ca="1">'Rev &amp; Receivables'!Z262</f>
        <v>-440170995.8857494</v>
      </c>
      <c r="Z8" s="1531">
        <f ca="1">'Rev &amp; Receivables'!AA262</f>
        <v>-450214198.84952497</v>
      </c>
      <c r="AA8" s="1531">
        <f ca="1">'Rev &amp; Receivables'!AB262</f>
        <v>-459965955.43224275</v>
      </c>
      <c r="AB8" s="1531">
        <f ca="1">'Rev &amp; Receivables'!AC262</f>
        <v>-470319855.0355379</v>
      </c>
      <c r="AC8" s="1531">
        <f ca="1">'Rev &amp; Receivables'!AD262</f>
        <v>-480880074.14354682</v>
      </c>
      <c r="AD8" s="1531">
        <f ca="1">'Rev &amp; Receivables'!AE262</f>
        <v>-491867733.83495885</v>
      </c>
      <c r="AE8" s="1531">
        <f ca="1">'Rev &amp; Receivables'!AF262</f>
        <v>-502849802.26632011</v>
      </c>
      <c r="AF8" s="1531">
        <f ca="1">'Rev &amp; Receivables'!AG262</f>
        <v>-514499872.82172024</v>
      </c>
      <c r="AG8" s="1531">
        <f ca="1">'Rev &amp; Receivables'!AH262</f>
        <v>-526385492.46331471</v>
      </c>
      <c r="AH8" s="1531">
        <f ca="1">'Rev &amp; Receivables'!AI262</f>
        <v>-538748865.58131659</v>
      </c>
      <c r="AI8" s="1531">
        <f ca="1">'Rev &amp; Receivables'!AJ262</f>
        <v>-551115949.68476498</v>
      </c>
      <c r="AJ8" s="1531">
        <f ca="1">'Rev &amp; Receivables'!AK262</f>
        <v>-564224872.06602502</v>
      </c>
      <c r="AK8" s="1531">
        <f ca="1">'Rev &amp; Receivables'!AL262</f>
        <v>-577602241.68494868</v>
      </c>
      <c r="AL8" s="1531">
        <f ca="1">'Rev &amp; Receivables'!AM262</f>
        <v>-640080889.52764833</v>
      </c>
      <c r="AM8" s="1531"/>
      <c r="AN8" s="1531"/>
      <c r="AO8" s="1531"/>
      <c r="AP8" s="1531"/>
      <c r="AQ8" s="1531"/>
      <c r="AR8" s="1531"/>
      <c r="AS8" s="1531"/>
      <c r="AT8" s="1531"/>
      <c r="AU8" s="1531"/>
      <c r="AV8" s="1531"/>
      <c r="AW8" s="1531"/>
      <c r="AX8" s="1531"/>
    </row>
    <row r="9" spans="1:50">
      <c r="A9" s="5"/>
      <c r="B9" s="2" t="s">
        <v>446</v>
      </c>
      <c r="C9" s="201" t="str">
        <f>$C$7</f>
        <v>US$</v>
      </c>
      <c r="D9" s="1531">
        <f ca="1">SUM(I9:AW9)</f>
        <v>-4020113123.1518836</v>
      </c>
      <c r="E9" s="5"/>
      <c r="F9" s="5"/>
      <c r="G9" s="5"/>
      <c r="H9" s="5"/>
      <c r="I9" s="191">
        <f ca="1">'O&amp;M Costs'!I234</f>
        <v>0</v>
      </c>
      <c r="J9" s="191">
        <f ca="1">'O&amp;M Costs'!J234</f>
        <v>0</v>
      </c>
      <c r="K9" s="1531">
        <f ca="1">'O&amp;M Costs'!K234</f>
        <v>-26996531.431974694</v>
      </c>
      <c r="L9" s="1531">
        <f ca="1">'O&amp;M Costs'!L234</f>
        <v>-100350110.93297359</v>
      </c>
      <c r="M9" s="1531">
        <f ca="1">'O&amp;M Costs'!M234</f>
        <v>-108966082.34185769</v>
      </c>
      <c r="N9" s="1531">
        <f ca="1">'O&amp;M Costs'!N234</f>
        <v>-111327922.77816515</v>
      </c>
      <c r="O9" s="1531">
        <f ca="1">'O&amp;M Costs'!O234</f>
        <v>-114510053.46318255</v>
      </c>
      <c r="P9" s="1531">
        <f ca="1">'O&amp;M Costs'!P234</f>
        <v>-117051876.40909666</v>
      </c>
      <c r="Q9" s="1531">
        <f ca="1">'O&amp;M Costs'!Q234</f>
        <v>-119846306.34322631</v>
      </c>
      <c r="R9" s="1531">
        <f ca="1">'O&amp;M Costs'!R234</f>
        <v>-122453716.61703336</v>
      </c>
      <c r="S9" s="1531">
        <f ca="1">'O&amp;M Costs'!S234</f>
        <v>-125954144.96185577</v>
      </c>
      <c r="T9" s="1531">
        <f ca="1">'O&amp;M Costs'!T234</f>
        <v>-128750285.51542838</v>
      </c>
      <c r="U9" s="1531">
        <f ca="1">'O&amp;M Costs'!U234</f>
        <v>-131824293.94064523</v>
      </c>
      <c r="V9" s="1531">
        <f ca="1">'O&amp;M Costs'!V234</f>
        <v>-134692606.11015248</v>
      </c>
      <c r="W9" s="1531">
        <f ca="1">'O&amp;M Costs'!W234</f>
        <v>-138543212.24809641</v>
      </c>
      <c r="X9" s="1531">
        <f ca="1">'O&amp;M Costs'!X234</f>
        <v>-141619150.87798405</v>
      </c>
      <c r="Y9" s="1531">
        <f ca="1">'O&amp;M Costs'!Y234</f>
        <v>-145000747.53255486</v>
      </c>
      <c r="Z9" s="1531">
        <f ca="1">'O&amp;M Costs'!Z234</f>
        <v>-148156104.51247436</v>
      </c>
      <c r="AA9" s="1531">
        <f ca="1">'O&amp;M Costs'!AA234</f>
        <v>-152391966.87118122</v>
      </c>
      <c r="AB9" s="1531">
        <f ca="1">'O&amp;M Costs'!AB234</f>
        <v>-155775741.36638513</v>
      </c>
      <c r="AC9" s="1531">
        <f ca="1">'O&amp;M Costs'!AC234</f>
        <v>-159495746.94971511</v>
      </c>
      <c r="AD9" s="1531">
        <f ca="1">'O&amp;M Costs'!AD234</f>
        <v>-162966915.80463266</v>
      </c>
      <c r="AE9" s="1531">
        <f ca="1">'O&amp;M Costs'!AE234</f>
        <v>-167626632.62034813</v>
      </c>
      <c r="AF9" s="1531">
        <f ca="1">'O&amp;M Costs'!AF234</f>
        <v>-171349095.30103332</v>
      </c>
      <c r="AG9" s="1531">
        <f ca="1">'O&amp;M Costs'!AG234</f>
        <v>-175441424.16949496</v>
      </c>
      <c r="AH9" s="1531">
        <f ca="1">'O&amp;M Costs'!AH234</f>
        <v>-179260060.08910483</v>
      </c>
      <c r="AI9" s="1531">
        <f ca="1">'O&amp;M Costs'!AI234</f>
        <v>-184386103.32316583</v>
      </c>
      <c r="AJ9" s="1531">
        <f ca="1">'O&amp;M Costs'!AJ234</f>
        <v>-188481204.18954694</v>
      </c>
      <c r="AK9" s="1531">
        <f ca="1">'O&amp;M Costs'!AK234</f>
        <v>-192983175.55717823</v>
      </c>
      <c r="AL9" s="1531">
        <f ca="1">'O&amp;M Costs'!AL234</f>
        <v>-213911910.89339578</v>
      </c>
      <c r="AM9" s="1531"/>
      <c r="AN9" s="1531"/>
      <c r="AO9" s="1531"/>
      <c r="AP9" s="1531"/>
      <c r="AQ9" s="1531"/>
      <c r="AR9" s="1531"/>
      <c r="AS9" s="1531"/>
      <c r="AT9" s="1531"/>
      <c r="AU9" s="1531"/>
      <c r="AV9" s="1531"/>
      <c r="AW9" s="1531"/>
      <c r="AX9" s="1531"/>
    </row>
    <row r="10" spans="1:50">
      <c r="A10" s="5"/>
      <c r="B10" s="2" t="s">
        <v>338</v>
      </c>
      <c r="C10" s="201" t="str">
        <f>$C$7</f>
        <v>US$</v>
      </c>
      <c r="D10" s="1531">
        <f ca="1">SUM(I10:AW10)</f>
        <v>0</v>
      </c>
      <c r="E10" s="5"/>
      <c r="F10" s="200"/>
      <c r="G10" s="5"/>
      <c r="H10" s="5"/>
      <c r="I10" s="191">
        <f ca="1">'O&amp;M Costs'!I279</f>
        <v>0</v>
      </c>
      <c r="J10" s="191">
        <f ca="1">'O&amp;M Costs'!J279</f>
        <v>0</v>
      </c>
      <c r="K10" s="191">
        <f ca="1">'O&amp;M Costs'!K279</f>
        <v>0</v>
      </c>
      <c r="L10" s="191">
        <f ca="1">'O&amp;M Costs'!L279</f>
        <v>0</v>
      </c>
      <c r="M10" s="191">
        <f ca="1">'O&amp;M Costs'!M279</f>
        <v>0</v>
      </c>
      <c r="N10" s="191">
        <f ca="1">'O&amp;M Costs'!N279</f>
        <v>0</v>
      </c>
      <c r="O10" s="191">
        <f ca="1">'O&amp;M Costs'!O279</f>
        <v>0</v>
      </c>
      <c r="P10" s="191">
        <f ca="1">'O&amp;M Costs'!P279</f>
        <v>0</v>
      </c>
      <c r="Q10" s="191">
        <f ca="1">'O&amp;M Costs'!Q279</f>
        <v>0</v>
      </c>
      <c r="R10" s="191">
        <f ca="1">'O&amp;M Costs'!R279</f>
        <v>0</v>
      </c>
      <c r="S10" s="191">
        <f ca="1">'O&amp;M Costs'!S279</f>
        <v>0</v>
      </c>
      <c r="T10" s="191">
        <f ca="1">'O&amp;M Costs'!T279</f>
        <v>0</v>
      </c>
      <c r="U10" s="191">
        <f ca="1">'O&amp;M Costs'!U279</f>
        <v>0</v>
      </c>
      <c r="V10" s="191">
        <f ca="1">'O&amp;M Costs'!V279</f>
        <v>0</v>
      </c>
      <c r="W10" s="191">
        <f ca="1">'O&amp;M Costs'!W279</f>
        <v>0</v>
      </c>
      <c r="X10" s="191">
        <f ca="1">'O&amp;M Costs'!X279</f>
        <v>0</v>
      </c>
      <c r="Y10" s="191">
        <f ca="1">'O&amp;M Costs'!Y279</f>
        <v>0</v>
      </c>
      <c r="Z10" s="191">
        <f ca="1">'O&amp;M Costs'!Z279</f>
        <v>0</v>
      </c>
      <c r="AA10" s="191">
        <f ca="1">'O&amp;M Costs'!AA279</f>
        <v>0</v>
      </c>
      <c r="AB10" s="191">
        <f ca="1">'O&amp;M Costs'!AB279</f>
        <v>0</v>
      </c>
      <c r="AC10" s="191">
        <f ca="1">'O&amp;M Costs'!AC279</f>
        <v>0</v>
      </c>
      <c r="AD10" s="191">
        <f ca="1">'O&amp;M Costs'!AD279</f>
        <v>0</v>
      </c>
      <c r="AE10" s="191">
        <f ca="1">'O&amp;M Costs'!AE279</f>
        <v>0</v>
      </c>
      <c r="AF10" s="191">
        <f ca="1">'O&amp;M Costs'!AF279</f>
        <v>0</v>
      </c>
      <c r="AG10" s="191">
        <f ca="1">'O&amp;M Costs'!AG279</f>
        <v>0</v>
      </c>
      <c r="AH10" s="191">
        <f ca="1">'O&amp;M Costs'!AH279</f>
        <v>0</v>
      </c>
      <c r="AI10" s="191">
        <f ca="1">'O&amp;M Costs'!AI279</f>
        <v>0</v>
      </c>
      <c r="AJ10" s="191">
        <f ca="1">'O&amp;M Costs'!AJ279</f>
        <v>0</v>
      </c>
      <c r="AK10" s="191">
        <f ca="1">'O&amp;M Costs'!AK279</f>
        <v>0</v>
      </c>
      <c r="AL10" s="191">
        <f ca="1">'O&amp;M Costs'!AL279</f>
        <v>0</v>
      </c>
      <c r="AM10" s="191"/>
      <c r="AN10" s="191"/>
      <c r="AO10" s="191"/>
      <c r="AP10" s="191"/>
      <c r="AQ10" s="191"/>
      <c r="AR10" s="191"/>
      <c r="AS10" s="191"/>
      <c r="AT10" s="191"/>
      <c r="AU10" s="191"/>
      <c r="AV10" s="191"/>
    </row>
    <row r="11" spans="1:50">
      <c r="A11" s="5"/>
      <c r="B11" s="27" t="s">
        <v>482</v>
      </c>
      <c r="C11" s="207" t="str">
        <f>$C$7</f>
        <v>US$</v>
      </c>
      <c r="D11" s="192">
        <f ca="1">SUM(I11:AW11)</f>
        <v>-15472667845.4466</v>
      </c>
      <c r="E11" s="133"/>
      <c r="F11" s="133"/>
      <c r="G11" s="133"/>
      <c r="H11" s="133"/>
      <c r="I11" s="192">
        <f ca="1">Taxation!I90</f>
        <v>0</v>
      </c>
      <c r="J11" s="192">
        <f ca="1">Taxation!J90</f>
        <v>0</v>
      </c>
      <c r="K11" s="192">
        <f ca="1">Taxation!K90</f>
        <v>0</v>
      </c>
      <c r="L11" s="192">
        <f ca="1">Taxation!L90</f>
        <v>0</v>
      </c>
      <c r="M11" s="192">
        <f ca="1">Taxation!M90</f>
        <v>0</v>
      </c>
      <c r="N11" s="1532">
        <f ca="1">Taxation!N90</f>
        <v>-158981768.50809935</v>
      </c>
      <c r="O11" s="1532">
        <f ca="1">Taxation!O90</f>
        <v>-177947309.37817538</v>
      </c>
      <c r="P11" s="1532">
        <f ca="1">Taxation!P90</f>
        <v>-195418836.97681487</v>
      </c>
      <c r="Q11" s="1532">
        <f ca="1">Taxation!Q90</f>
        <v>-213550909.14333284</v>
      </c>
      <c r="R11" s="1532">
        <f ca="1">Taxation!R90</f>
        <v>-495751475.83675665</v>
      </c>
      <c r="S11" s="1532">
        <f ca="1">Taxation!S90</f>
        <v>-638422060.04184175</v>
      </c>
      <c r="T11" s="1532">
        <f ca="1">Taxation!T90</f>
        <v>-676946619.97965622</v>
      </c>
      <c r="U11" s="1532">
        <f ca="1">Taxation!U90</f>
        <v>-717270687.84050417</v>
      </c>
      <c r="V11" s="1532">
        <f ca="1">Taxation!V90</f>
        <v>-759613457.96880531</v>
      </c>
      <c r="W11" s="1532">
        <f ca="1">Taxation!W90</f>
        <v>-804113770.96939933</v>
      </c>
      <c r="X11" s="1532">
        <f ca="1">Taxation!X90</f>
        <v>-563937354.18743896</v>
      </c>
      <c r="Y11" s="1532">
        <f ca="1">Taxation!Y90</f>
        <v>-580818978.17583549</v>
      </c>
      <c r="Z11" s="1532">
        <f ca="1">Taxation!Z90</f>
        <v>-598760681.25778317</v>
      </c>
      <c r="AA11" s="1532">
        <f ca="1">Taxation!AA90</f>
        <v>-617408659.35194421</v>
      </c>
      <c r="AB11" s="1532">
        <f ca="1">Taxation!AB90</f>
        <v>-636706010.30397677</v>
      </c>
      <c r="AC11" s="1532">
        <f ca="1">Taxation!AC90</f>
        <v>-656834654.06342196</v>
      </c>
      <c r="AD11" s="1532">
        <f ca="1">Taxation!AD90</f>
        <v>-677768107.59400094</v>
      </c>
      <c r="AE11" s="1532">
        <f ca="1">Taxation!AE90</f>
        <v>-699502670.2787075</v>
      </c>
      <c r="AF11" s="1532">
        <f ca="1">Taxation!AF90</f>
        <v>-721986784.96055043</v>
      </c>
      <c r="AG11" s="1532">
        <f ca="1">Taxation!AG90</f>
        <v>-745291635.48199677</v>
      </c>
      <c r="AH11" s="1532">
        <f ca="1">Taxation!AH90</f>
        <v>-769399458.44865692</v>
      </c>
      <c r="AI11" s="1532">
        <f ca="1">Taxation!AI90</f>
        <v>-794338330.94791365</v>
      </c>
      <c r="AJ11" s="1532">
        <f ca="1">Taxation!AJ90</f>
        <v>-820033337.69299805</v>
      </c>
      <c r="AK11" s="1532">
        <f ca="1">Taxation!AK90</f>
        <v>-856865027.99649727</v>
      </c>
      <c r="AL11" s="1532">
        <f ca="1">Taxation!AL90</f>
        <v>-894999258.06149077</v>
      </c>
      <c r="AM11" s="1532"/>
      <c r="AN11" s="1532"/>
      <c r="AO11" s="1532"/>
      <c r="AP11" s="1532"/>
      <c r="AQ11" s="1532"/>
      <c r="AR11" s="1532"/>
      <c r="AS11" s="1532"/>
      <c r="AT11" s="1532"/>
      <c r="AU11" s="1532"/>
      <c r="AV11" s="1532"/>
      <c r="AW11" s="1532"/>
    </row>
    <row r="12" spans="1:50">
      <c r="A12" s="5"/>
      <c r="B12" s="10" t="s">
        <v>483</v>
      </c>
      <c r="C12" s="208" t="str">
        <f>$C$7</f>
        <v>US$</v>
      </c>
      <c r="D12" s="197">
        <f ca="1">SUM(D7:D11)</f>
        <v>35565629716.484344</v>
      </c>
      <c r="E12" s="26"/>
      <c r="F12" s="26"/>
      <c r="G12" s="26"/>
      <c r="H12" s="26"/>
      <c r="I12" s="197">
        <f ca="1">SUM(I7:I11)</f>
        <v>0</v>
      </c>
      <c r="J12" s="197">
        <f ca="1">SUM(J7:J11)</f>
        <v>-132913371.73613448</v>
      </c>
      <c r="K12" s="197">
        <f ca="1">SUM(K7:K11)</f>
        <v>632979160.75820267</v>
      </c>
      <c r="L12" s="197">
        <f ca="1">SUM(L7:L11)</f>
        <v>1098825625.1228125</v>
      </c>
      <c r="M12" s="197">
        <f t="shared" ref="M12:AL12" ca="1" si="0">SUM(M7:M11)</f>
        <v>1287138816.7670498</v>
      </c>
      <c r="N12" s="197">
        <f t="shared" ca="1" si="0"/>
        <v>1235142969.2183952</v>
      </c>
      <c r="O12" s="197">
        <f t="shared" ca="1" si="0"/>
        <v>1311538698.7171669</v>
      </c>
      <c r="P12" s="197">
        <f t="shared" ca="1" si="0"/>
        <v>1378423205.9664679</v>
      </c>
      <c r="Q12" s="197">
        <f t="shared" ca="1" si="0"/>
        <v>1446283930.695797</v>
      </c>
      <c r="R12" s="197">
        <f t="shared" ca="1" si="0"/>
        <v>1256061193.4168353</v>
      </c>
      <c r="S12" s="197">
        <f t="shared" ca="1" si="0"/>
        <v>1207884203.90569</v>
      </c>
      <c r="T12" s="197">
        <f t="shared" ca="1" si="0"/>
        <v>1272352254.8749526</v>
      </c>
      <c r="U12" s="197">
        <f t="shared" ca="1" si="0"/>
        <v>1340189102.7203531</v>
      </c>
      <c r="V12" s="197">
        <f t="shared" ca="1" si="0"/>
        <v>1413538180.374898</v>
      </c>
      <c r="W12" s="197">
        <f t="shared" ca="1" si="0"/>
        <v>1488162019.2188802</v>
      </c>
      <c r="X12" s="197">
        <f t="shared" ca="1" si="0"/>
        <v>1095516892.2922254</v>
      </c>
      <c r="Y12" s="197">
        <f t="shared" ca="1" si="0"/>
        <v>1029475513.2958392</v>
      </c>
      <c r="Z12" s="197">
        <f t="shared" ca="1" si="0"/>
        <v>1064963715.097106</v>
      </c>
      <c r="AA12" s="197">
        <f t="shared" ca="1" si="0"/>
        <v>1098639069.1592007</v>
      </c>
      <c r="AB12" s="197">
        <f t="shared" ca="1" si="0"/>
        <v>1136243625.7467225</v>
      </c>
      <c r="AC12" s="197">
        <f t="shared" ca="1" si="0"/>
        <v>1173806114.2695174</v>
      </c>
      <c r="AD12" s="197">
        <f t="shared" ca="1" si="0"/>
        <v>1213404756.3520699</v>
      </c>
      <c r="AE12" s="197">
        <f t="shared" ca="1" si="0"/>
        <v>1250661968.0802062</v>
      </c>
      <c r="AF12" s="197">
        <f t="shared" ca="1" si="0"/>
        <v>1292310791.630621</v>
      </c>
      <c r="AG12" s="197">
        <f t="shared" ca="1" si="0"/>
        <v>1334032388.9405365</v>
      </c>
      <c r="AH12" s="197">
        <f t="shared" ca="1" si="0"/>
        <v>1378145502.7477803</v>
      </c>
      <c r="AI12" s="197">
        <f t="shared" ca="1" si="0"/>
        <v>1419714231.8299141</v>
      </c>
      <c r="AJ12" s="197">
        <f t="shared" ca="1" si="0"/>
        <v>1466299310.4180112</v>
      </c>
      <c r="AK12" s="197">
        <f t="shared" ca="1" si="0"/>
        <v>1502759440.8589549</v>
      </c>
      <c r="AL12" s="197">
        <f t="shared" ca="1" si="0"/>
        <v>1874050405.7442648</v>
      </c>
      <c r="AM12" s="197"/>
      <c r="AN12" s="197"/>
      <c r="AO12" s="197"/>
      <c r="AP12" s="197"/>
      <c r="AQ12" s="197"/>
      <c r="AR12" s="197"/>
      <c r="AS12" s="197"/>
      <c r="AT12" s="197"/>
      <c r="AU12" s="197"/>
      <c r="AV12" s="197"/>
      <c r="AW12" s="197"/>
    </row>
    <row r="13" spans="1:50">
      <c r="A13" s="5"/>
      <c r="C13" s="201"/>
      <c r="D13" s="191"/>
      <c r="E13" s="5"/>
      <c r="F13" s="5"/>
      <c r="G13" s="5"/>
      <c r="H13" s="5"/>
      <c r="I13" s="191"/>
      <c r="J13" s="191"/>
      <c r="K13" s="191"/>
      <c r="L13" s="191"/>
      <c r="M13" s="191"/>
      <c r="N13" s="191"/>
      <c r="O13" s="191"/>
      <c r="P13" s="191"/>
      <c r="Q13" s="191"/>
      <c r="R13" s="191"/>
      <c r="S13" s="191"/>
      <c r="T13" s="191"/>
      <c r="U13" s="191"/>
      <c r="V13" s="191"/>
      <c r="W13" s="191"/>
      <c r="X13" s="191"/>
      <c r="Y13" s="191"/>
      <c r="Z13" s="191"/>
      <c r="AA13" s="191"/>
      <c r="AB13" s="191"/>
      <c r="AC13" s="191"/>
      <c r="AD13" s="191"/>
      <c r="AE13" s="191"/>
      <c r="AF13" s="191"/>
      <c r="AG13" s="191"/>
      <c r="AH13" s="191"/>
      <c r="AI13" s="191"/>
      <c r="AJ13" s="5"/>
      <c r="AK13" s="5"/>
      <c r="AL13" s="5"/>
      <c r="AM13" s="5"/>
      <c r="AN13" s="5"/>
    </row>
    <row r="14" spans="1:50">
      <c r="A14" s="5"/>
      <c r="B14" s="2" t="s">
        <v>484</v>
      </c>
      <c r="C14" s="201" t="str">
        <f t="shared" ref="C14:C19" si="1">$C$7</f>
        <v>US$</v>
      </c>
      <c r="D14" s="1531">
        <f ca="1">SUM(I14:AW14)</f>
        <v>3351872823.1400719</v>
      </c>
      <c r="E14" s="5"/>
      <c r="F14" s="202"/>
      <c r="G14" s="5"/>
      <c r="H14" s="1531"/>
      <c r="I14" s="191">
        <f>'Rev &amp; Receivables'!J188</f>
        <v>0</v>
      </c>
      <c r="J14" s="191">
        <f ca="1">'Rev &amp; Receivables'!K188</f>
        <v>0</v>
      </c>
      <c r="K14" s="191">
        <f ca="1">'Rev &amp; Receivables'!L188</f>
        <v>0</v>
      </c>
      <c r="L14" s="191">
        <f ca="1">'Rev &amp; Receivables'!M188</f>
        <v>14558520.697438626</v>
      </c>
      <c r="M14" s="191">
        <f ca="1">'Rev &amp; Receivables'!N188</f>
        <v>20204961.009751782</v>
      </c>
      <c r="N14" s="191">
        <f ca="1">'Rev &amp; Receivables'!O188</f>
        <v>29549938.736195337</v>
      </c>
      <c r="O14" s="191">
        <f ca="1">'Rev &amp; Receivables'!P188</f>
        <v>37776441.42145364</v>
      </c>
      <c r="P14" s="191">
        <f ca="1">'Rev &amp; Receivables'!Q188</f>
        <v>46936716.80945757</v>
      </c>
      <c r="Q14" s="191">
        <f ca="1">'Rev &amp; Receivables'!R188</f>
        <v>57163759.714412756</v>
      </c>
      <c r="R14" s="191">
        <f ca="1">'Rev &amp; Receivables'!S188</f>
        <v>68031525.691744074</v>
      </c>
      <c r="S14" s="191">
        <f ca="1">'Rev &amp; Receivables'!T188</f>
        <v>75185947.269447565</v>
      </c>
      <c r="T14" s="191">
        <f ca="1">'Rev &amp; Receivables'!U188</f>
        <v>88774522.899694592</v>
      </c>
      <c r="U14" s="191">
        <f ca="1">'Rev &amp; Receivables'!V188</f>
        <v>102068372.97023477</v>
      </c>
      <c r="V14" s="191">
        <f ca="1">'Rev &amp; Receivables'!W188</f>
        <v>114640168.02233456</v>
      </c>
      <c r="W14" s="191">
        <f ca="1">'Rev &amp; Receivables'!X188</f>
        <v>127998239.10688062</v>
      </c>
      <c r="X14" s="191">
        <f ca="1">'Rev &amp; Receivables'!Y188</f>
        <v>140029438.29102582</v>
      </c>
      <c r="Y14" s="191">
        <f ca="1">'Rev &amp; Receivables'!Z188</f>
        <v>143179953.31027451</v>
      </c>
      <c r="Z14" s="191">
        <f ca="1">'Rev &amp; Receivables'!AA188</f>
        <v>144233215.19220558</v>
      </c>
      <c r="AA14" s="191">
        <f ca="1">'Rev &amp; Receivables'!AB188</f>
        <v>147046356.56353334</v>
      </c>
      <c r="AB14" s="191">
        <f ca="1">'Rev &amp; Receivables'!AC188</f>
        <v>148929012.86344239</v>
      </c>
      <c r="AC14" s="191">
        <f ca="1">'Rev &amp; Receivables'!AD188</f>
        <v>152041334.52032745</v>
      </c>
      <c r="AD14" s="191">
        <f ca="1">'Rev &amp; Receivables'!AE188</f>
        <v>155386742.77876014</v>
      </c>
      <c r="AE14" s="191">
        <f ca="1">'Rev &amp; Receivables'!AF188</f>
        <v>160701620.03123683</v>
      </c>
      <c r="AF14" s="191">
        <f ca="1">'Rev &amp; Receivables'!AG188</f>
        <v>165055341.54263267</v>
      </c>
      <c r="AG14" s="191">
        <f ca="1">'Rev &amp; Receivables'!AH188</f>
        <v>170432003.71515882</v>
      </c>
      <c r="AH14" s="191">
        <f ca="1">'Rev &amp; Receivables'!AI188</f>
        <v>175768467.01460215</v>
      </c>
      <c r="AI14" s="191">
        <f ca="1">'Rev &amp; Receivables'!AJ188</f>
        <v>183070723.87063196</v>
      </c>
      <c r="AJ14" s="191">
        <f ca="1">'Rev &amp; Receivables'!AK188</f>
        <v>189058513.97494468</v>
      </c>
      <c r="AK14" s="191">
        <f ca="1">'Rev &amp; Receivables'!AL188</f>
        <v>227131743.93598267</v>
      </c>
      <c r="AL14" s="191">
        <f ca="1">'Rev &amp; Receivables'!AM188</f>
        <v>266919241.18626624</v>
      </c>
      <c r="AM14" s="191"/>
      <c r="AN14" s="191"/>
      <c r="AO14" s="191"/>
      <c r="AP14" s="191"/>
      <c r="AQ14" s="191"/>
      <c r="AR14" s="191"/>
      <c r="AS14" s="191"/>
      <c r="AT14" s="191"/>
      <c r="AU14" s="191"/>
      <c r="AV14" s="191"/>
      <c r="AW14" s="191"/>
    </row>
    <row r="15" spans="1:50">
      <c r="A15" s="5"/>
      <c r="B15" s="2" t="s">
        <v>485</v>
      </c>
      <c r="C15" s="201" t="str">
        <f t="shared" si="1"/>
        <v>US$</v>
      </c>
      <c r="D15" s="1531">
        <f ca="1">SUM(I15:AW15)</f>
        <v>0</v>
      </c>
      <c r="E15" s="5"/>
      <c r="F15" s="5"/>
      <c r="G15" s="5"/>
      <c r="H15" s="5"/>
      <c r="I15" s="1531">
        <f>'O&amp;M Costs'!I361</f>
        <v>0</v>
      </c>
      <c r="J15" s="1531">
        <f ca="1">'O&amp;M Costs'!J361</f>
        <v>0</v>
      </c>
      <c r="K15" s="1531">
        <f ca="1">'O&amp;M Costs'!K361</f>
        <v>0</v>
      </c>
      <c r="L15" s="1531">
        <f ca="1">'O&amp;M Costs'!L361</f>
        <v>0</v>
      </c>
      <c r="M15" s="1531">
        <f ca="1">'O&amp;M Costs'!M361</f>
        <v>0</v>
      </c>
      <c r="N15" s="1531">
        <f ca="1">'O&amp;M Costs'!N361</f>
        <v>0</v>
      </c>
      <c r="O15" s="1531">
        <f ca="1">'O&amp;M Costs'!O361</f>
        <v>0</v>
      </c>
      <c r="P15" s="1531">
        <f ca="1">'O&amp;M Costs'!P361</f>
        <v>0</v>
      </c>
      <c r="Q15" s="1531">
        <f ca="1">'O&amp;M Costs'!Q361</f>
        <v>0</v>
      </c>
      <c r="R15" s="1531">
        <f ca="1">'O&amp;M Costs'!R361</f>
        <v>0</v>
      </c>
      <c r="S15" s="1531">
        <f ca="1">'O&amp;M Costs'!S361</f>
        <v>0</v>
      </c>
      <c r="T15" s="1531">
        <f ca="1">'O&amp;M Costs'!T361</f>
        <v>0</v>
      </c>
      <c r="U15" s="1531">
        <f ca="1">'O&amp;M Costs'!U361</f>
        <v>0</v>
      </c>
      <c r="V15" s="1531">
        <f ca="1">'O&amp;M Costs'!V361</f>
        <v>0</v>
      </c>
      <c r="W15" s="1531">
        <f ca="1">'O&amp;M Costs'!W361</f>
        <v>0</v>
      </c>
      <c r="X15" s="1531">
        <f ca="1">'O&amp;M Costs'!X361</f>
        <v>0</v>
      </c>
      <c r="Y15" s="1531">
        <f ca="1">'O&amp;M Costs'!Y361</f>
        <v>0</v>
      </c>
      <c r="Z15" s="1531">
        <f ca="1">'O&amp;M Costs'!Z361</f>
        <v>0</v>
      </c>
      <c r="AA15" s="1531">
        <f ca="1">'O&amp;M Costs'!AA361</f>
        <v>0</v>
      </c>
      <c r="AB15" s="1531">
        <f ca="1">'O&amp;M Costs'!AB361</f>
        <v>0</v>
      </c>
      <c r="AC15" s="1531">
        <f ca="1">'O&amp;M Costs'!AC361</f>
        <v>0</v>
      </c>
      <c r="AD15" s="1531">
        <f ca="1">'O&amp;M Costs'!AD361</f>
        <v>0</v>
      </c>
      <c r="AE15" s="1531">
        <f ca="1">'O&amp;M Costs'!AE361</f>
        <v>0</v>
      </c>
      <c r="AF15" s="1531">
        <f ca="1">'O&amp;M Costs'!AF361</f>
        <v>0</v>
      </c>
      <c r="AG15" s="1531">
        <f ca="1">'O&amp;M Costs'!AG361</f>
        <v>0</v>
      </c>
      <c r="AH15" s="1531">
        <f ca="1">'O&amp;M Costs'!AH361</f>
        <v>0</v>
      </c>
      <c r="AI15" s="1531">
        <f ca="1">'O&amp;M Costs'!AI361</f>
        <v>0</v>
      </c>
      <c r="AJ15" s="1531">
        <f ca="1">'O&amp;M Costs'!AJ361</f>
        <v>0</v>
      </c>
      <c r="AK15" s="1531">
        <f ca="1">'O&amp;M Costs'!AK361</f>
        <v>0</v>
      </c>
      <c r="AL15" s="1531">
        <f ca="1">'O&amp;M Costs'!AL361</f>
        <v>0</v>
      </c>
      <c r="AM15" s="1531"/>
      <c r="AN15" s="1531"/>
      <c r="AO15" s="1531"/>
      <c r="AP15" s="1531"/>
      <c r="AQ15" s="1531"/>
      <c r="AR15" s="1531"/>
      <c r="AS15" s="1531"/>
      <c r="AT15" s="1531"/>
      <c r="AU15" s="1531"/>
      <c r="AV15" s="1531"/>
      <c r="AW15" s="1531"/>
    </row>
    <row r="16" spans="1:50">
      <c r="A16" s="5"/>
      <c r="B16" s="2" t="s">
        <v>486</v>
      </c>
      <c r="C16" s="201" t="str">
        <f t="shared" si="1"/>
        <v>US$</v>
      </c>
      <c r="D16" s="1531">
        <f ca="1">SUM(I16:AI16)</f>
        <v>-4140451092.8002276</v>
      </c>
      <c r="E16" s="5"/>
      <c r="F16" s="5"/>
      <c r="G16" s="5"/>
      <c r="H16" s="5"/>
      <c r="I16" s="1531">
        <f>-SUM('Fixed Assets'!I35:I36)-'Fixed Assets'!I51</f>
        <v>-715288869.70235205</v>
      </c>
      <c r="J16" s="1531">
        <f>-SUM('Fixed Assets'!J35:J36)-'Fixed Assets'!J51</f>
        <v>-2422388762.4588017</v>
      </c>
      <c r="K16" s="1531">
        <f ca="1">-SUM('Fixed Assets'!K35:K36)-'Fixed Assets'!K51</f>
        <v>-1002773460.6390738</v>
      </c>
      <c r="L16" s="1531">
        <f ca="1">-SUM('Fixed Assets'!L35:L36)-'Fixed Assets'!L51</f>
        <v>0</v>
      </c>
      <c r="M16" s="1531">
        <f ca="1">-SUM('Fixed Assets'!M35:M36)-'Fixed Assets'!M51</f>
        <v>0</v>
      </c>
      <c r="N16" s="1531">
        <f ca="1">-SUM('Fixed Assets'!N35:N36)-'Fixed Assets'!N51</f>
        <v>0</v>
      </c>
      <c r="O16" s="1531">
        <f ca="1">-SUM('Fixed Assets'!O35:O36)-'Fixed Assets'!O51</f>
        <v>0</v>
      </c>
      <c r="P16" s="1531">
        <f ca="1">-SUM('Fixed Assets'!P35:P36)-'Fixed Assets'!P51</f>
        <v>0</v>
      </c>
      <c r="Q16" s="1531">
        <f ca="1">-SUM('Fixed Assets'!Q35:Q36)-'Fixed Assets'!Q51</f>
        <v>0</v>
      </c>
      <c r="R16" s="1531">
        <f ca="1">-SUM('Fixed Assets'!R35:R36)-'Fixed Assets'!R51</f>
        <v>0</v>
      </c>
      <c r="S16" s="1531">
        <f ca="1">-SUM('Fixed Assets'!S35:S36)-'Fixed Assets'!S51</f>
        <v>0</v>
      </c>
      <c r="T16" s="1531">
        <f ca="1">-SUM('Fixed Assets'!T35:T36)-'Fixed Assets'!T51</f>
        <v>0</v>
      </c>
      <c r="U16" s="1531">
        <f ca="1">-SUM('Fixed Assets'!U35:U36)-'Fixed Assets'!U51</f>
        <v>0</v>
      </c>
      <c r="V16" s="1531">
        <f ca="1">-SUM('Fixed Assets'!V35:V36)-'Fixed Assets'!V51</f>
        <v>0</v>
      </c>
      <c r="W16" s="1531">
        <f ca="1">-SUM('Fixed Assets'!W35:W36)-'Fixed Assets'!W51</f>
        <v>0</v>
      </c>
      <c r="X16" s="1531">
        <f ca="1">-SUM('Fixed Assets'!X35:X36)-'Fixed Assets'!X51</f>
        <v>0</v>
      </c>
      <c r="Y16" s="1531">
        <f ca="1">-SUM('Fixed Assets'!Y35:Y36)-'Fixed Assets'!Y51</f>
        <v>0</v>
      </c>
      <c r="Z16" s="1531">
        <f ca="1">-SUM('Fixed Assets'!Z35:Z36)-'Fixed Assets'!Z51</f>
        <v>0</v>
      </c>
      <c r="AA16" s="1531">
        <f ca="1">-SUM('Fixed Assets'!AA35:AA36)-'Fixed Assets'!AA51</f>
        <v>0</v>
      </c>
      <c r="AB16" s="1531">
        <f ca="1">-SUM('Fixed Assets'!AB35:AB36)-'Fixed Assets'!AB51</f>
        <v>0</v>
      </c>
      <c r="AC16" s="1531">
        <f ca="1">-SUM('Fixed Assets'!AC35:AC36)-'Fixed Assets'!AC51</f>
        <v>0</v>
      </c>
      <c r="AD16" s="1531">
        <f ca="1">-SUM('Fixed Assets'!AD35:AD36)-'Fixed Assets'!AD51</f>
        <v>0</v>
      </c>
      <c r="AE16" s="1531">
        <f ca="1">-SUM('Fixed Assets'!AE35:AE36)-'Fixed Assets'!AE51</f>
        <v>0</v>
      </c>
      <c r="AF16" s="1531">
        <f ca="1">-SUM('Fixed Assets'!AF35:AF36)-'Fixed Assets'!AF51</f>
        <v>0</v>
      </c>
      <c r="AG16" s="1531">
        <f ca="1">-SUM('Fixed Assets'!AG35:AG36)-'Fixed Assets'!AG51</f>
        <v>0</v>
      </c>
      <c r="AH16" s="1531">
        <f ca="1">-SUM('Fixed Assets'!AH35:AH36)-'Fixed Assets'!AH51</f>
        <v>0</v>
      </c>
      <c r="AI16" s="1531">
        <f ca="1">-SUM('Fixed Assets'!AI35:AI36)-'Fixed Assets'!AI51</f>
        <v>0</v>
      </c>
      <c r="AJ16" s="1531">
        <f ca="1">-SUM('Fixed Assets'!AJ35:AJ36)-'Fixed Assets'!AJ51</f>
        <v>0</v>
      </c>
      <c r="AK16" s="1531">
        <f>-SUM('Fixed Assets'!AK35:AK36)-'Fixed Assets'!AK51</f>
        <v>0</v>
      </c>
      <c r="AL16" s="1531">
        <f>-SUM('Fixed Assets'!AL35:AL36)-'Fixed Assets'!AL51</f>
        <v>0</v>
      </c>
      <c r="AM16" s="1531"/>
      <c r="AN16" s="1531"/>
      <c r="AO16" s="1531"/>
      <c r="AP16" s="1531"/>
      <c r="AQ16" s="1531"/>
      <c r="AR16" s="1531"/>
      <c r="AS16" s="1531"/>
      <c r="AT16" s="1531"/>
      <c r="AU16" s="1531"/>
      <c r="AV16" s="1531"/>
      <c r="AW16" s="1531"/>
    </row>
    <row r="17" spans="1:50">
      <c r="A17" s="5"/>
      <c r="B17" s="2" t="s">
        <v>487</v>
      </c>
      <c r="C17" s="201" t="str">
        <f t="shared" si="1"/>
        <v>US$</v>
      </c>
      <c r="D17" s="1531">
        <f ca="1">SUM(I17:AW17)</f>
        <v>2898315764.9601583</v>
      </c>
      <c r="E17" s="5"/>
      <c r="F17" s="5"/>
      <c r="G17" s="5"/>
      <c r="H17" s="5"/>
      <c r="I17" s="1531">
        <f>'Debt Schedule'!I50</f>
        <v>0</v>
      </c>
      <c r="J17" s="1531">
        <f>'Debt Schedule'!J50</f>
        <v>1895542304.3210859</v>
      </c>
      <c r="K17" s="1531">
        <f>'Debt Schedule'!K50</f>
        <v>1002773460.6390723</v>
      </c>
      <c r="L17" s="1531">
        <f>'Debt Schedule'!L50</f>
        <v>0</v>
      </c>
      <c r="M17" s="1531">
        <f>'Debt Schedule'!M50</f>
        <v>0</v>
      </c>
      <c r="N17" s="1531">
        <f>'Debt Schedule'!N50</f>
        <v>0</v>
      </c>
      <c r="O17" s="1531">
        <f>'Debt Schedule'!O50</f>
        <v>0</v>
      </c>
      <c r="P17" s="1531">
        <f>'Debt Schedule'!P50</f>
        <v>0</v>
      </c>
      <c r="Q17" s="1531">
        <f>'Debt Schedule'!Q50</f>
        <v>0</v>
      </c>
      <c r="R17" s="1531">
        <f>'Debt Schedule'!R50</f>
        <v>0</v>
      </c>
      <c r="S17" s="1531">
        <f>'Debt Schedule'!S50</f>
        <v>0</v>
      </c>
      <c r="T17" s="1531">
        <f>'Debt Schedule'!T50</f>
        <v>0</v>
      </c>
      <c r="U17" s="1531">
        <f>'Debt Schedule'!U50</f>
        <v>0</v>
      </c>
      <c r="V17" s="1531">
        <f>'Debt Schedule'!V50</f>
        <v>0</v>
      </c>
      <c r="W17" s="1531">
        <f>'Debt Schedule'!W50</f>
        <v>0</v>
      </c>
      <c r="X17" s="1531">
        <f>'Debt Schedule'!X50</f>
        <v>0</v>
      </c>
      <c r="Y17" s="1531">
        <f>'Debt Schedule'!Y50</f>
        <v>0</v>
      </c>
      <c r="Z17" s="1531">
        <f>'Debt Schedule'!Z50</f>
        <v>0</v>
      </c>
      <c r="AA17" s="1531">
        <f>'Debt Schedule'!AA50</f>
        <v>0</v>
      </c>
      <c r="AB17" s="1531">
        <f>'Debt Schedule'!AB50</f>
        <v>0</v>
      </c>
      <c r="AC17" s="1531">
        <f>'Debt Schedule'!AC50</f>
        <v>0</v>
      </c>
      <c r="AD17" s="1531">
        <f>'Debt Schedule'!AD50</f>
        <v>0</v>
      </c>
      <c r="AE17" s="1531">
        <f>'Debt Schedule'!AE50</f>
        <v>0</v>
      </c>
      <c r="AF17" s="1531">
        <f>'Debt Schedule'!AF50</f>
        <v>0</v>
      </c>
      <c r="AG17" s="1531">
        <f>'Debt Schedule'!AG50</f>
        <v>0</v>
      </c>
      <c r="AH17" s="1531">
        <f>'Debt Schedule'!AH50</f>
        <v>0</v>
      </c>
      <c r="AI17" s="1531">
        <f ca="1">'Debt Schedule'!AI50</f>
        <v>0</v>
      </c>
      <c r="AJ17" s="1531">
        <f ca="1">'Debt Schedule'!AJ50</f>
        <v>0</v>
      </c>
      <c r="AK17" s="1531">
        <f ca="1">'Debt Schedule'!AK50</f>
        <v>0</v>
      </c>
      <c r="AL17" s="1531">
        <f ca="1">'Debt Schedule'!AL50</f>
        <v>0</v>
      </c>
      <c r="AM17" s="1531"/>
      <c r="AN17" s="1531"/>
      <c r="AO17" s="1531"/>
      <c r="AP17" s="1531"/>
      <c r="AQ17" s="1531"/>
      <c r="AR17" s="1531"/>
      <c r="AS17" s="1531"/>
      <c r="AT17" s="1531"/>
      <c r="AU17" s="1531"/>
      <c r="AV17" s="1531"/>
      <c r="AW17" s="1531"/>
    </row>
    <row r="18" spans="1:50">
      <c r="A18" s="5"/>
      <c r="B18" s="2" t="s">
        <v>488</v>
      </c>
      <c r="C18" s="201" t="str">
        <f t="shared" si="1"/>
        <v>US$</v>
      </c>
      <c r="D18" s="191">
        <f ca="1">SUM(I18:AI18)</f>
        <v>0</v>
      </c>
      <c r="E18" s="5"/>
      <c r="F18" s="5"/>
      <c r="G18" s="5"/>
      <c r="H18" s="5"/>
      <c r="I18" s="191">
        <f ca="1">'Debt Schedule'!I97</f>
        <v>0</v>
      </c>
      <c r="J18" s="191">
        <f ca="1">'Debt Schedule'!J97</f>
        <v>0</v>
      </c>
      <c r="K18" s="191">
        <f ca="1">'Debt Schedule'!K97</f>
        <v>0</v>
      </c>
      <c r="L18" s="191">
        <f ca="1">'Debt Schedule'!L97</f>
        <v>0</v>
      </c>
      <c r="M18" s="191">
        <f ca="1">'Debt Schedule'!M97</f>
        <v>0</v>
      </c>
      <c r="N18" s="191">
        <f ca="1">'Debt Schedule'!N97</f>
        <v>0</v>
      </c>
      <c r="O18" s="191">
        <f ca="1">'Debt Schedule'!O97</f>
        <v>0</v>
      </c>
      <c r="P18" s="191">
        <f ca="1">'Debt Schedule'!P97</f>
        <v>0</v>
      </c>
      <c r="Q18" s="191">
        <f ca="1">'Debt Schedule'!Q97</f>
        <v>0</v>
      </c>
      <c r="R18" s="191">
        <f ca="1">'Debt Schedule'!R97</f>
        <v>0</v>
      </c>
      <c r="S18" s="191">
        <f ca="1">'Debt Schedule'!S97</f>
        <v>0</v>
      </c>
      <c r="T18" s="191">
        <f ca="1">'Debt Schedule'!T97</f>
        <v>0</v>
      </c>
      <c r="U18" s="191">
        <f ca="1">'Debt Schedule'!U97</f>
        <v>0</v>
      </c>
      <c r="V18" s="191">
        <f ca="1">'Debt Schedule'!V97</f>
        <v>0</v>
      </c>
      <c r="W18" s="191">
        <f ca="1">'Debt Schedule'!W97</f>
        <v>0</v>
      </c>
      <c r="X18" s="191">
        <f ca="1">'Debt Schedule'!X97</f>
        <v>0</v>
      </c>
      <c r="Y18" s="191">
        <f ca="1">'Debt Schedule'!Y97</f>
        <v>0</v>
      </c>
      <c r="Z18" s="191">
        <f ca="1">'Debt Schedule'!Z97</f>
        <v>0</v>
      </c>
      <c r="AA18" s="191">
        <f ca="1">'Debt Schedule'!AA97</f>
        <v>0</v>
      </c>
      <c r="AB18" s="191">
        <f ca="1">'Debt Schedule'!AB97</f>
        <v>0</v>
      </c>
      <c r="AC18" s="191">
        <f ca="1">'Debt Schedule'!AC97</f>
        <v>0</v>
      </c>
      <c r="AD18" s="191">
        <f ca="1">'Debt Schedule'!AD97</f>
        <v>0</v>
      </c>
      <c r="AE18" s="191">
        <f ca="1">'Debt Schedule'!AE97</f>
        <v>0</v>
      </c>
      <c r="AF18" s="191">
        <f ca="1">'Debt Schedule'!AF97</f>
        <v>0</v>
      </c>
      <c r="AG18" s="191">
        <f ca="1">'Debt Schedule'!AG97</f>
        <v>0</v>
      </c>
      <c r="AH18" s="191">
        <f ca="1">'Debt Schedule'!AH97</f>
        <v>0</v>
      </c>
      <c r="AI18" s="191">
        <f ca="1">'Debt Schedule'!AI97</f>
        <v>0</v>
      </c>
      <c r="AJ18" s="191">
        <f ca="1">'Debt Schedule'!AJ97</f>
        <v>0</v>
      </c>
      <c r="AK18" s="191">
        <f ca="1">'Debt Schedule'!AK97</f>
        <v>0</v>
      </c>
      <c r="AL18" s="191">
        <f ca="1">'Debt Schedule'!AL97</f>
        <v>0</v>
      </c>
      <c r="AM18" s="191"/>
      <c r="AN18" s="191"/>
      <c r="AO18" s="191"/>
      <c r="AP18" s="191"/>
      <c r="AQ18" s="191"/>
      <c r="AR18" s="191"/>
      <c r="AS18" s="191"/>
      <c r="AT18" s="191"/>
      <c r="AU18" s="191"/>
      <c r="AV18" s="191"/>
      <c r="AW18" s="191"/>
    </row>
    <row r="19" spans="1:50">
      <c r="A19" s="5"/>
      <c r="B19" s="27" t="s">
        <v>413</v>
      </c>
      <c r="C19" s="207" t="str">
        <f t="shared" si="1"/>
        <v>US$</v>
      </c>
      <c r="D19" s="192">
        <f>SUM(I19:AW19)</f>
        <v>1242135327.8400679</v>
      </c>
      <c r="E19" s="133"/>
      <c r="F19" s="133"/>
      <c r="G19" s="133"/>
      <c r="H19" s="133"/>
      <c r="I19" s="192">
        <f>Dividend!I31</f>
        <v>715288869.70235205</v>
      </c>
      <c r="J19" s="192">
        <f>Dividend!J31</f>
        <v>526846458.1377157</v>
      </c>
      <c r="K19" s="192">
        <f>Dividend!K31</f>
        <v>0</v>
      </c>
      <c r="L19" s="192">
        <f>Dividend!L31</f>
        <v>0</v>
      </c>
      <c r="M19" s="192">
        <f>Dividend!M31</f>
        <v>0</v>
      </c>
      <c r="N19" s="192">
        <f>Dividend!N31</f>
        <v>0</v>
      </c>
      <c r="O19" s="192">
        <f>Dividend!O31</f>
        <v>0</v>
      </c>
      <c r="P19" s="192">
        <f>Dividend!P31</f>
        <v>0</v>
      </c>
      <c r="Q19" s="192">
        <f>Dividend!Q31</f>
        <v>0</v>
      </c>
      <c r="R19" s="192">
        <f>Dividend!R31</f>
        <v>0</v>
      </c>
      <c r="S19" s="192">
        <f>Dividend!S31</f>
        <v>0</v>
      </c>
      <c r="T19" s="192">
        <f>Dividend!T31</f>
        <v>0</v>
      </c>
      <c r="U19" s="192">
        <f>Dividend!U31</f>
        <v>0</v>
      </c>
      <c r="V19" s="192">
        <f>Dividend!V31</f>
        <v>0</v>
      </c>
      <c r="W19" s="192">
        <f>Dividend!W31</f>
        <v>0</v>
      </c>
      <c r="X19" s="192">
        <f>Dividend!X31</f>
        <v>0</v>
      </c>
      <c r="Y19" s="192">
        <f>Dividend!Y31</f>
        <v>0</v>
      </c>
      <c r="Z19" s="192">
        <f>Dividend!Z31</f>
        <v>0</v>
      </c>
      <c r="AA19" s="192">
        <f>Dividend!AA31</f>
        <v>0</v>
      </c>
      <c r="AB19" s="192">
        <f>Dividend!AB31</f>
        <v>0</v>
      </c>
      <c r="AC19" s="192">
        <f>Dividend!AC31</f>
        <v>0</v>
      </c>
      <c r="AD19" s="192">
        <f>Dividend!AD31</f>
        <v>0</v>
      </c>
      <c r="AE19" s="192">
        <f>Dividend!AE31</f>
        <v>0</v>
      </c>
      <c r="AF19" s="192">
        <f>Dividend!AF31</f>
        <v>0</v>
      </c>
      <c r="AG19" s="192">
        <f>Dividend!AG31</f>
        <v>0</v>
      </c>
      <c r="AH19" s="192">
        <f>Dividend!AH31</f>
        <v>0</v>
      </c>
      <c r="AI19" s="192">
        <f>Dividend!AI31</f>
        <v>0</v>
      </c>
      <c r="AJ19" s="192">
        <f>Dividend!AJ31</f>
        <v>0</v>
      </c>
      <c r="AK19" s="192">
        <f>Dividend!AK31</f>
        <v>0</v>
      </c>
      <c r="AL19" s="192">
        <f>Dividend!AL31</f>
        <v>0</v>
      </c>
      <c r="AM19" s="192"/>
      <c r="AN19" s="192"/>
      <c r="AO19" s="192"/>
      <c r="AP19" s="192"/>
      <c r="AQ19" s="192"/>
      <c r="AR19" s="192"/>
      <c r="AS19" s="192"/>
      <c r="AT19" s="192"/>
      <c r="AU19" s="192"/>
      <c r="AV19" s="192"/>
      <c r="AW19" s="192"/>
    </row>
    <row r="20" spans="1:50">
      <c r="A20" s="5"/>
      <c r="B20" s="10" t="s">
        <v>489</v>
      </c>
      <c r="C20" s="208" t="str">
        <f>$C$7</f>
        <v>US$</v>
      </c>
      <c r="D20" s="210">
        <f ca="1">SUM(D14:D19)+D12</f>
        <v>38917502539.624413</v>
      </c>
      <c r="E20" s="26"/>
      <c r="F20" s="26"/>
      <c r="G20" s="26"/>
      <c r="H20" s="26"/>
      <c r="I20" s="210">
        <f ca="1">SUM(I14:I19)+I12</f>
        <v>0</v>
      </c>
      <c r="J20" s="210">
        <f ca="1">SUM(J14:J19)+J12</f>
        <v>-132913371.73613448</v>
      </c>
      <c r="K20" s="210">
        <f ca="1">SUM(K14:K19)+K12</f>
        <v>632979160.75820112</v>
      </c>
      <c r="L20" s="210">
        <f t="shared" ref="L20:AL20" ca="1" si="2">SUM(L14:L19)+L12</f>
        <v>1113384145.8202512</v>
      </c>
      <c r="M20" s="210">
        <f t="shared" ca="1" si="2"/>
        <v>1307343777.7768016</v>
      </c>
      <c r="N20" s="210">
        <f t="shared" ca="1" si="2"/>
        <v>1264692907.9545906</v>
      </c>
      <c r="O20" s="210">
        <f t="shared" ca="1" si="2"/>
        <v>1349315140.1386206</v>
      </c>
      <c r="P20" s="210">
        <f t="shared" ca="1" si="2"/>
        <v>1425359922.7759254</v>
      </c>
      <c r="Q20" s="210">
        <f t="shared" ca="1" si="2"/>
        <v>1503447690.4102097</v>
      </c>
      <c r="R20" s="210">
        <f t="shared" ca="1" si="2"/>
        <v>1324092719.1085794</v>
      </c>
      <c r="S20" s="210">
        <f t="shared" ca="1" si="2"/>
        <v>1283070151.1751375</v>
      </c>
      <c r="T20" s="210">
        <f t="shared" ca="1" si="2"/>
        <v>1361126777.7746472</v>
      </c>
      <c r="U20" s="210">
        <f t="shared" ca="1" si="2"/>
        <v>1442257475.690588</v>
      </c>
      <c r="V20" s="210">
        <f t="shared" ca="1" si="2"/>
        <v>1528178348.3972325</v>
      </c>
      <c r="W20" s="210">
        <f t="shared" ca="1" si="2"/>
        <v>1616160258.3257608</v>
      </c>
      <c r="X20" s="210">
        <f t="shared" ca="1" si="2"/>
        <v>1235546330.5832512</v>
      </c>
      <c r="Y20" s="210">
        <f t="shared" ca="1" si="2"/>
        <v>1172655466.6061137</v>
      </c>
      <c r="Z20" s="210">
        <f t="shared" ca="1" si="2"/>
        <v>1209196930.2893116</v>
      </c>
      <c r="AA20" s="210">
        <f t="shared" ca="1" si="2"/>
        <v>1245685425.722734</v>
      </c>
      <c r="AB20" s="210">
        <f t="shared" ca="1" si="2"/>
        <v>1285172638.6101649</v>
      </c>
      <c r="AC20" s="210">
        <f t="shared" ca="1" si="2"/>
        <v>1325847448.789845</v>
      </c>
      <c r="AD20" s="210">
        <f t="shared" ca="1" si="2"/>
        <v>1368791499.13083</v>
      </c>
      <c r="AE20" s="210">
        <f t="shared" ca="1" si="2"/>
        <v>1411363588.111443</v>
      </c>
      <c r="AF20" s="210">
        <f t="shared" ca="1" si="2"/>
        <v>1457366133.1732535</v>
      </c>
      <c r="AG20" s="210">
        <f t="shared" ca="1" si="2"/>
        <v>1504464392.6556954</v>
      </c>
      <c r="AH20" s="210">
        <f t="shared" ca="1" si="2"/>
        <v>1553913969.7623825</v>
      </c>
      <c r="AI20" s="210">
        <f t="shared" ca="1" si="2"/>
        <v>1602784955.700546</v>
      </c>
      <c r="AJ20" s="210">
        <f t="shared" ca="1" si="2"/>
        <v>1655357824.3929558</v>
      </c>
      <c r="AK20" s="210">
        <f t="shared" ca="1" si="2"/>
        <v>1729891184.7949376</v>
      </c>
      <c r="AL20" s="210">
        <f t="shared" ca="1" si="2"/>
        <v>2140969646.930531</v>
      </c>
      <c r="AM20" s="210"/>
      <c r="AN20" s="210"/>
      <c r="AO20" s="210"/>
      <c r="AP20" s="210"/>
      <c r="AQ20" s="210"/>
      <c r="AR20" s="210"/>
      <c r="AS20" s="210"/>
      <c r="AT20" s="210"/>
      <c r="AU20" s="210"/>
      <c r="AV20" s="210"/>
      <c r="AW20" s="210"/>
    </row>
    <row r="21" spans="1:50">
      <c r="A21" s="5"/>
      <c r="B21" s="489"/>
      <c r="C21" s="1210"/>
      <c r="D21" s="1531"/>
      <c r="E21" s="1208"/>
      <c r="F21" s="1208"/>
      <c r="G21" s="1208"/>
      <c r="H21" s="1208"/>
      <c r="I21" s="1531"/>
      <c r="J21" s="1531"/>
      <c r="K21" s="1531"/>
      <c r="L21" s="1531"/>
      <c r="M21" s="1531"/>
      <c r="N21" s="1531"/>
      <c r="O21" s="1531"/>
      <c r="P21" s="1531"/>
      <c r="Q21" s="1531"/>
      <c r="R21" s="1531"/>
      <c r="S21" s="1531"/>
      <c r="T21" s="1531"/>
      <c r="U21" s="1531"/>
      <c r="V21" s="1531"/>
      <c r="W21" s="1531"/>
      <c r="X21" s="1531"/>
      <c r="Y21" s="1531"/>
      <c r="Z21" s="1531"/>
      <c r="AA21" s="1531"/>
      <c r="AB21" s="1531"/>
      <c r="AC21" s="1531"/>
      <c r="AD21" s="1531"/>
      <c r="AE21" s="1531"/>
      <c r="AF21" s="1531"/>
      <c r="AG21" s="1531"/>
      <c r="AH21" s="1531"/>
      <c r="AI21" s="1531"/>
      <c r="AJ21" s="1531"/>
      <c r="AK21" s="1531"/>
      <c r="AL21" s="1531"/>
      <c r="AM21" s="1531"/>
      <c r="AN21" s="1531"/>
      <c r="AO21" s="1531"/>
      <c r="AP21" s="1531"/>
      <c r="AQ21" s="1531"/>
      <c r="AR21" s="1531"/>
      <c r="AS21" s="1531"/>
      <c r="AT21" s="1531"/>
      <c r="AU21" s="1531"/>
      <c r="AV21" s="1531"/>
      <c r="AW21" s="1531"/>
    </row>
    <row r="22" spans="1:50">
      <c r="A22" s="5"/>
      <c r="B22" s="489" t="s">
        <v>490</v>
      </c>
      <c r="C22" s="1210" t="str">
        <f>$C$7</f>
        <v>US$</v>
      </c>
      <c r="D22" s="1531">
        <f ca="1">SUM(I22:AW22)</f>
        <v>-1195033431.6136169</v>
      </c>
      <c r="E22" s="1208"/>
      <c r="F22" s="1208"/>
      <c r="G22" s="1208"/>
      <c r="H22" s="1208"/>
      <c r="I22" s="1531">
        <f>-SUM('Debt Schedule'!I73:I74)</f>
        <v>0</v>
      </c>
      <c r="J22" s="1531">
        <f ca="1">-SUM('Debt Schedule'!J73:J74)</f>
        <v>0</v>
      </c>
      <c r="K22" s="1531">
        <f ca="1">-SUM('Debt Schedule'!K73:K74)</f>
        <v>0</v>
      </c>
      <c r="L22" s="1531">
        <f ca="1">-SUM('Debt Schedule'!L73:L74)</f>
        <v>-298816355.36739236</v>
      </c>
      <c r="M22" s="1531">
        <f ca="1">-SUM('Debt Schedule'!M73:M74)</f>
        <v>-256128304.60062197</v>
      </c>
      <c r="N22" s="1531">
        <f ca="1">-SUM('Debt Schedule'!N73:N74)</f>
        <v>-212857083.74140942</v>
      </c>
      <c r="O22" s="1531">
        <f ca="1">-SUM('Debt Schedule'!O73:O74)</f>
        <v>-171220017.32205963</v>
      </c>
      <c r="P22" s="1531">
        <f ca="1">-SUM('Debt Schedule'!P73:P74)</f>
        <v>-128064152.30031098</v>
      </c>
      <c r="Q22" s="1531">
        <f ca="1">-SUM('Debt Schedule'!Q73:Q74)</f>
        <v>-85376101.533540666</v>
      </c>
      <c r="R22" s="1531">
        <f ca="1">-SUM('Debt Schedule'!R73:R74)</f>
        <v>-42571416.748281889</v>
      </c>
      <c r="S22" s="1531">
        <f ca="1">-SUM('Debt Schedule'!S73:S74)</f>
        <v>0</v>
      </c>
      <c r="T22" s="1531">
        <f ca="1">-SUM('Debt Schedule'!T73:T74)</f>
        <v>0</v>
      </c>
      <c r="U22" s="1531">
        <f ca="1">-SUM('Debt Schedule'!U73:U74)</f>
        <v>0</v>
      </c>
      <c r="V22" s="1531">
        <f ca="1">-SUM('Debt Schedule'!V73:V74)</f>
        <v>0</v>
      </c>
      <c r="W22" s="1531">
        <f ca="1">-SUM('Debt Schedule'!W73:W74)</f>
        <v>0</v>
      </c>
      <c r="X22" s="1531">
        <f ca="1">-SUM('Debt Schedule'!X73:X74)</f>
        <v>0</v>
      </c>
      <c r="Y22" s="1531">
        <f ca="1">-SUM('Debt Schedule'!Y73:Y74)</f>
        <v>0</v>
      </c>
      <c r="Z22" s="1531">
        <f ca="1">-SUM('Debt Schedule'!Z73:Z74)</f>
        <v>0</v>
      </c>
      <c r="AA22" s="1531">
        <f ca="1">-SUM('Debt Schedule'!AA73:AA74)</f>
        <v>0</v>
      </c>
      <c r="AB22" s="1531">
        <f ca="1">-SUM('Debt Schedule'!AB73:AB74)</f>
        <v>0</v>
      </c>
      <c r="AC22" s="1531">
        <f ca="1">-SUM('Debt Schedule'!AC73:AC74)</f>
        <v>0</v>
      </c>
      <c r="AD22" s="1531">
        <f ca="1">-SUM('Debt Schedule'!AD73:AD74)</f>
        <v>0</v>
      </c>
      <c r="AE22" s="1531">
        <f ca="1">-SUM('Debt Schedule'!AE73:AE74)</f>
        <v>0</v>
      </c>
      <c r="AF22" s="1531">
        <f ca="1">-SUM('Debt Schedule'!AF73:AF74)</f>
        <v>0</v>
      </c>
      <c r="AG22" s="1531">
        <f ca="1">-SUM('Debt Schedule'!AG73:AG74)</f>
        <v>0</v>
      </c>
      <c r="AH22" s="1531">
        <f ca="1">-SUM('Debt Schedule'!AH73:AH74)</f>
        <v>0</v>
      </c>
      <c r="AI22" s="1531">
        <f ca="1">SUM('Debt Schedule'!AI73:AI74)</f>
        <v>0</v>
      </c>
      <c r="AJ22" s="1531">
        <f ca="1">SUM('Debt Schedule'!AJ73:AJ74)</f>
        <v>0</v>
      </c>
      <c r="AK22" s="1531">
        <f ca="1">SUM('Debt Schedule'!AK73:AK74)</f>
        <v>0</v>
      </c>
      <c r="AL22" s="1531">
        <f ca="1">-SUM('Debt Schedule'!AL73:AL74)</f>
        <v>0</v>
      </c>
      <c r="AM22" s="1531"/>
      <c r="AN22" s="1531"/>
      <c r="AO22" s="1531"/>
      <c r="AP22" s="1531"/>
      <c r="AQ22" s="1531"/>
      <c r="AR22" s="1531"/>
      <c r="AS22" s="1531"/>
      <c r="AT22" s="1531"/>
      <c r="AU22" s="1531"/>
      <c r="AV22" s="1531"/>
      <c r="AW22" s="1531"/>
    </row>
    <row r="23" spans="1:50">
      <c r="A23" s="5"/>
      <c r="B23" s="27" t="s">
        <v>491</v>
      </c>
      <c r="C23" s="207" t="str">
        <f>$C$7</f>
        <v>US$</v>
      </c>
      <c r="D23" s="1532">
        <f ca="1">SUM(I23:AW23)</f>
        <v>-2898315764.9601583</v>
      </c>
      <c r="E23" s="133"/>
      <c r="F23" s="133"/>
      <c r="G23" s="133"/>
      <c r="H23" s="133"/>
      <c r="I23" s="1532">
        <f ca="1">-'Debt Schedule'!I72</f>
        <v>0</v>
      </c>
      <c r="J23" s="1532">
        <f ca="1">-'Debt Schedule'!J72</f>
        <v>0</v>
      </c>
      <c r="K23" s="1532">
        <f ca="1">-'Debt Schedule'!K72</f>
        <v>0</v>
      </c>
      <c r="L23" s="1532">
        <f ca="1">-'Debt Schedule'!L72</f>
        <v>-414045109.28002262</v>
      </c>
      <c r="M23" s="1532">
        <f ca="1">-'Debt Schedule'!M72</f>
        <v>-414045109.28002262</v>
      </c>
      <c r="N23" s="1532">
        <f ca="1">-'Debt Schedule'!N72</f>
        <v>-414045109.28002262</v>
      </c>
      <c r="O23" s="1532">
        <f ca="1">-'Debt Schedule'!O72</f>
        <v>-414045109.28002262</v>
      </c>
      <c r="P23" s="1532">
        <f ca="1">-'Debt Schedule'!P72</f>
        <v>-414045109.28002262</v>
      </c>
      <c r="Q23" s="1532">
        <f ca="1">-'Debt Schedule'!Q72</f>
        <v>-414045109.28002262</v>
      </c>
      <c r="R23" s="1532">
        <f ca="1">-'Debt Schedule'!R72</f>
        <v>-414045109.28002262</v>
      </c>
      <c r="S23" s="1532">
        <f ca="1">-'Debt Schedule'!S72</f>
        <v>0</v>
      </c>
      <c r="T23" s="1532">
        <f ca="1">-'Debt Schedule'!T72</f>
        <v>0</v>
      </c>
      <c r="U23" s="1532">
        <f ca="1">-'Debt Schedule'!U72</f>
        <v>0</v>
      </c>
      <c r="V23" s="1532">
        <f ca="1">-'Debt Schedule'!V72</f>
        <v>0</v>
      </c>
      <c r="W23" s="1532">
        <f ca="1">-'Debt Schedule'!W72</f>
        <v>0</v>
      </c>
      <c r="X23" s="1532">
        <f ca="1">-'Debt Schedule'!X72</f>
        <v>0</v>
      </c>
      <c r="Y23" s="1532">
        <f ca="1">-'Debt Schedule'!Y72</f>
        <v>0</v>
      </c>
      <c r="Z23" s="1532">
        <f ca="1">-'Debt Schedule'!Z72</f>
        <v>0</v>
      </c>
      <c r="AA23" s="1532">
        <f ca="1">-'Debt Schedule'!AA72</f>
        <v>0</v>
      </c>
      <c r="AB23" s="1532">
        <f ca="1">-'Debt Schedule'!AB72</f>
        <v>0</v>
      </c>
      <c r="AC23" s="1532">
        <f ca="1">-'Debt Schedule'!AC72</f>
        <v>0</v>
      </c>
      <c r="AD23" s="1532">
        <f ca="1">-'Debt Schedule'!AD72</f>
        <v>0</v>
      </c>
      <c r="AE23" s="1532">
        <f ca="1">-'Debt Schedule'!AE72</f>
        <v>0</v>
      </c>
      <c r="AF23" s="1532">
        <f ca="1">-'Debt Schedule'!AF72</f>
        <v>0</v>
      </c>
      <c r="AG23" s="1532">
        <f ca="1">-'Debt Schedule'!AG72</f>
        <v>0</v>
      </c>
      <c r="AH23" s="1532">
        <f ca="1">-'Debt Schedule'!AH72</f>
        <v>0</v>
      </c>
      <c r="AI23" s="1532">
        <f ca="1">-'Debt Schedule'!AI72</f>
        <v>0</v>
      </c>
      <c r="AJ23" s="1532">
        <f>-'Debt Schedule'!AJ72</f>
        <v>0</v>
      </c>
      <c r="AK23" s="1532">
        <f>-'Debt Schedule'!AK72</f>
        <v>0</v>
      </c>
      <c r="AL23" s="1532">
        <f>-'Debt Schedule'!AL72</f>
        <v>0</v>
      </c>
      <c r="AM23" s="1532"/>
      <c r="AN23" s="1532"/>
      <c r="AO23" s="1532"/>
      <c r="AP23" s="1532"/>
      <c r="AQ23" s="1532"/>
      <c r="AR23" s="1532"/>
      <c r="AS23" s="1532"/>
      <c r="AT23" s="1532"/>
      <c r="AU23" s="1532"/>
      <c r="AV23" s="1532"/>
      <c r="AW23" s="1532"/>
    </row>
    <row r="24" spans="1:50">
      <c r="A24" s="5"/>
      <c r="B24" s="10" t="s">
        <v>492</v>
      </c>
      <c r="C24" s="208" t="str">
        <f>$C$7</f>
        <v>US$</v>
      </c>
      <c r="D24" s="197">
        <f ca="1">SUM(D22:D23)+D20</f>
        <v>34824153343.050636</v>
      </c>
      <c r="E24" s="26"/>
      <c r="F24" s="26"/>
      <c r="G24" s="26"/>
      <c r="H24" s="26"/>
      <c r="I24" s="1531">
        <f ca="1">SUM(I22:I23)+I20</f>
        <v>0</v>
      </c>
      <c r="J24" s="1531">
        <f t="shared" ref="J24:AL24" ca="1" si="3">SUM(J22:J23)+J20</f>
        <v>-132913371.73613448</v>
      </c>
      <c r="K24" s="1531">
        <f t="shared" ca="1" si="3"/>
        <v>632979160.75820112</v>
      </c>
      <c r="L24" s="1531">
        <f ca="1">SUM(L22:L23)+L20</f>
        <v>400522681.1728363</v>
      </c>
      <c r="M24" s="1531">
        <f t="shared" ca="1" si="3"/>
        <v>637170363.89615703</v>
      </c>
      <c r="N24" s="1531">
        <f t="shared" ca="1" si="3"/>
        <v>637790714.93315852</v>
      </c>
      <c r="O24" s="1531">
        <f t="shared" ca="1" si="3"/>
        <v>764050013.53653836</v>
      </c>
      <c r="P24" s="1531">
        <f t="shared" ca="1" si="3"/>
        <v>883250661.19559181</v>
      </c>
      <c r="Q24" s="1531">
        <f t="shared" ca="1" si="3"/>
        <v>1004026479.5966463</v>
      </c>
      <c r="R24" s="1531">
        <f t="shared" ca="1" si="3"/>
        <v>867476193.08027482</v>
      </c>
      <c r="S24" s="1531">
        <f t="shared" ca="1" si="3"/>
        <v>1283070151.1751375</v>
      </c>
      <c r="T24" s="1531">
        <f t="shared" ca="1" si="3"/>
        <v>1361126777.7746472</v>
      </c>
      <c r="U24" s="1531">
        <f t="shared" ca="1" si="3"/>
        <v>1442257475.690588</v>
      </c>
      <c r="V24" s="1531">
        <f t="shared" ca="1" si="3"/>
        <v>1528178348.3972325</v>
      </c>
      <c r="W24" s="1531">
        <f t="shared" ca="1" si="3"/>
        <v>1616160258.3257608</v>
      </c>
      <c r="X24" s="1531">
        <f t="shared" ca="1" si="3"/>
        <v>1235546330.5832512</v>
      </c>
      <c r="Y24" s="1531">
        <f t="shared" ca="1" si="3"/>
        <v>1172655466.6061137</v>
      </c>
      <c r="Z24" s="1531">
        <f t="shared" ca="1" si="3"/>
        <v>1209196930.2893116</v>
      </c>
      <c r="AA24" s="1531">
        <f t="shared" ca="1" si="3"/>
        <v>1245685425.722734</v>
      </c>
      <c r="AB24" s="1531">
        <f t="shared" ca="1" si="3"/>
        <v>1285172638.6101649</v>
      </c>
      <c r="AC24" s="1531">
        <f t="shared" ca="1" si="3"/>
        <v>1325847448.789845</v>
      </c>
      <c r="AD24" s="1531">
        <f t="shared" ca="1" si="3"/>
        <v>1368791499.13083</v>
      </c>
      <c r="AE24" s="1531">
        <f t="shared" ca="1" si="3"/>
        <v>1411363588.111443</v>
      </c>
      <c r="AF24" s="1531">
        <f t="shared" ca="1" si="3"/>
        <v>1457366133.1732535</v>
      </c>
      <c r="AG24" s="1531">
        <f t="shared" ca="1" si="3"/>
        <v>1504464392.6556954</v>
      </c>
      <c r="AH24" s="1531">
        <f t="shared" ca="1" si="3"/>
        <v>1553913969.7623825</v>
      </c>
      <c r="AI24" s="1531">
        <f t="shared" ca="1" si="3"/>
        <v>1602784955.700546</v>
      </c>
      <c r="AJ24" s="1531">
        <f t="shared" ca="1" si="3"/>
        <v>1655357824.3929558</v>
      </c>
      <c r="AK24" s="1531">
        <f t="shared" ca="1" si="3"/>
        <v>1729891184.7949376</v>
      </c>
      <c r="AL24" s="1531">
        <f t="shared" ca="1" si="3"/>
        <v>2140969646.930531</v>
      </c>
      <c r="AM24" s="1531"/>
      <c r="AN24" s="1531"/>
      <c r="AO24" s="1531"/>
      <c r="AP24" s="1531"/>
      <c r="AQ24" s="1531"/>
      <c r="AR24" s="1531"/>
      <c r="AS24" s="1531"/>
      <c r="AT24" s="1531"/>
      <c r="AU24" s="1531"/>
      <c r="AV24" s="1531"/>
      <c r="AW24" s="1531"/>
    </row>
    <row r="25" spans="1:50">
      <c r="A25" s="5"/>
      <c r="B25" s="10"/>
      <c r="C25" s="201"/>
      <c r="D25" s="191"/>
      <c r="E25" s="5"/>
      <c r="F25" s="5"/>
      <c r="G25" s="5"/>
      <c r="H25" s="5"/>
      <c r="I25" s="203"/>
      <c r="J25" s="203"/>
      <c r="K25" s="203"/>
      <c r="L25" s="203"/>
      <c r="M25" s="203"/>
      <c r="N25" s="203"/>
      <c r="O25" s="203"/>
      <c r="P25" s="203"/>
      <c r="Q25" s="203"/>
      <c r="R25" s="203"/>
      <c r="S25" s="203"/>
      <c r="T25" s="203"/>
      <c r="U25" s="203"/>
      <c r="V25" s="203"/>
      <c r="W25" s="203"/>
      <c r="X25" s="203"/>
      <c r="Y25" s="203"/>
      <c r="Z25" s="203"/>
      <c r="AA25" s="203"/>
      <c r="AB25" s="203"/>
      <c r="AC25" s="203"/>
      <c r="AD25" s="203"/>
      <c r="AE25" s="203"/>
      <c r="AF25" s="203"/>
      <c r="AG25" s="203"/>
      <c r="AH25" s="203"/>
      <c r="AI25" s="203"/>
      <c r="AJ25" s="5"/>
      <c r="AK25" s="5"/>
      <c r="AL25" s="5"/>
      <c r="AM25" s="5"/>
      <c r="AN25" s="5"/>
    </row>
    <row r="26" spans="1:50">
      <c r="A26" s="5"/>
      <c r="B26" s="2" t="s">
        <v>493</v>
      </c>
      <c r="C26" s="201" t="str">
        <f t="shared" ref="C26:C32" si="4">$C$7</f>
        <v>US$</v>
      </c>
      <c r="D26" s="191">
        <f t="shared" ref="D26:D31" ca="1" si="5">SUM(I26:AI26)</f>
        <v>0</v>
      </c>
      <c r="E26" s="5"/>
      <c r="F26" s="5"/>
      <c r="G26" s="5"/>
      <c r="H26" s="5"/>
      <c r="I26" s="1531">
        <f ca="1">-SUM('Reserve Accounts'!I74:I75)</f>
        <v>0</v>
      </c>
      <c r="J26" s="1531">
        <f ca="1">-SUM('Reserve Accounts'!J74:J75)</f>
        <v>0</v>
      </c>
      <c r="K26" s="1531">
        <f ca="1">-SUM('Reserve Accounts'!K74:K75)</f>
        <v>0</v>
      </c>
      <c r="L26" s="1531">
        <f ca="1">-SUM('Reserve Accounts'!L74:L75)</f>
        <v>0</v>
      </c>
      <c r="M26" s="1531">
        <f ca="1">-SUM('Reserve Accounts'!M74:M75)</f>
        <v>0</v>
      </c>
      <c r="N26" s="1531">
        <f ca="1">-SUM('Reserve Accounts'!N74:N75)</f>
        <v>0</v>
      </c>
      <c r="O26" s="1531">
        <f ca="1">-SUM('Reserve Accounts'!O74:O75)</f>
        <v>0</v>
      </c>
      <c r="P26" s="1531">
        <f ca="1">-SUM('Reserve Accounts'!P74:P75)</f>
        <v>0</v>
      </c>
      <c r="Q26" s="1531">
        <f ca="1">-SUM('Reserve Accounts'!Q74:Q75)</f>
        <v>0</v>
      </c>
      <c r="R26" s="1531">
        <f ca="1">-SUM('Reserve Accounts'!R74:R75)</f>
        <v>0</v>
      </c>
      <c r="S26" s="1531">
        <f ca="1">-SUM('Reserve Accounts'!S74:S75)</f>
        <v>0</v>
      </c>
      <c r="T26" s="1531">
        <f ca="1">-SUM('Reserve Accounts'!T74:T75)</f>
        <v>0</v>
      </c>
      <c r="U26" s="1531">
        <f ca="1">-SUM('Reserve Accounts'!U74:U75)</f>
        <v>0</v>
      </c>
      <c r="V26" s="1531">
        <f ca="1">-SUM('Reserve Accounts'!V74:V75)</f>
        <v>0</v>
      </c>
      <c r="W26" s="1531">
        <f ca="1">-SUM('Reserve Accounts'!W74:W75)</f>
        <v>0</v>
      </c>
      <c r="X26" s="1531">
        <f ca="1">-SUM('Reserve Accounts'!X74:X75)</f>
        <v>0</v>
      </c>
      <c r="Y26" s="1531">
        <f ca="1">-SUM('Reserve Accounts'!Y74:Y75)</f>
        <v>0</v>
      </c>
      <c r="Z26" s="1531">
        <f ca="1">-SUM('Reserve Accounts'!Z74:Z75)</f>
        <v>0</v>
      </c>
      <c r="AA26" s="1531">
        <f ca="1">-SUM('Reserve Accounts'!AA74:AA75)</f>
        <v>0</v>
      </c>
      <c r="AB26" s="1531">
        <f ca="1">-SUM('Reserve Accounts'!AB74:AB75)</f>
        <v>0</v>
      </c>
      <c r="AC26" s="1531">
        <f ca="1">-SUM('Reserve Accounts'!AC74:AC75)</f>
        <v>0</v>
      </c>
      <c r="AD26" s="1531">
        <f ca="1">-SUM('Reserve Accounts'!AD74:AD75)</f>
        <v>0</v>
      </c>
      <c r="AE26" s="1531">
        <f ca="1">-SUM('Reserve Accounts'!AE74:AE75)</f>
        <v>0</v>
      </c>
      <c r="AF26" s="1531">
        <f ca="1">-SUM('Reserve Accounts'!AF74:AF75)</f>
        <v>0</v>
      </c>
      <c r="AG26" s="1531">
        <f ca="1">-SUM('Reserve Accounts'!AG74:AG75)</f>
        <v>0</v>
      </c>
      <c r="AH26" s="1531">
        <f ca="1">-SUM('Reserve Accounts'!AH74:AH75)</f>
        <v>0</v>
      </c>
      <c r="AI26" s="1531">
        <f ca="1">-SUM('Reserve Accounts'!AI74:AI75)</f>
        <v>0</v>
      </c>
      <c r="AJ26" s="1531">
        <f ca="1">-SUM('Reserve Accounts'!AJ74:AJ75)</f>
        <v>0</v>
      </c>
      <c r="AK26" s="1531">
        <f ca="1">-SUM('Reserve Accounts'!AK74:AK75)</f>
        <v>0</v>
      </c>
      <c r="AL26" s="1531">
        <f ca="1">-SUM('Reserve Accounts'!AL74:AL75)</f>
        <v>0</v>
      </c>
      <c r="AM26" s="1531"/>
      <c r="AN26" s="1531"/>
      <c r="AO26" s="1531"/>
      <c r="AP26" s="1531"/>
      <c r="AQ26" s="1531"/>
      <c r="AR26" s="1531"/>
      <c r="AS26" s="1531"/>
      <c r="AT26" s="1531"/>
      <c r="AU26" s="1531"/>
      <c r="AV26" s="1531"/>
      <c r="AW26" s="1531"/>
      <c r="AX26" s="1531"/>
    </row>
    <row r="27" spans="1:50">
      <c r="A27" s="5"/>
      <c r="B27" s="2" t="s">
        <v>494</v>
      </c>
      <c r="C27" s="201" t="str">
        <f t="shared" si="4"/>
        <v>US$</v>
      </c>
      <c r="D27" s="191">
        <f t="shared" ca="1" si="5"/>
        <v>0</v>
      </c>
      <c r="E27" s="5"/>
      <c r="F27" s="5"/>
      <c r="G27" s="5"/>
      <c r="H27" s="5"/>
      <c r="I27" s="1531">
        <f>'O&amp;M Costs'!I351</f>
        <v>0</v>
      </c>
      <c r="J27" s="1531">
        <f>'O&amp;M Costs'!J351</f>
        <v>0</v>
      </c>
      <c r="K27" s="1531">
        <f>'O&amp;M Costs'!K351</f>
        <v>0</v>
      </c>
      <c r="L27" s="1531">
        <f ca="1">'O&amp;M Costs'!L351</f>
        <v>0</v>
      </c>
      <c r="M27" s="1531">
        <f ca="1">'O&amp;M Costs'!M351</f>
        <v>0</v>
      </c>
      <c r="N27" s="1531">
        <f ca="1">'O&amp;M Costs'!N351</f>
        <v>0</v>
      </c>
      <c r="O27" s="1531">
        <f ca="1">'O&amp;M Costs'!O351</f>
        <v>0</v>
      </c>
      <c r="P27" s="1531">
        <f ca="1">'O&amp;M Costs'!P351</f>
        <v>0</v>
      </c>
      <c r="Q27" s="1531">
        <f ca="1">'O&amp;M Costs'!Q351</f>
        <v>0</v>
      </c>
      <c r="R27" s="1531">
        <f ca="1">'O&amp;M Costs'!R351</f>
        <v>0</v>
      </c>
      <c r="S27" s="1531">
        <f ca="1">'O&amp;M Costs'!S351</f>
        <v>0</v>
      </c>
      <c r="T27" s="1531">
        <f ca="1">'O&amp;M Costs'!T351</f>
        <v>0</v>
      </c>
      <c r="U27" s="1531">
        <f ca="1">'O&amp;M Costs'!U351</f>
        <v>0</v>
      </c>
      <c r="V27" s="1531">
        <f ca="1">'O&amp;M Costs'!V351</f>
        <v>0</v>
      </c>
      <c r="W27" s="1531">
        <f ca="1">'O&amp;M Costs'!W351</f>
        <v>0</v>
      </c>
      <c r="X27" s="1531">
        <f ca="1">'O&amp;M Costs'!X351</f>
        <v>0</v>
      </c>
      <c r="Y27" s="1531">
        <f ca="1">'O&amp;M Costs'!Y351</f>
        <v>0</v>
      </c>
      <c r="Z27" s="1531">
        <f ca="1">'O&amp;M Costs'!Z351</f>
        <v>0</v>
      </c>
      <c r="AA27" s="1531">
        <f ca="1">'O&amp;M Costs'!AA351</f>
        <v>0</v>
      </c>
      <c r="AB27" s="1531">
        <f ca="1">'O&amp;M Costs'!AB351</f>
        <v>0</v>
      </c>
      <c r="AC27" s="1531">
        <f ca="1">'O&amp;M Costs'!AC351</f>
        <v>0</v>
      </c>
      <c r="AD27" s="1531">
        <f ca="1">'O&amp;M Costs'!AD351</f>
        <v>0</v>
      </c>
      <c r="AE27" s="1531">
        <f ca="1">'O&amp;M Costs'!AE351</f>
        <v>0</v>
      </c>
      <c r="AF27" s="1531">
        <f ca="1">'O&amp;M Costs'!AF351</f>
        <v>0</v>
      </c>
      <c r="AG27" s="1531">
        <f ca="1">'O&amp;M Costs'!AG351</f>
        <v>0</v>
      </c>
      <c r="AH27" s="1531">
        <f ca="1">'O&amp;M Costs'!AH351</f>
        <v>0</v>
      </c>
      <c r="AI27" s="1531">
        <f ca="1">'O&amp;M Costs'!AI351</f>
        <v>0</v>
      </c>
      <c r="AJ27" s="1531">
        <f ca="1">'O&amp;M Costs'!AJ351</f>
        <v>0</v>
      </c>
      <c r="AK27" s="1531">
        <f ca="1">'O&amp;M Costs'!AK351</f>
        <v>0</v>
      </c>
      <c r="AL27" s="1531">
        <f ca="1">'O&amp;M Costs'!AL351</f>
        <v>0</v>
      </c>
      <c r="AM27" s="1531"/>
      <c r="AN27" s="1531"/>
      <c r="AO27" s="1531"/>
      <c r="AP27" s="1531"/>
      <c r="AQ27" s="1531"/>
      <c r="AR27" s="1531"/>
      <c r="AS27" s="1531"/>
      <c r="AT27" s="1531"/>
      <c r="AU27" s="1531"/>
      <c r="AV27" s="1531"/>
      <c r="AW27" s="1531"/>
      <c r="AX27" s="1531"/>
    </row>
    <row r="28" spans="1:50">
      <c r="A28" s="5"/>
      <c r="B28" s="27" t="s">
        <v>495</v>
      </c>
      <c r="C28" s="207" t="str">
        <f t="shared" si="4"/>
        <v>US$</v>
      </c>
      <c r="D28" s="192">
        <f>SUM(I28:AI28)</f>
        <v>0</v>
      </c>
      <c r="E28" s="133"/>
      <c r="F28" s="133"/>
      <c r="G28" s="133"/>
      <c r="H28" s="133"/>
      <c r="I28" s="1532">
        <f>-SUM('Reserve Accounts'!I46:I47)</f>
        <v>0</v>
      </c>
      <c r="J28" s="1532">
        <f>-SUM('Reserve Accounts'!J46:J47)</f>
        <v>0</v>
      </c>
      <c r="K28" s="1532">
        <f>-SUM('Reserve Accounts'!K46:K47)</f>
        <v>0</v>
      </c>
      <c r="L28" s="1532">
        <f>-SUM('Reserve Accounts'!L46:L47)</f>
        <v>0</v>
      </c>
      <c r="M28" s="1532">
        <f>-SUM('Reserve Accounts'!M46:M47)</f>
        <v>0</v>
      </c>
      <c r="N28" s="1532">
        <f>-SUM('Reserve Accounts'!N46:N47)</f>
        <v>0</v>
      </c>
      <c r="O28" s="1532">
        <f>-SUM('Reserve Accounts'!O46:O47)</f>
        <v>0</v>
      </c>
      <c r="P28" s="1532">
        <f>-SUM('Reserve Accounts'!P46:P47)</f>
        <v>0</v>
      </c>
      <c r="Q28" s="1532">
        <f>-SUM('Reserve Accounts'!Q46:Q47)</f>
        <v>0</v>
      </c>
      <c r="R28" s="1532">
        <f>-SUM('Reserve Accounts'!R46:R47)</f>
        <v>0</v>
      </c>
      <c r="S28" s="1532">
        <f>-SUM('Reserve Accounts'!S46:S47)</f>
        <v>0</v>
      </c>
      <c r="T28" s="1532">
        <f>-SUM('Reserve Accounts'!T46:T47)</f>
        <v>0</v>
      </c>
      <c r="U28" s="1532">
        <f>-SUM('Reserve Accounts'!U46:U47)</f>
        <v>0</v>
      </c>
      <c r="V28" s="1532">
        <f>-SUM('Reserve Accounts'!V46:V47)</f>
        <v>0</v>
      </c>
      <c r="W28" s="1532">
        <f>-SUM('Reserve Accounts'!W46:W47)</f>
        <v>0</v>
      </c>
      <c r="X28" s="1532">
        <f>-SUM('Reserve Accounts'!X46:X47)</f>
        <v>0</v>
      </c>
      <c r="Y28" s="1532">
        <f>-SUM('Reserve Accounts'!Y46:Y47)</f>
        <v>0</v>
      </c>
      <c r="Z28" s="1532">
        <f>-SUM('Reserve Accounts'!Z46:Z47)</f>
        <v>0</v>
      </c>
      <c r="AA28" s="1532">
        <f>-SUM('Reserve Accounts'!AA46:AA47)</f>
        <v>0</v>
      </c>
      <c r="AB28" s="1532">
        <f>-SUM('Reserve Accounts'!AB46:AB47)</f>
        <v>0</v>
      </c>
      <c r="AC28" s="1532">
        <f>-SUM('Reserve Accounts'!AC46:AC47)</f>
        <v>0</v>
      </c>
      <c r="AD28" s="1532">
        <f>-SUM('Reserve Accounts'!AD46:AD47)</f>
        <v>0</v>
      </c>
      <c r="AE28" s="1532">
        <f>-SUM('Reserve Accounts'!AE46:AE47)</f>
        <v>0</v>
      </c>
      <c r="AF28" s="1532">
        <f>-SUM('Reserve Accounts'!AF46:AF47)</f>
        <v>0</v>
      </c>
      <c r="AG28" s="1532">
        <f>-SUM('Reserve Accounts'!AG46:AG47)</f>
        <v>0</v>
      </c>
      <c r="AH28" s="1532">
        <f>-SUM('Reserve Accounts'!AH46:AH47)</f>
        <v>0</v>
      </c>
      <c r="AI28" s="1532">
        <f>-SUM('Reserve Accounts'!AI46:AI47)</f>
        <v>0</v>
      </c>
      <c r="AJ28" s="1532">
        <f>-SUM('Reserve Accounts'!AJ46:AJ47)</f>
        <v>0</v>
      </c>
      <c r="AK28" s="1532">
        <f>-SUM('Reserve Accounts'!AK46:AK47)</f>
        <v>0</v>
      </c>
      <c r="AL28" s="1532">
        <f>-SUM('Reserve Accounts'!AL46:AL47)</f>
        <v>0</v>
      </c>
      <c r="AM28" s="1532"/>
      <c r="AN28" s="1532"/>
      <c r="AO28" s="1532"/>
      <c r="AP28" s="1532"/>
      <c r="AQ28" s="1532"/>
      <c r="AR28" s="1532"/>
      <c r="AS28" s="1532"/>
      <c r="AT28" s="1532"/>
      <c r="AU28" s="1532"/>
      <c r="AV28" s="1532"/>
      <c r="AW28" s="1532"/>
      <c r="AX28" s="1531"/>
    </row>
    <row r="29" spans="1:50">
      <c r="A29" s="5"/>
      <c r="B29" s="10" t="s">
        <v>496</v>
      </c>
      <c r="C29" s="208" t="str">
        <f>$C$7</f>
        <v>US$</v>
      </c>
      <c r="D29" s="210">
        <f ca="1">SUM(D26:D28)+D24</f>
        <v>34824153343.050636</v>
      </c>
      <c r="E29" s="5"/>
      <c r="F29" s="5"/>
      <c r="G29" s="5"/>
      <c r="H29" s="5"/>
      <c r="I29" s="1531">
        <f ca="1">SUM(I26:I28)+I24</f>
        <v>0</v>
      </c>
      <c r="J29" s="1531">
        <f t="shared" ref="J29:AL29" ca="1" si="6">SUM(J26:J28)+J24</f>
        <v>-132913371.73613448</v>
      </c>
      <c r="K29" s="1531">
        <f t="shared" ca="1" si="6"/>
        <v>632979160.75820112</v>
      </c>
      <c r="L29" s="1531">
        <f t="shared" ca="1" si="6"/>
        <v>400522681.1728363</v>
      </c>
      <c r="M29" s="1531">
        <f t="shared" ca="1" si="6"/>
        <v>637170363.89615703</v>
      </c>
      <c r="N29" s="1531">
        <f t="shared" ca="1" si="6"/>
        <v>637790714.93315852</v>
      </c>
      <c r="O29" s="1531">
        <f t="shared" ca="1" si="6"/>
        <v>764050013.53653836</v>
      </c>
      <c r="P29" s="1531">
        <f t="shared" ca="1" si="6"/>
        <v>883250661.19559181</v>
      </c>
      <c r="Q29" s="1531">
        <f t="shared" ca="1" si="6"/>
        <v>1004026479.5966463</v>
      </c>
      <c r="R29" s="1531">
        <f t="shared" ca="1" si="6"/>
        <v>867476193.08027482</v>
      </c>
      <c r="S29" s="1531">
        <f t="shared" ca="1" si="6"/>
        <v>1283070151.1751375</v>
      </c>
      <c r="T29" s="1531">
        <f t="shared" ca="1" si="6"/>
        <v>1361126777.7746472</v>
      </c>
      <c r="U29" s="1531">
        <f t="shared" ca="1" si="6"/>
        <v>1442257475.690588</v>
      </c>
      <c r="V29" s="1531">
        <f t="shared" ca="1" si="6"/>
        <v>1528178348.3972325</v>
      </c>
      <c r="W29" s="1531">
        <f t="shared" ca="1" si="6"/>
        <v>1616160258.3257608</v>
      </c>
      <c r="X29" s="1531">
        <f t="shared" ca="1" si="6"/>
        <v>1235546330.5832512</v>
      </c>
      <c r="Y29" s="1531">
        <f t="shared" ca="1" si="6"/>
        <v>1172655466.6061137</v>
      </c>
      <c r="Z29" s="1531">
        <f t="shared" ca="1" si="6"/>
        <v>1209196930.2893116</v>
      </c>
      <c r="AA29" s="1531">
        <f t="shared" ca="1" si="6"/>
        <v>1245685425.722734</v>
      </c>
      <c r="AB29" s="1531">
        <f t="shared" ca="1" si="6"/>
        <v>1285172638.6101649</v>
      </c>
      <c r="AC29" s="1531">
        <f t="shared" ca="1" si="6"/>
        <v>1325847448.789845</v>
      </c>
      <c r="AD29" s="1531">
        <f t="shared" ca="1" si="6"/>
        <v>1368791499.13083</v>
      </c>
      <c r="AE29" s="1531">
        <f t="shared" ca="1" si="6"/>
        <v>1411363588.111443</v>
      </c>
      <c r="AF29" s="1531">
        <f t="shared" ca="1" si="6"/>
        <v>1457366133.1732535</v>
      </c>
      <c r="AG29" s="1531">
        <f t="shared" ca="1" si="6"/>
        <v>1504464392.6556954</v>
      </c>
      <c r="AH29" s="1531">
        <f t="shared" ca="1" si="6"/>
        <v>1553913969.7623825</v>
      </c>
      <c r="AI29" s="1531">
        <f t="shared" ca="1" si="6"/>
        <v>1602784955.700546</v>
      </c>
      <c r="AJ29" s="1531">
        <f t="shared" ca="1" si="6"/>
        <v>1655357824.3929558</v>
      </c>
      <c r="AK29" s="1531">
        <f t="shared" ca="1" si="6"/>
        <v>1729891184.7949376</v>
      </c>
      <c r="AL29" s="1531">
        <f t="shared" ca="1" si="6"/>
        <v>2140969646.930531</v>
      </c>
      <c r="AM29" s="1531"/>
      <c r="AN29" s="1531"/>
      <c r="AO29" s="1531"/>
      <c r="AP29" s="1531"/>
      <c r="AQ29" s="1531"/>
      <c r="AR29" s="1531"/>
      <c r="AS29" s="1531"/>
      <c r="AT29" s="1531"/>
      <c r="AU29" s="1531"/>
      <c r="AV29" s="1531"/>
      <c r="AW29" s="1531"/>
    </row>
    <row r="30" spans="1:50" ht="11.45" customHeight="1">
      <c r="A30" s="5"/>
      <c r="C30" s="201"/>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row>
    <row r="31" spans="1:50">
      <c r="A31" s="5"/>
      <c r="B31" s="2" t="s">
        <v>497</v>
      </c>
      <c r="C31" s="201" t="str">
        <f t="shared" si="4"/>
        <v>US$</v>
      </c>
      <c r="D31" s="191">
        <f t="shared" ca="1" si="5"/>
        <v>0</v>
      </c>
      <c r="E31" s="5"/>
      <c r="F31" s="5"/>
      <c r="G31" s="5"/>
      <c r="H31" s="5"/>
      <c r="I31" s="191">
        <f ca="1">-SUM('Debt Schedule'!I119:I120)</f>
        <v>0</v>
      </c>
      <c r="J31" s="191">
        <f ca="1">-SUM('Debt Schedule'!J119:J120)</f>
        <v>0</v>
      </c>
      <c r="K31" s="191">
        <f ca="1">-SUM('Debt Schedule'!K119:K120)</f>
        <v>0</v>
      </c>
      <c r="L31" s="191">
        <f ca="1">-SUM('Debt Schedule'!L119:L120)</f>
        <v>0</v>
      </c>
      <c r="M31" s="191">
        <f ca="1">-SUM('Debt Schedule'!M119:M120)</f>
        <v>0</v>
      </c>
      <c r="N31" s="191">
        <f ca="1">-SUM('Debt Schedule'!N119:N120)</f>
        <v>0</v>
      </c>
      <c r="O31" s="191">
        <f ca="1">-SUM('Debt Schedule'!O119:O120)</f>
        <v>0</v>
      </c>
      <c r="P31" s="191">
        <f ca="1">-SUM('Debt Schedule'!P119:P120)</f>
        <v>0</v>
      </c>
      <c r="Q31" s="191">
        <f ca="1">-SUM('Debt Schedule'!Q119:Q120)</f>
        <v>0</v>
      </c>
      <c r="R31" s="191">
        <f ca="1">-SUM('Debt Schedule'!R119:R120)</f>
        <v>0</v>
      </c>
      <c r="S31" s="191">
        <f ca="1">-SUM('Debt Schedule'!S119:S120)</f>
        <v>0</v>
      </c>
      <c r="T31" s="191">
        <f ca="1">-SUM('Debt Schedule'!T119:T120)</f>
        <v>0</v>
      </c>
      <c r="U31" s="191">
        <f ca="1">-SUM('Debt Schedule'!U119:U120)</f>
        <v>0</v>
      </c>
      <c r="V31" s="191">
        <f ca="1">-SUM('Debt Schedule'!V119:V120)</f>
        <v>0</v>
      </c>
      <c r="W31" s="191">
        <f ca="1">-SUM('Debt Schedule'!W119:W120)</f>
        <v>0</v>
      </c>
      <c r="X31" s="191">
        <f ca="1">-SUM('Debt Schedule'!X119:X120)</f>
        <v>0</v>
      </c>
      <c r="Y31" s="191">
        <f ca="1">-SUM('Debt Schedule'!Y119:Y120)</f>
        <v>0</v>
      </c>
      <c r="Z31" s="191">
        <f ca="1">-SUM('Debt Schedule'!Z119:Z120)</f>
        <v>0</v>
      </c>
      <c r="AA31" s="191">
        <f ca="1">-SUM('Debt Schedule'!AA119:AA120)</f>
        <v>0</v>
      </c>
      <c r="AB31" s="191">
        <f ca="1">-SUM('Debt Schedule'!AB119:AB120)</f>
        <v>0</v>
      </c>
      <c r="AC31" s="191">
        <f ca="1">-SUM('Debt Schedule'!AC119:AC120)</f>
        <v>0</v>
      </c>
      <c r="AD31" s="191">
        <f ca="1">-SUM('Debt Schedule'!AD119:AD120)</f>
        <v>0</v>
      </c>
      <c r="AE31" s="191">
        <f ca="1">-SUM('Debt Schedule'!AE119:AE120)</f>
        <v>0</v>
      </c>
      <c r="AF31" s="191">
        <f ca="1">-SUM('Debt Schedule'!AF119:AF120)</f>
        <v>0</v>
      </c>
      <c r="AG31" s="191">
        <f ca="1">-SUM('Debt Schedule'!AG119:AG120)</f>
        <v>0</v>
      </c>
      <c r="AH31" s="191">
        <f ca="1">-SUM('Debt Schedule'!AH119:AH120)</f>
        <v>0</v>
      </c>
      <c r="AI31" s="191">
        <f ca="1">-SUM('Debt Schedule'!AI119:AI120)</f>
        <v>0</v>
      </c>
      <c r="AJ31" s="5"/>
      <c r="AK31" s="5"/>
      <c r="AL31" s="5"/>
      <c r="AM31" s="5"/>
      <c r="AN31" s="5"/>
    </row>
    <row r="32" spans="1:50">
      <c r="A32" s="5"/>
      <c r="B32" s="27" t="s">
        <v>498</v>
      </c>
      <c r="C32" s="207" t="str">
        <f t="shared" si="4"/>
        <v>US$</v>
      </c>
      <c r="D32" s="192">
        <f ca="1">SUM(I32:AI32)</f>
        <v>0</v>
      </c>
      <c r="E32" s="133"/>
      <c r="F32" s="133"/>
      <c r="G32" s="133"/>
      <c r="H32" s="133"/>
      <c r="I32" s="192">
        <f ca="1">-'Debt Schedule'!I118</f>
        <v>0</v>
      </c>
      <c r="J32" s="192">
        <f ca="1">-'Debt Schedule'!J118</f>
        <v>0</v>
      </c>
      <c r="K32" s="192">
        <f ca="1">-'Debt Schedule'!K118</f>
        <v>0</v>
      </c>
      <c r="L32" s="192">
        <f ca="1">-'Debt Schedule'!L118</f>
        <v>0</v>
      </c>
      <c r="M32" s="192">
        <f ca="1">-'Debt Schedule'!M118</f>
        <v>0</v>
      </c>
      <c r="N32" s="192">
        <f ca="1">-'Debt Schedule'!N118</f>
        <v>0</v>
      </c>
      <c r="O32" s="192">
        <f ca="1">-'Debt Schedule'!O118</f>
        <v>0</v>
      </c>
      <c r="P32" s="192">
        <f ca="1">-'Debt Schedule'!P118</f>
        <v>0</v>
      </c>
      <c r="Q32" s="192">
        <f ca="1">-'Debt Schedule'!Q118</f>
        <v>0</v>
      </c>
      <c r="R32" s="192">
        <f ca="1">-'Debt Schedule'!R118</f>
        <v>0</v>
      </c>
      <c r="S32" s="192">
        <f ca="1">-'Debt Schedule'!S118</f>
        <v>0</v>
      </c>
      <c r="T32" s="192">
        <f ca="1">-'Debt Schedule'!T118</f>
        <v>0</v>
      </c>
      <c r="U32" s="192">
        <f ca="1">-'Debt Schedule'!U118</f>
        <v>0</v>
      </c>
      <c r="V32" s="192">
        <f ca="1">-'Debt Schedule'!V118</f>
        <v>0</v>
      </c>
      <c r="W32" s="192">
        <f ca="1">-'Debt Schedule'!W118</f>
        <v>0</v>
      </c>
      <c r="X32" s="192">
        <f ca="1">-'Debt Schedule'!X118</f>
        <v>0</v>
      </c>
      <c r="Y32" s="192">
        <f ca="1">-'Debt Schedule'!Y118</f>
        <v>0</v>
      </c>
      <c r="Z32" s="192">
        <f ca="1">-'Debt Schedule'!Z118</f>
        <v>0</v>
      </c>
      <c r="AA32" s="192">
        <f ca="1">-'Debt Schedule'!AA118</f>
        <v>0</v>
      </c>
      <c r="AB32" s="192">
        <f ca="1">-'Debt Schedule'!AB118</f>
        <v>0</v>
      </c>
      <c r="AC32" s="192">
        <f ca="1">-'Debt Schedule'!AC118</f>
        <v>0</v>
      </c>
      <c r="AD32" s="192">
        <f ca="1">-'Debt Schedule'!AD118</f>
        <v>0</v>
      </c>
      <c r="AE32" s="192">
        <f ca="1">-'Debt Schedule'!AE118</f>
        <v>0</v>
      </c>
      <c r="AF32" s="192">
        <f ca="1">-'Debt Schedule'!AF118</f>
        <v>0</v>
      </c>
      <c r="AG32" s="192">
        <f ca="1">-'Debt Schedule'!AG118</f>
        <v>0</v>
      </c>
      <c r="AH32" s="192">
        <f ca="1">-'Debt Schedule'!AH118</f>
        <v>0</v>
      </c>
      <c r="AI32" s="192">
        <f ca="1">-'Debt Schedule'!AI118</f>
        <v>0</v>
      </c>
      <c r="AJ32" s="192">
        <f ca="1">-'Debt Schedule'!AJ118</f>
        <v>0</v>
      </c>
      <c r="AK32" s="192">
        <f ca="1">-'Debt Schedule'!AK118</f>
        <v>0</v>
      </c>
      <c r="AL32" s="192">
        <f ca="1">-'Debt Schedule'!AL118</f>
        <v>0</v>
      </c>
      <c r="AM32" s="192"/>
      <c r="AN32" s="192"/>
      <c r="AO32" s="192"/>
      <c r="AP32" s="192"/>
      <c r="AQ32" s="192"/>
      <c r="AR32" s="192"/>
      <c r="AS32" s="192"/>
      <c r="AT32" s="192"/>
      <c r="AU32" s="192"/>
      <c r="AV32" s="192"/>
      <c r="AW32" s="192"/>
    </row>
    <row r="33" spans="1:49">
      <c r="A33" s="5"/>
      <c r="B33" s="10" t="s">
        <v>499</v>
      </c>
      <c r="C33" s="208" t="str">
        <f>$C$7</f>
        <v>US$</v>
      </c>
      <c r="D33" s="210">
        <f ca="1">SUM(D31:D32)+D29</f>
        <v>34824153343.050636</v>
      </c>
      <c r="E33" s="26"/>
      <c r="F33" s="26"/>
      <c r="G33" s="26"/>
      <c r="H33" s="26"/>
      <c r="I33" s="1531">
        <f ca="1">SUM(I31:I32)+I29</f>
        <v>0</v>
      </c>
      <c r="J33" s="1531">
        <f t="shared" ref="J33:AL33" ca="1" si="7">SUM(J31:J32)+J29</f>
        <v>-132913371.73613448</v>
      </c>
      <c r="K33" s="1531">
        <f t="shared" ca="1" si="7"/>
        <v>632979160.75820112</v>
      </c>
      <c r="L33" s="1531">
        <f t="shared" ca="1" si="7"/>
        <v>400522681.1728363</v>
      </c>
      <c r="M33" s="1531">
        <f t="shared" ca="1" si="7"/>
        <v>637170363.89615703</v>
      </c>
      <c r="N33" s="1531">
        <f t="shared" ca="1" si="7"/>
        <v>637790714.93315852</v>
      </c>
      <c r="O33" s="1531">
        <f t="shared" ca="1" si="7"/>
        <v>764050013.53653836</v>
      </c>
      <c r="P33" s="1531">
        <f t="shared" ca="1" si="7"/>
        <v>883250661.19559181</v>
      </c>
      <c r="Q33" s="1531">
        <f t="shared" ca="1" si="7"/>
        <v>1004026479.5966463</v>
      </c>
      <c r="R33" s="1531">
        <f t="shared" ca="1" si="7"/>
        <v>867476193.08027482</v>
      </c>
      <c r="S33" s="1531">
        <f t="shared" ca="1" si="7"/>
        <v>1283070151.1751375</v>
      </c>
      <c r="T33" s="1531">
        <f t="shared" ca="1" si="7"/>
        <v>1361126777.7746472</v>
      </c>
      <c r="U33" s="1531">
        <f t="shared" ca="1" si="7"/>
        <v>1442257475.690588</v>
      </c>
      <c r="V33" s="1531">
        <f t="shared" ca="1" si="7"/>
        <v>1528178348.3972325</v>
      </c>
      <c r="W33" s="1531">
        <f t="shared" ca="1" si="7"/>
        <v>1616160258.3257608</v>
      </c>
      <c r="X33" s="1531">
        <f t="shared" ca="1" si="7"/>
        <v>1235546330.5832512</v>
      </c>
      <c r="Y33" s="1531">
        <f t="shared" ca="1" si="7"/>
        <v>1172655466.6061137</v>
      </c>
      <c r="Z33" s="1531">
        <f t="shared" ca="1" si="7"/>
        <v>1209196930.2893116</v>
      </c>
      <c r="AA33" s="1531">
        <f t="shared" ca="1" si="7"/>
        <v>1245685425.722734</v>
      </c>
      <c r="AB33" s="1531">
        <f t="shared" ca="1" si="7"/>
        <v>1285172638.6101649</v>
      </c>
      <c r="AC33" s="1531">
        <f t="shared" ca="1" si="7"/>
        <v>1325847448.789845</v>
      </c>
      <c r="AD33" s="1531">
        <f t="shared" ca="1" si="7"/>
        <v>1368791499.13083</v>
      </c>
      <c r="AE33" s="1531">
        <f t="shared" ca="1" si="7"/>
        <v>1411363588.111443</v>
      </c>
      <c r="AF33" s="1531">
        <f t="shared" ca="1" si="7"/>
        <v>1457366133.1732535</v>
      </c>
      <c r="AG33" s="1531">
        <f t="shared" ca="1" si="7"/>
        <v>1504464392.6556954</v>
      </c>
      <c r="AH33" s="1531">
        <f t="shared" ca="1" si="7"/>
        <v>1553913969.7623825</v>
      </c>
      <c r="AI33" s="1531">
        <f ca="1">SUM(AI31:AI32)+AI29</f>
        <v>1602784955.700546</v>
      </c>
      <c r="AJ33" s="1531">
        <f t="shared" ca="1" si="7"/>
        <v>1655357824.3929558</v>
      </c>
      <c r="AK33" s="1531">
        <f t="shared" ca="1" si="7"/>
        <v>1729891184.7949376</v>
      </c>
      <c r="AL33" s="1531">
        <f t="shared" ca="1" si="7"/>
        <v>2140969646.930531</v>
      </c>
      <c r="AM33" s="1531"/>
      <c r="AN33" s="1531"/>
      <c r="AO33" s="1531"/>
      <c r="AP33" s="1531"/>
      <c r="AQ33" s="1531"/>
      <c r="AR33" s="1531"/>
      <c r="AS33" s="1531"/>
      <c r="AT33" s="1531"/>
      <c r="AU33" s="1531"/>
      <c r="AV33" s="1531"/>
      <c r="AW33" s="1531"/>
    </row>
    <row r="34" spans="1:49">
      <c r="A34" s="5"/>
      <c r="C34" s="201"/>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row>
    <row r="35" spans="1:49">
      <c r="A35" s="5"/>
      <c r="B35" s="27" t="s">
        <v>500</v>
      </c>
      <c r="C35" s="207" t="str">
        <f>$C$7</f>
        <v>US$</v>
      </c>
      <c r="D35" s="192">
        <f ca="1">SUM(I35:AW35)</f>
        <v>-21210912668.453354</v>
      </c>
      <c r="E35" s="133"/>
      <c r="F35" s="133"/>
      <c r="G35" s="133"/>
      <c r="H35" s="133"/>
      <c r="I35" s="192">
        <f ca="1">Dividend!I60</f>
        <v>0</v>
      </c>
      <c r="J35" s="192">
        <f ca="1">Dividend!J60</f>
        <v>0</v>
      </c>
      <c r="K35" s="192">
        <f ca="1">Dividend!K60</f>
        <v>0</v>
      </c>
      <c r="L35" s="192">
        <f ca="1">Dividend!L60</f>
        <v>-155025276.2896556</v>
      </c>
      <c r="M35" s="192">
        <f ca="1">Dividend!M60</f>
        <v>-227347039.43063083</v>
      </c>
      <c r="N35" s="192">
        <f ca="1">Dividend!N60</f>
        <v>-288124209.36050177</v>
      </c>
      <c r="O35" s="192">
        <f ca="1">Dividend!O60</f>
        <v>-361289591.41360027</v>
      </c>
      <c r="P35" s="192">
        <f ca="1">Dividend!P60</f>
        <v>-438596621.84971422</v>
      </c>
      <c r="Q35" s="192">
        <f ca="1">Dividend!Q60</f>
        <v>-523411100.51175404</v>
      </c>
      <c r="R35" s="192">
        <f ca="1">Dividend!R60</f>
        <v>-573449769.13911676</v>
      </c>
      <c r="S35" s="192">
        <f ca="1">Dividend!S60</f>
        <v>-683330946.14545572</v>
      </c>
      <c r="T35" s="192">
        <f ca="1">Dividend!T60</f>
        <v>-783133296.44681394</v>
      </c>
      <c r="U35" s="192">
        <f ca="1">Dividend!U60</f>
        <v>-882001923.3333801</v>
      </c>
      <c r="V35" s="192">
        <f ca="1">Dividend!V60</f>
        <v>-976253719.36866021</v>
      </c>
      <c r="W35" s="192">
        <f ca="1">Dividend!W60</f>
        <v>-1077859338.8075821</v>
      </c>
      <c r="X35" s="192">
        <f ca="1">Dividend!X60</f>
        <v>-1098567416.7028735</v>
      </c>
      <c r="Y35" s="192">
        <f ca="1">Dividend!Y60</f>
        <v>-1109680624.1883595</v>
      </c>
      <c r="Z35" s="192">
        <f ca="1">Dividend!Z60</f>
        <v>-1121535370.4584107</v>
      </c>
      <c r="AA35" s="192">
        <f ca="1">Dividend!AA60</f>
        <v>-1146362716.9640911</v>
      </c>
      <c r="AB35" s="192">
        <f ca="1">Dividend!AB60</f>
        <v>-1149854305.7021184</v>
      </c>
      <c r="AC35" s="192">
        <f ca="1">Dividend!AC60</f>
        <v>-1161885476.5317512</v>
      </c>
      <c r="AD35" s="192">
        <f ca="1">Dividend!AD60</f>
        <v>-1175309556.3305271</v>
      </c>
      <c r="AE35" s="192">
        <f ca="1">Dividend!AE60</f>
        <v>-1202981110.8956997</v>
      </c>
      <c r="AF35" s="192">
        <f ca="1">Dividend!AF60</f>
        <v>-1223598212.6286387</v>
      </c>
      <c r="AG35" s="192">
        <f ca="1">Dividend!AG60</f>
        <v>-1251506969.0331321</v>
      </c>
      <c r="AH35" s="192">
        <f ca="1">Dividend!AH60</f>
        <v>-1279109353.3478193</v>
      </c>
      <c r="AI35" s="192">
        <f ca="1">Dividend!AI60</f>
        <v>-1320698723.5730693</v>
      </c>
      <c r="AJ35" s="192">
        <f ca="1">Dividend!AJ60</f>
        <v>0</v>
      </c>
      <c r="AK35" s="192">
        <f ca="1">Dividend!AK60</f>
        <v>0</v>
      </c>
      <c r="AL35" s="192">
        <f ca="1">Dividend!AL60</f>
        <v>0</v>
      </c>
      <c r="AM35" s="192"/>
      <c r="AN35" s="192"/>
      <c r="AO35" s="192"/>
      <c r="AP35" s="192"/>
      <c r="AQ35" s="192"/>
      <c r="AR35" s="192"/>
      <c r="AS35" s="192"/>
      <c r="AT35" s="192"/>
      <c r="AU35" s="192"/>
      <c r="AV35" s="192"/>
      <c r="AW35" s="192"/>
    </row>
    <row r="36" spans="1:49">
      <c r="A36" s="5"/>
      <c r="B36" s="10" t="s">
        <v>501</v>
      </c>
      <c r="C36" s="208" t="str">
        <f>$C$7</f>
        <v>US$</v>
      </c>
      <c r="D36" s="210">
        <f ca="1">D35+D33</f>
        <v>13613240674.597282</v>
      </c>
      <c r="E36" s="26"/>
      <c r="F36" s="26"/>
      <c r="G36" s="26"/>
      <c r="H36" s="26"/>
      <c r="I36" s="1531">
        <f t="shared" ref="I36:AL36" ca="1" si="8">I35+I33</f>
        <v>0</v>
      </c>
      <c r="J36" s="1531">
        <f t="shared" ca="1" si="8"/>
        <v>-132913371.73613448</v>
      </c>
      <c r="K36" s="1531">
        <f t="shared" ca="1" si="8"/>
        <v>632979160.75820112</v>
      </c>
      <c r="L36" s="1531">
        <f t="shared" ca="1" si="8"/>
        <v>245497404.88318071</v>
      </c>
      <c r="M36" s="1531">
        <f t="shared" ca="1" si="8"/>
        <v>409823324.46552622</v>
      </c>
      <c r="N36" s="1531">
        <f t="shared" ca="1" si="8"/>
        <v>349666505.57265675</v>
      </c>
      <c r="O36" s="1531">
        <f t="shared" ca="1" si="8"/>
        <v>402760422.1229381</v>
      </c>
      <c r="P36" s="1531">
        <f t="shared" ca="1" si="8"/>
        <v>444654039.34587759</v>
      </c>
      <c r="Q36" s="1531">
        <f t="shared" ca="1" si="8"/>
        <v>480615379.08489227</v>
      </c>
      <c r="R36" s="1531">
        <f t="shared" ca="1" si="8"/>
        <v>294026423.94115806</v>
      </c>
      <c r="S36" s="1531">
        <f t="shared" ca="1" si="8"/>
        <v>599739205.0296818</v>
      </c>
      <c r="T36" s="1531">
        <f t="shared" ca="1" si="8"/>
        <v>577993481.32783329</v>
      </c>
      <c r="U36" s="1531">
        <f t="shared" ca="1" si="8"/>
        <v>560255552.35720789</v>
      </c>
      <c r="V36" s="1531">
        <f t="shared" ca="1" si="8"/>
        <v>551924629.02857232</v>
      </c>
      <c r="W36" s="1531">
        <f t="shared" ca="1" si="8"/>
        <v>538300919.5181787</v>
      </c>
      <c r="X36" s="1531">
        <f t="shared" ca="1" si="8"/>
        <v>136978913.88037777</v>
      </c>
      <c r="Y36" s="1531">
        <f t="shared" ca="1" si="8"/>
        <v>62974842.417754173</v>
      </c>
      <c r="Z36" s="1531">
        <f t="shared" ca="1" si="8"/>
        <v>87661559.830900908</v>
      </c>
      <c r="AA36" s="1531">
        <f t="shared" ca="1" si="8"/>
        <v>99322708.758642912</v>
      </c>
      <c r="AB36" s="1531">
        <f t="shared" ca="1" si="8"/>
        <v>135318332.90804648</v>
      </c>
      <c r="AC36" s="1531">
        <f t="shared" ca="1" si="8"/>
        <v>163961972.25809383</v>
      </c>
      <c r="AD36" s="1531">
        <f t="shared" ca="1" si="8"/>
        <v>193481942.80030298</v>
      </c>
      <c r="AE36" s="1531">
        <f t="shared" ca="1" si="8"/>
        <v>208382477.2157433</v>
      </c>
      <c r="AF36" s="1531">
        <f t="shared" ca="1" si="8"/>
        <v>233767920.54461479</v>
      </c>
      <c r="AG36" s="1531">
        <f t="shared" ca="1" si="8"/>
        <v>252957423.62256336</v>
      </c>
      <c r="AH36" s="1531">
        <f t="shared" ca="1" si="8"/>
        <v>274804616.41456318</v>
      </c>
      <c r="AI36" s="1531">
        <f t="shared" ca="1" si="8"/>
        <v>282086232.12747669</v>
      </c>
      <c r="AJ36" s="1531">
        <f t="shared" ca="1" si="8"/>
        <v>1655357824.3929558</v>
      </c>
      <c r="AK36" s="1531">
        <f t="shared" ca="1" si="8"/>
        <v>1729891184.7949376</v>
      </c>
      <c r="AL36" s="1531">
        <f t="shared" ca="1" si="8"/>
        <v>2140969646.930531</v>
      </c>
      <c r="AM36" s="1531"/>
      <c r="AN36" s="1531"/>
      <c r="AO36" s="1531"/>
      <c r="AP36" s="1531"/>
      <c r="AQ36" s="1531"/>
      <c r="AR36" s="1531"/>
      <c r="AS36" s="1531"/>
      <c r="AT36" s="1531"/>
      <c r="AU36" s="1531"/>
      <c r="AV36" s="1531"/>
      <c r="AW36" s="1531"/>
    </row>
    <row r="37" spans="1:49">
      <c r="C37" s="15"/>
    </row>
    <row r="38" spans="1:49">
      <c r="B38" s="27" t="s">
        <v>414</v>
      </c>
      <c r="C38" s="207" t="str">
        <f>$C$7</f>
        <v>US$</v>
      </c>
      <c r="D38" s="192">
        <f>SUM(I38:AL38)</f>
        <v>-1242135327.8400679</v>
      </c>
      <c r="E38" s="27"/>
      <c r="F38" s="27"/>
      <c r="G38" s="27"/>
      <c r="H38" s="27"/>
      <c r="I38" s="43">
        <f>Dividend!I32</f>
        <v>0</v>
      </c>
      <c r="J38" s="43">
        <f>Dividend!J32</f>
        <v>0</v>
      </c>
      <c r="K38" s="43">
        <f>Dividend!K32</f>
        <v>0</v>
      </c>
      <c r="L38" s="43">
        <f>Dividend!L32</f>
        <v>0</v>
      </c>
      <c r="M38" s="43">
        <f>Dividend!M32</f>
        <v>0</v>
      </c>
      <c r="N38" s="43">
        <f>Dividend!N32</f>
        <v>0</v>
      </c>
      <c r="O38" s="43">
        <f>Dividend!O32</f>
        <v>0</v>
      </c>
      <c r="P38" s="43">
        <f>Dividend!P32</f>
        <v>0</v>
      </c>
      <c r="Q38" s="43">
        <f>Dividend!Q32</f>
        <v>0</v>
      </c>
      <c r="R38" s="43">
        <f>Dividend!R32</f>
        <v>0</v>
      </c>
      <c r="S38" s="43">
        <f>Dividend!S32</f>
        <v>0</v>
      </c>
      <c r="T38" s="43">
        <f>Dividend!T32</f>
        <v>0</v>
      </c>
      <c r="U38" s="43">
        <f>Dividend!U32</f>
        <v>0</v>
      </c>
      <c r="V38" s="43">
        <f>Dividend!V32</f>
        <v>0</v>
      </c>
      <c r="W38" s="43">
        <f>Dividend!W32</f>
        <v>0</v>
      </c>
      <c r="X38" s="43">
        <f>Dividend!X32</f>
        <v>0</v>
      </c>
      <c r="Y38" s="43">
        <f>Dividend!Y32</f>
        <v>0</v>
      </c>
      <c r="Z38" s="43">
        <f>Dividend!Z32</f>
        <v>0</v>
      </c>
      <c r="AA38" s="43">
        <f>Dividend!AA32</f>
        <v>0</v>
      </c>
      <c r="AB38" s="43">
        <f>Dividend!AB32</f>
        <v>0</v>
      </c>
      <c r="AC38" s="43">
        <f>Dividend!AC32</f>
        <v>0</v>
      </c>
      <c r="AD38" s="43">
        <f>Dividend!AD32</f>
        <v>0</v>
      </c>
      <c r="AE38" s="43">
        <f>Dividend!AE32</f>
        <v>0</v>
      </c>
      <c r="AF38" s="43">
        <f>Dividend!AF32</f>
        <v>0</v>
      </c>
      <c r="AG38" s="43">
        <f>Dividend!AG32</f>
        <v>0</v>
      </c>
      <c r="AH38" s="43">
        <f>Dividend!AH32</f>
        <v>0</v>
      </c>
      <c r="AI38" s="43">
        <f>Dividend!AI32</f>
        <v>0</v>
      </c>
      <c r="AJ38" s="43">
        <f>Dividend!AJ32</f>
        <v>0</v>
      </c>
      <c r="AK38" s="43">
        <f>Dividend!AK32</f>
        <v>0</v>
      </c>
      <c r="AL38" s="43">
        <f>Dividend!AL32</f>
        <v>-1242135327.8400679</v>
      </c>
      <c r="AM38" s="43"/>
      <c r="AN38" s="43"/>
      <c r="AO38" s="43"/>
      <c r="AP38" s="43"/>
      <c r="AQ38" s="43"/>
      <c r="AR38" s="43"/>
      <c r="AS38" s="43"/>
      <c r="AT38" s="43"/>
      <c r="AU38" s="43"/>
      <c r="AV38" s="43"/>
      <c r="AW38" s="43"/>
    </row>
    <row r="39" spans="1:49">
      <c r="B39" s="10" t="s">
        <v>502</v>
      </c>
      <c r="C39" s="208" t="str">
        <f>$C$7</f>
        <v>US$</v>
      </c>
      <c r="D39" s="45">
        <f ca="1">D38+D36</f>
        <v>12371105346.757214</v>
      </c>
      <c r="E39" s="10"/>
      <c r="F39" s="10"/>
      <c r="G39" s="10"/>
      <c r="H39" s="10"/>
      <c r="I39" s="1531">
        <f t="shared" ref="I39:AL39" ca="1" si="9">I38+I36</f>
        <v>0</v>
      </c>
      <c r="J39" s="1531">
        <f t="shared" ca="1" si="9"/>
        <v>-132913371.73613448</v>
      </c>
      <c r="K39" s="1531">
        <f t="shared" ca="1" si="9"/>
        <v>632979160.75820112</v>
      </c>
      <c r="L39" s="1531">
        <f t="shared" ca="1" si="9"/>
        <v>245497404.88318071</v>
      </c>
      <c r="M39" s="1531">
        <f t="shared" ca="1" si="9"/>
        <v>409823324.46552622</v>
      </c>
      <c r="N39" s="1531">
        <f t="shared" ca="1" si="9"/>
        <v>349666505.57265675</v>
      </c>
      <c r="O39" s="1531">
        <f t="shared" ca="1" si="9"/>
        <v>402760422.1229381</v>
      </c>
      <c r="P39" s="1531">
        <f t="shared" ca="1" si="9"/>
        <v>444654039.34587759</v>
      </c>
      <c r="Q39" s="1531">
        <f t="shared" ca="1" si="9"/>
        <v>480615379.08489227</v>
      </c>
      <c r="R39" s="1531">
        <f t="shared" ca="1" si="9"/>
        <v>294026423.94115806</v>
      </c>
      <c r="S39" s="1531">
        <f t="shared" ca="1" si="9"/>
        <v>599739205.0296818</v>
      </c>
      <c r="T39" s="1531">
        <f t="shared" ca="1" si="9"/>
        <v>577993481.32783329</v>
      </c>
      <c r="U39" s="1531">
        <f t="shared" ca="1" si="9"/>
        <v>560255552.35720789</v>
      </c>
      <c r="V39" s="1531">
        <f t="shared" ca="1" si="9"/>
        <v>551924629.02857232</v>
      </c>
      <c r="W39" s="1531">
        <f t="shared" ca="1" si="9"/>
        <v>538300919.5181787</v>
      </c>
      <c r="X39" s="1531">
        <f t="shared" ca="1" si="9"/>
        <v>136978913.88037777</v>
      </c>
      <c r="Y39" s="1531">
        <f t="shared" ca="1" si="9"/>
        <v>62974842.417754173</v>
      </c>
      <c r="Z39" s="1531">
        <f t="shared" ca="1" si="9"/>
        <v>87661559.830900908</v>
      </c>
      <c r="AA39" s="1531">
        <f t="shared" ca="1" si="9"/>
        <v>99322708.758642912</v>
      </c>
      <c r="AB39" s="1531">
        <f t="shared" ca="1" si="9"/>
        <v>135318332.90804648</v>
      </c>
      <c r="AC39" s="1531">
        <f t="shared" ca="1" si="9"/>
        <v>163961972.25809383</v>
      </c>
      <c r="AD39" s="1531">
        <f t="shared" ca="1" si="9"/>
        <v>193481942.80030298</v>
      </c>
      <c r="AE39" s="1531">
        <f t="shared" ca="1" si="9"/>
        <v>208382477.2157433</v>
      </c>
      <c r="AF39" s="1531">
        <f t="shared" ca="1" si="9"/>
        <v>233767920.54461479</v>
      </c>
      <c r="AG39" s="1531">
        <f t="shared" ca="1" si="9"/>
        <v>252957423.62256336</v>
      </c>
      <c r="AH39" s="1531">
        <f t="shared" ca="1" si="9"/>
        <v>274804616.41456318</v>
      </c>
      <c r="AI39" s="1531">
        <f t="shared" ca="1" si="9"/>
        <v>282086232.12747669</v>
      </c>
      <c r="AJ39" s="1531">
        <f t="shared" ca="1" si="9"/>
        <v>1655357824.3929558</v>
      </c>
      <c r="AK39" s="1531">
        <f t="shared" ca="1" si="9"/>
        <v>1729891184.7949376</v>
      </c>
      <c r="AL39" s="1531">
        <f t="shared" ca="1" si="9"/>
        <v>898834319.09046316</v>
      </c>
      <c r="AM39" s="1531"/>
      <c r="AN39" s="1531"/>
      <c r="AO39" s="1531"/>
      <c r="AP39" s="1531"/>
      <c r="AQ39" s="1531"/>
      <c r="AR39" s="1531"/>
      <c r="AS39" s="1531"/>
      <c r="AT39" s="1531"/>
      <c r="AU39" s="1531"/>
      <c r="AV39" s="1531"/>
      <c r="AW39" s="1531"/>
    </row>
    <row r="40" spans="1:49">
      <c r="C40" s="15"/>
    </row>
    <row r="41" spans="1:49">
      <c r="B41" s="2" t="s">
        <v>503</v>
      </c>
      <c r="C41" s="201" t="str">
        <f>$C$7</f>
        <v>US$</v>
      </c>
      <c r="D41" s="191">
        <f ca="1">SUM(I41:AI41)</f>
        <v>116028164788.7903</v>
      </c>
      <c r="I41" s="1531">
        <f>H43*'Timing &amp; Flags'!I43</f>
        <v>0</v>
      </c>
      <c r="J41" s="1531">
        <f ca="1">I43*'Timing &amp; Flags'!J43</f>
        <v>0</v>
      </c>
      <c r="K41" s="1531">
        <f ca="1">J43*'Timing &amp; Flags'!K43</f>
        <v>0</v>
      </c>
      <c r="L41" s="1531">
        <f ca="1">K43*'Timing &amp; Flags'!L43</f>
        <v>632979160.75820112</v>
      </c>
      <c r="M41" s="1531">
        <f ca="1">L43*'Timing &amp; Flags'!M43</f>
        <v>878476565.64138186</v>
      </c>
      <c r="N41" s="1531">
        <f ca="1">M43*'Timing &amp; Flags'!N43</f>
        <v>1288299890.1069081</v>
      </c>
      <c r="O41" s="1531">
        <f ca="1">N43*'Timing &amp; Flags'!O43</f>
        <v>1637966395.679565</v>
      </c>
      <c r="P41" s="1531">
        <f ca="1">O43*'Timing &amp; Flags'!P43</f>
        <v>2040726817.8025031</v>
      </c>
      <c r="Q41" s="1531">
        <f ca="1">P43*'Timing &amp; Flags'!Q43</f>
        <v>2485380857.1483808</v>
      </c>
      <c r="R41" s="1531">
        <f ca="1">Q43*'Timing &amp; Flags'!R43</f>
        <v>2965996236.233273</v>
      </c>
      <c r="S41" s="1531">
        <f ca="1">R43*'Timing &amp; Flags'!S43</f>
        <v>3260022660.1744308</v>
      </c>
      <c r="T41" s="1531">
        <f ca="1">S43*'Timing &amp; Flags'!T43</f>
        <v>3859761865.2041125</v>
      </c>
      <c r="U41" s="1531">
        <f ca="1">T43*'Timing &amp; Flags'!U43</f>
        <v>4437755346.5319462</v>
      </c>
      <c r="V41" s="1531">
        <f ca="1">U43*'Timing &amp; Flags'!V43</f>
        <v>4998010898.8891544</v>
      </c>
      <c r="W41" s="1531">
        <f ca="1">V43*'Timing &amp; Flags'!W43</f>
        <v>5549935527.9177265</v>
      </c>
      <c r="X41" s="1531">
        <f ca="1">W43*'Timing &amp; Flags'!X43</f>
        <v>6088236447.4359055</v>
      </c>
      <c r="Y41" s="1531">
        <f ca="1">X43*'Timing &amp; Flags'!Y43</f>
        <v>6225215361.3162832</v>
      </c>
      <c r="Z41" s="1531">
        <f ca="1">Y43*'Timing &amp; Flags'!Z43</f>
        <v>6288190203.7340374</v>
      </c>
      <c r="AA41" s="1531">
        <f ca="1">Z43*'Timing &amp; Flags'!AA43</f>
        <v>6375851763.5649385</v>
      </c>
      <c r="AB41" s="1531">
        <f ca="1">AA43*'Timing &amp; Flags'!AB43</f>
        <v>6475174472.3235817</v>
      </c>
      <c r="AC41" s="1531">
        <f ca="1">AB43*'Timing &amp; Flags'!AC43</f>
        <v>6610492805.2316284</v>
      </c>
      <c r="AD41" s="1531">
        <f ca="1">AC43*'Timing &amp; Flags'!AD43</f>
        <v>6774454777.4897223</v>
      </c>
      <c r="AE41" s="1531">
        <f ca="1">AD43*'Timing &amp; Flags'!AE43</f>
        <v>6967936720.2900257</v>
      </c>
      <c r="AF41" s="1531">
        <f ca="1">AE43*'Timing &amp; Flags'!AF43</f>
        <v>7176319197.5057688</v>
      </c>
      <c r="AG41" s="1531">
        <f ca="1">AF43*'Timing &amp; Flags'!AG43</f>
        <v>7410087118.0503836</v>
      </c>
      <c r="AH41" s="1531">
        <f ca="1">AG43*'Timing &amp; Flags'!AH43</f>
        <v>7663044541.6729469</v>
      </c>
      <c r="AI41" s="1531">
        <f ca="1">AH43*'Timing &amp; Flags'!AI43</f>
        <v>7937849158.0875101</v>
      </c>
      <c r="AJ41" s="1531">
        <f ca="1">AI43*'Timing &amp; Flags'!AJ43</f>
        <v>8219935390.2149868</v>
      </c>
      <c r="AK41" s="1531">
        <f ca="1">AJ43*'Timing &amp; Flags'!AK43</f>
        <v>9875293214.6079426</v>
      </c>
      <c r="AL41" s="1531">
        <f ca="1">AK43*'Timing &amp; Flags'!AL43</f>
        <v>11605184399.40288</v>
      </c>
      <c r="AM41" s="1531"/>
      <c r="AN41" s="1531"/>
      <c r="AO41" s="1531"/>
      <c r="AP41" s="1531"/>
      <c r="AQ41" s="1531"/>
      <c r="AR41" s="1531"/>
      <c r="AS41" s="1531"/>
      <c r="AT41" s="1531"/>
      <c r="AU41" s="1531"/>
      <c r="AV41" s="1531"/>
      <c r="AW41" s="1531"/>
    </row>
    <row r="42" spans="1:49">
      <c r="B42" s="27" t="s">
        <v>504</v>
      </c>
      <c r="C42" s="207" t="str">
        <f>$C$7</f>
        <v>US$</v>
      </c>
      <c r="D42" s="192">
        <f ca="1">SUM(I42:AW42)</f>
        <v>12371105346.757208</v>
      </c>
      <c r="E42" s="27"/>
      <c r="F42" s="27"/>
      <c r="G42" s="27"/>
      <c r="H42" s="27"/>
      <c r="I42" s="108">
        <f ca="1">I39</f>
        <v>0</v>
      </c>
      <c r="J42" s="1532">
        <f t="shared" ref="J42:AL42" ca="1" si="10">J39</f>
        <v>-132913371.73613448</v>
      </c>
      <c r="K42" s="1532">
        <f t="shared" ca="1" si="10"/>
        <v>632979160.75820112</v>
      </c>
      <c r="L42" s="1532">
        <f t="shared" ca="1" si="10"/>
        <v>245497404.88318071</v>
      </c>
      <c r="M42" s="1532">
        <f t="shared" ca="1" si="10"/>
        <v>409823324.46552622</v>
      </c>
      <c r="N42" s="1532">
        <f t="shared" ca="1" si="10"/>
        <v>349666505.57265675</v>
      </c>
      <c r="O42" s="1532">
        <f t="shared" ca="1" si="10"/>
        <v>402760422.1229381</v>
      </c>
      <c r="P42" s="1532">
        <f t="shared" ca="1" si="10"/>
        <v>444654039.34587759</v>
      </c>
      <c r="Q42" s="1532">
        <f t="shared" ca="1" si="10"/>
        <v>480615379.08489227</v>
      </c>
      <c r="R42" s="1532">
        <f t="shared" ca="1" si="10"/>
        <v>294026423.94115806</v>
      </c>
      <c r="S42" s="1532">
        <f t="shared" ca="1" si="10"/>
        <v>599739205.0296818</v>
      </c>
      <c r="T42" s="1532">
        <f t="shared" ca="1" si="10"/>
        <v>577993481.32783329</v>
      </c>
      <c r="U42" s="1532">
        <f t="shared" ca="1" si="10"/>
        <v>560255552.35720789</v>
      </c>
      <c r="V42" s="1532">
        <f t="shared" ca="1" si="10"/>
        <v>551924629.02857232</v>
      </c>
      <c r="W42" s="1532">
        <f t="shared" ca="1" si="10"/>
        <v>538300919.5181787</v>
      </c>
      <c r="X42" s="1532">
        <f t="shared" ca="1" si="10"/>
        <v>136978913.88037777</v>
      </c>
      <c r="Y42" s="1532">
        <f t="shared" ca="1" si="10"/>
        <v>62974842.417754173</v>
      </c>
      <c r="Z42" s="1532">
        <f t="shared" ca="1" si="10"/>
        <v>87661559.830900908</v>
      </c>
      <c r="AA42" s="1532">
        <f t="shared" ca="1" si="10"/>
        <v>99322708.758642912</v>
      </c>
      <c r="AB42" s="1532">
        <f t="shared" ca="1" si="10"/>
        <v>135318332.90804648</v>
      </c>
      <c r="AC42" s="1532">
        <f t="shared" ca="1" si="10"/>
        <v>163961972.25809383</v>
      </c>
      <c r="AD42" s="1532">
        <f t="shared" ca="1" si="10"/>
        <v>193481942.80030298</v>
      </c>
      <c r="AE42" s="1532">
        <f t="shared" ca="1" si="10"/>
        <v>208382477.2157433</v>
      </c>
      <c r="AF42" s="1532">
        <f t="shared" ca="1" si="10"/>
        <v>233767920.54461479</v>
      </c>
      <c r="AG42" s="1532">
        <f t="shared" ca="1" si="10"/>
        <v>252957423.62256336</v>
      </c>
      <c r="AH42" s="1532">
        <f t="shared" ca="1" si="10"/>
        <v>274804616.41456318</v>
      </c>
      <c r="AI42" s="1532">
        <f t="shared" ca="1" si="10"/>
        <v>282086232.12747669</v>
      </c>
      <c r="AJ42" s="1532">
        <f t="shared" ca="1" si="10"/>
        <v>1655357824.3929558</v>
      </c>
      <c r="AK42" s="1532">
        <f t="shared" ca="1" si="10"/>
        <v>1729891184.7949376</v>
      </c>
      <c r="AL42" s="1532">
        <f t="shared" ca="1" si="10"/>
        <v>898834319.09046316</v>
      </c>
      <c r="AM42" s="1532"/>
      <c r="AN42" s="1532"/>
      <c r="AO42" s="1532"/>
      <c r="AP42" s="1532"/>
      <c r="AQ42" s="1532"/>
      <c r="AR42" s="1532"/>
      <c r="AS42" s="1532"/>
      <c r="AT42" s="1532"/>
      <c r="AU42" s="1532"/>
      <c r="AV42" s="1532"/>
      <c r="AW42" s="1532"/>
    </row>
    <row r="43" spans="1:49">
      <c r="B43" s="2" t="s">
        <v>505</v>
      </c>
      <c r="C43" s="208" t="str">
        <f>$C$7</f>
        <v>US$</v>
      </c>
      <c r="D43" s="37"/>
      <c r="I43" s="1531">
        <f ca="1">SUM(I41:I42)</f>
        <v>0</v>
      </c>
      <c r="J43" s="1531">
        <f t="shared" ref="J43:AL43" ca="1" si="11">SUM(J41:J42)</f>
        <v>-132913371.73613448</v>
      </c>
      <c r="K43" s="1531">
        <f t="shared" ca="1" si="11"/>
        <v>632979160.75820112</v>
      </c>
      <c r="L43" s="1531">
        <f t="shared" ca="1" si="11"/>
        <v>878476565.64138186</v>
      </c>
      <c r="M43" s="1531">
        <f t="shared" ca="1" si="11"/>
        <v>1288299890.1069081</v>
      </c>
      <c r="N43" s="1531">
        <f t="shared" ca="1" si="11"/>
        <v>1637966395.679565</v>
      </c>
      <c r="O43" s="1531">
        <f t="shared" ca="1" si="11"/>
        <v>2040726817.8025031</v>
      </c>
      <c r="P43" s="1531">
        <f t="shared" ca="1" si="11"/>
        <v>2485380857.1483808</v>
      </c>
      <c r="Q43" s="1531">
        <f t="shared" ca="1" si="11"/>
        <v>2965996236.233273</v>
      </c>
      <c r="R43" s="1531">
        <f t="shared" ca="1" si="11"/>
        <v>3260022660.1744308</v>
      </c>
      <c r="S43" s="1531">
        <f t="shared" ca="1" si="11"/>
        <v>3859761865.2041125</v>
      </c>
      <c r="T43" s="1531">
        <f t="shared" ca="1" si="11"/>
        <v>4437755346.5319462</v>
      </c>
      <c r="U43" s="1531">
        <f t="shared" ca="1" si="11"/>
        <v>4998010898.8891544</v>
      </c>
      <c r="V43" s="1531">
        <f t="shared" ca="1" si="11"/>
        <v>5549935527.9177265</v>
      </c>
      <c r="W43" s="1531">
        <f t="shared" ca="1" si="11"/>
        <v>6088236447.4359055</v>
      </c>
      <c r="X43" s="1531">
        <f t="shared" ca="1" si="11"/>
        <v>6225215361.3162832</v>
      </c>
      <c r="Y43" s="1531">
        <f t="shared" ca="1" si="11"/>
        <v>6288190203.7340374</v>
      </c>
      <c r="Z43" s="1531">
        <f t="shared" ca="1" si="11"/>
        <v>6375851763.5649385</v>
      </c>
      <c r="AA43" s="1531">
        <f t="shared" ca="1" si="11"/>
        <v>6475174472.3235817</v>
      </c>
      <c r="AB43" s="1531">
        <f t="shared" ca="1" si="11"/>
        <v>6610492805.2316284</v>
      </c>
      <c r="AC43" s="1531">
        <f t="shared" ca="1" si="11"/>
        <v>6774454777.4897223</v>
      </c>
      <c r="AD43" s="1531">
        <f t="shared" ca="1" si="11"/>
        <v>6967936720.2900257</v>
      </c>
      <c r="AE43" s="1531">
        <f t="shared" ca="1" si="11"/>
        <v>7176319197.5057688</v>
      </c>
      <c r="AF43" s="1531">
        <f t="shared" ca="1" si="11"/>
        <v>7410087118.0503836</v>
      </c>
      <c r="AG43" s="1531">
        <f t="shared" ca="1" si="11"/>
        <v>7663044541.6729469</v>
      </c>
      <c r="AH43" s="1531">
        <f t="shared" ca="1" si="11"/>
        <v>7937849158.0875101</v>
      </c>
      <c r="AI43" s="1531">
        <f t="shared" ca="1" si="11"/>
        <v>8219935390.2149868</v>
      </c>
      <c r="AJ43" s="1531">
        <f t="shared" ca="1" si="11"/>
        <v>9875293214.6079426</v>
      </c>
      <c r="AK43" s="1531">
        <f t="shared" ca="1" si="11"/>
        <v>11605184399.40288</v>
      </c>
      <c r="AL43" s="1531">
        <f t="shared" ca="1" si="11"/>
        <v>12504018718.493343</v>
      </c>
      <c r="AM43" s="1531"/>
      <c r="AN43" s="1531"/>
      <c r="AO43" s="1531"/>
      <c r="AP43" s="1531"/>
      <c r="AQ43" s="1531"/>
      <c r="AR43" s="1531"/>
      <c r="AS43" s="1531"/>
      <c r="AT43" s="1531"/>
      <c r="AU43" s="1531"/>
      <c r="AV43" s="1531"/>
      <c r="AW43" s="1531"/>
    </row>
    <row r="44" spans="1:49">
      <c r="B44" s="5"/>
    </row>
    <row r="45" spans="1:49">
      <c r="A45" s="12"/>
    </row>
    <row r="46" spans="1:49">
      <c r="A46" s="40" t="s">
        <v>373</v>
      </c>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ht="11.25">
      <c r="B47" s="10"/>
      <c r="G47" s="2547" t="s">
        <v>0</v>
      </c>
      <c r="I47" s="2546">
        <v>1</v>
      </c>
      <c r="J47" s="2546">
        <v>2</v>
      </c>
      <c r="K47" s="2546">
        <v>3</v>
      </c>
      <c r="L47" s="2546">
        <v>4</v>
      </c>
      <c r="M47" s="2546">
        <v>5</v>
      </c>
      <c r="N47" s="2546">
        <v>6</v>
      </c>
      <c r="O47" s="2546">
        <v>7</v>
      </c>
      <c r="P47" s="2546">
        <v>8</v>
      </c>
      <c r="Q47" s="2546">
        <v>9</v>
      </c>
      <c r="R47" s="2546">
        <v>10</v>
      </c>
      <c r="S47" s="2546">
        <v>11</v>
      </c>
      <c r="T47" s="2546">
        <v>12</v>
      </c>
      <c r="U47" s="2546">
        <v>13</v>
      </c>
      <c r="V47" s="2546">
        <v>14</v>
      </c>
      <c r="W47" s="2546">
        <v>15</v>
      </c>
      <c r="X47" s="2546">
        <v>16</v>
      </c>
      <c r="Y47" s="2546">
        <v>17</v>
      </c>
      <c r="Z47" s="2546">
        <v>18</v>
      </c>
      <c r="AA47" s="2546">
        <v>19</v>
      </c>
      <c r="AB47" s="2546">
        <v>20</v>
      </c>
      <c r="AC47" s="2546">
        <v>21</v>
      </c>
      <c r="AD47" s="2546">
        <v>22</v>
      </c>
      <c r="AE47" s="2546">
        <v>23</v>
      </c>
      <c r="AF47" s="2546">
        <v>24</v>
      </c>
      <c r="AG47" s="2546">
        <v>25</v>
      </c>
      <c r="AH47" s="2546">
        <v>26</v>
      </c>
      <c r="AI47" s="2546">
        <v>27</v>
      </c>
      <c r="AJ47" s="2546">
        <v>28</v>
      </c>
      <c r="AK47" s="2546">
        <v>29</v>
      </c>
      <c r="AL47" s="2546">
        <v>30</v>
      </c>
    </row>
    <row r="48" spans="1:49" ht="11.25">
      <c r="B48" s="10"/>
      <c r="G48" s="2547" t="s">
        <v>1</v>
      </c>
      <c r="I48" s="2548">
        <v>46023</v>
      </c>
      <c r="J48" s="2548">
        <v>46388</v>
      </c>
      <c r="K48" s="2548">
        <v>46753</v>
      </c>
      <c r="L48" s="2548">
        <v>47119</v>
      </c>
      <c r="M48" s="2548">
        <v>47484</v>
      </c>
      <c r="N48" s="2548">
        <v>47849</v>
      </c>
      <c r="O48" s="2548">
        <v>48214</v>
      </c>
      <c r="P48" s="2548">
        <v>48580</v>
      </c>
      <c r="Q48" s="2548">
        <v>48945</v>
      </c>
      <c r="R48" s="2548">
        <v>49310</v>
      </c>
      <c r="S48" s="2548">
        <v>49675</v>
      </c>
      <c r="T48" s="2548">
        <v>50041</v>
      </c>
      <c r="U48" s="2548">
        <v>50406</v>
      </c>
      <c r="V48" s="2548">
        <v>50771</v>
      </c>
      <c r="W48" s="2548">
        <v>51136</v>
      </c>
      <c r="X48" s="2548">
        <v>51502</v>
      </c>
      <c r="Y48" s="2548">
        <v>51867</v>
      </c>
      <c r="Z48" s="2548">
        <v>52232</v>
      </c>
      <c r="AA48" s="2548">
        <v>52597</v>
      </c>
      <c r="AB48" s="2548">
        <v>52963</v>
      </c>
      <c r="AC48" s="2548">
        <v>53328</v>
      </c>
      <c r="AD48" s="2548">
        <v>53693</v>
      </c>
      <c r="AE48" s="2548">
        <v>54058</v>
      </c>
      <c r="AF48" s="2548">
        <v>54424</v>
      </c>
      <c r="AG48" s="2548">
        <v>54789</v>
      </c>
      <c r="AH48" s="2548">
        <v>55154</v>
      </c>
      <c r="AI48" s="2548">
        <v>55519</v>
      </c>
      <c r="AJ48" s="2548">
        <v>55885</v>
      </c>
      <c r="AK48" s="2548">
        <v>56250</v>
      </c>
      <c r="AL48" s="2548">
        <v>56615</v>
      </c>
    </row>
    <row r="49" spans="1:38" ht="11.25">
      <c r="B49" s="10"/>
      <c r="G49" s="2547" t="s">
        <v>2</v>
      </c>
      <c r="I49" s="2549">
        <v>46387</v>
      </c>
      <c r="J49" s="2549">
        <v>46752</v>
      </c>
      <c r="K49" s="2549">
        <v>47118</v>
      </c>
      <c r="L49" s="2549">
        <v>47483</v>
      </c>
      <c r="M49" s="2549">
        <v>47848</v>
      </c>
      <c r="N49" s="2549">
        <v>48213</v>
      </c>
      <c r="O49" s="2549">
        <v>48579</v>
      </c>
      <c r="P49" s="2549">
        <v>48944</v>
      </c>
      <c r="Q49" s="2549">
        <v>49309</v>
      </c>
      <c r="R49" s="2549">
        <v>49674</v>
      </c>
      <c r="S49" s="2549">
        <v>50040</v>
      </c>
      <c r="T49" s="2549">
        <v>50405</v>
      </c>
      <c r="U49" s="2549">
        <v>50770</v>
      </c>
      <c r="V49" s="2549">
        <v>51135</v>
      </c>
      <c r="W49" s="2549">
        <v>51501</v>
      </c>
      <c r="X49" s="2549">
        <v>51866</v>
      </c>
      <c r="Y49" s="2549">
        <v>52231</v>
      </c>
      <c r="Z49" s="2549">
        <v>52596</v>
      </c>
      <c r="AA49" s="2549">
        <v>52962</v>
      </c>
      <c r="AB49" s="2549">
        <v>53327</v>
      </c>
      <c r="AC49" s="2549">
        <v>53692</v>
      </c>
      <c r="AD49" s="2549">
        <v>54057</v>
      </c>
      <c r="AE49" s="2549">
        <v>54423</v>
      </c>
      <c r="AF49" s="2549">
        <v>54788</v>
      </c>
      <c r="AG49" s="2549">
        <v>55153</v>
      </c>
      <c r="AH49" s="2549">
        <v>55518</v>
      </c>
      <c r="AI49" s="2549">
        <v>55884</v>
      </c>
      <c r="AJ49" s="2549">
        <v>56249</v>
      </c>
      <c r="AK49" s="2549">
        <v>56614</v>
      </c>
      <c r="AL49" s="2549">
        <v>56979</v>
      </c>
    </row>
    <row r="50" spans="1:38" ht="11.25">
      <c r="G50" s="2547" t="s">
        <v>3</v>
      </c>
      <c r="I50" s="2550">
        <v>365</v>
      </c>
      <c r="J50" s="2550">
        <v>366</v>
      </c>
      <c r="K50" s="2550">
        <v>365</v>
      </c>
      <c r="L50" s="2550">
        <v>365</v>
      </c>
      <c r="M50" s="2550">
        <v>365</v>
      </c>
      <c r="N50" s="2550">
        <v>366</v>
      </c>
      <c r="O50" s="2550">
        <v>365</v>
      </c>
      <c r="P50" s="2550">
        <v>365</v>
      </c>
      <c r="Q50" s="2550">
        <v>365</v>
      </c>
      <c r="R50" s="2550">
        <v>366</v>
      </c>
      <c r="S50" s="2550">
        <v>365</v>
      </c>
      <c r="T50" s="2550">
        <v>365</v>
      </c>
      <c r="U50" s="2550">
        <v>365</v>
      </c>
      <c r="V50" s="2550">
        <v>366</v>
      </c>
      <c r="W50" s="2550">
        <v>365</v>
      </c>
      <c r="X50" s="2550">
        <v>365</v>
      </c>
      <c r="Y50" s="2550">
        <v>365</v>
      </c>
      <c r="Z50" s="2550">
        <v>366</v>
      </c>
      <c r="AA50" s="2550">
        <v>365</v>
      </c>
      <c r="AB50" s="2550">
        <v>365</v>
      </c>
      <c r="AC50" s="2550">
        <v>365</v>
      </c>
      <c r="AD50" s="2550">
        <v>366</v>
      </c>
      <c r="AE50" s="2550">
        <v>365</v>
      </c>
      <c r="AF50" s="2550">
        <v>365</v>
      </c>
      <c r="AG50" s="2550">
        <v>365</v>
      </c>
      <c r="AH50" s="2550">
        <v>366</v>
      </c>
      <c r="AI50" s="2550">
        <v>365</v>
      </c>
      <c r="AJ50" s="2550">
        <v>365</v>
      </c>
      <c r="AK50" s="2550">
        <v>365</v>
      </c>
      <c r="AL50" s="2550">
        <v>365</v>
      </c>
    </row>
    <row r="51" spans="1:38">
      <c r="D51" s="42"/>
    </row>
    <row r="52" spans="1:38">
      <c r="E52" s="2" t="s">
        <v>483</v>
      </c>
      <c r="I52" s="42">
        <f ca="1">I12</f>
        <v>0</v>
      </c>
      <c r="J52" s="42">
        <f t="shared" ref="J52:AL52" ca="1" si="12">J12</f>
        <v>-132913371.73613448</v>
      </c>
      <c r="K52" s="42">
        <f t="shared" ca="1" si="12"/>
        <v>632979160.75820267</v>
      </c>
      <c r="L52" s="42">
        <f t="shared" ca="1" si="12"/>
        <v>1098825625.1228125</v>
      </c>
      <c r="M52" s="42">
        <f t="shared" ca="1" si="12"/>
        <v>1287138816.7670498</v>
      </c>
      <c r="N52" s="42">
        <f t="shared" ca="1" si="12"/>
        <v>1235142969.2183952</v>
      </c>
      <c r="O52" s="42">
        <f t="shared" ca="1" si="12"/>
        <v>1311538698.7171669</v>
      </c>
      <c r="P52" s="42">
        <f t="shared" ca="1" si="12"/>
        <v>1378423205.9664679</v>
      </c>
      <c r="Q52" s="42">
        <f t="shared" ca="1" si="12"/>
        <v>1446283930.695797</v>
      </c>
      <c r="R52" s="42">
        <f t="shared" ca="1" si="12"/>
        <v>1256061193.4168353</v>
      </c>
      <c r="S52" s="42">
        <f t="shared" ca="1" si="12"/>
        <v>1207884203.90569</v>
      </c>
      <c r="T52" s="42">
        <f t="shared" ca="1" si="12"/>
        <v>1272352254.8749526</v>
      </c>
      <c r="U52" s="42">
        <f t="shared" ca="1" si="12"/>
        <v>1340189102.7203531</v>
      </c>
      <c r="V52" s="42">
        <f t="shared" ca="1" si="12"/>
        <v>1413538180.374898</v>
      </c>
      <c r="W52" s="42">
        <f t="shared" ca="1" si="12"/>
        <v>1488162019.2188802</v>
      </c>
      <c r="X52" s="42">
        <f t="shared" ca="1" si="12"/>
        <v>1095516892.2922254</v>
      </c>
      <c r="Y52" s="42">
        <f t="shared" ca="1" si="12"/>
        <v>1029475513.2958392</v>
      </c>
      <c r="Z52" s="42">
        <f t="shared" ca="1" si="12"/>
        <v>1064963715.097106</v>
      </c>
      <c r="AA52" s="42">
        <f t="shared" ca="1" si="12"/>
        <v>1098639069.1592007</v>
      </c>
      <c r="AB52" s="42">
        <f t="shared" ca="1" si="12"/>
        <v>1136243625.7467225</v>
      </c>
      <c r="AC52" s="42">
        <f t="shared" ca="1" si="12"/>
        <v>1173806114.2695174</v>
      </c>
      <c r="AD52" s="42">
        <f t="shared" ca="1" si="12"/>
        <v>1213404756.3520699</v>
      </c>
      <c r="AE52" s="42">
        <f t="shared" ca="1" si="12"/>
        <v>1250661968.0802062</v>
      </c>
      <c r="AF52" s="42">
        <f t="shared" ca="1" si="12"/>
        <v>1292310791.630621</v>
      </c>
      <c r="AG52" s="42">
        <f t="shared" ca="1" si="12"/>
        <v>1334032388.9405365</v>
      </c>
      <c r="AH52" s="42">
        <f t="shared" ca="1" si="12"/>
        <v>1378145502.7477803</v>
      </c>
      <c r="AI52" s="42">
        <f t="shared" ca="1" si="12"/>
        <v>1419714231.8299141</v>
      </c>
      <c r="AJ52" s="42">
        <f t="shared" ca="1" si="12"/>
        <v>1466299310.4180112</v>
      </c>
      <c r="AK52" s="42">
        <f t="shared" ca="1" si="12"/>
        <v>1502759440.8589549</v>
      </c>
      <c r="AL52" s="42">
        <f t="shared" ca="1" si="12"/>
        <v>1874050405.7442648</v>
      </c>
    </row>
    <row r="53" spans="1:38">
      <c r="E53" s="2" t="s">
        <v>489</v>
      </c>
      <c r="I53" s="42">
        <f ca="1">I20</f>
        <v>0</v>
      </c>
      <c r="J53" s="42">
        <f t="shared" ref="J53:AL53" ca="1" si="13">J20</f>
        <v>-132913371.73613448</v>
      </c>
      <c r="K53" s="42">
        <f t="shared" ca="1" si="13"/>
        <v>632979160.75820112</v>
      </c>
      <c r="L53" s="42">
        <f t="shared" ca="1" si="13"/>
        <v>1113384145.8202512</v>
      </c>
      <c r="M53" s="42">
        <f t="shared" ca="1" si="13"/>
        <v>1307343777.7768016</v>
      </c>
      <c r="N53" s="42">
        <f t="shared" ca="1" si="13"/>
        <v>1264692907.9545906</v>
      </c>
      <c r="O53" s="42">
        <f t="shared" ca="1" si="13"/>
        <v>1349315140.1386206</v>
      </c>
      <c r="P53" s="42">
        <f t="shared" ca="1" si="13"/>
        <v>1425359922.7759254</v>
      </c>
      <c r="Q53" s="42">
        <f t="shared" ca="1" si="13"/>
        <v>1503447690.4102097</v>
      </c>
      <c r="R53" s="42">
        <f t="shared" ca="1" si="13"/>
        <v>1324092719.1085794</v>
      </c>
      <c r="S53" s="42">
        <f t="shared" ca="1" si="13"/>
        <v>1283070151.1751375</v>
      </c>
      <c r="T53" s="42">
        <f t="shared" ca="1" si="13"/>
        <v>1361126777.7746472</v>
      </c>
      <c r="U53" s="42">
        <f t="shared" ca="1" si="13"/>
        <v>1442257475.690588</v>
      </c>
      <c r="V53" s="42">
        <f t="shared" ca="1" si="13"/>
        <v>1528178348.3972325</v>
      </c>
      <c r="W53" s="42">
        <f t="shared" ca="1" si="13"/>
        <v>1616160258.3257608</v>
      </c>
      <c r="X53" s="42">
        <f t="shared" ca="1" si="13"/>
        <v>1235546330.5832512</v>
      </c>
      <c r="Y53" s="42">
        <f t="shared" ca="1" si="13"/>
        <v>1172655466.6061137</v>
      </c>
      <c r="Z53" s="42">
        <f t="shared" ca="1" si="13"/>
        <v>1209196930.2893116</v>
      </c>
      <c r="AA53" s="42">
        <f t="shared" ca="1" si="13"/>
        <v>1245685425.722734</v>
      </c>
      <c r="AB53" s="42">
        <f t="shared" ca="1" si="13"/>
        <v>1285172638.6101649</v>
      </c>
      <c r="AC53" s="42">
        <f t="shared" ca="1" si="13"/>
        <v>1325847448.789845</v>
      </c>
      <c r="AD53" s="42">
        <f t="shared" ca="1" si="13"/>
        <v>1368791499.13083</v>
      </c>
      <c r="AE53" s="42">
        <f t="shared" ca="1" si="13"/>
        <v>1411363588.111443</v>
      </c>
      <c r="AF53" s="42">
        <f t="shared" ca="1" si="13"/>
        <v>1457366133.1732535</v>
      </c>
      <c r="AG53" s="42">
        <f t="shared" ca="1" si="13"/>
        <v>1504464392.6556954</v>
      </c>
      <c r="AH53" s="42">
        <f t="shared" ca="1" si="13"/>
        <v>1553913969.7623825</v>
      </c>
      <c r="AI53" s="42">
        <f t="shared" ca="1" si="13"/>
        <v>1602784955.700546</v>
      </c>
      <c r="AJ53" s="42">
        <f t="shared" ca="1" si="13"/>
        <v>1655357824.3929558</v>
      </c>
      <c r="AK53" s="42">
        <f t="shared" ca="1" si="13"/>
        <v>1729891184.7949376</v>
      </c>
      <c r="AL53" s="42">
        <f t="shared" ca="1" si="13"/>
        <v>2140969646.930531</v>
      </c>
    </row>
    <row r="54" spans="1:38">
      <c r="B54" s="10"/>
      <c r="E54" s="10" t="s">
        <v>501</v>
      </c>
      <c r="I54" s="37">
        <f ca="1">I36</f>
        <v>0</v>
      </c>
      <c r="J54" s="37">
        <f t="shared" ref="J54:AL54" ca="1" si="14">J36</f>
        <v>-132913371.73613448</v>
      </c>
      <c r="K54" s="37">
        <f t="shared" ca="1" si="14"/>
        <v>632979160.75820112</v>
      </c>
      <c r="L54" s="37">
        <f t="shared" ca="1" si="14"/>
        <v>245497404.88318071</v>
      </c>
      <c r="M54" s="37">
        <f t="shared" ca="1" si="14"/>
        <v>409823324.46552622</v>
      </c>
      <c r="N54" s="37">
        <f t="shared" ca="1" si="14"/>
        <v>349666505.57265675</v>
      </c>
      <c r="O54" s="37">
        <f t="shared" ca="1" si="14"/>
        <v>402760422.1229381</v>
      </c>
      <c r="P54" s="37">
        <f t="shared" ca="1" si="14"/>
        <v>444654039.34587759</v>
      </c>
      <c r="Q54" s="37">
        <f t="shared" ca="1" si="14"/>
        <v>480615379.08489227</v>
      </c>
      <c r="R54" s="37">
        <f t="shared" ca="1" si="14"/>
        <v>294026423.94115806</v>
      </c>
      <c r="S54" s="37">
        <f t="shared" ca="1" si="14"/>
        <v>599739205.0296818</v>
      </c>
      <c r="T54" s="37">
        <f t="shared" ca="1" si="14"/>
        <v>577993481.32783329</v>
      </c>
      <c r="U54" s="37">
        <f t="shared" ca="1" si="14"/>
        <v>560255552.35720789</v>
      </c>
      <c r="V54" s="37">
        <f t="shared" ca="1" si="14"/>
        <v>551924629.02857232</v>
      </c>
      <c r="W54" s="37">
        <f t="shared" ca="1" si="14"/>
        <v>538300919.5181787</v>
      </c>
      <c r="X54" s="37">
        <f t="shared" ca="1" si="14"/>
        <v>136978913.88037777</v>
      </c>
      <c r="Y54" s="37">
        <f t="shared" ca="1" si="14"/>
        <v>62974842.417754173</v>
      </c>
      <c r="Z54" s="37">
        <f t="shared" ca="1" si="14"/>
        <v>87661559.830900908</v>
      </c>
      <c r="AA54" s="37">
        <f t="shared" ca="1" si="14"/>
        <v>99322708.758642912</v>
      </c>
      <c r="AB54" s="37">
        <f t="shared" ca="1" si="14"/>
        <v>135318332.90804648</v>
      </c>
      <c r="AC54" s="37">
        <f t="shared" ca="1" si="14"/>
        <v>163961972.25809383</v>
      </c>
      <c r="AD54" s="37">
        <f t="shared" ca="1" si="14"/>
        <v>193481942.80030298</v>
      </c>
      <c r="AE54" s="37">
        <f t="shared" ca="1" si="14"/>
        <v>208382477.2157433</v>
      </c>
      <c r="AF54" s="37">
        <f t="shared" ca="1" si="14"/>
        <v>233767920.54461479</v>
      </c>
      <c r="AG54" s="37">
        <f t="shared" ca="1" si="14"/>
        <v>252957423.62256336</v>
      </c>
      <c r="AH54" s="37">
        <f t="shared" ca="1" si="14"/>
        <v>274804616.41456318</v>
      </c>
      <c r="AI54" s="37">
        <f t="shared" ca="1" si="14"/>
        <v>282086232.12747669</v>
      </c>
      <c r="AJ54" s="37">
        <f t="shared" ca="1" si="14"/>
        <v>1655357824.3929558</v>
      </c>
      <c r="AK54" s="37">
        <f t="shared" ca="1" si="14"/>
        <v>1729891184.7949376</v>
      </c>
      <c r="AL54" s="37">
        <f t="shared" ca="1" si="14"/>
        <v>2140969646.930531</v>
      </c>
    </row>
    <row r="55" spans="1:38">
      <c r="E55" s="2" t="s">
        <v>499</v>
      </c>
      <c r="I55" s="37">
        <f ca="1">I33</f>
        <v>0</v>
      </c>
      <c r="J55" s="37">
        <f t="shared" ref="J55:AL55" ca="1" si="15">J33</f>
        <v>-132913371.73613448</v>
      </c>
      <c r="K55" s="37">
        <f t="shared" ca="1" si="15"/>
        <v>632979160.75820112</v>
      </c>
      <c r="L55" s="37">
        <f t="shared" ca="1" si="15"/>
        <v>400522681.1728363</v>
      </c>
      <c r="M55" s="37">
        <f t="shared" ca="1" si="15"/>
        <v>637170363.89615703</v>
      </c>
      <c r="N55" s="37">
        <f t="shared" ca="1" si="15"/>
        <v>637790714.93315852</v>
      </c>
      <c r="O55" s="37">
        <f t="shared" ca="1" si="15"/>
        <v>764050013.53653836</v>
      </c>
      <c r="P55" s="37">
        <f t="shared" ca="1" si="15"/>
        <v>883250661.19559181</v>
      </c>
      <c r="Q55" s="37">
        <f t="shared" ca="1" si="15"/>
        <v>1004026479.5966463</v>
      </c>
      <c r="R55" s="37">
        <f t="shared" ca="1" si="15"/>
        <v>867476193.08027482</v>
      </c>
      <c r="S55" s="37">
        <f t="shared" ca="1" si="15"/>
        <v>1283070151.1751375</v>
      </c>
      <c r="T55" s="37">
        <f t="shared" ca="1" si="15"/>
        <v>1361126777.7746472</v>
      </c>
      <c r="U55" s="37">
        <f t="shared" ca="1" si="15"/>
        <v>1442257475.690588</v>
      </c>
      <c r="V55" s="37">
        <f t="shared" ca="1" si="15"/>
        <v>1528178348.3972325</v>
      </c>
      <c r="W55" s="37">
        <f t="shared" ca="1" si="15"/>
        <v>1616160258.3257608</v>
      </c>
      <c r="X55" s="37">
        <f t="shared" ca="1" si="15"/>
        <v>1235546330.5832512</v>
      </c>
      <c r="Y55" s="37">
        <f t="shared" ca="1" si="15"/>
        <v>1172655466.6061137</v>
      </c>
      <c r="Z55" s="37">
        <f t="shared" ca="1" si="15"/>
        <v>1209196930.2893116</v>
      </c>
      <c r="AA55" s="37">
        <f t="shared" ca="1" si="15"/>
        <v>1245685425.722734</v>
      </c>
      <c r="AB55" s="37">
        <f t="shared" ca="1" si="15"/>
        <v>1285172638.6101649</v>
      </c>
      <c r="AC55" s="37">
        <f t="shared" ca="1" si="15"/>
        <v>1325847448.789845</v>
      </c>
      <c r="AD55" s="37">
        <f t="shared" ca="1" si="15"/>
        <v>1368791499.13083</v>
      </c>
      <c r="AE55" s="37">
        <f t="shared" ca="1" si="15"/>
        <v>1411363588.111443</v>
      </c>
      <c r="AF55" s="37">
        <f t="shared" ca="1" si="15"/>
        <v>1457366133.1732535</v>
      </c>
      <c r="AG55" s="37">
        <f t="shared" ca="1" si="15"/>
        <v>1504464392.6556954</v>
      </c>
      <c r="AH55" s="37">
        <f t="shared" ca="1" si="15"/>
        <v>1553913969.7623825</v>
      </c>
      <c r="AI55" s="37">
        <f t="shared" ca="1" si="15"/>
        <v>1602784955.700546</v>
      </c>
      <c r="AJ55" s="37">
        <f t="shared" ca="1" si="15"/>
        <v>1655357824.3929558</v>
      </c>
      <c r="AK55" s="37">
        <f t="shared" ca="1" si="15"/>
        <v>1729891184.7949376</v>
      </c>
      <c r="AL55" s="37">
        <f t="shared" ca="1" si="15"/>
        <v>2140969646.930531</v>
      </c>
    </row>
    <row r="56" spans="1:38">
      <c r="B56" s="11"/>
      <c r="E56" s="2" t="s">
        <v>502</v>
      </c>
      <c r="I56" s="37">
        <f ca="1">I39</f>
        <v>0</v>
      </c>
      <c r="J56" s="37">
        <f t="shared" ref="J56:AL56" ca="1" si="16">J39</f>
        <v>-132913371.73613448</v>
      </c>
      <c r="K56" s="37">
        <f t="shared" ca="1" si="16"/>
        <v>632979160.75820112</v>
      </c>
      <c r="L56" s="37">
        <f t="shared" ca="1" si="16"/>
        <v>245497404.88318071</v>
      </c>
      <c r="M56" s="37">
        <f t="shared" ca="1" si="16"/>
        <v>409823324.46552622</v>
      </c>
      <c r="N56" s="37">
        <f t="shared" ca="1" si="16"/>
        <v>349666505.57265675</v>
      </c>
      <c r="O56" s="37">
        <f t="shared" ca="1" si="16"/>
        <v>402760422.1229381</v>
      </c>
      <c r="P56" s="37">
        <f t="shared" ca="1" si="16"/>
        <v>444654039.34587759</v>
      </c>
      <c r="Q56" s="37">
        <f t="shared" ca="1" si="16"/>
        <v>480615379.08489227</v>
      </c>
      <c r="R56" s="37">
        <f t="shared" ca="1" si="16"/>
        <v>294026423.94115806</v>
      </c>
      <c r="S56" s="37">
        <f t="shared" ca="1" si="16"/>
        <v>599739205.0296818</v>
      </c>
      <c r="T56" s="37">
        <f t="shared" ca="1" si="16"/>
        <v>577993481.32783329</v>
      </c>
      <c r="U56" s="37">
        <f t="shared" ca="1" si="16"/>
        <v>560255552.35720789</v>
      </c>
      <c r="V56" s="37">
        <f t="shared" ca="1" si="16"/>
        <v>551924629.02857232</v>
      </c>
      <c r="W56" s="37">
        <f t="shared" ca="1" si="16"/>
        <v>538300919.5181787</v>
      </c>
      <c r="X56" s="37">
        <f t="shared" ca="1" si="16"/>
        <v>136978913.88037777</v>
      </c>
      <c r="Y56" s="37">
        <f t="shared" ca="1" si="16"/>
        <v>62974842.417754173</v>
      </c>
      <c r="Z56" s="37">
        <f t="shared" ca="1" si="16"/>
        <v>87661559.830900908</v>
      </c>
      <c r="AA56" s="37">
        <f t="shared" ca="1" si="16"/>
        <v>99322708.758642912</v>
      </c>
      <c r="AB56" s="37">
        <f t="shared" ca="1" si="16"/>
        <v>135318332.90804648</v>
      </c>
      <c r="AC56" s="37">
        <f t="shared" ca="1" si="16"/>
        <v>163961972.25809383</v>
      </c>
      <c r="AD56" s="37">
        <f t="shared" ca="1" si="16"/>
        <v>193481942.80030298</v>
      </c>
      <c r="AE56" s="37">
        <f t="shared" ca="1" si="16"/>
        <v>208382477.2157433</v>
      </c>
      <c r="AF56" s="37">
        <f t="shared" ca="1" si="16"/>
        <v>233767920.54461479</v>
      </c>
      <c r="AG56" s="37">
        <f t="shared" ca="1" si="16"/>
        <v>252957423.62256336</v>
      </c>
      <c r="AH56" s="37">
        <f t="shared" ca="1" si="16"/>
        <v>274804616.41456318</v>
      </c>
      <c r="AI56" s="37">
        <f t="shared" ca="1" si="16"/>
        <v>282086232.12747669</v>
      </c>
      <c r="AJ56" s="37">
        <f t="shared" ca="1" si="16"/>
        <v>1655357824.3929558</v>
      </c>
      <c r="AK56" s="37">
        <f t="shared" ca="1" si="16"/>
        <v>1729891184.7949376</v>
      </c>
      <c r="AL56" s="37">
        <f t="shared" ca="1" si="16"/>
        <v>898834319.09046316</v>
      </c>
    </row>
    <row r="57" spans="1:38">
      <c r="B57" s="11"/>
    </row>
    <row r="59" spans="1:38">
      <c r="A59" s="12"/>
    </row>
    <row r="66" spans="1:1">
      <c r="A66" s="12"/>
    </row>
  </sheetData>
  <sheetProtection formatCells="0" formatColumns="0" formatRows="0" insertColumns="0" insertRows="0" insertHyperlinks="0" deleteColumns="0" deleteRows="0" sort="0" autoFilter="0" pivotTables="0"/>
  <pageMargins left="0.7" right="0.7" top="0.75" bottom="0.75" header="0.3" footer="0.3"/>
  <pageSetup paperSize="9" orientation="portrait" r:id="rId1"/>
  <ignoredErrors>
    <ignoredError sqref="D16:D17 D18" formula="1"/>
  </ignoredError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65FE9-0AE4-4DD1-B3B0-FE76D95DB7EC}">
  <sheetPr codeName="Sheet47">
    <tabColor theme="4" tint="-0.249977111117893"/>
  </sheetPr>
  <dimension ref="C1:AU194"/>
  <sheetViews>
    <sheetView showGridLines="0" zoomScale="70" zoomScaleNormal="70" workbookViewId="0">
      <selection activeCell="D20" sqref="D20"/>
    </sheetView>
  </sheetViews>
  <sheetFormatPr defaultColWidth="9.01171875" defaultRowHeight="15"/>
  <cols>
    <col min="1" max="2" width="9.01171875" style="1742"/>
    <col min="3" max="3" width="50.17578125" style="1742" customWidth="1"/>
    <col min="4" max="4" width="54.34765625" style="1742" customWidth="1"/>
    <col min="5" max="5" width="38.60546875" style="1742" customWidth="1"/>
    <col min="6" max="6" width="20.04296875" style="1742" bestFit="1" customWidth="1"/>
    <col min="7" max="7" width="21.38671875" style="1742" customWidth="1"/>
    <col min="8" max="8" width="20.04296875" style="1742" bestFit="1" customWidth="1"/>
    <col min="9" max="14" width="24.6171875" style="1742" customWidth="1"/>
    <col min="15" max="15" width="34.5703125" style="1742" customWidth="1"/>
    <col min="16" max="16" width="32.8203125" style="1742" customWidth="1"/>
    <col min="17" max="19" width="24.6171875" style="1742" customWidth="1"/>
    <col min="20" max="44" width="23.26953125" style="1742" customWidth="1"/>
    <col min="45" max="45" width="21.5234375" style="1742" bestFit="1" customWidth="1"/>
    <col min="46" max="46" width="9.28125" style="1742" bestFit="1" customWidth="1"/>
    <col min="47" max="16384" width="9.01171875" style="1742"/>
  </cols>
  <sheetData>
    <row r="1" spans="4:45" ht="15.75" thickBot="1"/>
    <row r="2" spans="4:45" ht="15.75" customHeight="1" thickTop="1" thickBot="1">
      <c r="D2" s="3269" t="s">
        <v>1829</v>
      </c>
    </row>
    <row r="3" spans="4:45" ht="16.5" thickTop="1" thickBot="1"/>
    <row r="4" spans="4:45" ht="15.75" thickBot="1">
      <c r="D4" s="1743" t="s">
        <v>1040</v>
      </c>
      <c r="E4" s="1806">
        <f>IS!I3</f>
        <v>46023</v>
      </c>
      <c r="F4" s="1806">
        <f>IS!J3</f>
        <v>46388</v>
      </c>
      <c r="G4" s="1806">
        <f>IS!K3</f>
        <v>46753</v>
      </c>
      <c r="H4" s="1806">
        <f>IS!L3</f>
        <v>47119</v>
      </c>
      <c r="I4" s="1806">
        <f>IS!M3</f>
        <v>47484</v>
      </c>
      <c r="J4" s="1806">
        <f>IS!N3</f>
        <v>47849</v>
      </c>
      <c r="K4" s="1806">
        <f>IS!O3</f>
        <v>48214</v>
      </c>
      <c r="L4" s="1806">
        <f>IS!P3</f>
        <v>48580</v>
      </c>
      <c r="M4" s="1806">
        <f>IS!Q3</f>
        <v>48945</v>
      </c>
      <c r="N4" s="1806">
        <f>IS!R3</f>
        <v>49310</v>
      </c>
      <c r="O4" s="1806">
        <f>IS!S3</f>
        <v>49675</v>
      </c>
      <c r="P4" s="1806">
        <f>IS!T3</f>
        <v>50041</v>
      </c>
      <c r="Q4" s="1806">
        <f>IS!U3</f>
        <v>50406</v>
      </c>
      <c r="R4" s="1806">
        <f>IS!V3</f>
        <v>50771</v>
      </c>
      <c r="S4" s="1806">
        <f>IS!W3</f>
        <v>51136</v>
      </c>
      <c r="T4" s="1806">
        <f>IS!X3</f>
        <v>51502</v>
      </c>
      <c r="U4" s="1806">
        <f>IS!Y3</f>
        <v>51867</v>
      </c>
      <c r="V4" s="1806">
        <f>IS!Z3</f>
        <v>52232</v>
      </c>
      <c r="W4" s="1806">
        <f>IS!AA3</f>
        <v>52597</v>
      </c>
      <c r="X4" s="1806">
        <f>IS!AB3</f>
        <v>52963</v>
      </c>
      <c r="Y4" s="1806">
        <f>IS!AC3</f>
        <v>53328</v>
      </c>
      <c r="Z4" s="1806">
        <f>IS!AD3</f>
        <v>53693</v>
      </c>
      <c r="AA4" s="1806">
        <f>IS!AE3</f>
        <v>54058</v>
      </c>
      <c r="AB4" s="1806">
        <f>IS!AF3</f>
        <v>54424</v>
      </c>
      <c r="AC4" s="1806">
        <f>IS!AG3</f>
        <v>54789</v>
      </c>
      <c r="AD4" s="1806">
        <f>IS!AH3</f>
        <v>55154</v>
      </c>
      <c r="AE4" s="1806">
        <f>IS!AI3</f>
        <v>55519</v>
      </c>
      <c r="AF4" s="1806">
        <f>IS!AJ3</f>
        <v>55885</v>
      </c>
      <c r="AG4" s="1806">
        <f>IS!AK3</f>
        <v>56250</v>
      </c>
      <c r="AH4" s="1806">
        <f>IS!AL3</f>
        <v>56615</v>
      </c>
      <c r="AI4" s="1806">
        <f>IS!AM3</f>
        <v>0</v>
      </c>
      <c r="AJ4" s="1806">
        <f>IS!AN3</f>
        <v>0</v>
      </c>
      <c r="AK4" s="1806">
        <f>IS!AO3</f>
        <v>0</v>
      </c>
      <c r="AL4" s="1806">
        <f>IS!AP3</f>
        <v>0</v>
      </c>
      <c r="AM4" s="1806">
        <f>IS!AQ3</f>
        <v>0</v>
      </c>
      <c r="AN4" s="1806">
        <f>IS!AR3</f>
        <v>0</v>
      </c>
      <c r="AO4" s="1806">
        <f>IS!AS3</f>
        <v>0</v>
      </c>
      <c r="AP4" s="1806">
        <f>IS!AT3</f>
        <v>0</v>
      </c>
      <c r="AQ4" s="1806">
        <f>IS!AU3</f>
        <v>0</v>
      </c>
      <c r="AR4" s="1806">
        <f>IS!AV3</f>
        <v>0</v>
      </c>
      <c r="AS4" s="1806">
        <f>IS!AW3</f>
        <v>0</v>
      </c>
    </row>
    <row r="5" spans="4:45" ht="15.75" thickBot="1">
      <c r="D5" s="1744" t="s">
        <v>1040</v>
      </c>
      <c r="E5" s="1745">
        <v>1</v>
      </c>
      <c r="F5" s="1745">
        <v>2</v>
      </c>
      <c r="G5" s="1745">
        <v>3</v>
      </c>
      <c r="H5" s="1745">
        <v>4</v>
      </c>
      <c r="I5" s="1745">
        <v>5</v>
      </c>
      <c r="J5" s="1745">
        <v>6</v>
      </c>
      <c r="K5" s="1745">
        <v>7</v>
      </c>
      <c r="L5" s="1745">
        <v>8</v>
      </c>
      <c r="M5" s="1745">
        <v>9</v>
      </c>
      <c r="N5" s="1745">
        <v>10</v>
      </c>
      <c r="O5" s="1745">
        <v>11</v>
      </c>
      <c r="P5" s="1745">
        <v>12</v>
      </c>
      <c r="Q5" s="1745">
        <v>13</v>
      </c>
      <c r="R5" s="1745">
        <v>14</v>
      </c>
      <c r="S5" s="1745">
        <v>15</v>
      </c>
      <c r="T5" s="1745">
        <v>16</v>
      </c>
      <c r="U5" s="1745">
        <v>17</v>
      </c>
      <c r="V5" s="1745">
        <v>18</v>
      </c>
      <c r="W5" s="1745">
        <v>19</v>
      </c>
      <c r="X5" s="1745">
        <v>20</v>
      </c>
      <c r="Y5" s="1745">
        <v>21</v>
      </c>
      <c r="Z5" s="1745">
        <v>22</v>
      </c>
      <c r="AA5" s="1745">
        <v>23</v>
      </c>
      <c r="AB5" s="1745">
        <v>24</v>
      </c>
      <c r="AC5" s="1745">
        <v>25</v>
      </c>
      <c r="AD5" s="1745">
        <v>26</v>
      </c>
      <c r="AE5" s="1745">
        <v>27</v>
      </c>
      <c r="AF5" s="1745">
        <v>28</v>
      </c>
      <c r="AG5" s="1745">
        <v>29</v>
      </c>
      <c r="AH5" s="1745">
        <v>30</v>
      </c>
      <c r="AI5" s="1745">
        <v>31</v>
      </c>
      <c r="AJ5" s="1745">
        <v>32</v>
      </c>
      <c r="AK5" s="1745">
        <v>33</v>
      </c>
      <c r="AL5" s="1745">
        <v>34</v>
      </c>
      <c r="AM5" s="1745">
        <v>35</v>
      </c>
      <c r="AN5" s="1745">
        <v>36</v>
      </c>
      <c r="AO5" s="1745">
        <v>37</v>
      </c>
      <c r="AP5" s="1745">
        <v>38</v>
      </c>
      <c r="AQ5" s="1745">
        <v>39</v>
      </c>
      <c r="AR5" s="1746">
        <v>40</v>
      </c>
      <c r="AS5" s="1746">
        <v>41</v>
      </c>
    </row>
    <row r="6" spans="4:45" ht="15.75" thickBot="1">
      <c r="D6" s="1747" t="s">
        <v>1830</v>
      </c>
      <c r="E6" s="2135">
        <f t="shared" ref="E6:AS6" si="0">(1+WACC)^(1-E5)</f>
        <v>1</v>
      </c>
      <c r="F6" s="2135">
        <f t="shared" si="0"/>
        <v>0.91074148215096651</v>
      </c>
      <c r="G6" s="2135">
        <f t="shared" si="0"/>
        <v>0.82945004731053928</v>
      </c>
      <c r="H6" s="2135">
        <f t="shared" si="0"/>
        <v>0.75541456545778984</v>
      </c>
      <c r="I6" s="2135">
        <f t="shared" si="0"/>
        <v>0.6879873809834558</v>
      </c>
      <c r="J6" s="2135">
        <f t="shared" si="0"/>
        <v>0.62657864705803423</v>
      </c>
      <c r="K6" s="2135">
        <f t="shared" si="0"/>
        <v>0.57065116570578145</v>
      </c>
      <c r="L6" s="2135">
        <f t="shared" si="0"/>
        <v>0.5197156884460602</v>
      </c>
      <c r="M6" s="2135">
        <f t="shared" si="0"/>
        <v>0.47332663639247485</v>
      </c>
      <c r="N6" s="1748">
        <f t="shared" si="0"/>
        <v>0.43107820236961425</v>
      </c>
      <c r="O6" s="1748">
        <f t="shared" si="0"/>
        <v>0.39260080094907673</v>
      </c>
      <c r="P6" s="1748">
        <f t="shared" si="0"/>
        <v>0.35755783535001873</v>
      </c>
      <c r="Q6" s="1748">
        <f t="shared" si="0"/>
        <v>0.3256427529213673</v>
      </c>
      <c r="R6" s="1748">
        <f t="shared" si="0"/>
        <v>0.29657636344732702</v>
      </c>
      <c r="S6" s="1748">
        <f t="shared" si="0"/>
        <v>0.27010439681696236</v>
      </c>
      <c r="T6" s="1748">
        <f t="shared" si="0"/>
        <v>0.24599527869257309</v>
      </c>
      <c r="U6" s="1748">
        <f t="shared" si="0"/>
        <v>0.22403810471861413</v>
      </c>
      <c r="V6" s="1748">
        <f t="shared" si="0"/>
        <v>0.2040407955497241</v>
      </c>
      <c r="W6" s="1748">
        <f t="shared" si="0"/>
        <v>0.18582841655821805</v>
      </c>
      <c r="X6" s="1748">
        <f t="shared" si="0"/>
        <v>0.16924164752199872</v>
      </c>
      <c r="Y6" s="1748">
        <f t="shared" si="0"/>
        <v>0.15413538890585654</v>
      </c>
      <c r="Z6" s="1748">
        <f t="shared" si="0"/>
        <v>0.14037749254403545</v>
      </c>
      <c r="AA6" s="1748">
        <f t="shared" si="0"/>
        <v>0.1278476056201911</v>
      </c>
      <c r="AB6" s="1748">
        <f t="shared" si="0"/>
        <v>0.11643611783198508</v>
      </c>
      <c r="AC6" s="1748">
        <f t="shared" si="0"/>
        <v>0.10604320253020669</v>
      </c>
      <c r="AD6" s="1748">
        <f t="shared" si="0"/>
        <v>9.6577943444395575E-2</v>
      </c>
      <c r="AE6" s="1748">
        <f t="shared" si="0"/>
        <v>8.7957539355641046E-2</v>
      </c>
      <c r="AF6" s="1748">
        <f t="shared" si="0"/>
        <v>8.0106579759108482E-2</v>
      </c>
      <c r="AG6" s="1748">
        <f t="shared" si="0"/>
        <v>7.2956385179855074E-2</v>
      </c>
      <c r="AH6" s="1748">
        <f t="shared" si="0"/>
        <v>6.6444406371078027E-2</v>
      </c>
      <c r="AI6" s="1748">
        <f t="shared" si="0"/>
        <v>6.0513677139036721E-2</v>
      </c>
      <c r="AJ6" s="1748">
        <f t="shared" si="0"/>
        <v>5.5112316008011357E-2</v>
      </c>
      <c r="AK6" s="1748">
        <f t="shared" si="0"/>
        <v>5.0193072365908711E-2</v>
      </c>
      <c r="AL6" s="1748">
        <f t="shared" si="0"/>
        <v>4.5712913120238417E-2</v>
      </c>
      <c r="AM6" s="1748">
        <f t="shared" si="0"/>
        <v>4.163264624856431E-2</v>
      </c>
      <c r="AN6" s="1748">
        <f t="shared" si="0"/>
        <v>3.791657795028433E-2</v>
      </c>
      <c r="AO6" s="1748">
        <f t="shared" si="0"/>
        <v>3.4532200400534611E-2</v>
      </c>
      <c r="AP6" s="1748">
        <f t="shared" si="0"/>
        <v>3.144990737471709E-2</v>
      </c>
      <c r="AQ6" s="1748">
        <f t="shared" si="0"/>
        <v>2.8642735255960457E-2</v>
      </c>
      <c r="AR6" s="1748">
        <f t="shared" si="0"/>
        <v>2.6086127159871166E-2</v>
      </c>
      <c r="AS6" s="1748">
        <f t="shared" si="0"/>
        <v>2.3757718113159652E-2</v>
      </c>
    </row>
    <row r="7" spans="4:45">
      <c r="D7" s="1749" t="s">
        <v>1831</v>
      </c>
      <c r="E7" s="1750">
        <f ca="1">CF!I20</f>
        <v>0</v>
      </c>
      <c r="F7" s="1750">
        <f ca="1">CF!J20</f>
        <v>-132913371.73613448</v>
      </c>
      <c r="G7" s="1750">
        <f ca="1">CF!K20</f>
        <v>632979160.75820112</v>
      </c>
      <c r="H7" s="1750">
        <f ca="1">CF!L20</f>
        <v>1113384145.8202512</v>
      </c>
      <c r="I7" s="1750">
        <f ca="1">CF!M20</f>
        <v>1307343777.7768016</v>
      </c>
      <c r="J7" s="1750">
        <f ca="1">CF!N20</f>
        <v>1264692907.9545906</v>
      </c>
      <c r="K7" s="1750">
        <f ca="1">CF!O20</f>
        <v>1349315140.1386206</v>
      </c>
      <c r="L7" s="1750">
        <f ca="1">CF!P20</f>
        <v>1425359922.7759254</v>
      </c>
      <c r="M7" s="1750">
        <f ca="1">CF!Q20</f>
        <v>1503447690.4102097</v>
      </c>
      <c r="N7" s="1750">
        <f ca="1">CF!R20</f>
        <v>1324092719.1085794</v>
      </c>
      <c r="O7" s="1750">
        <f ca="1">CF!S20</f>
        <v>1283070151.1751375</v>
      </c>
      <c r="P7" s="1750">
        <f ca="1">CF!T20</f>
        <v>1361126777.7746472</v>
      </c>
      <c r="Q7" s="1750">
        <f ca="1">CF!U20</f>
        <v>1442257475.690588</v>
      </c>
      <c r="R7" s="1750">
        <f ca="1">CF!V20</f>
        <v>1528178348.3972325</v>
      </c>
      <c r="S7" s="1750">
        <f ca="1">CF!W20</f>
        <v>1616160258.3257608</v>
      </c>
      <c r="T7" s="1750">
        <f ca="1">CF!X20</f>
        <v>1235546330.5832512</v>
      </c>
      <c r="U7" s="1750">
        <f ca="1">CF!Y20</f>
        <v>1172655466.6061137</v>
      </c>
      <c r="V7" s="1750">
        <f ca="1">CF!Z20</f>
        <v>1209196930.2893116</v>
      </c>
      <c r="W7" s="1750">
        <f ca="1">CF!AA20</f>
        <v>1245685425.722734</v>
      </c>
      <c r="X7" s="1750">
        <f ca="1">CF!AB20</f>
        <v>1285172638.6101649</v>
      </c>
      <c r="Y7" s="1750">
        <f ca="1">CF!AC20</f>
        <v>1325847448.789845</v>
      </c>
      <c r="Z7" s="1750">
        <f ca="1">CF!AD20</f>
        <v>1368791499.13083</v>
      </c>
      <c r="AA7" s="1750">
        <f ca="1">CF!AE20</f>
        <v>1411363588.111443</v>
      </c>
      <c r="AB7" s="1750">
        <f ca="1">CF!AF20</f>
        <v>1457366133.1732535</v>
      </c>
      <c r="AC7" s="1750">
        <f ca="1">CF!AG20</f>
        <v>1504464392.6556954</v>
      </c>
      <c r="AD7" s="1750">
        <f ca="1">CF!AH20</f>
        <v>1553913969.7623825</v>
      </c>
      <c r="AE7" s="1750">
        <f ca="1">CF!AI20</f>
        <v>1602784955.700546</v>
      </c>
      <c r="AF7" s="1750">
        <f ca="1">CF!AJ20</f>
        <v>1655357824.3929558</v>
      </c>
      <c r="AG7" s="1750">
        <f ca="1">CF!AK20</f>
        <v>1729891184.7949376</v>
      </c>
      <c r="AH7" s="1750">
        <f ca="1">CF!AL20</f>
        <v>2140969646.930531</v>
      </c>
      <c r="AI7" s="1750">
        <f>CF!AM20</f>
        <v>0</v>
      </c>
      <c r="AJ7" s="1750">
        <f>CF!AN20</f>
        <v>0</v>
      </c>
      <c r="AK7" s="1750">
        <f>CF!AO20</f>
        <v>0</v>
      </c>
      <c r="AL7" s="1750">
        <f>CF!AP20</f>
        <v>0</v>
      </c>
      <c r="AM7" s="1750">
        <f>CF!AQ20</f>
        <v>0</v>
      </c>
      <c r="AN7" s="1750">
        <f>CF!AR20</f>
        <v>0</v>
      </c>
      <c r="AO7" s="1750">
        <f>CF!AS20</f>
        <v>0</v>
      </c>
      <c r="AP7" s="1750">
        <f>CF!AT20</f>
        <v>0</v>
      </c>
      <c r="AQ7" s="1750">
        <f>CF!AU20</f>
        <v>0</v>
      </c>
      <c r="AR7" s="1750">
        <f>CF!AV20</f>
        <v>0</v>
      </c>
      <c r="AS7" s="1750">
        <f>CF!AW20</f>
        <v>0</v>
      </c>
    </row>
    <row r="8" spans="4:45">
      <c r="D8" s="1751" t="s">
        <v>1832</v>
      </c>
      <c r="E8" s="1750">
        <f>-CF!I22</f>
        <v>0</v>
      </c>
      <c r="F8" s="1750">
        <f ca="1">-CF!J22</f>
        <v>0</v>
      </c>
      <c r="G8" s="1750">
        <f ca="1">-CF!K22</f>
        <v>0</v>
      </c>
      <c r="H8" s="1750">
        <f ca="1">-CF!L22</f>
        <v>298816355.36739236</v>
      </c>
      <c r="I8" s="1750">
        <f ca="1">-CF!M22</f>
        <v>256128304.60062197</v>
      </c>
      <c r="J8" s="1750">
        <f ca="1">-CF!N22</f>
        <v>212857083.74140942</v>
      </c>
      <c r="K8" s="1750">
        <f ca="1">-CF!O22</f>
        <v>171220017.32205963</v>
      </c>
      <c r="L8" s="1750">
        <f ca="1">-CF!P22</f>
        <v>128064152.30031098</v>
      </c>
      <c r="M8" s="1750">
        <f ca="1">-CF!Q22</f>
        <v>85376101.533540666</v>
      </c>
      <c r="N8" s="1750">
        <f ca="1">-CF!R22</f>
        <v>42571416.748281889</v>
      </c>
      <c r="O8" s="1750">
        <f ca="1">-CF!S22</f>
        <v>0</v>
      </c>
      <c r="P8" s="1750">
        <f ca="1">-CF!T22</f>
        <v>0</v>
      </c>
      <c r="Q8" s="1750">
        <f ca="1">-CF!U22</f>
        <v>0</v>
      </c>
      <c r="R8" s="1750">
        <f ca="1">-CF!V22</f>
        <v>0</v>
      </c>
      <c r="S8" s="1750">
        <f ca="1">-CF!W22</f>
        <v>0</v>
      </c>
      <c r="T8" s="1750">
        <f ca="1">-CF!X22</f>
        <v>0</v>
      </c>
      <c r="U8" s="1750">
        <f ca="1">-CF!Y22</f>
        <v>0</v>
      </c>
      <c r="V8" s="1750">
        <f ca="1">-CF!Z22</f>
        <v>0</v>
      </c>
      <c r="W8" s="1750">
        <f ca="1">-CF!AA22</f>
        <v>0</v>
      </c>
      <c r="X8" s="1750">
        <f ca="1">-CF!AB22</f>
        <v>0</v>
      </c>
      <c r="Y8" s="1750">
        <f ca="1">-CF!AC22</f>
        <v>0</v>
      </c>
      <c r="Z8" s="1750">
        <f ca="1">-CF!AD22</f>
        <v>0</v>
      </c>
      <c r="AA8" s="1750">
        <f ca="1">-CF!AE22</f>
        <v>0</v>
      </c>
      <c r="AB8" s="1750">
        <f ca="1">-CF!AF22</f>
        <v>0</v>
      </c>
      <c r="AC8" s="1750">
        <f ca="1">-CF!AG22</f>
        <v>0</v>
      </c>
      <c r="AD8" s="1750">
        <f ca="1">-CF!AH22</f>
        <v>0</v>
      </c>
      <c r="AE8" s="1750">
        <f ca="1">-CF!AI22</f>
        <v>0</v>
      </c>
      <c r="AF8" s="1750">
        <f ca="1">-CF!AJ22</f>
        <v>0</v>
      </c>
      <c r="AG8" s="1750">
        <f ca="1">-CF!AK22</f>
        <v>0</v>
      </c>
      <c r="AH8" s="1750">
        <f ca="1">-CF!AL22</f>
        <v>0</v>
      </c>
      <c r="AI8" s="1750">
        <f>-CF!AM22</f>
        <v>0</v>
      </c>
      <c r="AJ8" s="1750">
        <f>-CF!AN22</f>
        <v>0</v>
      </c>
      <c r="AK8" s="1750">
        <f>CF!AO22</f>
        <v>0</v>
      </c>
      <c r="AL8" s="1750">
        <f>CF!AP22</f>
        <v>0</v>
      </c>
      <c r="AM8" s="1750">
        <f>CF!AQ22</f>
        <v>0</v>
      </c>
      <c r="AN8" s="1750">
        <f>CF!AR22</f>
        <v>0</v>
      </c>
      <c r="AO8" s="1750">
        <f>-CF!AS22</f>
        <v>0</v>
      </c>
      <c r="AP8" s="1750">
        <f>-CF!AT22</f>
        <v>0</v>
      </c>
      <c r="AQ8" s="1750">
        <f>-CF!AU22</f>
        <v>0</v>
      </c>
      <c r="AR8" s="1750">
        <f>-CF!AV22</f>
        <v>0</v>
      </c>
      <c r="AS8" s="1750">
        <f>-CF!AW22</f>
        <v>0</v>
      </c>
    </row>
    <row r="9" spans="4:45">
      <c r="D9" s="1751" t="s">
        <v>1833</v>
      </c>
      <c r="E9" s="1750">
        <f ca="1">-CF!I23</f>
        <v>0</v>
      </c>
      <c r="F9" s="1750">
        <f ca="1">-CF!J23</f>
        <v>0</v>
      </c>
      <c r="G9" s="1750">
        <f ca="1">-CF!K23</f>
        <v>0</v>
      </c>
      <c r="H9" s="1750">
        <f ca="1">-CF!L23</f>
        <v>414045109.28002262</v>
      </c>
      <c r="I9" s="1750">
        <f ca="1">-CF!M23</f>
        <v>414045109.28002262</v>
      </c>
      <c r="J9" s="1750">
        <f ca="1">-CF!N23</f>
        <v>414045109.28002262</v>
      </c>
      <c r="K9" s="1750">
        <f ca="1">-CF!O23</f>
        <v>414045109.28002262</v>
      </c>
      <c r="L9" s="1750">
        <f ca="1">-CF!P23</f>
        <v>414045109.28002262</v>
      </c>
      <c r="M9" s="1750">
        <f ca="1">-CF!Q23</f>
        <v>414045109.28002262</v>
      </c>
      <c r="N9" s="1750">
        <f ca="1">-CF!R23</f>
        <v>414045109.28002262</v>
      </c>
      <c r="O9" s="1750">
        <f ca="1">-CF!S23</f>
        <v>0</v>
      </c>
      <c r="P9" s="1750">
        <f ca="1">-CF!T23</f>
        <v>0</v>
      </c>
      <c r="Q9" s="1750">
        <f ca="1">-CF!U23</f>
        <v>0</v>
      </c>
      <c r="R9" s="1750">
        <f ca="1">-CF!V23</f>
        <v>0</v>
      </c>
      <c r="S9" s="1750">
        <f ca="1">-CF!W23</f>
        <v>0</v>
      </c>
      <c r="T9" s="1750">
        <f ca="1">-CF!X23</f>
        <v>0</v>
      </c>
      <c r="U9" s="1750">
        <f ca="1">-CF!Y23</f>
        <v>0</v>
      </c>
      <c r="V9" s="1750">
        <f ca="1">-CF!Z23</f>
        <v>0</v>
      </c>
      <c r="W9" s="1750">
        <f ca="1">-CF!AA23</f>
        <v>0</v>
      </c>
      <c r="X9" s="1750">
        <f ca="1">-CF!AB23</f>
        <v>0</v>
      </c>
      <c r="Y9" s="1750">
        <f ca="1">-CF!AC23</f>
        <v>0</v>
      </c>
      <c r="Z9" s="1750">
        <f ca="1">-CF!AD23</f>
        <v>0</v>
      </c>
      <c r="AA9" s="1750">
        <f ca="1">-CF!AE23</f>
        <v>0</v>
      </c>
      <c r="AB9" s="1750">
        <f ca="1">-CF!AF23</f>
        <v>0</v>
      </c>
      <c r="AC9" s="1750">
        <f ca="1">-CF!AG23</f>
        <v>0</v>
      </c>
      <c r="AD9" s="1750">
        <f ca="1">-CF!AH23</f>
        <v>0</v>
      </c>
      <c r="AE9" s="1750">
        <f ca="1">-CF!AI23</f>
        <v>0</v>
      </c>
      <c r="AF9" s="1750">
        <f>-CF!AJ23</f>
        <v>0</v>
      </c>
      <c r="AG9" s="1750">
        <f>-CF!AK23</f>
        <v>0</v>
      </c>
      <c r="AH9" s="1750">
        <f>CF!AL23</f>
        <v>0</v>
      </c>
      <c r="AI9" s="1750">
        <f>CF!AM23</f>
        <v>0</v>
      </c>
      <c r="AJ9" s="1750">
        <f>CF!AN23</f>
        <v>0</v>
      </c>
      <c r="AK9" s="1750">
        <f>CF!AO23</f>
        <v>0</v>
      </c>
      <c r="AL9" s="1750">
        <f>CF!AP23</f>
        <v>0</v>
      </c>
      <c r="AM9" s="1750">
        <f>CF!AQ23</f>
        <v>0</v>
      </c>
      <c r="AN9" s="1750">
        <f>CF!AR23</f>
        <v>0</v>
      </c>
      <c r="AO9" s="1750">
        <f>CF!AS23</f>
        <v>0</v>
      </c>
      <c r="AP9" s="1750">
        <f>CF!AT23</f>
        <v>0</v>
      </c>
      <c r="AQ9" s="1750">
        <f>CF!AU23</f>
        <v>0</v>
      </c>
      <c r="AR9" s="1750">
        <f>CF!AV23</f>
        <v>0</v>
      </c>
      <c r="AS9" s="1750">
        <f>CF!AW23</f>
        <v>0</v>
      </c>
    </row>
    <row r="10" spans="4:45">
      <c r="D10" s="1751" t="s">
        <v>1834</v>
      </c>
      <c r="E10" s="1750">
        <f t="shared" ref="E10:AS10" ca="1" si="1">SUM(E8:E9)</f>
        <v>0</v>
      </c>
      <c r="F10" s="1750">
        <f t="shared" ca="1" si="1"/>
        <v>0</v>
      </c>
      <c r="G10" s="1750">
        <f t="shared" ca="1" si="1"/>
        <v>0</v>
      </c>
      <c r="H10" s="1750">
        <f t="shared" ca="1" si="1"/>
        <v>712861464.64741492</v>
      </c>
      <c r="I10" s="1750">
        <f t="shared" ca="1" si="1"/>
        <v>670173413.88064456</v>
      </c>
      <c r="J10" s="1750">
        <f t="shared" ca="1" si="1"/>
        <v>626902193.02143204</v>
      </c>
      <c r="K10" s="1750">
        <f t="shared" ca="1" si="1"/>
        <v>585265126.60208225</v>
      </c>
      <c r="L10" s="1750">
        <f t="shared" ca="1" si="1"/>
        <v>542109261.58033359</v>
      </c>
      <c r="M10" s="1750">
        <f t="shared" ca="1" si="1"/>
        <v>499421210.81356329</v>
      </c>
      <c r="N10" s="1750">
        <f t="shared" ca="1" si="1"/>
        <v>456616526.02830452</v>
      </c>
      <c r="O10" s="1750">
        <f t="shared" ca="1" si="1"/>
        <v>0</v>
      </c>
      <c r="P10" s="1750">
        <f t="shared" ca="1" si="1"/>
        <v>0</v>
      </c>
      <c r="Q10" s="1750">
        <f t="shared" ca="1" si="1"/>
        <v>0</v>
      </c>
      <c r="R10" s="1750">
        <f t="shared" ca="1" si="1"/>
        <v>0</v>
      </c>
      <c r="S10" s="1750">
        <f t="shared" ca="1" si="1"/>
        <v>0</v>
      </c>
      <c r="T10" s="1750">
        <f t="shared" ca="1" si="1"/>
        <v>0</v>
      </c>
      <c r="U10" s="1750">
        <f t="shared" ca="1" si="1"/>
        <v>0</v>
      </c>
      <c r="V10" s="1750">
        <f t="shared" ca="1" si="1"/>
        <v>0</v>
      </c>
      <c r="W10" s="1750">
        <f t="shared" ca="1" si="1"/>
        <v>0</v>
      </c>
      <c r="X10" s="1750">
        <f t="shared" ca="1" si="1"/>
        <v>0</v>
      </c>
      <c r="Y10" s="1750">
        <f t="shared" ca="1" si="1"/>
        <v>0</v>
      </c>
      <c r="Z10" s="1750">
        <f t="shared" ca="1" si="1"/>
        <v>0</v>
      </c>
      <c r="AA10" s="1750">
        <f t="shared" ca="1" si="1"/>
        <v>0</v>
      </c>
      <c r="AB10" s="1750">
        <f t="shared" ca="1" si="1"/>
        <v>0</v>
      </c>
      <c r="AC10" s="1750">
        <f t="shared" ca="1" si="1"/>
        <v>0</v>
      </c>
      <c r="AD10" s="1750">
        <f t="shared" ca="1" si="1"/>
        <v>0</v>
      </c>
      <c r="AE10" s="1750">
        <f t="shared" ca="1" si="1"/>
        <v>0</v>
      </c>
      <c r="AF10" s="1750">
        <f t="shared" ca="1" si="1"/>
        <v>0</v>
      </c>
      <c r="AG10" s="1750">
        <f t="shared" ca="1" si="1"/>
        <v>0</v>
      </c>
      <c r="AH10" s="1750">
        <f t="shared" ca="1" si="1"/>
        <v>0</v>
      </c>
      <c r="AI10" s="1750">
        <f t="shared" si="1"/>
        <v>0</v>
      </c>
      <c r="AJ10" s="1750">
        <f t="shared" si="1"/>
        <v>0</v>
      </c>
      <c r="AK10" s="1750">
        <f t="shared" si="1"/>
        <v>0</v>
      </c>
      <c r="AL10" s="1750">
        <f t="shared" si="1"/>
        <v>0</v>
      </c>
      <c r="AM10" s="1750">
        <f t="shared" si="1"/>
        <v>0</v>
      </c>
      <c r="AN10" s="1750">
        <f t="shared" si="1"/>
        <v>0</v>
      </c>
      <c r="AO10" s="1750">
        <f t="shared" si="1"/>
        <v>0</v>
      </c>
      <c r="AP10" s="1750">
        <f t="shared" si="1"/>
        <v>0</v>
      </c>
      <c r="AQ10" s="1750">
        <f t="shared" si="1"/>
        <v>0</v>
      </c>
      <c r="AR10" s="1750">
        <f t="shared" si="1"/>
        <v>0</v>
      </c>
      <c r="AS10" s="1750">
        <f t="shared" si="1"/>
        <v>0</v>
      </c>
    </row>
    <row r="11" spans="4:45">
      <c r="D11" s="1751" t="s">
        <v>1835</v>
      </c>
      <c r="E11" s="1750">
        <f ca="1">E7*E6</f>
        <v>0</v>
      </c>
      <c r="F11" s="1750">
        <f t="shared" ref="F11:AS11" ca="1" si="2">F7*F6</f>
        <v>-121049721.1726495</v>
      </c>
      <c r="G11" s="1750">
        <f t="shared" ca="1" si="2"/>
        <v>525024594.83747536</v>
      </c>
      <c r="H11" s="1750">
        <f ca="1">H7*H6</f>
        <v>841066600.70239758</v>
      </c>
      <c r="I11" s="1750">
        <f t="shared" ca="1" si="2"/>
        <v>899436021.71767879</v>
      </c>
      <c r="J11" s="1750">
        <f t="shared" ca="1" si="2"/>
        <v>792429571.21007836</v>
      </c>
      <c r="K11" s="1750">
        <f t="shared" ca="1" si="2"/>
        <v>769988257.62456369</v>
      </c>
      <c r="L11" s="1750">
        <f t="shared" ca="1" si="2"/>
        <v>740781913.54891324</v>
      </c>
      <c r="M11" s="1750">
        <f t="shared" ca="1" si="2"/>
        <v>711621838.29389942</v>
      </c>
      <c r="N11" s="1750">
        <f t="shared" ca="1" si="2"/>
        <v>570787509.12402093</v>
      </c>
      <c r="O11" s="1750">
        <f t="shared" ca="1" si="2"/>
        <v>503734369.02521193</v>
      </c>
      <c r="P11" s="1750">
        <f t="shared" ca="1" si="2"/>
        <v>486681544.29804885</v>
      </c>
      <c r="Q11" s="1750">
        <f t="shared" ca="1" si="2"/>
        <v>469660694.80530506</v>
      </c>
      <c r="R11" s="1750">
        <f t="shared" ca="1" si="2"/>
        <v>453221577.26659358</v>
      </c>
      <c r="S11" s="1750">
        <f t="shared" ca="1" si="2"/>
        <v>436531991.7346257</v>
      </c>
      <c r="T11" s="1750">
        <f t="shared" ca="1" si="2"/>
        <v>303938563.92941296</v>
      </c>
      <c r="U11" s="1750">
        <f t="shared" ca="1" si="2"/>
        <v>262719508.22635582</v>
      </c>
      <c r="V11" s="1750">
        <f t="shared" ca="1" si="2"/>
        <v>246725503.63251543</v>
      </c>
      <c r="W11" s="1750">
        <f t="shared" ca="1" si="2"/>
        <v>231483750.19170541</v>
      </c>
      <c r="X11" s="1750">
        <f t="shared" ca="1" si="2"/>
        <v>217504734.70857856</v>
      </c>
      <c r="Y11" s="1750">
        <f t="shared" ca="1" si="2"/>
        <v>204360012.14906046</v>
      </c>
      <c r="Z11" s="1750">
        <f t="shared" ca="1" si="2"/>
        <v>192147518.46357721</v>
      </c>
      <c r="AA11" s="1750">
        <f t="shared" ca="1" si="2"/>
        <v>180439455.3995696</v>
      </c>
      <c r="AB11" s="1750">
        <f t="shared" ca="1" si="2"/>
        <v>169690054.80650541</v>
      </c>
      <c r="AC11" s="1750">
        <f t="shared" ca="1" si="2"/>
        <v>159538222.28987232</v>
      </c>
      <c r="AD11" s="1750">
        <f t="shared" ca="1" si="2"/>
        <v>150073815.4891676</v>
      </c>
      <c r="AE11" s="1750">
        <f t="shared" ca="1" si="2"/>
        <v>140977020.81966016</v>
      </c>
      <c r="AF11" s="1750">
        <f t="shared" ca="1" si="2"/>
        <v>132605053.58959861</v>
      </c>
      <c r="AG11" s="1750">
        <f t="shared" ca="1" si="2"/>
        <v>126206607.59713532</v>
      </c>
      <c r="AH11" s="1750">
        <f t="shared" ca="1" si="2"/>
        <v>142255457.24879566</v>
      </c>
      <c r="AI11" s="1750">
        <f t="shared" si="2"/>
        <v>0</v>
      </c>
      <c r="AJ11" s="1750">
        <f t="shared" si="2"/>
        <v>0</v>
      </c>
      <c r="AK11" s="1750">
        <f t="shared" si="2"/>
        <v>0</v>
      </c>
      <c r="AL11" s="1750">
        <f t="shared" si="2"/>
        <v>0</v>
      </c>
      <c r="AM11" s="1750">
        <f t="shared" si="2"/>
        <v>0</v>
      </c>
      <c r="AN11" s="1750">
        <f t="shared" si="2"/>
        <v>0</v>
      </c>
      <c r="AO11" s="1750">
        <f t="shared" si="2"/>
        <v>0</v>
      </c>
      <c r="AP11" s="1750">
        <f t="shared" si="2"/>
        <v>0</v>
      </c>
      <c r="AQ11" s="1750">
        <f t="shared" si="2"/>
        <v>0</v>
      </c>
      <c r="AR11" s="1750">
        <f t="shared" si="2"/>
        <v>0</v>
      </c>
      <c r="AS11" s="1750">
        <f t="shared" si="2"/>
        <v>0</v>
      </c>
    </row>
    <row r="12" spans="4:45">
      <c r="D12" s="1751" t="s">
        <v>1836</v>
      </c>
      <c r="E12" s="1750">
        <f ca="1">E10*E6</f>
        <v>0</v>
      </c>
      <c r="F12" s="1750">
        <f t="shared" ref="F12:AS12" ca="1" si="3">F10*F6</f>
        <v>0</v>
      </c>
      <c r="G12" s="1750">
        <f t="shared" ca="1" si="3"/>
        <v>0</v>
      </c>
      <c r="H12" s="1750">
        <f ca="1">H10*H6</f>
        <v>538505933.54823053</v>
      </c>
      <c r="I12" s="1750">
        <f t="shared" ca="1" si="3"/>
        <v>461070851.82048619</v>
      </c>
      <c r="J12" s="1750">
        <f t="shared" ca="1" si="3"/>
        <v>392803527.94108349</v>
      </c>
      <c r="K12" s="1750">
        <f t="shared" ca="1" si="3"/>
        <v>333982226.74242002</v>
      </c>
      <c r="L12" s="1750">
        <f t="shared" ca="1" si="3"/>
        <v>281742688.09520841</v>
      </c>
      <c r="M12" s="1750">
        <f t="shared" ca="1" si="3"/>
        <v>236389361.85744101</v>
      </c>
      <c r="N12" s="1750">
        <f t="shared" ca="1" si="3"/>
        <v>196837431.21253967</v>
      </c>
      <c r="O12" s="1750">
        <f t="shared" ca="1" si="3"/>
        <v>0</v>
      </c>
      <c r="P12" s="1750">
        <f t="shared" ca="1" si="3"/>
        <v>0</v>
      </c>
      <c r="Q12" s="1750">
        <f t="shared" ca="1" si="3"/>
        <v>0</v>
      </c>
      <c r="R12" s="1750">
        <f t="shared" ca="1" si="3"/>
        <v>0</v>
      </c>
      <c r="S12" s="1750">
        <f t="shared" ca="1" si="3"/>
        <v>0</v>
      </c>
      <c r="T12" s="1750">
        <f t="shared" ca="1" si="3"/>
        <v>0</v>
      </c>
      <c r="U12" s="1750">
        <f t="shared" ca="1" si="3"/>
        <v>0</v>
      </c>
      <c r="V12" s="1750">
        <f t="shared" ca="1" si="3"/>
        <v>0</v>
      </c>
      <c r="W12" s="1750">
        <f t="shared" ca="1" si="3"/>
        <v>0</v>
      </c>
      <c r="X12" s="1750">
        <f t="shared" ca="1" si="3"/>
        <v>0</v>
      </c>
      <c r="Y12" s="1750">
        <f t="shared" ca="1" si="3"/>
        <v>0</v>
      </c>
      <c r="Z12" s="1750">
        <f t="shared" ca="1" si="3"/>
        <v>0</v>
      </c>
      <c r="AA12" s="1750">
        <f t="shared" ca="1" si="3"/>
        <v>0</v>
      </c>
      <c r="AB12" s="1750">
        <f t="shared" ca="1" si="3"/>
        <v>0</v>
      </c>
      <c r="AC12" s="1750">
        <f t="shared" ca="1" si="3"/>
        <v>0</v>
      </c>
      <c r="AD12" s="1750">
        <f t="shared" ca="1" si="3"/>
        <v>0</v>
      </c>
      <c r="AE12" s="1750">
        <f t="shared" ca="1" si="3"/>
        <v>0</v>
      </c>
      <c r="AF12" s="1750">
        <f t="shared" ca="1" si="3"/>
        <v>0</v>
      </c>
      <c r="AG12" s="1750">
        <f t="shared" ca="1" si="3"/>
        <v>0</v>
      </c>
      <c r="AH12" s="1750">
        <f t="shared" ca="1" si="3"/>
        <v>0</v>
      </c>
      <c r="AI12" s="1750">
        <f t="shared" si="3"/>
        <v>0</v>
      </c>
      <c r="AJ12" s="1750">
        <f t="shared" si="3"/>
        <v>0</v>
      </c>
      <c r="AK12" s="1750">
        <f t="shared" si="3"/>
        <v>0</v>
      </c>
      <c r="AL12" s="1750">
        <f t="shared" si="3"/>
        <v>0</v>
      </c>
      <c r="AM12" s="1750">
        <f t="shared" si="3"/>
        <v>0</v>
      </c>
      <c r="AN12" s="1750">
        <f t="shared" si="3"/>
        <v>0</v>
      </c>
      <c r="AO12" s="1750">
        <f t="shared" si="3"/>
        <v>0</v>
      </c>
      <c r="AP12" s="1750">
        <f t="shared" si="3"/>
        <v>0</v>
      </c>
      <c r="AQ12" s="1750">
        <f t="shared" si="3"/>
        <v>0</v>
      </c>
      <c r="AR12" s="1750">
        <f t="shared" si="3"/>
        <v>0</v>
      </c>
      <c r="AS12" s="1750">
        <f t="shared" si="3"/>
        <v>0</v>
      </c>
    </row>
    <row r="13" spans="4:45">
      <c r="D13" s="1751" t="s">
        <v>1837</v>
      </c>
      <c r="E13" s="1750">
        <f ca="1">E11*'Debt Schedule'!I31</f>
        <v>0</v>
      </c>
      <c r="F13" s="1750">
        <f ca="1">F11*'Debt Schedule'!J31</f>
        <v>-121049721.1726495</v>
      </c>
      <c r="G13" s="1750">
        <f ca="1">G11*'Debt Schedule'!K31</f>
        <v>525024594.83747536</v>
      </c>
      <c r="H13" s="1750">
        <f ca="1">H11*'Debt Schedule'!L31</f>
        <v>841066600.70239758</v>
      </c>
      <c r="I13" s="1750">
        <f ca="1">I11*'Debt Schedule'!M31</f>
        <v>899436021.71767879</v>
      </c>
      <c r="J13" s="1750">
        <f ca="1">J11*'Debt Schedule'!N31</f>
        <v>792429571.21007836</v>
      </c>
      <c r="K13" s="1750">
        <f ca="1">K11*'Debt Schedule'!O31</f>
        <v>769988257.62456369</v>
      </c>
      <c r="L13" s="1750">
        <f ca="1">L11*'Debt Schedule'!P31</f>
        <v>740781913.54891324</v>
      </c>
      <c r="M13" s="1750">
        <f ca="1">M11*'Debt Schedule'!Q31</f>
        <v>711621838.29389942</v>
      </c>
      <c r="N13" s="1750">
        <f ca="1">N11*'Debt Schedule'!R31</f>
        <v>570787509.12402093</v>
      </c>
      <c r="O13" s="1750">
        <f ca="1">O11*'Debt Schedule'!S31</f>
        <v>0</v>
      </c>
      <c r="P13" s="1750">
        <f ca="1">P11*'Debt Schedule'!T31</f>
        <v>0</v>
      </c>
      <c r="Q13" s="1750">
        <f ca="1">Q11*'Debt Schedule'!U31</f>
        <v>0</v>
      </c>
      <c r="R13" s="1750">
        <f ca="1">R11*'Debt Schedule'!V31</f>
        <v>0</v>
      </c>
      <c r="S13" s="1750">
        <f ca="1">S11*'Debt Schedule'!W31</f>
        <v>0</v>
      </c>
      <c r="T13" s="1750">
        <f ca="1">T11*'Debt Schedule'!X31</f>
        <v>0</v>
      </c>
      <c r="U13" s="1750">
        <f ca="1">U11*'Debt Schedule'!Y31</f>
        <v>0</v>
      </c>
      <c r="V13" s="1750">
        <f ca="1">V11*'Debt Schedule'!Z31</f>
        <v>0</v>
      </c>
      <c r="W13" s="1750">
        <f ca="1">W11*'Debt Schedule'!AA31</f>
        <v>0</v>
      </c>
      <c r="X13" s="1750">
        <f ca="1">X11*'Debt Schedule'!AB31</f>
        <v>0</v>
      </c>
      <c r="Y13" s="1750">
        <f ca="1">Y11*'Debt Schedule'!AC31</f>
        <v>0</v>
      </c>
      <c r="Z13" s="1750">
        <f ca="1">Z11*'Debt Schedule'!AD31</f>
        <v>0</v>
      </c>
      <c r="AA13" s="1750">
        <f ca="1">AA11*'Debt Schedule'!AE31</f>
        <v>0</v>
      </c>
      <c r="AB13" s="1750">
        <f ca="1">AB11*'Debt Schedule'!AF31</f>
        <v>0</v>
      </c>
      <c r="AC13" s="1750">
        <f ca="1">AC11*'Debt Schedule'!AG31</f>
        <v>0</v>
      </c>
      <c r="AD13" s="1750">
        <f ca="1">AD11*'Debt Schedule'!AH31</f>
        <v>0</v>
      </c>
      <c r="AE13" s="1750">
        <f ca="1">AE11*'Debt Schedule'!AI31</f>
        <v>0</v>
      </c>
      <c r="AF13" s="1750">
        <f ca="1">AF11*'Debt Schedule'!AJ31</f>
        <v>0</v>
      </c>
      <c r="AG13" s="1750">
        <f ca="1">AG11*'Debt Schedule'!AK31</f>
        <v>0</v>
      </c>
      <c r="AH13" s="1750">
        <f ca="1">AH11*'Debt Schedule'!AL31</f>
        <v>0</v>
      </c>
      <c r="AI13" s="1750">
        <f>AI11*'Debt Schedule'!AM31</f>
        <v>0</v>
      </c>
      <c r="AJ13" s="1750">
        <f>AJ11*'Debt Schedule'!AN31</f>
        <v>0</v>
      </c>
      <c r="AK13" s="1750">
        <f>AK11*'Debt Schedule'!AO31</f>
        <v>0</v>
      </c>
      <c r="AL13" s="1750">
        <f>AL11*'Debt Schedule'!AP31</f>
        <v>0</v>
      </c>
      <c r="AM13" s="1750">
        <f>AM11*'Debt Schedule'!AQ31</f>
        <v>0</v>
      </c>
      <c r="AN13" s="1750">
        <f>AN11*'Debt Schedule'!AR31</f>
        <v>0</v>
      </c>
      <c r="AO13" s="1750">
        <f>AO11*'Debt Schedule'!AS31</f>
        <v>0</v>
      </c>
      <c r="AP13" s="1750">
        <f>AP11*'Debt Schedule'!AT31</f>
        <v>0</v>
      </c>
      <c r="AQ13" s="1750">
        <f>AQ11*'Debt Schedule'!AU31</f>
        <v>0</v>
      </c>
      <c r="AR13" s="1750">
        <f>AR11*'Debt Schedule'!AV31</f>
        <v>0</v>
      </c>
      <c r="AS13" s="1750">
        <f>AS12*'Debt Schedule'!AW31</f>
        <v>0</v>
      </c>
    </row>
    <row r="14" spans="4:45">
      <c r="D14" s="1751" t="s">
        <v>1838</v>
      </c>
      <c r="E14" s="1750">
        <f ca="1">SUM(E13:$P13)</f>
        <v>5730086585.8863773</v>
      </c>
      <c r="F14" s="1750">
        <f ca="1">SUM(F13:$P13)</f>
        <v>5730086585.8863773</v>
      </c>
      <c r="G14" s="1750">
        <f ca="1">SUM(G13:$P13)</f>
        <v>5851136307.0590267</v>
      </c>
      <c r="H14" s="1750">
        <f ca="1">SUM(H13:$P13)</f>
        <v>5326111712.2215519</v>
      </c>
      <c r="I14" s="1750">
        <f ca="1">SUM(I13:$P13)</f>
        <v>4485045111.5191545</v>
      </c>
      <c r="J14" s="1750">
        <f ca="1">SUM(J13:$P13)</f>
        <v>3585609089.801476</v>
      </c>
      <c r="K14" s="1750">
        <f ca="1">SUM(K13:$P13)</f>
        <v>2793179518.5913973</v>
      </c>
      <c r="L14" s="1750">
        <f ca="1">SUM(L13:$P13)</f>
        <v>2023191260.9668336</v>
      </c>
      <c r="M14" s="1750">
        <f ca="1">SUM(M13:$P13)</f>
        <v>1282409347.4179204</v>
      </c>
      <c r="N14" s="1750">
        <f ca="1">SUM(N13:$P13)</f>
        <v>570787509.12402093</v>
      </c>
      <c r="O14" s="1750">
        <f ca="1">SUM(O13:$P13)</f>
        <v>0</v>
      </c>
      <c r="P14" s="1750">
        <f ca="1">SUM(P13:$P13)</f>
        <v>0</v>
      </c>
      <c r="Q14" s="1750"/>
      <c r="R14" s="1750"/>
      <c r="S14" s="1750"/>
      <c r="T14" s="1750"/>
      <c r="U14" s="1750"/>
      <c r="V14" s="1750"/>
      <c r="W14" s="1750"/>
      <c r="X14" s="1750"/>
      <c r="Y14" s="1750"/>
      <c r="Z14" s="1750"/>
      <c r="AA14" s="1750"/>
      <c r="AB14" s="1750"/>
      <c r="AC14" s="1750"/>
      <c r="AD14" s="1750"/>
      <c r="AE14" s="1750"/>
      <c r="AF14" s="1750"/>
      <c r="AG14" s="1750"/>
      <c r="AH14" s="1750"/>
      <c r="AI14" s="1750"/>
      <c r="AJ14" s="1750"/>
      <c r="AK14" s="1750"/>
      <c r="AL14" s="1750"/>
      <c r="AM14" s="1750"/>
      <c r="AN14" s="1750"/>
      <c r="AO14" s="1750"/>
      <c r="AP14" s="1750"/>
      <c r="AQ14" s="1750"/>
      <c r="AR14" s="1750"/>
      <c r="AS14" s="1750"/>
    </row>
    <row r="15" spans="4:45" ht="15.75" thickBot="1">
      <c r="D15" s="1752" t="s">
        <v>1839</v>
      </c>
      <c r="E15" s="1750">
        <f ca="1">SUM(E11:$AS11)</f>
        <v>10940582041.557676</v>
      </c>
      <c r="F15" s="1750">
        <f ca="1">SUM(F11:$AS11)</f>
        <v>10940582041.557676</v>
      </c>
      <c r="G15" s="1750">
        <f ca="1">SUM(G11:$AS11)</f>
        <v>11061631762.730326</v>
      </c>
      <c r="H15" s="1750">
        <f ca="1">SUM(H11:$AS11)</f>
        <v>10536607167.892851</v>
      </c>
      <c r="I15" s="1750">
        <f ca="1">SUM(I11:$AS11)</f>
        <v>9695540567.1904526</v>
      </c>
      <c r="J15" s="1750">
        <f ca="1">SUM(J11:$AS11)</f>
        <v>8796104545.4727707</v>
      </c>
      <c r="K15" s="1750">
        <f ca="1">SUM(K11:$AS11)</f>
        <v>8003674974.2626915</v>
      </c>
      <c r="L15" s="1750">
        <f ca="1">SUM(L11:$AS11)</f>
        <v>7233686716.6381283</v>
      </c>
      <c r="M15" s="1750">
        <f ca="1">SUM(M11:$AS11)</f>
        <v>6492904803.0892153</v>
      </c>
      <c r="N15" s="1750">
        <f ca="1">SUM(N11:$AS11)</f>
        <v>5781282964.7953157</v>
      </c>
      <c r="O15" s="1750">
        <f ca="1">SUM(O11:$AS11)</f>
        <v>5210495455.6712952</v>
      </c>
      <c r="P15" s="1750">
        <f ca="1">SUM(P11:$AS11)</f>
        <v>4706761086.6460829</v>
      </c>
      <c r="Q15" s="1750">
        <f ca="1">SUM(Q11:$AS11)</f>
        <v>4220079542.3480344</v>
      </c>
      <c r="R15" s="1750">
        <f ca="1">SUM(R11:$AS11)</f>
        <v>3750418847.5427294</v>
      </c>
      <c r="S15" s="1750">
        <f ca="1">SUM(S11:$AS11)</f>
        <v>3297197270.2761364</v>
      </c>
      <c r="T15" s="1750">
        <f ca="1">SUM(T11:$AS11)</f>
        <v>2860665278.5415106</v>
      </c>
      <c r="U15" s="1750">
        <f ca="1">SUM(U11:$AS11)</f>
        <v>2556726714.6120977</v>
      </c>
      <c r="V15" s="1750">
        <f ca="1">SUM(V11:$AS11)</f>
        <v>2294007206.3857417</v>
      </c>
      <c r="W15" s="1750">
        <f ca="1">SUM(W11:$AS11)</f>
        <v>2047281702.7532265</v>
      </c>
      <c r="X15" s="1750">
        <f ca="1">SUM(X11:$AS11)</f>
        <v>1815797952.5615213</v>
      </c>
      <c r="Y15" s="1750">
        <f ca="1">SUM(Y11:$AS11)</f>
        <v>1598293217.8529425</v>
      </c>
      <c r="Z15" s="1750">
        <f ca="1">SUM(Z11:$AS11)</f>
        <v>1393933205.703882</v>
      </c>
      <c r="AA15" s="1750">
        <f ca="1">SUM(AA11:$AS11)</f>
        <v>1201785687.2403047</v>
      </c>
      <c r="AB15" s="1750">
        <f ca="1">SUM(AB11:$AS11)</f>
        <v>1021346231.8407351</v>
      </c>
      <c r="AC15" s="1750">
        <f ca="1">SUM(AC11:$AS11)</f>
        <v>851656177.03422964</v>
      </c>
      <c r="AD15" s="1750">
        <f ca="1">SUM(AD11:$AS11)</f>
        <v>692117954.74435735</v>
      </c>
      <c r="AE15" s="1750">
        <f ca="1">SUM(AE11:$AS11)</f>
        <v>542044139.25518978</v>
      </c>
      <c r="AF15" s="1750">
        <f ca="1">SUM(AF11:$AS11)</f>
        <v>401067118.43552959</v>
      </c>
      <c r="AG15" s="1750">
        <f ca="1">SUM(AG11:$AS11)</f>
        <v>268462064.84593099</v>
      </c>
      <c r="AH15" s="1750">
        <f ca="1">SUM(AH11:$AS11)</f>
        <v>142255457.24879566</v>
      </c>
      <c r="AI15" s="1750">
        <f>SUM(AI11:$AS11)</f>
        <v>0</v>
      </c>
      <c r="AJ15" s="1750">
        <f>SUM(AJ11:$AS11)</f>
        <v>0</v>
      </c>
      <c r="AK15" s="1750">
        <f>SUM(AK11:$AS11)</f>
        <v>0</v>
      </c>
      <c r="AL15" s="1750">
        <f>SUM(AL11:$AS11)</f>
        <v>0</v>
      </c>
      <c r="AM15" s="1750">
        <f>SUM(AM11:$AS11)</f>
        <v>0</v>
      </c>
      <c r="AN15" s="1750">
        <f>SUM(AN11:$AS11)</f>
        <v>0</v>
      </c>
      <c r="AO15" s="1750">
        <f>SUM(AO11:$AS11)</f>
        <v>0</v>
      </c>
      <c r="AP15" s="1750">
        <f>SUM(AP11:$AS11)</f>
        <v>0</v>
      </c>
      <c r="AQ15" s="1750">
        <f>SUM(AQ11:$AS11)</f>
        <v>0</v>
      </c>
      <c r="AR15" s="1750">
        <f>SUM(AR11:$AS11)</f>
        <v>0</v>
      </c>
      <c r="AS15" s="1750">
        <f>SUM(AS11:$AS11)</f>
        <v>0</v>
      </c>
    </row>
    <row r="16" spans="4:45" ht="15.75" thickBot="1"/>
    <row r="17" spans="4:44" ht="15.75" thickBot="1">
      <c r="D17" s="1753" t="s">
        <v>1840</v>
      </c>
      <c r="E17" s="1757" t="str">
        <f ca="1">IFERROR(E7/E10," ")</f>
        <v xml:space="preserve"> </v>
      </c>
      <c r="F17" s="1757" t="str">
        <f t="shared" ref="F17:V17" ca="1" si="4">IFERROR(F7/F10," ")</f>
        <v xml:space="preserve"> </v>
      </c>
      <c r="G17" s="1757" t="str">
        <f t="shared" ca="1" si="4"/>
        <v xml:space="preserve"> </v>
      </c>
      <c r="H17" s="1757">
        <f t="shared" ca="1" si="4"/>
        <v>1.5618520582690452</v>
      </c>
      <c r="I17" s="1757">
        <f t="shared" ca="1" si="4"/>
        <v>1.9507544625004101</v>
      </c>
      <c r="J17" s="1757">
        <f t="shared" ca="1" si="4"/>
        <v>2.0173687730445606</v>
      </c>
      <c r="K17" s="1757">
        <f t="shared" ca="1" si="4"/>
        <v>2.3054767468761397</v>
      </c>
      <c r="L17" s="1757">
        <f t="shared" ca="1" si="4"/>
        <v>2.6292853190162764</v>
      </c>
      <c r="M17" s="1757">
        <f t="shared" ca="1" si="4"/>
        <v>3.0103801317550669</v>
      </c>
      <c r="N17" s="1757">
        <f t="shared" ca="1" si="4"/>
        <v>2.8997914959970199</v>
      </c>
      <c r="O17" s="1757" t="str">
        <f t="shared" ca="1" si="4"/>
        <v xml:space="preserve"> </v>
      </c>
      <c r="P17" s="1757" t="str">
        <f t="shared" ca="1" si="4"/>
        <v xml:space="preserve"> </v>
      </c>
      <c r="Q17" s="1754" t="str">
        <f t="shared" ca="1" si="4"/>
        <v xml:space="preserve"> </v>
      </c>
      <c r="R17" s="1754" t="str">
        <f t="shared" ca="1" si="4"/>
        <v xml:space="preserve"> </v>
      </c>
      <c r="S17" s="1754" t="str">
        <f t="shared" ca="1" si="4"/>
        <v xml:space="preserve"> </v>
      </c>
      <c r="T17" s="1754" t="str">
        <f t="shared" ca="1" si="4"/>
        <v xml:space="preserve"> </v>
      </c>
      <c r="U17" s="1754" t="str">
        <f t="shared" ca="1" si="4"/>
        <v xml:space="preserve"> </v>
      </c>
      <c r="V17" s="1754" t="str">
        <f t="shared" ca="1" si="4"/>
        <v xml:space="preserve"> </v>
      </c>
      <c r="W17" s="1754" t="str">
        <f>IF([9]Flags!W27=0," ",(IFERROR(W7/W10,"")))</f>
        <v xml:space="preserve"> </v>
      </c>
      <c r="X17" s="1754" t="str">
        <f>IF([9]Flags!X27=0," ",(IFERROR(X7/X10,"")))</f>
        <v xml:space="preserve"> </v>
      </c>
      <c r="Y17" s="1754" t="str">
        <f>IF([9]Flags!Y27=0," ",(IFERROR(Y7/Y10,"")))</f>
        <v xml:space="preserve"> </v>
      </c>
      <c r="Z17" s="1754" t="str">
        <f>IF([9]Flags!Z27=0," ",(IFERROR(Z7/Z10,"")))</f>
        <v xml:space="preserve"> </v>
      </c>
      <c r="AA17" s="1754" t="str">
        <f>IF([9]Flags!AA27=0," ",(IFERROR(AA7/AA10,"")))</f>
        <v xml:space="preserve"> </v>
      </c>
      <c r="AB17" s="1754" t="str">
        <f>IF([9]Flags!AB27=0," ",(IFERROR(AB7/AB10,"")))</f>
        <v xml:space="preserve"> </v>
      </c>
      <c r="AC17" s="1754" t="str">
        <f>IF([9]Flags!AC27=0," ",(IFERROR(AC7/AC10,"")))</f>
        <v xml:space="preserve"> </v>
      </c>
      <c r="AD17" s="1754" t="str">
        <f>IF([9]Flags!AD27=0," ",(IFERROR(AD7/AD10,"")))</f>
        <v xml:space="preserve"> </v>
      </c>
      <c r="AE17" s="1754" t="str">
        <f>IF([9]Flags!AE27=0," ",(IFERROR(AE7/AE10,"")))</f>
        <v xml:space="preserve"> </v>
      </c>
      <c r="AF17" s="1754" t="str">
        <f>IF([9]Flags!AF27=0," ",(IFERROR(AF7/AF10,"")))</f>
        <v xml:space="preserve"> </v>
      </c>
      <c r="AG17" s="1754" t="str">
        <f>IF([9]Flags!AG27=0," ",(IFERROR(AG7/AG10,"")))</f>
        <v xml:space="preserve"> </v>
      </c>
      <c r="AH17" s="1754" t="str">
        <f>IF([9]Flags!AH27=0," ",(IFERROR(AH7/AH10,"")))</f>
        <v xml:space="preserve"> </v>
      </c>
      <c r="AI17" s="1754" t="str">
        <f>IF([9]Flags!AI27=0," ",(IFERROR(AI7/AI10,"")))</f>
        <v xml:space="preserve"> </v>
      </c>
      <c r="AJ17" s="1754" t="str">
        <f>IF([9]Flags!AJ27=0," ",(IFERROR(AJ7/AJ10,"")))</f>
        <v xml:space="preserve"> </v>
      </c>
      <c r="AK17" s="1754" t="str">
        <f>IF([9]Flags!AK27=0," ",(IFERROR(AK7/AK10,"")))</f>
        <v xml:space="preserve"> </v>
      </c>
      <c r="AL17" s="1754" t="str">
        <f>IF([9]Flags!AL27=0," ",(IFERROR(AL7/AL10,"")))</f>
        <v xml:space="preserve"> </v>
      </c>
      <c r="AM17" s="1754" t="str">
        <f>IF([9]Flags!AM27=0," ",(IFERROR(AM7/AM10,"")))</f>
        <v xml:space="preserve"> </v>
      </c>
      <c r="AN17" s="1754" t="str">
        <f>IF([9]Flags!AN27=0," ",(IFERROR(AN7/AN10,"")))</f>
        <v xml:space="preserve"> </v>
      </c>
      <c r="AO17" s="1754" t="str">
        <f>IF([9]Flags!AO27=0," ",(IFERROR(AO7/AO10,"")))</f>
        <v xml:space="preserve"> </v>
      </c>
      <c r="AP17" s="1754" t="str">
        <f>IF([9]Flags!AP27=0," ",(IFERROR(AP7/AP10,"")))</f>
        <v xml:space="preserve"> </v>
      </c>
      <c r="AQ17" s="1754" t="str">
        <f>IF([9]Flags!AQ27=0," ",(IFERROR(AQ7/AQ10,"")))</f>
        <v xml:space="preserve"> </v>
      </c>
      <c r="AR17" s="1755" t="str">
        <f>IF([9]Flags!AR27=0," ",(IFERROR(AR7/AR10,"")))</f>
        <v xml:space="preserve"> </v>
      </c>
    </row>
    <row r="18" spans="4:44" ht="15.75" thickBot="1">
      <c r="D18" s="1756" t="s">
        <v>1841</v>
      </c>
      <c r="E18" s="1858" t="str">
        <f t="shared" ref="E18:V18" ca="1" si="5">IFERROR(E14/E10," ")</f>
        <v xml:space="preserve"> </v>
      </c>
      <c r="F18" s="1858" t="str">
        <f t="shared" ca="1" si="5"/>
        <v xml:space="preserve"> </v>
      </c>
      <c r="G18" s="1858" t="str">
        <f t="shared" ca="1" si="5"/>
        <v xml:space="preserve"> </v>
      </c>
      <c r="H18" s="1858">
        <f t="shared" ca="1" si="5"/>
        <v>7.4714540992279268</v>
      </c>
      <c r="I18" s="1858">
        <f t="shared" ca="1" si="5"/>
        <v>6.6923650187023451</v>
      </c>
      <c r="J18" s="1858">
        <f t="shared" ca="1" si="5"/>
        <v>5.7195669910168814</v>
      </c>
      <c r="K18" s="1858">
        <f t="shared" ca="1" si="5"/>
        <v>4.7725029078837649</v>
      </c>
      <c r="L18" s="1858">
        <f t="shared" ca="1" si="5"/>
        <v>3.7320728575433546</v>
      </c>
      <c r="M18" s="1858">
        <f t="shared" ca="1" si="5"/>
        <v>2.5677911142958059</v>
      </c>
      <c r="N18" s="1858">
        <f t="shared" ca="1" si="5"/>
        <v>1.2500369053410898</v>
      </c>
      <c r="O18" s="1858" t="str">
        <f t="shared" ca="1" si="5"/>
        <v xml:space="preserve"> </v>
      </c>
      <c r="P18" s="1858" t="str">
        <f t="shared" ca="1" si="5"/>
        <v xml:space="preserve"> </v>
      </c>
      <c r="Q18" s="1858" t="str">
        <f t="shared" ca="1" si="5"/>
        <v xml:space="preserve"> </v>
      </c>
      <c r="R18" s="1754" t="str">
        <f t="shared" ca="1" si="5"/>
        <v xml:space="preserve"> </v>
      </c>
      <c r="S18" s="1754" t="str">
        <f t="shared" ca="1" si="5"/>
        <v xml:space="preserve"> </v>
      </c>
      <c r="T18" s="1754" t="str">
        <f t="shared" ca="1" si="5"/>
        <v xml:space="preserve"> </v>
      </c>
      <c r="U18" s="1754" t="str">
        <f t="shared" ca="1" si="5"/>
        <v xml:space="preserve"> </v>
      </c>
      <c r="V18" s="1754" t="str">
        <f t="shared" ca="1" si="5"/>
        <v xml:space="preserve"> </v>
      </c>
      <c r="W18" s="1757" t="str">
        <f>IF([9]Flags!W27=0," ",IFERROR(W14/W10," "))</f>
        <v xml:space="preserve"> </v>
      </c>
      <c r="X18" s="1757" t="str">
        <f>IF([9]Flags!X27=0," ",IFERROR(X14/X10," "))</f>
        <v xml:space="preserve"> </v>
      </c>
      <c r="Y18" s="1757" t="str">
        <f>IF([9]Flags!Y27=0," ",IFERROR(Y14/Y10," "))</f>
        <v xml:space="preserve"> </v>
      </c>
      <c r="Z18" s="1757" t="str">
        <f>IF([9]Flags!Z27=0," ",IFERROR(Z14/Z10," "))</f>
        <v xml:space="preserve"> </v>
      </c>
      <c r="AA18" s="1757" t="str">
        <f>IF([9]Flags!AA27=0," ",IFERROR(AA14/AA10," "))</f>
        <v xml:space="preserve"> </v>
      </c>
      <c r="AB18" s="1757" t="str">
        <f>IF([9]Flags!AB27=0," ",IFERROR(AB14/AB10," "))</f>
        <v xml:space="preserve"> </v>
      </c>
      <c r="AC18" s="1757" t="str">
        <f>IF([9]Flags!AC27=0," ",IFERROR(AC14/AC10," "))</f>
        <v xml:space="preserve"> </v>
      </c>
      <c r="AD18" s="1757" t="str">
        <f>IF([9]Flags!AD27=0," ",IFERROR(AD14/AD10," "))</f>
        <v xml:space="preserve"> </v>
      </c>
      <c r="AE18" s="1757" t="str">
        <f>IF([9]Flags!AE27=0," ",IFERROR(AE14/AE10," "))</f>
        <v xml:space="preserve"> </v>
      </c>
      <c r="AF18" s="1757" t="str">
        <f>IF([9]Flags!AF27=0," ",IFERROR(AF14/AF10," "))</f>
        <v xml:space="preserve"> </v>
      </c>
      <c r="AG18" s="1757" t="str">
        <f>IF([9]Flags!AG27=0," ",IFERROR(AG14/AG10," "))</f>
        <v xml:space="preserve"> </v>
      </c>
      <c r="AH18" s="1757" t="str">
        <f>IF([9]Flags!AH27=0," ",IFERROR(AH14/AH10," "))</f>
        <v xml:space="preserve"> </v>
      </c>
      <c r="AI18" s="1757" t="str">
        <f>IF([9]Flags!AI27=0," ",IFERROR(AI14/AI10," "))</f>
        <v xml:space="preserve"> </v>
      </c>
      <c r="AJ18" s="1757" t="str">
        <f>IF([9]Flags!AJ27=0," ",IFERROR(AJ14/AJ10," "))</f>
        <v xml:space="preserve"> </v>
      </c>
      <c r="AK18" s="1757" t="str">
        <f>IF([9]Flags!AK27=0," ",IFERROR(AK14/AK10," "))</f>
        <v xml:space="preserve"> </v>
      </c>
      <c r="AL18" s="1757" t="str">
        <f>IF([9]Flags!AL27=0," ",IFERROR(AL14/AL10," "))</f>
        <v xml:space="preserve"> </v>
      </c>
      <c r="AM18" s="1757" t="str">
        <f>IF([9]Flags!AM27=0," ",IFERROR(AM14/AM10," "))</f>
        <v xml:space="preserve"> </v>
      </c>
      <c r="AN18" s="1757" t="str">
        <f>IF([9]Flags!AN27=0," ",IFERROR(AN14/AN10," "))</f>
        <v xml:space="preserve"> </v>
      </c>
      <c r="AO18" s="1757" t="str">
        <f>IF([9]Flags!AO27=0," ",IFERROR(AO14/AO10," "))</f>
        <v xml:space="preserve"> </v>
      </c>
      <c r="AP18" s="1757" t="str">
        <f>IF([9]Flags!AP27=0," ",IFERROR(AP14/AP10," "))</f>
        <v xml:space="preserve"> </v>
      </c>
      <c r="AQ18" s="1757" t="str">
        <f>IF([9]Flags!AQ27=0," ",IFERROR(AQ14/AQ10," "))</f>
        <v xml:space="preserve"> </v>
      </c>
      <c r="AR18" s="1755" t="str">
        <f>IF([9]Flags!AR28=0," ",(IFERROR(AR8/AR11,"")))</f>
        <v xml:space="preserve"> </v>
      </c>
    </row>
    <row r="19" spans="4:44" ht="15.75" thickBot="1">
      <c r="D19" s="1758" t="s">
        <v>1842</v>
      </c>
      <c r="E19" s="1759" t="str">
        <f ca="1">IFERROR(E15/E10," ")</f>
        <v xml:space="preserve"> </v>
      </c>
      <c r="F19" s="1759" t="str">
        <f ca="1">IFERROR(F15/F10," ")</f>
        <v xml:space="preserve"> </v>
      </c>
      <c r="G19" s="1759" t="str">
        <f ca="1">IFERROR(G15/G10," ")</f>
        <v xml:space="preserve"> </v>
      </c>
      <c r="H19" s="1759">
        <f ca="1">IFERROR(H15/H10," ")</f>
        <v>14.78072204829351</v>
      </c>
      <c r="I19" s="1759">
        <f t="shared" ref="I19:AC19" ca="1" si="6">IFERROR(I15/I10," ")</f>
        <v>14.467211569985068</v>
      </c>
      <c r="J19" s="1759">
        <f t="shared" ca="1" si="6"/>
        <v>14.031063606714893</v>
      </c>
      <c r="K19" s="1759">
        <f t="shared" ca="1" si="6"/>
        <v>13.675297929897564</v>
      </c>
      <c r="L19" s="1759">
        <f t="shared" ca="1" si="6"/>
        <v>13.343595524545727</v>
      </c>
      <c r="M19" s="1759">
        <f t="shared" ca="1" si="6"/>
        <v>13.000859119523966</v>
      </c>
      <c r="N19" s="1759">
        <f t="shared" ca="1" si="6"/>
        <v>12.661133873277615</v>
      </c>
      <c r="O19" s="1759" t="str">
        <f t="shared" ca="1" si="6"/>
        <v xml:space="preserve"> </v>
      </c>
      <c r="P19" s="1759" t="str">
        <f t="shared" ca="1" si="6"/>
        <v xml:space="preserve"> </v>
      </c>
      <c r="Q19" s="1759" t="str">
        <f t="shared" ca="1" si="6"/>
        <v xml:space="preserve"> </v>
      </c>
      <c r="R19" s="1759" t="str">
        <f t="shared" ca="1" si="6"/>
        <v xml:space="preserve"> </v>
      </c>
      <c r="S19" s="1759" t="str">
        <f t="shared" ca="1" si="6"/>
        <v xml:space="preserve"> </v>
      </c>
      <c r="T19" s="1759" t="str">
        <f t="shared" ca="1" si="6"/>
        <v xml:space="preserve"> </v>
      </c>
      <c r="U19" s="1759" t="str">
        <f t="shared" ca="1" si="6"/>
        <v xml:space="preserve"> </v>
      </c>
      <c r="V19" s="1759" t="str">
        <f t="shared" ca="1" si="6"/>
        <v xml:space="preserve"> </v>
      </c>
      <c r="W19" s="1759" t="str">
        <f t="shared" ca="1" si="6"/>
        <v xml:space="preserve"> </v>
      </c>
      <c r="X19" s="1759" t="str">
        <f t="shared" ca="1" si="6"/>
        <v xml:space="preserve"> </v>
      </c>
      <c r="Y19" s="1759" t="str">
        <f t="shared" ca="1" si="6"/>
        <v xml:space="preserve"> </v>
      </c>
      <c r="Z19" s="1759" t="str">
        <f t="shared" ca="1" si="6"/>
        <v xml:space="preserve"> </v>
      </c>
      <c r="AA19" s="1759" t="str">
        <f t="shared" ca="1" si="6"/>
        <v xml:space="preserve"> </v>
      </c>
      <c r="AB19" s="1759" t="str">
        <f t="shared" ca="1" si="6"/>
        <v xml:space="preserve"> </v>
      </c>
      <c r="AC19" s="1759" t="str">
        <f t="shared" ca="1" si="6"/>
        <v xml:space="preserve"> </v>
      </c>
      <c r="AD19" s="1759" t="str">
        <f>IF([9]Flags!AD27=0," ",IFERROR(AD15/AD10, " "))</f>
        <v xml:space="preserve"> </v>
      </c>
      <c r="AE19" s="1759" t="str">
        <f>IF([9]Flags!AE27=0," ",IFERROR(AE15/AE10, " "))</f>
        <v xml:space="preserve"> </v>
      </c>
      <c r="AF19" s="1759" t="str">
        <f>IF([9]Flags!AF27=0," ",IFERROR(AF15/AF10, " "))</f>
        <v xml:space="preserve"> </v>
      </c>
      <c r="AG19" s="1759" t="str">
        <f>IF([9]Flags!AG27=0," ",IFERROR(AG15/AG10, " "))</f>
        <v xml:space="preserve"> </v>
      </c>
      <c r="AH19" s="1759" t="str">
        <f>IF([9]Flags!AH27=0," ",IFERROR(AH15/AH10, " "))</f>
        <v xml:space="preserve"> </v>
      </c>
      <c r="AI19" s="1759" t="str">
        <f>IF([9]Flags!AI27=0," ",IFERROR(AI15/AI10, " "))</f>
        <v xml:space="preserve"> </v>
      </c>
      <c r="AJ19" s="1759" t="str">
        <f>IF([9]Flags!AJ27=0," ",IFERROR(AJ15/AJ10, " "))</f>
        <v xml:space="preserve"> </v>
      </c>
      <c r="AK19" s="1759" t="str">
        <f>IF([9]Flags!AK27=0," ",IFERROR(AK15/AK10, " "))</f>
        <v xml:space="preserve"> </v>
      </c>
      <c r="AL19" s="1759" t="str">
        <f>IF([9]Flags!AL27=0," ",IFERROR(AL15/AL10, " "))</f>
        <v xml:space="preserve"> </v>
      </c>
      <c r="AM19" s="1759" t="str">
        <f>IF([9]Flags!AM27=0," ",IFERROR(AM15/AM10, " "))</f>
        <v xml:space="preserve"> </v>
      </c>
      <c r="AN19" s="1759" t="str">
        <f>IF([9]Flags!AN27=0," ",IFERROR(AN15/AN10, " "))</f>
        <v xml:space="preserve"> </v>
      </c>
      <c r="AO19" s="1759" t="str">
        <f>IF([9]Flags!AO27=0," ",IFERROR(AO15/AO10, " "))</f>
        <v xml:space="preserve"> </v>
      </c>
      <c r="AP19" s="1759" t="str">
        <f>IF([9]Flags!AP27=0," ",IFERROR(AP15/AP10, " "))</f>
        <v xml:space="preserve"> </v>
      </c>
      <c r="AQ19" s="1759" t="str">
        <f>IF([9]Flags!AQ27=0," ",IFERROR(AQ15/AQ10, " "))</f>
        <v xml:space="preserve"> </v>
      </c>
      <c r="AR19" s="1755" t="str">
        <f>IF([9]Flags!AR29=0," ",(IFERROR(AR9/AR12,"")))</f>
        <v xml:space="preserve"> </v>
      </c>
    </row>
    <row r="20" spans="4:44" ht="15.75" thickBot="1"/>
    <row r="21" spans="4:44">
      <c r="D21" s="1760"/>
      <c r="E21" s="1761"/>
      <c r="F21" s="1761"/>
      <c r="G21" s="1761"/>
      <c r="H21" s="1761"/>
      <c r="I21" s="1761"/>
      <c r="J21" s="1761"/>
      <c r="K21" s="1761"/>
      <c r="L21" s="1761"/>
      <c r="M21" s="1761"/>
      <c r="N21" s="1761"/>
      <c r="O21" s="1761"/>
      <c r="P21" s="1761"/>
      <c r="Q21" s="1761"/>
      <c r="R21" s="1761"/>
      <c r="S21" s="1761"/>
      <c r="T21" s="1761"/>
      <c r="U21" s="1761"/>
      <c r="V21" s="1761"/>
      <c r="W21" s="1761"/>
      <c r="X21" s="1761"/>
      <c r="Y21" s="1761"/>
      <c r="Z21" s="1761"/>
      <c r="AA21" s="1761"/>
      <c r="AB21" s="1761"/>
      <c r="AC21" s="1761"/>
      <c r="AD21" s="1761"/>
      <c r="AE21" s="1761"/>
      <c r="AF21" s="1761"/>
      <c r="AG21" s="1761"/>
      <c r="AH21" s="1761"/>
      <c r="AI21" s="1761"/>
      <c r="AJ21" s="1761"/>
      <c r="AK21" s="1761"/>
      <c r="AL21" s="1761"/>
      <c r="AM21" s="1761"/>
      <c r="AN21" s="1761"/>
      <c r="AO21" s="1761"/>
      <c r="AP21" s="1761"/>
      <c r="AQ21" s="1761"/>
      <c r="AR21" s="1762"/>
    </row>
    <row r="22" spans="4:44">
      <c r="D22" s="1763" t="s">
        <v>1843</v>
      </c>
      <c r="E22" s="1807">
        <f ca="1">AVERAGE(E17:Q17)</f>
        <v>2.3392727124940742</v>
      </c>
      <c r="F22" s="1764"/>
      <c r="G22" s="1764"/>
      <c r="H22" s="1764"/>
      <c r="I22" s="1764"/>
      <c r="J22" s="1764"/>
      <c r="K22" s="1764"/>
      <c r="L22" s="1764"/>
      <c r="M22" s="1764"/>
      <c r="N22" s="1764"/>
      <c r="O22" s="1764"/>
      <c r="P22" s="1764"/>
      <c r="Q22" s="1764"/>
      <c r="R22" s="1764"/>
      <c r="S22" s="1764"/>
      <c r="T22" s="1764"/>
      <c r="U22" s="1764"/>
      <c r="V22" s="1764"/>
      <c r="W22" s="1764"/>
      <c r="X22" s="1764"/>
      <c r="Y22" s="1764"/>
      <c r="Z22" s="1764"/>
      <c r="AA22" s="1764"/>
      <c r="AB22" s="1764"/>
      <c r="AC22" s="1764"/>
      <c r="AD22" s="1764"/>
      <c r="AE22" s="1764"/>
      <c r="AF22" s="1764"/>
      <c r="AG22" s="1764"/>
      <c r="AH22" s="1764"/>
      <c r="AI22" s="1764"/>
      <c r="AJ22" s="1764"/>
      <c r="AK22" s="1764"/>
      <c r="AL22" s="1764"/>
      <c r="AM22" s="1764"/>
      <c r="AN22" s="1764"/>
      <c r="AO22" s="1764"/>
      <c r="AP22" s="1764"/>
      <c r="AQ22" s="1764"/>
      <c r="AR22" s="1765"/>
    </row>
    <row r="23" spans="4:44">
      <c r="D23" s="1763" t="s">
        <v>1844</v>
      </c>
      <c r="E23" s="1807">
        <f ca="1">AVERAGE(E18:AR18)</f>
        <v>4.6008271277158812</v>
      </c>
      <c r="F23" s="1764"/>
      <c r="G23" s="1764"/>
      <c r="H23" s="1764"/>
      <c r="I23" s="1764"/>
      <c r="J23" s="1764"/>
      <c r="K23" s="1764"/>
      <c r="L23" s="1764"/>
      <c r="M23" s="1764"/>
      <c r="N23" s="1764"/>
      <c r="O23" s="1764"/>
      <c r="P23" s="1764"/>
      <c r="Q23" s="1764"/>
      <c r="R23" s="1764"/>
      <c r="S23" s="1764"/>
      <c r="T23" s="1764"/>
      <c r="U23" s="1764"/>
      <c r="V23" s="1764"/>
      <c r="W23" s="1764"/>
      <c r="X23" s="1764"/>
      <c r="Y23" s="1764"/>
      <c r="Z23" s="1764"/>
      <c r="AA23" s="1764"/>
      <c r="AB23" s="1764"/>
      <c r="AC23" s="1764"/>
      <c r="AD23" s="1764"/>
      <c r="AE23" s="1764"/>
      <c r="AF23" s="1764"/>
      <c r="AG23" s="1764"/>
      <c r="AH23" s="1764"/>
      <c r="AI23" s="1764"/>
      <c r="AJ23" s="1764"/>
      <c r="AK23" s="1764"/>
      <c r="AL23" s="1764"/>
      <c r="AM23" s="1764"/>
      <c r="AN23" s="1764"/>
      <c r="AO23" s="1764"/>
      <c r="AP23" s="1764"/>
      <c r="AQ23" s="1764"/>
      <c r="AR23" s="1765"/>
    </row>
    <row r="24" spans="4:44">
      <c r="D24" s="1763" t="s">
        <v>1845</v>
      </c>
      <c r="E24" s="1807">
        <f ca="1">AVERAGE(E19:AR19)</f>
        <v>13.708554810319765</v>
      </c>
      <c r="F24" s="1764"/>
      <c r="G24" s="1764"/>
      <c r="H24" s="1764"/>
      <c r="I24" s="1764"/>
      <c r="J24" s="1764"/>
      <c r="K24" s="1764"/>
      <c r="L24" s="1764"/>
      <c r="M24" s="1764"/>
      <c r="N24" s="1764"/>
      <c r="O24" s="1764"/>
      <c r="P24" s="1764"/>
      <c r="Q24" s="1764"/>
      <c r="R24" s="1764"/>
      <c r="S24" s="1764"/>
      <c r="T24" s="1764"/>
      <c r="U24" s="1764"/>
      <c r="V24" s="1764"/>
      <c r="W24" s="1764"/>
      <c r="X24" s="1764"/>
      <c r="Y24" s="1764"/>
      <c r="Z24" s="1764"/>
      <c r="AA24" s="1764"/>
      <c r="AB24" s="1764"/>
      <c r="AC24" s="1764"/>
      <c r="AD24" s="1764"/>
      <c r="AE24" s="1764"/>
      <c r="AF24" s="1764"/>
      <c r="AG24" s="1764"/>
      <c r="AH24" s="1764"/>
      <c r="AI24" s="1764"/>
      <c r="AJ24" s="1764"/>
      <c r="AK24" s="1764"/>
      <c r="AL24" s="1764"/>
      <c r="AM24" s="1764"/>
      <c r="AN24" s="1764"/>
      <c r="AO24" s="1764"/>
      <c r="AP24" s="1764"/>
      <c r="AQ24" s="1764"/>
      <c r="AR24" s="1765"/>
    </row>
    <row r="25" spans="4:44">
      <c r="D25" s="1763" t="s">
        <v>1890</v>
      </c>
      <c r="E25" s="1807">
        <f ca="1">MIN(F17:P17)</f>
        <v>1.5618520582690452</v>
      </c>
      <c r="F25" s="1764"/>
      <c r="G25" s="1764"/>
      <c r="H25" s="1764"/>
      <c r="I25" s="1764"/>
      <c r="J25" s="1764"/>
      <c r="K25" s="1764"/>
      <c r="L25" s="1764"/>
      <c r="M25" s="1764"/>
      <c r="N25" s="1764"/>
      <c r="O25" s="1764"/>
      <c r="P25" s="1764"/>
      <c r="Q25" s="1764"/>
      <c r="R25" s="1764"/>
      <c r="S25" s="1764"/>
      <c r="T25" s="1764"/>
      <c r="U25" s="1764"/>
      <c r="V25" s="1764"/>
      <c r="W25" s="1764"/>
      <c r="X25" s="1764"/>
      <c r="Y25" s="1764"/>
      <c r="Z25" s="1764"/>
      <c r="AA25" s="1764"/>
      <c r="AB25" s="1764"/>
      <c r="AC25" s="1764"/>
      <c r="AD25" s="1764"/>
      <c r="AE25" s="1764"/>
      <c r="AF25" s="1764"/>
      <c r="AG25" s="1764"/>
      <c r="AH25" s="1764"/>
      <c r="AI25" s="1764"/>
      <c r="AJ25" s="1764"/>
      <c r="AK25" s="1764"/>
      <c r="AL25" s="1764"/>
      <c r="AM25" s="1764"/>
      <c r="AN25" s="1764"/>
      <c r="AO25" s="1764"/>
      <c r="AP25" s="1764"/>
      <c r="AQ25" s="1764"/>
      <c r="AR25" s="1765"/>
    </row>
    <row r="26" spans="4:44">
      <c r="D26" s="1855" t="s">
        <v>1891</v>
      </c>
      <c r="E26" s="1807">
        <f ca="1">MIN(F18:P18)</f>
        <v>1.2500369053410898</v>
      </c>
      <c r="F26" s="1788"/>
      <c r="G26" s="1788"/>
      <c r="H26" s="1788"/>
      <c r="I26" s="1788"/>
      <c r="J26" s="1788"/>
      <c r="K26" s="1788"/>
      <c r="L26" s="1788"/>
      <c r="M26" s="1788"/>
      <c r="N26" s="1788"/>
      <c r="O26" s="1788"/>
      <c r="P26" s="1788"/>
      <c r="Q26" s="1788"/>
      <c r="R26" s="1788"/>
      <c r="S26" s="1788"/>
      <c r="T26" s="1788"/>
      <c r="U26" s="1788"/>
      <c r="V26" s="1788"/>
      <c r="W26" s="1788"/>
      <c r="X26" s="1788"/>
      <c r="Y26" s="1788"/>
      <c r="Z26" s="1788"/>
      <c r="AA26" s="1788"/>
      <c r="AB26" s="1788"/>
      <c r="AC26" s="1788"/>
      <c r="AD26" s="1788"/>
      <c r="AE26" s="1788"/>
      <c r="AF26" s="1788"/>
      <c r="AG26" s="1788"/>
      <c r="AH26" s="1788"/>
      <c r="AI26" s="1788"/>
      <c r="AJ26" s="1788"/>
      <c r="AK26" s="1788"/>
      <c r="AL26" s="1788"/>
      <c r="AM26" s="1788"/>
      <c r="AN26" s="1788"/>
      <c r="AO26" s="1788"/>
      <c r="AP26" s="1788"/>
      <c r="AQ26" s="1788"/>
      <c r="AR26" s="1856"/>
    </row>
    <row r="27" spans="4:44">
      <c r="D27" s="1857" t="s">
        <v>1892</v>
      </c>
      <c r="E27" s="1807">
        <f ca="1">MIN(F19:P19)</f>
        <v>12.661133873277615</v>
      </c>
      <c r="F27" s="1764"/>
      <c r="G27" s="1764"/>
      <c r="H27" s="1764"/>
      <c r="I27" s="1764"/>
      <c r="J27" s="1764"/>
      <c r="K27" s="1764"/>
      <c r="L27" s="1764"/>
      <c r="M27" s="1764"/>
      <c r="N27" s="1764"/>
      <c r="O27" s="1764"/>
      <c r="P27" s="1764"/>
      <c r="Q27" s="1764"/>
      <c r="R27" s="1764"/>
      <c r="S27" s="1764"/>
      <c r="T27" s="1764"/>
      <c r="U27" s="1764"/>
      <c r="V27" s="1764"/>
      <c r="W27" s="1764"/>
      <c r="X27" s="1764"/>
      <c r="Y27" s="1764"/>
      <c r="Z27" s="1764"/>
      <c r="AA27" s="1764"/>
      <c r="AB27" s="1764"/>
      <c r="AC27" s="1764"/>
      <c r="AD27" s="1764"/>
      <c r="AE27" s="1764"/>
      <c r="AF27" s="1764"/>
      <c r="AG27" s="1764"/>
      <c r="AH27" s="1764"/>
      <c r="AI27" s="1764"/>
      <c r="AJ27" s="1764"/>
      <c r="AK27" s="1764"/>
      <c r="AL27" s="1764"/>
      <c r="AM27" s="1764"/>
      <c r="AN27" s="1764"/>
      <c r="AO27" s="1764"/>
      <c r="AP27" s="1764"/>
      <c r="AQ27" s="1764"/>
      <c r="AR27" s="1764"/>
    </row>
    <row r="28" spans="4:44" ht="18" thickBot="1">
      <c r="D28" s="1859"/>
      <c r="E28" s="1860" t="s">
        <v>1893</v>
      </c>
      <c r="F28" s="1861"/>
      <c r="G28" s="1842"/>
      <c r="H28" s="1842"/>
      <c r="I28" s="1842"/>
      <c r="J28" s="1842"/>
      <c r="K28" s="1842"/>
      <c r="L28" s="1842"/>
      <c r="M28" s="1842"/>
      <c r="N28" s="1842"/>
      <c r="O28" s="1842"/>
      <c r="P28" s="1842"/>
      <c r="Q28" s="1842"/>
      <c r="R28" s="1842"/>
      <c r="S28" s="1842"/>
      <c r="T28" s="1842"/>
      <c r="U28" s="1842"/>
      <c r="V28" s="1842"/>
      <c r="W28" s="1842"/>
      <c r="X28" s="1842"/>
      <c r="Y28" s="1842"/>
      <c r="Z28" s="1842"/>
      <c r="AA28" s="1842"/>
      <c r="AB28" s="1842"/>
      <c r="AC28" s="1842"/>
      <c r="AD28" s="1842"/>
      <c r="AE28" s="1842"/>
      <c r="AF28" s="1842"/>
      <c r="AG28" s="1842"/>
      <c r="AH28" s="1842"/>
      <c r="AI28" s="1842"/>
      <c r="AJ28" s="1842"/>
      <c r="AK28" s="1842"/>
      <c r="AL28" s="1842"/>
      <c r="AM28" s="1842"/>
      <c r="AN28" s="1842"/>
      <c r="AO28" s="1842"/>
      <c r="AP28" s="1842"/>
      <c r="AQ28" s="1842"/>
      <c r="AR28" s="1842"/>
    </row>
    <row r="29" spans="4:44" ht="17.25">
      <c r="D29" s="1862" t="s">
        <v>515</v>
      </c>
      <c r="E29" s="1863">
        <f ca="1">MATCH(E25,E17:P17,0)</f>
        <v>4</v>
      </c>
      <c r="F29" s="1864"/>
    </row>
    <row r="30" spans="4:44" ht="15.75" thickBot="1">
      <c r="D30" s="1865" t="s">
        <v>516</v>
      </c>
      <c r="E30" s="2134">
        <f ca="1">INDEX('Fixed Assets'!I3:AW3,Valuation!E29)</f>
        <v>47119</v>
      </c>
      <c r="F30" s="1766"/>
    </row>
    <row r="31" spans="4:44" ht="15.75" thickBot="1">
      <c r="D31" s="1752"/>
      <c r="E31" s="1866"/>
      <c r="F31" s="1819"/>
    </row>
    <row r="32" spans="4:44" ht="15.75" thickBot="1"/>
    <row r="33" spans="4:45" ht="19.5" thickBot="1">
      <c r="D33" s="1767" t="s">
        <v>1876</v>
      </c>
      <c r="E33" s="1761"/>
      <c r="F33" s="1768"/>
      <c r="G33" s="1761"/>
      <c r="H33" s="1761"/>
      <c r="I33" s="1761"/>
      <c r="J33" s="1761"/>
      <c r="K33" s="1761"/>
      <c r="L33" s="1761"/>
      <c r="M33" s="1761"/>
      <c r="N33" s="1761"/>
      <c r="O33" s="1761"/>
      <c r="P33" s="1761"/>
      <c r="Q33" s="1761"/>
      <c r="R33" s="1761"/>
      <c r="S33" s="1761"/>
      <c r="T33" s="1761"/>
      <c r="U33" s="1761"/>
      <c r="V33" s="1761"/>
      <c r="W33" s="1761"/>
      <c r="X33" s="1761"/>
      <c r="Y33" s="1761"/>
      <c r="Z33" s="1761"/>
      <c r="AA33" s="1761"/>
      <c r="AB33" s="1761"/>
      <c r="AC33" s="1761"/>
      <c r="AD33" s="1761"/>
      <c r="AE33" s="1761"/>
      <c r="AF33" s="1761"/>
      <c r="AG33" s="1761"/>
      <c r="AH33" s="1761"/>
      <c r="AI33" s="1761"/>
      <c r="AJ33" s="1761"/>
      <c r="AK33" s="1761"/>
      <c r="AL33" s="1761"/>
      <c r="AM33" s="1761"/>
      <c r="AN33" s="1761"/>
      <c r="AO33" s="1761"/>
      <c r="AP33" s="1761"/>
      <c r="AQ33" s="1761"/>
      <c r="AR33" s="1762"/>
      <c r="AS33" s="1811"/>
    </row>
    <row r="34" spans="4:45" ht="15.75" thickBot="1">
      <c r="D34" s="1769" t="s">
        <v>1830</v>
      </c>
      <c r="E34" s="1770">
        <f>E6</f>
        <v>1</v>
      </c>
      <c r="F34" s="2137">
        <f t="shared" ref="F34:AS34" si="7">F6</f>
        <v>0.91074148215096651</v>
      </c>
      <c r="G34" s="2138">
        <f t="shared" si="7"/>
        <v>0.82945004731053928</v>
      </c>
      <c r="H34" s="2136">
        <f t="shared" si="7"/>
        <v>0.75541456545778984</v>
      </c>
      <c r="I34" s="1770">
        <f t="shared" si="7"/>
        <v>0.6879873809834558</v>
      </c>
      <c r="J34" s="1770">
        <f t="shared" si="7"/>
        <v>0.62657864705803423</v>
      </c>
      <c r="K34" s="1770">
        <f t="shared" si="7"/>
        <v>0.57065116570578145</v>
      </c>
      <c r="L34" s="1770">
        <f t="shared" si="7"/>
        <v>0.5197156884460602</v>
      </c>
      <c r="M34" s="1770">
        <f t="shared" si="7"/>
        <v>0.47332663639247485</v>
      </c>
      <c r="N34" s="1770">
        <f t="shared" si="7"/>
        <v>0.43107820236961425</v>
      </c>
      <c r="O34" s="1770">
        <f t="shared" si="7"/>
        <v>0.39260080094907673</v>
      </c>
      <c r="P34" s="1770">
        <f t="shared" si="7"/>
        <v>0.35755783535001873</v>
      </c>
      <c r="Q34" s="1770">
        <f t="shared" si="7"/>
        <v>0.3256427529213673</v>
      </c>
      <c r="R34" s="1770">
        <f t="shared" si="7"/>
        <v>0.29657636344732702</v>
      </c>
      <c r="S34" s="1770">
        <f t="shared" si="7"/>
        <v>0.27010439681696236</v>
      </c>
      <c r="T34" s="1770">
        <f t="shared" si="7"/>
        <v>0.24599527869257309</v>
      </c>
      <c r="U34" s="1770">
        <f t="shared" si="7"/>
        <v>0.22403810471861413</v>
      </c>
      <c r="V34" s="1770">
        <f t="shared" si="7"/>
        <v>0.2040407955497241</v>
      </c>
      <c r="W34" s="1770">
        <f t="shared" si="7"/>
        <v>0.18582841655821805</v>
      </c>
      <c r="X34" s="1770">
        <f t="shared" si="7"/>
        <v>0.16924164752199872</v>
      </c>
      <c r="Y34" s="1770">
        <f t="shared" si="7"/>
        <v>0.15413538890585654</v>
      </c>
      <c r="Z34" s="1770">
        <f t="shared" si="7"/>
        <v>0.14037749254403545</v>
      </c>
      <c r="AA34" s="1770">
        <f t="shared" si="7"/>
        <v>0.1278476056201911</v>
      </c>
      <c r="AB34" s="1770">
        <f t="shared" si="7"/>
        <v>0.11643611783198508</v>
      </c>
      <c r="AC34" s="1770">
        <f t="shared" si="7"/>
        <v>0.10604320253020669</v>
      </c>
      <c r="AD34" s="1770">
        <f t="shared" si="7"/>
        <v>9.6577943444395575E-2</v>
      </c>
      <c r="AE34" s="1770">
        <f t="shared" si="7"/>
        <v>8.7957539355641046E-2</v>
      </c>
      <c r="AF34" s="1770">
        <f t="shared" si="7"/>
        <v>8.0106579759108482E-2</v>
      </c>
      <c r="AG34" s="1770">
        <f t="shared" si="7"/>
        <v>7.2956385179855074E-2</v>
      </c>
      <c r="AH34" s="1770">
        <f t="shared" si="7"/>
        <v>6.6444406371078027E-2</v>
      </c>
      <c r="AI34" s="1770">
        <f t="shared" si="7"/>
        <v>6.0513677139036721E-2</v>
      </c>
      <c r="AJ34" s="1770">
        <f t="shared" si="7"/>
        <v>5.5112316008011357E-2</v>
      </c>
      <c r="AK34" s="1770">
        <f t="shared" si="7"/>
        <v>5.0193072365908711E-2</v>
      </c>
      <c r="AL34" s="1770">
        <f t="shared" si="7"/>
        <v>4.5712913120238417E-2</v>
      </c>
      <c r="AM34" s="1770">
        <f t="shared" si="7"/>
        <v>4.163264624856431E-2</v>
      </c>
      <c r="AN34" s="1770">
        <f t="shared" si="7"/>
        <v>3.791657795028433E-2</v>
      </c>
      <c r="AO34" s="1770">
        <f t="shared" si="7"/>
        <v>3.4532200400534611E-2</v>
      </c>
      <c r="AP34" s="1770">
        <f t="shared" si="7"/>
        <v>3.144990737471709E-2</v>
      </c>
      <c r="AQ34" s="1770">
        <f t="shared" si="7"/>
        <v>2.8642735255960457E-2</v>
      </c>
      <c r="AR34" s="1770">
        <f t="shared" si="7"/>
        <v>2.6086127159871166E-2</v>
      </c>
      <c r="AS34" s="1770">
        <f t="shared" si="7"/>
        <v>2.3757718113159652E-2</v>
      </c>
    </row>
    <row r="35" spans="4:45">
      <c r="D35" s="1756" t="s">
        <v>1846</v>
      </c>
      <c r="E35" s="1771">
        <f t="shared" ref="E35:AS35" si="8">1-(Corporate_tax)</f>
        <v>0.7</v>
      </c>
      <c r="F35" s="1771">
        <f t="shared" si="8"/>
        <v>0.7</v>
      </c>
      <c r="G35" s="1771">
        <f t="shared" si="8"/>
        <v>0.7</v>
      </c>
      <c r="H35" s="1771">
        <f t="shared" si="8"/>
        <v>0.7</v>
      </c>
      <c r="I35" s="1771">
        <f t="shared" si="8"/>
        <v>0.7</v>
      </c>
      <c r="J35" s="1771">
        <f t="shared" si="8"/>
        <v>0.7</v>
      </c>
      <c r="K35" s="1771">
        <f t="shared" si="8"/>
        <v>0.7</v>
      </c>
      <c r="L35" s="1771">
        <f t="shared" si="8"/>
        <v>0.7</v>
      </c>
      <c r="M35" s="1771">
        <f t="shared" si="8"/>
        <v>0.7</v>
      </c>
      <c r="N35" s="1771">
        <f t="shared" si="8"/>
        <v>0.7</v>
      </c>
      <c r="O35" s="1771">
        <f t="shared" si="8"/>
        <v>0.7</v>
      </c>
      <c r="P35" s="1771">
        <f t="shared" si="8"/>
        <v>0.7</v>
      </c>
      <c r="Q35" s="1771">
        <f t="shared" si="8"/>
        <v>0.7</v>
      </c>
      <c r="R35" s="1771">
        <f t="shared" si="8"/>
        <v>0.7</v>
      </c>
      <c r="S35" s="1771">
        <f t="shared" si="8"/>
        <v>0.7</v>
      </c>
      <c r="T35" s="1771">
        <f t="shared" si="8"/>
        <v>0.7</v>
      </c>
      <c r="U35" s="1771">
        <f t="shared" si="8"/>
        <v>0.7</v>
      </c>
      <c r="V35" s="1771">
        <f t="shared" si="8"/>
        <v>0.7</v>
      </c>
      <c r="W35" s="1771">
        <f t="shared" si="8"/>
        <v>0.7</v>
      </c>
      <c r="X35" s="1771">
        <f t="shared" si="8"/>
        <v>0.7</v>
      </c>
      <c r="Y35" s="1771">
        <f t="shared" si="8"/>
        <v>0.7</v>
      </c>
      <c r="Z35" s="1771">
        <f t="shared" si="8"/>
        <v>0.7</v>
      </c>
      <c r="AA35" s="1771">
        <f t="shared" si="8"/>
        <v>0.7</v>
      </c>
      <c r="AB35" s="1771">
        <f t="shared" si="8"/>
        <v>0.7</v>
      </c>
      <c r="AC35" s="1771">
        <f t="shared" si="8"/>
        <v>0.7</v>
      </c>
      <c r="AD35" s="1771">
        <f t="shared" si="8"/>
        <v>0.7</v>
      </c>
      <c r="AE35" s="1771">
        <f t="shared" si="8"/>
        <v>0.7</v>
      </c>
      <c r="AF35" s="1771">
        <f t="shared" si="8"/>
        <v>0.7</v>
      </c>
      <c r="AG35" s="1771">
        <f t="shared" si="8"/>
        <v>0.7</v>
      </c>
      <c r="AH35" s="1771">
        <f t="shared" si="8"/>
        <v>0.7</v>
      </c>
      <c r="AI35" s="1771">
        <f t="shared" si="8"/>
        <v>0.7</v>
      </c>
      <c r="AJ35" s="1771">
        <f t="shared" si="8"/>
        <v>0.7</v>
      </c>
      <c r="AK35" s="1771">
        <f t="shared" si="8"/>
        <v>0.7</v>
      </c>
      <c r="AL35" s="1771">
        <f t="shared" si="8"/>
        <v>0.7</v>
      </c>
      <c r="AM35" s="1771">
        <f t="shared" si="8"/>
        <v>0.7</v>
      </c>
      <c r="AN35" s="1771">
        <f t="shared" si="8"/>
        <v>0.7</v>
      </c>
      <c r="AO35" s="1771">
        <f t="shared" si="8"/>
        <v>0.7</v>
      </c>
      <c r="AP35" s="1771">
        <f t="shared" si="8"/>
        <v>0.7</v>
      </c>
      <c r="AQ35" s="1771">
        <f t="shared" si="8"/>
        <v>0.7</v>
      </c>
      <c r="AR35" s="1771">
        <f t="shared" si="8"/>
        <v>0.7</v>
      </c>
      <c r="AS35" s="1771">
        <f t="shared" si="8"/>
        <v>0.7</v>
      </c>
    </row>
    <row r="36" spans="4:45">
      <c r="D36" s="1756" t="s">
        <v>1364</v>
      </c>
      <c r="E36" s="1750">
        <f ca="1">IS!I14</f>
        <v>0</v>
      </c>
      <c r="F36" s="1750">
        <f ca="1">IS!J14</f>
        <v>-144780637.06971791</v>
      </c>
      <c r="G36" s="1750">
        <f ca="1">IS!K14</f>
        <v>600175382.53925037</v>
      </c>
      <c r="H36" s="1750">
        <f ca="1">IS!L14</f>
        <v>1006372249.6429477</v>
      </c>
      <c r="I36" s="1750">
        <f ca="1">IS!M14</f>
        <v>1159012669.7335572</v>
      </c>
      <c r="J36" s="1750">
        <f ca="1">IS!N14</f>
        <v>1258868677.0939729</v>
      </c>
      <c r="K36" s="1750">
        <f ca="1">IS!O14</f>
        <v>1354095949.5067325</v>
      </c>
      <c r="L36" s="1750">
        <f ca="1">IS!P14</f>
        <v>1436591646.4185386</v>
      </c>
      <c r="M36" s="1750">
        <f ca="1">IS!Q14</f>
        <v>1523164760.8129563</v>
      </c>
      <c r="N36" s="1750">
        <f ca="1">IS!R14</f>
        <v>1615569121.424026</v>
      </c>
      <c r="O36" s="1750">
        <f ca="1">IS!S14</f>
        <v>1711147970.372494</v>
      </c>
      <c r="P36" s="1750">
        <f ca="1">IS!T14</f>
        <v>1814705617.6637578</v>
      </c>
      <c r="Q36" s="1750">
        <f ca="1">IS!U14</f>
        <v>1923605912.62609</v>
      </c>
      <c r="R36" s="1750">
        <f ca="1">IS!V14</f>
        <v>2039749567.4874854</v>
      </c>
      <c r="S36" s="1750">
        <f ca="1">IS!W14</f>
        <v>2160431772.2549324</v>
      </c>
      <c r="T36" s="1750">
        <f ca="1">IS!X14</f>
        <v>1420998381.6899498</v>
      </c>
      <c r="U36" s="1750">
        <f ca="1">IS!Y14</f>
        <v>1469004302.9991755</v>
      </c>
      <c r="V36" s="1750">
        <f ca="1">IS!Z14</f>
        <v>1522723863.6175473</v>
      </c>
      <c r="W36" s="1750">
        <f ca="1">IS!AA14</f>
        <v>1575610589.2908399</v>
      </c>
      <c r="X36" s="1750">
        <f ca="1">IS!AB14</f>
        <v>1632609886.2585571</v>
      </c>
      <c r="Y36" s="1750">
        <f ca="1">IS!AC14</f>
        <v>1690493454.7818089</v>
      </c>
      <c r="Z36" s="1750">
        <f ca="1">IS!AD14</f>
        <v>1750986779.474077</v>
      </c>
      <c r="AA36" s="1750">
        <f ca="1">IS!AE14</f>
        <v>1810725055.9042373</v>
      </c>
      <c r="AB36" s="1750">
        <f ca="1">IS!AF14</f>
        <v>1874910147.447772</v>
      </c>
      <c r="AC36" s="1750">
        <f ca="1">IS!AG14</f>
        <v>1940154244.431144</v>
      </c>
      <c r="AD36" s="1750">
        <f ca="1">IS!AH14</f>
        <v>2008275815.4038591</v>
      </c>
      <c r="AE36" s="1750">
        <f ca="1">IS!AI14</f>
        <v>2075736741.9715271</v>
      </c>
      <c r="AF36" s="1750">
        <f ca="1">IS!AJ14</f>
        <v>2148017740.8713617</v>
      </c>
      <c r="AG36" s="1750">
        <f ca="1">IS!AK14</f>
        <v>2221555693.6482</v>
      </c>
      <c r="AH36" s="1750">
        <f ca="1">IS!AL14</f>
        <v>2297333110.8336287</v>
      </c>
      <c r="AI36" s="1750">
        <f>IS!AM14</f>
        <v>0</v>
      </c>
      <c r="AJ36" s="1750">
        <f>IS!AN14</f>
        <v>0</v>
      </c>
      <c r="AK36" s="1750">
        <f>IS!AO14</f>
        <v>0</v>
      </c>
      <c r="AL36" s="1750">
        <f>IS!AP14</f>
        <v>0</v>
      </c>
      <c r="AM36" s="1750">
        <f>IS!AQ14</f>
        <v>0</v>
      </c>
      <c r="AN36" s="1750">
        <f>IS!AR14</f>
        <v>0</v>
      </c>
      <c r="AO36" s="1750">
        <f>IS!AS14</f>
        <v>0</v>
      </c>
      <c r="AP36" s="1750">
        <f>IS!AT14</f>
        <v>0</v>
      </c>
      <c r="AQ36" s="1750">
        <f>IS!AU14</f>
        <v>0</v>
      </c>
      <c r="AR36" s="1809">
        <f>IS!AV14</f>
        <v>0</v>
      </c>
      <c r="AS36" s="1750">
        <f>IS!AW14</f>
        <v>0</v>
      </c>
    </row>
    <row r="37" spans="4:45">
      <c r="D37" s="1756" t="s">
        <v>1847</v>
      </c>
      <c r="E37" s="1750">
        <f ca="1">E36*(E35)</f>
        <v>0</v>
      </c>
      <c r="F37" s="1773">
        <f t="shared" ref="F37:AQ37" ca="1" si="9">F36*(F35)</f>
        <v>-101346445.94880253</v>
      </c>
      <c r="G37" s="1750">
        <f t="shared" ca="1" si="9"/>
        <v>420122767.77747524</v>
      </c>
      <c r="H37" s="1750">
        <f t="shared" ca="1" si="9"/>
        <v>704460574.7500633</v>
      </c>
      <c r="I37" s="1750">
        <f t="shared" ca="1" si="9"/>
        <v>811308868.81349003</v>
      </c>
      <c r="J37" s="1750">
        <f t="shared" ca="1" si="9"/>
        <v>881208073.96578097</v>
      </c>
      <c r="K37" s="1750">
        <f t="shared" ca="1" si="9"/>
        <v>947867164.65471268</v>
      </c>
      <c r="L37" s="1750">
        <f t="shared" ca="1" si="9"/>
        <v>1005614152.4929769</v>
      </c>
      <c r="M37" s="1750">
        <f t="shared" ca="1" si="9"/>
        <v>1066215332.5690694</v>
      </c>
      <c r="N37" s="1750">
        <f t="shared" ca="1" si="9"/>
        <v>1130898384.9968181</v>
      </c>
      <c r="O37" s="1750">
        <f t="shared" ca="1" si="9"/>
        <v>1197803579.2607458</v>
      </c>
      <c r="P37" s="1750">
        <f t="shared" ca="1" si="9"/>
        <v>1270293932.3646305</v>
      </c>
      <c r="Q37" s="1750">
        <f t="shared" ca="1" si="9"/>
        <v>1346524138.838263</v>
      </c>
      <c r="R37" s="1750">
        <f t="shared" ca="1" si="9"/>
        <v>1427824697.2412398</v>
      </c>
      <c r="S37" s="1750">
        <f t="shared" ca="1" si="9"/>
        <v>1512302240.5784526</v>
      </c>
      <c r="T37" s="1750">
        <f t="shared" ca="1" si="9"/>
        <v>994698867.1829648</v>
      </c>
      <c r="U37" s="1750">
        <f t="shared" ca="1" si="9"/>
        <v>1028303012.0994228</v>
      </c>
      <c r="V37" s="1750">
        <f t="shared" ca="1" si="9"/>
        <v>1065906704.5322831</v>
      </c>
      <c r="W37" s="1750">
        <f t="shared" ca="1" si="9"/>
        <v>1102927412.503588</v>
      </c>
      <c r="X37" s="1750">
        <f t="shared" ca="1" si="9"/>
        <v>1142826920.3809898</v>
      </c>
      <c r="Y37" s="1750">
        <f t="shared" ca="1" si="9"/>
        <v>1183345418.3472662</v>
      </c>
      <c r="Z37" s="1750">
        <f t="shared" ca="1" si="9"/>
        <v>1225690745.6318538</v>
      </c>
      <c r="AA37" s="1750">
        <f t="shared" ca="1" si="9"/>
        <v>1267507539.132966</v>
      </c>
      <c r="AB37" s="1750">
        <f t="shared" ca="1" si="9"/>
        <v>1312437103.2134404</v>
      </c>
      <c r="AC37" s="1750">
        <f t="shared" ca="1" si="9"/>
        <v>1358107971.1018007</v>
      </c>
      <c r="AD37" s="1750">
        <f t="shared" ca="1" si="9"/>
        <v>1405793070.7827013</v>
      </c>
      <c r="AE37" s="1750">
        <f t="shared" ca="1" si="9"/>
        <v>1453015719.3800688</v>
      </c>
      <c r="AF37" s="1750">
        <f t="shared" ca="1" si="9"/>
        <v>1503612418.6099532</v>
      </c>
      <c r="AG37" s="1750">
        <f t="shared" ca="1" si="9"/>
        <v>1555088985.55374</v>
      </c>
      <c r="AH37" s="1750">
        <f t="shared" ca="1" si="9"/>
        <v>1608133177.58354</v>
      </c>
      <c r="AI37" s="1750">
        <f t="shared" si="9"/>
        <v>0</v>
      </c>
      <c r="AJ37" s="1750">
        <f t="shared" si="9"/>
        <v>0</v>
      </c>
      <c r="AK37" s="1750">
        <f t="shared" si="9"/>
        <v>0</v>
      </c>
      <c r="AL37" s="1750">
        <f t="shared" si="9"/>
        <v>0</v>
      </c>
      <c r="AM37" s="1750">
        <f t="shared" si="9"/>
        <v>0</v>
      </c>
      <c r="AN37" s="1750">
        <f t="shared" si="9"/>
        <v>0</v>
      </c>
      <c r="AO37" s="1750">
        <f t="shared" si="9"/>
        <v>0</v>
      </c>
      <c r="AP37" s="1750">
        <f t="shared" si="9"/>
        <v>0</v>
      </c>
      <c r="AQ37" s="1750">
        <f t="shared" si="9"/>
        <v>0</v>
      </c>
      <c r="AR37" s="1809">
        <f>AR36*(AR35)</f>
        <v>0</v>
      </c>
      <c r="AS37" s="1750">
        <f>AS36*(AS35)</f>
        <v>0</v>
      </c>
    </row>
    <row r="38" spans="4:45">
      <c r="D38" s="1756" t="s">
        <v>1848</v>
      </c>
      <c r="E38" s="1750">
        <f ca="1">-IS!I13</f>
        <v>0</v>
      </c>
      <c r="F38" s="1750">
        <f ca="1">-IS!J13</f>
        <v>0</v>
      </c>
      <c r="G38" s="1750">
        <f ca="1">-IS!K13</f>
        <v>147873253.31429383</v>
      </c>
      <c r="H38" s="1750">
        <f ca="1">-IS!L13</f>
        <v>147873253.31429383</v>
      </c>
      <c r="I38" s="1750">
        <f ca="1">-IS!M13</f>
        <v>147873253.31429383</v>
      </c>
      <c r="J38" s="1750">
        <f ca="1">-IS!N13</f>
        <v>147469228.03201434</v>
      </c>
      <c r="K38" s="1750">
        <f ca="1">-IS!O13</f>
        <v>148278385.51515493</v>
      </c>
      <c r="L38" s="1750">
        <f ca="1">-IS!P13</f>
        <v>147873253.31429383</v>
      </c>
      <c r="M38" s="1750">
        <f ca="1">-IS!Q13</f>
        <v>147873253.31429383</v>
      </c>
      <c r="N38" s="1750">
        <f ca="1">-IS!R13</f>
        <v>147469228.03201434</v>
      </c>
      <c r="O38" s="1750">
        <f ca="1">-IS!S13</f>
        <v>148278385.51515493</v>
      </c>
      <c r="P38" s="1750">
        <f ca="1">-IS!T13</f>
        <v>147873253.31429383</v>
      </c>
      <c r="Q38" s="1750">
        <f ca="1">-IS!U13</f>
        <v>147873253.31429383</v>
      </c>
      <c r="R38" s="1750">
        <f ca="1">-IS!V13</f>
        <v>147469228.03201434</v>
      </c>
      <c r="S38" s="1750">
        <f ca="1">-IS!W13</f>
        <v>148278385.51515493</v>
      </c>
      <c r="T38" s="1750">
        <f ca="1">-IS!X13</f>
        <v>147873253.31429383</v>
      </c>
      <c r="U38" s="1750">
        <f ca="1">-IS!Y13</f>
        <v>147873253.31429383</v>
      </c>
      <c r="V38" s="1750">
        <f ca="1">-IS!Z13</f>
        <v>147469228.03201434</v>
      </c>
      <c r="W38" s="1750">
        <f ca="1">-IS!AA13</f>
        <v>148278385.51515493</v>
      </c>
      <c r="X38" s="1750">
        <f ca="1">-IS!AB13</f>
        <v>147873253.31429383</v>
      </c>
      <c r="Y38" s="1750">
        <f ca="1">-IS!AC13</f>
        <v>147873253.31429383</v>
      </c>
      <c r="Z38" s="1750">
        <f ca="1">-IS!AD13</f>
        <v>147469228.03201434</v>
      </c>
      <c r="AA38" s="1750">
        <f ca="1">-IS!AE13</f>
        <v>148278385.51515493</v>
      </c>
      <c r="AB38" s="1750">
        <f ca="1">-IS!AF13</f>
        <v>147873253.31429383</v>
      </c>
      <c r="AC38" s="1750">
        <f ca="1">-IS!AG13</f>
        <v>147873253.31429383</v>
      </c>
      <c r="AD38" s="1750">
        <f ca="1">-IS!AH13</f>
        <v>147469228.03201434</v>
      </c>
      <c r="AE38" s="1750">
        <f ca="1">-IS!AI13</f>
        <v>148278385.51515493</v>
      </c>
      <c r="AF38" s="1750">
        <f ca="1">-IS!AJ13</f>
        <v>147873253.31429383</v>
      </c>
      <c r="AG38" s="1750">
        <f ca="1">-IS!AK13</f>
        <v>147873253.31429383</v>
      </c>
      <c r="AH38" s="1750">
        <f ca="1">-IS!AL13</f>
        <v>147866611.80280447</v>
      </c>
      <c r="AI38" s="1750">
        <f>-IS!AM13</f>
        <v>0</v>
      </c>
      <c r="AJ38" s="1750">
        <f>-IS!AN13</f>
        <v>0</v>
      </c>
      <c r="AK38" s="1750">
        <f>-IS!AO13</f>
        <v>0</v>
      </c>
      <c r="AL38" s="1750">
        <f>-IS!AP13</f>
        <v>0</v>
      </c>
      <c r="AM38" s="1750">
        <f>-IS!AQ13</f>
        <v>0</v>
      </c>
      <c r="AN38" s="1750">
        <f>-IS!AR13</f>
        <v>0</v>
      </c>
      <c r="AO38" s="1750">
        <f>-IS!AS13</f>
        <v>0</v>
      </c>
      <c r="AP38" s="1750">
        <f>-IS!AT13</f>
        <v>0</v>
      </c>
      <c r="AQ38" s="1750">
        <f>-IS!AU13</f>
        <v>0</v>
      </c>
      <c r="AR38" s="1809">
        <f>-IS!AV13</f>
        <v>0</v>
      </c>
      <c r="AS38" s="1750">
        <f>-IS!AW13</f>
        <v>0</v>
      </c>
    </row>
    <row r="39" spans="4:45">
      <c r="D39" s="1756" t="s">
        <v>1849</v>
      </c>
      <c r="E39" s="1750">
        <f>-'Fixed Assets'!I35</f>
        <v>-715288869.70235205</v>
      </c>
      <c r="F39" s="1750">
        <f>-'Fixed Assets'!J35</f>
        <v>-2422388762.4588017</v>
      </c>
      <c r="G39" s="1750">
        <f>-'Fixed Assets'!K35</f>
        <v>-1002773460.639074</v>
      </c>
      <c r="H39" s="1750">
        <f>-'Fixed Assets'!L35</f>
        <v>0</v>
      </c>
      <c r="I39" s="1750">
        <f>-'Fixed Assets'!M35</f>
        <v>0</v>
      </c>
      <c r="J39" s="1750">
        <f>-'Fixed Assets'!N35</f>
        <v>0</v>
      </c>
      <c r="K39" s="1750">
        <f>-'Fixed Assets'!O35</f>
        <v>0</v>
      </c>
      <c r="L39" s="1750">
        <f>-'Fixed Assets'!P35</f>
        <v>0</v>
      </c>
      <c r="M39" s="1750">
        <f>-'Fixed Assets'!Q35</f>
        <v>0</v>
      </c>
      <c r="N39" s="1750">
        <f>-'Fixed Assets'!R35</f>
        <v>0</v>
      </c>
      <c r="O39" s="1750">
        <f>-'Fixed Assets'!S35</f>
        <v>0</v>
      </c>
      <c r="P39" s="1750">
        <f>-'Fixed Assets'!T35</f>
        <v>0</v>
      </c>
      <c r="Q39" s="1750">
        <f>-'Fixed Assets'!U35</f>
        <v>0</v>
      </c>
      <c r="R39" s="1750">
        <f>-'Fixed Assets'!V35</f>
        <v>0</v>
      </c>
      <c r="S39" s="1750">
        <f>-'Fixed Assets'!W35</f>
        <v>0</v>
      </c>
      <c r="T39" s="1750">
        <f>-'Fixed Assets'!X35</f>
        <v>0</v>
      </c>
      <c r="U39" s="1750">
        <f>-'Fixed Assets'!Y35</f>
        <v>0</v>
      </c>
      <c r="V39" s="1750">
        <f>-'Fixed Assets'!Z35</f>
        <v>0</v>
      </c>
      <c r="W39" s="1750">
        <f>-'Fixed Assets'!AA35</f>
        <v>0</v>
      </c>
      <c r="X39" s="1750">
        <f>-'Fixed Assets'!AB35</f>
        <v>0</v>
      </c>
      <c r="Y39" s="1750">
        <f>-'Fixed Assets'!AC35</f>
        <v>0</v>
      </c>
      <c r="Z39" s="1750">
        <f>-'Fixed Assets'!AD35</f>
        <v>0</v>
      </c>
      <c r="AA39" s="1750">
        <f>-'Fixed Assets'!AE35</f>
        <v>0</v>
      </c>
      <c r="AB39" s="1750">
        <f>-'Fixed Assets'!AF35</f>
        <v>0</v>
      </c>
      <c r="AC39" s="1750">
        <f>-'Fixed Assets'!AG35</f>
        <v>0</v>
      </c>
      <c r="AD39" s="1750">
        <f>-'Fixed Assets'!AH35</f>
        <v>0</v>
      </c>
      <c r="AE39" s="1750">
        <f>-'Fixed Assets'!AI35</f>
        <v>0</v>
      </c>
      <c r="AF39" s="1750">
        <f>-'Fixed Assets'!AJ35</f>
        <v>0</v>
      </c>
      <c r="AG39" s="1750">
        <f>-'Fixed Assets'!AK35</f>
        <v>0</v>
      </c>
      <c r="AH39" s="1750">
        <f>-'Fixed Assets'!AL35</f>
        <v>0</v>
      </c>
      <c r="AI39" s="1750">
        <f>-'Fixed Assets'!AM35</f>
        <v>0</v>
      </c>
      <c r="AJ39" s="1750">
        <f>-'Fixed Assets'!AN35</f>
        <v>0</v>
      </c>
      <c r="AK39" s="1750">
        <f>-'Fixed Assets'!AO35</f>
        <v>0</v>
      </c>
      <c r="AL39" s="1750">
        <f>-'Fixed Assets'!AP35</f>
        <v>0</v>
      </c>
      <c r="AM39" s="1750">
        <f>-'Fixed Assets'!AQ35</f>
        <v>0</v>
      </c>
      <c r="AN39" s="1750">
        <f>-'Fixed Assets'!AR35</f>
        <v>0</v>
      </c>
      <c r="AO39" s="1750">
        <f>-'Fixed Assets'!AS35</f>
        <v>0</v>
      </c>
      <c r="AP39" s="1750">
        <f>-'Fixed Assets'!AT35</f>
        <v>0</v>
      </c>
      <c r="AQ39" s="1750">
        <f>-'Fixed Assets'!AU35</f>
        <v>0</v>
      </c>
      <c r="AR39" s="1809">
        <f>-'Fixed Assets'!AV35</f>
        <v>0</v>
      </c>
      <c r="AS39" s="1750">
        <f>-'Fixed Assets'!AW35</f>
        <v>0</v>
      </c>
    </row>
    <row r="40" spans="4:45">
      <c r="D40" s="1756" t="s">
        <v>1850</v>
      </c>
      <c r="E40" s="1750">
        <f ca="1">E37+E38+E39</f>
        <v>-715288869.70235205</v>
      </c>
      <c r="F40" s="1773">
        <f ca="1">F37+F38+F39</f>
        <v>-2523735208.4076042</v>
      </c>
      <c r="G40" s="1750">
        <f ca="1">G37+G38+G39</f>
        <v>-434777439.54730487</v>
      </c>
      <c r="H40" s="1750">
        <f ca="1">H37+H38+H39</f>
        <v>852333828.06435716</v>
      </c>
      <c r="I40" s="1750">
        <f t="shared" ref="I40:AQ40" ca="1" si="10">I37+I38+I39</f>
        <v>959182122.12778389</v>
      </c>
      <c r="J40" s="1750">
        <f t="shared" ca="1" si="10"/>
        <v>1028677301.9977953</v>
      </c>
      <c r="K40" s="1750">
        <f t="shared" ca="1" si="10"/>
        <v>1096145550.1698675</v>
      </c>
      <c r="L40" s="1750">
        <f t="shared" ca="1" si="10"/>
        <v>1153487405.8072708</v>
      </c>
      <c r="M40" s="1750">
        <f t="shared" ca="1" si="10"/>
        <v>1214088585.8833632</v>
      </c>
      <c r="N40" s="1750">
        <f t="shared" ca="1" si="10"/>
        <v>1278367613.0288324</v>
      </c>
      <c r="O40" s="1750">
        <f t="shared" ca="1" si="10"/>
        <v>1346081964.7759006</v>
      </c>
      <c r="P40" s="1750">
        <f t="shared" ca="1" si="10"/>
        <v>1418167185.6789243</v>
      </c>
      <c r="Q40" s="1750">
        <f t="shared" ca="1" si="10"/>
        <v>1494397392.1525569</v>
      </c>
      <c r="R40" s="1750">
        <f t="shared" ca="1" si="10"/>
        <v>1575293925.2732542</v>
      </c>
      <c r="S40" s="1750">
        <f t="shared" ca="1" si="10"/>
        <v>1660580626.0936074</v>
      </c>
      <c r="T40" s="1750">
        <f t="shared" ca="1" si="10"/>
        <v>1142572120.4972587</v>
      </c>
      <c r="U40" s="1750">
        <f t="shared" ca="1" si="10"/>
        <v>1176176265.4137166</v>
      </c>
      <c r="V40" s="1750">
        <f t="shared" ca="1" si="10"/>
        <v>1213375932.5642974</v>
      </c>
      <c r="W40" s="1750">
        <f t="shared" ca="1" si="10"/>
        <v>1251205798.0187428</v>
      </c>
      <c r="X40" s="1750">
        <f t="shared" ca="1" si="10"/>
        <v>1290700173.6952837</v>
      </c>
      <c r="Y40" s="1750">
        <f t="shared" ca="1" si="10"/>
        <v>1331218671.6615601</v>
      </c>
      <c r="Z40" s="1750">
        <f t="shared" ca="1" si="10"/>
        <v>1373159973.6638682</v>
      </c>
      <c r="AA40" s="1750">
        <f t="shared" ca="1" si="10"/>
        <v>1415785924.6481209</v>
      </c>
      <c r="AB40" s="1750">
        <f t="shared" ca="1" si="10"/>
        <v>1460310356.5277343</v>
      </c>
      <c r="AC40" s="1750">
        <f t="shared" ca="1" si="10"/>
        <v>1505981224.4160945</v>
      </c>
      <c r="AD40" s="1750">
        <f t="shared" ca="1" si="10"/>
        <v>1553262298.8147156</v>
      </c>
      <c r="AE40" s="1750">
        <f t="shared" ca="1" si="10"/>
        <v>1601294104.8952236</v>
      </c>
      <c r="AF40" s="1750">
        <f t="shared" ca="1" si="10"/>
        <v>1651485671.924247</v>
      </c>
      <c r="AG40" s="1750">
        <f t="shared" ca="1" si="10"/>
        <v>1702962238.8680339</v>
      </c>
      <c r="AH40" s="2167">
        <f t="shared" ca="1" si="10"/>
        <v>1755999789.3863444</v>
      </c>
      <c r="AI40" s="1750">
        <f t="shared" si="10"/>
        <v>0</v>
      </c>
      <c r="AJ40" s="1750">
        <f t="shared" si="10"/>
        <v>0</v>
      </c>
      <c r="AK40" s="1750">
        <f t="shared" si="10"/>
        <v>0</v>
      </c>
      <c r="AL40" s="1750">
        <f t="shared" si="10"/>
        <v>0</v>
      </c>
      <c r="AM40" s="1750">
        <f t="shared" si="10"/>
        <v>0</v>
      </c>
      <c r="AN40" s="1750">
        <f t="shared" si="10"/>
        <v>0</v>
      </c>
      <c r="AO40" s="1750">
        <f t="shared" si="10"/>
        <v>0</v>
      </c>
      <c r="AP40" s="1750">
        <f t="shared" si="10"/>
        <v>0</v>
      </c>
      <c r="AQ40" s="1750">
        <f t="shared" si="10"/>
        <v>0</v>
      </c>
      <c r="AR40" s="1809">
        <f>AR37+AR38+AR39</f>
        <v>0</v>
      </c>
      <c r="AS40" s="1750">
        <f>AS37+AS38+AS39</f>
        <v>0</v>
      </c>
    </row>
    <row r="41" spans="4:45">
      <c r="D41" s="1756" t="s">
        <v>1851</v>
      </c>
      <c r="E41" s="1750">
        <f ca="1">E40</f>
        <v>-715288869.70235205</v>
      </c>
      <c r="F41" s="1750">
        <f t="shared" ref="F41:AQ41" ca="1" si="11">F40</f>
        <v>-2523735208.4076042</v>
      </c>
      <c r="G41" s="1750">
        <f t="shared" ca="1" si="11"/>
        <v>-434777439.54730487</v>
      </c>
      <c r="H41" s="1750">
        <f t="shared" ca="1" si="11"/>
        <v>852333828.06435716</v>
      </c>
      <c r="I41" s="1750">
        <f t="shared" ca="1" si="11"/>
        <v>959182122.12778389</v>
      </c>
      <c r="J41" s="1750">
        <f t="shared" ca="1" si="11"/>
        <v>1028677301.9977953</v>
      </c>
      <c r="K41" s="1750">
        <f t="shared" ca="1" si="11"/>
        <v>1096145550.1698675</v>
      </c>
      <c r="L41" s="1750">
        <f t="shared" ca="1" si="11"/>
        <v>1153487405.8072708</v>
      </c>
      <c r="M41" s="1750">
        <f t="shared" ca="1" si="11"/>
        <v>1214088585.8833632</v>
      </c>
      <c r="N41" s="1750">
        <f t="shared" ca="1" si="11"/>
        <v>1278367613.0288324</v>
      </c>
      <c r="O41" s="1750">
        <f t="shared" ca="1" si="11"/>
        <v>1346081964.7759006</v>
      </c>
      <c r="P41" s="1750">
        <f t="shared" ca="1" si="11"/>
        <v>1418167185.6789243</v>
      </c>
      <c r="Q41" s="1750">
        <f t="shared" ca="1" si="11"/>
        <v>1494397392.1525569</v>
      </c>
      <c r="R41" s="1750">
        <f t="shared" ca="1" si="11"/>
        <v>1575293925.2732542</v>
      </c>
      <c r="S41" s="1750">
        <f t="shared" ca="1" si="11"/>
        <v>1660580626.0936074</v>
      </c>
      <c r="T41" s="1750">
        <f t="shared" ca="1" si="11"/>
        <v>1142572120.4972587</v>
      </c>
      <c r="U41" s="1750">
        <f t="shared" ca="1" si="11"/>
        <v>1176176265.4137166</v>
      </c>
      <c r="V41" s="1750">
        <f t="shared" ca="1" si="11"/>
        <v>1213375932.5642974</v>
      </c>
      <c r="W41" s="1750">
        <f t="shared" ca="1" si="11"/>
        <v>1251205798.0187428</v>
      </c>
      <c r="X41" s="1750">
        <f t="shared" ca="1" si="11"/>
        <v>1290700173.6952837</v>
      </c>
      <c r="Y41" s="1750">
        <f t="shared" ca="1" si="11"/>
        <v>1331218671.6615601</v>
      </c>
      <c r="Z41" s="1750">
        <f t="shared" ca="1" si="11"/>
        <v>1373159973.6638682</v>
      </c>
      <c r="AA41" s="1750">
        <f t="shared" ca="1" si="11"/>
        <v>1415785924.6481209</v>
      </c>
      <c r="AB41" s="1750">
        <f t="shared" ca="1" si="11"/>
        <v>1460310356.5277343</v>
      </c>
      <c r="AC41" s="1750">
        <f t="shared" ca="1" si="11"/>
        <v>1505981224.4160945</v>
      </c>
      <c r="AD41" s="1750">
        <f t="shared" ca="1" si="11"/>
        <v>1553262298.8147156</v>
      </c>
      <c r="AE41" s="1750">
        <f t="shared" ca="1" si="11"/>
        <v>1601294104.8952236</v>
      </c>
      <c r="AF41" s="1750">
        <f t="shared" ca="1" si="11"/>
        <v>1651485671.924247</v>
      </c>
      <c r="AG41" s="1750">
        <f t="shared" ca="1" si="11"/>
        <v>1702962238.8680339</v>
      </c>
      <c r="AH41" s="1750">
        <f t="shared" ca="1" si="11"/>
        <v>1755999789.3863444</v>
      </c>
      <c r="AI41" s="1750">
        <f t="shared" si="11"/>
        <v>0</v>
      </c>
      <c r="AJ41" s="1750">
        <f t="shared" si="11"/>
        <v>0</v>
      </c>
      <c r="AK41" s="1750">
        <f t="shared" si="11"/>
        <v>0</v>
      </c>
      <c r="AL41" s="1750">
        <f t="shared" si="11"/>
        <v>0</v>
      </c>
      <c r="AM41" s="1750">
        <f t="shared" si="11"/>
        <v>0</v>
      </c>
      <c r="AN41" s="1750">
        <f t="shared" si="11"/>
        <v>0</v>
      </c>
      <c r="AO41" s="1750">
        <f t="shared" si="11"/>
        <v>0</v>
      </c>
      <c r="AP41" s="1750">
        <f t="shared" si="11"/>
        <v>0</v>
      </c>
      <c r="AQ41" s="1750">
        <f t="shared" si="11"/>
        <v>0</v>
      </c>
      <c r="AR41" s="1809">
        <f>AR40</f>
        <v>0</v>
      </c>
      <c r="AS41" s="1750">
        <f>AS40</f>
        <v>0</v>
      </c>
    </row>
    <row r="42" spans="4:45" ht="15.75" thickBot="1">
      <c r="D42" s="1774" t="s">
        <v>1852</v>
      </c>
      <c r="E42" s="1750">
        <f ca="1">E41*E34</f>
        <v>-715288869.70235205</v>
      </c>
      <c r="F42" s="1775">
        <f ca="1">F41*F34</f>
        <v>-2298470344.2617197</v>
      </c>
      <c r="G42" s="1776">
        <f t="shared" ref="G42:AQ42" ca="1" si="12">G41*G34</f>
        <v>-360626167.80206716</v>
      </c>
      <c r="H42" s="1776">
        <f ca="1">H41*H34</f>
        <v>643865388.35221088</v>
      </c>
      <c r="I42" s="1776">
        <f t="shared" ca="1" si="12"/>
        <v>659905196.08884728</v>
      </c>
      <c r="J42" s="1776">
        <f t="shared" ca="1" si="12"/>
        <v>644547232.14508748</v>
      </c>
      <c r="K42" s="1776">
        <f t="shared" ca="1" si="12"/>
        <v>625516735.98764002</v>
      </c>
      <c r="L42" s="1776">
        <f t="shared" ca="1" si="12"/>
        <v>599485501.22298574</v>
      </c>
      <c r="M42" s="1776">
        <f t="shared" ca="1" si="12"/>
        <v>574660466.63866866</v>
      </c>
      <c r="N42" s="1776">
        <f t="shared" ca="1" si="12"/>
        <v>551076412.5920037</v>
      </c>
      <c r="O42" s="1776">
        <f t="shared" ca="1" si="12"/>
        <v>528472857.51412547</v>
      </c>
      <c r="P42" s="1776">
        <f t="shared" ca="1" si="12"/>
        <v>507076789.07578427</v>
      </c>
      <c r="Q42" s="1776">
        <f t="shared" ca="1" si="12"/>
        <v>486639680.73907071</v>
      </c>
      <c r="R42" s="1776">
        <f t="shared" ca="1" si="12"/>
        <v>467194943.71820706</v>
      </c>
      <c r="S42" s="1776">
        <f t="shared" ca="1" si="12"/>
        <v>448530128.37694752</v>
      </c>
      <c r="T42" s="1776">
        <f t="shared" ca="1" si="12"/>
        <v>281067347.20808733</v>
      </c>
      <c r="U42" s="1776">
        <f t="shared" ca="1" si="12"/>
        <v>263508301.31830671</v>
      </c>
      <c r="V42" s="1776">
        <f t="shared" ca="1" si="12"/>
        <v>247578190.58130762</v>
      </c>
      <c r="W42" s="1776">
        <f t="shared" ca="1" si="12"/>
        <v>232509592.23428458</v>
      </c>
      <c r="X42" s="1776">
        <f t="shared" ca="1" si="12"/>
        <v>218440223.85311973</v>
      </c>
      <c r="Y42" s="1776">
        <f t="shared" ca="1" si="12"/>
        <v>205187907.67529231</v>
      </c>
      <c r="Z42" s="1776">
        <f t="shared" ca="1" si="12"/>
        <v>192760753.96476758</v>
      </c>
      <c r="AA42" s="1776">
        <f t="shared" ca="1" si="12"/>
        <v>181004840.53703055</v>
      </c>
      <c r="AB42" s="1776">
        <f t="shared" ca="1" si="12"/>
        <v>170032868.74393141</v>
      </c>
      <c r="AC42" s="1776">
        <f t="shared" ca="1" si="12"/>
        <v>159699071.98744455</v>
      </c>
      <c r="AD42" s="1776">
        <f t="shared" ca="1" si="12"/>
        <v>150010878.44923946</v>
      </c>
      <c r="AE42" s="1776">
        <f t="shared" ca="1" si="12"/>
        <v>140845889.25127763</v>
      </c>
      <c r="AF42" s="1776">
        <f t="shared" ca="1" si="12"/>
        <v>132294868.69902456</v>
      </c>
      <c r="AG42" s="1776">
        <f t="shared" ca="1" si="12"/>
        <v>124241969.04560465</v>
      </c>
      <c r="AH42" s="1776">
        <f t="shared" ca="1" si="12"/>
        <v>116676363.5935137</v>
      </c>
      <c r="AI42" s="1776">
        <f t="shared" si="12"/>
        <v>0</v>
      </c>
      <c r="AJ42" s="1776">
        <f t="shared" si="12"/>
        <v>0</v>
      </c>
      <c r="AK42" s="1776">
        <f t="shared" si="12"/>
        <v>0</v>
      </c>
      <c r="AL42" s="1776">
        <f t="shared" si="12"/>
        <v>0</v>
      </c>
      <c r="AM42" s="1776">
        <f t="shared" si="12"/>
        <v>0</v>
      </c>
      <c r="AN42" s="1776">
        <f t="shared" si="12"/>
        <v>0</v>
      </c>
      <c r="AO42" s="1776">
        <f t="shared" si="12"/>
        <v>0</v>
      </c>
      <c r="AP42" s="1776">
        <f t="shared" si="12"/>
        <v>0</v>
      </c>
      <c r="AQ42" s="1776">
        <f t="shared" si="12"/>
        <v>0</v>
      </c>
      <c r="AR42" s="1810">
        <f>AR41*AR34</f>
        <v>0</v>
      </c>
      <c r="AS42" s="1750">
        <f>AS41*AS34</f>
        <v>0</v>
      </c>
    </row>
    <row r="43" spans="4:45">
      <c r="D43" s="1777" t="s">
        <v>1853</v>
      </c>
      <c r="E43" s="1778">
        <f ca="1">SUM(E42:AH42)</f>
        <v>6178445017.827672</v>
      </c>
    </row>
    <row r="44" spans="4:45">
      <c r="D44" s="1779" t="s">
        <v>1854</v>
      </c>
      <c r="E44" s="1765"/>
    </row>
    <row r="45" spans="4:45">
      <c r="D45" s="1780" t="s">
        <v>1855</v>
      </c>
      <c r="E45" s="1781">
        <f ca="1">AH40</f>
        <v>1755999789.3863444</v>
      </c>
    </row>
    <row r="46" spans="4:45">
      <c r="D46" s="1782" t="s">
        <v>1856</v>
      </c>
      <c r="E46" s="1772">
        <f>WACC-Growth_Rate</f>
        <v>5.8006426190476169E-2</v>
      </c>
    </row>
    <row r="47" spans="4:45">
      <c r="D47" s="1783" t="s">
        <v>1857</v>
      </c>
      <c r="E47" s="1781">
        <f ca="1">E45/E46</f>
        <v>30272504353.572029</v>
      </c>
    </row>
    <row r="48" spans="4:45">
      <c r="D48" s="1783" t="s">
        <v>1858</v>
      </c>
      <c r="E48" s="1784">
        <f>(1+WACC)^(1-AH5)</f>
        <v>6.6444406371078027E-2</v>
      </c>
    </row>
    <row r="49" spans="4:45">
      <c r="D49" s="1783" t="s">
        <v>1859</v>
      </c>
      <c r="E49" s="1781">
        <f ca="1">E47*E48</f>
        <v>2011438581.1389687</v>
      </c>
    </row>
    <row r="50" spans="4:45">
      <c r="D50" s="1785" t="s">
        <v>1860</v>
      </c>
      <c r="E50" s="1781">
        <f ca="1">E49+E43</f>
        <v>8189883598.9666405</v>
      </c>
    </row>
    <row r="51" spans="4:45" ht="15.75" thickBot="1">
      <c r="D51" s="1786" t="s">
        <v>1861</v>
      </c>
      <c r="E51" s="1812">
        <f ca="1">IRR(E41:AH41)</f>
        <v>0.23775777553507305</v>
      </c>
    </row>
    <row r="52" spans="4:45" ht="15.75" thickBot="1">
      <c r="D52" s="1786" t="s">
        <v>1959</v>
      </c>
      <c r="E52" s="1926">
        <f ca="1">MIRR(E41:AS41,0.09,WACC)</f>
        <v>0.1267618105944297</v>
      </c>
    </row>
    <row r="53" spans="4:45" ht="15.75" thickBot="1">
      <c r="E53" s="2378"/>
    </row>
    <row r="54" spans="4:45" ht="19.5" thickBot="1">
      <c r="D54" s="1787" t="s">
        <v>1875</v>
      </c>
      <c r="E54" s="1788"/>
      <c r="F54" s="1788"/>
      <c r="G54" s="1788"/>
      <c r="H54" s="1788"/>
      <c r="I54" s="1788"/>
      <c r="J54" s="1788"/>
      <c r="K54" s="1788"/>
      <c r="L54" s="1788"/>
      <c r="M54" s="1788"/>
      <c r="N54" s="1788"/>
      <c r="O54" s="1788"/>
      <c r="P54" s="1788"/>
      <c r="Q54" s="1788"/>
      <c r="R54" s="1788"/>
      <c r="S54" s="1788"/>
      <c r="T54" s="1788"/>
      <c r="U54" s="1788"/>
      <c r="V54" s="1788"/>
      <c r="W54" s="1788"/>
      <c r="X54" s="1788"/>
      <c r="Y54" s="1788"/>
      <c r="Z54" s="1788"/>
      <c r="AA54" s="1788"/>
      <c r="AB54" s="1788"/>
      <c r="AC54" s="1788"/>
      <c r="AD54" s="1788"/>
      <c r="AE54" s="1788"/>
      <c r="AF54" s="1788"/>
      <c r="AG54" s="1788"/>
      <c r="AH54" s="1788"/>
      <c r="AI54" s="1788"/>
      <c r="AJ54" s="1788"/>
      <c r="AK54" s="1788"/>
      <c r="AL54" s="1788"/>
      <c r="AM54" s="1788"/>
      <c r="AN54" s="1788"/>
      <c r="AO54" s="1788"/>
      <c r="AP54" s="1788"/>
      <c r="AQ54" s="1788"/>
      <c r="AR54" s="1788"/>
      <c r="AS54" s="1788"/>
    </row>
    <row r="55" spans="4:45" ht="15.75" thickBot="1">
      <c r="D55" s="1769" t="s">
        <v>1862</v>
      </c>
      <c r="E55" s="1789">
        <f t="shared" ref="E55:AS55" si="13">(1+Cost_of_Equity)^(1-E5)</f>
        <v>1</v>
      </c>
      <c r="F55" s="1770">
        <f t="shared" si="13"/>
        <v>0.86030774204797589</v>
      </c>
      <c r="G55" s="1769">
        <f t="shared" si="13"/>
        <v>0.7401294110276867</v>
      </c>
      <c r="H55" s="1769">
        <f t="shared" si="13"/>
        <v>0.63673906242452738</v>
      </c>
      <c r="I55" s="1769">
        <f t="shared" si="13"/>
        <v>0.54779154506819039</v>
      </c>
      <c r="J55" s="1769">
        <f t="shared" si="13"/>
        <v>0.47126930725058691</v>
      </c>
      <c r="K55" s="1769">
        <f t="shared" si="13"/>
        <v>0.40543663361726623</v>
      </c>
      <c r="L55" s="1769">
        <f t="shared" si="13"/>
        <v>0.34880027481080278</v>
      </c>
      <c r="M55" s="1769">
        <f t="shared" si="13"/>
        <v>0.30007557684819525</v>
      </c>
      <c r="N55" s="1769">
        <f t="shared" si="13"/>
        <v>0.25815734196201473</v>
      </c>
      <c r="O55" s="1769">
        <f t="shared" si="13"/>
        <v>0.22209475995644809</v>
      </c>
      <c r="P55" s="1769">
        <f t="shared" si="13"/>
        <v>0.19106984145881908</v>
      </c>
      <c r="Q55" s="1769">
        <f t="shared" si="13"/>
        <v>0.16437886387890138</v>
      </c>
      <c r="R55" s="1769">
        <f t="shared" si="13"/>
        <v>0.14141640922406923</v>
      </c>
      <c r="S55" s="1769">
        <f t="shared" si="13"/>
        <v>0.12166163170809158</v>
      </c>
      <c r="T55" s="1769">
        <f t="shared" si="13"/>
        <v>0.10466644366866067</v>
      </c>
      <c r="U55" s="1769">
        <f t="shared" si="13"/>
        <v>9.0045351820777136E-2</v>
      </c>
      <c r="V55" s="1769">
        <f t="shared" si="13"/>
        <v>7.7466713306848387E-2</v>
      </c>
      <c r="W55" s="1769">
        <f t="shared" si="13"/>
        <v>6.664521320889262E-2</v>
      </c>
      <c r="X55" s="1769">
        <f t="shared" si="13"/>
        <v>5.7335392894048348E-2</v>
      </c>
      <c r="Y55" s="1769">
        <f t="shared" si="13"/>
        <v>4.9326082400112298E-2</v>
      </c>
      <c r="Z55" s="1769">
        <f t="shared" si="13"/>
        <v>4.2435610573713013E-2</v>
      </c>
      <c r="AA55" s="1769">
        <f t="shared" si="13"/>
        <v>3.6507684315098259E-2</v>
      </c>
      <c r="AB55" s="1769">
        <f t="shared" si="13"/>
        <v>3.1407843460522486E-2</v>
      </c>
      <c r="AC55" s="1769">
        <f t="shared" si="13"/>
        <v>2.702041089011839E-2</v>
      </c>
      <c r="AD55" s="1769">
        <f t="shared" si="13"/>
        <v>2.324586868208629E-2</v>
      </c>
      <c r="AE55" s="1769">
        <f t="shared" si="13"/>
        <v>1.9998600797829415E-2</v>
      </c>
      <c r="AF55" s="1769">
        <f t="shared" si="13"/>
        <v>1.7204951096499475E-2</v>
      </c>
      <c r="AG55" s="1769">
        <f t="shared" si="13"/>
        <v>1.4801552629875309E-2</v>
      </c>
      <c r="AH55" s="1769">
        <f t="shared" si="13"/>
        <v>1.2733890321812307E-2</v>
      </c>
      <c r="AI55" s="1769">
        <f t="shared" si="13"/>
        <v>1.095506443024492E-2</v>
      </c>
      <c r="AJ55" s="1769">
        <f t="shared" si="13"/>
        <v>9.4247267439741024E-3</v>
      </c>
      <c r="AK55" s="1769">
        <f t="shared" si="13"/>
        <v>8.1081653845275336E-3</v>
      </c>
      <c r="AL55" s="1769">
        <f t="shared" si="13"/>
        <v>6.9755174541144402E-3</v>
      </c>
      <c r="AM55" s="1769">
        <f t="shared" si="13"/>
        <v>6.0010916705654392E-3</v>
      </c>
      <c r="AN55" s="1769">
        <f t="shared" si="13"/>
        <v>5.1627856249270689E-3</v>
      </c>
      <c r="AO55" s="1769">
        <f t="shared" si="13"/>
        <v>4.4415844436587557E-3</v>
      </c>
      <c r="AP55" s="1769">
        <f t="shared" si="13"/>
        <v>3.8211294838394788E-3</v>
      </c>
      <c r="AQ55" s="1769">
        <f t="shared" si="13"/>
        <v>3.2873472783148902E-3</v>
      </c>
      <c r="AR55" s="1769">
        <f t="shared" si="13"/>
        <v>2.8281303143346424E-3</v>
      </c>
      <c r="AS55" s="2125">
        <f t="shared" si="13"/>
        <v>2.4330624049426685E-3</v>
      </c>
    </row>
    <row r="56" spans="4:45">
      <c r="D56" s="1790" t="s">
        <v>1846</v>
      </c>
      <c r="E56" s="2123">
        <f>E35</f>
        <v>0.7</v>
      </c>
      <c r="F56" s="2122">
        <f t="shared" ref="F56:AR56" si="14">F35</f>
        <v>0.7</v>
      </c>
      <c r="G56" s="1791">
        <f t="shared" si="14"/>
        <v>0.7</v>
      </c>
      <c r="H56" s="1791">
        <f t="shared" si="14"/>
        <v>0.7</v>
      </c>
      <c r="I56" s="1791">
        <f t="shared" si="14"/>
        <v>0.7</v>
      </c>
      <c r="J56" s="1791">
        <f t="shared" si="14"/>
        <v>0.7</v>
      </c>
      <c r="K56" s="1791">
        <f t="shared" si="14"/>
        <v>0.7</v>
      </c>
      <c r="L56" s="1791">
        <f t="shared" si="14"/>
        <v>0.7</v>
      </c>
      <c r="M56" s="1791">
        <f t="shared" si="14"/>
        <v>0.7</v>
      </c>
      <c r="N56" s="1791">
        <f t="shared" si="14"/>
        <v>0.7</v>
      </c>
      <c r="O56" s="1791">
        <f t="shared" si="14"/>
        <v>0.7</v>
      </c>
      <c r="P56" s="1791">
        <f t="shared" si="14"/>
        <v>0.7</v>
      </c>
      <c r="Q56" s="1791">
        <f t="shared" si="14"/>
        <v>0.7</v>
      </c>
      <c r="R56" s="1791">
        <f t="shared" si="14"/>
        <v>0.7</v>
      </c>
      <c r="S56" s="1791">
        <f t="shared" si="14"/>
        <v>0.7</v>
      </c>
      <c r="T56" s="1791">
        <f t="shared" si="14"/>
        <v>0.7</v>
      </c>
      <c r="U56" s="1791">
        <f t="shared" si="14"/>
        <v>0.7</v>
      </c>
      <c r="V56" s="1791">
        <f t="shared" si="14"/>
        <v>0.7</v>
      </c>
      <c r="W56" s="1791">
        <f t="shared" si="14"/>
        <v>0.7</v>
      </c>
      <c r="X56" s="1791">
        <f t="shared" si="14"/>
        <v>0.7</v>
      </c>
      <c r="Y56" s="1791">
        <f t="shared" si="14"/>
        <v>0.7</v>
      </c>
      <c r="Z56" s="1791">
        <f t="shared" si="14"/>
        <v>0.7</v>
      </c>
      <c r="AA56" s="1791">
        <f t="shared" si="14"/>
        <v>0.7</v>
      </c>
      <c r="AB56" s="1791">
        <f t="shared" si="14"/>
        <v>0.7</v>
      </c>
      <c r="AC56" s="1791">
        <f t="shared" si="14"/>
        <v>0.7</v>
      </c>
      <c r="AD56" s="1791">
        <f t="shared" si="14"/>
        <v>0.7</v>
      </c>
      <c r="AE56" s="1791">
        <f t="shared" si="14"/>
        <v>0.7</v>
      </c>
      <c r="AF56" s="1791">
        <f t="shared" si="14"/>
        <v>0.7</v>
      </c>
      <c r="AG56" s="1791">
        <f t="shared" si="14"/>
        <v>0.7</v>
      </c>
      <c r="AH56" s="1791">
        <f t="shared" si="14"/>
        <v>0.7</v>
      </c>
      <c r="AI56" s="1791">
        <f t="shared" si="14"/>
        <v>0.7</v>
      </c>
      <c r="AJ56" s="1791">
        <f t="shared" si="14"/>
        <v>0.7</v>
      </c>
      <c r="AK56" s="1791">
        <f t="shared" si="14"/>
        <v>0.7</v>
      </c>
      <c r="AL56" s="1791">
        <f t="shared" si="14"/>
        <v>0.7</v>
      </c>
      <c r="AM56" s="1791">
        <f t="shared" si="14"/>
        <v>0.7</v>
      </c>
      <c r="AN56" s="1791">
        <f t="shared" si="14"/>
        <v>0.7</v>
      </c>
      <c r="AO56" s="1791">
        <f t="shared" si="14"/>
        <v>0.7</v>
      </c>
      <c r="AP56" s="1791">
        <f t="shared" si="14"/>
        <v>0.7</v>
      </c>
      <c r="AQ56" s="1791">
        <f t="shared" si="14"/>
        <v>0.7</v>
      </c>
      <c r="AR56" s="1791">
        <f t="shared" si="14"/>
        <v>0.7</v>
      </c>
      <c r="AS56" s="1791">
        <f>AS35</f>
        <v>0.7</v>
      </c>
    </row>
    <row r="57" spans="4:45">
      <c r="D57" s="1792" t="s">
        <v>1850</v>
      </c>
      <c r="E57" s="2124">
        <f ca="1">E40</f>
        <v>-715288869.70235205</v>
      </c>
      <c r="F57" s="1773">
        <f t="shared" ref="F57:AR57" ca="1" si="15">F40</f>
        <v>-2523735208.4076042</v>
      </c>
      <c r="G57" s="1750">
        <f t="shared" ca="1" si="15"/>
        <v>-434777439.54730487</v>
      </c>
      <c r="H57" s="1750">
        <f t="shared" ca="1" si="15"/>
        <v>852333828.06435716</v>
      </c>
      <c r="I57" s="1750">
        <f t="shared" ca="1" si="15"/>
        <v>959182122.12778389</v>
      </c>
      <c r="J57" s="1750">
        <f t="shared" ca="1" si="15"/>
        <v>1028677301.9977953</v>
      </c>
      <c r="K57" s="1750">
        <f t="shared" ca="1" si="15"/>
        <v>1096145550.1698675</v>
      </c>
      <c r="L57" s="1750">
        <f t="shared" ca="1" si="15"/>
        <v>1153487405.8072708</v>
      </c>
      <c r="M57" s="1750">
        <f t="shared" ca="1" si="15"/>
        <v>1214088585.8833632</v>
      </c>
      <c r="N57" s="1750">
        <f t="shared" ca="1" si="15"/>
        <v>1278367613.0288324</v>
      </c>
      <c r="O57" s="1750">
        <f t="shared" ca="1" si="15"/>
        <v>1346081964.7759006</v>
      </c>
      <c r="P57" s="1750">
        <f t="shared" ca="1" si="15"/>
        <v>1418167185.6789243</v>
      </c>
      <c r="Q57" s="1750">
        <f t="shared" ca="1" si="15"/>
        <v>1494397392.1525569</v>
      </c>
      <c r="R57" s="1750">
        <f t="shared" ca="1" si="15"/>
        <v>1575293925.2732542</v>
      </c>
      <c r="S57" s="1750">
        <f t="shared" ca="1" si="15"/>
        <v>1660580626.0936074</v>
      </c>
      <c r="T57" s="1750">
        <f t="shared" ca="1" si="15"/>
        <v>1142572120.4972587</v>
      </c>
      <c r="U57" s="1750">
        <f t="shared" ca="1" si="15"/>
        <v>1176176265.4137166</v>
      </c>
      <c r="V57" s="1750">
        <f t="shared" ca="1" si="15"/>
        <v>1213375932.5642974</v>
      </c>
      <c r="W57" s="1750">
        <f t="shared" ca="1" si="15"/>
        <v>1251205798.0187428</v>
      </c>
      <c r="X57" s="1750">
        <f t="shared" ca="1" si="15"/>
        <v>1290700173.6952837</v>
      </c>
      <c r="Y57" s="1750">
        <f t="shared" ca="1" si="15"/>
        <v>1331218671.6615601</v>
      </c>
      <c r="Z57" s="1750">
        <f t="shared" ca="1" si="15"/>
        <v>1373159973.6638682</v>
      </c>
      <c r="AA57" s="1750">
        <f t="shared" ca="1" si="15"/>
        <v>1415785924.6481209</v>
      </c>
      <c r="AB57" s="1750">
        <f t="shared" ca="1" si="15"/>
        <v>1460310356.5277343</v>
      </c>
      <c r="AC57" s="1750">
        <f t="shared" ca="1" si="15"/>
        <v>1505981224.4160945</v>
      </c>
      <c r="AD57" s="1750">
        <f t="shared" ca="1" si="15"/>
        <v>1553262298.8147156</v>
      </c>
      <c r="AE57" s="1750">
        <f t="shared" ca="1" si="15"/>
        <v>1601294104.8952236</v>
      </c>
      <c r="AF57" s="1750">
        <f t="shared" ca="1" si="15"/>
        <v>1651485671.924247</v>
      </c>
      <c r="AG57" s="1750">
        <f t="shared" ca="1" si="15"/>
        <v>1702962238.8680339</v>
      </c>
      <c r="AH57" s="1750">
        <f t="shared" ca="1" si="15"/>
        <v>1755999789.3863444</v>
      </c>
      <c r="AI57" s="1750">
        <f t="shared" si="15"/>
        <v>0</v>
      </c>
      <c r="AJ57" s="1750">
        <f t="shared" si="15"/>
        <v>0</v>
      </c>
      <c r="AK57" s="1750">
        <f t="shared" si="15"/>
        <v>0</v>
      </c>
      <c r="AL57" s="1750">
        <f t="shared" si="15"/>
        <v>0</v>
      </c>
      <c r="AM57" s="1750">
        <f t="shared" si="15"/>
        <v>0</v>
      </c>
      <c r="AN57" s="1750">
        <f t="shared" si="15"/>
        <v>0</v>
      </c>
      <c r="AO57" s="1750">
        <f t="shared" si="15"/>
        <v>0</v>
      </c>
      <c r="AP57" s="1750">
        <f t="shared" si="15"/>
        <v>0</v>
      </c>
      <c r="AQ57" s="1750">
        <f t="shared" si="15"/>
        <v>0</v>
      </c>
      <c r="AR57" s="1750">
        <f t="shared" si="15"/>
        <v>0</v>
      </c>
      <c r="AS57" s="1750">
        <f>AS40</f>
        <v>0</v>
      </c>
    </row>
    <row r="58" spans="4:45">
      <c r="D58" s="1792" t="s">
        <v>1365</v>
      </c>
      <c r="E58" s="2124">
        <f>CF!I22</f>
        <v>0</v>
      </c>
      <c r="F58" s="1773">
        <f ca="1">CF!J22</f>
        <v>0</v>
      </c>
      <c r="G58" s="1750">
        <f ca="1">CF!K22</f>
        <v>0</v>
      </c>
      <c r="H58" s="1750">
        <f ca="1">CF!L22</f>
        <v>-298816355.36739236</v>
      </c>
      <c r="I58" s="1750">
        <f ca="1">CF!M22</f>
        <v>-256128304.60062197</v>
      </c>
      <c r="J58" s="1750">
        <f ca="1">CF!N22</f>
        <v>-212857083.74140942</v>
      </c>
      <c r="K58" s="1750">
        <f ca="1">CF!O22</f>
        <v>-171220017.32205963</v>
      </c>
      <c r="L58" s="1750">
        <f ca="1">CF!P22</f>
        <v>-128064152.30031098</v>
      </c>
      <c r="M58" s="1750">
        <f ca="1">CF!Q22</f>
        <v>-85376101.533540666</v>
      </c>
      <c r="N58" s="1750">
        <f ca="1">CF!R22</f>
        <v>-42571416.748281889</v>
      </c>
      <c r="O58" s="1750">
        <f ca="1">CF!S22</f>
        <v>0</v>
      </c>
      <c r="P58" s="1750">
        <f ca="1">CF!T22</f>
        <v>0</v>
      </c>
      <c r="Q58" s="1750">
        <f ca="1">CF!U22</f>
        <v>0</v>
      </c>
      <c r="R58" s="1750">
        <f ca="1">CF!V22</f>
        <v>0</v>
      </c>
      <c r="S58" s="1750">
        <f ca="1">CF!W22</f>
        <v>0</v>
      </c>
      <c r="T58" s="1750">
        <f ca="1">CF!X22</f>
        <v>0</v>
      </c>
      <c r="U58" s="1750">
        <f ca="1">CF!Y22</f>
        <v>0</v>
      </c>
      <c r="V58" s="1750">
        <f ca="1">CF!Z22</f>
        <v>0</v>
      </c>
      <c r="W58" s="1750">
        <f ca="1">CF!AA22</f>
        <v>0</v>
      </c>
      <c r="X58" s="1750">
        <f ca="1">CF!AB22</f>
        <v>0</v>
      </c>
      <c r="Y58" s="1750">
        <f ca="1">CF!AC22</f>
        <v>0</v>
      </c>
      <c r="Z58" s="1750">
        <f ca="1">CF!AD22</f>
        <v>0</v>
      </c>
      <c r="AA58" s="1750">
        <f ca="1">CF!AE22</f>
        <v>0</v>
      </c>
      <c r="AB58" s="1750">
        <f ca="1">CF!AF22</f>
        <v>0</v>
      </c>
      <c r="AC58" s="1750">
        <f ca="1">CF!AG22</f>
        <v>0</v>
      </c>
      <c r="AD58" s="1750">
        <f ca="1">CF!AH22</f>
        <v>0</v>
      </c>
      <c r="AE58" s="1750">
        <f ca="1">CF!AI22</f>
        <v>0</v>
      </c>
      <c r="AF58" s="1750">
        <f ca="1">CF!AJ22</f>
        <v>0</v>
      </c>
      <c r="AG58" s="1750">
        <f ca="1">CF!AK22</f>
        <v>0</v>
      </c>
      <c r="AH58" s="1750">
        <f ca="1">CF!AL22</f>
        <v>0</v>
      </c>
      <c r="AI58" s="1750">
        <f>CF!AM22</f>
        <v>0</v>
      </c>
      <c r="AJ58" s="1750">
        <f>CF!AN22</f>
        <v>0</v>
      </c>
      <c r="AK58" s="1750">
        <f>CF!AO22</f>
        <v>0</v>
      </c>
      <c r="AL58" s="1750">
        <f>CF!AP22</f>
        <v>0</v>
      </c>
      <c r="AM58" s="1750">
        <f>CF!AQ22</f>
        <v>0</v>
      </c>
      <c r="AN58" s="1750">
        <f>CF!AR22</f>
        <v>0</v>
      </c>
      <c r="AO58" s="1750">
        <f>CF!AS22</f>
        <v>0</v>
      </c>
      <c r="AP58" s="1750">
        <f>CF!AT22</f>
        <v>0</v>
      </c>
      <c r="AQ58" s="1750">
        <f>CF!AU22</f>
        <v>0</v>
      </c>
      <c r="AR58" s="1750">
        <f>CF!AV22</f>
        <v>0</v>
      </c>
      <c r="AS58" s="1750">
        <f>CF!AW22</f>
        <v>0</v>
      </c>
    </row>
    <row r="59" spans="4:45">
      <c r="D59" s="1792" t="s">
        <v>1863</v>
      </c>
      <c r="E59" s="2124">
        <f>E58*E56</f>
        <v>0</v>
      </c>
      <c r="F59" s="1773">
        <f t="shared" ref="F59:AR59" ca="1" si="16">F58*F56</f>
        <v>0</v>
      </c>
      <c r="G59" s="1750">
        <f t="shared" ca="1" si="16"/>
        <v>0</v>
      </c>
      <c r="H59" s="1750">
        <f ca="1">H58*H56</f>
        <v>-209171448.75717464</v>
      </c>
      <c r="I59" s="1750">
        <f t="shared" ca="1" si="16"/>
        <v>-179289813.22043538</v>
      </c>
      <c r="J59" s="1750">
        <f t="shared" ca="1" si="16"/>
        <v>-148999958.61898658</v>
      </c>
      <c r="K59" s="1750">
        <f t="shared" ca="1" si="16"/>
        <v>-119854012.12544173</v>
      </c>
      <c r="L59" s="1750">
        <f t="shared" ca="1" si="16"/>
        <v>-89644906.61021769</v>
      </c>
      <c r="M59" s="1750">
        <f t="shared" ca="1" si="16"/>
        <v>-59763271.07347846</v>
      </c>
      <c r="N59" s="1750">
        <f t="shared" ca="1" si="16"/>
        <v>-29799991.723797321</v>
      </c>
      <c r="O59" s="1750">
        <f t="shared" ca="1" si="16"/>
        <v>0</v>
      </c>
      <c r="P59" s="1750">
        <f t="shared" ca="1" si="16"/>
        <v>0</v>
      </c>
      <c r="Q59" s="1750">
        <f t="shared" ca="1" si="16"/>
        <v>0</v>
      </c>
      <c r="R59" s="1750">
        <f t="shared" ca="1" si="16"/>
        <v>0</v>
      </c>
      <c r="S59" s="1750">
        <f t="shared" ca="1" si="16"/>
        <v>0</v>
      </c>
      <c r="T59" s="1750">
        <f t="shared" ca="1" si="16"/>
        <v>0</v>
      </c>
      <c r="U59" s="1750">
        <f t="shared" ca="1" si="16"/>
        <v>0</v>
      </c>
      <c r="V59" s="1750">
        <f t="shared" ca="1" si="16"/>
        <v>0</v>
      </c>
      <c r="W59" s="1750">
        <f t="shared" ca="1" si="16"/>
        <v>0</v>
      </c>
      <c r="X59" s="1750">
        <f t="shared" ca="1" si="16"/>
        <v>0</v>
      </c>
      <c r="Y59" s="1750">
        <f t="shared" ca="1" si="16"/>
        <v>0</v>
      </c>
      <c r="Z59" s="1750">
        <f t="shared" ca="1" si="16"/>
        <v>0</v>
      </c>
      <c r="AA59" s="1750">
        <f t="shared" ca="1" si="16"/>
        <v>0</v>
      </c>
      <c r="AB59" s="1750">
        <f t="shared" ca="1" si="16"/>
        <v>0</v>
      </c>
      <c r="AC59" s="1750">
        <f t="shared" ca="1" si="16"/>
        <v>0</v>
      </c>
      <c r="AD59" s="1750">
        <f t="shared" ca="1" si="16"/>
        <v>0</v>
      </c>
      <c r="AE59" s="1750">
        <f t="shared" ca="1" si="16"/>
        <v>0</v>
      </c>
      <c r="AF59" s="1750">
        <f t="shared" ca="1" si="16"/>
        <v>0</v>
      </c>
      <c r="AG59" s="1750">
        <f t="shared" ca="1" si="16"/>
        <v>0</v>
      </c>
      <c r="AH59" s="1750">
        <f t="shared" ca="1" si="16"/>
        <v>0</v>
      </c>
      <c r="AI59" s="1750">
        <f t="shared" si="16"/>
        <v>0</v>
      </c>
      <c r="AJ59" s="1750">
        <f t="shared" si="16"/>
        <v>0</v>
      </c>
      <c r="AK59" s="1750">
        <f t="shared" si="16"/>
        <v>0</v>
      </c>
      <c r="AL59" s="1750">
        <f t="shared" si="16"/>
        <v>0</v>
      </c>
      <c r="AM59" s="1750">
        <f t="shared" si="16"/>
        <v>0</v>
      </c>
      <c r="AN59" s="1750">
        <f t="shared" si="16"/>
        <v>0</v>
      </c>
      <c r="AO59" s="1750">
        <f t="shared" si="16"/>
        <v>0</v>
      </c>
      <c r="AP59" s="1750">
        <f t="shared" si="16"/>
        <v>0</v>
      </c>
      <c r="AQ59" s="1750">
        <f t="shared" si="16"/>
        <v>0</v>
      </c>
      <c r="AR59" s="1750">
        <f t="shared" si="16"/>
        <v>0</v>
      </c>
      <c r="AS59" s="1750">
        <f>AS58*AS56</f>
        <v>0</v>
      </c>
    </row>
    <row r="60" spans="4:45">
      <c r="D60" s="1792" t="s">
        <v>1864</v>
      </c>
      <c r="E60" s="2124">
        <f ca="1">CF!I23</f>
        <v>0</v>
      </c>
      <c r="F60" s="1773">
        <f ca="1">CF!J23</f>
        <v>0</v>
      </c>
      <c r="G60" s="1750">
        <f ca="1">CF!K23</f>
        <v>0</v>
      </c>
      <c r="H60" s="1750">
        <f ca="1">CF!L23</f>
        <v>-414045109.28002262</v>
      </c>
      <c r="I60" s="1750">
        <f ca="1">CF!M23</f>
        <v>-414045109.28002262</v>
      </c>
      <c r="J60" s="1750">
        <f ca="1">CF!N23</f>
        <v>-414045109.28002262</v>
      </c>
      <c r="K60" s="1750">
        <f ca="1">CF!O23</f>
        <v>-414045109.28002262</v>
      </c>
      <c r="L60" s="1750">
        <f ca="1">CF!P23</f>
        <v>-414045109.28002262</v>
      </c>
      <c r="M60" s="1750">
        <f ca="1">CF!Q23</f>
        <v>-414045109.28002262</v>
      </c>
      <c r="N60" s="1750">
        <f ca="1">CF!R23</f>
        <v>-414045109.28002262</v>
      </c>
      <c r="O60" s="1750">
        <f ca="1">CF!S23</f>
        <v>0</v>
      </c>
      <c r="P60" s="1750">
        <f ca="1">CF!T23</f>
        <v>0</v>
      </c>
      <c r="Q60" s="1750">
        <f ca="1">CF!U23</f>
        <v>0</v>
      </c>
      <c r="R60" s="1750">
        <f ca="1">CF!V23</f>
        <v>0</v>
      </c>
      <c r="S60" s="1750">
        <f ca="1">CF!W23</f>
        <v>0</v>
      </c>
      <c r="T60" s="1750">
        <f ca="1">CF!X23</f>
        <v>0</v>
      </c>
      <c r="U60" s="1750">
        <f ca="1">CF!Y23</f>
        <v>0</v>
      </c>
      <c r="V60" s="1750">
        <f ca="1">CF!Z23</f>
        <v>0</v>
      </c>
      <c r="W60" s="1750">
        <f ca="1">CF!AA23</f>
        <v>0</v>
      </c>
      <c r="X60" s="1750">
        <f ca="1">CF!AB23</f>
        <v>0</v>
      </c>
      <c r="Y60" s="1750">
        <f ca="1">CF!AC23</f>
        <v>0</v>
      </c>
      <c r="Z60" s="1750">
        <f ca="1">CF!AD23</f>
        <v>0</v>
      </c>
      <c r="AA60" s="1750">
        <f ca="1">CF!AE23</f>
        <v>0</v>
      </c>
      <c r="AB60" s="1750">
        <f ca="1">CF!AF23</f>
        <v>0</v>
      </c>
      <c r="AC60" s="1750">
        <f ca="1">CF!AG23</f>
        <v>0</v>
      </c>
      <c r="AD60" s="1750">
        <f ca="1">CF!AH23</f>
        <v>0</v>
      </c>
      <c r="AE60" s="1750">
        <f ca="1">CF!AI23</f>
        <v>0</v>
      </c>
      <c r="AF60" s="1750">
        <f>CF!AJ23</f>
        <v>0</v>
      </c>
      <c r="AG60" s="1750">
        <f>CF!AK23</f>
        <v>0</v>
      </c>
      <c r="AH60" s="1750">
        <f>CF!AL23</f>
        <v>0</v>
      </c>
      <c r="AI60" s="1750">
        <f>CF!AM23</f>
        <v>0</v>
      </c>
      <c r="AJ60" s="1750">
        <f>CF!AN23</f>
        <v>0</v>
      </c>
      <c r="AK60" s="1750">
        <f>CF!AO23</f>
        <v>0</v>
      </c>
      <c r="AL60" s="1750">
        <f>CF!AP23</f>
        <v>0</v>
      </c>
      <c r="AM60" s="1750">
        <f>CF!AQ23</f>
        <v>0</v>
      </c>
      <c r="AN60" s="1750">
        <f>CF!AR23</f>
        <v>0</v>
      </c>
      <c r="AO60" s="1750">
        <f>CF!AS23</f>
        <v>0</v>
      </c>
      <c r="AP60" s="1750">
        <f>CF!AT23</f>
        <v>0</v>
      </c>
      <c r="AQ60" s="1750">
        <f>CF!AU23</f>
        <v>0</v>
      </c>
      <c r="AR60" s="1750">
        <f>CF!AV23</f>
        <v>0</v>
      </c>
      <c r="AS60" s="1750">
        <f>CF!AW23</f>
        <v>0</v>
      </c>
    </row>
    <row r="61" spans="4:45">
      <c r="D61" s="1792" t="s">
        <v>1865</v>
      </c>
      <c r="E61" s="2124">
        <f>'Debt Schedule'!I50</f>
        <v>0</v>
      </c>
      <c r="F61" s="1773">
        <f>'Debt Schedule'!J50</f>
        <v>1895542304.3210859</v>
      </c>
      <c r="G61" s="1750">
        <f>'Debt Schedule'!K50</f>
        <v>1002773460.6390723</v>
      </c>
      <c r="H61" s="1750">
        <f>'Debt Schedule'!L50</f>
        <v>0</v>
      </c>
      <c r="I61" s="1750">
        <f>'Debt Schedule'!M50</f>
        <v>0</v>
      </c>
      <c r="J61" s="1750">
        <f>'Debt Schedule'!N50</f>
        <v>0</v>
      </c>
      <c r="K61" s="1750">
        <f>'Debt Schedule'!O50</f>
        <v>0</v>
      </c>
      <c r="L61" s="1750">
        <f>'Debt Schedule'!P50</f>
        <v>0</v>
      </c>
      <c r="M61" s="1750">
        <f>[9]Debt!O47</f>
        <v>0</v>
      </c>
      <c r="N61" s="1750">
        <f>[9]Debt!P47</f>
        <v>0</v>
      </c>
      <c r="O61" s="1750">
        <f>[9]Debt!Q47</f>
        <v>0</v>
      </c>
      <c r="P61" s="1750">
        <f>[9]Debt!R47</f>
        <v>0</v>
      </c>
      <c r="Q61" s="1750">
        <f>[9]Debt!S47</f>
        <v>0</v>
      </c>
      <c r="R61" s="1750">
        <f>[9]Debt!T47</f>
        <v>0</v>
      </c>
      <c r="S61" s="1750">
        <f>[9]Debt!U47</f>
        <v>0</v>
      </c>
      <c r="T61" s="1750">
        <f>[9]Debt!V47</f>
        <v>0</v>
      </c>
      <c r="U61" s="1750">
        <f>[9]Debt!W47</f>
        <v>0</v>
      </c>
      <c r="V61" s="1750">
        <f>[9]Debt!X47</f>
        <v>0</v>
      </c>
      <c r="W61" s="1750">
        <f>[9]Debt!Y47</f>
        <v>0</v>
      </c>
      <c r="X61" s="1750">
        <f>[9]Debt!Z47</f>
        <v>0</v>
      </c>
      <c r="Y61" s="1750">
        <f>[9]Debt!AA47</f>
        <v>0</v>
      </c>
      <c r="Z61" s="1750">
        <f>[9]Debt!AB47</f>
        <v>0</v>
      </c>
      <c r="AA61" s="1750">
        <f>[9]Debt!AC47</f>
        <v>0</v>
      </c>
      <c r="AB61" s="1750">
        <f>[9]Debt!AD47</f>
        <v>0</v>
      </c>
      <c r="AC61" s="1750">
        <f>[9]Debt!AE47</f>
        <v>0</v>
      </c>
      <c r="AD61" s="1750">
        <f>[9]Debt!AF47</f>
        <v>0</v>
      </c>
      <c r="AE61" s="1750">
        <f>[9]Debt!AG47</f>
        <v>0</v>
      </c>
      <c r="AF61" s="1750">
        <f>[9]Debt!AH47</f>
        <v>0</v>
      </c>
      <c r="AG61" s="1750">
        <f>[9]Debt!AI47</f>
        <v>0</v>
      </c>
      <c r="AH61" s="1750">
        <f>[9]Debt!AJ47</f>
        <v>0</v>
      </c>
      <c r="AI61" s="1750">
        <f>[9]Debt!AK47</f>
        <v>0</v>
      </c>
      <c r="AJ61" s="1750">
        <f>[9]Debt!AL47</f>
        <v>0</v>
      </c>
      <c r="AK61" s="1750">
        <f>[9]Debt!AM47</f>
        <v>0</v>
      </c>
      <c r="AL61" s="1750">
        <f>[9]Debt!AN47</f>
        <v>0</v>
      </c>
      <c r="AM61" s="1750">
        <f>[9]Debt!AO47</f>
        <v>0</v>
      </c>
      <c r="AN61" s="1750">
        <f>[9]Debt!AP47</f>
        <v>0</v>
      </c>
      <c r="AO61" s="1750">
        <f>[9]Debt!AQ47</f>
        <v>0</v>
      </c>
      <c r="AP61" s="1750">
        <f>[9]Debt!AR47</f>
        <v>0</v>
      </c>
      <c r="AQ61" s="1750">
        <f>[9]Debt!AS47</f>
        <v>0</v>
      </c>
      <c r="AR61" s="1750">
        <f>[9]Debt!AT47</f>
        <v>0</v>
      </c>
      <c r="AS61" s="1750">
        <f>[9]Debt!AU47</f>
        <v>0</v>
      </c>
    </row>
    <row r="62" spans="4:45">
      <c r="D62" s="1793" t="s">
        <v>548</v>
      </c>
      <c r="E62" s="2124">
        <f t="shared" ref="E62:AS62" ca="1" si="17">E57+E59+E60+E61</f>
        <v>-715288869.70235205</v>
      </c>
      <c r="F62" s="2124">
        <f t="shared" ca="1" si="17"/>
        <v>-628192904.08651829</v>
      </c>
      <c r="G62" s="2124">
        <f t="shared" ca="1" si="17"/>
        <v>567996021.09176743</v>
      </c>
      <c r="H62" s="2124">
        <f t="shared" ca="1" si="17"/>
        <v>229117270.02715993</v>
      </c>
      <c r="I62" s="2124">
        <f t="shared" ca="1" si="17"/>
        <v>365847199.62732589</v>
      </c>
      <c r="J62" s="2124">
        <f t="shared" ca="1" si="17"/>
        <v>465632234.09878612</v>
      </c>
      <c r="K62" s="2124">
        <f t="shared" ca="1" si="17"/>
        <v>562246428.7644031</v>
      </c>
      <c r="L62" s="2124">
        <f t="shared" ca="1" si="17"/>
        <v>649797389.91703045</v>
      </c>
      <c r="M62" s="2124">
        <f t="shared" ca="1" si="17"/>
        <v>740280205.52986217</v>
      </c>
      <c r="N62" s="2124">
        <f t="shared" ca="1" si="17"/>
        <v>834522512.02501249</v>
      </c>
      <c r="O62" s="2124">
        <f t="shared" ca="1" si="17"/>
        <v>1346081964.7759006</v>
      </c>
      <c r="P62" s="2124">
        <f t="shared" ca="1" si="17"/>
        <v>1418167185.6789243</v>
      </c>
      <c r="Q62" s="2124">
        <f t="shared" ca="1" si="17"/>
        <v>1494397392.1525569</v>
      </c>
      <c r="R62" s="2124">
        <f t="shared" ca="1" si="17"/>
        <v>1575293925.2732542</v>
      </c>
      <c r="S62" s="2124">
        <f t="shared" ca="1" si="17"/>
        <v>1660580626.0936074</v>
      </c>
      <c r="T62" s="2124">
        <f t="shared" ca="1" si="17"/>
        <v>1142572120.4972587</v>
      </c>
      <c r="U62" s="2124">
        <f t="shared" ca="1" si="17"/>
        <v>1176176265.4137166</v>
      </c>
      <c r="V62" s="2124">
        <f t="shared" ca="1" si="17"/>
        <v>1213375932.5642974</v>
      </c>
      <c r="W62" s="2124">
        <f t="shared" ca="1" si="17"/>
        <v>1251205798.0187428</v>
      </c>
      <c r="X62" s="2124">
        <f t="shared" ca="1" si="17"/>
        <v>1290700173.6952837</v>
      </c>
      <c r="Y62" s="2124">
        <f t="shared" ca="1" si="17"/>
        <v>1331218671.6615601</v>
      </c>
      <c r="Z62" s="2124">
        <f t="shared" ca="1" si="17"/>
        <v>1373159973.6638682</v>
      </c>
      <c r="AA62" s="2124">
        <f t="shared" ca="1" si="17"/>
        <v>1415785924.6481209</v>
      </c>
      <c r="AB62" s="2124">
        <f t="shared" ca="1" si="17"/>
        <v>1460310356.5277343</v>
      </c>
      <c r="AC62" s="2124">
        <f t="shared" ca="1" si="17"/>
        <v>1505981224.4160945</v>
      </c>
      <c r="AD62" s="2124">
        <f t="shared" ca="1" si="17"/>
        <v>1553262298.8147156</v>
      </c>
      <c r="AE62" s="2124">
        <f t="shared" ca="1" si="17"/>
        <v>1601294104.8952236</v>
      </c>
      <c r="AF62" s="2124">
        <f t="shared" ca="1" si="17"/>
        <v>1651485671.924247</v>
      </c>
      <c r="AG62" s="2124">
        <f t="shared" ca="1" si="17"/>
        <v>1702962238.8680339</v>
      </c>
      <c r="AH62" s="2166">
        <f t="shared" ca="1" si="17"/>
        <v>1755999789.3863444</v>
      </c>
      <c r="AI62" s="2124">
        <f t="shared" si="17"/>
        <v>0</v>
      </c>
      <c r="AJ62" s="2124">
        <f t="shared" si="17"/>
        <v>0</v>
      </c>
      <c r="AK62" s="2124">
        <f t="shared" si="17"/>
        <v>0</v>
      </c>
      <c r="AL62" s="2124">
        <f t="shared" si="17"/>
        <v>0</v>
      </c>
      <c r="AM62" s="2124">
        <f t="shared" si="17"/>
        <v>0</v>
      </c>
      <c r="AN62" s="2124">
        <f t="shared" si="17"/>
        <v>0</v>
      </c>
      <c r="AO62" s="2124">
        <f t="shared" si="17"/>
        <v>0</v>
      </c>
      <c r="AP62" s="2124">
        <f t="shared" si="17"/>
        <v>0</v>
      </c>
      <c r="AQ62" s="2124">
        <f t="shared" si="17"/>
        <v>0</v>
      </c>
      <c r="AR62" s="2124">
        <f t="shared" si="17"/>
        <v>0</v>
      </c>
      <c r="AS62" s="2124">
        <f t="shared" si="17"/>
        <v>0</v>
      </c>
    </row>
    <row r="63" spans="4:45">
      <c r="D63" s="1794" t="s">
        <v>1866</v>
      </c>
      <c r="E63" s="2124">
        <f ca="1">IF(E62=0," ",E62)</f>
        <v>-715288869.70235205</v>
      </c>
      <c r="F63" s="1773">
        <f ca="1">F62</f>
        <v>-628192904.08651829</v>
      </c>
      <c r="G63" s="1750">
        <f ca="1">IF(G62=0," ",G62)</f>
        <v>567996021.09176743</v>
      </c>
      <c r="H63" s="1750">
        <f t="shared" ref="H63:AQ63" ca="1" si="18">IF(H62=0," ",H62)</f>
        <v>229117270.02715993</v>
      </c>
      <c r="I63" s="1750">
        <f t="shared" ca="1" si="18"/>
        <v>365847199.62732589</v>
      </c>
      <c r="J63" s="1750">
        <f t="shared" ca="1" si="18"/>
        <v>465632234.09878612</v>
      </c>
      <c r="K63" s="1750">
        <f t="shared" ca="1" si="18"/>
        <v>562246428.7644031</v>
      </c>
      <c r="L63" s="1750">
        <f t="shared" ca="1" si="18"/>
        <v>649797389.91703045</v>
      </c>
      <c r="M63" s="1750">
        <f t="shared" ca="1" si="18"/>
        <v>740280205.52986217</v>
      </c>
      <c r="N63" s="1750">
        <f t="shared" ca="1" si="18"/>
        <v>834522512.02501249</v>
      </c>
      <c r="O63" s="1750">
        <f t="shared" ca="1" si="18"/>
        <v>1346081964.7759006</v>
      </c>
      <c r="P63" s="1750">
        <f t="shared" ca="1" si="18"/>
        <v>1418167185.6789243</v>
      </c>
      <c r="Q63" s="1750">
        <f t="shared" ca="1" si="18"/>
        <v>1494397392.1525569</v>
      </c>
      <c r="R63" s="1750">
        <f t="shared" ca="1" si="18"/>
        <v>1575293925.2732542</v>
      </c>
      <c r="S63" s="1750">
        <f t="shared" ca="1" si="18"/>
        <v>1660580626.0936074</v>
      </c>
      <c r="T63" s="1750">
        <f t="shared" ca="1" si="18"/>
        <v>1142572120.4972587</v>
      </c>
      <c r="U63" s="1750">
        <f t="shared" ca="1" si="18"/>
        <v>1176176265.4137166</v>
      </c>
      <c r="V63" s="1750">
        <f t="shared" ca="1" si="18"/>
        <v>1213375932.5642974</v>
      </c>
      <c r="W63" s="1750">
        <f t="shared" ca="1" si="18"/>
        <v>1251205798.0187428</v>
      </c>
      <c r="X63" s="1750">
        <f t="shared" ca="1" si="18"/>
        <v>1290700173.6952837</v>
      </c>
      <c r="Y63" s="1750">
        <f t="shared" ca="1" si="18"/>
        <v>1331218671.6615601</v>
      </c>
      <c r="Z63" s="1750">
        <f t="shared" ca="1" si="18"/>
        <v>1373159973.6638682</v>
      </c>
      <c r="AA63" s="1750">
        <f t="shared" ca="1" si="18"/>
        <v>1415785924.6481209</v>
      </c>
      <c r="AB63" s="1750">
        <f t="shared" ca="1" si="18"/>
        <v>1460310356.5277343</v>
      </c>
      <c r="AC63" s="1750">
        <f t="shared" ca="1" si="18"/>
        <v>1505981224.4160945</v>
      </c>
      <c r="AD63" s="1750">
        <f t="shared" ca="1" si="18"/>
        <v>1553262298.8147156</v>
      </c>
      <c r="AE63" s="1750">
        <f t="shared" ca="1" si="18"/>
        <v>1601294104.8952236</v>
      </c>
      <c r="AF63" s="1750">
        <f t="shared" ca="1" si="18"/>
        <v>1651485671.924247</v>
      </c>
      <c r="AG63" s="1750">
        <f t="shared" ca="1" si="18"/>
        <v>1702962238.8680339</v>
      </c>
      <c r="AH63" s="1750">
        <f t="shared" ca="1" si="18"/>
        <v>1755999789.3863444</v>
      </c>
      <c r="AI63" s="1750" t="str">
        <f t="shared" si="18"/>
        <v xml:space="preserve"> </v>
      </c>
      <c r="AJ63" s="1750" t="str">
        <f t="shared" si="18"/>
        <v xml:space="preserve"> </v>
      </c>
      <c r="AK63" s="1750" t="str">
        <f t="shared" si="18"/>
        <v xml:space="preserve"> </v>
      </c>
      <c r="AL63" s="1750" t="str">
        <f t="shared" si="18"/>
        <v xml:space="preserve"> </v>
      </c>
      <c r="AM63" s="1750" t="str">
        <f t="shared" si="18"/>
        <v xml:space="preserve"> </v>
      </c>
      <c r="AN63" s="1750" t="str">
        <f t="shared" si="18"/>
        <v xml:space="preserve"> </v>
      </c>
      <c r="AO63" s="1750" t="str">
        <f t="shared" si="18"/>
        <v xml:space="preserve"> </v>
      </c>
      <c r="AP63" s="1750" t="str">
        <f t="shared" si="18"/>
        <v xml:space="preserve"> </v>
      </c>
      <c r="AQ63" s="1750" t="str">
        <f t="shared" si="18"/>
        <v xml:space="preserve"> </v>
      </c>
      <c r="AR63" s="1750" t="str">
        <f>IF(AR62=0," ",AR62+E69)</f>
        <v xml:space="preserve"> </v>
      </c>
      <c r="AS63" s="1750" t="str">
        <f>IF(AS62=0," ",AS62+F69)</f>
        <v xml:space="preserve"> </v>
      </c>
    </row>
    <row r="64" spans="4:45">
      <c r="D64" s="1795" t="s">
        <v>1867</v>
      </c>
      <c r="E64" s="2124">
        <f ca="1">E62*E55</f>
        <v>-715288869.70235205</v>
      </c>
      <c r="F64" s="1773">
        <f t="shared" ref="F64:AR64" ca="1" si="19">F62*F55</f>
        <v>-540439218.88523328</v>
      </c>
      <c r="G64" s="1750">
        <f t="shared" ca="1" si="19"/>
        <v>420390560.55671936</v>
      </c>
      <c r="H64" s="1750">
        <f t="shared" ca="1" si="19"/>
        <v>145887915.70236108</v>
      </c>
      <c r="I64" s="1750">
        <f t="shared" ca="1" si="19"/>
        <v>200408002.74272352</v>
      </c>
      <c r="J64" s="1750">
        <f t="shared" ca="1" si="19"/>
        <v>219438180.39727804</v>
      </c>
      <c r="K64" s="1750">
        <f t="shared" ca="1" si="19"/>
        <v>227955299.34156969</v>
      </c>
      <c r="L64" s="1750">
        <f t="shared" ca="1" si="19"/>
        <v>226649508.17440259</v>
      </c>
      <c r="M64" s="1750">
        <f t="shared" ca="1" si="19"/>
        <v>222140009.70367393</v>
      </c>
      <c r="N64" s="1750">
        <f t="shared" ca="1" si="19"/>
        <v>215438113.5118407</v>
      </c>
      <c r="O64" s="1750">
        <f t="shared" ca="1" si="19"/>
        <v>298957750.84860766</v>
      </c>
      <c r="P64" s="1750">
        <f t="shared" ca="1" si="19"/>
        <v>270968979.3297717</v>
      </c>
      <c r="Q64" s="1750">
        <f t="shared" ca="1" si="19"/>
        <v>245647345.50563034</v>
      </c>
      <c r="R64" s="1750">
        <f t="shared" ca="1" si="19"/>
        <v>222772410.38463283</v>
      </c>
      <c r="S64" s="1750">
        <f t="shared" ca="1" si="19"/>
        <v>202028948.55339259</v>
      </c>
      <c r="T64" s="1750">
        <f t="shared" ca="1" si="19"/>
        <v>119588960.48740849</v>
      </c>
      <c r="U64" s="1750">
        <f t="shared" ca="1" si="19"/>
        <v>105909205.62242585</v>
      </c>
      <c r="V64" s="1750">
        <f t="shared" ca="1" si="19"/>
        <v>93996245.501388237</v>
      </c>
      <c r="W64" s="1750">
        <f t="shared" ca="1" si="19"/>
        <v>83386877.177161753</v>
      </c>
      <c r="X64" s="1750">
        <f t="shared" ca="1" si="19"/>
        <v>74002801.567235529</v>
      </c>
      <c r="Y64" s="1750">
        <f t="shared" ca="1" si="19"/>
        <v>65663801.89094615</v>
      </c>
      <c r="Z64" s="1750">
        <f t="shared" ca="1" si="19"/>
        <v>58270881.89780993</v>
      </c>
      <c r="AA64" s="1750">
        <f t="shared" ca="1" si="19"/>
        <v>51687065.594813086</v>
      </c>
      <c r="AB64" s="1750">
        <f t="shared" ca="1" si="19"/>
        <v>45865199.081602857</v>
      </c>
      <c r="AC64" s="1750">
        <f t="shared" ca="1" si="19"/>
        <v>40692231.476526469</v>
      </c>
      <c r="AD64" s="1750">
        <f t="shared" ca="1" si="19"/>
        <v>36106931.427082352</v>
      </c>
      <c r="AE64" s="1750">
        <f t="shared" ca="1" si="19"/>
        <v>32023641.56371716</v>
      </c>
      <c r="AF64" s="1750">
        <f t="shared" ca="1" si="19"/>
        <v>28413730.222026244</v>
      </c>
      <c r="AG64" s="1750">
        <f t="shared" ca="1" si="19"/>
        <v>25206485.205295492</v>
      </c>
      <c r="AH64" s="1750">
        <f t="shared" ca="1" si="19"/>
        <v>22360708.723171219</v>
      </c>
      <c r="AI64" s="1750">
        <f t="shared" si="19"/>
        <v>0</v>
      </c>
      <c r="AJ64" s="1750">
        <f t="shared" si="19"/>
        <v>0</v>
      </c>
      <c r="AK64" s="1750">
        <f t="shared" si="19"/>
        <v>0</v>
      </c>
      <c r="AL64" s="1750">
        <f t="shared" si="19"/>
        <v>0</v>
      </c>
      <c r="AM64" s="1750">
        <f t="shared" si="19"/>
        <v>0</v>
      </c>
      <c r="AN64" s="1750">
        <f t="shared" si="19"/>
        <v>0</v>
      </c>
      <c r="AO64" s="1750">
        <f t="shared" si="19"/>
        <v>0</v>
      </c>
      <c r="AP64" s="1750">
        <f t="shared" si="19"/>
        <v>0</v>
      </c>
      <c r="AQ64" s="1750">
        <f t="shared" si="19"/>
        <v>0</v>
      </c>
      <c r="AR64" s="1750">
        <f t="shared" si="19"/>
        <v>0</v>
      </c>
      <c r="AS64" s="1750">
        <f>AS62*AS55</f>
        <v>0</v>
      </c>
    </row>
    <row r="65" spans="3:46" ht="15.75" thickBot="1">
      <c r="D65" s="1796" t="s">
        <v>1868</v>
      </c>
      <c r="E65" s="1797">
        <f ca="1">SUM(E64:AS64)</f>
        <v>2746129703.6036291</v>
      </c>
      <c r="F65" s="1798"/>
      <c r="G65" s="1798"/>
      <c r="H65" s="1798"/>
      <c r="I65" s="1798"/>
      <c r="J65" s="1798"/>
      <c r="K65" s="1798"/>
      <c r="L65" s="1798"/>
      <c r="M65" s="1798"/>
      <c r="N65" s="1798"/>
      <c r="O65" s="1798"/>
      <c r="P65" s="1798"/>
      <c r="Q65" s="1798"/>
      <c r="R65" s="1798"/>
      <c r="S65" s="1798"/>
      <c r="T65" s="1798"/>
      <c r="U65" s="1798"/>
      <c r="V65" s="1798"/>
      <c r="W65" s="1798"/>
      <c r="X65" s="1798"/>
      <c r="Y65" s="1798"/>
      <c r="Z65" s="1798"/>
      <c r="AA65" s="1798"/>
      <c r="AB65" s="1798"/>
      <c r="AC65" s="1798"/>
      <c r="AD65" s="1798"/>
      <c r="AE65" s="1798"/>
      <c r="AF65" s="1798"/>
      <c r="AG65" s="1798"/>
      <c r="AH65" s="1798"/>
      <c r="AI65" s="1798"/>
      <c r="AJ65" s="1798"/>
      <c r="AK65" s="1798"/>
      <c r="AL65" s="1798"/>
      <c r="AM65" s="1798"/>
      <c r="AN65" s="1798"/>
      <c r="AO65" s="1798"/>
      <c r="AP65" s="1798"/>
      <c r="AQ65" s="1798"/>
      <c r="AR65" s="1798"/>
    </row>
    <row r="66" spans="3:46" ht="15.75" thickTop="1">
      <c r="D66" s="1799" t="s">
        <v>1854</v>
      </c>
      <c r="E66" s="1800"/>
    </row>
    <row r="67" spans="3:46">
      <c r="D67" s="1801" t="s">
        <v>2085</v>
      </c>
      <c r="E67" s="1800">
        <f ca="1">AH62</f>
        <v>1755999789.3863444</v>
      </c>
    </row>
    <row r="68" spans="3:46">
      <c r="D68" s="1802" t="s">
        <v>1856</v>
      </c>
      <c r="E68" s="1803">
        <f>Cost_of_Equity-Growth_Rate</f>
        <v>0.1223747539682539</v>
      </c>
    </row>
    <row r="69" spans="3:46">
      <c r="D69" s="1801" t="s">
        <v>2086</v>
      </c>
      <c r="E69" s="1800">
        <f ca="1">E67/E68</f>
        <v>14349363185.170372</v>
      </c>
    </row>
    <row r="70" spans="3:46">
      <c r="D70" s="1802" t="s">
        <v>1858</v>
      </c>
      <c r="E70" s="2126">
        <f>(1+Cost_of_Equity)^(1-AH5)</f>
        <v>1.2733890321812307E-2</v>
      </c>
    </row>
    <row r="71" spans="3:46">
      <c r="D71" s="1801" t="s">
        <v>1859</v>
      </c>
      <c r="E71" s="1800">
        <f ca="1">E69*E70</f>
        <v>182723216.98781082</v>
      </c>
    </row>
    <row r="72" spans="3:46">
      <c r="D72" s="1804" t="s">
        <v>1869</v>
      </c>
      <c r="E72" s="1800">
        <f ca="1">E65+E71</f>
        <v>2928852920.5914397</v>
      </c>
    </row>
    <row r="73" spans="3:46" ht="15.75" thickBot="1">
      <c r="D73" s="1805" t="s">
        <v>1870</v>
      </c>
      <c r="E73" s="1955">
        <f ca="1">IRR(E63:AH63)</f>
        <v>0.35058754987217089</v>
      </c>
    </row>
    <row r="74" spans="3:46" ht="15.75" thickBot="1">
      <c r="D74" s="1805" t="s">
        <v>1956</v>
      </c>
      <c r="E74" s="2435">
        <f ca="1">MIRR(E63:AS63,0.09,0.16)</f>
        <v>0.20702570182665569</v>
      </c>
    </row>
    <row r="79" spans="3:46">
      <c r="E79" s="1742">
        <f>E5</f>
        <v>1</v>
      </c>
      <c r="F79" s="1742">
        <f t="shared" ref="F79:AT79" si="20">F5</f>
        <v>2</v>
      </c>
      <c r="G79" s="1742">
        <f t="shared" si="20"/>
        <v>3</v>
      </c>
      <c r="H79" s="1742">
        <f t="shared" si="20"/>
        <v>4</v>
      </c>
      <c r="I79" s="1742">
        <f t="shared" si="20"/>
        <v>5</v>
      </c>
      <c r="J79" s="1742">
        <f t="shared" si="20"/>
        <v>6</v>
      </c>
      <c r="K79" s="1742">
        <f t="shared" si="20"/>
        <v>7</v>
      </c>
      <c r="L79" s="1742">
        <f t="shared" si="20"/>
        <v>8</v>
      </c>
      <c r="M79" s="1742">
        <f t="shared" si="20"/>
        <v>9</v>
      </c>
      <c r="N79" s="1742">
        <f t="shared" si="20"/>
        <v>10</v>
      </c>
      <c r="O79" s="1742">
        <f t="shared" si="20"/>
        <v>11</v>
      </c>
      <c r="P79" s="1742">
        <f t="shared" si="20"/>
        <v>12</v>
      </c>
      <c r="Q79" s="1742">
        <f t="shared" si="20"/>
        <v>13</v>
      </c>
      <c r="R79" s="1742">
        <f t="shared" si="20"/>
        <v>14</v>
      </c>
      <c r="S79" s="1742">
        <f t="shared" si="20"/>
        <v>15</v>
      </c>
      <c r="T79" s="1742">
        <f t="shared" si="20"/>
        <v>16</v>
      </c>
      <c r="U79" s="1742">
        <f t="shared" si="20"/>
        <v>17</v>
      </c>
      <c r="V79" s="1742">
        <f t="shared" si="20"/>
        <v>18</v>
      </c>
      <c r="W79" s="1742">
        <f t="shared" si="20"/>
        <v>19</v>
      </c>
      <c r="X79" s="1742">
        <f t="shared" si="20"/>
        <v>20</v>
      </c>
      <c r="Y79" s="1742">
        <f t="shared" si="20"/>
        <v>21</v>
      </c>
      <c r="Z79" s="1742">
        <f t="shared" si="20"/>
        <v>22</v>
      </c>
      <c r="AA79" s="1742">
        <f t="shared" si="20"/>
        <v>23</v>
      </c>
      <c r="AB79" s="1742">
        <f t="shared" si="20"/>
        <v>24</v>
      </c>
      <c r="AC79" s="1742">
        <f t="shared" si="20"/>
        <v>25</v>
      </c>
      <c r="AD79" s="1742">
        <f t="shared" si="20"/>
        <v>26</v>
      </c>
      <c r="AE79" s="1742">
        <f t="shared" si="20"/>
        <v>27</v>
      </c>
      <c r="AF79" s="1742">
        <f t="shared" si="20"/>
        <v>28</v>
      </c>
      <c r="AG79" s="1742">
        <f t="shared" si="20"/>
        <v>29</v>
      </c>
      <c r="AH79" s="1742">
        <f t="shared" si="20"/>
        <v>30</v>
      </c>
      <c r="AI79" s="1742">
        <f t="shared" si="20"/>
        <v>31</v>
      </c>
      <c r="AJ79" s="1742">
        <f t="shared" si="20"/>
        <v>32</v>
      </c>
      <c r="AK79" s="1742">
        <f t="shared" si="20"/>
        <v>33</v>
      </c>
      <c r="AL79" s="1742">
        <f t="shared" si="20"/>
        <v>34</v>
      </c>
      <c r="AM79" s="1742">
        <f t="shared" si="20"/>
        <v>35</v>
      </c>
      <c r="AN79" s="1742">
        <f t="shared" si="20"/>
        <v>36</v>
      </c>
      <c r="AO79" s="1742">
        <f t="shared" si="20"/>
        <v>37</v>
      </c>
      <c r="AP79" s="1742">
        <f t="shared" si="20"/>
        <v>38</v>
      </c>
      <c r="AQ79" s="1742">
        <f t="shared" si="20"/>
        <v>39</v>
      </c>
      <c r="AR79" s="1742">
        <f t="shared" si="20"/>
        <v>40</v>
      </c>
      <c r="AS79" s="1742">
        <f t="shared" si="20"/>
        <v>41</v>
      </c>
      <c r="AT79" s="1742">
        <f t="shared" si="20"/>
        <v>0</v>
      </c>
    </row>
    <row r="80" spans="3:46" ht="15.75" thickBot="1">
      <c r="C80" s="1764"/>
      <c r="D80" s="1806"/>
      <c r="E80" s="1806">
        <f>E4</f>
        <v>46023</v>
      </c>
      <c r="F80" s="1806">
        <f t="shared" ref="F80:AT80" si="21">F4</f>
        <v>46388</v>
      </c>
      <c r="G80" s="1806">
        <f t="shared" si="21"/>
        <v>46753</v>
      </c>
      <c r="H80" s="1806">
        <f t="shared" si="21"/>
        <v>47119</v>
      </c>
      <c r="I80" s="1806">
        <f t="shared" si="21"/>
        <v>47484</v>
      </c>
      <c r="J80" s="1806">
        <f t="shared" si="21"/>
        <v>47849</v>
      </c>
      <c r="K80" s="1806">
        <f t="shared" si="21"/>
        <v>48214</v>
      </c>
      <c r="L80" s="1806">
        <f t="shared" si="21"/>
        <v>48580</v>
      </c>
      <c r="M80" s="1806">
        <f t="shared" si="21"/>
        <v>48945</v>
      </c>
      <c r="N80" s="1806">
        <f t="shared" si="21"/>
        <v>49310</v>
      </c>
      <c r="O80" s="1806">
        <f t="shared" si="21"/>
        <v>49675</v>
      </c>
      <c r="P80" s="1806">
        <f t="shared" si="21"/>
        <v>50041</v>
      </c>
      <c r="Q80" s="1806">
        <f t="shared" si="21"/>
        <v>50406</v>
      </c>
      <c r="R80" s="1806">
        <f t="shared" si="21"/>
        <v>50771</v>
      </c>
      <c r="S80" s="1806">
        <f t="shared" si="21"/>
        <v>51136</v>
      </c>
      <c r="T80" s="1806">
        <f t="shared" si="21"/>
        <v>51502</v>
      </c>
      <c r="U80" s="1806">
        <f t="shared" si="21"/>
        <v>51867</v>
      </c>
      <c r="V80" s="1806">
        <f t="shared" si="21"/>
        <v>52232</v>
      </c>
      <c r="W80" s="1806">
        <f t="shared" si="21"/>
        <v>52597</v>
      </c>
      <c r="X80" s="1806">
        <f t="shared" si="21"/>
        <v>52963</v>
      </c>
      <c r="Y80" s="1806">
        <f t="shared" si="21"/>
        <v>53328</v>
      </c>
      <c r="Z80" s="1806">
        <f t="shared" si="21"/>
        <v>53693</v>
      </c>
      <c r="AA80" s="1806">
        <f t="shared" si="21"/>
        <v>54058</v>
      </c>
      <c r="AB80" s="1806">
        <f t="shared" si="21"/>
        <v>54424</v>
      </c>
      <c r="AC80" s="1806">
        <f t="shared" si="21"/>
        <v>54789</v>
      </c>
      <c r="AD80" s="1806">
        <f t="shared" si="21"/>
        <v>55154</v>
      </c>
      <c r="AE80" s="1806">
        <f t="shared" si="21"/>
        <v>55519</v>
      </c>
      <c r="AF80" s="1806">
        <f t="shared" si="21"/>
        <v>55885</v>
      </c>
      <c r="AG80" s="1806">
        <f t="shared" si="21"/>
        <v>56250</v>
      </c>
      <c r="AH80" s="1806">
        <f t="shared" si="21"/>
        <v>56615</v>
      </c>
      <c r="AI80" s="1806">
        <f t="shared" si="21"/>
        <v>0</v>
      </c>
      <c r="AJ80" s="1806">
        <f t="shared" si="21"/>
        <v>0</v>
      </c>
      <c r="AK80" s="1806">
        <f t="shared" si="21"/>
        <v>0</v>
      </c>
      <c r="AL80" s="1806">
        <f t="shared" si="21"/>
        <v>0</v>
      </c>
      <c r="AM80" s="1806">
        <f t="shared" si="21"/>
        <v>0</v>
      </c>
      <c r="AN80" s="1806">
        <f t="shared" si="21"/>
        <v>0</v>
      </c>
      <c r="AO80" s="1806">
        <f t="shared" si="21"/>
        <v>0</v>
      </c>
      <c r="AP80" s="1806">
        <f t="shared" si="21"/>
        <v>0</v>
      </c>
      <c r="AQ80" s="1806">
        <f t="shared" si="21"/>
        <v>0</v>
      </c>
      <c r="AR80" s="1806">
        <f t="shared" si="21"/>
        <v>0</v>
      </c>
      <c r="AS80" s="1806">
        <f t="shared" si="21"/>
        <v>0</v>
      </c>
      <c r="AT80" s="1806">
        <f t="shared" si="21"/>
        <v>0</v>
      </c>
    </row>
    <row r="81" spans="3:46" ht="19.5" thickBot="1">
      <c r="C81" s="1764"/>
      <c r="D81" s="1825" t="s">
        <v>1878</v>
      </c>
      <c r="E81" s="1814">
        <f>E34</f>
        <v>1</v>
      </c>
      <c r="F81" s="1814">
        <f t="shared" ref="F81:AS81" si="22">F34</f>
        <v>0.91074148215096651</v>
      </c>
      <c r="G81" s="1814">
        <f t="shared" si="22"/>
        <v>0.82945004731053928</v>
      </c>
      <c r="H81" s="1814">
        <f t="shared" si="22"/>
        <v>0.75541456545778984</v>
      </c>
      <c r="I81" s="1814">
        <f t="shared" si="22"/>
        <v>0.6879873809834558</v>
      </c>
      <c r="J81" s="1814">
        <f t="shared" si="22"/>
        <v>0.62657864705803423</v>
      </c>
      <c r="K81" s="1814">
        <f t="shared" si="22"/>
        <v>0.57065116570578145</v>
      </c>
      <c r="L81" s="1814">
        <f t="shared" si="22"/>
        <v>0.5197156884460602</v>
      </c>
      <c r="M81" s="1814">
        <f t="shared" si="22"/>
        <v>0.47332663639247485</v>
      </c>
      <c r="N81" s="1814">
        <f t="shared" si="22"/>
        <v>0.43107820236961425</v>
      </c>
      <c r="O81" s="1814">
        <f t="shared" si="22"/>
        <v>0.39260080094907673</v>
      </c>
      <c r="P81" s="1814">
        <f t="shared" si="22"/>
        <v>0.35755783535001873</v>
      </c>
      <c r="Q81" s="1814">
        <f t="shared" si="22"/>
        <v>0.3256427529213673</v>
      </c>
      <c r="R81" s="1814">
        <f t="shared" si="22"/>
        <v>0.29657636344732702</v>
      </c>
      <c r="S81" s="1814">
        <f t="shared" si="22"/>
        <v>0.27010439681696236</v>
      </c>
      <c r="T81" s="1814">
        <f t="shared" si="22"/>
        <v>0.24599527869257309</v>
      </c>
      <c r="U81" s="1814">
        <f t="shared" si="22"/>
        <v>0.22403810471861413</v>
      </c>
      <c r="V81" s="1814">
        <f t="shared" si="22"/>
        <v>0.2040407955497241</v>
      </c>
      <c r="W81" s="1814">
        <f t="shared" si="22"/>
        <v>0.18582841655821805</v>
      </c>
      <c r="X81" s="1814">
        <f t="shared" si="22"/>
        <v>0.16924164752199872</v>
      </c>
      <c r="Y81" s="1814">
        <f t="shared" si="22"/>
        <v>0.15413538890585654</v>
      </c>
      <c r="Z81" s="1814">
        <f t="shared" si="22"/>
        <v>0.14037749254403545</v>
      </c>
      <c r="AA81" s="1814">
        <f t="shared" si="22"/>
        <v>0.1278476056201911</v>
      </c>
      <c r="AB81" s="1814">
        <f t="shared" si="22"/>
        <v>0.11643611783198508</v>
      </c>
      <c r="AC81" s="1814">
        <f t="shared" si="22"/>
        <v>0.10604320253020669</v>
      </c>
      <c r="AD81" s="1814">
        <f t="shared" si="22"/>
        <v>9.6577943444395575E-2</v>
      </c>
      <c r="AE81" s="1814">
        <f t="shared" si="22"/>
        <v>8.7957539355641046E-2</v>
      </c>
      <c r="AF81" s="1814">
        <f t="shared" si="22"/>
        <v>8.0106579759108482E-2</v>
      </c>
      <c r="AG81" s="1814">
        <f t="shared" si="22"/>
        <v>7.2956385179855074E-2</v>
      </c>
      <c r="AH81" s="1814">
        <f t="shared" si="22"/>
        <v>6.6444406371078027E-2</v>
      </c>
      <c r="AI81" s="1814">
        <f t="shared" si="22"/>
        <v>6.0513677139036721E-2</v>
      </c>
      <c r="AJ81" s="1814">
        <f t="shared" si="22"/>
        <v>5.5112316008011357E-2</v>
      </c>
      <c r="AK81" s="1814">
        <f t="shared" si="22"/>
        <v>5.0193072365908711E-2</v>
      </c>
      <c r="AL81" s="1814">
        <f t="shared" si="22"/>
        <v>4.5712913120238417E-2</v>
      </c>
      <c r="AM81" s="1814">
        <f t="shared" si="22"/>
        <v>4.163264624856431E-2</v>
      </c>
      <c r="AN81" s="1814">
        <f t="shared" si="22"/>
        <v>3.791657795028433E-2</v>
      </c>
      <c r="AO81" s="1814">
        <f t="shared" si="22"/>
        <v>3.4532200400534611E-2</v>
      </c>
      <c r="AP81" s="1814">
        <f t="shared" si="22"/>
        <v>3.144990737471709E-2</v>
      </c>
      <c r="AQ81" s="1814">
        <f t="shared" si="22"/>
        <v>2.8642735255960457E-2</v>
      </c>
      <c r="AR81" s="1814">
        <f t="shared" si="22"/>
        <v>2.6086127159871166E-2</v>
      </c>
      <c r="AS81" s="1814">
        <f t="shared" si="22"/>
        <v>2.3757718113159652E-2</v>
      </c>
      <c r="AT81" s="1814">
        <f>AT55</f>
        <v>0</v>
      </c>
    </row>
    <row r="82" spans="3:46" s="1841" customFormat="1">
      <c r="C82" s="2127"/>
      <c r="D82" s="2128" t="s">
        <v>1877</v>
      </c>
      <c r="E82" s="2129">
        <f ca="1">-IS!I22</f>
        <v>0</v>
      </c>
      <c r="F82" s="2127">
        <f ca="1">-IS!J22</f>
        <v>0</v>
      </c>
      <c r="G82" s="2127">
        <f ca="1">-IS!K22</f>
        <v>0</v>
      </c>
      <c r="H82" s="2127">
        <f ca="1">-IS!L22</f>
        <v>0</v>
      </c>
      <c r="I82" s="2127">
        <f ca="1">-IS!M22</f>
        <v>0</v>
      </c>
      <c r="J82" s="2127">
        <f ca="1">-IS!N22</f>
        <v>158981768.50809935</v>
      </c>
      <c r="K82" s="2127">
        <f ca="1">-IS!O22</f>
        <v>177947309.37817538</v>
      </c>
      <c r="L82" s="2127">
        <f ca="1">-IS!P22</f>
        <v>195418836.97681487</v>
      </c>
      <c r="M82" s="2127">
        <f ca="1">-IS!Q22</f>
        <v>213550909.14333284</v>
      </c>
      <c r="N82" s="2127">
        <f ca="1">-IS!R22</f>
        <v>495751475.83675665</v>
      </c>
      <c r="O82" s="2127">
        <f ca="1">-IS!S22</f>
        <v>638422060.04184175</v>
      </c>
      <c r="P82" s="2127">
        <f ca="1">-IS!T22</f>
        <v>676946619.97965622</v>
      </c>
      <c r="Q82" s="2127">
        <f ca="1">-IS!U22</f>
        <v>717270687.84050417</v>
      </c>
      <c r="R82" s="2127">
        <f ca="1">-IS!V22</f>
        <v>759613457.96880531</v>
      </c>
      <c r="S82" s="2127">
        <f ca="1">-IS!W22</f>
        <v>804113770.96939933</v>
      </c>
      <c r="T82" s="2127">
        <f ca="1">-IS!X22</f>
        <v>563937354.18743896</v>
      </c>
      <c r="U82" s="2127">
        <f ca="1">-IS!Y22</f>
        <v>580818978.17583549</v>
      </c>
      <c r="V82" s="2127">
        <f ca="1">-IS!Z22</f>
        <v>598760681.25778317</v>
      </c>
      <c r="W82" s="2127">
        <f ca="1">-IS!AA22</f>
        <v>617408659.35194421</v>
      </c>
      <c r="X82" s="2127">
        <f ca="1">-IS!AB22</f>
        <v>636706010.30397677</v>
      </c>
      <c r="Y82" s="2127">
        <f ca="1">-IS!AC22</f>
        <v>656834654.06342196</v>
      </c>
      <c r="Z82" s="2127">
        <f ca="1">-IS!AD22</f>
        <v>677768107.59400094</v>
      </c>
      <c r="AA82" s="2127">
        <f ca="1">-IS!AE22</f>
        <v>699502670.2787075</v>
      </c>
      <c r="AB82" s="2127">
        <f ca="1">-IS!AF22</f>
        <v>721986784.96055043</v>
      </c>
      <c r="AC82" s="2127">
        <f ca="1">-IS!AG22</f>
        <v>745291635.48199677</v>
      </c>
      <c r="AD82" s="2127">
        <f ca="1">-IS!AH22</f>
        <v>769399458.44865692</v>
      </c>
      <c r="AE82" s="2127">
        <f ca="1">-IS!AI22</f>
        <v>794338330.94791365</v>
      </c>
      <c r="AF82" s="2127">
        <f ca="1">-IS!AJ22</f>
        <v>820033337.69299805</v>
      </c>
      <c r="AG82" s="2127">
        <f ca="1">-IS!AK22</f>
        <v>856865027.99649727</v>
      </c>
      <c r="AH82" s="2127">
        <f ca="1">-IS!AL22</f>
        <v>894999258.06149077</v>
      </c>
      <c r="AI82" s="2127">
        <f>-IS!AM22</f>
        <v>0</v>
      </c>
      <c r="AJ82" s="2127">
        <f>-IS!AN22</f>
        <v>0</v>
      </c>
      <c r="AK82" s="2127">
        <f>-IS!AO22</f>
        <v>0</v>
      </c>
      <c r="AL82" s="2127">
        <f>-IS!AP22</f>
        <v>0</v>
      </c>
      <c r="AM82" s="2127">
        <f>-IS!AQ22</f>
        <v>0</v>
      </c>
      <c r="AN82" s="2127">
        <f>-IS!AR22</f>
        <v>0</v>
      </c>
      <c r="AO82" s="2127">
        <f>-IS!AS22</f>
        <v>0</v>
      </c>
      <c r="AP82" s="2127">
        <f>-IS!AT22</f>
        <v>0</v>
      </c>
      <c r="AQ82" s="2127">
        <f>-IS!AU22</f>
        <v>0</v>
      </c>
      <c r="AR82" s="2127">
        <f>-IS!AV22</f>
        <v>0</v>
      </c>
      <c r="AS82" s="2127">
        <f>-IS!AW22</f>
        <v>0</v>
      </c>
      <c r="AT82" s="2127">
        <f>-IS!AX22</f>
        <v>0</v>
      </c>
    </row>
    <row r="83" spans="3:46">
      <c r="C83" s="1764"/>
      <c r="D83" s="1826" t="s">
        <v>1850</v>
      </c>
      <c r="E83" s="1821">
        <f ca="1">E40</f>
        <v>-715288869.70235205</v>
      </c>
      <c r="F83" s="1813">
        <f t="shared" ref="F83:AT83" ca="1" si="23">F40</f>
        <v>-2523735208.4076042</v>
      </c>
      <c r="G83" s="1813">
        <f t="shared" ca="1" si="23"/>
        <v>-434777439.54730487</v>
      </c>
      <c r="H83" s="1813">
        <f t="shared" ca="1" si="23"/>
        <v>852333828.06435716</v>
      </c>
      <c r="I83" s="1813">
        <f t="shared" ca="1" si="23"/>
        <v>959182122.12778389</v>
      </c>
      <c r="J83" s="1813">
        <f t="shared" ca="1" si="23"/>
        <v>1028677301.9977953</v>
      </c>
      <c r="K83" s="1813">
        <f t="shared" ca="1" si="23"/>
        <v>1096145550.1698675</v>
      </c>
      <c r="L83" s="1813">
        <f t="shared" ca="1" si="23"/>
        <v>1153487405.8072708</v>
      </c>
      <c r="M83" s="1813">
        <f t="shared" ca="1" si="23"/>
        <v>1214088585.8833632</v>
      </c>
      <c r="N83" s="1813">
        <f t="shared" ca="1" si="23"/>
        <v>1278367613.0288324</v>
      </c>
      <c r="O83" s="1813">
        <f t="shared" ca="1" si="23"/>
        <v>1346081964.7759006</v>
      </c>
      <c r="P83" s="1813">
        <f t="shared" ca="1" si="23"/>
        <v>1418167185.6789243</v>
      </c>
      <c r="Q83" s="1813">
        <f t="shared" ca="1" si="23"/>
        <v>1494397392.1525569</v>
      </c>
      <c r="R83" s="1813">
        <f t="shared" ca="1" si="23"/>
        <v>1575293925.2732542</v>
      </c>
      <c r="S83" s="1813">
        <f t="shared" ca="1" si="23"/>
        <v>1660580626.0936074</v>
      </c>
      <c r="T83" s="1813">
        <f t="shared" ca="1" si="23"/>
        <v>1142572120.4972587</v>
      </c>
      <c r="U83" s="1813">
        <f t="shared" ca="1" si="23"/>
        <v>1176176265.4137166</v>
      </c>
      <c r="V83" s="1813">
        <f t="shared" ca="1" si="23"/>
        <v>1213375932.5642974</v>
      </c>
      <c r="W83" s="1813">
        <f t="shared" ca="1" si="23"/>
        <v>1251205798.0187428</v>
      </c>
      <c r="X83" s="1813">
        <f t="shared" ca="1" si="23"/>
        <v>1290700173.6952837</v>
      </c>
      <c r="Y83" s="1813">
        <f t="shared" ca="1" si="23"/>
        <v>1331218671.6615601</v>
      </c>
      <c r="Z83" s="1813">
        <f t="shared" ca="1" si="23"/>
        <v>1373159973.6638682</v>
      </c>
      <c r="AA83" s="1813">
        <f t="shared" ca="1" si="23"/>
        <v>1415785924.6481209</v>
      </c>
      <c r="AB83" s="1813">
        <f t="shared" ca="1" si="23"/>
        <v>1460310356.5277343</v>
      </c>
      <c r="AC83" s="1813">
        <f t="shared" ca="1" si="23"/>
        <v>1505981224.4160945</v>
      </c>
      <c r="AD83" s="1813">
        <f t="shared" ca="1" si="23"/>
        <v>1553262298.8147156</v>
      </c>
      <c r="AE83" s="1813">
        <f t="shared" ca="1" si="23"/>
        <v>1601294104.8952236</v>
      </c>
      <c r="AF83" s="1813">
        <f t="shared" ca="1" si="23"/>
        <v>1651485671.924247</v>
      </c>
      <c r="AG83" s="1813">
        <f t="shared" ca="1" si="23"/>
        <v>1702962238.8680339</v>
      </c>
      <c r="AH83" s="1813">
        <f t="shared" ca="1" si="23"/>
        <v>1755999789.3863444</v>
      </c>
      <c r="AI83" s="1813">
        <f t="shared" si="23"/>
        <v>0</v>
      </c>
      <c r="AJ83" s="1813">
        <f t="shared" si="23"/>
        <v>0</v>
      </c>
      <c r="AK83" s="1813">
        <f t="shared" si="23"/>
        <v>0</v>
      </c>
      <c r="AL83" s="1813">
        <f t="shared" si="23"/>
        <v>0</v>
      </c>
      <c r="AM83" s="1813">
        <f t="shared" si="23"/>
        <v>0</v>
      </c>
      <c r="AN83" s="1813">
        <f t="shared" si="23"/>
        <v>0</v>
      </c>
      <c r="AO83" s="1813">
        <f t="shared" si="23"/>
        <v>0</v>
      </c>
      <c r="AP83" s="1813">
        <f t="shared" si="23"/>
        <v>0</v>
      </c>
      <c r="AQ83" s="1813">
        <f t="shared" si="23"/>
        <v>0</v>
      </c>
      <c r="AR83" s="1813">
        <f t="shared" si="23"/>
        <v>0</v>
      </c>
      <c r="AS83" s="1813">
        <f t="shared" si="23"/>
        <v>0</v>
      </c>
      <c r="AT83" s="1813">
        <f t="shared" si="23"/>
        <v>0</v>
      </c>
    </row>
    <row r="84" spans="3:46" ht="15.75" thickBot="1">
      <c r="C84" s="1764"/>
      <c r="D84" s="1827" t="s">
        <v>1882</v>
      </c>
      <c r="E84" s="1822">
        <f ca="1">E82+E83</f>
        <v>-715288869.70235205</v>
      </c>
      <c r="F84" s="1822">
        <f t="shared" ref="F84:AR84" ca="1" si="24">F82+F83</f>
        <v>-2523735208.4076042</v>
      </c>
      <c r="G84" s="1822">
        <f t="shared" ca="1" si="24"/>
        <v>-434777439.54730487</v>
      </c>
      <c r="H84" s="1822">
        <f t="shared" ca="1" si="24"/>
        <v>852333828.06435716</v>
      </c>
      <c r="I84" s="1822">
        <f t="shared" ca="1" si="24"/>
        <v>959182122.12778389</v>
      </c>
      <c r="J84" s="1822">
        <f t="shared" ca="1" si="24"/>
        <v>1187659070.5058947</v>
      </c>
      <c r="K84" s="1822">
        <f t="shared" ca="1" si="24"/>
        <v>1274092859.5480428</v>
      </c>
      <c r="L84" s="1822">
        <f t="shared" ca="1" si="24"/>
        <v>1348906242.7840858</v>
      </c>
      <c r="M84" s="1822">
        <f t="shared" ca="1" si="24"/>
        <v>1427639495.0266962</v>
      </c>
      <c r="N84" s="1822">
        <f t="shared" ca="1" si="24"/>
        <v>1774119088.8655891</v>
      </c>
      <c r="O84" s="1822">
        <f t="shared" ca="1" si="24"/>
        <v>1984504024.8177423</v>
      </c>
      <c r="P84" s="1822">
        <f t="shared" ca="1" si="24"/>
        <v>2095113805.6585805</v>
      </c>
      <c r="Q84" s="1822">
        <f t="shared" ca="1" si="24"/>
        <v>2211668079.9930611</v>
      </c>
      <c r="R84" s="1822">
        <f t="shared" ca="1" si="24"/>
        <v>2334907383.2420597</v>
      </c>
      <c r="S84" s="1822">
        <f t="shared" ca="1" si="24"/>
        <v>2464694397.0630069</v>
      </c>
      <c r="T84" s="1822">
        <f t="shared" ca="1" si="24"/>
        <v>1706509474.6846976</v>
      </c>
      <c r="U84" s="1822">
        <f t="shared" ca="1" si="24"/>
        <v>1756995243.5895519</v>
      </c>
      <c r="V84" s="1822">
        <f t="shared" ca="1" si="24"/>
        <v>1812136613.8220806</v>
      </c>
      <c r="W84" s="1822">
        <f t="shared" ca="1" si="24"/>
        <v>1868614457.370687</v>
      </c>
      <c r="X84" s="1822">
        <f t="shared" ca="1" si="24"/>
        <v>1927406183.9992604</v>
      </c>
      <c r="Y84" s="1822">
        <f t="shared" ca="1" si="24"/>
        <v>1988053325.724982</v>
      </c>
      <c r="Z84" s="1822">
        <f t="shared" ca="1" si="24"/>
        <v>2050928081.2578692</v>
      </c>
      <c r="AA84" s="1822">
        <f t="shared" ca="1" si="24"/>
        <v>2115288594.9268284</v>
      </c>
      <c r="AB84" s="1822">
        <f t="shared" ca="1" si="24"/>
        <v>2182297141.4882846</v>
      </c>
      <c r="AC84" s="1822">
        <f t="shared" ca="1" si="24"/>
        <v>2251272859.8980913</v>
      </c>
      <c r="AD84" s="1822">
        <f t="shared" ca="1" si="24"/>
        <v>2322661757.2633724</v>
      </c>
      <c r="AE84" s="1822">
        <f t="shared" ca="1" si="24"/>
        <v>2395632435.8431373</v>
      </c>
      <c r="AF84" s="1822">
        <f t="shared" ca="1" si="24"/>
        <v>2471519009.6172452</v>
      </c>
      <c r="AG84" s="1822">
        <f t="shared" ca="1" si="24"/>
        <v>2559827266.864531</v>
      </c>
      <c r="AH84" s="1822">
        <f t="shared" ca="1" si="24"/>
        <v>2650999047.447835</v>
      </c>
      <c r="AI84" s="1822">
        <f t="shared" si="24"/>
        <v>0</v>
      </c>
      <c r="AJ84" s="1822">
        <f t="shared" si="24"/>
        <v>0</v>
      </c>
      <c r="AK84" s="1822">
        <f t="shared" si="24"/>
        <v>0</v>
      </c>
      <c r="AL84" s="1822">
        <f t="shared" si="24"/>
        <v>0</v>
      </c>
      <c r="AM84" s="1822">
        <f t="shared" si="24"/>
        <v>0</v>
      </c>
      <c r="AN84" s="1822">
        <f t="shared" si="24"/>
        <v>0</v>
      </c>
      <c r="AO84" s="1822">
        <f t="shared" si="24"/>
        <v>0</v>
      </c>
      <c r="AP84" s="1822">
        <f t="shared" si="24"/>
        <v>0</v>
      </c>
      <c r="AQ84" s="1822">
        <f t="shared" si="24"/>
        <v>0</v>
      </c>
      <c r="AR84" s="1822">
        <f t="shared" si="24"/>
        <v>0</v>
      </c>
      <c r="AS84" s="1822">
        <f>AS82+AS83</f>
        <v>0</v>
      </c>
      <c r="AT84" s="1815">
        <f>AT82+AT83</f>
        <v>0</v>
      </c>
    </row>
    <row r="85" spans="3:46" ht="15.75" thickBot="1">
      <c r="C85" s="1828" t="s">
        <v>1868</v>
      </c>
      <c r="D85" s="1820">
        <f ca="1">SUM(E85:AT85)</f>
        <v>9358971311.3407383</v>
      </c>
      <c r="E85" s="1813">
        <f ca="1">E84*E81</f>
        <v>-715288869.70235205</v>
      </c>
      <c r="F85" s="1813">
        <f t="shared" ref="F85:AT85" ca="1" si="25">F84*F81</f>
        <v>-2298470344.2617197</v>
      </c>
      <c r="G85" s="1813">
        <f t="shared" ca="1" si="25"/>
        <v>-360626167.80206716</v>
      </c>
      <c r="H85" s="1813">
        <f t="shared" ca="1" si="25"/>
        <v>643865388.35221088</v>
      </c>
      <c r="I85" s="1813">
        <f t="shared" ca="1" si="25"/>
        <v>659905196.08884728</v>
      </c>
      <c r="J85" s="1813">
        <f ca="1">J84*J81</f>
        <v>744161813.56378591</v>
      </c>
      <c r="K85" s="1813">
        <f ca="1">K84*K81</f>
        <v>727062575.51850307</v>
      </c>
      <c r="L85" s="1813">
        <f t="shared" ca="1" si="25"/>
        <v>701047736.61771953</v>
      </c>
      <c r="M85" s="1813">
        <f t="shared" ca="1" si="25"/>
        <v>675739800.16203749</v>
      </c>
      <c r="N85" s="1813">
        <f t="shared" ca="1" si="25"/>
        <v>764784067.61779606</v>
      </c>
      <c r="O85" s="1813">
        <f t="shared" ca="1" si="25"/>
        <v>779117869.63011205</v>
      </c>
      <c r="P85" s="1813">
        <f t="shared" ca="1" si="25"/>
        <v>749124357.16322184</v>
      </c>
      <c r="Q85" s="1813">
        <f t="shared" ca="1" si="25"/>
        <v>720213682.11725521</v>
      </c>
      <c r="R85" s="1813">
        <f t="shared" ca="1" si="25"/>
        <v>692478340.70824432</v>
      </c>
      <c r="S85" s="1813">
        <f t="shared" ca="1" si="25"/>
        <v>665724793.45685017</v>
      </c>
      <c r="T85" s="1813">
        <f t="shared" ca="1" si="25"/>
        <v>419793273.81657869</v>
      </c>
      <c r="U85" s="1813">
        <f t="shared" ca="1" si="25"/>
        <v>393633884.37342298</v>
      </c>
      <c r="V85" s="1813">
        <f t="shared" ca="1" si="25"/>
        <v>369749796.32904047</v>
      </c>
      <c r="W85" s="1813">
        <f t="shared" ca="1" si="25"/>
        <v>347241665.77098858</v>
      </c>
      <c r="X85" s="1813">
        <f t="shared" ca="1" si="25"/>
        <v>326197398.02412343</v>
      </c>
      <c r="Y85" s="1813">
        <f t="shared" ca="1" si="25"/>
        <v>306429372.52620161</v>
      </c>
      <c r="Z85" s="1813">
        <f t="shared" ca="1" si="25"/>
        <v>287904141.43512946</v>
      </c>
      <c r="AA85" s="1813">
        <f t="shared" ca="1" si="25"/>
        <v>270434582.05709332</v>
      </c>
      <c r="AB85" s="1813">
        <f t="shared" ca="1" si="25"/>
        <v>254098207.11073413</v>
      </c>
      <c r="AC85" s="1813">
        <f t="shared" ca="1" si="25"/>
        <v>238732183.83293092</v>
      </c>
      <c r="AD85" s="1813">
        <f t="shared" ca="1" si="25"/>
        <v>224317895.83344242</v>
      </c>
      <c r="AE85" s="1813">
        <f t="shared" ca="1" si="25"/>
        <v>210713934.25732297</v>
      </c>
      <c r="AF85" s="1813">
        <f t="shared" ca="1" si="25"/>
        <v>197984934.67005664</v>
      </c>
      <c r="AG85" s="1813">
        <f t="shared" ca="1" si="25"/>
        <v>186755744.07526439</v>
      </c>
      <c r="AH85" s="1813">
        <f t="shared" ca="1" si="25"/>
        <v>176144057.99796471</v>
      </c>
      <c r="AI85" s="1813">
        <f t="shared" si="25"/>
        <v>0</v>
      </c>
      <c r="AJ85" s="1813">
        <f t="shared" si="25"/>
        <v>0</v>
      </c>
      <c r="AK85" s="1813">
        <f t="shared" si="25"/>
        <v>0</v>
      </c>
      <c r="AL85" s="1813">
        <f t="shared" si="25"/>
        <v>0</v>
      </c>
      <c r="AM85" s="1813">
        <f t="shared" si="25"/>
        <v>0</v>
      </c>
      <c r="AN85" s="1813">
        <f t="shared" si="25"/>
        <v>0</v>
      </c>
      <c r="AO85" s="1813">
        <f t="shared" si="25"/>
        <v>0</v>
      </c>
      <c r="AP85" s="1813">
        <f t="shared" si="25"/>
        <v>0</v>
      </c>
      <c r="AQ85" s="1813">
        <f t="shared" si="25"/>
        <v>0</v>
      </c>
      <c r="AR85" s="1813">
        <f t="shared" si="25"/>
        <v>0</v>
      </c>
      <c r="AS85" s="1813">
        <f t="shared" si="25"/>
        <v>0</v>
      </c>
      <c r="AT85" s="1813">
        <f t="shared" si="25"/>
        <v>0</v>
      </c>
    </row>
    <row r="86" spans="3:46">
      <c r="C86" s="1818" t="s">
        <v>1854</v>
      </c>
      <c r="D86" s="1762"/>
      <c r="E86" s="1817"/>
      <c r="F86" s="1764"/>
      <c r="G86" s="1764"/>
      <c r="H86" s="1764"/>
      <c r="I86" s="1764"/>
      <c r="J86" s="1764"/>
      <c r="K86" s="1764"/>
      <c r="L86" s="1764"/>
      <c r="M86" s="1764"/>
      <c r="N86" s="1764"/>
      <c r="O86" s="1764"/>
      <c r="P86" s="1764"/>
      <c r="Q86" s="1764"/>
      <c r="R86" s="1764"/>
      <c r="S86" s="1764"/>
      <c r="T86" s="1764"/>
      <c r="U86" s="1764"/>
      <c r="V86" s="1764"/>
      <c r="W86" s="1764"/>
      <c r="X86" s="1764"/>
      <c r="Y86" s="1764"/>
      <c r="Z86" s="1764"/>
      <c r="AA86" s="1764"/>
      <c r="AB86" s="1764"/>
      <c r="AC86" s="1764"/>
      <c r="AD86" s="1764"/>
      <c r="AE86" s="1764"/>
      <c r="AF86" s="1764"/>
      <c r="AG86" s="1764"/>
      <c r="AH86" s="1764"/>
      <c r="AI86" s="1764"/>
      <c r="AJ86" s="1764"/>
      <c r="AK86" s="1764"/>
      <c r="AL86" s="1764"/>
      <c r="AM86" s="1764"/>
      <c r="AN86" s="1764"/>
      <c r="AO86" s="1764"/>
      <c r="AP86" s="1764"/>
      <c r="AQ86" s="1764"/>
      <c r="AR86" s="1764"/>
      <c r="AS86" s="1764"/>
      <c r="AT86" s="1764"/>
    </row>
    <row r="87" spans="3:46">
      <c r="C87" s="1780" t="s">
        <v>2084</v>
      </c>
      <c r="D87" s="1823">
        <f ca="1">AH84</f>
        <v>2650999047.447835</v>
      </c>
      <c r="E87" s="1817"/>
      <c r="F87" s="1764"/>
      <c r="G87" s="1764"/>
      <c r="H87" s="1764"/>
      <c r="I87" s="1764"/>
      <c r="J87" s="1764"/>
      <c r="K87" s="1764"/>
      <c r="L87" s="1764"/>
      <c r="M87" s="1764"/>
      <c r="N87" s="1764"/>
      <c r="O87" s="1764"/>
      <c r="P87" s="1764"/>
      <c r="Q87" s="1764"/>
      <c r="R87" s="1764"/>
      <c r="S87" s="1764"/>
      <c r="T87" s="1764"/>
      <c r="U87" s="1764"/>
      <c r="V87" s="1764"/>
      <c r="W87" s="1764"/>
      <c r="X87" s="1764"/>
      <c r="Y87" s="1764"/>
      <c r="Z87" s="1764"/>
      <c r="AA87" s="1764"/>
      <c r="AB87" s="1764"/>
      <c r="AC87" s="1764"/>
      <c r="AD87" s="1764"/>
      <c r="AE87" s="1764"/>
      <c r="AF87" s="1764"/>
      <c r="AG87" s="1764"/>
      <c r="AH87" s="1764"/>
      <c r="AI87" s="1764"/>
      <c r="AJ87" s="1764"/>
      <c r="AK87" s="1764"/>
      <c r="AL87" s="1764"/>
      <c r="AM87" s="1764"/>
      <c r="AN87" s="1764"/>
      <c r="AO87" s="1764"/>
      <c r="AP87" s="1764"/>
      <c r="AQ87" s="1764"/>
      <c r="AR87" s="1764"/>
      <c r="AS87" s="1764"/>
      <c r="AT87" s="1764"/>
    </row>
    <row r="88" spans="3:46">
      <c r="C88" s="1782" t="s">
        <v>1856</v>
      </c>
      <c r="D88" s="1772">
        <f>E46</f>
        <v>5.8006426190476169E-2</v>
      </c>
    </row>
    <row r="89" spans="3:46">
      <c r="C89" s="1783" t="s">
        <v>1857</v>
      </c>
      <c r="D89" s="1824">
        <f ca="1">D87/D88</f>
        <v>45701816532.236069</v>
      </c>
    </row>
    <row r="90" spans="3:46">
      <c r="C90" s="1783" t="s">
        <v>1858</v>
      </c>
      <c r="D90" s="2168">
        <f>E48</f>
        <v>6.6444406371078027E-2</v>
      </c>
    </row>
    <row r="91" spans="3:46">
      <c r="C91" s="1783" t="s">
        <v>1859</v>
      </c>
      <c r="D91" s="2169">
        <f ca="1">D89*D90</f>
        <v>3036630069.5643454</v>
      </c>
    </row>
    <row r="92" spans="3:46">
      <c r="C92" s="1785" t="s">
        <v>1880</v>
      </c>
      <c r="D92" s="2170">
        <f ca="1">D85+D91</f>
        <v>12395601380.905083</v>
      </c>
    </row>
    <row r="93" spans="3:46" ht="15.75" thickBot="1">
      <c r="C93" s="1786" t="s">
        <v>1881</v>
      </c>
      <c r="D93" s="2171">
        <f ca="1">IRR(E84:AS84)</f>
        <v>0.27222468570640945</v>
      </c>
      <c r="E93" s="1742" t="s">
        <v>2083</v>
      </c>
    </row>
    <row r="94" spans="3:46" ht="15.75" thickBot="1">
      <c r="C94" s="1786" t="s">
        <v>1958</v>
      </c>
      <c r="D94" s="2172">
        <f ca="1">MIRR(E84:AT84,0.09,WACC)</f>
        <v>0.13397231230450224</v>
      </c>
    </row>
    <row r="97" spans="3:46">
      <c r="E97" s="1742">
        <f>E79</f>
        <v>1</v>
      </c>
      <c r="F97" s="1742">
        <f t="shared" ref="F97:AS97" si="26">F79</f>
        <v>2</v>
      </c>
      <c r="G97" s="1742">
        <f t="shared" si="26"/>
        <v>3</v>
      </c>
      <c r="H97" s="1742">
        <f t="shared" si="26"/>
        <v>4</v>
      </c>
      <c r="I97" s="1742">
        <f t="shared" si="26"/>
        <v>5</v>
      </c>
      <c r="J97" s="1742">
        <f t="shared" si="26"/>
        <v>6</v>
      </c>
      <c r="K97" s="1742">
        <f t="shared" si="26"/>
        <v>7</v>
      </c>
      <c r="L97" s="1742">
        <f t="shared" si="26"/>
        <v>8</v>
      </c>
      <c r="M97" s="1742">
        <f t="shared" si="26"/>
        <v>9</v>
      </c>
      <c r="N97" s="1742">
        <f t="shared" si="26"/>
        <v>10</v>
      </c>
      <c r="O97" s="1742">
        <f t="shared" si="26"/>
        <v>11</v>
      </c>
      <c r="P97" s="1742">
        <f t="shared" si="26"/>
        <v>12</v>
      </c>
      <c r="Q97" s="1742">
        <f t="shared" si="26"/>
        <v>13</v>
      </c>
      <c r="R97" s="1742">
        <f t="shared" si="26"/>
        <v>14</v>
      </c>
      <c r="S97" s="1742">
        <f t="shared" si="26"/>
        <v>15</v>
      </c>
      <c r="T97" s="1742">
        <f t="shared" si="26"/>
        <v>16</v>
      </c>
      <c r="U97" s="1742">
        <f t="shared" si="26"/>
        <v>17</v>
      </c>
      <c r="V97" s="1742">
        <f t="shared" si="26"/>
        <v>18</v>
      </c>
      <c r="W97" s="1742">
        <f t="shared" si="26"/>
        <v>19</v>
      </c>
      <c r="X97" s="1742">
        <f t="shared" si="26"/>
        <v>20</v>
      </c>
      <c r="Y97" s="1742">
        <f t="shared" si="26"/>
        <v>21</v>
      </c>
      <c r="Z97" s="1742">
        <f t="shared" si="26"/>
        <v>22</v>
      </c>
      <c r="AA97" s="1742">
        <f t="shared" si="26"/>
        <v>23</v>
      </c>
      <c r="AB97" s="1742">
        <f t="shared" si="26"/>
        <v>24</v>
      </c>
      <c r="AC97" s="1742">
        <f t="shared" si="26"/>
        <v>25</v>
      </c>
      <c r="AD97" s="1742">
        <f t="shared" si="26"/>
        <v>26</v>
      </c>
      <c r="AE97" s="1742">
        <f t="shared" si="26"/>
        <v>27</v>
      </c>
      <c r="AF97" s="1742">
        <f t="shared" si="26"/>
        <v>28</v>
      </c>
      <c r="AG97" s="1742">
        <f t="shared" si="26"/>
        <v>29</v>
      </c>
      <c r="AH97" s="1742">
        <f t="shared" si="26"/>
        <v>30</v>
      </c>
      <c r="AI97" s="1742">
        <f t="shared" si="26"/>
        <v>31</v>
      </c>
      <c r="AJ97" s="1742">
        <f t="shared" si="26"/>
        <v>32</v>
      </c>
      <c r="AK97" s="1742">
        <f t="shared" si="26"/>
        <v>33</v>
      </c>
      <c r="AL97" s="1742">
        <f t="shared" si="26"/>
        <v>34</v>
      </c>
      <c r="AM97" s="1742">
        <f t="shared" si="26"/>
        <v>35</v>
      </c>
      <c r="AN97" s="1742">
        <f t="shared" si="26"/>
        <v>36</v>
      </c>
      <c r="AO97" s="1742">
        <f t="shared" si="26"/>
        <v>37</v>
      </c>
      <c r="AP97" s="1742">
        <f t="shared" si="26"/>
        <v>38</v>
      </c>
      <c r="AQ97" s="1742">
        <f t="shared" si="26"/>
        <v>39</v>
      </c>
      <c r="AR97" s="1742">
        <f t="shared" si="26"/>
        <v>40</v>
      </c>
      <c r="AS97" s="1742">
        <f t="shared" si="26"/>
        <v>41</v>
      </c>
    </row>
    <row r="98" spans="3:46">
      <c r="C98" s="1764"/>
      <c r="D98" s="1830"/>
      <c r="E98" s="1806">
        <f>E80</f>
        <v>46023</v>
      </c>
      <c r="F98" s="1806">
        <f t="shared" ref="F98:AT98" si="27">F80</f>
        <v>46388</v>
      </c>
      <c r="G98" s="1806">
        <f t="shared" si="27"/>
        <v>46753</v>
      </c>
      <c r="H98" s="1806">
        <f t="shared" si="27"/>
        <v>47119</v>
      </c>
      <c r="I98" s="1806">
        <f t="shared" si="27"/>
        <v>47484</v>
      </c>
      <c r="J98" s="1806">
        <f t="shared" si="27"/>
        <v>47849</v>
      </c>
      <c r="K98" s="1806">
        <f t="shared" si="27"/>
        <v>48214</v>
      </c>
      <c r="L98" s="1806">
        <f t="shared" si="27"/>
        <v>48580</v>
      </c>
      <c r="M98" s="1806">
        <f t="shared" si="27"/>
        <v>48945</v>
      </c>
      <c r="N98" s="1806">
        <f t="shared" si="27"/>
        <v>49310</v>
      </c>
      <c r="O98" s="1806">
        <f t="shared" si="27"/>
        <v>49675</v>
      </c>
      <c r="P98" s="1806">
        <f t="shared" si="27"/>
        <v>50041</v>
      </c>
      <c r="Q98" s="1806">
        <f t="shared" si="27"/>
        <v>50406</v>
      </c>
      <c r="R98" s="1806">
        <f t="shared" si="27"/>
        <v>50771</v>
      </c>
      <c r="S98" s="1806">
        <f t="shared" si="27"/>
        <v>51136</v>
      </c>
      <c r="T98" s="1806">
        <f t="shared" si="27"/>
        <v>51502</v>
      </c>
      <c r="U98" s="1806">
        <f t="shared" si="27"/>
        <v>51867</v>
      </c>
      <c r="V98" s="1806">
        <f t="shared" si="27"/>
        <v>52232</v>
      </c>
      <c r="W98" s="1806">
        <f t="shared" si="27"/>
        <v>52597</v>
      </c>
      <c r="X98" s="1806">
        <f t="shared" si="27"/>
        <v>52963</v>
      </c>
      <c r="Y98" s="1806">
        <f t="shared" si="27"/>
        <v>53328</v>
      </c>
      <c r="Z98" s="1806">
        <f t="shared" si="27"/>
        <v>53693</v>
      </c>
      <c r="AA98" s="1806">
        <f t="shared" si="27"/>
        <v>54058</v>
      </c>
      <c r="AB98" s="1806">
        <f t="shared" si="27"/>
        <v>54424</v>
      </c>
      <c r="AC98" s="1806">
        <f t="shared" si="27"/>
        <v>54789</v>
      </c>
      <c r="AD98" s="1806">
        <f t="shared" si="27"/>
        <v>55154</v>
      </c>
      <c r="AE98" s="1806">
        <f t="shared" si="27"/>
        <v>55519</v>
      </c>
      <c r="AF98" s="1806">
        <f t="shared" si="27"/>
        <v>55885</v>
      </c>
      <c r="AG98" s="1806">
        <f t="shared" si="27"/>
        <v>56250</v>
      </c>
      <c r="AH98" s="1806">
        <f t="shared" si="27"/>
        <v>56615</v>
      </c>
      <c r="AI98" s="1806">
        <f t="shared" si="27"/>
        <v>0</v>
      </c>
      <c r="AJ98" s="1806">
        <f t="shared" si="27"/>
        <v>0</v>
      </c>
      <c r="AK98" s="1806">
        <f t="shared" si="27"/>
        <v>0</v>
      </c>
      <c r="AL98" s="1806">
        <f t="shared" si="27"/>
        <v>0</v>
      </c>
      <c r="AM98" s="1806">
        <f t="shared" si="27"/>
        <v>0</v>
      </c>
      <c r="AN98" s="1806">
        <f t="shared" si="27"/>
        <v>0</v>
      </c>
      <c r="AO98" s="1806">
        <f t="shared" si="27"/>
        <v>0</v>
      </c>
      <c r="AP98" s="1806">
        <f t="shared" si="27"/>
        <v>0</v>
      </c>
      <c r="AQ98" s="1806">
        <f t="shared" si="27"/>
        <v>0</v>
      </c>
      <c r="AR98" s="1806">
        <f t="shared" si="27"/>
        <v>0</v>
      </c>
      <c r="AS98" s="1806">
        <f t="shared" si="27"/>
        <v>0</v>
      </c>
      <c r="AT98" s="1806">
        <f t="shared" si="27"/>
        <v>0</v>
      </c>
    </row>
    <row r="99" spans="3:46" ht="19.5" thickBot="1">
      <c r="C99" s="1764"/>
      <c r="D99" s="1829" t="s">
        <v>1883</v>
      </c>
      <c r="E99" s="1835">
        <f t="shared" ref="E99:AT99" si="28">(1+Cost_of_Equity)^(1-E97)</f>
        <v>1</v>
      </c>
      <c r="F99" s="1835">
        <f t="shared" si="28"/>
        <v>0.86030774204797589</v>
      </c>
      <c r="G99" s="1835">
        <f t="shared" si="28"/>
        <v>0.7401294110276867</v>
      </c>
      <c r="H99" s="1835">
        <f t="shared" si="28"/>
        <v>0.63673906242452738</v>
      </c>
      <c r="I99" s="1835">
        <f t="shared" si="28"/>
        <v>0.54779154506819039</v>
      </c>
      <c r="J99" s="1835">
        <f t="shared" si="28"/>
        <v>0.47126930725058691</v>
      </c>
      <c r="K99" s="1835">
        <f t="shared" si="28"/>
        <v>0.40543663361726623</v>
      </c>
      <c r="L99" s="1835">
        <f t="shared" si="28"/>
        <v>0.34880027481080278</v>
      </c>
      <c r="M99" s="1835">
        <f t="shared" si="28"/>
        <v>0.30007557684819525</v>
      </c>
      <c r="N99" s="1835">
        <f t="shared" si="28"/>
        <v>0.25815734196201473</v>
      </c>
      <c r="O99" s="1835">
        <f t="shared" si="28"/>
        <v>0.22209475995644809</v>
      </c>
      <c r="P99" s="1835">
        <f t="shared" si="28"/>
        <v>0.19106984145881908</v>
      </c>
      <c r="Q99" s="1835">
        <f t="shared" si="28"/>
        <v>0.16437886387890138</v>
      </c>
      <c r="R99" s="1835">
        <f t="shared" si="28"/>
        <v>0.14141640922406923</v>
      </c>
      <c r="S99" s="1835">
        <f t="shared" si="28"/>
        <v>0.12166163170809158</v>
      </c>
      <c r="T99" s="1835">
        <f t="shared" si="28"/>
        <v>0.10466644366866067</v>
      </c>
      <c r="U99" s="1835">
        <f t="shared" si="28"/>
        <v>9.0045351820777136E-2</v>
      </c>
      <c r="V99" s="1835">
        <f t="shared" si="28"/>
        <v>7.7466713306848387E-2</v>
      </c>
      <c r="W99" s="1835">
        <f t="shared" si="28"/>
        <v>6.664521320889262E-2</v>
      </c>
      <c r="X99" s="1835">
        <f t="shared" si="28"/>
        <v>5.7335392894048348E-2</v>
      </c>
      <c r="Y99" s="1835">
        <f t="shared" si="28"/>
        <v>4.9326082400112298E-2</v>
      </c>
      <c r="Z99" s="1835">
        <f t="shared" si="28"/>
        <v>4.2435610573713013E-2</v>
      </c>
      <c r="AA99" s="1835">
        <f t="shared" si="28"/>
        <v>3.6507684315098259E-2</v>
      </c>
      <c r="AB99" s="1835">
        <f t="shared" si="28"/>
        <v>3.1407843460522486E-2</v>
      </c>
      <c r="AC99" s="1835">
        <f t="shared" si="28"/>
        <v>2.702041089011839E-2</v>
      </c>
      <c r="AD99" s="1835">
        <f t="shared" si="28"/>
        <v>2.324586868208629E-2</v>
      </c>
      <c r="AE99" s="1835">
        <f t="shared" si="28"/>
        <v>1.9998600797829415E-2</v>
      </c>
      <c r="AF99" s="1835">
        <f t="shared" si="28"/>
        <v>1.7204951096499475E-2</v>
      </c>
      <c r="AG99" s="1835">
        <f t="shared" si="28"/>
        <v>1.4801552629875309E-2</v>
      </c>
      <c r="AH99" s="1835">
        <f t="shared" si="28"/>
        <v>1.2733890321812307E-2</v>
      </c>
      <c r="AI99" s="1835"/>
      <c r="AJ99" s="1835">
        <f t="shared" si="28"/>
        <v>9.4247267439741024E-3</v>
      </c>
      <c r="AK99" s="1835">
        <f t="shared" si="28"/>
        <v>8.1081653845275336E-3</v>
      </c>
      <c r="AL99" s="1835">
        <f t="shared" si="28"/>
        <v>6.9755174541144402E-3</v>
      </c>
      <c r="AM99" s="1835">
        <f t="shared" si="28"/>
        <v>6.0010916705654392E-3</v>
      </c>
      <c r="AN99" s="1835">
        <f t="shared" si="28"/>
        <v>5.1627856249270689E-3</v>
      </c>
      <c r="AO99" s="1835">
        <f t="shared" si="28"/>
        <v>4.4415844436587557E-3</v>
      </c>
      <c r="AP99" s="1835">
        <f t="shared" si="28"/>
        <v>3.8211294838394788E-3</v>
      </c>
      <c r="AQ99" s="1835">
        <f t="shared" si="28"/>
        <v>3.2873472783148902E-3</v>
      </c>
      <c r="AR99" s="1835">
        <f t="shared" si="28"/>
        <v>2.8281303143346424E-3</v>
      </c>
      <c r="AS99" s="1835">
        <f t="shared" si="28"/>
        <v>2.4330624049426685E-3</v>
      </c>
      <c r="AT99" s="1835">
        <f t="shared" si="28"/>
        <v>1.1623747539682538</v>
      </c>
    </row>
    <row r="100" spans="3:46" ht="18.75">
      <c r="C100" s="1816"/>
      <c r="D100" s="1831" t="s">
        <v>1877</v>
      </c>
      <c r="E100" s="1834">
        <f ca="1">E82</f>
        <v>0</v>
      </c>
      <c r="F100" s="1834">
        <f t="shared" ref="F100:AT100" ca="1" si="29">F82</f>
        <v>0</v>
      </c>
      <c r="G100" s="1834">
        <f t="shared" ca="1" si="29"/>
        <v>0</v>
      </c>
      <c r="H100" s="1834">
        <f t="shared" ca="1" si="29"/>
        <v>0</v>
      </c>
      <c r="I100" s="1834">
        <f t="shared" ca="1" si="29"/>
        <v>0</v>
      </c>
      <c r="J100" s="1834">
        <f t="shared" ca="1" si="29"/>
        <v>158981768.50809935</v>
      </c>
      <c r="K100" s="1834">
        <f t="shared" ca="1" si="29"/>
        <v>177947309.37817538</v>
      </c>
      <c r="L100" s="1834">
        <f t="shared" ca="1" si="29"/>
        <v>195418836.97681487</v>
      </c>
      <c r="M100" s="1834">
        <f t="shared" ca="1" si="29"/>
        <v>213550909.14333284</v>
      </c>
      <c r="N100" s="1834">
        <f t="shared" ca="1" si="29"/>
        <v>495751475.83675665</v>
      </c>
      <c r="O100" s="1834">
        <f t="shared" ca="1" si="29"/>
        <v>638422060.04184175</v>
      </c>
      <c r="P100" s="1834">
        <f t="shared" ca="1" si="29"/>
        <v>676946619.97965622</v>
      </c>
      <c r="Q100" s="1834">
        <f t="shared" ca="1" si="29"/>
        <v>717270687.84050417</v>
      </c>
      <c r="R100" s="1834">
        <f t="shared" ca="1" si="29"/>
        <v>759613457.96880531</v>
      </c>
      <c r="S100" s="1834">
        <f t="shared" ca="1" si="29"/>
        <v>804113770.96939933</v>
      </c>
      <c r="T100" s="1834">
        <f t="shared" ca="1" si="29"/>
        <v>563937354.18743896</v>
      </c>
      <c r="U100" s="1834">
        <f t="shared" ca="1" si="29"/>
        <v>580818978.17583549</v>
      </c>
      <c r="V100" s="1834">
        <f t="shared" ca="1" si="29"/>
        <v>598760681.25778317</v>
      </c>
      <c r="W100" s="1834">
        <f t="shared" ca="1" si="29"/>
        <v>617408659.35194421</v>
      </c>
      <c r="X100" s="1834">
        <f t="shared" ca="1" si="29"/>
        <v>636706010.30397677</v>
      </c>
      <c r="Y100" s="1834">
        <f t="shared" ca="1" si="29"/>
        <v>656834654.06342196</v>
      </c>
      <c r="Z100" s="1834">
        <f t="shared" ca="1" si="29"/>
        <v>677768107.59400094</v>
      </c>
      <c r="AA100" s="1834">
        <f t="shared" ca="1" si="29"/>
        <v>699502670.2787075</v>
      </c>
      <c r="AB100" s="1834">
        <f t="shared" ca="1" si="29"/>
        <v>721986784.96055043</v>
      </c>
      <c r="AC100" s="1834">
        <f t="shared" ca="1" si="29"/>
        <v>745291635.48199677</v>
      </c>
      <c r="AD100" s="1834">
        <f t="shared" ca="1" si="29"/>
        <v>769399458.44865692</v>
      </c>
      <c r="AE100" s="1834">
        <f t="shared" ca="1" si="29"/>
        <v>794338330.94791365</v>
      </c>
      <c r="AF100" s="1834">
        <f t="shared" ca="1" si="29"/>
        <v>820033337.69299805</v>
      </c>
      <c r="AG100" s="1834">
        <f t="shared" ca="1" si="29"/>
        <v>856865027.99649727</v>
      </c>
      <c r="AH100" s="1834">
        <f t="shared" ca="1" si="29"/>
        <v>894999258.06149077</v>
      </c>
      <c r="AI100" s="1834"/>
      <c r="AJ100" s="1834">
        <f t="shared" si="29"/>
        <v>0</v>
      </c>
      <c r="AK100" s="1834">
        <f t="shared" si="29"/>
        <v>0</v>
      </c>
      <c r="AL100" s="1834">
        <f t="shared" si="29"/>
        <v>0</v>
      </c>
      <c r="AM100" s="1834">
        <f t="shared" si="29"/>
        <v>0</v>
      </c>
      <c r="AN100" s="1834">
        <f t="shared" si="29"/>
        <v>0</v>
      </c>
      <c r="AO100" s="1834">
        <f t="shared" si="29"/>
        <v>0</v>
      </c>
      <c r="AP100" s="1834">
        <f t="shared" si="29"/>
        <v>0</v>
      </c>
      <c r="AQ100" s="1834">
        <f t="shared" si="29"/>
        <v>0</v>
      </c>
      <c r="AR100" s="1834">
        <f t="shared" si="29"/>
        <v>0</v>
      </c>
      <c r="AS100" s="1834">
        <f t="shared" si="29"/>
        <v>0</v>
      </c>
      <c r="AT100" s="1834">
        <f t="shared" si="29"/>
        <v>0</v>
      </c>
    </row>
    <row r="101" spans="3:46">
      <c r="C101" s="1764"/>
      <c r="D101" s="1832" t="s">
        <v>548</v>
      </c>
      <c r="E101" s="1813">
        <f ca="1">E63</f>
        <v>-715288869.70235205</v>
      </c>
      <c r="F101" s="1813">
        <f ca="1">F63</f>
        <v>-628192904.08651829</v>
      </c>
      <c r="G101" s="1813">
        <f ca="1">G63</f>
        <v>567996021.09176743</v>
      </c>
      <c r="H101" s="1813">
        <f t="shared" ref="H101:AT101" ca="1" si="30">H63</f>
        <v>229117270.02715993</v>
      </c>
      <c r="I101" s="1813">
        <f t="shared" ca="1" si="30"/>
        <v>365847199.62732589</v>
      </c>
      <c r="J101" s="1813">
        <f t="shared" ca="1" si="30"/>
        <v>465632234.09878612</v>
      </c>
      <c r="K101" s="1813">
        <f t="shared" ca="1" si="30"/>
        <v>562246428.7644031</v>
      </c>
      <c r="L101" s="1813">
        <f t="shared" ca="1" si="30"/>
        <v>649797389.91703045</v>
      </c>
      <c r="M101" s="1813">
        <f t="shared" ca="1" si="30"/>
        <v>740280205.52986217</v>
      </c>
      <c r="N101" s="1813">
        <f t="shared" ca="1" si="30"/>
        <v>834522512.02501249</v>
      </c>
      <c r="O101" s="1813">
        <f t="shared" ca="1" si="30"/>
        <v>1346081964.7759006</v>
      </c>
      <c r="P101" s="1813">
        <f t="shared" ca="1" si="30"/>
        <v>1418167185.6789243</v>
      </c>
      <c r="Q101" s="1813">
        <f t="shared" ca="1" si="30"/>
        <v>1494397392.1525569</v>
      </c>
      <c r="R101" s="1813">
        <f t="shared" ca="1" si="30"/>
        <v>1575293925.2732542</v>
      </c>
      <c r="S101" s="1813">
        <f t="shared" ca="1" si="30"/>
        <v>1660580626.0936074</v>
      </c>
      <c r="T101" s="1813">
        <f t="shared" ca="1" si="30"/>
        <v>1142572120.4972587</v>
      </c>
      <c r="U101" s="1813">
        <f t="shared" ca="1" si="30"/>
        <v>1176176265.4137166</v>
      </c>
      <c r="V101" s="1813">
        <f t="shared" ca="1" si="30"/>
        <v>1213375932.5642974</v>
      </c>
      <c r="W101" s="1813">
        <f t="shared" ca="1" si="30"/>
        <v>1251205798.0187428</v>
      </c>
      <c r="X101" s="1813">
        <f t="shared" ca="1" si="30"/>
        <v>1290700173.6952837</v>
      </c>
      <c r="Y101" s="1813">
        <f t="shared" ca="1" si="30"/>
        <v>1331218671.6615601</v>
      </c>
      <c r="Z101" s="1813">
        <f t="shared" ca="1" si="30"/>
        <v>1373159973.6638682</v>
      </c>
      <c r="AA101" s="1813">
        <f t="shared" ca="1" si="30"/>
        <v>1415785924.6481209</v>
      </c>
      <c r="AB101" s="1813">
        <f t="shared" ca="1" si="30"/>
        <v>1460310356.5277343</v>
      </c>
      <c r="AC101" s="1813">
        <f t="shared" ca="1" si="30"/>
        <v>1505981224.4160945</v>
      </c>
      <c r="AD101" s="1813">
        <f t="shared" ca="1" si="30"/>
        <v>1553262298.8147156</v>
      </c>
      <c r="AE101" s="1813">
        <f t="shared" ca="1" si="30"/>
        <v>1601294104.8952236</v>
      </c>
      <c r="AF101" s="1813">
        <f t="shared" ca="1" si="30"/>
        <v>1651485671.924247</v>
      </c>
      <c r="AG101" s="1813">
        <f t="shared" ca="1" si="30"/>
        <v>1702962238.8680339</v>
      </c>
      <c r="AH101" s="1813">
        <f t="shared" ca="1" si="30"/>
        <v>1755999789.3863444</v>
      </c>
      <c r="AI101" s="1813" t="str">
        <f t="shared" si="30"/>
        <v xml:space="preserve"> </v>
      </c>
      <c r="AJ101" s="1813" t="str">
        <f t="shared" si="30"/>
        <v xml:space="preserve"> </v>
      </c>
      <c r="AK101" s="1813" t="str">
        <f t="shared" si="30"/>
        <v xml:space="preserve"> </v>
      </c>
      <c r="AL101" s="1813" t="str">
        <f t="shared" si="30"/>
        <v xml:space="preserve"> </v>
      </c>
      <c r="AM101" s="1813" t="str">
        <f t="shared" si="30"/>
        <v xml:space="preserve"> </v>
      </c>
      <c r="AN101" s="1813" t="str">
        <f t="shared" si="30"/>
        <v xml:space="preserve"> </v>
      </c>
      <c r="AO101" s="1813" t="str">
        <f t="shared" si="30"/>
        <v xml:space="preserve"> </v>
      </c>
      <c r="AP101" s="1813" t="str">
        <f t="shared" si="30"/>
        <v xml:space="preserve"> </v>
      </c>
      <c r="AQ101" s="1813" t="str">
        <f t="shared" si="30"/>
        <v xml:space="preserve"> </v>
      </c>
      <c r="AR101" s="1813" t="str">
        <f t="shared" si="30"/>
        <v xml:space="preserve"> </v>
      </c>
      <c r="AS101" s="1813" t="str">
        <f t="shared" si="30"/>
        <v xml:space="preserve"> </v>
      </c>
      <c r="AT101" s="1813">
        <f t="shared" si="30"/>
        <v>0</v>
      </c>
    </row>
    <row r="102" spans="3:46" ht="15.75" thickBot="1">
      <c r="C102" s="1764"/>
      <c r="D102" s="1833" t="s">
        <v>1882</v>
      </c>
      <c r="E102" s="1813">
        <f ca="1">E100+E101</f>
        <v>-715288869.70235205</v>
      </c>
      <c r="F102" s="1813">
        <f ca="1">F100+F101</f>
        <v>-628192904.08651829</v>
      </c>
      <c r="G102" s="1813">
        <f t="shared" ref="G102:AH102" ca="1" si="31">G100+G101</f>
        <v>567996021.09176743</v>
      </c>
      <c r="H102" s="1813">
        <f t="shared" ca="1" si="31"/>
        <v>229117270.02715993</v>
      </c>
      <c r="I102" s="1813">
        <f t="shared" ca="1" si="31"/>
        <v>365847199.62732589</v>
      </c>
      <c r="J102" s="1813">
        <f t="shared" ca="1" si="31"/>
        <v>624614002.60688543</v>
      </c>
      <c r="K102" s="1813">
        <f t="shared" ca="1" si="31"/>
        <v>740193738.14257848</v>
      </c>
      <c r="L102" s="1813">
        <f t="shared" ca="1" si="31"/>
        <v>845216226.89384532</v>
      </c>
      <c r="M102" s="1813">
        <f t="shared" ca="1" si="31"/>
        <v>953831114.673195</v>
      </c>
      <c r="N102" s="1813">
        <f t="shared" ca="1" si="31"/>
        <v>1330273987.8617692</v>
      </c>
      <c r="O102" s="1813">
        <f t="shared" ca="1" si="31"/>
        <v>1984504024.8177423</v>
      </c>
      <c r="P102" s="1813">
        <f t="shared" ca="1" si="31"/>
        <v>2095113805.6585805</v>
      </c>
      <c r="Q102" s="1813">
        <f t="shared" ca="1" si="31"/>
        <v>2211668079.9930611</v>
      </c>
      <c r="R102" s="1813">
        <f t="shared" ca="1" si="31"/>
        <v>2334907383.2420597</v>
      </c>
      <c r="S102" s="1813">
        <f t="shared" ca="1" si="31"/>
        <v>2464694397.0630069</v>
      </c>
      <c r="T102" s="1813">
        <f t="shared" ca="1" si="31"/>
        <v>1706509474.6846976</v>
      </c>
      <c r="U102" s="1813">
        <f t="shared" ca="1" si="31"/>
        <v>1756995243.5895519</v>
      </c>
      <c r="V102" s="1813">
        <f t="shared" ca="1" si="31"/>
        <v>1812136613.8220806</v>
      </c>
      <c r="W102" s="1813">
        <f t="shared" ca="1" si="31"/>
        <v>1868614457.370687</v>
      </c>
      <c r="X102" s="1813">
        <f t="shared" ca="1" si="31"/>
        <v>1927406183.9992604</v>
      </c>
      <c r="Y102" s="1813">
        <f t="shared" ca="1" si="31"/>
        <v>1988053325.724982</v>
      </c>
      <c r="Z102" s="1813">
        <f t="shared" ca="1" si="31"/>
        <v>2050928081.2578692</v>
      </c>
      <c r="AA102" s="1813">
        <f t="shared" ca="1" si="31"/>
        <v>2115288594.9268284</v>
      </c>
      <c r="AB102" s="1813">
        <f t="shared" ca="1" si="31"/>
        <v>2182297141.4882846</v>
      </c>
      <c r="AC102" s="1813">
        <f t="shared" ca="1" si="31"/>
        <v>2251272859.8980913</v>
      </c>
      <c r="AD102" s="1813">
        <f t="shared" ca="1" si="31"/>
        <v>2322661757.2633724</v>
      </c>
      <c r="AE102" s="1813">
        <f t="shared" ca="1" si="31"/>
        <v>2395632435.8431373</v>
      </c>
      <c r="AF102" s="1813">
        <f t="shared" ca="1" si="31"/>
        <v>2471519009.6172452</v>
      </c>
      <c r="AG102" s="1813">
        <f t="shared" ca="1" si="31"/>
        <v>2559827266.864531</v>
      </c>
      <c r="AH102" s="1813">
        <f t="shared" ca="1" si="31"/>
        <v>2650999047.447835</v>
      </c>
      <c r="AI102" s="1813"/>
      <c r="AJ102" s="1813"/>
      <c r="AK102" s="1813"/>
      <c r="AL102" s="1813"/>
      <c r="AM102" s="1813"/>
      <c r="AN102" s="1813"/>
      <c r="AO102" s="1813"/>
      <c r="AP102" s="1813"/>
      <c r="AQ102" s="1813"/>
      <c r="AR102" s="1813"/>
      <c r="AS102" s="1813"/>
      <c r="AT102" s="1813"/>
    </row>
    <row r="103" spans="3:46" ht="15.75" thickBot="1">
      <c r="C103" s="1828" t="s">
        <v>1868</v>
      </c>
      <c r="D103" s="1820">
        <f ca="1">SUM(E103:AT103)</f>
        <v>4184548601.2853832</v>
      </c>
      <c r="E103" s="1813">
        <f ca="1">E102*E99</f>
        <v>-715288869.70235205</v>
      </c>
      <c r="F103" s="1813">
        <f t="shared" ref="F103:AH103" ca="1" si="32">F102*F99</f>
        <v>-540439218.88523328</v>
      </c>
      <c r="G103" s="1813">
        <f t="shared" ca="1" si="32"/>
        <v>420390560.55671936</v>
      </c>
      <c r="H103" s="1813">
        <f t="shared" ca="1" si="32"/>
        <v>145887915.70236108</v>
      </c>
      <c r="I103" s="1813">
        <f t="shared" ca="1" si="32"/>
        <v>200408002.74272352</v>
      </c>
      <c r="J103" s="1813">
        <f t="shared" ca="1" si="32"/>
        <v>294361408.30756319</v>
      </c>
      <c r="K103" s="1813">
        <f t="shared" ca="1" si="32"/>
        <v>300101657.41710728</v>
      </c>
      <c r="L103" s="1813">
        <f t="shared" ca="1" si="32"/>
        <v>294811652.21512306</v>
      </c>
      <c r="M103" s="1813">
        <f t="shared" ca="1" si="32"/>
        <v>286221421.95131606</v>
      </c>
      <c r="N103" s="1813">
        <f t="shared" ca="1" si="32"/>
        <v>343419996.7876038</v>
      </c>
      <c r="O103" s="1813">
        <f t="shared" ca="1" si="32"/>
        <v>440747945.02450156</v>
      </c>
      <c r="P103" s="1813">
        <f t="shared" ca="1" si="32"/>
        <v>400313062.68536806</v>
      </c>
      <c r="Q103" s="1813">
        <f t="shared" ca="1" si="32"/>
        <v>363551486.26649058</v>
      </c>
      <c r="R103" s="1813">
        <f t="shared" ca="1" si="32"/>
        <v>330194218.00885975</v>
      </c>
      <c r="S103" s="1813">
        <f t="shared" ca="1" si="32"/>
        <v>299858742.00847638</v>
      </c>
      <c r="T103" s="1813">
        <f t="shared" ca="1" si="32"/>
        <v>178614277.80212161</v>
      </c>
      <c r="U103" s="1813">
        <f t="shared" ca="1" si="32"/>
        <v>158209254.85645324</v>
      </c>
      <c r="V103" s="1813">
        <f t="shared" ca="1" si="32"/>
        <v>140380267.53579816</v>
      </c>
      <c r="W103" s="1813">
        <f t="shared" ca="1" si="32"/>
        <v>124534208.91668862</v>
      </c>
      <c r="X103" s="1813">
        <f t="shared" ca="1" si="32"/>
        <v>110508590.82601604</v>
      </c>
      <c r="Y103" s="1813">
        <f t="shared" ca="1" si="32"/>
        <v>98062882.160527751</v>
      </c>
      <c r="Z103" s="1813">
        <f t="shared" ca="1" si="32"/>
        <v>87032385.370951384</v>
      </c>
      <c r="AA103" s="1813">
        <f t="shared" ca="1" si="32"/>
        <v>77224288.258916408</v>
      </c>
      <c r="AB103" s="1813">
        <f t="shared" ca="1" si="32"/>
        <v>68541247.004209727</v>
      </c>
      <c r="AC103" s="1813">
        <f t="shared" ca="1" si="32"/>
        <v>60830317.700218357</v>
      </c>
      <c r="AD103" s="1813">
        <f t="shared" ca="1" si="32"/>
        <v>53992290.202248134</v>
      </c>
      <c r="AE103" s="1813">
        <f t="shared" ca="1" si="32"/>
        <v>47909296.742758594</v>
      </c>
      <c r="AF103" s="1813">
        <f t="shared" ca="1" si="32"/>
        <v>42522363.694533519</v>
      </c>
      <c r="AG103" s="1813">
        <f t="shared" ca="1" si="32"/>
        <v>37889418.013885222</v>
      </c>
      <c r="AH103" s="1813">
        <f t="shared" ca="1" si="32"/>
        <v>33757531.113429628</v>
      </c>
      <c r="AI103" s="1813"/>
      <c r="AJ103" s="1813"/>
      <c r="AK103" s="1813"/>
      <c r="AL103" s="1813"/>
      <c r="AM103" s="1813"/>
      <c r="AN103" s="1813"/>
      <c r="AO103" s="1813"/>
      <c r="AP103" s="1813"/>
      <c r="AQ103" s="1813"/>
      <c r="AR103" s="1813"/>
      <c r="AS103" s="1813"/>
      <c r="AT103" s="1813"/>
    </row>
    <row r="104" spans="3:46">
      <c r="C104" s="1818" t="s">
        <v>1854</v>
      </c>
      <c r="D104" s="1762"/>
    </row>
    <row r="105" spans="3:46">
      <c r="C105" s="1780" t="s">
        <v>1879</v>
      </c>
      <c r="D105" s="1823">
        <f ca="1">AH101</f>
        <v>1755999789.3863444</v>
      </c>
    </row>
    <row r="106" spans="3:46">
      <c r="C106" s="1782" t="s">
        <v>1856</v>
      </c>
      <c r="D106" s="1772">
        <v>0.12164856310679609</v>
      </c>
    </row>
    <row r="107" spans="3:46">
      <c r="C107" s="1783" t="s">
        <v>2086</v>
      </c>
      <c r="D107" s="1824">
        <f ca="1">D105/D106</f>
        <v>14435022860.440535</v>
      </c>
    </row>
    <row r="108" spans="3:46">
      <c r="C108" s="1783" t="s">
        <v>1858</v>
      </c>
      <c r="D108" s="2174">
        <f>(1+Cost_of_Equity)^(1-AS97)</f>
        <v>2.4330624049426685E-3</v>
      </c>
    </row>
    <row r="109" spans="3:46">
      <c r="C109" s="1783" t="s">
        <v>1859</v>
      </c>
      <c r="D109" s="2169">
        <f ca="1">D107*D108</f>
        <v>35121311.436225846</v>
      </c>
    </row>
    <row r="110" spans="3:46">
      <c r="C110" s="1785" t="s">
        <v>1880</v>
      </c>
      <c r="D110" s="2170">
        <f ca="1">D103+D109</f>
        <v>4219669912.7216091</v>
      </c>
    </row>
    <row r="111" spans="3:46" ht="15.75" thickBot="1">
      <c r="C111" s="1786" t="s">
        <v>1881</v>
      </c>
      <c r="D111" s="2171">
        <f ca="1">IRR(E102:AS102)</f>
        <v>0.39596746177121789</v>
      </c>
    </row>
    <row r="112" spans="3:46" ht="15.75" thickBot="1">
      <c r="C112" s="1786" t="s">
        <v>1957</v>
      </c>
      <c r="D112" s="2173">
        <f ca="1">MIRR(D103:AS103,0.09,Cost_of_Equity)</f>
        <v>0.22549476606150898</v>
      </c>
    </row>
    <row r="113" spans="3:46">
      <c r="E113" s="1742">
        <v>1</v>
      </c>
      <c r="F113" s="1742">
        <v>365</v>
      </c>
    </row>
    <row r="115" spans="3:46">
      <c r="C115" s="1836" t="s">
        <v>1888</v>
      </c>
    </row>
    <row r="116" spans="3:46">
      <c r="C116" s="1742" t="s">
        <v>1885</v>
      </c>
      <c r="D116" s="1837">
        <f ca="1">SUM(E116:AS116)</f>
        <v>32828492528.391495</v>
      </c>
      <c r="E116" s="1837">
        <f ca="1">E41</f>
        <v>-715288869.70235205</v>
      </c>
      <c r="F116" s="1837">
        <f t="shared" ref="F116:AT116" ca="1" si="33">F41</f>
        <v>-2523735208.4076042</v>
      </c>
      <c r="G116" s="1837">
        <f t="shared" ca="1" si="33"/>
        <v>-434777439.54730487</v>
      </c>
      <c r="H116" s="1837">
        <f t="shared" ca="1" si="33"/>
        <v>852333828.06435716</v>
      </c>
      <c r="I116" s="1837">
        <f t="shared" ca="1" si="33"/>
        <v>959182122.12778389</v>
      </c>
      <c r="J116" s="1837">
        <f t="shared" ca="1" si="33"/>
        <v>1028677301.9977953</v>
      </c>
      <c r="K116" s="1837">
        <f t="shared" ca="1" si="33"/>
        <v>1096145550.1698675</v>
      </c>
      <c r="L116" s="1837">
        <f t="shared" ca="1" si="33"/>
        <v>1153487405.8072708</v>
      </c>
      <c r="M116" s="1837">
        <f t="shared" ca="1" si="33"/>
        <v>1214088585.8833632</v>
      </c>
      <c r="N116" s="1837">
        <f t="shared" ca="1" si="33"/>
        <v>1278367613.0288324</v>
      </c>
      <c r="O116" s="1837">
        <f t="shared" ca="1" si="33"/>
        <v>1346081964.7759006</v>
      </c>
      <c r="P116" s="1837">
        <f t="shared" ca="1" si="33"/>
        <v>1418167185.6789243</v>
      </c>
      <c r="Q116" s="1837">
        <f t="shared" ca="1" si="33"/>
        <v>1494397392.1525569</v>
      </c>
      <c r="R116" s="1837">
        <f t="shared" ca="1" si="33"/>
        <v>1575293925.2732542</v>
      </c>
      <c r="S116" s="1837">
        <f t="shared" ca="1" si="33"/>
        <v>1660580626.0936074</v>
      </c>
      <c r="T116" s="1837">
        <f t="shared" ca="1" si="33"/>
        <v>1142572120.4972587</v>
      </c>
      <c r="U116" s="1837">
        <f t="shared" ca="1" si="33"/>
        <v>1176176265.4137166</v>
      </c>
      <c r="V116" s="1837">
        <f t="shared" ca="1" si="33"/>
        <v>1213375932.5642974</v>
      </c>
      <c r="W116" s="1837">
        <f t="shared" ca="1" si="33"/>
        <v>1251205798.0187428</v>
      </c>
      <c r="X116" s="1837">
        <f t="shared" ca="1" si="33"/>
        <v>1290700173.6952837</v>
      </c>
      <c r="Y116" s="1837">
        <f t="shared" ca="1" si="33"/>
        <v>1331218671.6615601</v>
      </c>
      <c r="Z116" s="1837">
        <f t="shared" ca="1" si="33"/>
        <v>1373159973.6638682</v>
      </c>
      <c r="AA116" s="1837">
        <f t="shared" ca="1" si="33"/>
        <v>1415785924.6481209</v>
      </c>
      <c r="AB116" s="1837">
        <f t="shared" ca="1" si="33"/>
        <v>1460310356.5277343</v>
      </c>
      <c r="AC116" s="1837">
        <f t="shared" ca="1" si="33"/>
        <v>1505981224.4160945</v>
      </c>
      <c r="AD116" s="1837">
        <f t="shared" ca="1" si="33"/>
        <v>1553262298.8147156</v>
      </c>
      <c r="AE116" s="1837">
        <f t="shared" ca="1" si="33"/>
        <v>1601294104.8952236</v>
      </c>
      <c r="AF116" s="1837">
        <f t="shared" ca="1" si="33"/>
        <v>1651485671.924247</v>
      </c>
      <c r="AG116" s="1837">
        <f t="shared" ca="1" si="33"/>
        <v>1702962238.8680339</v>
      </c>
      <c r="AH116" s="1837">
        <f t="shared" ca="1" si="33"/>
        <v>1755999789.3863444</v>
      </c>
      <c r="AI116" s="1837">
        <f t="shared" si="33"/>
        <v>0</v>
      </c>
      <c r="AJ116" s="1837">
        <f t="shared" si="33"/>
        <v>0</v>
      </c>
      <c r="AK116" s="1837">
        <f t="shared" si="33"/>
        <v>0</v>
      </c>
      <c r="AL116" s="1837">
        <f t="shared" si="33"/>
        <v>0</v>
      </c>
      <c r="AM116" s="1837">
        <f t="shared" si="33"/>
        <v>0</v>
      </c>
      <c r="AN116" s="1837">
        <f t="shared" si="33"/>
        <v>0</v>
      </c>
      <c r="AO116" s="1837">
        <f t="shared" si="33"/>
        <v>0</v>
      </c>
      <c r="AP116" s="1837">
        <f t="shared" si="33"/>
        <v>0</v>
      </c>
      <c r="AQ116" s="1837">
        <f t="shared" si="33"/>
        <v>0</v>
      </c>
      <c r="AR116" s="1837">
        <f t="shared" si="33"/>
        <v>0</v>
      </c>
      <c r="AS116" s="1837">
        <f t="shared" si="33"/>
        <v>0</v>
      </c>
      <c r="AT116" s="1837">
        <f t="shared" si="33"/>
        <v>0</v>
      </c>
    </row>
    <row r="117" spans="3:46" s="1848" customFormat="1" ht="15.75" thickBot="1">
      <c r="C117" s="1848" t="s">
        <v>1884</v>
      </c>
      <c r="D117" s="1849">
        <f ca="1">SUM(E117:AS117)</f>
        <v>727603922432.06128</v>
      </c>
      <c r="E117" s="1849">
        <f ca="1">SUM($E$116:E116)</f>
        <v>-715288869.70235205</v>
      </c>
      <c r="F117" s="1849">
        <f ca="1">SUM($E$116:F116)</f>
        <v>-3239024078.1099563</v>
      </c>
      <c r="G117" s="1849">
        <f ca="1">SUM($E$116:G116)</f>
        <v>-3673801517.6572609</v>
      </c>
      <c r="H117" s="1849">
        <f ca="1">SUM($E$116:H116)</f>
        <v>-2821467689.5929036</v>
      </c>
      <c r="I117" s="1849">
        <f ca="1">SUM($E$116:I116)</f>
        <v>-1862285567.4651198</v>
      </c>
      <c r="J117" s="1849">
        <f ca="1">SUM($E$116:J116)</f>
        <v>-833608265.4673245</v>
      </c>
      <c r="K117" s="1849">
        <f ca="1">SUM($E$116:K116)</f>
        <v>262537284.70254302</v>
      </c>
      <c r="L117" s="1849">
        <f ca="1">SUM($E$116:L116)</f>
        <v>1416024690.5098138</v>
      </c>
      <c r="M117" s="1849">
        <f ca="1">SUM($E$116:M116)</f>
        <v>2630113276.393177</v>
      </c>
      <c r="N117" s="1849">
        <f ca="1">SUM($E$116:N116)</f>
        <v>3908480889.4220095</v>
      </c>
      <c r="O117" s="1849">
        <f ca="1">SUM($E$116:O116)</f>
        <v>5254562854.1979103</v>
      </c>
      <c r="P117" s="1849">
        <f ca="1">SUM($E$116:P116)</f>
        <v>6672730039.8768349</v>
      </c>
      <c r="Q117" s="1849">
        <f ca="1">SUM($E$116:Q116)</f>
        <v>8167127432.0293922</v>
      </c>
      <c r="R117" s="1849">
        <f ca="1">SUM($E$116:R116)</f>
        <v>9742421357.3026466</v>
      </c>
      <c r="S117" s="1849">
        <f ca="1">SUM($E$116:S116)</f>
        <v>11403001983.396254</v>
      </c>
      <c r="T117" s="1849">
        <f ca="1">SUM($E$116:T116)</f>
        <v>12545574103.893513</v>
      </c>
      <c r="U117" s="1849">
        <f ca="1">SUM($E$116:U116)</f>
        <v>13721750369.30723</v>
      </c>
      <c r="V117" s="1849">
        <f ca="1">SUM($E$116:V116)</f>
        <v>14935126301.871527</v>
      </c>
      <c r="W117" s="1849">
        <f ca="1">SUM($E$116:W116)</f>
        <v>16186332099.89027</v>
      </c>
      <c r="X117" s="1849">
        <f ca="1">SUM($E$116:X116)</f>
        <v>17477032273.585552</v>
      </c>
      <c r="Y117" s="1849">
        <f ca="1">SUM($E$116:Y116)</f>
        <v>18808250945.247112</v>
      </c>
      <c r="Z117" s="1849">
        <f ca="1">SUM($E$116:Z116)</f>
        <v>20181410918.91098</v>
      </c>
      <c r="AA117" s="1849">
        <f ca="1">SUM($E$116:AA116)</f>
        <v>21597196843.559101</v>
      </c>
      <c r="AB117" s="1849">
        <f ca="1">SUM($E$116:AB116)</f>
        <v>23057507200.086834</v>
      </c>
      <c r="AC117" s="1849">
        <f ca="1">SUM($E$116:AC116)</f>
        <v>24563488424.50293</v>
      </c>
      <c r="AD117" s="1849">
        <f ca="1">SUM($E$116:AD116)</f>
        <v>26116750723.317646</v>
      </c>
      <c r="AE117" s="1849">
        <f ca="1">SUM($E$116:AE116)</f>
        <v>27718044828.212868</v>
      </c>
      <c r="AF117" s="1849">
        <f ca="1">SUM($E$116:AF116)</f>
        <v>29369530500.137115</v>
      </c>
      <c r="AG117" s="1849">
        <f ca="1">SUM($E$116:AG116)</f>
        <v>31072492739.00515</v>
      </c>
      <c r="AH117" s="1849">
        <f ca="1">SUM($E$116:AH116)</f>
        <v>32828492528.391495</v>
      </c>
      <c r="AI117" s="1849">
        <f ca="1">SUM($E$116:AI116)</f>
        <v>32828492528.391495</v>
      </c>
      <c r="AJ117" s="1849">
        <f ca="1">SUM($E$116:AJ116)</f>
        <v>32828492528.391495</v>
      </c>
      <c r="AK117" s="1849">
        <f ca="1">SUM($E$116:AK116)</f>
        <v>32828492528.391495</v>
      </c>
      <c r="AL117" s="1849">
        <f ca="1">SUM($E$116:AL116)</f>
        <v>32828492528.391495</v>
      </c>
      <c r="AM117" s="1849">
        <f ca="1">SUM($E$116:AM116)</f>
        <v>32828492528.391495</v>
      </c>
      <c r="AN117" s="1849">
        <f ca="1">SUM($E$116:AN116)</f>
        <v>32828492528.391495</v>
      </c>
      <c r="AO117" s="1849">
        <f ca="1">SUM($E$116:AO116)</f>
        <v>32828492528.391495</v>
      </c>
      <c r="AP117" s="1849">
        <f ca="1">SUM($E$116:AP116)</f>
        <v>32828492528.391495</v>
      </c>
      <c r="AQ117" s="1849">
        <f ca="1">SUM($E$116:AQ116)</f>
        <v>32828492528.391495</v>
      </c>
      <c r="AR117" s="1849">
        <f ca="1">SUM($E$116:AR116)</f>
        <v>32828492528.391495</v>
      </c>
      <c r="AS117" s="1849">
        <f ca="1">SUM($E$116:AS116)</f>
        <v>32828492528.391495</v>
      </c>
    </row>
    <row r="118" spans="3:46" s="1852" customFormat="1" ht="15.75" thickBot="1">
      <c r="C118" s="1839" t="s">
        <v>1270</v>
      </c>
      <c r="D118" s="1847">
        <f ca="1">MATCH(0,E117:AS117,1)+SUM(E118:AS118)</f>
        <v>6.7604904890031641</v>
      </c>
      <c r="E118" s="1852">
        <f ca="1">ABS(IF(AND(E117&lt;0,F117&gt;0),E117/F116,0))</f>
        <v>0</v>
      </c>
      <c r="F118" s="1852">
        <f t="shared" ref="F118:N118" ca="1" si="34">ABS(IF(AND(F117&lt;0,G117&gt;0),F117/G116,0))</f>
        <v>0</v>
      </c>
      <c r="G118" s="1852">
        <f t="shared" ca="1" si="34"/>
        <v>0</v>
      </c>
      <c r="H118" s="1852">
        <f t="shared" ca="1" si="34"/>
        <v>0</v>
      </c>
      <c r="I118" s="1852">
        <f t="shared" ca="1" si="34"/>
        <v>0</v>
      </c>
      <c r="J118" s="1852">
        <f t="shared" ca="1" si="34"/>
        <v>0.76049048900316374</v>
      </c>
      <c r="K118" s="1852">
        <f t="shared" ca="1" si="34"/>
        <v>0</v>
      </c>
      <c r="L118" s="1852">
        <f t="shared" ca="1" si="34"/>
        <v>0</v>
      </c>
      <c r="M118" s="1852">
        <f t="shared" ca="1" si="34"/>
        <v>0</v>
      </c>
      <c r="N118" s="1852">
        <f t="shared" ca="1" si="34"/>
        <v>0</v>
      </c>
      <c r="O118" s="1852">
        <f t="shared" ref="O118:AS118" ca="1" si="35">ABS(IF(AND(O117&lt;0,P117&gt;0),O117/P116,0))</f>
        <v>0</v>
      </c>
      <c r="P118" s="1852">
        <f t="shared" ca="1" si="35"/>
        <v>0</v>
      </c>
      <c r="Q118" s="1852">
        <f t="shared" ca="1" si="35"/>
        <v>0</v>
      </c>
      <c r="R118" s="1852">
        <f t="shared" ca="1" si="35"/>
        <v>0</v>
      </c>
      <c r="S118" s="1852">
        <f t="shared" ca="1" si="35"/>
        <v>0</v>
      </c>
      <c r="T118" s="1852">
        <f t="shared" ca="1" si="35"/>
        <v>0</v>
      </c>
      <c r="U118" s="1852">
        <f t="shared" ca="1" si="35"/>
        <v>0</v>
      </c>
      <c r="V118" s="1852">
        <f t="shared" ca="1" si="35"/>
        <v>0</v>
      </c>
      <c r="W118" s="1852">
        <f t="shared" ca="1" si="35"/>
        <v>0</v>
      </c>
      <c r="X118" s="1852">
        <f t="shared" ca="1" si="35"/>
        <v>0</v>
      </c>
      <c r="Y118" s="1852">
        <f t="shared" ca="1" si="35"/>
        <v>0</v>
      </c>
      <c r="Z118" s="1852">
        <f t="shared" ca="1" si="35"/>
        <v>0</v>
      </c>
      <c r="AA118" s="1852">
        <f t="shared" ca="1" si="35"/>
        <v>0</v>
      </c>
      <c r="AB118" s="1852">
        <f t="shared" ca="1" si="35"/>
        <v>0</v>
      </c>
      <c r="AC118" s="1852">
        <f t="shared" ca="1" si="35"/>
        <v>0</v>
      </c>
      <c r="AD118" s="1852">
        <f t="shared" ca="1" si="35"/>
        <v>0</v>
      </c>
      <c r="AE118" s="1852">
        <f t="shared" ca="1" si="35"/>
        <v>0</v>
      </c>
      <c r="AF118" s="1852">
        <f t="shared" ca="1" si="35"/>
        <v>0</v>
      </c>
      <c r="AG118" s="1852">
        <f t="shared" ca="1" si="35"/>
        <v>0</v>
      </c>
      <c r="AH118" s="1852">
        <f t="shared" ca="1" si="35"/>
        <v>0</v>
      </c>
      <c r="AI118" s="1852">
        <f t="shared" ca="1" si="35"/>
        <v>0</v>
      </c>
      <c r="AJ118" s="1852">
        <f t="shared" ca="1" si="35"/>
        <v>0</v>
      </c>
      <c r="AK118" s="1852">
        <f t="shared" ca="1" si="35"/>
        <v>0</v>
      </c>
      <c r="AL118" s="1852">
        <f t="shared" ca="1" si="35"/>
        <v>0</v>
      </c>
      <c r="AM118" s="1852">
        <f t="shared" ca="1" si="35"/>
        <v>0</v>
      </c>
      <c r="AN118" s="1852">
        <f t="shared" ca="1" si="35"/>
        <v>0</v>
      </c>
      <c r="AO118" s="1852">
        <f t="shared" ca="1" si="35"/>
        <v>0</v>
      </c>
      <c r="AP118" s="1852">
        <f t="shared" ca="1" si="35"/>
        <v>0</v>
      </c>
      <c r="AQ118" s="1852">
        <f t="shared" ca="1" si="35"/>
        <v>0</v>
      </c>
      <c r="AR118" s="1852">
        <f t="shared" ca="1" si="35"/>
        <v>0</v>
      </c>
      <c r="AS118" s="1852">
        <f t="shared" ca="1" si="35"/>
        <v>0</v>
      </c>
    </row>
    <row r="119" spans="3:46" s="1850" customFormat="1">
      <c r="D119" s="1851"/>
      <c r="E119" s="1851"/>
      <c r="F119" s="1851"/>
      <c r="G119" s="1851"/>
      <c r="H119" s="1851"/>
      <c r="I119" s="1851"/>
      <c r="J119" s="1851"/>
      <c r="K119" s="1851"/>
      <c r="L119" s="1851"/>
      <c r="M119" s="1851"/>
      <c r="N119" s="1851"/>
      <c r="O119" s="1851"/>
      <c r="P119" s="1851"/>
      <c r="Q119" s="1851"/>
      <c r="R119" s="1851"/>
      <c r="S119" s="1851"/>
      <c r="T119" s="1851"/>
      <c r="U119" s="1851"/>
      <c r="V119" s="1851"/>
      <c r="W119" s="1851"/>
      <c r="X119" s="1851"/>
      <c r="Y119" s="1851"/>
      <c r="Z119" s="1851"/>
      <c r="AA119" s="1851"/>
      <c r="AB119" s="1851"/>
      <c r="AC119" s="1851"/>
      <c r="AD119" s="1851"/>
      <c r="AE119" s="1851"/>
      <c r="AF119" s="1851"/>
      <c r="AG119" s="1851"/>
      <c r="AH119" s="1851"/>
      <c r="AI119" s="1851"/>
      <c r="AJ119" s="1851"/>
      <c r="AK119" s="1851"/>
      <c r="AL119" s="1851"/>
      <c r="AM119" s="1851"/>
      <c r="AN119" s="1851"/>
      <c r="AO119" s="1851"/>
      <c r="AP119" s="1851"/>
      <c r="AQ119" s="1851"/>
      <c r="AR119" s="1851"/>
      <c r="AS119" s="1851"/>
    </row>
    <row r="120" spans="3:46">
      <c r="E120" s="1838">
        <f t="shared" ref="E120:AS120" ca="1" si="36">COUNTIF(E117:AS117,"&lt;0")</f>
        <v>6</v>
      </c>
      <c r="F120" s="1838">
        <f t="shared" ca="1" si="36"/>
        <v>5</v>
      </c>
      <c r="G120" s="1838">
        <f t="shared" ca="1" si="36"/>
        <v>4</v>
      </c>
      <c r="H120" s="1838">
        <f t="shared" ca="1" si="36"/>
        <v>3</v>
      </c>
      <c r="I120" s="1838">
        <f t="shared" ca="1" si="36"/>
        <v>2</v>
      </c>
      <c r="J120" s="1838">
        <f t="shared" ca="1" si="36"/>
        <v>1</v>
      </c>
      <c r="K120" s="1838">
        <f t="shared" ca="1" si="36"/>
        <v>0</v>
      </c>
      <c r="L120" s="1838">
        <f t="shared" ca="1" si="36"/>
        <v>0</v>
      </c>
      <c r="M120" s="1838">
        <f t="shared" ca="1" si="36"/>
        <v>0</v>
      </c>
      <c r="N120" s="1838">
        <f t="shared" ca="1" si="36"/>
        <v>0</v>
      </c>
      <c r="O120" s="1838">
        <f t="shared" ca="1" si="36"/>
        <v>0</v>
      </c>
      <c r="P120" s="1838">
        <f t="shared" ca="1" si="36"/>
        <v>0</v>
      </c>
      <c r="Q120" s="1838">
        <f t="shared" ca="1" si="36"/>
        <v>0</v>
      </c>
      <c r="R120" s="1838">
        <f t="shared" ca="1" si="36"/>
        <v>0</v>
      </c>
      <c r="S120" s="1838">
        <f t="shared" ca="1" si="36"/>
        <v>0</v>
      </c>
      <c r="T120" s="1838">
        <f t="shared" ca="1" si="36"/>
        <v>0</v>
      </c>
      <c r="U120" s="1838">
        <f t="shared" ca="1" si="36"/>
        <v>0</v>
      </c>
      <c r="V120" s="1838">
        <f t="shared" ca="1" si="36"/>
        <v>0</v>
      </c>
      <c r="W120" s="1838">
        <f t="shared" ca="1" si="36"/>
        <v>0</v>
      </c>
      <c r="X120" s="1838">
        <f t="shared" ca="1" si="36"/>
        <v>0</v>
      </c>
      <c r="Y120" s="1838">
        <f t="shared" ca="1" si="36"/>
        <v>0</v>
      </c>
      <c r="Z120" s="1838">
        <f t="shared" ca="1" si="36"/>
        <v>0</v>
      </c>
      <c r="AA120" s="1838">
        <f t="shared" ca="1" si="36"/>
        <v>0</v>
      </c>
      <c r="AB120" s="1838">
        <f t="shared" ca="1" si="36"/>
        <v>0</v>
      </c>
      <c r="AC120" s="1838">
        <f t="shared" ca="1" si="36"/>
        <v>0</v>
      </c>
      <c r="AD120" s="1838">
        <f t="shared" ca="1" si="36"/>
        <v>0</v>
      </c>
      <c r="AE120" s="1838">
        <f t="shared" ca="1" si="36"/>
        <v>0</v>
      </c>
      <c r="AF120" s="1838">
        <f t="shared" ca="1" si="36"/>
        <v>0</v>
      </c>
      <c r="AG120" s="1838">
        <f t="shared" ca="1" si="36"/>
        <v>0</v>
      </c>
      <c r="AH120" s="1838">
        <f t="shared" ca="1" si="36"/>
        <v>0</v>
      </c>
      <c r="AI120" s="1838">
        <f t="shared" ca="1" si="36"/>
        <v>0</v>
      </c>
      <c r="AJ120" s="1838">
        <f t="shared" ca="1" si="36"/>
        <v>0</v>
      </c>
      <c r="AK120" s="1838">
        <f t="shared" ca="1" si="36"/>
        <v>0</v>
      </c>
      <c r="AL120" s="1838">
        <f t="shared" ca="1" si="36"/>
        <v>0</v>
      </c>
      <c r="AM120" s="1838">
        <f t="shared" ca="1" si="36"/>
        <v>0</v>
      </c>
      <c r="AN120" s="1838">
        <f t="shared" ca="1" si="36"/>
        <v>0</v>
      </c>
      <c r="AO120" s="1838">
        <f t="shared" ca="1" si="36"/>
        <v>0</v>
      </c>
      <c r="AP120" s="1838">
        <f t="shared" ca="1" si="36"/>
        <v>0</v>
      </c>
      <c r="AQ120" s="1838">
        <f t="shared" ca="1" si="36"/>
        <v>0</v>
      </c>
      <c r="AR120" s="1838">
        <f t="shared" ca="1" si="36"/>
        <v>0</v>
      </c>
      <c r="AS120" s="1838">
        <f t="shared" ca="1" si="36"/>
        <v>0</v>
      </c>
    </row>
    <row r="121" spans="3:46">
      <c r="C121" s="1842"/>
      <c r="D121" s="1845"/>
      <c r="F121" s="1838"/>
      <c r="G121" s="1838"/>
      <c r="H121" s="1838"/>
      <c r="I121" s="1838"/>
      <c r="J121" s="1838"/>
      <c r="K121" s="1838"/>
      <c r="L121" s="1838"/>
      <c r="M121" s="1838"/>
      <c r="N121" s="1838"/>
      <c r="O121" s="1838"/>
      <c r="P121" s="1838"/>
      <c r="Q121" s="1838"/>
      <c r="R121" s="1838"/>
      <c r="S121" s="1838"/>
      <c r="T121" s="1838"/>
      <c r="U121" s="1838"/>
      <c r="V121" s="1838"/>
      <c r="W121" s="1838"/>
      <c r="X121" s="1838"/>
      <c r="Y121" s="1838"/>
      <c r="Z121" s="1838"/>
      <c r="AA121" s="1838"/>
      <c r="AB121" s="1838"/>
      <c r="AC121" s="1838"/>
      <c r="AD121" s="1838"/>
      <c r="AE121" s="1838"/>
      <c r="AF121" s="1838"/>
      <c r="AG121" s="1838"/>
      <c r="AH121" s="1838"/>
      <c r="AI121" s="1838"/>
      <c r="AJ121" s="1838"/>
      <c r="AK121" s="1838"/>
      <c r="AL121" s="1838"/>
      <c r="AM121" s="1838"/>
      <c r="AN121" s="1838"/>
      <c r="AO121" s="1838"/>
      <c r="AP121" s="1838"/>
      <c r="AQ121" s="1838"/>
      <c r="AR121" s="1838"/>
      <c r="AS121" s="1838"/>
    </row>
    <row r="122" spans="3:46">
      <c r="C122" s="1845"/>
      <c r="D122" s="1843"/>
      <c r="E122" s="1838"/>
      <c r="F122" s="1838"/>
      <c r="G122" s="1838"/>
      <c r="H122" s="1838"/>
      <c r="I122" s="1838"/>
      <c r="J122" s="1838"/>
      <c r="K122" s="1838"/>
      <c r="L122" s="1838"/>
      <c r="M122" s="1838"/>
      <c r="N122" s="1838"/>
      <c r="O122" s="1838"/>
      <c r="P122" s="1838"/>
      <c r="Q122" s="1838"/>
      <c r="R122" s="1838"/>
      <c r="S122" s="1838"/>
      <c r="T122" s="1838"/>
      <c r="U122" s="1838"/>
      <c r="V122" s="1838"/>
      <c r="W122" s="1838"/>
      <c r="X122" s="1838"/>
      <c r="Y122" s="1838"/>
      <c r="Z122" s="1838"/>
      <c r="AA122" s="1838"/>
      <c r="AB122" s="1838"/>
      <c r="AC122" s="1838"/>
      <c r="AD122" s="1838"/>
      <c r="AE122" s="1838"/>
      <c r="AF122" s="1838"/>
      <c r="AG122" s="1838"/>
      <c r="AH122" s="1838"/>
      <c r="AI122" s="1838"/>
      <c r="AJ122" s="1838"/>
      <c r="AK122" s="1838"/>
      <c r="AL122" s="1838"/>
      <c r="AM122" s="1838"/>
      <c r="AN122" s="1838"/>
      <c r="AO122" s="1838"/>
      <c r="AP122" s="1838"/>
      <c r="AQ122" s="1838"/>
      <c r="AR122" s="1838"/>
      <c r="AS122" s="1838"/>
    </row>
    <row r="123" spans="3:46">
      <c r="C123" s="1842"/>
      <c r="D123" s="1843"/>
      <c r="E123" s="1838"/>
      <c r="F123" s="1838"/>
      <c r="G123" s="1838"/>
      <c r="H123" s="1838"/>
      <c r="I123" s="1838"/>
      <c r="J123" s="1838"/>
      <c r="K123" s="1838"/>
      <c r="L123" s="1838"/>
      <c r="M123" s="1838"/>
      <c r="N123" s="1838"/>
      <c r="O123" s="1838"/>
      <c r="P123" s="1838"/>
      <c r="Q123" s="1838"/>
      <c r="R123" s="1838"/>
      <c r="S123" s="1838"/>
      <c r="T123" s="1838"/>
      <c r="U123" s="1838"/>
      <c r="V123" s="1838"/>
      <c r="W123" s="1838"/>
      <c r="X123" s="1838"/>
      <c r="Y123" s="1838"/>
      <c r="Z123" s="1838"/>
      <c r="AA123" s="1838"/>
      <c r="AB123" s="1838"/>
      <c r="AC123" s="1838"/>
      <c r="AD123" s="1838"/>
      <c r="AE123" s="1838"/>
      <c r="AF123" s="1838"/>
      <c r="AG123" s="1838"/>
      <c r="AH123" s="1838"/>
      <c r="AI123" s="1838"/>
      <c r="AJ123" s="1838"/>
      <c r="AK123" s="1838"/>
      <c r="AL123" s="1838"/>
      <c r="AM123" s="1838"/>
      <c r="AN123" s="1838"/>
      <c r="AO123" s="1838"/>
      <c r="AP123" s="1838"/>
      <c r="AQ123" s="1838"/>
      <c r="AR123" s="1838"/>
      <c r="AS123" s="1838"/>
    </row>
    <row r="125" spans="3:46">
      <c r="C125" s="1742" t="s">
        <v>1887</v>
      </c>
      <c r="D125" s="1841"/>
      <c r="E125" s="1837">
        <f ca="1">E84</f>
        <v>-715288869.70235205</v>
      </c>
      <c r="F125" s="1837">
        <f t="shared" ref="F125:AS125" ca="1" si="37">F84</f>
        <v>-2523735208.4076042</v>
      </c>
      <c r="G125" s="1837">
        <f t="shared" ca="1" si="37"/>
        <v>-434777439.54730487</v>
      </c>
      <c r="H125" s="1837">
        <f t="shared" ca="1" si="37"/>
        <v>852333828.06435716</v>
      </c>
      <c r="I125" s="1837">
        <f t="shared" ca="1" si="37"/>
        <v>959182122.12778389</v>
      </c>
      <c r="J125" s="1837">
        <f t="shared" ca="1" si="37"/>
        <v>1187659070.5058947</v>
      </c>
      <c r="K125" s="1837">
        <f t="shared" ca="1" si="37"/>
        <v>1274092859.5480428</v>
      </c>
      <c r="L125" s="1837">
        <f t="shared" ca="1" si="37"/>
        <v>1348906242.7840858</v>
      </c>
      <c r="M125" s="1837">
        <f t="shared" ca="1" si="37"/>
        <v>1427639495.0266962</v>
      </c>
      <c r="N125" s="1837">
        <f t="shared" ca="1" si="37"/>
        <v>1774119088.8655891</v>
      </c>
      <c r="O125" s="1837">
        <f t="shared" ca="1" si="37"/>
        <v>1984504024.8177423</v>
      </c>
      <c r="P125" s="1837">
        <f t="shared" ca="1" si="37"/>
        <v>2095113805.6585805</v>
      </c>
      <c r="Q125" s="1837">
        <f t="shared" ca="1" si="37"/>
        <v>2211668079.9930611</v>
      </c>
      <c r="R125" s="1837">
        <f t="shared" ca="1" si="37"/>
        <v>2334907383.2420597</v>
      </c>
      <c r="S125" s="1837">
        <f t="shared" ca="1" si="37"/>
        <v>2464694397.0630069</v>
      </c>
      <c r="T125" s="1837">
        <f t="shared" ca="1" si="37"/>
        <v>1706509474.6846976</v>
      </c>
      <c r="U125" s="1837">
        <f t="shared" ca="1" si="37"/>
        <v>1756995243.5895519</v>
      </c>
      <c r="V125" s="1837">
        <f t="shared" ca="1" si="37"/>
        <v>1812136613.8220806</v>
      </c>
      <c r="W125" s="1837">
        <f t="shared" ca="1" si="37"/>
        <v>1868614457.370687</v>
      </c>
      <c r="X125" s="1837">
        <f t="shared" ca="1" si="37"/>
        <v>1927406183.9992604</v>
      </c>
      <c r="Y125" s="1837">
        <f t="shared" ca="1" si="37"/>
        <v>1988053325.724982</v>
      </c>
      <c r="Z125" s="1837">
        <f t="shared" ca="1" si="37"/>
        <v>2050928081.2578692</v>
      </c>
      <c r="AA125" s="1837">
        <f t="shared" ca="1" si="37"/>
        <v>2115288594.9268284</v>
      </c>
      <c r="AB125" s="1837">
        <f t="shared" ca="1" si="37"/>
        <v>2182297141.4882846</v>
      </c>
      <c r="AC125" s="1837">
        <f t="shared" ca="1" si="37"/>
        <v>2251272859.8980913</v>
      </c>
      <c r="AD125" s="1837">
        <f t="shared" ca="1" si="37"/>
        <v>2322661757.2633724</v>
      </c>
      <c r="AE125" s="1837">
        <f t="shared" ca="1" si="37"/>
        <v>2395632435.8431373</v>
      </c>
      <c r="AF125" s="1837">
        <f t="shared" ca="1" si="37"/>
        <v>2471519009.6172452</v>
      </c>
      <c r="AG125" s="1837">
        <f t="shared" ca="1" si="37"/>
        <v>2559827266.864531</v>
      </c>
      <c r="AH125" s="1837">
        <f t="shared" ca="1" si="37"/>
        <v>2650999047.447835</v>
      </c>
      <c r="AI125" s="1837">
        <f t="shared" si="37"/>
        <v>0</v>
      </c>
      <c r="AJ125" s="1837">
        <f t="shared" si="37"/>
        <v>0</v>
      </c>
      <c r="AK125" s="1837">
        <f t="shared" si="37"/>
        <v>0</v>
      </c>
      <c r="AL125" s="1837">
        <f t="shared" si="37"/>
        <v>0</v>
      </c>
      <c r="AM125" s="1837">
        <f t="shared" si="37"/>
        <v>0</v>
      </c>
      <c r="AN125" s="1837">
        <f t="shared" si="37"/>
        <v>0</v>
      </c>
      <c r="AO125" s="1837">
        <f t="shared" si="37"/>
        <v>0</v>
      </c>
      <c r="AP125" s="1837">
        <f t="shared" si="37"/>
        <v>0</v>
      </c>
      <c r="AQ125" s="1837">
        <f t="shared" si="37"/>
        <v>0</v>
      </c>
      <c r="AR125" s="1837">
        <f t="shared" si="37"/>
        <v>0</v>
      </c>
      <c r="AS125" s="1837">
        <f t="shared" si="37"/>
        <v>0</v>
      </c>
    </row>
    <row r="126" spans="3:46" ht="15.75" thickBot="1">
      <c r="C126" s="1742" t="s">
        <v>1884</v>
      </c>
      <c r="E126" s="1837">
        <f ca="1">SUM($E$125:E125)</f>
        <v>-715288869.70235205</v>
      </c>
      <c r="F126" s="1837">
        <f ca="1">SUM($E$125:F125)</f>
        <v>-3239024078.1099563</v>
      </c>
      <c r="G126" s="1837">
        <f ca="1">SUM($E$125:G125)</f>
        <v>-3673801517.6572609</v>
      </c>
      <c r="H126" s="1837">
        <f ca="1">SUM($E$125:H125)</f>
        <v>-2821467689.5929036</v>
      </c>
      <c r="I126" s="1837">
        <f ca="1">SUM($E$125:I125)</f>
        <v>-1862285567.4651198</v>
      </c>
      <c r="J126" s="1837">
        <f ca="1">SUM($E$125:J125)</f>
        <v>-674626496.95922518</v>
      </c>
      <c r="K126" s="1837">
        <f ca="1">SUM($E$125:K125)</f>
        <v>599466362.5888176</v>
      </c>
      <c r="L126" s="1837">
        <f ca="1">SUM($E$125:L125)</f>
        <v>1948372605.3729033</v>
      </c>
      <c r="M126" s="1837">
        <f ca="1">SUM($E$125:M125)</f>
        <v>3376012100.3995996</v>
      </c>
      <c r="N126" s="1837">
        <f ca="1">SUM($E$125:N125)</f>
        <v>5150131189.2651882</v>
      </c>
      <c r="O126" s="1837">
        <f ca="1">SUM($E$125:O125)</f>
        <v>7134635214.0829306</v>
      </c>
      <c r="P126" s="1837">
        <f ca="1">SUM($E$125:P125)</f>
        <v>9229749019.7415104</v>
      </c>
      <c r="Q126" s="1837">
        <f ca="1">SUM($E$125:Q125)</f>
        <v>11441417099.734571</v>
      </c>
      <c r="R126" s="1837">
        <f ca="1">SUM($E$125:R125)</f>
        <v>13776324482.976631</v>
      </c>
      <c r="S126" s="1837">
        <f ca="1">SUM($E$125:S125)</f>
        <v>16241018880.039639</v>
      </c>
      <c r="T126" s="1837">
        <f ca="1">SUM($E$125:T125)</f>
        <v>17947528354.724335</v>
      </c>
      <c r="U126" s="1837">
        <f ca="1">SUM($E$125:U125)</f>
        <v>19704523598.313889</v>
      </c>
      <c r="V126" s="1837">
        <f ca="1">SUM($E$125:V125)</f>
        <v>21516660212.135971</v>
      </c>
      <c r="W126" s="1837">
        <f ca="1">SUM($E$125:W125)</f>
        <v>23385274669.506657</v>
      </c>
      <c r="X126" s="1837">
        <f ca="1">SUM($E$125:X125)</f>
        <v>25312680853.505917</v>
      </c>
      <c r="Y126" s="1837">
        <f ca="1">SUM($E$125:Y125)</f>
        <v>27300734179.2309</v>
      </c>
      <c r="Z126" s="1837">
        <f ca="1">SUM($E$125:Z125)</f>
        <v>29351662260.48877</v>
      </c>
      <c r="AA126" s="1837">
        <f ca="1">SUM($E$125:AA125)</f>
        <v>31466950855.415596</v>
      </c>
      <c r="AB126" s="1837">
        <f ca="1">SUM($E$125:AB125)</f>
        <v>33649247996.903881</v>
      </c>
      <c r="AC126" s="1837">
        <f ca="1">SUM($E$125:AC125)</f>
        <v>35900520856.801971</v>
      </c>
      <c r="AD126" s="1837">
        <f ca="1">SUM($E$125:AD125)</f>
        <v>38223182614.065346</v>
      </c>
      <c r="AE126" s="1837">
        <f ca="1">SUM($E$125:AE125)</f>
        <v>40618815049.908485</v>
      </c>
      <c r="AF126" s="1837">
        <f ca="1">SUM($E$125:AF125)</f>
        <v>43090334059.525734</v>
      </c>
      <c r="AG126" s="1837">
        <f ca="1">SUM($E$125:AG125)</f>
        <v>45650161326.390266</v>
      </c>
      <c r="AH126" s="1837">
        <f ca="1">SUM($E$125:AH125)</f>
        <v>48301160373.838104</v>
      </c>
      <c r="AI126" s="1837">
        <f ca="1">SUM($E$125:AI125)</f>
        <v>48301160373.838104</v>
      </c>
      <c r="AJ126" s="1837">
        <f ca="1">SUM($E$125:AJ125)</f>
        <v>48301160373.838104</v>
      </c>
      <c r="AK126" s="1837">
        <f ca="1">SUM($E$125:AK125)</f>
        <v>48301160373.838104</v>
      </c>
      <c r="AL126" s="1837">
        <f ca="1">SUM($E$125:AL125)</f>
        <v>48301160373.838104</v>
      </c>
      <c r="AM126" s="1837">
        <f ca="1">SUM($E$125:AM125)</f>
        <v>48301160373.838104</v>
      </c>
      <c r="AN126" s="1837">
        <f ca="1">SUM($E$125:AN125)</f>
        <v>48301160373.838104</v>
      </c>
      <c r="AO126" s="1837">
        <f ca="1">SUM($E$125:AO125)</f>
        <v>48301160373.838104</v>
      </c>
      <c r="AP126" s="1837">
        <f ca="1">SUM($E$125:AP125)</f>
        <v>48301160373.838104</v>
      </c>
      <c r="AQ126" s="1837">
        <f ca="1">SUM($E$125:AQ125)</f>
        <v>48301160373.838104</v>
      </c>
      <c r="AR126" s="1837">
        <f ca="1">SUM($E$125:AR125)</f>
        <v>48301160373.838104</v>
      </c>
      <c r="AS126" s="1837">
        <f ca="1">SUM($E$125:AS125)</f>
        <v>48301160373.838104</v>
      </c>
    </row>
    <row r="127" spans="3:46" ht="15.75" thickBot="1">
      <c r="C127" s="1839" t="s">
        <v>1270</v>
      </c>
      <c r="D127" s="1847">
        <f ca="1">MATCH(0,E126:AS126,1)+SUM(E127:AS127)</f>
        <v>6.5294955480705967</v>
      </c>
      <c r="E127" s="1840">
        <f ca="1">ABS(IF(AND(E126&lt;0,F126&gt;0),E126/F125,0))</f>
        <v>0</v>
      </c>
      <c r="F127" s="1840">
        <f t="shared" ref="F127:AS127" ca="1" si="38">ABS(IF(AND(F126&lt;0,G126&gt;0),F126/G125,0))</f>
        <v>0</v>
      </c>
      <c r="G127" s="1840">
        <f t="shared" ca="1" si="38"/>
        <v>0</v>
      </c>
      <c r="H127" s="1840">
        <f t="shared" ca="1" si="38"/>
        <v>0</v>
      </c>
      <c r="I127" s="1840">
        <f t="shared" ca="1" si="38"/>
        <v>0</v>
      </c>
      <c r="J127" s="1840">
        <f t="shared" ca="1" si="38"/>
        <v>0.52949554807059707</v>
      </c>
      <c r="K127" s="1840">
        <f t="shared" ca="1" si="38"/>
        <v>0</v>
      </c>
      <c r="L127" s="1840">
        <f t="shared" ca="1" si="38"/>
        <v>0</v>
      </c>
      <c r="M127" s="1840">
        <f t="shared" ca="1" si="38"/>
        <v>0</v>
      </c>
      <c r="N127" s="1840">
        <f t="shared" ca="1" si="38"/>
        <v>0</v>
      </c>
      <c r="O127" s="1840">
        <f t="shared" ca="1" si="38"/>
        <v>0</v>
      </c>
      <c r="P127" s="1840">
        <f t="shared" ca="1" si="38"/>
        <v>0</v>
      </c>
      <c r="Q127" s="1840">
        <f t="shared" ca="1" si="38"/>
        <v>0</v>
      </c>
      <c r="R127" s="1840">
        <f t="shared" ca="1" si="38"/>
        <v>0</v>
      </c>
      <c r="S127" s="1840">
        <f t="shared" ca="1" si="38"/>
        <v>0</v>
      </c>
      <c r="T127" s="1840">
        <f t="shared" ca="1" si="38"/>
        <v>0</v>
      </c>
      <c r="U127" s="1840">
        <f t="shared" ca="1" si="38"/>
        <v>0</v>
      </c>
      <c r="V127" s="1840">
        <f t="shared" ca="1" si="38"/>
        <v>0</v>
      </c>
      <c r="W127" s="1840">
        <f t="shared" ca="1" si="38"/>
        <v>0</v>
      </c>
      <c r="X127" s="1840">
        <f t="shared" ca="1" si="38"/>
        <v>0</v>
      </c>
      <c r="Y127" s="1840">
        <f t="shared" ca="1" si="38"/>
        <v>0</v>
      </c>
      <c r="Z127" s="1840">
        <f t="shared" ca="1" si="38"/>
        <v>0</v>
      </c>
      <c r="AA127" s="1840">
        <f t="shared" ca="1" si="38"/>
        <v>0</v>
      </c>
      <c r="AB127" s="1840">
        <f t="shared" ca="1" si="38"/>
        <v>0</v>
      </c>
      <c r="AC127" s="1840">
        <f t="shared" ca="1" si="38"/>
        <v>0</v>
      </c>
      <c r="AD127" s="1840">
        <f t="shared" ca="1" si="38"/>
        <v>0</v>
      </c>
      <c r="AE127" s="1840">
        <f t="shared" ca="1" si="38"/>
        <v>0</v>
      </c>
      <c r="AF127" s="1840">
        <f t="shared" ca="1" si="38"/>
        <v>0</v>
      </c>
      <c r="AG127" s="1840">
        <f t="shared" ca="1" si="38"/>
        <v>0</v>
      </c>
      <c r="AH127" s="1840">
        <f t="shared" ca="1" si="38"/>
        <v>0</v>
      </c>
      <c r="AI127" s="1840">
        <f t="shared" ca="1" si="38"/>
        <v>0</v>
      </c>
      <c r="AJ127" s="1840">
        <f t="shared" ca="1" si="38"/>
        <v>0</v>
      </c>
      <c r="AK127" s="1840">
        <f t="shared" ca="1" si="38"/>
        <v>0</v>
      </c>
      <c r="AL127" s="1840">
        <f t="shared" ca="1" si="38"/>
        <v>0</v>
      </c>
      <c r="AM127" s="1840">
        <f t="shared" ca="1" si="38"/>
        <v>0</v>
      </c>
      <c r="AN127" s="1840">
        <f t="shared" ca="1" si="38"/>
        <v>0</v>
      </c>
      <c r="AO127" s="1840">
        <f t="shared" ca="1" si="38"/>
        <v>0</v>
      </c>
      <c r="AP127" s="1840">
        <f t="shared" ca="1" si="38"/>
        <v>0</v>
      </c>
      <c r="AQ127" s="1840">
        <f t="shared" ca="1" si="38"/>
        <v>0</v>
      </c>
      <c r="AR127" s="1840">
        <f t="shared" ca="1" si="38"/>
        <v>0</v>
      </c>
      <c r="AS127" s="1840">
        <f t="shared" ca="1" si="38"/>
        <v>0</v>
      </c>
    </row>
    <row r="132" spans="3:45">
      <c r="D132" s="1844"/>
    </row>
    <row r="134" spans="3:45">
      <c r="C134" s="1836" t="s">
        <v>1889</v>
      </c>
    </row>
    <row r="135" spans="3:45">
      <c r="C135" s="1742" t="s">
        <v>1885</v>
      </c>
      <c r="E135" s="1837">
        <f ca="1">E63</f>
        <v>-715288869.70235205</v>
      </c>
      <c r="F135" s="1837">
        <f t="shared" ref="F135:AS135" ca="1" si="39">F63</f>
        <v>-628192904.08651829</v>
      </c>
      <c r="G135" s="1837">
        <f t="shared" ca="1" si="39"/>
        <v>567996021.09176743</v>
      </c>
      <c r="H135" s="1837">
        <f t="shared" ca="1" si="39"/>
        <v>229117270.02715993</v>
      </c>
      <c r="I135" s="1837">
        <f t="shared" ca="1" si="39"/>
        <v>365847199.62732589</v>
      </c>
      <c r="J135" s="1837">
        <f ca="1">J63</f>
        <v>465632234.09878612</v>
      </c>
      <c r="K135" s="1837">
        <f t="shared" ca="1" si="39"/>
        <v>562246428.7644031</v>
      </c>
      <c r="L135" s="1837">
        <f t="shared" ca="1" si="39"/>
        <v>649797389.91703045</v>
      </c>
      <c r="M135" s="1837">
        <f t="shared" ca="1" si="39"/>
        <v>740280205.52986217</v>
      </c>
      <c r="N135" s="1837">
        <f t="shared" ca="1" si="39"/>
        <v>834522512.02501249</v>
      </c>
      <c r="O135" s="1837">
        <f t="shared" ca="1" si="39"/>
        <v>1346081964.7759006</v>
      </c>
      <c r="P135" s="1837">
        <f t="shared" ca="1" si="39"/>
        <v>1418167185.6789243</v>
      </c>
      <c r="Q135" s="1837">
        <f t="shared" ca="1" si="39"/>
        <v>1494397392.1525569</v>
      </c>
      <c r="R135" s="1837">
        <f t="shared" ca="1" si="39"/>
        <v>1575293925.2732542</v>
      </c>
      <c r="S135" s="1837">
        <f t="shared" ca="1" si="39"/>
        <v>1660580626.0936074</v>
      </c>
      <c r="T135" s="1837">
        <f t="shared" ca="1" si="39"/>
        <v>1142572120.4972587</v>
      </c>
      <c r="U135" s="1837">
        <f t="shared" ca="1" si="39"/>
        <v>1176176265.4137166</v>
      </c>
      <c r="V135" s="1837">
        <f t="shared" ca="1" si="39"/>
        <v>1213375932.5642974</v>
      </c>
      <c r="W135" s="1837">
        <f t="shared" ca="1" si="39"/>
        <v>1251205798.0187428</v>
      </c>
      <c r="X135" s="1837">
        <f t="shared" ca="1" si="39"/>
        <v>1290700173.6952837</v>
      </c>
      <c r="Y135" s="1837">
        <f t="shared" ca="1" si="39"/>
        <v>1331218671.6615601</v>
      </c>
      <c r="Z135" s="1837">
        <f t="shared" ca="1" si="39"/>
        <v>1373159973.6638682</v>
      </c>
      <c r="AA135" s="1837">
        <f t="shared" ca="1" si="39"/>
        <v>1415785924.6481209</v>
      </c>
      <c r="AB135" s="1837">
        <f t="shared" ca="1" si="39"/>
        <v>1460310356.5277343</v>
      </c>
      <c r="AC135" s="1837">
        <f t="shared" ca="1" si="39"/>
        <v>1505981224.4160945</v>
      </c>
      <c r="AD135" s="1837">
        <f t="shared" ca="1" si="39"/>
        <v>1553262298.8147156</v>
      </c>
      <c r="AE135" s="1837">
        <f t="shared" ca="1" si="39"/>
        <v>1601294104.8952236</v>
      </c>
      <c r="AF135" s="1837">
        <f t="shared" ca="1" si="39"/>
        <v>1651485671.924247</v>
      </c>
      <c r="AG135" s="1837">
        <f t="shared" ca="1" si="39"/>
        <v>1702962238.8680339</v>
      </c>
      <c r="AH135" s="1837">
        <f t="shared" ca="1" si="39"/>
        <v>1755999789.3863444</v>
      </c>
      <c r="AI135" s="1837" t="str">
        <f t="shared" si="39"/>
        <v xml:space="preserve"> </v>
      </c>
      <c r="AJ135" s="1837" t="str">
        <f t="shared" si="39"/>
        <v xml:space="preserve"> </v>
      </c>
      <c r="AK135" s="1837" t="str">
        <f t="shared" si="39"/>
        <v xml:space="preserve"> </v>
      </c>
      <c r="AL135" s="1837" t="str">
        <f t="shared" si="39"/>
        <v xml:space="preserve"> </v>
      </c>
      <c r="AM135" s="1837" t="str">
        <f t="shared" si="39"/>
        <v xml:space="preserve"> </v>
      </c>
      <c r="AN135" s="1837" t="str">
        <f t="shared" si="39"/>
        <v xml:space="preserve"> </v>
      </c>
      <c r="AO135" s="1837" t="str">
        <f t="shared" si="39"/>
        <v xml:space="preserve"> </v>
      </c>
      <c r="AP135" s="1837" t="str">
        <f t="shared" si="39"/>
        <v xml:space="preserve"> </v>
      </c>
      <c r="AQ135" s="1837" t="str">
        <f t="shared" si="39"/>
        <v xml:space="preserve"> </v>
      </c>
      <c r="AR135" s="1837" t="str">
        <f t="shared" si="39"/>
        <v xml:space="preserve"> </v>
      </c>
      <c r="AS135" s="1837" t="str">
        <f t="shared" si="39"/>
        <v xml:space="preserve"> </v>
      </c>
    </row>
    <row r="136" spans="3:45" ht="15.75" thickBot="1">
      <c r="C136" s="1742" t="s">
        <v>1884</v>
      </c>
      <c r="E136" s="1837">
        <f ca="1">SUM($E$135:E135)</f>
        <v>-715288869.70235205</v>
      </c>
      <c r="F136" s="1837">
        <f ca="1">SUM($E$135:F135)</f>
        <v>-1343481773.7888703</v>
      </c>
      <c r="G136" s="1837">
        <f ca="1">SUM($E$135:G135)</f>
        <v>-775485752.6971029</v>
      </c>
      <c r="H136" s="1837">
        <f ca="1">SUM($E$135:H135)</f>
        <v>-546368482.66994298</v>
      </c>
      <c r="I136" s="1837">
        <f ca="1">SUM($E$135:I135)</f>
        <v>-180521283.04261708</v>
      </c>
      <c r="J136" s="1837">
        <f ca="1">SUM($E$135:J135)</f>
        <v>285110951.05616903</v>
      </c>
      <c r="K136" s="1837">
        <f ca="1">SUM($E$135:K135)</f>
        <v>847357379.82057214</v>
      </c>
      <c r="L136" s="1837">
        <f ca="1">SUM($E$135:L135)</f>
        <v>1497154769.7376027</v>
      </c>
      <c r="M136" s="1837">
        <f ca="1">SUM($E$135:M135)</f>
        <v>2237434975.2674646</v>
      </c>
      <c r="N136" s="1837">
        <f ca="1">SUM($E$135:N135)</f>
        <v>3071957487.2924771</v>
      </c>
      <c r="O136" s="1837">
        <f ca="1">SUM($E$135:O135)</f>
        <v>4418039452.0683775</v>
      </c>
      <c r="P136" s="1837">
        <f ca="1">SUM($E$135:P135)</f>
        <v>5836206637.7473021</v>
      </c>
      <c r="Q136" s="1837">
        <f ca="1">SUM($E$135:Q135)</f>
        <v>7330604029.8998585</v>
      </c>
      <c r="R136" s="1837">
        <f ca="1">SUM($E$135:R135)</f>
        <v>8905897955.1731129</v>
      </c>
      <c r="S136" s="1837">
        <f ca="1">SUM($E$135:S135)</f>
        <v>10566478581.26672</v>
      </c>
      <c r="T136" s="1837">
        <f ca="1">SUM($E$135:T135)</f>
        <v>11709050701.763979</v>
      </c>
      <c r="U136" s="1837">
        <f ca="1">SUM($E$135:U135)</f>
        <v>12885226967.177696</v>
      </c>
      <c r="V136" s="1837">
        <f ca="1">SUM($E$135:V135)</f>
        <v>14098602899.741993</v>
      </c>
      <c r="W136" s="1837">
        <f ca="1">SUM($E$135:W135)</f>
        <v>15349808697.760736</v>
      </c>
      <c r="X136" s="1837">
        <f ca="1">SUM($E$135:X135)</f>
        <v>16640508871.45602</v>
      </c>
      <c r="Y136" s="1837">
        <f ca="1">SUM($E$135:Y135)</f>
        <v>17971727543.11758</v>
      </c>
      <c r="Z136" s="1837">
        <f ca="1">SUM($E$135:Z135)</f>
        <v>19344887516.781448</v>
      </c>
      <c r="AA136" s="1837">
        <f ca="1">SUM($E$135:AA135)</f>
        <v>20760673441.429569</v>
      </c>
      <c r="AB136" s="1837">
        <f ca="1">SUM($E$135:AB135)</f>
        <v>22220983797.957302</v>
      </c>
      <c r="AC136" s="1837">
        <f ca="1">SUM($E$135:AC135)</f>
        <v>23726965022.373398</v>
      </c>
      <c r="AD136" s="1837">
        <f ca="1">SUM($E$135:AD135)</f>
        <v>25280227321.188114</v>
      </c>
      <c r="AE136" s="1837">
        <f ca="1">SUM($E$135:AE135)</f>
        <v>26881521426.083336</v>
      </c>
      <c r="AF136" s="1837">
        <f ca="1">SUM($E$135:AF135)</f>
        <v>28533007098.007584</v>
      </c>
      <c r="AG136" s="1837">
        <f ca="1">SUM($E$135:AG135)</f>
        <v>30235969336.875618</v>
      </c>
      <c r="AH136" s="1837">
        <f ca="1">SUM($E$135:AH135)</f>
        <v>31991969126.261963</v>
      </c>
      <c r="AI136" s="1837">
        <f ca="1">SUM($E$135:AI135)</f>
        <v>31991969126.261963</v>
      </c>
      <c r="AJ136" s="1837">
        <f ca="1">SUM($E$135:AJ135)</f>
        <v>31991969126.261963</v>
      </c>
      <c r="AK136" s="1837">
        <f ca="1">SUM($E$135:AK135)</f>
        <v>31991969126.261963</v>
      </c>
      <c r="AL136" s="1837">
        <f ca="1">SUM($E$135:AL135)</f>
        <v>31991969126.261963</v>
      </c>
      <c r="AM136" s="1837">
        <f ca="1">SUM($E$135:AM135)</f>
        <v>31991969126.261963</v>
      </c>
      <c r="AN136" s="1837">
        <f ca="1">SUM($E$135:AN135)</f>
        <v>31991969126.261963</v>
      </c>
      <c r="AO136" s="1837">
        <f ca="1">SUM($E$135:AO135)</f>
        <v>31991969126.261963</v>
      </c>
      <c r="AP136" s="1837">
        <f ca="1">SUM($E$135:AP135)</f>
        <v>31991969126.261963</v>
      </c>
      <c r="AQ136" s="1837">
        <f ca="1">SUM($E$135:AQ135)</f>
        <v>31991969126.261963</v>
      </c>
      <c r="AR136" s="1837">
        <f ca="1">SUM($E$135:AR135)</f>
        <v>31991969126.261963</v>
      </c>
      <c r="AS136" s="1837">
        <f ca="1">SUM($E$135:AS135)</f>
        <v>31991969126.261963</v>
      </c>
    </row>
    <row r="137" spans="3:45" ht="15.75" thickBot="1">
      <c r="C137" s="1839"/>
      <c r="D137" s="1847">
        <f ca="1">MATCH(0,E136:AS136,1)+SUM(E137:AS137)</f>
        <v>5.3876906919728382</v>
      </c>
      <c r="E137" s="1742">
        <f ca="1">ABS(IF(AND(E136&lt;0,F136&gt;0),E136/F135,0))</f>
        <v>0</v>
      </c>
      <c r="F137" s="1742">
        <f t="shared" ref="F137:AS137" ca="1" si="40">ABS(IF(AND(F136&lt;0,G136&gt;0),F136/G135,0))</f>
        <v>0</v>
      </c>
      <c r="G137" s="1742">
        <f t="shared" ca="1" si="40"/>
        <v>0</v>
      </c>
      <c r="H137" s="1742">
        <f t="shared" ca="1" si="40"/>
        <v>0</v>
      </c>
      <c r="I137" s="1742">
        <f t="shared" ca="1" si="40"/>
        <v>0.38769069197283845</v>
      </c>
      <c r="J137" s="1742">
        <f t="shared" ca="1" si="40"/>
        <v>0</v>
      </c>
      <c r="K137" s="1742">
        <f t="shared" ca="1" si="40"/>
        <v>0</v>
      </c>
      <c r="L137" s="2133">
        <f t="shared" ca="1" si="40"/>
        <v>0</v>
      </c>
      <c r="M137" s="1742">
        <f t="shared" ca="1" si="40"/>
        <v>0</v>
      </c>
      <c r="N137" s="1742">
        <f t="shared" ca="1" si="40"/>
        <v>0</v>
      </c>
      <c r="O137" s="1742">
        <f t="shared" ca="1" si="40"/>
        <v>0</v>
      </c>
      <c r="P137" s="1742">
        <f t="shared" ca="1" si="40"/>
        <v>0</v>
      </c>
      <c r="Q137" s="1742">
        <f t="shared" ca="1" si="40"/>
        <v>0</v>
      </c>
      <c r="R137" s="1742">
        <f t="shared" ca="1" si="40"/>
        <v>0</v>
      </c>
      <c r="S137" s="1742">
        <f t="shared" ca="1" si="40"/>
        <v>0</v>
      </c>
      <c r="T137" s="1742">
        <f t="shared" ca="1" si="40"/>
        <v>0</v>
      </c>
      <c r="U137" s="1742">
        <f t="shared" ca="1" si="40"/>
        <v>0</v>
      </c>
      <c r="V137" s="1742">
        <f t="shared" ca="1" si="40"/>
        <v>0</v>
      </c>
      <c r="W137" s="1742">
        <f t="shared" ca="1" si="40"/>
        <v>0</v>
      </c>
      <c r="X137" s="1742">
        <f t="shared" ca="1" si="40"/>
        <v>0</v>
      </c>
      <c r="Y137" s="1742">
        <f t="shared" ca="1" si="40"/>
        <v>0</v>
      </c>
      <c r="Z137" s="1742">
        <f t="shared" ca="1" si="40"/>
        <v>0</v>
      </c>
      <c r="AA137" s="1742">
        <f t="shared" ca="1" si="40"/>
        <v>0</v>
      </c>
      <c r="AB137" s="1742">
        <f t="shared" ca="1" si="40"/>
        <v>0</v>
      </c>
      <c r="AC137" s="1742">
        <f t="shared" ca="1" si="40"/>
        <v>0</v>
      </c>
      <c r="AD137" s="1742">
        <f t="shared" ca="1" si="40"/>
        <v>0</v>
      </c>
      <c r="AE137" s="1742">
        <f t="shared" ca="1" si="40"/>
        <v>0</v>
      </c>
      <c r="AF137" s="1742">
        <f t="shared" ca="1" si="40"/>
        <v>0</v>
      </c>
      <c r="AG137" s="1742">
        <f t="shared" ca="1" si="40"/>
        <v>0</v>
      </c>
      <c r="AH137" s="1742">
        <f t="shared" ca="1" si="40"/>
        <v>0</v>
      </c>
      <c r="AI137" s="1742">
        <f t="shared" ca="1" si="40"/>
        <v>0</v>
      </c>
      <c r="AJ137" s="1742">
        <f t="shared" ca="1" si="40"/>
        <v>0</v>
      </c>
      <c r="AK137" s="1742">
        <f t="shared" ca="1" si="40"/>
        <v>0</v>
      </c>
      <c r="AL137" s="1742">
        <f t="shared" ca="1" si="40"/>
        <v>0</v>
      </c>
      <c r="AM137" s="1742">
        <f t="shared" ca="1" si="40"/>
        <v>0</v>
      </c>
      <c r="AN137" s="1742">
        <f t="shared" ca="1" si="40"/>
        <v>0</v>
      </c>
      <c r="AO137" s="1742">
        <f t="shared" ca="1" si="40"/>
        <v>0</v>
      </c>
      <c r="AP137" s="1742">
        <f t="shared" ca="1" si="40"/>
        <v>0</v>
      </c>
      <c r="AQ137" s="1742">
        <f t="shared" ca="1" si="40"/>
        <v>0</v>
      </c>
      <c r="AR137" s="1742">
        <f t="shared" ca="1" si="40"/>
        <v>0</v>
      </c>
      <c r="AS137" s="1742">
        <f t="shared" ca="1" si="40"/>
        <v>0</v>
      </c>
    </row>
    <row r="138" spans="3:45">
      <c r="C138" s="1836" t="s">
        <v>1886</v>
      </c>
      <c r="L138" s="2133"/>
      <c r="N138" s="1846"/>
    </row>
    <row r="139" spans="3:45">
      <c r="C139" s="1742" t="s">
        <v>1885</v>
      </c>
      <c r="E139" s="1837">
        <f ca="1">E102</f>
        <v>-715288869.70235205</v>
      </c>
      <c r="F139" s="1837">
        <f t="shared" ref="F139:AS139" ca="1" si="41">F102</f>
        <v>-628192904.08651829</v>
      </c>
      <c r="G139" s="1837">
        <f t="shared" ca="1" si="41"/>
        <v>567996021.09176743</v>
      </c>
      <c r="H139" s="1837">
        <f t="shared" ca="1" si="41"/>
        <v>229117270.02715993</v>
      </c>
      <c r="I139" s="1837">
        <f t="shared" ca="1" si="41"/>
        <v>365847199.62732589</v>
      </c>
      <c r="J139" s="1837">
        <f t="shared" ca="1" si="41"/>
        <v>624614002.60688543</v>
      </c>
      <c r="K139" s="1837">
        <f t="shared" ca="1" si="41"/>
        <v>740193738.14257848</v>
      </c>
      <c r="L139" s="1837">
        <f t="shared" ca="1" si="41"/>
        <v>845216226.89384532</v>
      </c>
      <c r="M139" s="1837">
        <f t="shared" ca="1" si="41"/>
        <v>953831114.673195</v>
      </c>
      <c r="N139" s="1837">
        <f t="shared" ca="1" si="41"/>
        <v>1330273987.8617692</v>
      </c>
      <c r="O139" s="1837">
        <f t="shared" ca="1" si="41"/>
        <v>1984504024.8177423</v>
      </c>
      <c r="P139" s="1837">
        <f t="shared" ca="1" si="41"/>
        <v>2095113805.6585805</v>
      </c>
      <c r="Q139" s="1837">
        <f t="shared" ca="1" si="41"/>
        <v>2211668079.9930611</v>
      </c>
      <c r="R139" s="1837">
        <f t="shared" ca="1" si="41"/>
        <v>2334907383.2420597</v>
      </c>
      <c r="S139" s="1837">
        <f t="shared" ca="1" si="41"/>
        <v>2464694397.0630069</v>
      </c>
      <c r="T139" s="1837">
        <f t="shared" ca="1" si="41"/>
        <v>1706509474.6846976</v>
      </c>
      <c r="U139" s="1837">
        <f t="shared" ca="1" si="41"/>
        <v>1756995243.5895519</v>
      </c>
      <c r="V139" s="1837">
        <f t="shared" ca="1" si="41"/>
        <v>1812136613.8220806</v>
      </c>
      <c r="W139" s="1837">
        <f t="shared" ca="1" si="41"/>
        <v>1868614457.370687</v>
      </c>
      <c r="X139" s="1837">
        <f t="shared" ca="1" si="41"/>
        <v>1927406183.9992604</v>
      </c>
      <c r="Y139" s="1837">
        <f t="shared" ca="1" si="41"/>
        <v>1988053325.724982</v>
      </c>
      <c r="Z139" s="1837">
        <f t="shared" ca="1" si="41"/>
        <v>2050928081.2578692</v>
      </c>
      <c r="AA139" s="1837">
        <f t="shared" ca="1" si="41"/>
        <v>2115288594.9268284</v>
      </c>
      <c r="AB139" s="1837">
        <f t="shared" ca="1" si="41"/>
        <v>2182297141.4882846</v>
      </c>
      <c r="AC139" s="1837">
        <f t="shared" ca="1" si="41"/>
        <v>2251272859.8980913</v>
      </c>
      <c r="AD139" s="1837">
        <f t="shared" ca="1" si="41"/>
        <v>2322661757.2633724</v>
      </c>
      <c r="AE139" s="1837">
        <f t="shared" ca="1" si="41"/>
        <v>2395632435.8431373</v>
      </c>
      <c r="AF139" s="1837">
        <f t="shared" ca="1" si="41"/>
        <v>2471519009.6172452</v>
      </c>
      <c r="AG139" s="1837">
        <f t="shared" ca="1" si="41"/>
        <v>2559827266.864531</v>
      </c>
      <c r="AH139" s="1837">
        <f t="shared" ca="1" si="41"/>
        <v>2650999047.447835</v>
      </c>
      <c r="AI139" s="1837">
        <f t="shared" si="41"/>
        <v>0</v>
      </c>
      <c r="AJ139" s="1837">
        <f t="shared" si="41"/>
        <v>0</v>
      </c>
      <c r="AK139" s="1837">
        <f t="shared" si="41"/>
        <v>0</v>
      </c>
      <c r="AL139" s="1837">
        <f t="shared" si="41"/>
        <v>0</v>
      </c>
      <c r="AM139" s="1837">
        <f t="shared" si="41"/>
        <v>0</v>
      </c>
      <c r="AN139" s="1837">
        <f t="shared" si="41"/>
        <v>0</v>
      </c>
      <c r="AO139" s="1837">
        <f t="shared" si="41"/>
        <v>0</v>
      </c>
      <c r="AP139" s="1837">
        <f t="shared" si="41"/>
        <v>0</v>
      </c>
      <c r="AQ139" s="1837">
        <f t="shared" si="41"/>
        <v>0</v>
      </c>
      <c r="AR139" s="1837">
        <f t="shared" si="41"/>
        <v>0</v>
      </c>
      <c r="AS139" s="1837">
        <f t="shared" si="41"/>
        <v>0</v>
      </c>
    </row>
    <row r="140" spans="3:45" ht="15.75" thickBot="1">
      <c r="C140" s="1742" t="s">
        <v>1884</v>
      </c>
      <c r="E140" s="1837">
        <f ca="1">SUM($E$139:E139)</f>
        <v>-715288869.70235205</v>
      </c>
      <c r="F140" s="1837">
        <f ca="1">SUM($E$139:F139)</f>
        <v>-1343481773.7888703</v>
      </c>
      <c r="G140" s="1837">
        <f ca="1">SUM($E$139:G139)</f>
        <v>-775485752.6971029</v>
      </c>
      <c r="H140" s="1837">
        <f ca="1">SUM($E$139:H139)</f>
        <v>-546368482.66994298</v>
      </c>
      <c r="I140" s="1837">
        <f ca="1">SUM($E$139:I139)</f>
        <v>-180521283.04261708</v>
      </c>
      <c r="J140" s="1837">
        <f ca="1">SUM($E$139:J139)</f>
        <v>444092719.56426835</v>
      </c>
      <c r="K140" s="1837">
        <f ca="1">SUM($E$139:K139)</f>
        <v>1184286457.7068467</v>
      </c>
      <c r="L140" s="1837">
        <f ca="1">SUM($E$139:L139)</f>
        <v>2029502684.600692</v>
      </c>
      <c r="M140" s="1837">
        <f ca="1">SUM($E$139:M139)</f>
        <v>2983333799.2738872</v>
      </c>
      <c r="N140" s="1837">
        <f ca="1">SUM($E$139:N139)</f>
        <v>4313607787.1356564</v>
      </c>
      <c r="O140" s="1837">
        <f ca="1">SUM($E$139:O139)</f>
        <v>6298111811.9533987</v>
      </c>
      <c r="P140" s="1837">
        <f ca="1">SUM($E$139:P139)</f>
        <v>8393225617.6119795</v>
      </c>
      <c r="Q140" s="1837">
        <f ca="1">SUM($E$139:Q139)</f>
        <v>10604893697.605042</v>
      </c>
      <c r="R140" s="1837">
        <f ca="1">SUM($E$139:R139)</f>
        <v>12939801080.847101</v>
      </c>
      <c r="S140" s="1837">
        <f ca="1">SUM($E$139:S139)</f>
        <v>15404495477.910109</v>
      </c>
      <c r="T140" s="1837">
        <f ca="1">SUM($E$139:T139)</f>
        <v>17111004952.594807</v>
      </c>
      <c r="U140" s="1837">
        <f ca="1">SUM($E$139:U139)</f>
        <v>18868000196.184357</v>
      </c>
      <c r="V140" s="1837">
        <f ca="1">SUM($E$139:V139)</f>
        <v>20680136810.006439</v>
      </c>
      <c r="W140" s="1837">
        <f ca="1">SUM($E$139:W139)</f>
        <v>22548751267.377125</v>
      </c>
      <c r="X140" s="1837">
        <f ca="1">SUM($E$139:X139)</f>
        <v>24476157451.376385</v>
      </c>
      <c r="Y140" s="1837">
        <f ca="1">SUM($E$139:Y139)</f>
        <v>26464210777.101368</v>
      </c>
      <c r="Z140" s="1837">
        <f ca="1">SUM($E$139:Z139)</f>
        <v>28515138858.359238</v>
      </c>
      <c r="AA140" s="1837">
        <f ca="1">SUM($E$139:AA139)</f>
        <v>30630427453.286064</v>
      </c>
      <c r="AB140" s="1837">
        <f ca="1">SUM($E$139:AB139)</f>
        <v>32812724594.774349</v>
      </c>
      <c r="AC140" s="1837">
        <f ca="1">SUM($E$139:AC139)</f>
        <v>35063997454.67244</v>
      </c>
      <c r="AD140" s="1837">
        <f ca="1">SUM($E$139:AD139)</f>
        <v>37386659211.935814</v>
      </c>
      <c r="AE140" s="1837">
        <f ca="1">SUM($E$139:AE139)</f>
        <v>39782291647.778954</v>
      </c>
      <c r="AF140" s="1837">
        <f ca="1">SUM($E$139:AF139)</f>
        <v>42253810657.396202</v>
      </c>
      <c r="AG140" s="1837">
        <f ca="1">SUM($E$139:AG139)</f>
        <v>44813637924.260735</v>
      </c>
      <c r="AH140" s="1837">
        <f ca="1">SUM($E$139:AH139)</f>
        <v>47464636971.708572</v>
      </c>
      <c r="AI140" s="1837">
        <f ca="1">SUM($E$139:AI139)</f>
        <v>47464636971.708572</v>
      </c>
      <c r="AJ140" s="1837">
        <f ca="1">SUM($E$139:AJ139)</f>
        <v>47464636971.708572</v>
      </c>
      <c r="AK140" s="1837">
        <f ca="1">SUM($E$139:AK139)</f>
        <v>47464636971.708572</v>
      </c>
      <c r="AL140" s="1837">
        <f ca="1">SUM($E$139:AL139)</f>
        <v>47464636971.708572</v>
      </c>
      <c r="AM140" s="1837">
        <f ca="1">SUM($E$139:AM139)</f>
        <v>47464636971.708572</v>
      </c>
      <c r="AN140" s="1837">
        <f ca="1">SUM($E$139:AN139)</f>
        <v>47464636971.708572</v>
      </c>
      <c r="AO140" s="1837">
        <f ca="1">SUM($E$139:AO139)</f>
        <v>47464636971.708572</v>
      </c>
      <c r="AP140" s="1837">
        <f ca="1">SUM($E$139:AP139)</f>
        <v>47464636971.708572</v>
      </c>
      <c r="AQ140" s="1837">
        <f ca="1">SUM($E$139:AQ139)</f>
        <v>47464636971.708572</v>
      </c>
      <c r="AR140" s="1837">
        <f ca="1">SUM($E$139:AR139)</f>
        <v>47464636971.708572</v>
      </c>
      <c r="AS140" s="1837">
        <f ca="1">SUM($E$139:AS139)</f>
        <v>47464636971.708572</v>
      </c>
    </row>
    <row r="141" spans="3:45" ht="15.75" thickBot="1">
      <c r="C141" s="1839"/>
      <c r="D141" s="1847">
        <f ca="1">MATCH(0,E140:AS140,1)+SUM(E141:AS141)</f>
        <v>5.289012545811004</v>
      </c>
      <c r="E141" s="1742">
        <f ca="1">ABS(IF(AND(E140&lt;0,F140&gt;0),E140/F139,0))</f>
        <v>0</v>
      </c>
      <c r="F141" s="1742">
        <f t="shared" ref="F141:AS141" ca="1" si="42">ABS(IF(AND(F140&lt;0,G140&gt;0),F140/G139,0))</f>
        <v>0</v>
      </c>
      <c r="G141" s="1742">
        <f t="shared" ca="1" si="42"/>
        <v>0</v>
      </c>
      <c r="H141" s="1742">
        <f t="shared" ca="1" si="42"/>
        <v>0</v>
      </c>
      <c r="I141" s="1742">
        <f t="shared" ca="1" si="42"/>
        <v>0.28901254581100405</v>
      </c>
      <c r="J141" s="1742">
        <f t="shared" ca="1" si="42"/>
        <v>0</v>
      </c>
      <c r="K141" s="2131">
        <f t="shared" ca="1" si="42"/>
        <v>0</v>
      </c>
      <c r="L141" s="1742">
        <f t="shared" ca="1" si="42"/>
        <v>0</v>
      </c>
      <c r="M141" s="1742">
        <f t="shared" ca="1" si="42"/>
        <v>0</v>
      </c>
      <c r="N141" s="1742">
        <f t="shared" ca="1" si="42"/>
        <v>0</v>
      </c>
      <c r="O141" s="1742">
        <f t="shared" ca="1" si="42"/>
        <v>0</v>
      </c>
      <c r="P141" s="1742">
        <f t="shared" ca="1" si="42"/>
        <v>0</v>
      </c>
      <c r="Q141" s="1742">
        <f t="shared" ca="1" si="42"/>
        <v>0</v>
      </c>
      <c r="R141" s="1742">
        <f t="shared" ca="1" si="42"/>
        <v>0</v>
      </c>
      <c r="S141" s="1742">
        <f t="shared" ca="1" si="42"/>
        <v>0</v>
      </c>
      <c r="T141" s="1742">
        <f t="shared" ca="1" si="42"/>
        <v>0</v>
      </c>
      <c r="U141" s="1742">
        <f t="shared" ca="1" si="42"/>
        <v>0</v>
      </c>
      <c r="V141" s="1742">
        <f t="shared" ca="1" si="42"/>
        <v>0</v>
      </c>
      <c r="W141" s="1742">
        <f t="shared" ca="1" si="42"/>
        <v>0</v>
      </c>
      <c r="X141" s="1742">
        <f t="shared" ca="1" si="42"/>
        <v>0</v>
      </c>
      <c r="Y141" s="1742">
        <f t="shared" ca="1" si="42"/>
        <v>0</v>
      </c>
      <c r="Z141" s="1742">
        <f t="shared" ca="1" si="42"/>
        <v>0</v>
      </c>
      <c r="AA141" s="1742">
        <f t="shared" ca="1" si="42"/>
        <v>0</v>
      </c>
      <c r="AB141" s="1742">
        <f t="shared" ca="1" si="42"/>
        <v>0</v>
      </c>
      <c r="AC141" s="1742">
        <f t="shared" ca="1" si="42"/>
        <v>0</v>
      </c>
      <c r="AD141" s="1742">
        <f t="shared" ca="1" si="42"/>
        <v>0</v>
      </c>
      <c r="AE141" s="1742">
        <f t="shared" ca="1" si="42"/>
        <v>0</v>
      </c>
      <c r="AF141" s="1742">
        <f t="shared" ca="1" si="42"/>
        <v>0</v>
      </c>
      <c r="AG141" s="1742">
        <f t="shared" ca="1" si="42"/>
        <v>0</v>
      </c>
      <c r="AH141" s="1742">
        <f t="shared" ca="1" si="42"/>
        <v>0</v>
      </c>
      <c r="AI141" s="1742">
        <f t="shared" ca="1" si="42"/>
        <v>0</v>
      </c>
      <c r="AJ141" s="1742">
        <f t="shared" ca="1" si="42"/>
        <v>0</v>
      </c>
      <c r="AK141" s="1742">
        <f t="shared" ca="1" si="42"/>
        <v>0</v>
      </c>
      <c r="AL141" s="1742">
        <f t="shared" ca="1" si="42"/>
        <v>0</v>
      </c>
      <c r="AM141" s="1742">
        <f t="shared" ca="1" si="42"/>
        <v>0</v>
      </c>
      <c r="AN141" s="1742">
        <f t="shared" ca="1" si="42"/>
        <v>0</v>
      </c>
      <c r="AO141" s="1742">
        <f t="shared" ca="1" si="42"/>
        <v>0</v>
      </c>
      <c r="AP141" s="1742">
        <f t="shared" ca="1" si="42"/>
        <v>0</v>
      </c>
      <c r="AQ141" s="1742">
        <f t="shared" ca="1" si="42"/>
        <v>0</v>
      </c>
      <c r="AR141" s="1742">
        <f t="shared" ca="1" si="42"/>
        <v>0</v>
      </c>
      <c r="AS141" s="1742">
        <f t="shared" ca="1" si="42"/>
        <v>0</v>
      </c>
    </row>
    <row r="154" spans="3:47">
      <c r="C154" s="2132">
        <f t="shared" ref="C154:AU154" si="43">(1+0.09)^(1-E5)</f>
        <v>1</v>
      </c>
      <c r="D154" s="2132">
        <f t="shared" si="43"/>
        <v>0.9174311926605504</v>
      </c>
      <c r="E154" s="2132">
        <f t="shared" si="43"/>
        <v>0.84167999326655996</v>
      </c>
      <c r="F154" s="2132">
        <f t="shared" si="43"/>
        <v>0.77218348006106419</v>
      </c>
      <c r="G154" s="2132">
        <f t="shared" si="43"/>
        <v>0.7084252110651964</v>
      </c>
      <c r="H154" s="2132">
        <f t="shared" si="43"/>
        <v>0.64993138629834524</v>
      </c>
      <c r="I154" s="2132">
        <f t="shared" si="43"/>
        <v>0.5962673268792158</v>
      </c>
      <c r="J154" s="2132">
        <f t="shared" si="43"/>
        <v>0.54703424484331731</v>
      </c>
      <c r="K154" s="2132">
        <f t="shared" si="43"/>
        <v>0.50186627967276809</v>
      </c>
      <c r="L154" s="2132">
        <f t="shared" si="43"/>
        <v>0.46042777951630098</v>
      </c>
      <c r="M154" s="2132">
        <f t="shared" si="43"/>
        <v>0.42241080689568894</v>
      </c>
      <c r="N154" s="2132">
        <f t="shared" si="43"/>
        <v>0.38753285036301738</v>
      </c>
      <c r="O154" s="2132">
        <f t="shared" si="43"/>
        <v>0.35553472510368567</v>
      </c>
      <c r="P154" s="2132">
        <f t="shared" si="43"/>
        <v>0.32617864688411524</v>
      </c>
      <c r="Q154" s="2132">
        <f t="shared" si="43"/>
        <v>0.29924646503129837</v>
      </c>
      <c r="R154" s="2132">
        <f t="shared" si="43"/>
        <v>0.27453804131311776</v>
      </c>
      <c r="S154" s="2132">
        <f t="shared" si="43"/>
        <v>0.2518697626725851</v>
      </c>
      <c r="T154" s="2132">
        <f t="shared" si="43"/>
        <v>0.23107317676383954</v>
      </c>
      <c r="U154" s="2132">
        <f t="shared" si="43"/>
        <v>0.21199374015031147</v>
      </c>
      <c r="V154" s="2132">
        <f t="shared" si="43"/>
        <v>0.19448966986267105</v>
      </c>
      <c r="W154" s="2132">
        <f t="shared" si="43"/>
        <v>0.17843088978226704</v>
      </c>
      <c r="X154" s="2132">
        <f t="shared" si="43"/>
        <v>0.16369806402042844</v>
      </c>
      <c r="Y154" s="2132">
        <f t="shared" si="43"/>
        <v>0.15018171011048481</v>
      </c>
      <c r="Z154" s="2132">
        <f t="shared" si="43"/>
        <v>0.13778138542246313</v>
      </c>
      <c r="AA154" s="2132">
        <f t="shared" si="43"/>
        <v>0.12640494075455333</v>
      </c>
      <c r="AB154" s="2132">
        <f t="shared" si="43"/>
        <v>0.11596783555463605</v>
      </c>
      <c r="AC154" s="2132">
        <f t="shared" si="43"/>
        <v>0.10639250968315234</v>
      </c>
      <c r="AD154" s="2132">
        <f t="shared" si="43"/>
        <v>9.7607807048763609E-2</v>
      </c>
      <c r="AE154" s="2132">
        <f t="shared" si="43"/>
        <v>8.954844683372809E-2</v>
      </c>
      <c r="AF154" s="2132">
        <f t="shared" si="43"/>
        <v>8.2154538379567044E-2</v>
      </c>
      <c r="AG154" s="2132">
        <f t="shared" si="43"/>
        <v>7.5371136128043151E-2</v>
      </c>
      <c r="AH154" s="2132">
        <f t="shared" si="43"/>
        <v>6.914783131013133E-2</v>
      </c>
      <c r="AI154" s="2132">
        <f t="shared" si="43"/>
        <v>6.3438377348744343E-2</v>
      </c>
      <c r="AJ154" s="2132">
        <f t="shared" si="43"/>
        <v>5.8200346191508566E-2</v>
      </c>
      <c r="AK154" s="2132">
        <f t="shared" si="43"/>
        <v>5.3394813019732625E-2</v>
      </c>
      <c r="AL154" s="2132">
        <f t="shared" si="43"/>
        <v>4.8986066990580383E-2</v>
      </c>
      <c r="AM154" s="2132">
        <f t="shared" si="43"/>
        <v>4.4941345862917786E-2</v>
      </c>
      <c r="AN154" s="2132">
        <f t="shared" si="43"/>
        <v>4.1230592534786961E-2</v>
      </c>
      <c r="AO154" s="2132">
        <f t="shared" si="43"/>
        <v>3.782623168329078E-2</v>
      </c>
      <c r="AP154" s="2132">
        <f t="shared" si="43"/>
        <v>3.4702964847055769E-2</v>
      </c>
      <c r="AQ154" s="2132">
        <f t="shared" si="43"/>
        <v>3.1837582428491523E-2</v>
      </c>
      <c r="AR154" s="2132">
        <f t="shared" si="43"/>
        <v>1.0900000000000001</v>
      </c>
      <c r="AS154" s="2132">
        <f t="shared" si="43"/>
        <v>1.0900000000000001</v>
      </c>
      <c r="AT154" s="2132">
        <f t="shared" si="43"/>
        <v>1.0900000000000001</v>
      </c>
      <c r="AU154" s="2132">
        <f t="shared" si="43"/>
        <v>1.0900000000000001</v>
      </c>
    </row>
    <row r="155" spans="3:47">
      <c r="C155" s="2132">
        <f t="shared" ref="C155:AU155" si="44">(1+0.11)^(1-E5)</f>
        <v>1</v>
      </c>
      <c r="D155" s="2132">
        <f t="shared" si="44"/>
        <v>0.9009009009009008</v>
      </c>
      <c r="E155" s="2132">
        <f t="shared" si="44"/>
        <v>0.8116224332440547</v>
      </c>
      <c r="F155" s="2132">
        <f t="shared" si="44"/>
        <v>0.73119138130095018</v>
      </c>
      <c r="G155" s="2132">
        <f t="shared" si="44"/>
        <v>0.65873097414500015</v>
      </c>
      <c r="H155" s="2132">
        <f t="shared" si="44"/>
        <v>0.5934513280585586</v>
      </c>
      <c r="I155" s="2132">
        <f t="shared" si="44"/>
        <v>0.53464083608879154</v>
      </c>
      <c r="J155" s="2132">
        <f t="shared" si="44"/>
        <v>0.48165841089080319</v>
      </c>
      <c r="K155" s="2132">
        <f t="shared" si="44"/>
        <v>0.43392649629802077</v>
      </c>
      <c r="L155" s="2132">
        <f t="shared" si="44"/>
        <v>0.39092477143965831</v>
      </c>
      <c r="M155" s="2132">
        <f t="shared" si="44"/>
        <v>0.3521844787744669</v>
      </c>
      <c r="N155" s="2132">
        <f t="shared" si="44"/>
        <v>0.31728331421123146</v>
      </c>
      <c r="O155" s="2132">
        <f t="shared" si="44"/>
        <v>0.28584082361372198</v>
      </c>
      <c r="P155" s="2132">
        <f t="shared" si="44"/>
        <v>0.25751425550785767</v>
      </c>
      <c r="Q155" s="2132">
        <f t="shared" si="44"/>
        <v>0.23199482478185374</v>
      </c>
      <c r="R155" s="2132">
        <f t="shared" si="44"/>
        <v>0.2090043466503187</v>
      </c>
      <c r="S155" s="2132">
        <f t="shared" si="44"/>
        <v>0.18829220418947626</v>
      </c>
      <c r="T155" s="2132">
        <f t="shared" si="44"/>
        <v>0.16963261638691554</v>
      </c>
      <c r="U155" s="2132">
        <f t="shared" si="44"/>
        <v>0.15282217692514913</v>
      </c>
      <c r="V155" s="2132">
        <f t="shared" si="44"/>
        <v>0.13767763686950371</v>
      </c>
      <c r="W155" s="2132">
        <f t="shared" si="44"/>
        <v>0.12403390708964297</v>
      </c>
      <c r="X155" s="2132">
        <f t="shared" si="44"/>
        <v>0.11174225863931797</v>
      </c>
      <c r="Y155" s="2132">
        <f t="shared" si="44"/>
        <v>0.10066870147686303</v>
      </c>
      <c r="Z155" s="2132">
        <f t="shared" si="44"/>
        <v>9.0692523853029769E-2</v>
      </c>
      <c r="AA155" s="2132">
        <f t="shared" si="44"/>
        <v>8.1704976444170935E-2</v>
      </c>
      <c r="AB155" s="2132">
        <f t="shared" si="44"/>
        <v>7.3608086886640473E-2</v>
      </c>
      <c r="AC155" s="2132">
        <f t="shared" si="44"/>
        <v>6.6313591789766188E-2</v>
      </c>
      <c r="AD155" s="2132">
        <f t="shared" si="44"/>
        <v>5.9741974585374946E-2</v>
      </c>
      <c r="AE155" s="2132">
        <f t="shared" si="44"/>
        <v>5.3821598725563004E-2</v>
      </c>
      <c r="AF155" s="2132">
        <f t="shared" si="44"/>
        <v>4.8487926779786493E-2</v>
      </c>
      <c r="AG155" s="2132">
        <f t="shared" si="44"/>
        <v>4.3682816918726573E-2</v>
      </c>
      <c r="AH155" s="2132">
        <f t="shared" si="44"/>
        <v>3.9353889115969883E-2</v>
      </c>
      <c r="AI155" s="2132">
        <f t="shared" si="44"/>
        <v>3.545395415853142E-2</v>
      </c>
      <c r="AJ155" s="2132">
        <f t="shared" si="44"/>
        <v>3.1940499241920196E-2</v>
      </c>
      <c r="AK155" s="2132">
        <f t="shared" si="44"/>
        <v>2.8775224542270446E-2</v>
      </c>
      <c r="AL155" s="2132">
        <f t="shared" si="44"/>
        <v>2.5923625713757153E-2</v>
      </c>
      <c r="AM155" s="2132">
        <f t="shared" si="44"/>
        <v>2.3354617760141583E-2</v>
      </c>
      <c r="AN155" s="2132">
        <f t="shared" si="44"/>
        <v>2.1040196180307728E-2</v>
      </c>
      <c r="AO155" s="2132">
        <f t="shared" si="44"/>
        <v>1.8955131693970926E-2</v>
      </c>
      <c r="AP155" s="2132">
        <f t="shared" si="44"/>
        <v>1.7076695219793627E-2</v>
      </c>
      <c r="AQ155" s="2132">
        <f t="shared" si="44"/>
        <v>1.5384410107922184E-2</v>
      </c>
      <c r="AR155" s="2132">
        <f t="shared" si="44"/>
        <v>1.1100000000000001</v>
      </c>
      <c r="AS155" s="2132">
        <f t="shared" si="44"/>
        <v>1.1100000000000001</v>
      </c>
      <c r="AT155" s="2132">
        <f t="shared" si="44"/>
        <v>1.1100000000000001</v>
      </c>
      <c r="AU155" s="2132">
        <f t="shared" si="44"/>
        <v>1.1100000000000001</v>
      </c>
    </row>
    <row r="160" spans="3:47">
      <c r="C160" s="1742">
        <v>1</v>
      </c>
      <c r="D160" s="2130">
        <v>0.91157702825888787</v>
      </c>
      <c r="E160" s="2130">
        <v>0.83097267844930534</v>
      </c>
      <c r="F160" s="2130">
        <v>0.7574956047851461</v>
      </c>
    </row>
    <row r="163" spans="3:7">
      <c r="C163" s="1742">
        <v>1</v>
      </c>
      <c r="D163" s="1742">
        <v>0.91157702825888787</v>
      </c>
      <c r="E163" s="1742">
        <v>0.83097267844930534</v>
      </c>
      <c r="F163" s="1742">
        <v>0.7574956047851461</v>
      </c>
    </row>
    <row r="171" spans="3:7">
      <c r="G171" s="2279">
        <f>F177/G173</f>
        <v>0.8</v>
      </c>
    </row>
    <row r="173" spans="3:7">
      <c r="G173" s="2279">
        <f>E177+F177</f>
        <v>-2500000000</v>
      </c>
    </row>
    <row r="177" spans="4:42">
      <c r="D177" s="2277">
        <f>IRR(E177:AH177)</f>
        <v>0.22463489862824804</v>
      </c>
      <c r="E177" s="2278">
        <f>-500000000</f>
        <v>-500000000</v>
      </c>
      <c r="F177" s="1742">
        <f>-2000000000</f>
        <v>-2000000000</v>
      </c>
      <c r="G177" s="1742">
        <v>-625233295.3136425</v>
      </c>
      <c r="H177" s="1742">
        <v>619681871.69108546</v>
      </c>
      <c r="I177" s="1742">
        <v>758543268.12881756</v>
      </c>
      <c r="J177" s="1742">
        <v>820704339.93233085</v>
      </c>
      <c r="K177" s="1742">
        <v>864582906.42715597</v>
      </c>
      <c r="L177" s="1742">
        <v>886545498.58431292</v>
      </c>
      <c r="M177" s="1742">
        <v>912303646.51321197</v>
      </c>
      <c r="N177" s="1742">
        <v>935545377.04994273</v>
      </c>
      <c r="O177" s="1742">
        <v>969600856.714059</v>
      </c>
      <c r="P177" s="1742">
        <v>994375947.57866716</v>
      </c>
      <c r="Q177" s="1742">
        <v>1023414349.6688629</v>
      </c>
      <c r="R177" s="1742">
        <v>1049630954.5935795</v>
      </c>
      <c r="S177" s="1742">
        <v>1087991857.3967628</v>
      </c>
      <c r="T177" s="1742">
        <v>1115936519.0278378</v>
      </c>
      <c r="U177" s="1742">
        <v>1148671590.8789864</v>
      </c>
      <c r="V177" s="1742">
        <v>1179651560.0130799</v>
      </c>
      <c r="W177" s="1742">
        <v>1224318834.2790284</v>
      </c>
      <c r="X177" s="1742">
        <v>1257333490.380981</v>
      </c>
      <c r="Y177" s="1742">
        <v>1295777454.5777547</v>
      </c>
      <c r="Z177" s="1742">
        <v>1330713910.0475237</v>
      </c>
      <c r="AA177" s="1742">
        <v>1381031255.7744308</v>
      </c>
      <c r="AB177" s="1742">
        <v>1418259036.0699093</v>
      </c>
      <c r="AC177" s="1742">
        <v>1461591034.7537961</v>
      </c>
      <c r="AD177" s="1742">
        <v>1500984266.5381422</v>
      </c>
      <c r="AE177" s="1742">
        <v>1557668173.2496686</v>
      </c>
      <c r="AF177" s="1742">
        <v>1599643283.4456191</v>
      </c>
      <c r="AG177" s="1742">
        <v>1648483075.0455923</v>
      </c>
      <c r="AH177" s="1742">
        <v>1698803594.8835104</v>
      </c>
      <c r="AI177" s="1742">
        <v>0</v>
      </c>
      <c r="AJ177" s="1742">
        <v>0</v>
      </c>
      <c r="AK177" s="1742">
        <v>0</v>
      </c>
      <c r="AL177" s="1742">
        <v>0</v>
      </c>
      <c r="AM177" s="1742">
        <v>0</v>
      </c>
      <c r="AN177" s="1742">
        <v>0</v>
      </c>
      <c r="AO177" s="1742">
        <v>0</v>
      </c>
      <c r="AP177" s="1742">
        <v>0</v>
      </c>
    </row>
    <row r="180" spans="4:42">
      <c r="E180" s="2279">
        <f>-(D183/2)</f>
        <v>487400831.19371247</v>
      </c>
    </row>
    <row r="181" spans="4:42">
      <c r="G181" s="1742">
        <v>-2228376052.5157971</v>
      </c>
      <c r="H181" s="1742">
        <f>'Sens WIP'!G38</f>
        <v>1635008619.7448978</v>
      </c>
    </row>
    <row r="182" spans="4:42">
      <c r="J182" s="1742">
        <f>F177/G181</f>
        <v>0.89751458141099449</v>
      </c>
    </row>
    <row r="183" spans="4:42">
      <c r="D183" s="2278">
        <v>-974801662.38742495</v>
      </c>
      <c r="E183" s="2280">
        <f>D183+(G181/2)</f>
        <v>-2088989688.6453235</v>
      </c>
      <c r="H183" s="1742">
        <f>'Sens WIP'!G41</f>
        <v>1284980092.2448976</v>
      </c>
    </row>
    <row r="186" spans="4:42">
      <c r="E186" s="1841">
        <f>-20000000</f>
        <v>-20000000</v>
      </c>
    </row>
    <row r="189" spans="4:42">
      <c r="E189" s="1742">
        <v>1</v>
      </c>
      <c r="F189" s="1742">
        <v>0.91157702825888787</v>
      </c>
      <c r="G189" s="1742">
        <v>0.83097267844930534</v>
      </c>
      <c r="H189" s="1742">
        <v>0.7574956047851461</v>
      </c>
    </row>
    <row r="190" spans="4:42">
      <c r="E190" s="1742">
        <v>1</v>
      </c>
      <c r="F190" s="1742">
        <v>0.91157702825888787</v>
      </c>
      <c r="G190" s="1742">
        <v>0.83097267844930534</v>
      </c>
      <c r="H190" s="1742">
        <v>0.7574956047851461</v>
      </c>
    </row>
    <row r="194" spans="5:8">
      <c r="E194" s="1742">
        <v>1</v>
      </c>
      <c r="F194" s="1742">
        <v>0.91157702825888787</v>
      </c>
      <c r="G194" s="1742">
        <v>0.83097267844930534</v>
      </c>
      <c r="H194" s="1742">
        <v>0.7574956047851461</v>
      </c>
    </row>
  </sheetData>
  <pageMargins left="0.7" right="0.7" top="0.75" bottom="0.75" header="0.3" footer="0.3"/>
  <ignoredErrors>
    <ignoredError sqref="F63 D89" formula="1"/>
    <ignoredError sqref="D111" evalError="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512E4-3DA5-45BA-B18D-A50CD2BEECCE}">
  <sheetPr codeName="Sheet27">
    <tabColor theme="9" tint="0.39997558519241921"/>
  </sheetPr>
  <dimension ref="A1:AY514"/>
  <sheetViews>
    <sheetView zoomScale="96" zoomScaleNormal="96" workbookViewId="0">
      <selection activeCell="C9" sqref="C9"/>
    </sheetView>
  </sheetViews>
  <sheetFormatPr defaultColWidth="8.875" defaultRowHeight="15" outlineLevelRow="1" outlineLevelCol="1"/>
  <cols>
    <col min="1" max="1" width="8.875" style="703"/>
    <col min="2" max="2" width="25.55859375" style="703" customWidth="1"/>
    <col min="3" max="3" width="46.8125" style="703" customWidth="1"/>
    <col min="4" max="4" width="22.8671875" style="703" customWidth="1"/>
    <col min="5" max="5" width="20.17578125" style="703" customWidth="1"/>
    <col min="6" max="6" width="41.1640625" style="703" customWidth="1" outlineLevel="1"/>
    <col min="7" max="8" width="29.32421875" style="703" customWidth="1" outlineLevel="1"/>
    <col min="9" max="9" width="29.59375" style="703" customWidth="1" outlineLevel="1"/>
    <col min="10" max="10" width="14.9296875" style="703" customWidth="1" outlineLevel="1"/>
    <col min="11" max="11" width="50.4453125" style="703" customWidth="1" outlineLevel="1"/>
    <col min="12" max="12" width="23.26953125" style="703" customWidth="1" outlineLevel="1"/>
    <col min="13" max="13" width="19.7734375" style="1360" customWidth="1" outlineLevel="1"/>
    <col min="14" max="14" width="19.63671875" style="1401" customWidth="1" outlineLevel="1"/>
    <col min="15" max="15" width="43.71875" style="1360" customWidth="1" outlineLevel="1"/>
    <col min="16" max="16" width="31.74609375" style="1360" customWidth="1" outlineLevel="1"/>
    <col min="17" max="17" width="31.34375" style="1360" customWidth="1" outlineLevel="1"/>
    <col min="18" max="18" width="19.7734375" style="1360" customWidth="1" outlineLevel="1"/>
    <col min="19" max="19" width="2.28515625" style="1360" customWidth="1" outlineLevel="1"/>
    <col min="20" max="20" width="41.8359375" style="311" customWidth="1" outlineLevel="1"/>
    <col min="21" max="21" width="4.5703125" style="311" customWidth="1" outlineLevel="1"/>
    <col min="22" max="22" width="19.7734375" style="311" customWidth="1" outlineLevel="1"/>
    <col min="23" max="23" width="2.82421875" style="2948" customWidth="1" outlineLevel="1"/>
    <col min="24" max="24" width="35.91796875" style="2949" customWidth="1" outlineLevel="1"/>
    <col min="25" max="25" width="37.39453125" style="2949" customWidth="1" outlineLevel="1"/>
    <col min="26" max="26" width="34.70703125" style="2949" customWidth="1" outlineLevel="1"/>
    <col min="27" max="27" width="20.71484375" style="2949" customWidth="1" outlineLevel="1"/>
    <col min="28" max="28" width="3.49609375" style="2949" customWidth="1" outlineLevel="1"/>
    <col min="29" max="29" width="40.35546875" style="2949" customWidth="1" outlineLevel="1"/>
    <col min="30" max="30" width="1.20703125" style="2949" customWidth="1" outlineLevel="1"/>
    <col min="31" max="31" width="40.35546875" style="2949" customWidth="1" outlineLevel="1"/>
    <col min="32" max="32" width="7.3984375" style="1225" customWidth="1" outlineLevel="1"/>
    <col min="33" max="33" width="31.74609375" style="1400" customWidth="1" outlineLevel="1"/>
    <col min="34" max="34" width="27.57421875" style="1400" customWidth="1" outlineLevel="1"/>
    <col min="35" max="35" width="24.48046875" style="1400" customWidth="1" outlineLevel="1"/>
    <col min="36" max="36" width="18.16015625" style="1400" customWidth="1" outlineLevel="1"/>
    <col min="37" max="37" width="1.74609375" style="1400" customWidth="1" outlineLevel="1"/>
    <col min="38" max="38" width="48.0234375" style="1400" customWidth="1" outlineLevel="1"/>
    <col min="39" max="39" width="20.984375" style="1400" customWidth="1" outlineLevel="1"/>
    <col min="40" max="40" width="16.140625" style="1400" customWidth="1" outlineLevel="1"/>
    <col min="41" max="41" width="1.8828125" style="1400" customWidth="1" outlineLevel="1"/>
    <col min="42" max="42" width="2.95703125" style="1400" hidden="1" customWidth="1" outlineLevel="1"/>
    <col min="43" max="43" width="36.18359375" style="1400" customWidth="1" outlineLevel="1"/>
    <col min="44" max="44" width="21.65625" style="1400" customWidth="1" outlineLevel="1"/>
    <col min="45" max="45" width="21.1171875" style="1400" customWidth="1" outlineLevel="1"/>
    <col min="46" max="46" width="22.328125" style="1400" customWidth="1" outlineLevel="1"/>
    <col min="47" max="47" width="16.6796875" style="1400" customWidth="1" outlineLevel="1"/>
    <col min="48" max="48" width="5.91796875" style="1400" customWidth="1" outlineLevel="1"/>
    <col min="49" max="49" width="41.4296875" style="1400" customWidth="1" outlineLevel="1"/>
    <col min="50" max="50" width="8.875" style="1400" customWidth="1" outlineLevel="1"/>
    <col min="51" max="51" width="19.234375" style="1400" customWidth="1" outlineLevel="1"/>
    <col min="52" max="16384" width="8.875" style="703"/>
  </cols>
  <sheetData>
    <row r="1" spans="1:51">
      <c r="A1" s="2707" t="s">
        <v>672</v>
      </c>
      <c r="B1" s="2708"/>
      <c r="C1" s="2708" t="s">
        <v>1543</v>
      </c>
      <c r="D1" s="2708"/>
      <c r="E1" s="2708"/>
      <c r="F1" s="2708"/>
      <c r="G1" s="2708"/>
      <c r="H1" s="2708"/>
      <c r="I1" s="2708"/>
      <c r="J1" s="2708"/>
      <c r="K1" s="2708"/>
      <c r="L1" s="2708"/>
      <c r="M1" s="2708"/>
      <c r="N1" s="2708"/>
      <c r="O1" s="2708"/>
      <c r="P1" s="2708"/>
      <c r="Q1" s="2708"/>
      <c r="R1" s="2708"/>
      <c r="S1" s="2708"/>
      <c r="T1" s="2945"/>
      <c r="U1" s="2945"/>
      <c r="V1" s="2945"/>
      <c r="X1" s="2945"/>
      <c r="Y1" s="2945"/>
      <c r="Z1" s="2945"/>
      <c r="AA1" s="2945"/>
      <c r="AB1" s="2945"/>
      <c r="AC1" s="2945"/>
      <c r="AD1" s="2945"/>
      <c r="AE1" s="2945"/>
      <c r="AF1" s="606"/>
      <c r="AG1" s="2152"/>
      <c r="AH1" s="2152"/>
      <c r="AI1" s="2152"/>
      <c r="AJ1" s="2152"/>
      <c r="AK1" s="2152"/>
      <c r="AL1" s="2152"/>
      <c r="AM1" s="2152"/>
      <c r="AN1" s="2152"/>
      <c r="AO1" s="2152"/>
      <c r="AP1" s="2152"/>
      <c r="AQ1" s="2152"/>
      <c r="AR1" s="2152"/>
      <c r="AS1" s="2152"/>
      <c r="AT1" s="2152"/>
      <c r="AU1" s="2152"/>
      <c r="AV1" s="2152"/>
      <c r="AW1" s="2152"/>
      <c r="AX1" s="2152"/>
      <c r="AY1" s="2152"/>
    </row>
    <row r="2" spans="1:51">
      <c r="A2" s="2711" t="s">
        <v>2396</v>
      </c>
      <c r="B2" s="2711"/>
      <c r="C2" s="2711"/>
      <c r="D2" s="2711"/>
      <c r="E2" s="2711"/>
      <c r="F2" s="2711"/>
      <c r="G2" s="2711"/>
      <c r="H2" s="2711"/>
      <c r="I2" s="2711"/>
      <c r="J2" s="2711"/>
      <c r="K2" s="2711"/>
      <c r="L2" s="2711"/>
      <c r="M2" s="2711"/>
      <c r="N2" s="2711"/>
      <c r="O2" s="2711"/>
      <c r="P2" s="2711"/>
      <c r="Q2" s="2711"/>
      <c r="R2" s="2711"/>
      <c r="S2" s="2711"/>
      <c r="T2" s="2946"/>
      <c r="U2" s="2946"/>
      <c r="V2" s="2946"/>
      <c r="X2" s="2946"/>
      <c r="Y2" s="2946"/>
      <c r="Z2" s="2946"/>
      <c r="AA2" s="2946"/>
      <c r="AB2" s="2946"/>
      <c r="AC2" s="2946"/>
      <c r="AD2" s="2946"/>
      <c r="AE2" s="2946"/>
      <c r="AF2" s="2917"/>
      <c r="AG2" s="2876"/>
      <c r="AH2" s="2876"/>
      <c r="AI2" s="2876"/>
      <c r="AJ2" s="2876"/>
      <c r="AK2" s="2876"/>
      <c r="AL2" s="2876"/>
      <c r="AM2" s="2876"/>
      <c r="AN2" s="2876"/>
      <c r="AO2" s="2876"/>
      <c r="AP2" s="2876"/>
      <c r="AQ2" s="2876"/>
      <c r="AR2" s="2876"/>
      <c r="AS2" s="2876"/>
      <c r="AT2" s="2876"/>
      <c r="AU2" s="2876"/>
      <c r="AV2" s="2876"/>
      <c r="AW2" s="2876"/>
      <c r="AX2" s="2876"/>
      <c r="AY2" s="2876"/>
    </row>
    <row r="3" spans="1:51">
      <c r="A3" s="2711" t="s">
        <v>673</v>
      </c>
      <c r="B3" s="2704"/>
      <c r="C3" s="2704"/>
      <c r="D3" s="2704"/>
      <c r="E3" s="2704"/>
      <c r="F3" s="2704"/>
      <c r="G3" s="2704"/>
      <c r="H3" s="2704"/>
      <c r="I3" s="2704"/>
      <c r="J3" s="2704"/>
      <c r="K3" s="2704"/>
      <c r="L3" s="2704"/>
      <c r="M3" s="2704"/>
      <c r="N3" s="2704"/>
      <c r="O3" s="2704"/>
      <c r="P3" s="2704"/>
      <c r="Q3" s="2704"/>
      <c r="R3" s="2704"/>
      <c r="S3" s="2704"/>
      <c r="T3" s="2947"/>
      <c r="U3" s="2947"/>
      <c r="V3" s="2947"/>
      <c r="X3" s="2947"/>
      <c r="Y3" s="2947"/>
      <c r="Z3" s="2947"/>
      <c r="AA3" s="2947"/>
      <c r="AB3" s="2947"/>
      <c r="AC3" s="2947"/>
      <c r="AD3" s="2947"/>
      <c r="AE3" s="2947"/>
      <c r="AF3" s="606"/>
      <c r="AG3" s="2152"/>
      <c r="AH3" s="2152"/>
      <c r="AI3" s="2152"/>
      <c r="AJ3" s="2152"/>
      <c r="AK3" s="2152"/>
      <c r="AL3" s="2152"/>
      <c r="AM3" s="2152"/>
      <c r="AN3" s="2152"/>
      <c r="AO3" s="2152"/>
      <c r="AP3" s="2152"/>
      <c r="AQ3" s="2152"/>
      <c r="AR3" s="2152"/>
      <c r="AS3" s="2152"/>
      <c r="AT3" s="2152"/>
      <c r="AU3" s="2152"/>
      <c r="AV3" s="2152"/>
      <c r="AW3" s="2152"/>
      <c r="AX3" s="2152"/>
      <c r="AY3" s="2152"/>
    </row>
    <row r="4" spans="1:51">
      <c r="A4" s="2704" t="s">
        <v>849</v>
      </c>
      <c r="B4" s="2704"/>
      <c r="C4" s="2704"/>
      <c r="D4" s="2704"/>
      <c r="E4" s="2704"/>
      <c r="F4" s="2704"/>
      <c r="G4" s="2704"/>
      <c r="H4" s="2704"/>
      <c r="I4" s="2704"/>
      <c r="J4" s="2704"/>
      <c r="K4" s="2704"/>
      <c r="L4" s="2704"/>
      <c r="M4" s="2704"/>
      <c r="N4" s="2704"/>
      <c r="O4" s="2704"/>
      <c r="P4" s="2704"/>
      <c r="Q4" s="2704"/>
      <c r="R4" s="2704"/>
      <c r="S4" s="2704"/>
      <c r="T4" s="2947"/>
      <c r="U4" s="2947"/>
      <c r="V4" s="2947"/>
      <c r="X4" s="2947"/>
      <c r="Y4" s="2947"/>
      <c r="Z4" s="2947"/>
      <c r="AA4" s="2947"/>
      <c r="AB4" s="2947"/>
      <c r="AC4" s="2947"/>
      <c r="AD4" s="2947"/>
      <c r="AE4" s="2947"/>
      <c r="AF4" s="606"/>
      <c r="AG4" s="2152"/>
      <c r="AH4" s="2152"/>
      <c r="AI4" s="2152"/>
      <c r="AJ4" s="2152"/>
      <c r="AK4" s="2152"/>
      <c r="AL4" s="2152"/>
      <c r="AM4" s="2152"/>
      <c r="AN4" s="2152"/>
      <c r="AO4" s="2152"/>
      <c r="AP4" s="2152"/>
      <c r="AQ4" s="2152"/>
      <c r="AR4" s="2152"/>
      <c r="AS4" s="2152"/>
      <c r="AT4" s="2152"/>
      <c r="AU4" s="2152"/>
      <c r="AV4" s="2152"/>
      <c r="AW4" s="2152"/>
      <c r="AX4" s="2152"/>
      <c r="AY4" s="2152"/>
    </row>
    <row r="5" spans="1:51">
      <c r="A5" s="2704" t="s">
        <v>640</v>
      </c>
      <c r="B5" s="2704"/>
      <c r="C5" s="2704"/>
      <c r="D5" s="2704"/>
      <c r="E5" s="2704"/>
      <c r="F5" s="2704"/>
      <c r="G5" s="2704"/>
      <c r="H5" s="2704"/>
      <c r="I5" s="2704"/>
      <c r="J5" s="2704"/>
      <c r="K5" s="2704"/>
      <c r="L5" s="2704"/>
      <c r="M5" s="2704"/>
      <c r="N5" s="2704"/>
      <c r="O5" s="2704"/>
      <c r="P5" s="2704"/>
      <c r="Q5" s="2704"/>
      <c r="R5" s="2704"/>
      <c r="S5" s="2704"/>
      <c r="T5" s="2947"/>
      <c r="U5" s="2947"/>
      <c r="V5" s="2947"/>
      <c r="X5" s="2947"/>
      <c r="Y5" s="2947"/>
      <c r="Z5" s="2947"/>
      <c r="AA5" s="2947"/>
      <c r="AB5" s="2947"/>
      <c r="AC5" s="2947"/>
      <c r="AD5" s="2947"/>
      <c r="AE5" s="2947"/>
      <c r="AF5" s="606"/>
      <c r="AG5" s="2152"/>
      <c r="AH5" s="2152"/>
      <c r="AI5" s="2152"/>
      <c r="AJ5" s="2152"/>
      <c r="AK5" s="2152"/>
      <c r="AL5" s="2152"/>
      <c r="AM5" s="2152"/>
      <c r="AN5" s="2152"/>
      <c r="AO5" s="2152"/>
      <c r="AP5" s="2152"/>
      <c r="AQ5" s="2152"/>
      <c r="AR5" s="2152"/>
      <c r="AS5" s="2152"/>
      <c r="AT5" s="2152"/>
      <c r="AU5" s="2152"/>
      <c r="AV5" s="2152"/>
      <c r="AW5" s="2152"/>
      <c r="AX5" s="2152"/>
      <c r="AY5" s="2152"/>
    </row>
    <row r="6" spans="1:51" ht="15.75" thickBot="1">
      <c r="E6" s="707"/>
      <c r="F6" s="1385">
        <f>D7-D14</f>
        <v>0</v>
      </c>
    </row>
    <row r="7" spans="1:51">
      <c r="C7" s="2732" t="s">
        <v>1008</v>
      </c>
      <c r="D7" s="2733">
        <f>'Assumption '!J80</f>
        <v>2.5</v>
      </c>
    </row>
    <row r="8" spans="1:51">
      <c r="C8" s="1999" t="s">
        <v>1007</v>
      </c>
      <c r="D8" s="2734">
        <f>'Assumption '!J86</f>
        <v>2</v>
      </c>
      <c r="X8" s="2950"/>
      <c r="Y8" s="2950"/>
      <c r="Z8" s="2950"/>
      <c r="AA8" s="2950"/>
      <c r="AB8" s="2950"/>
      <c r="AC8" s="2950"/>
      <c r="AD8" s="2950"/>
      <c r="AE8" s="2950"/>
      <c r="AF8" s="1434"/>
    </row>
    <row r="9" spans="1:51" ht="15.75" thickBot="1">
      <c r="C9" s="802"/>
      <c r="D9" s="2034"/>
      <c r="X9" s="2951"/>
      <c r="Y9" s="2951"/>
      <c r="Z9" s="2951"/>
      <c r="AA9" s="2951"/>
      <c r="AB9" s="2951"/>
      <c r="AC9" s="2951"/>
      <c r="AD9" s="2951"/>
      <c r="AE9" s="2951"/>
      <c r="AF9" s="1435"/>
    </row>
    <row r="10" spans="1:51" ht="15.75" thickBot="1">
      <c r="C10" s="1369" t="s">
        <v>1036</v>
      </c>
      <c r="D10" s="2283">
        <f>'Assumption '!J102</f>
        <v>1</v>
      </c>
      <c r="X10" s="2952"/>
      <c r="Y10" s="2952"/>
      <c r="Z10" s="2952"/>
      <c r="AA10" s="2952"/>
      <c r="AB10" s="2952"/>
      <c r="AC10" s="2952"/>
      <c r="AD10" s="2952"/>
      <c r="AE10" s="2952"/>
      <c r="AF10" s="1436"/>
      <c r="AI10" s="2868"/>
      <c r="AJ10" s="2868"/>
      <c r="AK10" s="2868"/>
      <c r="AL10" s="2868"/>
      <c r="AM10" s="2868"/>
    </row>
    <row r="11" spans="1:51" ht="15.75" thickBot="1">
      <c r="C11" s="2031" t="s">
        <v>2058</v>
      </c>
      <c r="D11" s="2735">
        <f>IF(D10=1,1.5,IF(D10=2,1.5,IF(D10=3,1,0)))</f>
        <v>1.5</v>
      </c>
      <c r="G11" s="2035"/>
      <c r="X11" s="2952"/>
      <c r="Y11" s="2953"/>
      <c r="Z11" s="2953"/>
      <c r="AA11" s="2952"/>
      <c r="AB11" s="2952"/>
      <c r="AC11" s="2952"/>
      <c r="AD11" s="2952"/>
      <c r="AE11" s="2952"/>
      <c r="AF11" s="1436"/>
      <c r="AI11" s="2868"/>
      <c r="AJ11" s="2868"/>
      <c r="AK11" s="2868"/>
      <c r="AL11" s="2868"/>
      <c r="AM11" s="2868"/>
    </row>
    <row r="12" spans="1:51">
      <c r="C12" s="1372" t="s">
        <v>2059</v>
      </c>
      <c r="D12" s="2735">
        <f>IF(D10=1,1,IF(D10=2,1.5,IF(D10=3,1,0)))</f>
        <v>1</v>
      </c>
      <c r="X12" s="2952"/>
      <c r="Y12" s="2952"/>
      <c r="Z12" s="2952"/>
      <c r="AA12" s="2952"/>
      <c r="AB12" s="2952"/>
      <c r="AC12" s="2952"/>
      <c r="AD12" s="2952"/>
      <c r="AE12" s="2952"/>
      <c r="AF12" s="1436"/>
      <c r="AI12" s="2868"/>
      <c r="AJ12" s="2868"/>
      <c r="AK12" s="2868"/>
      <c r="AL12" s="2868"/>
      <c r="AM12" s="2868"/>
    </row>
    <row r="13" spans="1:51" ht="15.75" hidden="1" thickBot="1">
      <c r="C13" s="2032"/>
      <c r="D13" s="2736"/>
    </row>
    <row r="14" spans="1:51" ht="15.75" thickBot="1">
      <c r="C14" s="2033" t="s">
        <v>655</v>
      </c>
      <c r="D14" s="2737">
        <f>SUM(D11:D13)</f>
        <v>2.5</v>
      </c>
      <c r="P14" s="3350"/>
      <c r="Q14" s="3351"/>
    </row>
    <row r="15" spans="1:51" ht="18" customHeight="1" thickBot="1">
      <c r="C15" s="3359" t="s">
        <v>1617</v>
      </c>
      <c r="D15" s="3360"/>
      <c r="F15" s="3363" t="s">
        <v>2352</v>
      </c>
      <c r="G15" s="3364"/>
      <c r="H15" s="3364"/>
      <c r="I15" s="3365"/>
      <c r="J15" s="1361"/>
      <c r="K15" s="2769" t="s">
        <v>1041</v>
      </c>
      <c r="L15" s="710"/>
      <c r="M15" s="711"/>
      <c r="O15" s="3341" t="s">
        <v>2353</v>
      </c>
      <c r="P15" s="3342"/>
      <c r="Q15" s="3342"/>
      <c r="R15" s="3343"/>
      <c r="T15" s="3344" t="s">
        <v>1618</v>
      </c>
      <c r="U15" s="3345"/>
      <c r="V15" s="3346"/>
      <c r="X15" s="3086" t="s">
        <v>1043</v>
      </c>
      <c r="Y15" s="3349" t="s">
        <v>2361</v>
      </c>
      <c r="Z15" s="3334"/>
      <c r="AA15" s="3335"/>
      <c r="AC15" s="2954" t="s">
        <v>1043</v>
      </c>
      <c r="AD15" s="2955"/>
      <c r="AE15" s="2956" t="s">
        <v>1027</v>
      </c>
      <c r="AF15" s="2918"/>
      <c r="AG15" s="3316"/>
      <c r="AH15" s="3340"/>
      <c r="AI15" s="3340"/>
      <c r="AJ15" s="3340"/>
      <c r="AQ15" s="3321"/>
      <c r="AR15" s="3322"/>
      <c r="AS15" s="3322"/>
      <c r="AT15" s="3322"/>
      <c r="AU15" s="3322"/>
      <c r="AY15" s="2877"/>
    </row>
    <row r="16" spans="1:51" ht="19.5" thickBot="1">
      <c r="C16" s="2284"/>
      <c r="D16" s="2285"/>
      <c r="F16" s="3361" t="s">
        <v>2360</v>
      </c>
      <c r="G16" s="3338"/>
      <c r="H16" s="3339"/>
      <c r="I16" s="3167" t="s">
        <v>2354</v>
      </c>
      <c r="J16" s="717"/>
      <c r="K16" s="718"/>
      <c r="L16" s="719"/>
      <c r="M16" s="2810" t="s">
        <v>1041</v>
      </c>
      <c r="O16" s="3336" t="s">
        <v>2362</v>
      </c>
      <c r="P16" s="3338"/>
      <c r="Q16" s="3339"/>
      <c r="R16" s="2857" t="s">
        <v>2355</v>
      </c>
      <c r="T16" s="2957"/>
      <c r="U16" s="2958"/>
      <c r="V16" s="2959" t="s">
        <v>1042</v>
      </c>
      <c r="X16" s="3347" t="s">
        <v>1030</v>
      </c>
      <c r="Y16" s="3348"/>
      <c r="Z16" s="3348"/>
      <c r="AA16" s="2960" t="s">
        <v>2356</v>
      </c>
      <c r="AC16" s="2961"/>
      <c r="AD16" s="2962"/>
      <c r="AE16" s="2963" t="s">
        <v>1043</v>
      </c>
      <c r="AF16" s="2918"/>
      <c r="AG16" s="2901"/>
      <c r="AH16" s="2902"/>
      <c r="AI16" s="2902"/>
      <c r="AJ16" s="2903"/>
      <c r="AL16" s="2746">
        <v>392291000</v>
      </c>
      <c r="AM16" s="2747">
        <v>392291000</v>
      </c>
      <c r="AN16" s="2878"/>
      <c r="AQ16" s="2871"/>
      <c r="AR16" s="2868"/>
      <c r="AS16" s="2868"/>
      <c r="AT16" s="2879"/>
      <c r="AU16" s="2879"/>
    </row>
    <row r="17" spans="3:51" ht="19.5" thickBot="1">
      <c r="C17" s="2841" t="s">
        <v>1038</v>
      </c>
      <c r="D17" s="2842" t="s">
        <v>991</v>
      </c>
      <c r="F17" s="3362"/>
      <c r="G17" s="3165" t="s">
        <v>1034</v>
      </c>
      <c r="H17" s="3166" t="s">
        <v>1033</v>
      </c>
      <c r="I17" s="2739" t="s">
        <v>714</v>
      </c>
      <c r="J17" s="1364"/>
      <c r="K17" s="2770" t="s">
        <v>1006</v>
      </c>
      <c r="L17" s="2771"/>
      <c r="M17" s="2772" t="s">
        <v>991</v>
      </c>
      <c r="O17" s="3337"/>
      <c r="P17" s="2811" t="s">
        <v>1034</v>
      </c>
      <c r="Q17" s="2812" t="s">
        <v>2351</v>
      </c>
      <c r="R17" s="2813" t="s">
        <v>714</v>
      </c>
      <c r="S17" s="1365"/>
      <c r="T17" s="2964" t="s">
        <v>993</v>
      </c>
      <c r="U17" s="2965"/>
      <c r="V17" s="2966" t="s">
        <v>991</v>
      </c>
      <c r="X17" s="2967"/>
      <c r="Y17" s="2968" t="s">
        <v>1032</v>
      </c>
      <c r="Z17" s="2969" t="s">
        <v>1032</v>
      </c>
      <c r="AA17" s="2969" t="s">
        <v>714</v>
      </c>
      <c r="AC17" s="2970" t="s">
        <v>993</v>
      </c>
      <c r="AD17" s="2971"/>
      <c r="AE17" s="2963" t="s">
        <v>991</v>
      </c>
      <c r="AF17" s="2918"/>
      <c r="AG17" s="2901"/>
      <c r="AH17" s="2902"/>
      <c r="AI17" s="2902"/>
      <c r="AJ17" s="2904"/>
      <c r="AL17" s="2746">
        <v>14122400</v>
      </c>
      <c r="AM17" s="2747">
        <v>14122400</v>
      </c>
      <c r="AN17" s="2877"/>
      <c r="AQ17" s="2871"/>
      <c r="AR17" s="2881"/>
      <c r="AS17" s="2881"/>
      <c r="AT17" s="2881"/>
      <c r="AU17" s="2868"/>
      <c r="AW17" s="2178"/>
      <c r="AX17" s="2178"/>
      <c r="AY17" s="2878"/>
    </row>
    <row r="18" spans="3:51" ht="15" customHeight="1">
      <c r="C18" s="2782" t="s">
        <v>1934</v>
      </c>
      <c r="D18" s="2843">
        <f>(IF($D$10=1,M18,IF($D$10=2,V18,0)))</f>
        <v>15955000</v>
      </c>
      <c r="E18" s="1366"/>
      <c r="F18" s="1438"/>
      <c r="G18" s="729"/>
      <c r="H18" s="730"/>
      <c r="I18" s="1364"/>
      <c r="J18" s="1364"/>
      <c r="K18" s="2782" t="s">
        <v>1003</v>
      </c>
      <c r="L18" s="2894"/>
      <c r="M18" s="2895">
        <f t="shared" ref="M18:M24" si="0">IF($D$8&lt;=3,G42,0)</f>
        <v>15955000</v>
      </c>
      <c r="O18" s="2802"/>
      <c r="P18" s="2803"/>
      <c r="Q18" s="2804"/>
      <c r="R18" s="2744"/>
      <c r="S18" s="1365"/>
      <c r="T18" s="2972" t="s">
        <v>1003</v>
      </c>
      <c r="U18" s="2973"/>
      <c r="V18" s="2029">
        <f t="shared" ref="V18:V24" si="1">IF($D$8&lt;=3,P42,0)</f>
        <v>15955000</v>
      </c>
      <c r="X18" s="2974" t="s">
        <v>905</v>
      </c>
      <c r="Y18" s="632"/>
      <c r="Z18" s="630"/>
      <c r="AA18" s="630"/>
      <c r="AC18" s="2975" t="s">
        <v>1003</v>
      </c>
      <c r="AD18" s="2976"/>
      <c r="AE18" s="2977">
        <f>IF($D$8&lt;=3,Y42,0)</f>
        <v>4707000</v>
      </c>
      <c r="AF18" s="2918"/>
      <c r="AG18" s="2905"/>
      <c r="AH18" s="2906"/>
      <c r="AI18" s="2906"/>
      <c r="AJ18" s="2904"/>
      <c r="AK18" s="2865"/>
      <c r="AL18" s="2746">
        <v>15053900</v>
      </c>
      <c r="AM18" s="2747">
        <v>15053900</v>
      </c>
      <c r="AN18" s="2178"/>
      <c r="AR18" s="2865"/>
      <c r="AS18" s="2865"/>
      <c r="AT18" s="2865"/>
      <c r="AU18" s="2865"/>
      <c r="AV18" s="2865"/>
      <c r="AW18" s="2178"/>
      <c r="AX18" s="2178"/>
    </row>
    <row r="19" spans="3:51">
      <c r="C19" s="2782" t="s">
        <v>2391</v>
      </c>
      <c r="D19" s="2843">
        <f t="shared" ref="D19:D24" si="2">IF($D$10=1,M19,IF($D$10=2,V19,0))</f>
        <v>869147000</v>
      </c>
      <c r="F19" s="2741" t="s">
        <v>905</v>
      </c>
      <c r="G19" s="2742"/>
      <c r="H19" s="2743"/>
      <c r="I19" s="2744"/>
      <c r="J19" s="1367"/>
      <c r="K19" s="2782" t="s">
        <v>891</v>
      </c>
      <c r="L19" s="2894"/>
      <c r="M19" s="2895">
        <f t="shared" si="0"/>
        <v>869147000</v>
      </c>
      <c r="O19" s="2741" t="s">
        <v>905</v>
      </c>
      <c r="P19" s="2742"/>
      <c r="Q19" s="2743"/>
      <c r="R19" s="2744"/>
      <c r="S19" s="1365"/>
      <c r="T19" s="2972" t="s">
        <v>2390</v>
      </c>
      <c r="U19" s="2973"/>
      <c r="V19" s="2029">
        <f t="shared" si="1"/>
        <v>869147000</v>
      </c>
      <c r="X19" s="2978" t="s">
        <v>894</v>
      </c>
      <c r="Y19" s="2979">
        <v>392291000</v>
      </c>
      <c r="Z19" s="2980">
        <v>392291000</v>
      </c>
      <c r="AA19" s="2981">
        <f t="shared" ref="AA19:AA28" si="3">Y19+Z19</f>
        <v>784582000</v>
      </c>
      <c r="AC19" s="2975" t="s">
        <v>891</v>
      </c>
      <c r="AD19" s="2982"/>
      <c r="AE19" s="2977">
        <f t="shared" ref="AE19:AE24" si="4">IF($D$8&lt;=3,Y43,0)</f>
        <v>613190000</v>
      </c>
      <c r="AF19" s="2918"/>
      <c r="AG19" s="2907"/>
      <c r="AH19" s="2908"/>
      <c r="AI19" s="2908"/>
      <c r="AJ19" s="2904"/>
      <c r="AK19" s="2178"/>
      <c r="AL19" s="2746">
        <v>44852900</v>
      </c>
      <c r="AM19" s="2747">
        <v>44852900</v>
      </c>
      <c r="AN19" s="2178"/>
      <c r="AQ19" s="2873"/>
      <c r="AT19" s="2178"/>
      <c r="AU19" s="2865"/>
      <c r="AV19" s="2178"/>
      <c r="AW19" s="2880"/>
      <c r="AX19" s="2880"/>
      <c r="AY19" s="2877"/>
    </row>
    <row r="20" spans="3:51">
      <c r="C20" s="2782" t="s">
        <v>845</v>
      </c>
      <c r="D20" s="2843">
        <f t="shared" si="2"/>
        <v>64578918.367346942</v>
      </c>
      <c r="F20" s="2745" t="s">
        <v>894</v>
      </c>
      <c r="G20" s="2746">
        <v>534775000</v>
      </c>
      <c r="H20" s="2747">
        <v>392291000</v>
      </c>
      <c r="I20" s="2744">
        <f>G20+H20</f>
        <v>927066000</v>
      </c>
      <c r="J20" s="1367"/>
      <c r="K20" s="2782" t="s">
        <v>845</v>
      </c>
      <c r="L20" s="2894"/>
      <c r="M20" s="2895">
        <f t="shared" si="0"/>
        <v>64578918.367346942</v>
      </c>
      <c r="N20" s="2334"/>
      <c r="O20" s="2745" t="s">
        <v>894</v>
      </c>
      <c r="P20" s="2746">
        <v>534775000</v>
      </c>
      <c r="Q20" s="2747">
        <v>534775000</v>
      </c>
      <c r="R20" s="2744">
        <f t="shared" ref="R20:R29" si="5">P20+Q20</f>
        <v>1069550000</v>
      </c>
      <c r="S20" s="1365"/>
      <c r="T20" s="2972" t="s">
        <v>845</v>
      </c>
      <c r="U20" s="2973"/>
      <c r="V20" s="2029">
        <f t="shared" si="1"/>
        <v>64578918.367346942</v>
      </c>
      <c r="X20" s="2978" t="s">
        <v>996</v>
      </c>
      <c r="Y20" s="2979">
        <v>14122400</v>
      </c>
      <c r="Z20" s="2980">
        <v>14122400</v>
      </c>
      <c r="AA20" s="2981">
        <f t="shared" si="3"/>
        <v>28244800</v>
      </c>
      <c r="AC20" s="2975" t="s">
        <v>845</v>
      </c>
      <c r="AD20" s="2982"/>
      <c r="AE20" s="2977">
        <f t="shared" si="4"/>
        <v>44632212.244897962</v>
      </c>
      <c r="AF20" s="2918"/>
      <c r="AG20" s="2909"/>
      <c r="AH20" s="2910"/>
      <c r="AI20" s="2911"/>
      <c r="AJ20" s="2904"/>
      <c r="AK20" s="2178"/>
      <c r="AL20" s="2746">
        <v>90957500</v>
      </c>
      <c r="AM20" s="2747">
        <v>77314000</v>
      </c>
      <c r="AN20" s="2178"/>
      <c r="AQ20" s="2874"/>
      <c r="AR20" s="2178"/>
      <c r="AS20" s="2178"/>
      <c r="AT20" s="2178"/>
      <c r="AU20" s="2865"/>
      <c r="AV20" s="2178"/>
      <c r="AW20" s="2882"/>
      <c r="AX20" s="2883"/>
      <c r="AY20" s="2178"/>
    </row>
    <row r="21" spans="3:51">
      <c r="C21" s="2782" t="s">
        <v>119</v>
      </c>
      <c r="D21" s="2843">
        <f t="shared" si="2"/>
        <v>72867200</v>
      </c>
      <c r="F21" s="2745" t="s">
        <v>996</v>
      </c>
      <c r="G21" s="2746">
        <v>22747200</v>
      </c>
      <c r="H21" s="2747">
        <v>14122400</v>
      </c>
      <c r="I21" s="2744">
        <f t="shared" ref="I21:I29" si="6">G21+H21</f>
        <v>36869600</v>
      </c>
      <c r="J21" s="1367"/>
      <c r="K21" s="2782" t="s">
        <v>119</v>
      </c>
      <c r="L21" s="2894"/>
      <c r="M21" s="2895">
        <f t="shared" si="0"/>
        <v>72867200</v>
      </c>
      <c r="N21" s="2334"/>
      <c r="O21" s="2745" t="s">
        <v>996</v>
      </c>
      <c r="P21" s="2746">
        <v>22747200</v>
      </c>
      <c r="Q21" s="2747">
        <v>22747200</v>
      </c>
      <c r="R21" s="2744">
        <f t="shared" si="5"/>
        <v>45494400</v>
      </c>
      <c r="S21" s="1365"/>
      <c r="T21" s="2972" t="s">
        <v>119</v>
      </c>
      <c r="U21" s="2973"/>
      <c r="V21" s="2029">
        <f t="shared" si="1"/>
        <v>72867200</v>
      </c>
      <c r="X21" s="2978" t="s">
        <v>896</v>
      </c>
      <c r="Y21" s="2979">
        <v>15053900</v>
      </c>
      <c r="Z21" s="2980">
        <v>15053900</v>
      </c>
      <c r="AA21" s="2981">
        <f t="shared" si="3"/>
        <v>30107800</v>
      </c>
      <c r="AC21" s="2975" t="s">
        <v>119</v>
      </c>
      <c r="AD21" s="2983"/>
      <c r="AE21" s="2977">
        <f t="shared" si="4"/>
        <v>56868000</v>
      </c>
      <c r="AF21" s="2918"/>
      <c r="AG21" s="2909"/>
      <c r="AH21" s="2910"/>
      <c r="AI21" s="2911"/>
      <c r="AJ21" s="2904"/>
      <c r="AK21" s="2178"/>
      <c r="AL21" s="2746">
        <v>25041000</v>
      </c>
      <c r="AM21" s="2747">
        <v>16276500</v>
      </c>
      <c r="AN21" s="2178"/>
      <c r="AQ21" s="2874"/>
      <c r="AR21" s="2178"/>
      <c r="AS21" s="2178"/>
      <c r="AT21" s="2178"/>
      <c r="AU21" s="2865"/>
      <c r="AV21" s="2178"/>
      <c r="AW21" s="2882"/>
      <c r="AX21" s="2884"/>
      <c r="AY21" s="2178"/>
    </row>
    <row r="22" spans="3:51">
      <c r="C22" s="2787" t="s">
        <v>122</v>
      </c>
      <c r="D22" s="2843">
        <f t="shared" si="2"/>
        <v>155271400</v>
      </c>
      <c r="F22" s="2745" t="s">
        <v>896</v>
      </c>
      <c r="G22" s="2746">
        <v>22059800</v>
      </c>
      <c r="H22" s="2747">
        <v>15053900</v>
      </c>
      <c r="I22" s="2744">
        <f t="shared" si="6"/>
        <v>37113700</v>
      </c>
      <c r="J22" s="1367"/>
      <c r="K22" s="2787" t="s">
        <v>122</v>
      </c>
      <c r="L22" s="2894"/>
      <c r="M22" s="2895">
        <f t="shared" si="0"/>
        <v>155271400</v>
      </c>
      <c r="N22" s="2334"/>
      <c r="O22" s="2745" t="s">
        <v>896</v>
      </c>
      <c r="P22" s="2746">
        <v>22059800</v>
      </c>
      <c r="Q22" s="2747">
        <v>22059800</v>
      </c>
      <c r="R22" s="2744">
        <f t="shared" si="5"/>
        <v>44119600</v>
      </c>
      <c r="S22" s="1365"/>
      <c r="T22" s="2984" t="s">
        <v>122</v>
      </c>
      <c r="U22" s="2973"/>
      <c r="V22" s="2029">
        <f t="shared" si="1"/>
        <v>155271400</v>
      </c>
      <c r="X22" s="2978" t="s">
        <v>997</v>
      </c>
      <c r="Y22" s="2979">
        <v>44852900</v>
      </c>
      <c r="Z22" s="2980">
        <v>44852900</v>
      </c>
      <c r="AA22" s="2981">
        <f t="shared" si="3"/>
        <v>89705800</v>
      </c>
      <c r="AC22" s="2985" t="s">
        <v>122</v>
      </c>
      <c r="AD22" s="2983"/>
      <c r="AE22" s="2977">
        <f t="shared" si="4"/>
        <v>115014000</v>
      </c>
      <c r="AF22" s="2918"/>
      <c r="AG22" s="2909"/>
      <c r="AH22" s="2910"/>
      <c r="AI22" s="2911"/>
      <c r="AJ22" s="2904"/>
      <c r="AK22" s="2178"/>
      <c r="AL22" s="2746">
        <v>24127700</v>
      </c>
      <c r="AM22" s="2747">
        <v>13160700</v>
      </c>
      <c r="AN22" s="2178"/>
      <c r="AQ22" s="2874"/>
      <c r="AR22" s="2178"/>
      <c r="AS22" s="2178"/>
      <c r="AT22" s="2178"/>
      <c r="AU22" s="2865"/>
      <c r="AW22" s="2882"/>
      <c r="AX22" s="2884"/>
      <c r="AY22" s="2178"/>
    </row>
    <row r="23" spans="3:51">
      <c r="C23" s="2787" t="s">
        <v>120</v>
      </c>
      <c r="D23" s="2843">
        <f t="shared" si="2"/>
        <v>90552000</v>
      </c>
      <c r="F23" s="2745" t="s">
        <v>997</v>
      </c>
      <c r="G23" s="2746">
        <v>72729400</v>
      </c>
      <c r="H23" s="2747">
        <v>44852900</v>
      </c>
      <c r="I23" s="2744">
        <f t="shared" si="6"/>
        <v>117582300</v>
      </c>
      <c r="J23" s="1367"/>
      <c r="K23" s="2787" t="s">
        <v>120</v>
      </c>
      <c r="L23" s="2894"/>
      <c r="M23" s="2895">
        <f t="shared" si="0"/>
        <v>90552000</v>
      </c>
      <c r="N23" s="2334"/>
      <c r="O23" s="2745" t="s">
        <v>997</v>
      </c>
      <c r="P23" s="2746">
        <v>72729400</v>
      </c>
      <c r="Q23" s="2747">
        <v>72729400</v>
      </c>
      <c r="R23" s="2744">
        <f t="shared" si="5"/>
        <v>145458800</v>
      </c>
      <c r="S23" s="1365"/>
      <c r="T23" s="2984" t="s">
        <v>120</v>
      </c>
      <c r="U23" s="2973"/>
      <c r="V23" s="2029">
        <f t="shared" si="1"/>
        <v>90552000</v>
      </c>
      <c r="X23" s="2978" t="s">
        <v>875</v>
      </c>
      <c r="Y23" s="2979">
        <v>90957500</v>
      </c>
      <c r="Z23" s="2980">
        <v>77314000</v>
      </c>
      <c r="AA23" s="2981">
        <f t="shared" si="3"/>
        <v>168271500</v>
      </c>
      <c r="AC23" s="2985" t="s">
        <v>120</v>
      </c>
      <c r="AD23" s="2983"/>
      <c r="AE23" s="2977">
        <f t="shared" si="4"/>
        <v>64742900</v>
      </c>
      <c r="AF23" s="2918"/>
      <c r="AG23" s="2909"/>
      <c r="AH23" s="2910"/>
      <c r="AI23" s="2911"/>
      <c r="AJ23" s="2904"/>
      <c r="AK23" s="2178"/>
      <c r="AL23" s="2746">
        <v>6743600</v>
      </c>
      <c r="AM23" s="2747">
        <v>4046200</v>
      </c>
      <c r="AN23" s="2178"/>
      <c r="AQ23" s="2874"/>
      <c r="AR23" s="2178"/>
      <c r="AS23" s="2178"/>
      <c r="AT23" s="2178"/>
      <c r="AU23" s="2865"/>
      <c r="AW23" s="2882"/>
      <c r="AY23" s="2178"/>
    </row>
    <row r="24" spans="3:51">
      <c r="C24" s="2787" t="s">
        <v>711</v>
      </c>
      <c r="D24" s="2843">
        <f t="shared" si="2"/>
        <v>51636500</v>
      </c>
      <c r="F24" s="2745" t="s">
        <v>875</v>
      </c>
      <c r="G24" s="2746">
        <v>129718000</v>
      </c>
      <c r="H24" s="2747">
        <v>77314000</v>
      </c>
      <c r="I24" s="2744">
        <f t="shared" si="6"/>
        <v>207032000</v>
      </c>
      <c r="J24" s="1367"/>
      <c r="K24" s="2787" t="s">
        <v>711</v>
      </c>
      <c r="L24" s="2894"/>
      <c r="M24" s="2895">
        <f t="shared" si="0"/>
        <v>51636500</v>
      </c>
      <c r="N24" s="2334"/>
      <c r="O24" s="2745" t="s">
        <v>875</v>
      </c>
      <c r="P24" s="2746">
        <v>129718000</v>
      </c>
      <c r="Q24" s="2747">
        <v>110260000</v>
      </c>
      <c r="R24" s="2744">
        <f t="shared" si="5"/>
        <v>239978000</v>
      </c>
      <c r="S24" s="1365"/>
      <c r="T24" s="2984" t="s">
        <v>711</v>
      </c>
      <c r="U24" s="2973"/>
      <c r="V24" s="2029">
        <f t="shared" si="1"/>
        <v>51636500</v>
      </c>
      <c r="X24" s="2978" t="s">
        <v>998</v>
      </c>
      <c r="Y24" s="2979">
        <v>25041000</v>
      </c>
      <c r="Z24" s="2980">
        <v>16276500</v>
      </c>
      <c r="AA24" s="2981">
        <f t="shared" si="3"/>
        <v>41317500</v>
      </c>
      <c r="AC24" s="2985" t="s">
        <v>711</v>
      </c>
      <c r="AD24" s="2983"/>
      <c r="AE24" s="2977">
        <f t="shared" si="4"/>
        <v>43557100</v>
      </c>
      <c r="AF24" s="2918"/>
      <c r="AG24" s="2909"/>
      <c r="AH24" s="2910"/>
      <c r="AI24" s="2911"/>
      <c r="AJ24" s="2904"/>
      <c r="AK24" s="2178"/>
      <c r="AL24" s="2746">
        <v>29901600</v>
      </c>
      <c r="AM24" s="2747">
        <v>23105700</v>
      </c>
      <c r="AN24" s="2178"/>
      <c r="AQ24" s="2874"/>
      <c r="AR24" s="2178"/>
      <c r="AS24" s="2178"/>
      <c r="AT24" s="2178"/>
      <c r="AU24" s="2865"/>
      <c r="AY24" s="2178"/>
    </row>
    <row r="25" spans="3:51">
      <c r="C25" s="2787" t="s">
        <v>907</v>
      </c>
      <c r="D25" s="2843">
        <f>SUM(D18:D24)</f>
        <v>1320008018.367347</v>
      </c>
      <c r="F25" s="2745" t="s">
        <v>998</v>
      </c>
      <c r="G25" s="2746">
        <v>40774500</v>
      </c>
      <c r="H25" s="2747">
        <v>16276500</v>
      </c>
      <c r="I25" s="2744">
        <f t="shared" si="6"/>
        <v>57051000</v>
      </c>
      <c r="J25" s="1367"/>
      <c r="K25" s="2787" t="s">
        <v>907</v>
      </c>
      <c r="L25" s="2894"/>
      <c r="M25" s="2895">
        <f>SUM(M18:M24)</f>
        <v>1320008018.367347</v>
      </c>
      <c r="N25" s="2334"/>
      <c r="O25" s="2745" t="s">
        <v>998</v>
      </c>
      <c r="P25" s="2746">
        <v>40774500</v>
      </c>
      <c r="Q25" s="2747">
        <v>26503500</v>
      </c>
      <c r="R25" s="2744">
        <f t="shared" si="5"/>
        <v>67278000</v>
      </c>
      <c r="S25" s="1365"/>
      <c r="T25" s="2984" t="s">
        <v>907</v>
      </c>
      <c r="U25" s="2973"/>
      <c r="V25" s="2029">
        <f>SUM(V18:V22)</f>
        <v>1177819518.367347</v>
      </c>
      <c r="X25" s="2978" t="s">
        <v>898</v>
      </c>
      <c r="Y25" s="2979">
        <v>24127700</v>
      </c>
      <c r="Z25" s="2980">
        <v>13160700</v>
      </c>
      <c r="AA25" s="2981">
        <f t="shared" si="3"/>
        <v>37288400</v>
      </c>
      <c r="AC25" s="2985" t="s">
        <v>907</v>
      </c>
      <c r="AD25" s="2983"/>
      <c r="AE25" s="2977">
        <f>SUM(AE18:AE24)</f>
        <v>942711212.24489796</v>
      </c>
      <c r="AF25" s="2918"/>
      <c r="AG25" s="2909"/>
      <c r="AH25" s="2910"/>
      <c r="AI25" s="2911"/>
      <c r="AJ25" s="2904"/>
      <c r="AK25" s="2178"/>
      <c r="AL25" s="2746">
        <v>4707000</v>
      </c>
      <c r="AM25" s="2747">
        <v>3209000</v>
      </c>
      <c r="AN25" s="2178"/>
      <c r="AQ25" s="2874"/>
      <c r="AR25" s="2178"/>
      <c r="AS25" s="2178"/>
      <c r="AT25" s="2178"/>
      <c r="AU25" s="2865"/>
      <c r="AY25" s="2178"/>
    </row>
    <row r="26" spans="3:51" ht="15.75" thickBot="1">
      <c r="C26" s="2788" t="s">
        <v>1004</v>
      </c>
      <c r="D26" s="2843">
        <f>IF($D$10=1,M26,IF($D$10=2,V26,0))</f>
        <v>99000601.377551019</v>
      </c>
      <c r="F26" s="2745" t="s">
        <v>898</v>
      </c>
      <c r="G26" s="2746">
        <v>35782800</v>
      </c>
      <c r="H26" s="2747">
        <v>13160700</v>
      </c>
      <c r="I26" s="2744">
        <f t="shared" si="6"/>
        <v>48943500</v>
      </c>
      <c r="J26" s="1367"/>
      <c r="K26" s="2788" t="s">
        <v>1004</v>
      </c>
      <c r="L26" s="2896">
        <f>IF($D$8&lt;=2,F52,0)</f>
        <v>0</v>
      </c>
      <c r="M26" s="2897">
        <f>IF($D$8&lt;=3,G50,0)</f>
        <v>99000601.377551019</v>
      </c>
      <c r="N26" s="2334"/>
      <c r="O26" s="2745" t="s">
        <v>898</v>
      </c>
      <c r="P26" s="2746">
        <v>35782800</v>
      </c>
      <c r="Q26" s="2747">
        <v>17891600</v>
      </c>
      <c r="R26" s="2744">
        <f t="shared" si="5"/>
        <v>53674400</v>
      </c>
      <c r="S26" s="1365"/>
      <c r="T26" s="2986" t="s">
        <v>1004</v>
      </c>
      <c r="U26" s="2987">
        <f>IF($D$8&lt;=2,O52,0)</f>
        <v>0</v>
      </c>
      <c r="V26" s="2029">
        <f>IF($D$8&lt;=3,P50,0)</f>
        <v>99000601.377551019</v>
      </c>
      <c r="X26" s="2978" t="s">
        <v>899</v>
      </c>
      <c r="Y26" s="2979">
        <v>6743600</v>
      </c>
      <c r="Z26" s="2980">
        <v>4046200</v>
      </c>
      <c r="AA26" s="2981">
        <f t="shared" si="3"/>
        <v>10789800</v>
      </c>
      <c r="AC26" s="2988" t="s">
        <v>1004</v>
      </c>
      <c r="AD26" s="2989"/>
      <c r="AE26" s="2990">
        <f>IF($D$8&lt;=3,Y50,0)</f>
        <v>70703340.918367341</v>
      </c>
      <c r="AF26" s="2918"/>
      <c r="AG26" s="2909"/>
      <c r="AH26" s="2910"/>
      <c r="AI26" s="2911"/>
      <c r="AJ26" s="2904"/>
      <c r="AK26" s="2178"/>
      <c r="AL26" s="2748"/>
      <c r="AM26" s="2749"/>
      <c r="AN26" s="2178"/>
      <c r="AQ26" s="2874"/>
      <c r="AR26" s="2178"/>
      <c r="AS26" s="2178"/>
      <c r="AT26" s="2178"/>
      <c r="AU26" s="2865"/>
      <c r="AY26" s="2178"/>
    </row>
    <row r="27" spans="3:51" ht="15.75" thickBot="1">
      <c r="C27" s="2791" t="s">
        <v>655</v>
      </c>
      <c r="D27" s="2844">
        <f>D25+D26</f>
        <v>1419008619.7448981</v>
      </c>
      <c r="F27" s="2745" t="s">
        <v>899</v>
      </c>
      <c r="G27" s="2746">
        <v>10560300</v>
      </c>
      <c r="H27" s="2747">
        <v>4046200</v>
      </c>
      <c r="I27" s="2744">
        <f t="shared" si="6"/>
        <v>14606500</v>
      </c>
      <c r="J27" s="1367"/>
      <c r="K27" s="2791" t="s">
        <v>655</v>
      </c>
      <c r="L27" s="2792"/>
      <c r="M27" s="2898">
        <f>M25+M26</f>
        <v>1419008619.7448981</v>
      </c>
      <c r="N27" s="2334"/>
      <c r="O27" s="2745" t="s">
        <v>899</v>
      </c>
      <c r="P27" s="2746">
        <v>10560300</v>
      </c>
      <c r="Q27" s="2747">
        <v>6336000</v>
      </c>
      <c r="R27" s="2744">
        <f t="shared" si="5"/>
        <v>16896300</v>
      </c>
      <c r="S27" s="1365"/>
      <c r="T27" s="2991" t="s">
        <v>655</v>
      </c>
      <c r="U27" s="2992"/>
      <c r="V27" s="2993">
        <f>V25+V26</f>
        <v>1276820119.7448981</v>
      </c>
      <c r="X27" s="2994" t="s">
        <v>900</v>
      </c>
      <c r="Y27" s="2995">
        <f>29901600+'Support infra Nasarawa State '!F24</f>
        <v>44632212.244897962</v>
      </c>
      <c r="Z27" s="2996">
        <f>23105700+'Support infra Nasarawa State '!F25</f>
        <v>37836312.244897962</v>
      </c>
      <c r="AA27" s="2997">
        <f t="shared" si="3"/>
        <v>82468524.489795923</v>
      </c>
      <c r="AC27" s="2998" t="s">
        <v>655</v>
      </c>
      <c r="AD27" s="2992"/>
      <c r="AE27" s="2999">
        <f>AE25+AE26</f>
        <v>1013414553.1632653</v>
      </c>
      <c r="AF27" s="2918"/>
      <c r="AG27" s="2909"/>
      <c r="AH27" s="2910"/>
      <c r="AI27" s="2911"/>
      <c r="AJ27" s="2904"/>
      <c r="AK27" s="2178"/>
      <c r="AL27" s="2746">
        <v>41086800</v>
      </c>
      <c r="AM27" s="2747">
        <v>34923900</v>
      </c>
      <c r="AN27" s="2178"/>
      <c r="AQ27" s="2874"/>
      <c r="AR27" s="2178"/>
      <c r="AS27" s="2178"/>
      <c r="AT27" s="2178"/>
      <c r="AU27" s="2865"/>
      <c r="AY27" s="2178"/>
    </row>
    <row r="28" spans="3:51" ht="15.75" thickBot="1">
      <c r="C28" s="2845"/>
      <c r="D28" s="2846"/>
      <c r="F28" s="2745" t="s">
        <v>900</v>
      </c>
      <c r="G28" s="2746">
        <f>42483000+'Support infra Nasarawa State '!D24</f>
        <v>64578918.367346942</v>
      </c>
      <c r="H28" s="2747">
        <f>23105700+'Support infra Nasarawa State '!D25</f>
        <v>37836312.244897962</v>
      </c>
      <c r="I28" s="2744">
        <f t="shared" si="6"/>
        <v>102415230.6122449</v>
      </c>
      <c r="J28" s="1367"/>
      <c r="K28" s="750"/>
      <c r="L28" s="750"/>
      <c r="M28" s="751"/>
      <c r="N28" s="2334"/>
      <c r="O28" s="2745" t="s">
        <v>900</v>
      </c>
      <c r="P28" s="2746">
        <f>42483000+'Support infra Nasarawa State '!E24</f>
        <v>64578918.367346942</v>
      </c>
      <c r="Q28" s="2747">
        <f>31862400+'Support infra Nasarawa State '!E25</f>
        <v>53958318.367346942</v>
      </c>
      <c r="R28" s="2744">
        <f t="shared" si="5"/>
        <v>118537236.73469388</v>
      </c>
      <c r="S28" s="1365"/>
      <c r="T28" s="3000"/>
      <c r="U28" s="3001"/>
      <c r="V28" s="536"/>
      <c r="X28" s="2978" t="s">
        <v>999</v>
      </c>
      <c r="Y28" s="2995">
        <v>4707000</v>
      </c>
      <c r="Z28" s="2996">
        <v>3209000</v>
      </c>
      <c r="AA28" s="2997">
        <f t="shared" si="3"/>
        <v>7916000</v>
      </c>
      <c r="AF28" s="2918"/>
      <c r="AG28" s="2909"/>
      <c r="AH28" s="2910"/>
      <c r="AI28" s="2911"/>
      <c r="AJ28" s="2904"/>
      <c r="AK28" s="2178"/>
      <c r="AL28" s="2746">
        <v>25625700</v>
      </c>
      <c r="AM28" s="2747">
        <v>12813300</v>
      </c>
      <c r="AQ28" s="2874"/>
      <c r="AR28" s="2178"/>
      <c r="AS28" s="2178"/>
      <c r="AT28" s="2178"/>
      <c r="AU28" s="2865"/>
      <c r="AY28" s="2178"/>
    </row>
    <row r="29" spans="3:51" ht="18.75">
      <c r="C29" s="2779" t="s">
        <v>1005</v>
      </c>
      <c r="D29" s="2781"/>
      <c r="F29" s="2745" t="s">
        <v>654</v>
      </c>
      <c r="G29" s="2746">
        <v>15955000</v>
      </c>
      <c r="H29" s="2747">
        <v>3209000</v>
      </c>
      <c r="I29" s="2744">
        <f t="shared" si="6"/>
        <v>19164000</v>
      </c>
      <c r="J29" s="1367"/>
      <c r="K29" s="2794" t="s">
        <v>1005</v>
      </c>
      <c r="L29" s="2771"/>
      <c r="M29" s="2772" t="s">
        <v>991</v>
      </c>
      <c r="N29" s="2334"/>
      <c r="O29" s="2745" t="s">
        <v>999</v>
      </c>
      <c r="P29" s="2746">
        <v>15955000</v>
      </c>
      <c r="Q29" s="2747">
        <v>15955000</v>
      </c>
      <c r="R29" s="2744">
        <f t="shared" si="5"/>
        <v>31910000</v>
      </c>
      <c r="S29" s="1365"/>
      <c r="T29" s="3002" t="s">
        <v>1005</v>
      </c>
      <c r="U29" s="2965"/>
      <c r="V29" s="2966" t="s">
        <v>991</v>
      </c>
      <c r="X29" s="3000"/>
      <c r="Y29" s="2995"/>
      <c r="Z29" s="2996"/>
      <c r="AA29" s="2996"/>
      <c r="AC29" s="3003" t="s">
        <v>1005</v>
      </c>
      <c r="AD29" s="3004"/>
      <c r="AE29" s="3005" t="s">
        <v>991</v>
      </c>
      <c r="AF29" s="2918"/>
      <c r="AG29" s="2909"/>
      <c r="AH29" s="2910"/>
      <c r="AI29" s="2911"/>
      <c r="AJ29" s="2904"/>
      <c r="AK29" s="2178"/>
      <c r="AL29" s="2746">
        <v>34462800</v>
      </c>
      <c r="AM29" s="2747">
        <v>20677500</v>
      </c>
      <c r="AN29" s="2877"/>
      <c r="AQ29" s="2874"/>
      <c r="AR29" s="2178"/>
      <c r="AS29" s="2178"/>
      <c r="AT29" s="2178"/>
      <c r="AU29" s="2865"/>
      <c r="AY29" s="2178"/>
    </row>
    <row r="30" spans="3:51" ht="18.75">
      <c r="C30" s="2782" t="s">
        <v>1934</v>
      </c>
      <c r="D30" s="2847">
        <f>(IF($D$10=1,M30,IF($D$10=2,V30,0)))</f>
        <v>3209000</v>
      </c>
      <c r="F30" s="2741" t="s">
        <v>880</v>
      </c>
      <c r="G30" s="2748"/>
      <c r="H30" s="2749"/>
      <c r="I30" s="2744"/>
      <c r="J30" s="1365"/>
      <c r="K30" s="2773" t="s">
        <v>1003</v>
      </c>
      <c r="L30" s="2795"/>
      <c r="M30" s="2796">
        <f t="shared" ref="M30:M36" si="7">IF($D$8=2,H42,0)</f>
        <v>3209000</v>
      </c>
      <c r="N30" s="2334"/>
      <c r="O30" s="2741" t="s">
        <v>880</v>
      </c>
      <c r="P30" s="2748"/>
      <c r="Q30" s="2749"/>
      <c r="R30" s="2744"/>
      <c r="S30" s="1365"/>
      <c r="T30" s="2975" t="s">
        <v>1003</v>
      </c>
      <c r="U30" s="2976"/>
      <c r="V30" s="461">
        <f t="shared" ref="V30:V36" si="8">IF($D$8&lt;=3,Q42,0)</f>
        <v>15955000</v>
      </c>
      <c r="X30" s="2974" t="s">
        <v>880</v>
      </c>
      <c r="Y30" s="3006"/>
      <c r="Z30" s="3007"/>
      <c r="AA30" s="2997">
        <f t="shared" ref="AA30:AA38" si="9">Y30+Z30</f>
        <v>0</v>
      </c>
      <c r="AC30" s="2975" t="s">
        <v>1003</v>
      </c>
      <c r="AD30" s="2976"/>
      <c r="AE30" s="2977">
        <f>IF($D$8&gt;=2,Z42,0)</f>
        <v>3209000</v>
      </c>
      <c r="AF30" s="2918"/>
      <c r="AG30" s="2907"/>
      <c r="AH30" s="2912"/>
      <c r="AI30" s="2912"/>
      <c r="AJ30" s="2904"/>
      <c r="AK30" s="2178"/>
      <c r="AL30" s="2746">
        <v>13838700</v>
      </c>
      <c r="AM30" s="2747">
        <v>10379000</v>
      </c>
      <c r="AN30" s="2178"/>
      <c r="AQ30" s="2873"/>
      <c r="AR30" s="2178"/>
      <c r="AS30" s="2178"/>
      <c r="AT30" s="2178"/>
      <c r="AU30" s="2865"/>
    </row>
    <row r="31" spans="3:51" ht="18.75">
      <c r="C31" s="2782" t="s">
        <v>2390</v>
      </c>
      <c r="D31" s="2847">
        <f>IF($D$10=1,M31,IF($D$10=2,V31,0))</f>
        <v>577117600</v>
      </c>
      <c r="E31" s="1366"/>
      <c r="F31" s="2745" t="s">
        <v>901</v>
      </c>
      <c r="G31" s="2746">
        <v>52009200</v>
      </c>
      <c r="H31" s="2747">
        <v>34923900</v>
      </c>
      <c r="I31" s="2744">
        <f>G31+H31</f>
        <v>86933100</v>
      </c>
      <c r="J31" s="1367"/>
      <c r="K31" s="2773" t="s">
        <v>1029</v>
      </c>
      <c r="L31" s="2797"/>
      <c r="M31" s="2796">
        <f t="shared" si="7"/>
        <v>577117600</v>
      </c>
      <c r="N31" s="2334"/>
      <c r="O31" s="2745" t="s">
        <v>901</v>
      </c>
      <c r="P31" s="2746">
        <v>52009200</v>
      </c>
      <c r="Q31" s="2747">
        <v>44207900</v>
      </c>
      <c r="R31" s="2744">
        <f>P31+Q31</f>
        <v>96217100</v>
      </c>
      <c r="S31" s="1365"/>
      <c r="T31" s="2975" t="s">
        <v>2391</v>
      </c>
      <c r="U31" s="2982"/>
      <c r="V31" s="461">
        <f t="shared" si="8"/>
        <v>813302500</v>
      </c>
      <c r="X31" s="3008" t="s">
        <v>901</v>
      </c>
      <c r="Y31" s="3009">
        <v>41086800</v>
      </c>
      <c r="Z31" s="3007">
        <v>34923900</v>
      </c>
      <c r="AA31" s="2997">
        <f t="shared" si="9"/>
        <v>76010700</v>
      </c>
      <c r="AC31" s="2975" t="s">
        <v>891</v>
      </c>
      <c r="AD31" s="2982"/>
      <c r="AE31" s="2977">
        <f t="shared" ref="AE31:AE38" si="10">IF($D$8&gt;=2,Z43,0)</f>
        <v>577117600</v>
      </c>
      <c r="AF31" s="2918"/>
      <c r="AG31" s="2909"/>
      <c r="AH31" s="2910"/>
      <c r="AI31" s="2911"/>
      <c r="AJ31" s="2904"/>
      <c r="AK31" s="2178"/>
      <c r="AL31" s="2746">
        <v>43557100</v>
      </c>
      <c r="AM31" s="2747">
        <v>32667800</v>
      </c>
      <c r="AN31" s="2178"/>
      <c r="AQ31" s="2874"/>
      <c r="AR31" s="2178"/>
      <c r="AS31" s="2178"/>
      <c r="AT31" s="2178"/>
      <c r="AU31" s="2865"/>
      <c r="AW31" s="2880"/>
      <c r="AX31" s="2880"/>
      <c r="AY31" s="2877"/>
    </row>
    <row r="32" spans="3:51" ht="18.75">
      <c r="C32" s="2782" t="s">
        <v>845</v>
      </c>
      <c r="D32" s="2847">
        <f>IF($D$10=1,M32,IF($D$10=2,V32,0))</f>
        <v>37836312.244897962</v>
      </c>
      <c r="E32" s="1366"/>
      <c r="F32" s="2745" t="s">
        <v>902</v>
      </c>
      <c r="G32" s="2746">
        <v>34779800</v>
      </c>
      <c r="H32" s="2747">
        <v>12813300</v>
      </c>
      <c r="I32" s="2744">
        <f t="shared" ref="I32:I37" si="11">G32+H32</f>
        <v>47593100</v>
      </c>
      <c r="J32" s="1367"/>
      <c r="K32" s="2773" t="s">
        <v>845</v>
      </c>
      <c r="L32" s="2797"/>
      <c r="M32" s="2796">
        <f t="shared" si="7"/>
        <v>37836312.244897962</v>
      </c>
      <c r="N32" s="2334"/>
      <c r="O32" s="2745" t="s">
        <v>902</v>
      </c>
      <c r="P32" s="2746">
        <v>34779800</v>
      </c>
      <c r="Q32" s="2747">
        <v>17389900</v>
      </c>
      <c r="R32" s="2744">
        <f t="shared" ref="R32:R38" si="12">P32+Q32</f>
        <v>52169700</v>
      </c>
      <c r="S32" s="1365"/>
      <c r="T32" s="2975" t="s">
        <v>845</v>
      </c>
      <c r="U32" s="2982"/>
      <c r="V32" s="461">
        <f t="shared" si="8"/>
        <v>53958318.367346942</v>
      </c>
      <c r="X32" s="3008" t="s">
        <v>902</v>
      </c>
      <c r="Y32" s="3010">
        <v>25625700</v>
      </c>
      <c r="Z32" s="3007">
        <v>12813300</v>
      </c>
      <c r="AA32" s="2997">
        <f t="shared" si="9"/>
        <v>38439000</v>
      </c>
      <c r="AC32" s="2975" t="s">
        <v>845</v>
      </c>
      <c r="AD32" s="2982"/>
      <c r="AE32" s="2977">
        <f t="shared" si="10"/>
        <v>37836312.244897962</v>
      </c>
      <c r="AF32" s="2918"/>
      <c r="AG32" s="2909"/>
      <c r="AH32" s="2910"/>
      <c r="AI32" s="2911"/>
      <c r="AJ32" s="2904"/>
      <c r="AK32" s="2178"/>
      <c r="AL32" s="2746">
        <v>56868000</v>
      </c>
      <c r="AM32" s="2747">
        <v>42651000</v>
      </c>
      <c r="AN32" s="2178"/>
      <c r="AQ32" s="2874"/>
      <c r="AR32" s="2178"/>
      <c r="AS32" s="2178"/>
      <c r="AT32" s="2178"/>
      <c r="AU32" s="2865"/>
      <c r="AW32" s="2882"/>
      <c r="AX32" s="2883"/>
      <c r="AY32" s="2178"/>
    </row>
    <row r="33" spans="2:51" ht="19.5" thickBot="1">
      <c r="C33" s="2782" t="s">
        <v>119</v>
      </c>
      <c r="D33" s="2847">
        <f>IF($D$10=1,M33,IF($D$10=2,V33,0))</f>
        <v>42651000</v>
      </c>
      <c r="F33" s="2745" t="s">
        <v>903</v>
      </c>
      <c r="G33" s="2746">
        <v>47516500</v>
      </c>
      <c r="H33" s="2747">
        <v>20677500</v>
      </c>
      <c r="I33" s="2744">
        <f t="shared" si="11"/>
        <v>68194000</v>
      </c>
      <c r="J33" s="1367"/>
      <c r="K33" s="2773" t="s">
        <v>119</v>
      </c>
      <c r="L33" s="2798"/>
      <c r="M33" s="2796">
        <f t="shared" si="7"/>
        <v>42651000</v>
      </c>
      <c r="N33" s="2334"/>
      <c r="O33" s="2745" t="s">
        <v>903</v>
      </c>
      <c r="P33" s="2746">
        <v>47516500</v>
      </c>
      <c r="Q33" s="2747">
        <v>28510200</v>
      </c>
      <c r="R33" s="2744">
        <f t="shared" si="12"/>
        <v>76026700</v>
      </c>
      <c r="S33" s="1365"/>
      <c r="T33" s="2975" t="s">
        <v>119</v>
      </c>
      <c r="U33" s="2983"/>
      <c r="V33" s="461">
        <f t="shared" si="8"/>
        <v>54650600</v>
      </c>
      <c r="X33" s="3008" t="s">
        <v>903</v>
      </c>
      <c r="Y33" s="3010">
        <v>34462800</v>
      </c>
      <c r="Z33" s="3007">
        <v>20677500</v>
      </c>
      <c r="AA33" s="2997">
        <f t="shared" si="9"/>
        <v>55140300</v>
      </c>
      <c r="AC33" s="2975" t="s">
        <v>119</v>
      </c>
      <c r="AD33" s="2983"/>
      <c r="AE33" s="2977">
        <f t="shared" si="10"/>
        <v>42651000</v>
      </c>
      <c r="AF33" s="2918"/>
      <c r="AG33" s="2909"/>
      <c r="AH33" s="2910"/>
      <c r="AI33" s="2911"/>
      <c r="AJ33" s="2904"/>
      <c r="AK33" s="2178"/>
      <c r="AL33" s="2805">
        <f>SUM(AL16:AL32)</f>
        <v>863237700</v>
      </c>
      <c r="AM33" s="2806">
        <f>SUM(AM16:AM32)</f>
        <v>757544800</v>
      </c>
      <c r="AN33" s="2178"/>
      <c r="AQ33" s="2874"/>
      <c r="AR33" s="2178"/>
      <c r="AS33" s="2178"/>
      <c r="AT33" s="2178"/>
      <c r="AU33" s="2865"/>
      <c r="AW33" s="2882"/>
      <c r="AX33" s="2884"/>
      <c r="AY33" s="2178"/>
    </row>
    <row r="34" spans="2:51" ht="19.5" thickBot="1">
      <c r="C34" s="2787" t="s">
        <v>122</v>
      </c>
      <c r="D34" s="2847">
        <f>IF($D$10=1,M34,IF($D$10=2,V34,0))</f>
        <v>78793700</v>
      </c>
      <c r="F34" s="2745" t="s">
        <v>904</v>
      </c>
      <c r="G34" s="2746">
        <v>20965900</v>
      </c>
      <c r="H34" s="2747">
        <v>10379000</v>
      </c>
      <c r="I34" s="2744">
        <f t="shared" si="11"/>
        <v>31344900</v>
      </c>
      <c r="J34" s="1367"/>
      <c r="K34" s="2775" t="s">
        <v>122</v>
      </c>
      <c r="L34" s="2798"/>
      <c r="M34" s="2796">
        <f t="shared" si="7"/>
        <v>78793700</v>
      </c>
      <c r="N34" s="2334"/>
      <c r="O34" s="2745" t="s">
        <v>904</v>
      </c>
      <c r="P34" s="2746">
        <v>20965900</v>
      </c>
      <c r="Q34" s="2747">
        <v>15724400</v>
      </c>
      <c r="R34" s="2744">
        <f t="shared" si="12"/>
        <v>36690300</v>
      </c>
      <c r="S34" s="1365"/>
      <c r="T34" s="2985" t="s">
        <v>122</v>
      </c>
      <c r="U34" s="2983"/>
      <c r="V34" s="461">
        <f t="shared" si="8"/>
        <v>105832400</v>
      </c>
      <c r="X34" s="3008" t="s">
        <v>904</v>
      </c>
      <c r="Y34" s="3010">
        <v>13838700</v>
      </c>
      <c r="Z34" s="3007">
        <v>10379000</v>
      </c>
      <c r="AA34" s="2997">
        <f t="shared" si="9"/>
        <v>24217700</v>
      </c>
      <c r="AC34" s="2985" t="s">
        <v>122</v>
      </c>
      <c r="AD34" s="2983"/>
      <c r="AE34" s="2977">
        <f t="shared" si="10"/>
        <v>78793700</v>
      </c>
      <c r="AF34" s="2918"/>
      <c r="AG34" s="2909"/>
      <c r="AH34" s="2910"/>
      <c r="AI34" s="2911"/>
      <c r="AJ34" s="2904"/>
      <c r="AK34" s="2178"/>
      <c r="AL34" s="2808">
        <v>64742900</v>
      </c>
      <c r="AM34" s="2809">
        <v>56815900</v>
      </c>
      <c r="AN34" s="2178"/>
      <c r="AQ34" s="2874"/>
      <c r="AR34" s="2178"/>
      <c r="AS34" s="2178"/>
      <c r="AT34" s="2178"/>
      <c r="AU34" s="2865"/>
      <c r="AW34" s="2882"/>
      <c r="AX34" s="2884"/>
      <c r="AY34" s="2178"/>
    </row>
    <row r="35" spans="2:51" ht="19.5" thickBot="1">
      <c r="B35" s="2161"/>
      <c r="C35" s="2787" t="s">
        <v>120</v>
      </c>
      <c r="D35" s="2847">
        <f>IF($D$10=1,M35,IF($D$10=2,V35,IF($D$10=3,AE35,IF($D$10=4,AN35,IF(D10=5,AY37,0)))))</f>
        <v>56815900</v>
      </c>
      <c r="F35" s="2745" t="s">
        <v>9</v>
      </c>
      <c r="G35" s="2746">
        <v>51636500</v>
      </c>
      <c r="H35" s="2747">
        <v>32667800</v>
      </c>
      <c r="I35" s="2744">
        <f t="shared" si="11"/>
        <v>84304300</v>
      </c>
      <c r="J35" s="1367"/>
      <c r="K35" s="2775" t="s">
        <v>120</v>
      </c>
      <c r="L35" s="2798"/>
      <c r="M35" s="2796">
        <f t="shared" si="7"/>
        <v>56815900</v>
      </c>
      <c r="N35" s="2334"/>
      <c r="O35" s="2745" t="s">
        <v>9</v>
      </c>
      <c r="P35" s="2746">
        <v>51636500</v>
      </c>
      <c r="Q35" s="2747">
        <v>38727600</v>
      </c>
      <c r="R35" s="2744">
        <f t="shared" si="12"/>
        <v>90364100</v>
      </c>
      <c r="S35" s="1365"/>
      <c r="T35" s="2985" t="s">
        <v>120</v>
      </c>
      <c r="U35" s="2983"/>
      <c r="V35" s="461">
        <f t="shared" si="8"/>
        <v>79524800</v>
      </c>
      <c r="X35" s="2978" t="s">
        <v>9</v>
      </c>
      <c r="Y35" s="2995">
        <v>43557100</v>
      </c>
      <c r="Z35" s="3007">
        <v>32667800</v>
      </c>
      <c r="AA35" s="2997">
        <f t="shared" si="9"/>
        <v>76224900</v>
      </c>
      <c r="AC35" s="2985" t="s">
        <v>120</v>
      </c>
      <c r="AD35" s="2983"/>
      <c r="AE35" s="2977">
        <f t="shared" si="10"/>
        <v>56815900</v>
      </c>
      <c r="AF35" s="2918"/>
      <c r="AG35" s="2909"/>
      <c r="AH35" s="2910"/>
      <c r="AI35" s="2911"/>
      <c r="AJ35" s="2904"/>
      <c r="AK35" s="2178"/>
      <c r="AL35" s="2808">
        <f>AL33+AL34</f>
        <v>927980600</v>
      </c>
      <c r="AM35" s="2809">
        <f>AM33+AM34</f>
        <v>814360700</v>
      </c>
      <c r="AN35" s="2178"/>
      <c r="AQ35" s="2874"/>
      <c r="AR35" s="2178"/>
      <c r="AS35" s="2178"/>
      <c r="AT35" s="2178"/>
      <c r="AU35" s="2865"/>
      <c r="AW35" s="2882"/>
      <c r="AY35" s="2178"/>
    </row>
    <row r="36" spans="2:51" ht="19.5" thickBot="1">
      <c r="C36" s="2787" t="s">
        <v>711</v>
      </c>
      <c r="D36" s="2847">
        <f>IF($D$10=1,M36,IF($D$10=2,V35,0))</f>
        <v>32667800</v>
      </c>
      <c r="F36" s="2745" t="s">
        <v>1503</v>
      </c>
      <c r="G36" s="2746">
        <v>72867200</v>
      </c>
      <c r="H36" s="2747">
        <v>42651000</v>
      </c>
      <c r="I36" s="2744">
        <f t="shared" si="11"/>
        <v>115518200</v>
      </c>
      <c r="J36" s="1367"/>
      <c r="K36" s="2775" t="s">
        <v>711</v>
      </c>
      <c r="L36" s="2798"/>
      <c r="M36" s="2796">
        <f t="shared" si="7"/>
        <v>32667800</v>
      </c>
      <c r="N36" s="2334"/>
      <c r="O36" s="2745" t="s">
        <v>1000</v>
      </c>
      <c r="P36" s="2746">
        <v>72867200</v>
      </c>
      <c r="Q36" s="2747">
        <v>54650600</v>
      </c>
      <c r="R36" s="2744">
        <f t="shared" si="12"/>
        <v>127517800</v>
      </c>
      <c r="S36" s="1365"/>
      <c r="T36" s="2985" t="s">
        <v>711</v>
      </c>
      <c r="U36" s="2983"/>
      <c r="V36" s="461">
        <f t="shared" si="8"/>
        <v>38727600</v>
      </c>
      <c r="X36" s="2978" t="s">
        <v>1000</v>
      </c>
      <c r="Y36" s="3011">
        <v>56868000</v>
      </c>
      <c r="Z36" s="3007">
        <v>42651000</v>
      </c>
      <c r="AA36" s="2997">
        <f t="shared" si="9"/>
        <v>99519000</v>
      </c>
      <c r="AC36" s="2985" t="s">
        <v>711</v>
      </c>
      <c r="AD36" s="2983"/>
      <c r="AE36" s="2977">
        <f t="shared" si="10"/>
        <v>32667800</v>
      </c>
      <c r="AF36" s="2918"/>
      <c r="AG36" s="2909"/>
      <c r="AH36" s="2910"/>
      <c r="AI36" s="2911"/>
      <c r="AJ36" s="2904"/>
      <c r="AK36" s="2178"/>
      <c r="AN36" s="2178"/>
      <c r="AQ36" s="2874"/>
      <c r="AR36" s="2178"/>
      <c r="AS36" s="2178"/>
      <c r="AT36" s="2178"/>
      <c r="AU36" s="2865"/>
      <c r="AY36" s="2178"/>
    </row>
    <row r="37" spans="2:51" ht="19.5" thickBot="1">
      <c r="C37" s="2787" t="s">
        <v>907</v>
      </c>
      <c r="D37" s="2847">
        <f>SUM(D30:D36)</f>
        <v>829091312.24489796</v>
      </c>
      <c r="F37" s="2750" t="s">
        <v>1001</v>
      </c>
      <c r="G37" s="2751">
        <f>SUM(G20:G36)</f>
        <v>1229456018.367347</v>
      </c>
      <c r="H37" s="2751">
        <f>SUM(H20:H36)</f>
        <v>772275412.24489796</v>
      </c>
      <c r="I37" s="2744">
        <f t="shared" si="11"/>
        <v>2001731430.6122451</v>
      </c>
      <c r="J37" s="1367"/>
      <c r="K37" s="2775" t="s">
        <v>907</v>
      </c>
      <c r="L37" s="2798"/>
      <c r="M37" s="2796">
        <f>SUM(M30:M36)</f>
        <v>829091312.24489796</v>
      </c>
      <c r="N37" s="2334"/>
      <c r="O37" s="2750" t="s">
        <v>1001</v>
      </c>
      <c r="P37" s="2805">
        <f>SUM(P20:P36)</f>
        <v>1229456018.367347</v>
      </c>
      <c r="Q37" s="2806">
        <f>SUM(Q20:Q36)</f>
        <v>1082426418.367347</v>
      </c>
      <c r="R37" s="2744">
        <f t="shared" si="12"/>
        <v>2311882436.734694</v>
      </c>
      <c r="S37" s="1365"/>
      <c r="T37" s="2985" t="s">
        <v>907</v>
      </c>
      <c r="U37" s="2983"/>
      <c r="V37" s="461">
        <f>SUM(V30:V36)</f>
        <v>1161951218.367347</v>
      </c>
      <c r="X37" s="3012" t="s">
        <v>1001</v>
      </c>
      <c r="Y37" s="2995">
        <f>SUM(Y19:Y36)</f>
        <v>877968312.24489796</v>
      </c>
      <c r="Z37" s="3013">
        <f>SUM(Z19:Z36)</f>
        <v>772275412.24489796</v>
      </c>
      <c r="AA37" s="3013">
        <f>SUM(AA29:AA36)</f>
        <v>369551600</v>
      </c>
      <c r="AC37" s="2985" t="s">
        <v>907</v>
      </c>
      <c r="AD37" s="2983"/>
      <c r="AE37" s="2977">
        <f>SUM(AE30:AE36)</f>
        <v>829091312.24489796</v>
      </c>
      <c r="AF37" s="2918"/>
      <c r="AG37" s="2909"/>
      <c r="AH37" s="2910"/>
      <c r="AI37" s="2910"/>
      <c r="AJ37" s="2904"/>
      <c r="AK37" s="2178"/>
      <c r="AN37" s="2178"/>
      <c r="AQ37" s="2874"/>
      <c r="AR37" s="2178"/>
      <c r="AS37" s="2178"/>
      <c r="AT37" s="2178"/>
      <c r="AU37" s="2178"/>
      <c r="AY37" s="2178"/>
    </row>
    <row r="38" spans="2:51" ht="22.15" customHeight="1" thickBot="1">
      <c r="C38" s="2788" t="s">
        <v>1004</v>
      </c>
      <c r="D38" s="2847">
        <f>IF($D$10=1,M38,IF($D$10=2,V38,0))</f>
        <v>62181848.418367341</v>
      </c>
      <c r="F38" s="2752" t="s">
        <v>120</v>
      </c>
      <c r="G38" s="2753">
        <v>90552000</v>
      </c>
      <c r="H38" s="2754">
        <v>56815900</v>
      </c>
      <c r="I38" s="2738">
        <f>G38+H38</f>
        <v>147367900</v>
      </c>
      <c r="J38" s="1367"/>
      <c r="K38" s="2776" t="s">
        <v>1004</v>
      </c>
      <c r="L38" s="2799"/>
      <c r="M38" s="2800">
        <f>IF($D$8=2,H50,0)</f>
        <v>62181848.418367341</v>
      </c>
      <c r="N38" s="2334"/>
      <c r="O38" s="2807" t="s">
        <v>120</v>
      </c>
      <c r="P38" s="2808">
        <v>90552000</v>
      </c>
      <c r="Q38" s="2809">
        <v>79524800</v>
      </c>
      <c r="R38" s="2739">
        <f t="shared" si="12"/>
        <v>170076800</v>
      </c>
      <c r="S38" s="1365"/>
      <c r="T38" s="2988" t="s">
        <v>1004</v>
      </c>
      <c r="U38" s="2989"/>
      <c r="V38" s="461">
        <f>IF($D$8&lt;=3,Q50,0)</f>
        <v>87146341.377551019</v>
      </c>
      <c r="X38" s="2984" t="s">
        <v>120</v>
      </c>
      <c r="Y38" s="3014">
        <v>64742900</v>
      </c>
      <c r="Z38" s="3015">
        <v>56815900</v>
      </c>
      <c r="AA38" s="3016">
        <f t="shared" si="9"/>
        <v>121558800</v>
      </c>
      <c r="AC38" s="2988" t="s">
        <v>1004</v>
      </c>
      <c r="AD38" s="2989"/>
      <c r="AE38" s="2977">
        <f t="shared" si="10"/>
        <v>62181848.418367341</v>
      </c>
      <c r="AF38" s="2918"/>
      <c r="AG38" s="2909"/>
      <c r="AH38" s="2910"/>
      <c r="AI38" s="2911"/>
      <c r="AJ38" s="2904"/>
      <c r="AK38" s="2178"/>
      <c r="AN38" s="2178"/>
      <c r="AQ38" s="2874"/>
      <c r="AR38" s="2178"/>
      <c r="AS38" s="2178"/>
      <c r="AT38" s="2178"/>
      <c r="AU38" s="2865"/>
      <c r="AY38" s="2178"/>
    </row>
    <row r="39" spans="2:51" ht="19.5" thickBot="1">
      <c r="C39" s="2791" t="s">
        <v>655</v>
      </c>
      <c r="D39" s="2848">
        <f>D37+D38</f>
        <v>891273160.66326535</v>
      </c>
      <c r="F39" s="2752" t="s">
        <v>1002</v>
      </c>
      <c r="G39" s="2753">
        <f>G37+G38</f>
        <v>1320008018.367347</v>
      </c>
      <c r="H39" s="2754">
        <f>H37+H38</f>
        <v>829091312.24489796</v>
      </c>
      <c r="I39" s="2738">
        <f>I37+I38</f>
        <v>2149099330.6122451</v>
      </c>
      <c r="J39" s="1367"/>
      <c r="K39" s="2777" t="s">
        <v>1010</v>
      </c>
      <c r="L39" s="2778"/>
      <c r="M39" s="2801">
        <f>M37+M38</f>
        <v>891273160.66326535</v>
      </c>
      <c r="N39" s="2334"/>
      <c r="O39" s="2807" t="s">
        <v>1002</v>
      </c>
      <c r="P39" s="2808">
        <f>P37+P38</f>
        <v>1320008018.367347</v>
      </c>
      <c r="Q39" s="2809">
        <f>Q37+Q38</f>
        <v>1161951218.367347</v>
      </c>
      <c r="R39" s="2739">
        <f>R37+R38</f>
        <v>2481959236.734694</v>
      </c>
      <c r="S39" s="1365"/>
      <c r="T39" s="3017" t="s">
        <v>1010</v>
      </c>
      <c r="U39" s="2992"/>
      <c r="V39" s="3018">
        <f>V37+V38</f>
        <v>1249097559.7448981</v>
      </c>
      <c r="X39" s="3019" t="s">
        <v>1002</v>
      </c>
      <c r="Y39" s="3020">
        <f>Y37+Y38</f>
        <v>942711212.24489796</v>
      </c>
      <c r="Z39" s="3021">
        <f>Z37+Z38</f>
        <v>829091312.24489796</v>
      </c>
      <c r="AA39" s="3022">
        <f>AA37+AA38</f>
        <v>491110400</v>
      </c>
      <c r="AC39" s="3019" t="s">
        <v>71</v>
      </c>
      <c r="AD39" s="2992"/>
      <c r="AE39" s="2999">
        <f>AE37+AE38</f>
        <v>891273160.66326535</v>
      </c>
      <c r="AF39" s="2918"/>
      <c r="AG39" s="2909"/>
      <c r="AH39" s="2910"/>
      <c r="AI39" s="2911"/>
      <c r="AJ39" s="2904"/>
      <c r="AK39" s="2178"/>
      <c r="AN39" s="2178"/>
      <c r="AQ39" s="2874"/>
      <c r="AR39" s="2178"/>
      <c r="AS39" s="2178"/>
      <c r="AT39" s="2178"/>
      <c r="AU39" s="2178"/>
      <c r="AY39" s="2178"/>
    </row>
    <row r="40" spans="2:51" ht="15.75" thickBot="1">
      <c r="C40" s="2845"/>
      <c r="D40" s="2846"/>
      <c r="F40" s="2755"/>
      <c r="G40" s="2740"/>
      <c r="H40" s="2740"/>
      <c r="I40" s="2756"/>
      <c r="J40" s="750"/>
      <c r="K40" s="750"/>
      <c r="L40" s="750"/>
      <c r="M40" s="751"/>
      <c r="N40" s="2334"/>
      <c r="O40" s="2286"/>
      <c r="P40" s="2287"/>
      <c r="Q40" s="2287"/>
      <c r="R40" s="720"/>
      <c r="S40" s="752"/>
      <c r="T40" s="3000"/>
      <c r="U40" s="3001"/>
      <c r="V40" s="536"/>
      <c r="X40" s="3023"/>
      <c r="Y40" s="2120"/>
      <c r="Z40" s="3024"/>
      <c r="AA40" s="3025"/>
      <c r="AF40" s="2918"/>
      <c r="AG40" s="2913"/>
      <c r="AH40" s="2908"/>
      <c r="AI40" s="2908"/>
      <c r="AJ40" s="2905"/>
      <c r="AK40" s="2178"/>
      <c r="AQ40" s="2885"/>
      <c r="AR40" s="2865"/>
      <c r="AS40" s="2865"/>
      <c r="AT40" s="2865"/>
      <c r="AU40" s="2865"/>
      <c r="AY40" s="2178"/>
    </row>
    <row r="41" spans="2:51" ht="19.5" thickBot="1">
      <c r="C41" s="2779" t="s">
        <v>1039</v>
      </c>
      <c r="D41" s="2781"/>
      <c r="F41" s="2757"/>
      <c r="G41" s="2758" t="s">
        <v>995</v>
      </c>
      <c r="H41" s="2759" t="s">
        <v>994</v>
      </c>
      <c r="I41" s="2758" t="s">
        <v>71</v>
      </c>
      <c r="J41" s="1367"/>
      <c r="K41" s="2779" t="s">
        <v>1011</v>
      </c>
      <c r="L41" s="2780"/>
      <c r="M41" s="2781" t="s">
        <v>991</v>
      </c>
      <c r="N41" s="2334"/>
      <c r="O41" s="2818"/>
      <c r="P41" s="2819" t="s">
        <v>995</v>
      </c>
      <c r="Q41" s="2820" t="s">
        <v>994</v>
      </c>
      <c r="R41" s="2819" t="s">
        <v>71</v>
      </c>
      <c r="S41" s="778"/>
      <c r="T41" s="3002" t="s">
        <v>1011</v>
      </c>
      <c r="U41" s="2965"/>
      <c r="V41" s="2966" t="s">
        <v>991</v>
      </c>
      <c r="X41" s="2829"/>
      <c r="Y41" s="3084" t="s">
        <v>995</v>
      </c>
      <c r="Z41" s="3085" t="s">
        <v>994</v>
      </c>
      <c r="AA41" s="2830" t="s">
        <v>71</v>
      </c>
      <c r="AC41" s="3003" t="s">
        <v>1011</v>
      </c>
      <c r="AD41" s="3004"/>
      <c r="AE41" s="3005" t="s">
        <v>991</v>
      </c>
      <c r="AF41" s="2918"/>
      <c r="AG41" s="2905"/>
      <c r="AH41" s="2902"/>
      <c r="AI41" s="2902"/>
      <c r="AJ41" s="2902"/>
      <c r="AK41" s="2178"/>
      <c r="AL41" s="2880"/>
      <c r="AM41" s="2880"/>
      <c r="AN41" s="2877"/>
      <c r="AQ41" s="2885"/>
      <c r="AR41" s="2865"/>
      <c r="AS41" s="2865"/>
      <c r="AT41" s="2865"/>
      <c r="AU41" s="2865"/>
      <c r="AY41" s="2178"/>
    </row>
    <row r="42" spans="2:51" ht="18.75">
      <c r="C42" s="2782" t="s">
        <v>1939</v>
      </c>
      <c r="D42" s="2847">
        <f>(IF($D$10=1,0,IF($D$10=2,0,IF($D$10=3,0,IF($D$10=4,0,IF(D10=5,AY44,0))))))-'Assumption '!J401</f>
        <v>0</v>
      </c>
      <c r="F42" s="2760" t="s">
        <v>1939</v>
      </c>
      <c r="G42" s="2761">
        <f>G29</f>
        <v>15955000</v>
      </c>
      <c r="H42" s="2762">
        <f>H29</f>
        <v>3209000</v>
      </c>
      <c r="I42" s="2763">
        <f>I29</f>
        <v>19164000</v>
      </c>
      <c r="J42" s="1367"/>
      <c r="K42" s="2782" t="s">
        <v>1939</v>
      </c>
      <c r="L42" s="2783"/>
      <c r="M42" s="2784">
        <f>M18+M30</f>
        <v>19164000</v>
      </c>
      <c r="N42" s="2334"/>
      <c r="O42" s="2773" t="s">
        <v>1939</v>
      </c>
      <c r="P42" s="3187">
        <f>IF('Assumption '!J29=1,P29,#REF!)</f>
        <v>15955000</v>
      </c>
      <c r="Q42" s="2821">
        <f>Q29</f>
        <v>15955000</v>
      </c>
      <c r="R42" s="2822">
        <f>SUM(P42:Q42)</f>
        <v>31910000</v>
      </c>
      <c r="S42" s="752"/>
      <c r="T42" s="2975" t="s">
        <v>1939</v>
      </c>
      <c r="U42" s="2976"/>
      <c r="V42" s="461">
        <f>V18+V30</f>
        <v>31910000</v>
      </c>
      <c r="X42" s="2782" t="s">
        <v>1939</v>
      </c>
      <c r="Y42" s="2831">
        <f>IF(Ammonia_flag=1,Y28,#REF!)</f>
        <v>4707000</v>
      </c>
      <c r="Z42" s="2832">
        <f>Z28</f>
        <v>3209000</v>
      </c>
      <c r="AA42" s="2833">
        <f>Y42+Z42</f>
        <v>7916000</v>
      </c>
      <c r="AC42" s="2975" t="s">
        <v>1939</v>
      </c>
      <c r="AD42" s="2976"/>
      <c r="AE42" s="2977">
        <f>AE18+AE30</f>
        <v>7916000</v>
      </c>
      <c r="AF42" s="2918"/>
      <c r="AG42" s="2914"/>
      <c r="AH42" s="2904"/>
      <c r="AI42" s="2904"/>
      <c r="AJ42" s="2904"/>
      <c r="AL42" s="2882"/>
      <c r="AM42" s="2883"/>
      <c r="AN42" s="2178"/>
      <c r="AR42" s="2868"/>
      <c r="AS42" s="2868"/>
      <c r="AT42" s="2868"/>
      <c r="AU42" s="2872"/>
    </row>
    <row r="43" spans="2:51" ht="18.75">
      <c r="C43" s="2782" t="s">
        <v>891</v>
      </c>
      <c r="D43" s="2847">
        <f t="shared" ref="D43:D50" si="13">IF($D$10=1,0,IF($D$10=2,0,IF($D$10=3,0,IF($D$10=4,0,AY45))))</f>
        <v>0</v>
      </c>
      <c r="F43" s="2764" t="s">
        <v>1028</v>
      </c>
      <c r="G43" s="2765">
        <f>SUM(G20:G27)</f>
        <v>869147000</v>
      </c>
      <c r="H43" s="2766">
        <f>SUM(H20:H27)</f>
        <v>577117600</v>
      </c>
      <c r="I43" s="2767">
        <f>SUM(I20:I27)</f>
        <v>1446264600</v>
      </c>
      <c r="J43" s="1367"/>
      <c r="K43" s="2782" t="s">
        <v>891</v>
      </c>
      <c r="L43" s="2785"/>
      <c r="M43" s="2784">
        <f t="shared" ref="M43:M50" si="14">M19+M31</f>
        <v>1446264600</v>
      </c>
      <c r="N43" s="2334"/>
      <c r="O43" s="2823" t="s">
        <v>1028</v>
      </c>
      <c r="P43" s="2815">
        <f>IF('Assumption '!J29=1,SUM(P20:P27),SUM(P58:P64))</f>
        <v>869147000</v>
      </c>
      <c r="Q43" s="2774">
        <f>SUM(Q20:Q27)</f>
        <v>813302500</v>
      </c>
      <c r="R43" s="2822">
        <f t="shared" ref="R43:R50" si="15">SUM(P43:Q43)</f>
        <v>1682449500</v>
      </c>
      <c r="S43" s="752"/>
      <c r="T43" s="2975" t="s">
        <v>891</v>
      </c>
      <c r="U43" s="2982"/>
      <c r="V43" s="461">
        <f t="shared" ref="V43:V50" si="16">V19+V31</f>
        <v>1682449500</v>
      </c>
      <c r="X43" s="2814" t="s">
        <v>891</v>
      </c>
      <c r="Y43" s="2461">
        <f>IF(Ammonia_flag=1,SUM(Y19:Y26),SUM(Y57:Y64))</f>
        <v>613190000</v>
      </c>
      <c r="Z43" s="2834">
        <f>SUM(Z19:Z26)</f>
        <v>577117600</v>
      </c>
      <c r="AA43" s="2833">
        <f t="shared" ref="AA43:AA50" si="17">Y43+Z43</f>
        <v>1190307600</v>
      </c>
      <c r="AC43" s="2975" t="s">
        <v>891</v>
      </c>
      <c r="AD43" s="2982"/>
      <c r="AE43" s="2977">
        <f>AE19+AE31</f>
        <v>1190307600</v>
      </c>
      <c r="AF43" s="2918"/>
      <c r="AG43" s="2915"/>
      <c r="AH43" s="2904"/>
      <c r="AI43" s="2904"/>
      <c r="AJ43" s="2904"/>
      <c r="AK43" s="2868"/>
      <c r="AL43" s="2882"/>
      <c r="AM43" s="2884"/>
      <c r="AN43" s="2178"/>
      <c r="AQ43" s="2882"/>
      <c r="AR43" s="2334"/>
      <c r="AS43" s="2334"/>
      <c r="AT43" s="2334"/>
      <c r="AU43" s="2865"/>
      <c r="AW43" s="2880"/>
      <c r="AX43" s="2880"/>
      <c r="AY43" s="2877"/>
    </row>
    <row r="44" spans="2:51" ht="18.75">
      <c r="C44" s="2782" t="s">
        <v>845</v>
      </c>
      <c r="D44" s="2847">
        <f t="shared" si="13"/>
        <v>0</v>
      </c>
      <c r="F44" s="2858" t="s">
        <v>845</v>
      </c>
      <c r="G44" s="2859">
        <f>G28</f>
        <v>64578918.367346942</v>
      </c>
      <c r="H44" s="2860">
        <f>H28</f>
        <v>37836312.244897962</v>
      </c>
      <c r="I44" s="2861">
        <f>I28</f>
        <v>102415230.6122449</v>
      </c>
      <c r="J44" s="1367"/>
      <c r="K44" s="2782" t="s">
        <v>845</v>
      </c>
      <c r="L44" s="2785"/>
      <c r="M44" s="2784">
        <f t="shared" si="14"/>
        <v>102415230.6122449</v>
      </c>
      <c r="N44" s="2334"/>
      <c r="O44" s="2862" t="s">
        <v>845</v>
      </c>
      <c r="P44" s="3188">
        <f>IF('Assumption '!J29=1,P28,#REF!)</f>
        <v>64578918.367346942</v>
      </c>
      <c r="Q44" s="2863">
        <f>Q28</f>
        <v>53958318.367346942</v>
      </c>
      <c r="R44" s="2864">
        <f t="shared" si="15"/>
        <v>118537236.73469388</v>
      </c>
      <c r="S44" s="752"/>
      <c r="T44" s="2975" t="s">
        <v>845</v>
      </c>
      <c r="U44" s="2982"/>
      <c r="V44" s="461">
        <f t="shared" si="16"/>
        <v>118537236.73469388</v>
      </c>
      <c r="X44" s="2814" t="s">
        <v>845</v>
      </c>
      <c r="Y44" s="2461">
        <f>IF(Ammonia_flag=1,Y27,#REF!)</f>
        <v>44632212.244897962</v>
      </c>
      <c r="Z44" s="2834">
        <f>Z27</f>
        <v>37836312.244897962</v>
      </c>
      <c r="AA44" s="2833">
        <f t="shared" si="17"/>
        <v>82468524.489795923</v>
      </c>
      <c r="AC44" s="2975" t="s">
        <v>845</v>
      </c>
      <c r="AD44" s="2982"/>
      <c r="AE44" s="2977">
        <f t="shared" ref="AE44:AE50" si="18">AE20+AE32</f>
        <v>82468524.489795923</v>
      </c>
      <c r="AF44" s="2918"/>
      <c r="AG44" s="2915"/>
      <c r="AH44" s="2904"/>
      <c r="AI44" s="2904"/>
      <c r="AJ44" s="2904"/>
      <c r="AK44" s="2178"/>
      <c r="AL44" s="2882"/>
      <c r="AM44" s="2884"/>
      <c r="AN44" s="2178"/>
      <c r="AQ44" s="2221"/>
      <c r="AR44" s="2334"/>
      <c r="AS44" s="2334"/>
      <c r="AT44" s="2334"/>
      <c r="AU44" s="2865"/>
      <c r="AW44" s="2882"/>
      <c r="AX44" s="2883"/>
      <c r="AY44" s="2178"/>
    </row>
    <row r="45" spans="2:51" ht="18.75">
      <c r="C45" s="2782" t="s">
        <v>119</v>
      </c>
      <c r="D45" s="2847">
        <f t="shared" si="13"/>
        <v>0</v>
      </c>
      <c r="F45" s="2764" t="s">
        <v>119</v>
      </c>
      <c r="G45" s="2765">
        <f>G36</f>
        <v>72867200</v>
      </c>
      <c r="H45" s="2766">
        <f>H36</f>
        <v>42651000</v>
      </c>
      <c r="I45" s="2767">
        <f>I36</f>
        <v>115518200</v>
      </c>
      <c r="J45" s="1367"/>
      <c r="K45" s="2782" t="s">
        <v>119</v>
      </c>
      <c r="L45" s="2786"/>
      <c r="M45" s="2784">
        <f t="shared" si="14"/>
        <v>115518200</v>
      </c>
      <c r="N45" s="2334"/>
      <c r="O45" s="2823" t="s">
        <v>119</v>
      </c>
      <c r="P45" s="2815">
        <f>IF('Assumption '!J29=1,P36,#REF!)</f>
        <v>72867200</v>
      </c>
      <c r="Q45" s="2774">
        <f>Q36</f>
        <v>54650600</v>
      </c>
      <c r="R45" s="2822">
        <f t="shared" si="15"/>
        <v>127517800</v>
      </c>
      <c r="S45" s="752"/>
      <c r="T45" s="2975" t="s">
        <v>119</v>
      </c>
      <c r="U45" s="2983"/>
      <c r="V45" s="461">
        <f t="shared" si="16"/>
        <v>127517800</v>
      </c>
      <c r="X45" s="2814" t="s">
        <v>119</v>
      </c>
      <c r="Y45" s="2461">
        <f>IF(Ammonia_flag=1,Y36,#REF!)</f>
        <v>56868000</v>
      </c>
      <c r="Z45" s="2834">
        <f>Z36</f>
        <v>42651000</v>
      </c>
      <c r="AA45" s="2833">
        <f t="shared" si="17"/>
        <v>99519000</v>
      </c>
      <c r="AC45" s="2975" t="s">
        <v>119</v>
      </c>
      <c r="AD45" s="2983"/>
      <c r="AE45" s="2977">
        <f t="shared" si="18"/>
        <v>99519000</v>
      </c>
      <c r="AF45" s="2918"/>
      <c r="AG45" s="2915"/>
      <c r="AH45" s="2904"/>
      <c r="AI45" s="2904"/>
      <c r="AJ45" s="2904"/>
      <c r="AK45" s="2178"/>
      <c r="AL45" s="2882"/>
      <c r="AN45" s="2178"/>
      <c r="AQ45" s="2221"/>
      <c r="AR45" s="2334"/>
      <c r="AS45" s="2334"/>
      <c r="AT45" s="2334"/>
      <c r="AU45" s="2865"/>
      <c r="AW45" s="2882"/>
      <c r="AX45" s="2884"/>
      <c r="AY45" s="2178"/>
    </row>
    <row r="46" spans="2:51" ht="18.75">
      <c r="C46" s="2787" t="s">
        <v>122</v>
      </c>
      <c r="D46" s="2847">
        <f t="shared" si="13"/>
        <v>0</v>
      </c>
      <c r="F46" s="2764" t="s">
        <v>122</v>
      </c>
      <c r="G46" s="2765">
        <f>SUM(G31:G34)</f>
        <v>155271400</v>
      </c>
      <c r="H46" s="2766">
        <f>SUM(H31:H34)</f>
        <v>78793700</v>
      </c>
      <c r="I46" s="2767">
        <f>SUM(I31:I34)</f>
        <v>234065100</v>
      </c>
      <c r="J46" s="1367"/>
      <c r="K46" s="2787" t="s">
        <v>122</v>
      </c>
      <c r="L46" s="2786"/>
      <c r="M46" s="2784">
        <f t="shared" si="14"/>
        <v>234065100</v>
      </c>
      <c r="N46" s="2334"/>
      <c r="O46" s="2823" t="s">
        <v>122</v>
      </c>
      <c r="P46" s="2815">
        <f>IF('Assumption '!J29=1,SUM(P31:P34),SUM(#REF!))</f>
        <v>155271400</v>
      </c>
      <c r="Q46" s="2774">
        <f>SUM(Q31:Q34)</f>
        <v>105832400</v>
      </c>
      <c r="R46" s="2822">
        <f t="shared" si="15"/>
        <v>261103800</v>
      </c>
      <c r="S46" s="752"/>
      <c r="T46" s="2985" t="s">
        <v>122</v>
      </c>
      <c r="U46" s="2983"/>
      <c r="V46" s="461">
        <f t="shared" si="16"/>
        <v>261103800</v>
      </c>
      <c r="X46" s="2814" t="s">
        <v>122</v>
      </c>
      <c r="Y46" s="2461">
        <f>IF(Ammonia_flag=1,SUM(Y31:Y34),SUM(#REF!))</f>
        <v>115014000</v>
      </c>
      <c r="Z46" s="2834">
        <f>SUM(Z31:Z34)</f>
        <v>78793700</v>
      </c>
      <c r="AA46" s="2833">
        <f t="shared" si="17"/>
        <v>193807700</v>
      </c>
      <c r="AC46" s="2985" t="s">
        <v>122</v>
      </c>
      <c r="AD46" s="2983"/>
      <c r="AE46" s="2977">
        <f t="shared" si="18"/>
        <v>193807700</v>
      </c>
      <c r="AF46" s="2918"/>
      <c r="AG46" s="2915"/>
      <c r="AH46" s="2904"/>
      <c r="AI46" s="2904"/>
      <c r="AJ46" s="2904"/>
      <c r="AK46" s="2178"/>
      <c r="AN46" s="2178"/>
      <c r="AQ46" s="2221"/>
      <c r="AR46" s="2334"/>
      <c r="AS46" s="2334"/>
      <c r="AT46" s="2334"/>
      <c r="AU46" s="2865"/>
      <c r="AW46" s="2882"/>
      <c r="AX46" s="2884"/>
      <c r="AY46" s="2178"/>
    </row>
    <row r="47" spans="2:51" ht="18.75">
      <c r="C47" s="2787" t="s">
        <v>120</v>
      </c>
      <c r="D47" s="2847">
        <f t="shared" si="13"/>
        <v>0</v>
      </c>
      <c r="F47" s="2764" t="s">
        <v>120</v>
      </c>
      <c r="G47" s="2765">
        <f>G38</f>
        <v>90552000</v>
      </c>
      <c r="H47" s="2766">
        <f>H38</f>
        <v>56815900</v>
      </c>
      <c r="I47" s="2767">
        <f>I38</f>
        <v>147367900</v>
      </c>
      <c r="J47" s="1367"/>
      <c r="K47" s="2787" t="s">
        <v>120</v>
      </c>
      <c r="L47" s="2786"/>
      <c r="M47" s="2784">
        <f t="shared" si="14"/>
        <v>147367900</v>
      </c>
      <c r="N47" s="2334"/>
      <c r="O47" s="2823" t="s">
        <v>120</v>
      </c>
      <c r="P47" s="2815">
        <f>IF('Assumption '!J29=1,P38,#REF!)</f>
        <v>90552000</v>
      </c>
      <c r="Q47" s="2774">
        <f>Q38</f>
        <v>79524800</v>
      </c>
      <c r="R47" s="2822">
        <f t="shared" si="15"/>
        <v>170076800</v>
      </c>
      <c r="S47" s="752"/>
      <c r="T47" s="2985" t="s">
        <v>120</v>
      </c>
      <c r="U47" s="2983"/>
      <c r="V47" s="461">
        <f t="shared" si="16"/>
        <v>170076800</v>
      </c>
      <c r="X47" s="2814" t="s">
        <v>120</v>
      </c>
      <c r="Y47" s="2461">
        <f>IF(Ammonia_flag=1,Y38,#REF!)</f>
        <v>64742900</v>
      </c>
      <c r="Z47" s="2817">
        <f>Z38</f>
        <v>56815900</v>
      </c>
      <c r="AA47" s="2833">
        <f t="shared" si="17"/>
        <v>121558800</v>
      </c>
      <c r="AC47" s="2985" t="s">
        <v>120</v>
      </c>
      <c r="AD47" s="2983"/>
      <c r="AE47" s="2977">
        <f t="shared" si="18"/>
        <v>121558800</v>
      </c>
      <c r="AF47" s="2918"/>
      <c r="AG47" s="2915"/>
      <c r="AH47" s="2904"/>
      <c r="AI47" s="2904"/>
      <c r="AJ47" s="2904"/>
      <c r="AK47" s="2178"/>
      <c r="AN47" s="2178"/>
      <c r="AQ47" s="2221"/>
      <c r="AR47" s="2334"/>
      <c r="AS47" s="2334"/>
      <c r="AT47" s="2334"/>
      <c r="AU47" s="2865"/>
      <c r="AW47" s="2882"/>
      <c r="AY47" s="2178"/>
    </row>
    <row r="48" spans="2:51" ht="18.75">
      <c r="C48" s="2787" t="s">
        <v>711</v>
      </c>
      <c r="D48" s="2847">
        <f t="shared" si="13"/>
        <v>0</v>
      </c>
      <c r="F48" s="2768" t="s">
        <v>711</v>
      </c>
      <c r="G48" s="2765">
        <f>G35</f>
        <v>51636500</v>
      </c>
      <c r="H48" s="2766">
        <f>H35</f>
        <v>32667800</v>
      </c>
      <c r="I48" s="2767">
        <f>I35</f>
        <v>84304300</v>
      </c>
      <c r="J48" s="1367"/>
      <c r="K48" s="2787" t="s">
        <v>711</v>
      </c>
      <c r="L48" s="2786"/>
      <c r="M48" s="2784">
        <f t="shared" si="14"/>
        <v>84304300</v>
      </c>
      <c r="N48" s="2334"/>
      <c r="O48" s="2824" t="s">
        <v>711</v>
      </c>
      <c r="P48" s="2815">
        <f>IF('Assumption '!J29=1,P35,#REF!)</f>
        <v>51636500</v>
      </c>
      <c r="Q48" s="2774">
        <f>Q35</f>
        <v>38727600</v>
      </c>
      <c r="R48" s="2822">
        <f t="shared" si="15"/>
        <v>90364100</v>
      </c>
      <c r="S48" s="752"/>
      <c r="T48" s="2985" t="s">
        <v>711</v>
      </c>
      <c r="U48" s="2983"/>
      <c r="V48" s="461">
        <f t="shared" si="16"/>
        <v>90364100</v>
      </c>
      <c r="X48" s="2816" t="s">
        <v>711</v>
      </c>
      <c r="Y48" s="2461">
        <f>(Y35)</f>
        <v>43557100</v>
      </c>
      <c r="Z48" s="2817">
        <f>Z35</f>
        <v>32667800</v>
      </c>
      <c r="AA48" s="2833">
        <f t="shared" si="17"/>
        <v>76224900</v>
      </c>
      <c r="AC48" s="2985" t="s">
        <v>711</v>
      </c>
      <c r="AD48" s="2983"/>
      <c r="AE48" s="2977">
        <f t="shared" si="18"/>
        <v>76224900</v>
      </c>
      <c r="AF48" s="2918"/>
      <c r="AG48" s="2916"/>
      <c r="AH48" s="2904"/>
      <c r="AI48" s="2904"/>
      <c r="AJ48" s="2904"/>
      <c r="AK48" s="2178"/>
      <c r="AN48" s="2178"/>
      <c r="AQ48" s="2221"/>
      <c r="AR48" s="2334"/>
      <c r="AS48" s="2334"/>
      <c r="AT48" s="2334"/>
      <c r="AU48" s="2865"/>
      <c r="AY48" s="2178"/>
    </row>
    <row r="49" spans="3:51" ht="18.75">
      <c r="C49" s="2787" t="s">
        <v>907</v>
      </c>
      <c r="D49" s="2847">
        <f>SUM(D42:D48)</f>
        <v>0</v>
      </c>
      <c r="F49" s="2768" t="s">
        <v>907</v>
      </c>
      <c r="G49" s="2765">
        <f>SUM(G42:G48)</f>
        <v>1320008018.367347</v>
      </c>
      <c r="H49" s="2766">
        <f>SUM(H42:H48)</f>
        <v>829091312.24489796</v>
      </c>
      <c r="I49" s="2767">
        <f>SUM(I42:I48)</f>
        <v>2149099330.6122446</v>
      </c>
      <c r="J49" s="1367"/>
      <c r="K49" s="2787" t="s">
        <v>907</v>
      </c>
      <c r="L49" s="2786"/>
      <c r="M49" s="2784">
        <f>SUM(M42:M48)</f>
        <v>2149099330.6122446</v>
      </c>
      <c r="N49" s="2334"/>
      <c r="O49" s="2824" t="s">
        <v>907</v>
      </c>
      <c r="P49" s="2815">
        <f>SUM(P42:P48)</f>
        <v>1320008018.367347</v>
      </c>
      <c r="Q49" s="2825">
        <f>SUM(Q42:Q48)</f>
        <v>1161951218.367347</v>
      </c>
      <c r="R49" s="2822">
        <f t="shared" si="15"/>
        <v>2481959236.734694</v>
      </c>
      <c r="S49" s="752"/>
      <c r="T49" s="2985" t="s">
        <v>907</v>
      </c>
      <c r="U49" s="2983"/>
      <c r="V49" s="461">
        <f>SUM(V42:V48)</f>
        <v>2481959236.734694</v>
      </c>
      <c r="X49" s="2816" t="s">
        <v>907</v>
      </c>
      <c r="Y49" s="2461">
        <f>SUM(Y42:Y48)</f>
        <v>942711212.24489796</v>
      </c>
      <c r="Z49" s="2817">
        <f>SUM(Z42:Z48)</f>
        <v>829091312.24489796</v>
      </c>
      <c r="AA49" s="2833">
        <f t="shared" si="17"/>
        <v>1771802524.4897959</v>
      </c>
      <c r="AC49" s="2985" t="s">
        <v>907</v>
      </c>
      <c r="AD49" s="2983"/>
      <c r="AE49" s="2977">
        <f t="shared" si="18"/>
        <v>1771802524.4897959</v>
      </c>
      <c r="AF49" s="2918"/>
      <c r="AG49" s="2916"/>
      <c r="AH49" s="2904"/>
      <c r="AI49" s="2904"/>
      <c r="AJ49" s="2904"/>
      <c r="AK49" s="2178"/>
      <c r="AN49" s="2178"/>
      <c r="AQ49" s="2870"/>
      <c r="AR49" s="2334"/>
      <c r="AS49" s="2334"/>
      <c r="AT49" s="2334"/>
      <c r="AU49" s="2865"/>
      <c r="AY49" s="2178"/>
    </row>
    <row r="50" spans="3:51" ht="19.5" thickBot="1">
      <c r="C50" s="2788" t="s">
        <v>1004</v>
      </c>
      <c r="D50" s="2849">
        <f t="shared" si="13"/>
        <v>0</v>
      </c>
      <c r="F50" s="2764" t="s">
        <v>1004</v>
      </c>
      <c r="G50" s="2765">
        <f>0.075*G49</f>
        <v>99000601.377551019</v>
      </c>
      <c r="H50" s="2766">
        <f>0.075*H49</f>
        <v>62181848.418367341</v>
      </c>
      <c r="I50" s="2767">
        <f>0.075*I49</f>
        <v>161182449.79591835</v>
      </c>
      <c r="J50" s="1367"/>
      <c r="K50" s="2788" t="s">
        <v>1004</v>
      </c>
      <c r="L50" s="2789"/>
      <c r="M50" s="2790">
        <f t="shared" si="14"/>
        <v>161182449.79591835</v>
      </c>
      <c r="N50" s="2334"/>
      <c r="O50" s="2823" t="s">
        <v>1004</v>
      </c>
      <c r="P50" s="2815">
        <f>0.075*P49</f>
        <v>99000601.377551019</v>
      </c>
      <c r="Q50" s="2774">
        <f>0.075*Q49</f>
        <v>87146341.377551019</v>
      </c>
      <c r="R50" s="2822">
        <f t="shared" si="15"/>
        <v>186146942.75510204</v>
      </c>
      <c r="S50" s="752"/>
      <c r="T50" s="2988" t="s">
        <v>1004</v>
      </c>
      <c r="U50" s="2989"/>
      <c r="V50" s="461">
        <f t="shared" si="16"/>
        <v>186146942.75510204</v>
      </c>
      <c r="X50" s="2835" t="s">
        <v>1004</v>
      </c>
      <c r="Y50" s="2480">
        <f>0.075*Y49</f>
        <v>70703340.918367341</v>
      </c>
      <c r="Z50" s="2836">
        <f>0.075*Z49</f>
        <v>62181848.418367341</v>
      </c>
      <c r="AA50" s="2833">
        <f t="shared" si="17"/>
        <v>132885189.33673468</v>
      </c>
      <c r="AC50" s="2988" t="s">
        <v>1004</v>
      </c>
      <c r="AD50" s="2989"/>
      <c r="AE50" s="2977">
        <f t="shared" si="18"/>
        <v>132885189.33673468</v>
      </c>
      <c r="AF50" s="2918"/>
      <c r="AG50" s="2915"/>
      <c r="AH50" s="2904"/>
      <c r="AI50" s="2904"/>
      <c r="AJ50" s="2904"/>
      <c r="AK50" s="2178"/>
      <c r="AN50" s="2178"/>
      <c r="AQ50" s="2870"/>
      <c r="AR50" s="2334"/>
      <c r="AS50" s="2334"/>
      <c r="AT50" s="2334"/>
      <c r="AU50" s="2865"/>
      <c r="AY50" s="2178"/>
    </row>
    <row r="51" spans="3:51" ht="19.5" thickBot="1">
      <c r="C51" s="2791" t="s">
        <v>655</v>
      </c>
      <c r="D51" s="2848">
        <f>D50+D49</f>
        <v>0</v>
      </c>
      <c r="F51" s="3182" t="s">
        <v>655</v>
      </c>
      <c r="G51" s="3183">
        <f>G49+G50</f>
        <v>1419008619.7448981</v>
      </c>
      <c r="H51" s="3184">
        <f>H49+H50</f>
        <v>891273160.66326535</v>
      </c>
      <c r="I51" s="3185">
        <f>I49+I50</f>
        <v>2310281780.4081631</v>
      </c>
      <c r="J51" s="1367"/>
      <c r="K51" s="2791" t="s">
        <v>1010</v>
      </c>
      <c r="L51" s="2792"/>
      <c r="M51" s="2793">
        <f>M49+M50</f>
        <v>2310281780.4081631</v>
      </c>
      <c r="N51" s="2334"/>
      <c r="O51" s="2826" t="s">
        <v>655</v>
      </c>
      <c r="P51" s="3189">
        <f>P49+P50</f>
        <v>1419008619.7448981</v>
      </c>
      <c r="Q51" s="2827">
        <f>Q49+Q50</f>
        <v>1249097559.7448981</v>
      </c>
      <c r="R51" s="2828">
        <f>SUM(P51:Q51)</f>
        <v>2668106179.4897962</v>
      </c>
      <c r="S51" s="752"/>
      <c r="T51" s="3026" t="s">
        <v>1010</v>
      </c>
      <c r="U51" s="3027"/>
      <c r="V51" s="1340">
        <f>V49+V50</f>
        <v>2668106179.4897962</v>
      </c>
      <c r="X51" s="2837" t="s">
        <v>655</v>
      </c>
      <c r="Y51" s="2838">
        <f>Y49+Y50</f>
        <v>1013414553.1632653</v>
      </c>
      <c r="Z51" s="2838">
        <f>Z49+Z50</f>
        <v>891273160.66326535</v>
      </c>
      <c r="AA51" s="2839">
        <f>AA49+AA50</f>
        <v>1904687713.8265307</v>
      </c>
      <c r="AC51" s="3017" t="s">
        <v>1010</v>
      </c>
      <c r="AD51" s="2992"/>
      <c r="AE51" s="2999">
        <f>AE49+AE50</f>
        <v>1904687713.8265307</v>
      </c>
      <c r="AG51" s="2870"/>
      <c r="AH51" s="2178"/>
      <c r="AI51" s="2178"/>
      <c r="AJ51" s="2178"/>
      <c r="AK51" s="2178"/>
      <c r="AN51" s="2178"/>
      <c r="AQ51" s="2221"/>
      <c r="AR51" s="2334"/>
      <c r="AS51" s="2334"/>
      <c r="AT51" s="2334"/>
      <c r="AU51" s="2865"/>
      <c r="AY51" s="2178"/>
    </row>
    <row r="52" spans="3:51" ht="15.75" outlineLevel="1" thickBot="1">
      <c r="C52" s="2840"/>
      <c r="D52" s="2840"/>
      <c r="AK52" s="2178"/>
      <c r="AQ52" s="2870"/>
      <c r="AR52" s="2865"/>
      <c r="AS52" s="2865"/>
      <c r="AT52" s="2865"/>
      <c r="AU52" s="2865"/>
      <c r="AY52" s="2178"/>
    </row>
    <row r="53" spans="3:51" outlineLevel="1">
      <c r="C53" s="2779" t="s">
        <v>1011</v>
      </c>
      <c r="D53" s="2781"/>
      <c r="F53" s="3366"/>
      <c r="G53" s="3366"/>
      <c r="H53" s="3366"/>
      <c r="I53" s="3367"/>
      <c r="O53" s="3317"/>
      <c r="P53" s="3317"/>
      <c r="Q53" s="3317"/>
      <c r="R53" s="3372"/>
      <c r="X53" s="3319"/>
      <c r="Y53" s="3320"/>
      <c r="Z53" s="3320"/>
      <c r="AA53" s="3320"/>
      <c r="AG53" s="3318"/>
      <c r="AH53" s="3325"/>
      <c r="AI53" s="3325"/>
      <c r="AJ53" s="3325"/>
      <c r="AK53" s="2178"/>
      <c r="AQ53" s="2870"/>
      <c r="AR53" s="2865"/>
      <c r="AS53" s="2865"/>
      <c r="AT53" s="2865"/>
      <c r="AU53" s="2865"/>
      <c r="AY53" s="2178"/>
    </row>
    <row r="54" spans="3:51" outlineLevel="1">
      <c r="C54" s="2782" t="s">
        <v>1934</v>
      </c>
      <c r="D54" s="2847">
        <f t="shared" ref="D54:D59" si="19">D18+D30+D42</f>
        <v>19164000</v>
      </c>
      <c r="F54" s="3368"/>
      <c r="G54" s="3369"/>
      <c r="H54" s="3369"/>
      <c r="I54" s="717"/>
      <c r="O54" s="3368"/>
      <c r="P54" s="3369"/>
      <c r="Q54" s="3369"/>
      <c r="R54" s="717"/>
      <c r="X54" s="3029"/>
      <c r="Y54" s="3319"/>
      <c r="Z54" s="3320"/>
      <c r="AA54" s="3320"/>
      <c r="AG54" s="2871"/>
      <c r="AH54" s="3317"/>
      <c r="AI54" s="3326"/>
      <c r="AJ54" s="3326"/>
      <c r="AK54" s="2178"/>
      <c r="AQ54" s="3321"/>
      <c r="AR54" s="3322"/>
      <c r="AS54" s="3322"/>
      <c r="AT54" s="3322"/>
      <c r="AU54" s="3322"/>
      <c r="AY54" s="2178"/>
    </row>
    <row r="55" spans="3:51" outlineLevel="1">
      <c r="C55" s="2782" t="s">
        <v>891</v>
      </c>
      <c r="D55" s="2847">
        <f t="shared" si="19"/>
        <v>1446264600</v>
      </c>
      <c r="F55" s="3368"/>
      <c r="G55" s="1419"/>
      <c r="H55" s="1419"/>
      <c r="I55" s="1365"/>
      <c r="O55" s="3368"/>
      <c r="P55" s="3186">
        <f>P51-G51</f>
        <v>0</v>
      </c>
      <c r="Q55" s="1419"/>
      <c r="R55" s="1365"/>
      <c r="X55" s="3029"/>
      <c r="Y55" s="3030"/>
      <c r="Z55" s="3030"/>
      <c r="AA55" s="3030"/>
      <c r="AG55" s="2871"/>
      <c r="AH55" s="2868"/>
      <c r="AI55" s="2868"/>
      <c r="AJ55" s="2178"/>
      <c r="AK55" s="2178"/>
      <c r="AQ55" s="3323"/>
      <c r="AR55" s="3324"/>
      <c r="AS55" s="3324"/>
      <c r="AT55" s="3324"/>
      <c r="AU55" s="3324"/>
      <c r="AY55" s="2178"/>
    </row>
    <row r="56" spans="3:51" outlineLevel="1">
      <c r="C56" s="2782" t="s">
        <v>845</v>
      </c>
      <c r="D56" s="2847">
        <f t="shared" si="19"/>
        <v>102415230.6122449</v>
      </c>
      <c r="F56" s="750"/>
      <c r="G56" s="2852"/>
      <c r="H56" s="2852"/>
      <c r="I56" s="1365"/>
      <c r="O56" s="750"/>
      <c r="P56" s="2852"/>
      <c r="Q56" s="2852"/>
      <c r="R56" s="1365"/>
      <c r="X56" s="2907"/>
      <c r="Y56" s="3031"/>
      <c r="Z56" s="3031"/>
      <c r="AA56" s="3031"/>
      <c r="AH56" s="2872"/>
      <c r="AI56" s="2872"/>
      <c r="AJ56" s="2178"/>
      <c r="AK56" s="2178"/>
      <c r="AQ56" s="2871"/>
      <c r="AR56" s="2868"/>
      <c r="AS56" s="2868"/>
      <c r="AT56" s="2868"/>
      <c r="AU56" s="2868"/>
      <c r="AY56" s="2178"/>
    </row>
    <row r="57" spans="3:51" outlineLevel="1">
      <c r="C57" s="2782" t="s">
        <v>119</v>
      </c>
      <c r="D57" s="2847">
        <f t="shared" si="19"/>
        <v>115518200</v>
      </c>
      <c r="F57" s="2853"/>
      <c r="G57" s="717"/>
      <c r="H57" s="717"/>
      <c r="I57" s="1365"/>
      <c r="O57" s="2853"/>
      <c r="P57" s="717"/>
      <c r="Q57" s="717"/>
      <c r="R57" s="1365"/>
      <c r="X57" s="3032"/>
      <c r="Y57" s="3033"/>
      <c r="Z57" s="3033"/>
      <c r="AA57" s="3034"/>
      <c r="AG57" s="2873"/>
      <c r="AH57" s="2865"/>
      <c r="AI57" s="2865"/>
      <c r="AJ57" s="2178"/>
      <c r="AK57" s="2178"/>
      <c r="AR57" s="2865"/>
      <c r="AS57" s="2865"/>
      <c r="AT57" s="2865"/>
      <c r="AU57" s="2865"/>
      <c r="AY57" s="2178"/>
    </row>
    <row r="58" spans="3:51" outlineLevel="1">
      <c r="C58" s="2787" t="s">
        <v>122</v>
      </c>
      <c r="D58" s="2847">
        <f t="shared" si="19"/>
        <v>234065100</v>
      </c>
      <c r="F58" s="2854"/>
      <c r="G58" s="2855"/>
      <c r="H58" s="745"/>
      <c r="I58" s="1365"/>
      <c r="O58" s="2854"/>
      <c r="P58" s="2855"/>
      <c r="Q58" s="745"/>
      <c r="R58" s="1365"/>
      <c r="X58" s="3032"/>
      <c r="Y58" s="3033"/>
      <c r="Z58" s="3033"/>
      <c r="AA58" s="3034"/>
      <c r="AG58" s="2874"/>
      <c r="AH58" s="2875"/>
      <c r="AI58" s="2866"/>
      <c r="AJ58" s="2178"/>
      <c r="AK58" s="2178"/>
      <c r="AQ58" s="2873"/>
      <c r="AT58" s="2178"/>
      <c r="AU58" s="2865"/>
      <c r="AY58" s="2178"/>
    </row>
    <row r="59" spans="3:51" outlineLevel="1">
      <c r="C59" s="2787" t="s">
        <v>120</v>
      </c>
      <c r="D59" s="2847">
        <f t="shared" si="19"/>
        <v>147367900</v>
      </c>
      <c r="F59" s="2854"/>
      <c r="G59" s="2855"/>
      <c r="H59" s="745"/>
      <c r="I59" s="1365"/>
      <c r="O59" s="2854"/>
      <c r="P59" s="2855"/>
      <c r="Q59" s="745"/>
      <c r="R59" s="1365"/>
      <c r="X59" s="3032"/>
      <c r="Y59" s="3033"/>
      <c r="Z59" s="3033"/>
      <c r="AA59" s="3034"/>
      <c r="AG59" s="2874"/>
      <c r="AH59" s="2875"/>
      <c r="AI59" s="2866"/>
      <c r="AJ59" s="2178"/>
      <c r="AK59" s="2178"/>
      <c r="AQ59" s="2874"/>
      <c r="AR59" s="2887"/>
      <c r="AS59" s="2178"/>
      <c r="AT59" s="2178"/>
      <c r="AU59" s="2865"/>
      <c r="AY59" s="2178"/>
    </row>
    <row r="60" spans="3:51" outlineLevel="1">
      <c r="C60" s="2787" t="s">
        <v>711</v>
      </c>
      <c r="D60" s="2847">
        <f>D24+D36+D48</f>
        <v>84304300</v>
      </c>
      <c r="F60" s="2854"/>
      <c r="G60" s="2855"/>
      <c r="H60" s="745"/>
      <c r="I60" s="1365"/>
      <c r="O60" s="2854"/>
      <c r="P60" s="2855"/>
      <c r="Q60" s="745"/>
      <c r="R60" s="1365"/>
      <c r="X60" s="3032"/>
      <c r="Y60" s="3033"/>
      <c r="Z60" s="3033"/>
      <c r="AA60" s="3034"/>
      <c r="AG60" s="2874"/>
      <c r="AH60" s="2875"/>
      <c r="AI60" s="2866"/>
      <c r="AJ60" s="2178"/>
      <c r="AK60" s="2178"/>
      <c r="AQ60" s="2874"/>
      <c r="AR60" s="2887"/>
      <c r="AS60" s="2178"/>
      <c r="AT60" s="2178"/>
      <c r="AU60" s="2865"/>
      <c r="AY60" s="2178"/>
    </row>
    <row r="61" spans="3:51" outlineLevel="1">
      <c r="C61" s="2787" t="s">
        <v>907</v>
      </c>
      <c r="D61" s="2847">
        <f>SUM(D54:D60)</f>
        <v>2149099330.6122446</v>
      </c>
      <c r="F61" s="2854"/>
      <c r="G61" s="2855"/>
      <c r="H61" s="745"/>
      <c r="I61" s="1365"/>
      <c r="O61" s="2854"/>
      <c r="P61" s="2855"/>
      <c r="Q61" s="745"/>
      <c r="R61" s="1365"/>
      <c r="X61" s="3032"/>
      <c r="Y61" s="3033"/>
      <c r="Z61" s="3033"/>
      <c r="AA61" s="3034"/>
      <c r="AG61" s="2874"/>
      <c r="AH61" s="2875"/>
      <c r="AI61" s="2866"/>
      <c r="AJ61" s="2178"/>
      <c r="AK61" s="2178"/>
      <c r="AQ61" s="2874"/>
      <c r="AR61" s="2887"/>
      <c r="AS61" s="2178"/>
      <c r="AT61" s="2178"/>
      <c r="AU61" s="2865"/>
      <c r="AY61" s="2178"/>
    </row>
    <row r="62" spans="3:51" ht="15.75" outlineLevel="1" thickBot="1">
      <c r="C62" s="2788" t="s">
        <v>1004</v>
      </c>
      <c r="D62" s="2849">
        <f>D26+D38+D50</f>
        <v>161182449.79591835</v>
      </c>
      <c r="F62" s="2854"/>
      <c r="G62" s="2855"/>
      <c r="H62" s="745"/>
      <c r="I62" s="1365"/>
      <c r="O62" s="2854"/>
      <c r="P62" s="2855"/>
      <c r="Q62" s="745"/>
      <c r="R62" s="1365"/>
      <c r="X62" s="3032"/>
      <c r="Y62" s="3033"/>
      <c r="Z62" s="3033"/>
      <c r="AA62" s="3034"/>
      <c r="AG62" s="2874"/>
      <c r="AH62" s="2875"/>
      <c r="AI62" s="2866"/>
      <c r="AJ62" s="2178"/>
      <c r="AK62" s="2178"/>
      <c r="AQ62" s="2874"/>
      <c r="AR62" s="2887"/>
      <c r="AS62" s="2178"/>
      <c r="AT62" s="2178"/>
      <c r="AU62" s="2865"/>
      <c r="AY62" s="2178"/>
    </row>
    <row r="63" spans="3:51" ht="15.75" outlineLevel="1" thickBot="1">
      <c r="C63" s="2850" t="s">
        <v>655</v>
      </c>
      <c r="D63" s="2848">
        <f>D61+D62</f>
        <v>2310281780.4081631</v>
      </c>
      <c r="F63" s="2854"/>
      <c r="G63" s="2855"/>
      <c r="H63" s="745"/>
      <c r="I63" s="1365"/>
      <c r="O63" s="2854"/>
      <c r="P63" s="2855"/>
      <c r="Q63" s="745"/>
      <c r="R63" s="1365"/>
      <c r="X63" s="3032"/>
      <c r="Y63" s="3033"/>
      <c r="Z63" s="3033"/>
      <c r="AA63" s="3034"/>
      <c r="AG63" s="2874"/>
      <c r="AH63" s="2875"/>
      <c r="AI63" s="2866"/>
      <c r="AJ63" s="2178"/>
      <c r="AK63" s="2178"/>
      <c r="AQ63" s="2874"/>
      <c r="AR63" s="2887"/>
      <c r="AS63" s="2178"/>
      <c r="AT63" s="2178"/>
      <c r="AU63" s="2865"/>
      <c r="AY63" s="2178"/>
    </row>
    <row r="64" spans="3:51" outlineLevel="1">
      <c r="C64" s="2840"/>
      <c r="D64" s="2840"/>
      <c r="F64" s="2854"/>
      <c r="G64" s="2855"/>
      <c r="H64" s="745"/>
      <c r="I64" s="1365"/>
      <c r="O64" s="2854"/>
      <c r="P64" s="2855"/>
      <c r="Q64" s="745"/>
      <c r="R64" s="1365"/>
      <c r="X64" s="3032"/>
      <c r="Y64" s="3033"/>
      <c r="Z64" s="3033"/>
      <c r="AA64" s="3034"/>
      <c r="AG64" s="2874"/>
      <c r="AH64" s="2875"/>
      <c r="AI64" s="2866"/>
      <c r="AJ64" s="2178"/>
      <c r="AK64" s="2178"/>
      <c r="AQ64" s="2874"/>
      <c r="AR64" s="2887"/>
      <c r="AS64" s="2178"/>
      <c r="AT64" s="2178"/>
      <c r="AU64" s="2865"/>
      <c r="AY64" s="2178"/>
    </row>
    <row r="65" spans="3:51" s="1225" customFormat="1" ht="9.6" customHeight="1">
      <c r="M65" s="1401"/>
      <c r="N65" s="1401"/>
      <c r="O65" s="1401"/>
      <c r="P65" s="1401"/>
      <c r="Q65" s="1401"/>
      <c r="R65" s="1401"/>
      <c r="S65" s="1401"/>
      <c r="T65" s="1922"/>
      <c r="U65" s="1922"/>
      <c r="V65" s="1922"/>
      <c r="W65" s="3035"/>
      <c r="X65" s="3035"/>
      <c r="Y65" s="3035"/>
      <c r="Z65" s="3035"/>
      <c r="AA65" s="3035"/>
      <c r="AB65" s="3035"/>
      <c r="AC65" s="3035"/>
      <c r="AD65" s="3035"/>
      <c r="AE65" s="3035"/>
      <c r="AG65" s="1400"/>
      <c r="AH65" s="1400"/>
      <c r="AI65" s="1400"/>
      <c r="AJ65" s="1400"/>
      <c r="AK65" s="1400"/>
      <c r="AL65" s="1400"/>
      <c r="AM65" s="1400"/>
      <c r="AN65" s="1400"/>
      <c r="AO65" s="1400"/>
      <c r="AP65" s="1400"/>
      <c r="AQ65" s="1400"/>
      <c r="AR65" s="1400"/>
      <c r="AS65" s="1400"/>
      <c r="AT65" s="1400"/>
      <c r="AU65" s="1400"/>
      <c r="AV65" s="1400"/>
      <c r="AW65" s="1400"/>
      <c r="AX65" s="1400"/>
      <c r="AY65" s="2178"/>
    </row>
    <row r="66" spans="3:51" ht="15.75" thickBot="1">
      <c r="X66" s="3036"/>
      <c r="Y66" s="3037"/>
    </row>
    <row r="67" spans="3:51" ht="15.75" thickBot="1">
      <c r="C67" s="848" t="s">
        <v>1051</v>
      </c>
      <c r="D67" s="1439" t="s">
        <v>1058</v>
      </c>
      <c r="F67" s="2899" t="s">
        <v>1940</v>
      </c>
      <c r="G67" s="3333" t="s">
        <v>2364</v>
      </c>
      <c r="H67" s="3334"/>
      <c r="I67" s="3335"/>
      <c r="K67" s="1440" t="s">
        <v>1051</v>
      </c>
      <c r="L67" s="1441"/>
      <c r="M67" s="1441" t="s">
        <v>1052</v>
      </c>
      <c r="O67" s="3330" t="s">
        <v>2365</v>
      </c>
      <c r="P67" s="3331"/>
      <c r="Q67" s="3331"/>
      <c r="R67" s="3332"/>
      <c r="T67" s="3038" t="s">
        <v>993</v>
      </c>
      <c r="U67" s="3039"/>
      <c r="V67" s="3039" t="s">
        <v>1052</v>
      </c>
      <c r="X67" s="3087" t="s">
        <v>2363</v>
      </c>
      <c r="Y67" s="3327" t="s">
        <v>2366</v>
      </c>
      <c r="Z67" s="3328"/>
      <c r="AA67" s="3329"/>
      <c r="AC67" s="3040" t="s">
        <v>1006</v>
      </c>
      <c r="AD67" s="3039"/>
      <c r="AE67" s="3039" t="s">
        <v>1052</v>
      </c>
      <c r="AG67" s="3321"/>
      <c r="AH67" s="3321"/>
      <c r="AI67" s="3321"/>
      <c r="AL67" s="2888"/>
      <c r="AM67" s="2888"/>
      <c r="AN67" s="2888"/>
      <c r="AQ67" s="3321"/>
      <c r="AR67" s="3321"/>
      <c r="AS67" s="3321"/>
      <c r="AT67" s="3321"/>
      <c r="AU67" s="3321"/>
      <c r="AV67" s="3321"/>
      <c r="AW67" s="2889"/>
      <c r="AX67" s="2888"/>
      <c r="AY67" s="2888"/>
    </row>
    <row r="68" spans="3:51" ht="15.75" thickBot="1">
      <c r="C68" s="1371" t="s">
        <v>1053</v>
      </c>
      <c r="D68" s="1372"/>
      <c r="F68" s="1442"/>
      <c r="G68" s="1443" t="s">
        <v>1057</v>
      </c>
      <c r="H68" s="1443" t="s">
        <v>1049</v>
      </c>
      <c r="I68" s="1444" t="s">
        <v>1050</v>
      </c>
      <c r="K68" s="1371" t="s">
        <v>993</v>
      </c>
      <c r="L68" s="665"/>
      <c r="M68" s="1373"/>
      <c r="O68" s="1445"/>
      <c r="P68" s="1443" t="s">
        <v>1034</v>
      </c>
      <c r="Q68" s="1443" t="s">
        <v>2351</v>
      </c>
      <c r="R68" s="1444" t="s">
        <v>714</v>
      </c>
      <c r="T68" s="3041"/>
      <c r="U68" s="2983"/>
      <c r="V68" s="3042"/>
      <c r="X68" s="3043"/>
      <c r="Y68" s="3044" t="s">
        <v>1048</v>
      </c>
      <c r="Z68" s="3044" t="s">
        <v>1049</v>
      </c>
      <c r="AA68" s="3045" t="s">
        <v>1050</v>
      </c>
      <c r="AC68" s="3041"/>
      <c r="AD68" s="2983"/>
      <c r="AE68" s="3042"/>
      <c r="AG68" s="2890"/>
      <c r="AH68" s="2890"/>
      <c r="AI68" s="2890"/>
      <c r="AJ68" s="2890"/>
      <c r="AL68" s="2178"/>
      <c r="AQ68" s="2890"/>
      <c r="AR68" s="2890"/>
      <c r="AS68" s="2890"/>
      <c r="AT68" s="2890"/>
      <c r="AU68" s="2890"/>
      <c r="AW68" s="2178"/>
    </row>
    <row r="69" spans="3:51">
      <c r="C69" s="1446" t="s">
        <v>1708</v>
      </c>
      <c r="D69" s="1374">
        <f t="shared" ref="D69:D75" si="20">IF($D$10=1,M69,IF($D$10=2,V69,IF($D$10=3,AE69,IF($D$10=4,AN69,IF($D$10=5,AY69,0)))))</f>
        <v>624930.67466666666</v>
      </c>
      <c r="F69" s="1446" t="s">
        <v>1708</v>
      </c>
      <c r="G69" s="1412">
        <v>624930.67466666666</v>
      </c>
      <c r="H69" s="1412">
        <f>500000+'Assumption '!M388</f>
        <v>627042.06242176867</v>
      </c>
      <c r="I69" s="1413">
        <f>G69+H69</f>
        <v>1251972.7370884353</v>
      </c>
      <c r="K69" s="1446" t="s">
        <v>1708</v>
      </c>
      <c r="L69" s="665"/>
      <c r="M69" s="1380">
        <f t="shared" ref="M69:M75" si="21">IF($D$8&lt;=2,G69,0)</f>
        <v>624930.67466666666</v>
      </c>
      <c r="O69" s="1446" t="s">
        <v>1708</v>
      </c>
      <c r="P69" s="3088">
        <f>IF(Ammonia_flag=1,500000+Decommission_cost,P81)</f>
        <v>627042.06242176867</v>
      </c>
      <c r="Q69" s="3089">
        <f>IF499969+Decommission_cost</f>
        <v>127042.06242176869</v>
      </c>
      <c r="R69" s="3090">
        <f>P69+Q69</f>
        <v>754084.12484353734</v>
      </c>
      <c r="T69" s="3046" t="s">
        <v>1708</v>
      </c>
      <c r="U69" s="2983"/>
      <c r="V69" s="2384">
        <f t="shared" ref="V69:V75" si="22">IF($D$8&lt;=3,P69,0)</f>
        <v>627042.06242176867</v>
      </c>
      <c r="X69" s="3046" t="s">
        <v>1708</v>
      </c>
      <c r="Y69" s="3047">
        <f>IF(Ammonia_flag=1,(500000+Decommission_cost),Y81)</f>
        <v>627042.06242176867</v>
      </c>
      <c r="Z69" s="3047">
        <f>(500000+Decommission_cost)</f>
        <v>627042.06242176867</v>
      </c>
      <c r="AA69" s="3048">
        <f>Y69+Z69</f>
        <v>1254084.1248435373</v>
      </c>
      <c r="AC69" s="3046" t="s">
        <v>1708</v>
      </c>
      <c r="AD69" s="2983"/>
      <c r="AE69" s="2384">
        <f>IF($D$8&lt;=3,Y69,0)</f>
        <v>627042.06242176867</v>
      </c>
      <c r="AG69" s="2891"/>
      <c r="AH69" s="2315"/>
      <c r="AI69" s="2315"/>
      <c r="AJ69" s="2315"/>
      <c r="AL69" s="2891"/>
      <c r="AN69" s="2334"/>
      <c r="AQ69" s="2891"/>
      <c r="AR69" s="2315"/>
      <c r="AS69" s="2315"/>
      <c r="AT69" s="2315"/>
      <c r="AU69" s="2315"/>
      <c r="AW69" s="2891"/>
      <c r="AY69" s="2334"/>
    </row>
    <row r="70" spans="3:51">
      <c r="C70" s="846" t="s">
        <v>1018</v>
      </c>
      <c r="D70" s="1374">
        <f t="shared" si="20"/>
        <v>0</v>
      </c>
      <c r="F70" s="1448" t="s">
        <v>1018</v>
      </c>
      <c r="G70" s="2293">
        <v>0</v>
      </c>
      <c r="H70" s="2293">
        <f>IF(Power_Switch="No",'Power '!J8,0)</f>
        <v>0</v>
      </c>
      <c r="I70" s="1449">
        <f t="shared" ref="I70:I75" si="23">G70+H70</f>
        <v>0</v>
      </c>
      <c r="K70" s="1450" t="s">
        <v>1018</v>
      </c>
      <c r="L70" s="665"/>
      <c r="M70" s="1380">
        <f t="shared" si="21"/>
        <v>0</v>
      </c>
      <c r="O70" s="1447" t="s">
        <v>1018</v>
      </c>
      <c r="P70" s="3091">
        <f>IF(Power_Switch="No",'Power '!J14,0)</f>
        <v>0</v>
      </c>
      <c r="Q70" s="3091">
        <f>IF(Power_Switch="No",'Power '!J8,0)</f>
        <v>0</v>
      </c>
      <c r="R70" s="3090">
        <f t="shared" ref="R70:R75" si="24">P70+Q70</f>
        <v>0</v>
      </c>
      <c r="T70" s="2231" t="s">
        <v>1018</v>
      </c>
      <c r="U70" s="2983"/>
      <c r="V70" s="2384">
        <f t="shared" si="22"/>
        <v>0</v>
      </c>
      <c r="X70" s="3049" t="s">
        <v>1018</v>
      </c>
      <c r="Y70" s="3050">
        <f>IF(Power_Switch="No",'Power '!J14,0)</f>
        <v>0</v>
      </c>
      <c r="Z70" s="3050">
        <f>IF(Power_Switch="No",'Power '!J15,0)</f>
        <v>0</v>
      </c>
      <c r="AA70" s="3051">
        <f t="shared" ref="AA70:AA75" si="25">Y70+Z70</f>
        <v>0</v>
      </c>
      <c r="AC70" s="2231" t="s">
        <v>1018</v>
      </c>
      <c r="AD70" s="2983"/>
      <c r="AE70" s="2384">
        <f t="shared" ref="AE70:AE75" si="26">IF($D$8&lt;=3,Y70,0)</f>
        <v>0</v>
      </c>
      <c r="AG70" s="2891"/>
      <c r="AH70" s="2315"/>
      <c r="AI70" s="2315"/>
      <c r="AJ70" s="2315"/>
      <c r="AL70" s="2334"/>
      <c r="AN70" s="2334"/>
      <c r="AQ70" s="2891"/>
      <c r="AR70" s="2315"/>
      <c r="AS70" s="2315"/>
      <c r="AT70" s="2315"/>
      <c r="AU70" s="2315"/>
      <c r="AW70" s="2334"/>
      <c r="AY70" s="2334"/>
    </row>
    <row r="71" spans="3:51">
      <c r="C71" s="846" t="s">
        <v>1019</v>
      </c>
      <c r="D71" s="1374">
        <f t="shared" si="20"/>
        <v>1597500</v>
      </c>
      <c r="F71" s="1448" t="s">
        <v>1019</v>
      </c>
      <c r="G71" s="1391">
        <v>1597500</v>
      </c>
      <c r="H71" s="1391">
        <v>1237500</v>
      </c>
      <c r="I71" s="1449">
        <f t="shared" si="23"/>
        <v>2835000</v>
      </c>
      <c r="K71" s="1450" t="s">
        <v>1019</v>
      </c>
      <c r="L71" s="665"/>
      <c r="M71" s="1380">
        <f t="shared" si="21"/>
        <v>1597500</v>
      </c>
      <c r="O71" s="1447" t="s">
        <v>1019</v>
      </c>
      <c r="P71" s="3092">
        <v>1597500</v>
      </c>
      <c r="Q71" s="3093">
        <v>1465000</v>
      </c>
      <c r="R71" s="3090">
        <f t="shared" si="24"/>
        <v>3062500</v>
      </c>
      <c r="T71" s="2231" t="s">
        <v>1019</v>
      </c>
      <c r="U71" s="2983"/>
      <c r="V71" s="2384">
        <f t="shared" si="22"/>
        <v>1597500</v>
      </c>
      <c r="X71" s="3049" t="s">
        <v>1019</v>
      </c>
      <c r="Y71" s="3052">
        <v>1370000</v>
      </c>
      <c r="Z71" s="3052">
        <v>1237500</v>
      </c>
      <c r="AA71" s="3051">
        <f t="shared" si="25"/>
        <v>2607500</v>
      </c>
      <c r="AC71" s="2231" t="s">
        <v>1019</v>
      </c>
      <c r="AD71" s="2983"/>
      <c r="AE71" s="2384">
        <f t="shared" si="26"/>
        <v>1370000</v>
      </c>
      <c r="AG71" s="2891"/>
      <c r="AH71" s="2315"/>
      <c r="AI71" s="2315"/>
      <c r="AJ71" s="2315"/>
      <c r="AL71" s="2334"/>
      <c r="AN71" s="2334"/>
      <c r="AQ71" s="2891"/>
      <c r="AR71" s="2315"/>
      <c r="AS71" s="2315"/>
      <c r="AT71" s="2315"/>
      <c r="AU71" s="2315"/>
      <c r="AW71" s="2334"/>
      <c r="AY71" s="2334"/>
    </row>
    <row r="72" spans="3:51">
      <c r="C72" s="846" t="s">
        <v>348</v>
      </c>
      <c r="D72" s="1374">
        <f t="shared" si="20"/>
        <v>8466750</v>
      </c>
      <c r="F72" s="1448" t="s">
        <v>348</v>
      </c>
      <c r="G72" s="1391">
        <v>8466750</v>
      </c>
      <c r="H72" s="1391">
        <v>6187500</v>
      </c>
      <c r="I72" s="1449">
        <f t="shared" si="23"/>
        <v>14654250</v>
      </c>
      <c r="K72" s="1450" t="s">
        <v>348</v>
      </c>
      <c r="L72" s="665"/>
      <c r="M72" s="1380">
        <f t="shared" si="21"/>
        <v>8466750</v>
      </c>
      <c r="O72" s="1447" t="s">
        <v>348</v>
      </c>
      <c r="P72" s="3092">
        <v>8466750</v>
      </c>
      <c r="Q72" s="3093">
        <v>8423750</v>
      </c>
      <c r="R72" s="3090">
        <f t="shared" si="24"/>
        <v>16890500</v>
      </c>
      <c r="T72" s="2231" t="s">
        <v>348</v>
      </c>
      <c r="U72" s="2983"/>
      <c r="V72" s="2384">
        <f t="shared" si="22"/>
        <v>8466750</v>
      </c>
      <c r="X72" s="3049" t="s">
        <v>348</v>
      </c>
      <c r="Y72" s="3052">
        <v>6850000</v>
      </c>
      <c r="Z72" s="3052">
        <v>6187500</v>
      </c>
      <c r="AA72" s="3051">
        <f t="shared" si="25"/>
        <v>13037500</v>
      </c>
      <c r="AC72" s="2231" t="s">
        <v>348</v>
      </c>
      <c r="AD72" s="2983"/>
      <c r="AE72" s="2384">
        <f t="shared" si="26"/>
        <v>6850000</v>
      </c>
      <c r="AG72" s="2891"/>
      <c r="AH72" s="2315"/>
      <c r="AI72" s="2315"/>
      <c r="AJ72" s="2315"/>
      <c r="AL72" s="2334"/>
      <c r="AN72" s="2334"/>
      <c r="AQ72" s="2891"/>
      <c r="AR72" s="2315"/>
      <c r="AS72" s="2315"/>
      <c r="AT72" s="2315"/>
      <c r="AU72" s="2315"/>
      <c r="AW72" s="2334"/>
      <c r="AY72" s="2334"/>
    </row>
    <row r="73" spans="3:51">
      <c r="C73" s="846" t="s">
        <v>1020</v>
      </c>
      <c r="D73" s="1374">
        <f t="shared" si="20"/>
        <v>486606</v>
      </c>
      <c r="F73" s="1448" t="s">
        <v>1020</v>
      </c>
      <c r="G73" s="1391">
        <v>486606</v>
      </c>
      <c r="H73" s="1391">
        <v>397437</v>
      </c>
      <c r="I73" s="1449">
        <f t="shared" si="23"/>
        <v>884043</v>
      </c>
      <c r="K73" s="1450" t="s">
        <v>1020</v>
      </c>
      <c r="L73" s="665"/>
      <c r="M73" s="1380">
        <f t="shared" si="21"/>
        <v>486606</v>
      </c>
      <c r="O73" s="1447" t="s">
        <v>1020</v>
      </c>
      <c r="P73" s="3092">
        <v>486606</v>
      </c>
      <c r="Q73" s="3093">
        <v>486606</v>
      </c>
      <c r="R73" s="3090">
        <f t="shared" si="24"/>
        <v>973212</v>
      </c>
      <c r="T73" s="2231" t="s">
        <v>1020</v>
      </c>
      <c r="U73" s="2983"/>
      <c r="V73" s="2384">
        <f t="shared" si="22"/>
        <v>486606</v>
      </c>
      <c r="X73" s="3049" t="s">
        <v>1020</v>
      </c>
      <c r="Y73" s="3052">
        <v>397437</v>
      </c>
      <c r="Z73" s="3052">
        <v>397437</v>
      </c>
      <c r="AA73" s="3051">
        <f t="shared" si="25"/>
        <v>794874</v>
      </c>
      <c r="AC73" s="2231" t="s">
        <v>1020</v>
      </c>
      <c r="AD73" s="2983"/>
      <c r="AE73" s="2384">
        <f t="shared" si="26"/>
        <v>397437</v>
      </c>
      <c r="AG73" s="2891"/>
      <c r="AH73" s="2315"/>
      <c r="AI73" s="2315"/>
      <c r="AJ73" s="2315"/>
      <c r="AL73" s="2334"/>
      <c r="AN73" s="2334"/>
      <c r="AQ73" s="2891"/>
      <c r="AR73" s="2315"/>
      <c r="AS73" s="2315"/>
      <c r="AT73" s="2892"/>
      <c r="AU73" s="2315"/>
      <c r="AW73" s="2334"/>
      <c r="AY73" s="2334"/>
    </row>
    <row r="74" spans="3:51">
      <c r="C74" s="846" t="s">
        <v>1021</v>
      </c>
      <c r="D74" s="1374">
        <f t="shared" si="20"/>
        <v>1821364</v>
      </c>
      <c r="F74" s="1448" t="s">
        <v>1021</v>
      </c>
      <c r="G74" s="1391">
        <v>1821364</v>
      </c>
      <c r="H74" s="1391">
        <v>1410916</v>
      </c>
      <c r="I74" s="1449">
        <f t="shared" si="23"/>
        <v>3232280</v>
      </c>
      <c r="K74" s="1450" t="s">
        <v>1021</v>
      </c>
      <c r="L74" s="665"/>
      <c r="M74" s="1380">
        <f t="shared" si="21"/>
        <v>1821364</v>
      </c>
      <c r="O74" s="1447" t="s">
        <v>1021</v>
      </c>
      <c r="P74" s="3092">
        <v>1821364</v>
      </c>
      <c r="Q74" s="3093">
        <v>1670296</v>
      </c>
      <c r="R74" s="3090">
        <f t="shared" si="24"/>
        <v>3491660</v>
      </c>
      <c r="T74" s="2231" t="s">
        <v>1021</v>
      </c>
      <c r="U74" s="2983"/>
      <c r="V74" s="2384">
        <f t="shared" si="22"/>
        <v>1821364</v>
      </c>
      <c r="X74" s="3049" t="s">
        <v>1021</v>
      </c>
      <c r="Y74" s="3052">
        <v>1561984</v>
      </c>
      <c r="Z74" s="3052">
        <v>1410916</v>
      </c>
      <c r="AA74" s="3051">
        <f t="shared" si="25"/>
        <v>2972900</v>
      </c>
      <c r="AC74" s="2231" t="s">
        <v>1021</v>
      </c>
      <c r="AD74" s="2983"/>
      <c r="AE74" s="2384">
        <f t="shared" si="26"/>
        <v>1561984</v>
      </c>
      <c r="AG74" s="2891"/>
      <c r="AH74" s="2315"/>
      <c r="AI74" s="2315"/>
      <c r="AJ74" s="2315"/>
      <c r="AL74" s="2334"/>
      <c r="AN74" s="2334"/>
      <c r="AQ74" s="2891"/>
      <c r="AR74" s="2315"/>
      <c r="AS74" s="2315"/>
      <c r="AT74" s="2892"/>
      <c r="AU74" s="2315"/>
      <c r="AW74" s="2334"/>
      <c r="AY74" s="2334"/>
    </row>
    <row r="75" spans="3:51" ht="15.75" thickBot="1">
      <c r="C75" s="846" t="s">
        <v>1022</v>
      </c>
      <c r="D75" s="1374">
        <f t="shared" si="20"/>
        <v>2687365</v>
      </c>
      <c r="F75" s="1451" t="s">
        <v>1022</v>
      </c>
      <c r="G75" s="1452">
        <v>2687365</v>
      </c>
      <c r="H75" s="1452">
        <v>1688470</v>
      </c>
      <c r="I75" s="1453">
        <f t="shared" si="23"/>
        <v>4375835</v>
      </c>
      <c r="K75" s="1454" t="s">
        <v>1022</v>
      </c>
      <c r="L75" s="668"/>
      <c r="M75" s="1455">
        <f t="shared" si="21"/>
        <v>2687365</v>
      </c>
      <c r="O75" s="1456" t="s">
        <v>1022</v>
      </c>
      <c r="P75" s="3094">
        <v>2687365</v>
      </c>
      <c r="Q75" s="3095">
        <v>2445457</v>
      </c>
      <c r="R75" s="3090">
        <f t="shared" si="24"/>
        <v>5132822</v>
      </c>
      <c r="T75" s="3053" t="s">
        <v>1022</v>
      </c>
      <c r="U75" s="2989"/>
      <c r="V75" s="2384">
        <f t="shared" si="22"/>
        <v>2687365</v>
      </c>
      <c r="X75" s="3054" t="s">
        <v>1022</v>
      </c>
      <c r="Y75" s="3055">
        <v>1745234</v>
      </c>
      <c r="Z75" s="3055">
        <v>1688470</v>
      </c>
      <c r="AA75" s="3056">
        <f t="shared" si="25"/>
        <v>3433704</v>
      </c>
      <c r="AC75" s="3053" t="s">
        <v>1022</v>
      </c>
      <c r="AD75" s="2989"/>
      <c r="AE75" s="2384">
        <f t="shared" si="26"/>
        <v>1745234</v>
      </c>
      <c r="AG75" s="2891"/>
      <c r="AH75" s="2315"/>
      <c r="AI75" s="2315"/>
      <c r="AJ75" s="2315"/>
      <c r="AL75" s="2334"/>
      <c r="AN75" s="2334"/>
      <c r="AQ75" s="2891"/>
      <c r="AR75" s="2315"/>
      <c r="AS75" s="2315"/>
      <c r="AT75" s="2892"/>
      <c r="AU75" s="2315"/>
      <c r="AW75" s="2334"/>
      <c r="AY75" s="2334"/>
    </row>
    <row r="76" spans="3:51" ht="15.75" thickBot="1">
      <c r="C76" s="1362" t="s">
        <v>655</v>
      </c>
      <c r="D76" s="1375">
        <f>SUM(D69:D75)</f>
        <v>15684515.674666665</v>
      </c>
      <c r="F76" s="1457" t="s">
        <v>655</v>
      </c>
      <c r="G76" s="1458">
        <f>SUM(G69:G75)</f>
        <v>15684515.674666665</v>
      </c>
      <c r="H76" s="1458">
        <f>SUM(H69:H75)</f>
        <v>11548865.062421769</v>
      </c>
      <c r="I76" s="1459">
        <f>SUM(I69:I75)</f>
        <v>27233380.737088434</v>
      </c>
      <c r="K76" s="669" t="s">
        <v>1010</v>
      </c>
      <c r="L76" s="1376"/>
      <c r="M76" s="671">
        <f>SUM(M69:M75)</f>
        <v>15684515.674666665</v>
      </c>
      <c r="O76" s="1460" t="s">
        <v>655</v>
      </c>
      <c r="P76" s="3096">
        <f>SUM(P69:P75)</f>
        <v>15686627.062421769</v>
      </c>
      <c r="Q76" s="3096">
        <f>SUM(Q69:Q75)</f>
        <v>14618151.062421769</v>
      </c>
      <c r="R76" s="3097">
        <f>SUM(R69:R75)</f>
        <v>30304778.124843538</v>
      </c>
      <c r="T76" s="3017" t="s">
        <v>1010</v>
      </c>
      <c r="U76" s="3057"/>
      <c r="V76" s="2999">
        <f>SUM(V69:V75)</f>
        <v>15686627.062421769</v>
      </c>
      <c r="X76" s="3058" t="s">
        <v>655</v>
      </c>
      <c r="Y76" s="3059">
        <f>SUM(Y69:Y75)</f>
        <v>12551697.062421769</v>
      </c>
      <c r="Z76" s="3059">
        <f>SUM(Z69:Z75)</f>
        <v>11548865.062421769</v>
      </c>
      <c r="AA76" s="3060">
        <f>SUM(AA69:AA75)</f>
        <v>24100562.124843538</v>
      </c>
      <c r="AC76" s="3017" t="s">
        <v>1010</v>
      </c>
      <c r="AD76" s="3057"/>
      <c r="AE76" s="2999">
        <f>SUM(AE69:AE75)</f>
        <v>12551697.062421769</v>
      </c>
      <c r="AG76" s="2891"/>
      <c r="AH76" s="2315"/>
      <c r="AI76" s="2315"/>
      <c r="AJ76" s="2315"/>
      <c r="AN76" s="2178"/>
      <c r="AQ76" s="2891"/>
      <c r="AR76" s="2315"/>
      <c r="AS76" s="2315"/>
      <c r="AT76" s="2315"/>
      <c r="AU76" s="2315"/>
      <c r="AY76" s="2178"/>
    </row>
    <row r="77" spans="3:51" ht="15.75" thickBot="1">
      <c r="D77" s="1377"/>
      <c r="M77" s="703"/>
      <c r="T77" s="2949"/>
      <c r="U77" s="2949"/>
      <c r="V77" s="2949"/>
      <c r="Y77" s="311"/>
      <c r="Z77" s="311"/>
    </row>
    <row r="78" spans="3:51">
      <c r="C78" s="848" t="s">
        <v>1051</v>
      </c>
      <c r="D78" s="1439" t="s">
        <v>1058</v>
      </c>
      <c r="K78" s="848" t="s">
        <v>1056</v>
      </c>
      <c r="L78" s="1461"/>
      <c r="M78" s="1462" t="s">
        <v>1052</v>
      </c>
      <c r="T78" s="3061" t="s">
        <v>1005</v>
      </c>
      <c r="U78" s="3062"/>
      <c r="V78" s="3063" t="s">
        <v>1052</v>
      </c>
      <c r="Y78" s="311"/>
      <c r="Z78" s="311"/>
      <c r="AC78" s="3061" t="s">
        <v>1005</v>
      </c>
      <c r="AD78" s="3062"/>
      <c r="AE78" s="3063" t="s">
        <v>1052</v>
      </c>
      <c r="AL78" s="2880"/>
      <c r="AM78" s="2888"/>
      <c r="AN78" s="2877"/>
      <c r="AW78" s="2880"/>
      <c r="AX78" s="2888"/>
      <c r="AY78" s="2877"/>
    </row>
    <row r="79" spans="3:51">
      <c r="C79" s="1378" t="s">
        <v>1005</v>
      </c>
      <c r="D79" s="1372"/>
      <c r="K79" s="1371" t="s">
        <v>1005</v>
      </c>
      <c r="L79" s="665"/>
      <c r="M79" s="1373"/>
      <c r="O79" s="3370"/>
      <c r="P79" s="3370"/>
      <c r="Q79" s="3370"/>
      <c r="R79" s="3371"/>
      <c r="T79" s="3064"/>
      <c r="U79" s="2983"/>
      <c r="V79" s="3042"/>
      <c r="X79" s="3316"/>
      <c r="Y79" s="3316"/>
      <c r="Z79" s="3316"/>
      <c r="AA79" s="3065"/>
      <c r="AC79" s="3064"/>
      <c r="AD79" s="2983"/>
      <c r="AE79" s="3042"/>
      <c r="AG79" s="3317"/>
      <c r="AH79" s="3317"/>
      <c r="AI79" s="3317"/>
      <c r="AL79" s="2882"/>
      <c r="AQ79" s="3318"/>
      <c r="AR79" s="3318"/>
      <c r="AS79" s="3318"/>
      <c r="AW79" s="2882"/>
    </row>
    <row r="80" spans="3:51">
      <c r="C80" s="1446" t="s">
        <v>1708</v>
      </c>
      <c r="D80" s="1374">
        <f>IF($D$10=1,M80,IF($D$10=2,V80,IF($D$10=3,AE80,IF($D$10=4,AN80,AY80))))</f>
        <v>627042.06242176867</v>
      </c>
      <c r="F80" s="3316"/>
      <c r="G80" s="3316"/>
      <c r="H80" s="3316"/>
      <c r="I80" s="2900"/>
      <c r="K80" s="1446" t="s">
        <v>1708</v>
      </c>
      <c r="L80" s="665"/>
      <c r="M80" s="1379">
        <f t="shared" ref="M80:M86" si="27">IF($D$8=2,H69,0)</f>
        <v>627042.06242176867</v>
      </c>
      <c r="O80" s="2890"/>
      <c r="P80" s="2890"/>
      <c r="Q80" s="2890"/>
      <c r="R80" s="2890"/>
      <c r="T80" s="3046" t="s">
        <v>1708</v>
      </c>
      <c r="U80" s="2983"/>
      <c r="V80" s="2384">
        <f>IF($D$8&lt;=3,Q69,0)</f>
        <v>127042.06242176869</v>
      </c>
      <c r="X80" s="3066"/>
      <c r="Y80" s="3066"/>
      <c r="Z80" s="3066"/>
      <c r="AA80" s="3066"/>
      <c r="AC80" s="3046" t="s">
        <v>1708</v>
      </c>
      <c r="AD80" s="2983"/>
      <c r="AE80" s="2384">
        <f>IF($D$8&lt;=3,Z69,0)</f>
        <v>627042.06242176867</v>
      </c>
      <c r="AG80" s="2890"/>
      <c r="AH80" s="2890"/>
      <c r="AI80" s="2890"/>
      <c r="AJ80" s="2890"/>
      <c r="AL80" s="2891"/>
      <c r="AN80" s="2893"/>
      <c r="AQ80" s="2890"/>
      <c r="AR80" s="2890"/>
      <c r="AS80" s="2890"/>
      <c r="AT80" s="2890"/>
      <c r="AU80" s="2890"/>
      <c r="AW80" s="2891"/>
      <c r="AY80" s="2334"/>
    </row>
    <row r="81" spans="3:51">
      <c r="C81" s="846" t="s">
        <v>1018</v>
      </c>
      <c r="D81" s="1374">
        <f t="shared" ref="D81:D86" si="28">IF($D$10=1,M81,IF($D$10=2,V81,IF($D$10=3,AE81,IF($D$10=4,AN81,AY81))))</f>
        <v>0</v>
      </c>
      <c r="F81" s="2890"/>
      <c r="G81" s="2890"/>
      <c r="H81" s="2890"/>
      <c r="I81" s="2890"/>
      <c r="K81" s="845" t="s">
        <v>1018</v>
      </c>
      <c r="L81" s="665"/>
      <c r="M81" s="1379">
        <f t="shared" si="27"/>
        <v>0</v>
      </c>
      <c r="O81" s="2891"/>
      <c r="P81" s="2315"/>
      <c r="Q81" s="2315"/>
      <c r="R81" s="2315"/>
      <c r="T81" s="3064" t="s">
        <v>1018</v>
      </c>
      <c r="U81" s="2983"/>
      <c r="V81" s="2384">
        <f t="shared" ref="V81:V86" si="29">IF($D$8&lt;=3,Q70,0)</f>
        <v>0</v>
      </c>
      <c r="X81" s="3067"/>
      <c r="Y81" s="3068"/>
      <c r="Z81" s="3068"/>
      <c r="AA81" s="3069"/>
      <c r="AC81" s="3064" t="s">
        <v>1018</v>
      </c>
      <c r="AD81" s="2983"/>
      <c r="AE81" s="3070">
        <f t="shared" ref="AE81:AE86" si="30">IF($D$8&lt;=3,Z70,0)</f>
        <v>0</v>
      </c>
      <c r="AG81" s="2891"/>
      <c r="AH81" s="2315"/>
      <c r="AI81" s="2315"/>
      <c r="AJ81" s="2315"/>
      <c r="AL81" s="2882"/>
      <c r="AN81" s="2893"/>
      <c r="AQ81" s="2891"/>
      <c r="AR81" s="2315"/>
      <c r="AS81" s="2315"/>
      <c r="AT81" s="2892"/>
      <c r="AU81" s="2315"/>
      <c r="AW81" s="2882"/>
      <c r="AY81" s="2334"/>
    </row>
    <row r="82" spans="3:51">
      <c r="C82" s="846" t="s">
        <v>1019</v>
      </c>
      <c r="D82" s="1374">
        <f t="shared" si="28"/>
        <v>1237500</v>
      </c>
      <c r="F82" s="2891"/>
      <c r="G82" s="2315"/>
      <c r="H82" s="2315"/>
      <c r="I82" s="2315"/>
      <c r="K82" s="845" t="s">
        <v>1019</v>
      </c>
      <c r="L82" s="665"/>
      <c r="M82" s="1379">
        <f t="shared" si="27"/>
        <v>1237500</v>
      </c>
      <c r="O82" s="2891"/>
      <c r="P82" s="2315"/>
      <c r="Q82" s="2315"/>
      <c r="R82" s="2315"/>
      <c r="T82" s="3064" t="s">
        <v>1019</v>
      </c>
      <c r="U82" s="2983"/>
      <c r="V82" s="2384">
        <f t="shared" si="29"/>
        <v>1465000</v>
      </c>
      <c r="X82" s="3067"/>
      <c r="Y82" s="3068"/>
      <c r="Z82" s="3068"/>
      <c r="AA82" s="3069"/>
      <c r="AC82" s="3064" t="s">
        <v>1019</v>
      </c>
      <c r="AD82" s="2983"/>
      <c r="AE82" s="3070">
        <f t="shared" si="30"/>
        <v>1237500</v>
      </c>
      <c r="AG82" s="2891"/>
      <c r="AH82" s="2315"/>
      <c r="AI82" s="2315"/>
      <c r="AJ82" s="2315"/>
      <c r="AL82" s="2882"/>
      <c r="AN82" s="2893"/>
      <c r="AQ82" s="2891"/>
      <c r="AR82" s="2315"/>
      <c r="AS82" s="2315"/>
      <c r="AT82" s="2315"/>
      <c r="AU82" s="2315"/>
      <c r="AW82" s="2882"/>
      <c r="AY82" s="2334"/>
    </row>
    <row r="83" spans="3:51">
      <c r="C83" s="846" t="s">
        <v>348</v>
      </c>
      <c r="D83" s="1374">
        <f t="shared" si="28"/>
        <v>6187500</v>
      </c>
      <c r="F83" s="2891"/>
      <c r="G83" s="2315"/>
      <c r="H83" s="2315"/>
      <c r="I83" s="2315"/>
      <c r="K83" s="846" t="s">
        <v>348</v>
      </c>
      <c r="L83" s="665"/>
      <c r="M83" s="1379">
        <f t="shared" si="27"/>
        <v>6187500</v>
      </c>
      <c r="O83" s="2891"/>
      <c r="P83" s="2315"/>
      <c r="Q83" s="2315"/>
      <c r="R83" s="2315"/>
      <c r="T83" s="3071" t="s">
        <v>348</v>
      </c>
      <c r="U83" s="2983"/>
      <c r="V83" s="2384">
        <f t="shared" si="29"/>
        <v>8423750</v>
      </c>
      <c r="X83" s="3067"/>
      <c r="Y83" s="3068"/>
      <c r="Z83" s="3068"/>
      <c r="AA83" s="3069"/>
      <c r="AC83" s="3071" t="s">
        <v>348</v>
      </c>
      <c r="AD83" s="2983"/>
      <c r="AE83" s="3070">
        <f t="shared" si="30"/>
        <v>6187500</v>
      </c>
      <c r="AG83" s="2891"/>
      <c r="AH83" s="2315"/>
      <c r="AI83" s="2315"/>
      <c r="AJ83" s="2315"/>
      <c r="AN83" s="2893"/>
      <c r="AQ83" s="2891"/>
      <c r="AR83" s="2315"/>
      <c r="AS83" s="2315"/>
      <c r="AT83" s="2892"/>
      <c r="AU83" s="2315"/>
      <c r="AY83" s="2334"/>
    </row>
    <row r="84" spans="3:51">
      <c r="C84" s="846" t="s">
        <v>1020</v>
      </c>
      <c r="D84" s="1374">
        <f t="shared" si="28"/>
        <v>397437</v>
      </c>
      <c r="F84" s="2891"/>
      <c r="G84" s="2315"/>
      <c r="H84" s="2315"/>
      <c r="I84" s="2315"/>
      <c r="K84" s="846" t="s">
        <v>1020</v>
      </c>
      <c r="L84" s="665"/>
      <c r="M84" s="1379">
        <f t="shared" si="27"/>
        <v>397437</v>
      </c>
      <c r="O84" s="2891"/>
      <c r="P84" s="2315"/>
      <c r="Q84" s="2315"/>
      <c r="R84" s="2315"/>
      <c r="T84" s="3071" t="s">
        <v>1020</v>
      </c>
      <c r="U84" s="2983"/>
      <c r="V84" s="2384">
        <f>IF($D$8&lt;=3,Q73,0)</f>
        <v>486606</v>
      </c>
      <c r="X84" s="3067"/>
      <c r="Y84" s="3068"/>
      <c r="Z84" s="3068"/>
      <c r="AA84" s="3069"/>
      <c r="AC84" s="3071" t="s">
        <v>1020</v>
      </c>
      <c r="AD84" s="2983"/>
      <c r="AE84" s="3070">
        <f t="shared" si="30"/>
        <v>397437</v>
      </c>
      <c r="AG84" s="2891"/>
      <c r="AH84" s="2315"/>
      <c r="AI84" s="2315"/>
      <c r="AJ84" s="2315"/>
      <c r="AN84" s="2893"/>
      <c r="AQ84" s="2891"/>
      <c r="AR84" s="2315"/>
      <c r="AS84" s="2315"/>
      <c r="AT84" s="2892"/>
      <c r="AU84" s="2315"/>
      <c r="AY84" s="2334"/>
    </row>
    <row r="85" spans="3:51">
      <c r="C85" s="846" t="s">
        <v>1021</v>
      </c>
      <c r="D85" s="1374">
        <f t="shared" si="28"/>
        <v>1410916</v>
      </c>
      <c r="F85" s="2891"/>
      <c r="G85" s="2315"/>
      <c r="H85" s="2315"/>
      <c r="I85" s="2315"/>
      <c r="K85" s="846" t="s">
        <v>1021</v>
      </c>
      <c r="L85" s="665"/>
      <c r="M85" s="1379">
        <f t="shared" si="27"/>
        <v>1410916</v>
      </c>
      <c r="O85" s="2891"/>
      <c r="P85" s="2315"/>
      <c r="Q85" s="2315"/>
      <c r="R85" s="2315"/>
      <c r="T85" s="3071" t="s">
        <v>1021</v>
      </c>
      <c r="U85" s="2983"/>
      <c r="V85" s="2384">
        <f t="shared" si="29"/>
        <v>1670296</v>
      </c>
      <c r="X85" s="3067"/>
      <c r="Y85" s="3068"/>
      <c r="Z85" s="3068"/>
      <c r="AA85" s="3069"/>
      <c r="AC85" s="3071" t="s">
        <v>1021</v>
      </c>
      <c r="AD85" s="2983"/>
      <c r="AE85" s="3070">
        <f t="shared" si="30"/>
        <v>1410916</v>
      </c>
      <c r="AG85" s="2891"/>
      <c r="AH85" s="2315"/>
      <c r="AI85" s="2315"/>
      <c r="AJ85" s="2315"/>
      <c r="AN85" s="2893"/>
      <c r="AQ85" s="2891"/>
      <c r="AR85" s="2315"/>
      <c r="AS85" s="2315"/>
      <c r="AT85" s="2892"/>
      <c r="AU85" s="2315"/>
      <c r="AY85" s="2334"/>
    </row>
    <row r="86" spans="3:51" ht="15.75" thickBot="1">
      <c r="C86" s="846" t="s">
        <v>1022</v>
      </c>
      <c r="D86" s="1374">
        <f t="shared" si="28"/>
        <v>1688470</v>
      </c>
      <c r="F86" s="2891"/>
      <c r="G86" s="2315"/>
      <c r="H86" s="2315"/>
      <c r="I86" s="2315"/>
      <c r="K86" s="849" t="s">
        <v>1022</v>
      </c>
      <c r="L86" s="668"/>
      <c r="M86" s="1381">
        <f t="shared" si="27"/>
        <v>1688470</v>
      </c>
      <c r="O86" s="2891"/>
      <c r="P86" s="2315"/>
      <c r="Q86" s="2315"/>
      <c r="R86" s="2315"/>
      <c r="T86" s="3072" t="s">
        <v>1022</v>
      </c>
      <c r="U86" s="2989"/>
      <c r="V86" s="2384">
        <f t="shared" si="29"/>
        <v>2445457</v>
      </c>
      <c r="X86" s="3067"/>
      <c r="Y86" s="3068"/>
      <c r="Z86" s="3068"/>
      <c r="AA86" s="3069"/>
      <c r="AC86" s="3072" t="s">
        <v>1022</v>
      </c>
      <c r="AD86" s="2989"/>
      <c r="AE86" s="3070">
        <f t="shared" si="30"/>
        <v>1688470</v>
      </c>
      <c r="AG86" s="2891"/>
      <c r="AH86" s="2315"/>
      <c r="AI86" s="2315"/>
      <c r="AJ86" s="2315"/>
      <c r="AN86" s="2893"/>
      <c r="AQ86" s="2891"/>
      <c r="AR86" s="2315"/>
      <c r="AS86" s="2315"/>
      <c r="AT86" s="2892"/>
      <c r="AU86" s="2315"/>
      <c r="AY86" s="2334"/>
    </row>
    <row r="87" spans="3:51" ht="15.75" thickBot="1">
      <c r="C87" s="1362" t="s">
        <v>655</v>
      </c>
      <c r="D87" s="1375">
        <f>SUM(D80:D86)</f>
        <v>11548865.062421769</v>
      </c>
      <c r="F87" s="2891"/>
      <c r="G87" s="2315"/>
      <c r="H87" s="2315"/>
      <c r="I87" s="2315"/>
      <c r="K87" s="669" t="s">
        <v>1010</v>
      </c>
      <c r="L87" s="1376"/>
      <c r="M87" s="1382">
        <f>SUM(M80:M86)</f>
        <v>11548865.062421769</v>
      </c>
      <c r="O87" s="2891"/>
      <c r="P87" s="2315"/>
      <c r="Q87" s="2315"/>
      <c r="R87" s="2315"/>
      <c r="T87" s="3017" t="s">
        <v>1010</v>
      </c>
      <c r="U87" s="3057"/>
      <c r="V87" s="3073">
        <f>SUM(V80:V86)</f>
        <v>14618151.062421769</v>
      </c>
      <c r="X87" s="3067"/>
      <c r="Y87" s="3068"/>
      <c r="Z87" s="3068"/>
      <c r="AA87" s="3069"/>
      <c r="AC87" s="3017" t="s">
        <v>1010</v>
      </c>
      <c r="AD87" s="3057"/>
      <c r="AE87" s="3073">
        <f>SUM(AE80:AE86)</f>
        <v>11548865.062421769</v>
      </c>
      <c r="AG87" s="2891"/>
      <c r="AH87" s="2315"/>
      <c r="AI87" s="2315"/>
      <c r="AJ87" s="2315"/>
      <c r="AN87" s="2882"/>
      <c r="AQ87" s="2891"/>
      <c r="AR87" s="2315"/>
      <c r="AS87" s="2315"/>
      <c r="AT87" s="2892"/>
      <c r="AU87" s="2315"/>
      <c r="AY87" s="2882"/>
    </row>
    <row r="88" spans="3:51" ht="15.75" thickBot="1">
      <c r="F88" s="2891"/>
      <c r="G88" s="2315"/>
      <c r="H88" s="2315"/>
      <c r="I88" s="2315"/>
      <c r="M88" s="703"/>
      <c r="O88" s="2891"/>
      <c r="P88" s="2315"/>
      <c r="Q88" s="2315"/>
      <c r="R88" s="2315"/>
      <c r="T88" s="2949"/>
      <c r="U88" s="2949"/>
      <c r="V88" s="2949"/>
      <c r="X88" s="3067"/>
      <c r="Y88" s="3069"/>
      <c r="Z88" s="3069"/>
      <c r="AA88" s="3069"/>
      <c r="AG88" s="2891"/>
      <c r="AH88" s="2315"/>
      <c r="AI88" s="2315"/>
      <c r="AJ88" s="2315"/>
      <c r="AQ88" s="2891"/>
      <c r="AR88" s="2315"/>
      <c r="AS88" s="2315"/>
      <c r="AT88" s="2315"/>
      <c r="AU88" s="2315"/>
    </row>
    <row r="89" spans="3:51">
      <c r="C89" s="848" t="s">
        <v>1051</v>
      </c>
      <c r="D89" s="1439" t="s">
        <v>1058</v>
      </c>
      <c r="F89" s="2891"/>
      <c r="G89" s="2315"/>
      <c r="H89" s="2315"/>
      <c r="I89" s="2315"/>
      <c r="K89" s="753" t="s">
        <v>1055</v>
      </c>
      <c r="L89" s="1463"/>
      <c r="M89" s="1462" t="s">
        <v>1052</v>
      </c>
      <c r="T89" s="3002" t="s">
        <v>1055</v>
      </c>
      <c r="U89" s="3074"/>
      <c r="V89" s="3063" t="s">
        <v>1052</v>
      </c>
      <c r="AC89" s="3002" t="s">
        <v>1055</v>
      </c>
      <c r="AD89" s="3074"/>
      <c r="AE89" s="3063" t="s">
        <v>1052</v>
      </c>
      <c r="AL89" s="2880"/>
      <c r="AM89" s="2888"/>
      <c r="AN89" s="2877"/>
      <c r="AW89" s="2880"/>
      <c r="AX89" s="2888"/>
      <c r="AY89" s="2877"/>
    </row>
    <row r="90" spans="3:51">
      <c r="C90" s="1378" t="s">
        <v>1012</v>
      </c>
      <c r="D90" s="1372"/>
      <c r="K90" s="662"/>
      <c r="L90" s="665"/>
      <c r="M90" s="1383"/>
      <c r="T90" s="2975"/>
      <c r="U90" s="2983"/>
      <c r="V90" s="3075"/>
      <c r="AC90" s="2975"/>
      <c r="AD90" s="2983"/>
      <c r="AE90" s="3075"/>
      <c r="AL90" s="2882"/>
      <c r="AW90" s="2882"/>
    </row>
    <row r="91" spans="3:51">
      <c r="C91" s="1446" t="s">
        <v>1708</v>
      </c>
      <c r="D91" s="1374">
        <f t="shared" ref="D91:D97" si="31">IF($D$10=1,0,IF($D$10=2,0,IF($D$10=3,0,IF($D$10=4,0,AY91))))</f>
        <v>0</v>
      </c>
      <c r="K91" s="1446" t="s">
        <v>1708</v>
      </c>
      <c r="L91" s="665"/>
      <c r="M91" s="756">
        <f t="shared" ref="M91:M97" si="32">M69+M80</f>
        <v>1251972.7370884353</v>
      </c>
      <c r="T91" s="3046" t="s">
        <v>1708</v>
      </c>
      <c r="U91" s="2983"/>
      <c r="V91" s="461">
        <f>V69+V80</f>
        <v>754084.12484353734</v>
      </c>
      <c r="AC91" s="3046" t="s">
        <v>1708</v>
      </c>
      <c r="AD91" s="2983"/>
      <c r="AE91" s="461">
        <f>AE69+AE80</f>
        <v>1254084.1248435373</v>
      </c>
      <c r="AL91" s="2891"/>
      <c r="AN91" s="2334"/>
      <c r="AW91" s="2891"/>
      <c r="AY91" s="2334"/>
    </row>
    <row r="92" spans="3:51">
      <c r="C92" s="846" t="s">
        <v>1018</v>
      </c>
      <c r="D92" s="1374">
        <f t="shared" si="31"/>
        <v>0</v>
      </c>
      <c r="K92" s="662" t="s">
        <v>1018</v>
      </c>
      <c r="L92" s="665"/>
      <c r="M92" s="756">
        <f t="shared" si="32"/>
        <v>0</v>
      </c>
      <c r="T92" s="2975" t="s">
        <v>1018</v>
      </c>
      <c r="U92" s="2983"/>
      <c r="V92" s="461">
        <f t="shared" ref="V92:V97" si="33">V70+V81</f>
        <v>0</v>
      </c>
      <c r="AC92" s="2975" t="s">
        <v>1018</v>
      </c>
      <c r="AD92" s="2983"/>
      <c r="AE92" s="461">
        <f t="shared" ref="AE92:AE97" si="34">AE70+AE81</f>
        <v>0</v>
      </c>
      <c r="AL92" s="2882"/>
      <c r="AN92" s="2334"/>
      <c r="AW92" s="2882"/>
      <c r="AY92" s="2334"/>
    </row>
    <row r="93" spans="3:51">
      <c r="C93" s="846" t="s">
        <v>1019</v>
      </c>
      <c r="D93" s="1374">
        <f t="shared" si="31"/>
        <v>0</v>
      </c>
      <c r="K93" s="662" t="s">
        <v>1019</v>
      </c>
      <c r="L93" s="665"/>
      <c r="M93" s="756">
        <f t="shared" si="32"/>
        <v>2835000</v>
      </c>
      <c r="T93" s="2975" t="s">
        <v>1019</v>
      </c>
      <c r="U93" s="2983"/>
      <c r="V93" s="461">
        <f t="shared" si="33"/>
        <v>3062500</v>
      </c>
      <c r="AC93" s="2975" t="s">
        <v>1019</v>
      </c>
      <c r="AD93" s="2983"/>
      <c r="AE93" s="461">
        <f t="shared" si="34"/>
        <v>2607500</v>
      </c>
      <c r="AL93" s="2882"/>
      <c r="AN93" s="2334"/>
      <c r="AW93" s="2882"/>
      <c r="AY93" s="2334"/>
    </row>
    <row r="94" spans="3:51">
      <c r="C94" s="846" t="s">
        <v>348</v>
      </c>
      <c r="D94" s="1374">
        <f t="shared" si="31"/>
        <v>0</v>
      </c>
      <c r="K94" s="666" t="s">
        <v>348</v>
      </c>
      <c r="L94" s="665"/>
      <c r="M94" s="756">
        <f t="shared" si="32"/>
        <v>14654250</v>
      </c>
      <c r="T94" s="2985" t="s">
        <v>348</v>
      </c>
      <c r="U94" s="2983"/>
      <c r="V94" s="461">
        <f t="shared" si="33"/>
        <v>16890500</v>
      </c>
      <c r="AC94" s="2985" t="s">
        <v>348</v>
      </c>
      <c r="AD94" s="2983"/>
      <c r="AE94" s="461">
        <f t="shared" si="34"/>
        <v>13037500</v>
      </c>
      <c r="AN94" s="2334"/>
      <c r="AY94" s="2334"/>
    </row>
    <row r="95" spans="3:51">
      <c r="C95" s="846" t="s">
        <v>1020</v>
      </c>
      <c r="D95" s="1374">
        <f t="shared" si="31"/>
        <v>0</v>
      </c>
      <c r="K95" s="666" t="s">
        <v>1020</v>
      </c>
      <c r="L95" s="665"/>
      <c r="M95" s="756">
        <f t="shared" si="32"/>
        <v>884043</v>
      </c>
      <c r="T95" s="2985" t="s">
        <v>1020</v>
      </c>
      <c r="U95" s="2983"/>
      <c r="V95" s="461">
        <f t="shared" si="33"/>
        <v>973212</v>
      </c>
      <c r="AC95" s="2985" t="s">
        <v>1020</v>
      </c>
      <c r="AD95" s="2983"/>
      <c r="AE95" s="461">
        <f t="shared" si="34"/>
        <v>794874</v>
      </c>
      <c r="AN95" s="2334"/>
      <c r="AY95" s="2334"/>
    </row>
    <row r="96" spans="3:51">
      <c r="C96" s="846" t="s">
        <v>1021</v>
      </c>
      <c r="D96" s="1374">
        <f t="shared" si="31"/>
        <v>0</v>
      </c>
      <c r="K96" s="666" t="s">
        <v>1021</v>
      </c>
      <c r="L96" s="665"/>
      <c r="M96" s="756">
        <f t="shared" si="32"/>
        <v>3232280</v>
      </c>
      <c r="T96" s="2985" t="s">
        <v>1021</v>
      </c>
      <c r="U96" s="2983"/>
      <c r="V96" s="461">
        <f t="shared" si="33"/>
        <v>3491660</v>
      </c>
      <c r="AC96" s="2985" t="s">
        <v>1021</v>
      </c>
      <c r="AD96" s="2983"/>
      <c r="AE96" s="461">
        <f t="shared" si="34"/>
        <v>2972900</v>
      </c>
      <c r="AN96" s="2334"/>
      <c r="AY96" s="2334"/>
    </row>
    <row r="97" spans="3:51" ht="15.75" thickBot="1">
      <c r="C97" s="846" t="s">
        <v>1022</v>
      </c>
      <c r="D97" s="1374">
        <f t="shared" si="31"/>
        <v>0</v>
      </c>
      <c r="K97" s="667" t="s">
        <v>1022</v>
      </c>
      <c r="L97" s="668"/>
      <c r="M97" s="764">
        <f t="shared" si="32"/>
        <v>4375835</v>
      </c>
      <c r="T97" s="2988" t="s">
        <v>1022</v>
      </c>
      <c r="U97" s="2989"/>
      <c r="V97" s="1972">
        <f t="shared" si="33"/>
        <v>5132822</v>
      </c>
      <c r="AC97" s="2988" t="s">
        <v>1022</v>
      </c>
      <c r="AD97" s="2989"/>
      <c r="AE97" s="1972">
        <f t="shared" si="34"/>
        <v>3433704</v>
      </c>
      <c r="AN97" s="2334"/>
      <c r="AY97" s="2334"/>
    </row>
    <row r="98" spans="3:51" ht="15.75" thickBot="1">
      <c r="C98" s="1362" t="s">
        <v>655</v>
      </c>
      <c r="D98" s="1375">
        <f>SUM(D91:D97)</f>
        <v>0</v>
      </c>
      <c r="K98" s="830" t="s">
        <v>1010</v>
      </c>
      <c r="L98" s="1376"/>
      <c r="M98" s="1370">
        <f>SUM(M91:M97)</f>
        <v>27233380.737088434</v>
      </c>
      <c r="T98" s="3076" t="s">
        <v>1010</v>
      </c>
      <c r="U98" s="3057"/>
      <c r="V98" s="3028">
        <f>SUM(V91:V97)</f>
        <v>30304778.124843538</v>
      </c>
      <c r="AC98" s="3076" t="s">
        <v>1010</v>
      </c>
      <c r="AD98" s="3057"/>
      <c r="AE98" s="3028">
        <f>SUM(AE91:AE97)</f>
        <v>24100562.124843538</v>
      </c>
      <c r="AN98" s="2178"/>
      <c r="AY98" s="2882"/>
    </row>
    <row r="99" spans="3:51" outlineLevel="1">
      <c r="M99" s="703"/>
    </row>
    <row r="100" spans="3:51" outlineLevel="1">
      <c r="C100" s="1378" t="s">
        <v>1054</v>
      </c>
      <c r="D100" s="1372"/>
      <c r="AW100" s="2880"/>
      <c r="AX100" s="2888"/>
      <c r="AY100" s="2877"/>
    </row>
    <row r="101" spans="3:51" outlineLevel="1">
      <c r="C101" s="1446" t="s">
        <v>1708</v>
      </c>
      <c r="D101" s="1374">
        <f>D69+D80+D91</f>
        <v>1251972.7370884353</v>
      </c>
      <c r="AW101" s="2882"/>
    </row>
    <row r="102" spans="3:51" outlineLevel="1">
      <c r="C102" s="846" t="s">
        <v>1018</v>
      </c>
      <c r="D102" s="1374">
        <f t="shared" ref="D102:D107" si="35">D70+D81+D92</f>
        <v>0</v>
      </c>
      <c r="AW102" s="2891"/>
      <c r="AY102" s="2334"/>
    </row>
    <row r="103" spans="3:51" outlineLevel="1">
      <c r="C103" s="846" t="s">
        <v>1019</v>
      </c>
      <c r="D103" s="1374">
        <f t="shared" si="35"/>
        <v>2835000</v>
      </c>
      <c r="AW103" s="2882"/>
      <c r="AY103" s="2334"/>
    </row>
    <row r="104" spans="3:51" outlineLevel="1">
      <c r="C104" s="846" t="s">
        <v>348</v>
      </c>
      <c r="D104" s="1374">
        <f t="shared" si="35"/>
        <v>14654250</v>
      </c>
      <c r="AW104" s="2882"/>
      <c r="AY104" s="2334"/>
    </row>
    <row r="105" spans="3:51" outlineLevel="1">
      <c r="C105" s="846" t="s">
        <v>1020</v>
      </c>
      <c r="D105" s="1374">
        <f t="shared" si="35"/>
        <v>884043</v>
      </c>
      <c r="X105" s="3077"/>
      <c r="AY105" s="2334"/>
    </row>
    <row r="106" spans="3:51" outlineLevel="1">
      <c r="C106" s="846" t="s">
        <v>1021</v>
      </c>
      <c r="D106" s="1374">
        <f t="shared" si="35"/>
        <v>3232280</v>
      </c>
      <c r="Y106" s="3078"/>
      <c r="Z106" s="311"/>
      <c r="AA106" s="311"/>
      <c r="AY106" s="2334"/>
    </row>
    <row r="107" spans="3:51" outlineLevel="1">
      <c r="C107" s="846" t="s">
        <v>1022</v>
      </c>
      <c r="D107" s="1374">
        <f t="shared" si="35"/>
        <v>4375835</v>
      </c>
      <c r="O107" s="1360" t="s">
        <v>1026</v>
      </c>
      <c r="AY107" s="2334"/>
    </row>
    <row r="108" spans="3:51" ht="15.75" outlineLevel="1" thickBot="1">
      <c r="C108" s="1362" t="s">
        <v>655</v>
      </c>
      <c r="D108" s="1375">
        <f>SUM(D101:D107)</f>
        <v>27233380.737088434</v>
      </c>
      <c r="O108" s="1360" t="s">
        <v>2208</v>
      </c>
      <c r="P108" s="2658">
        <f>IF('Assumption '!J104="Abuja",'Abuja Ammonia '!G6,0)</f>
        <v>0</v>
      </c>
      <c r="AY108" s="2334"/>
    </row>
    <row r="109" spans="3:51">
      <c r="G109" s="1384"/>
      <c r="H109" s="1366"/>
      <c r="O109" s="1360" t="s">
        <v>2209</v>
      </c>
      <c r="P109" s="2658">
        <f>IF('Assumption '!J104="Abuja",'Abuja Ammonia '!H6,0)</f>
        <v>0</v>
      </c>
      <c r="AY109" s="2178"/>
    </row>
    <row r="110" spans="3:51" ht="15.75" thickBot="1">
      <c r="I110" s="1366"/>
      <c r="J110" s="1366"/>
      <c r="K110" s="1360"/>
      <c r="M110" s="1360">
        <f>K110/1000</f>
        <v>0</v>
      </c>
      <c r="X110" s="3077"/>
    </row>
    <row r="111" spans="3:51" ht="15.75" thickBot="1">
      <c r="C111" s="1386"/>
      <c r="D111" s="1464" t="s">
        <v>2148</v>
      </c>
      <c r="E111" s="1465"/>
      <c r="F111" s="1387"/>
      <c r="G111" s="1388">
        <f>'Assumption '!J243</f>
        <v>3.32</v>
      </c>
      <c r="M111" s="1360">
        <f>2.46*M110</f>
        <v>0</v>
      </c>
    </row>
    <row r="112" spans="3:51">
      <c r="C112" s="1389" t="s">
        <v>1035</v>
      </c>
      <c r="D112" s="1390"/>
      <c r="E112" s="1466" t="s">
        <v>1406</v>
      </c>
      <c r="F112" s="1467" t="s">
        <v>1407</v>
      </c>
      <c r="G112" s="1468" t="s">
        <v>1408</v>
      </c>
      <c r="O112" s="1360" t="s">
        <v>2204</v>
      </c>
    </row>
    <row r="113" spans="3:25">
      <c r="C113" s="666">
        <v>1</v>
      </c>
      <c r="D113" s="665" t="s">
        <v>1228</v>
      </c>
      <c r="E113" s="1391">
        <f>J143</f>
        <v>64470</v>
      </c>
      <c r="F113" s="1392">
        <f>L143</f>
        <v>21.489978510000004</v>
      </c>
      <c r="G113" s="1393">
        <f>F113*$G$111</f>
        <v>71.346728653200003</v>
      </c>
      <c r="O113" s="1360" t="s">
        <v>845</v>
      </c>
      <c r="P113" s="2372">
        <v>67148400</v>
      </c>
    </row>
    <row r="114" spans="3:25">
      <c r="C114" s="666">
        <v>2</v>
      </c>
      <c r="D114" s="665" t="s">
        <v>1254</v>
      </c>
      <c r="E114" s="1391">
        <f>(E113+E115)/2</f>
        <v>83340</v>
      </c>
      <c r="F114" s="1392">
        <f>(F113+F115)/2</f>
        <v>22.101644565000004</v>
      </c>
      <c r="G114" s="1393">
        <f>F114*$G$111</f>
        <v>73.377459955800006</v>
      </c>
      <c r="H114" s="1385"/>
      <c r="O114" s="1360" t="s">
        <v>2206</v>
      </c>
      <c r="P114" s="1360">
        <f>IF(Ammonia_location=1,P109,P108)</f>
        <v>0</v>
      </c>
    </row>
    <row r="115" spans="3:25" ht="15.75" thickBot="1">
      <c r="C115" s="666">
        <v>3</v>
      </c>
      <c r="D115" s="665" t="s">
        <v>1229</v>
      </c>
      <c r="E115" s="1391">
        <f>J145</f>
        <v>102210</v>
      </c>
      <c r="F115" s="1392">
        <f>L145</f>
        <v>22.713310620000005</v>
      </c>
      <c r="G115" s="2259">
        <f>F115*$G$111</f>
        <v>75.408191258400009</v>
      </c>
      <c r="H115" s="1385"/>
      <c r="O115" s="2371" t="s">
        <v>655</v>
      </c>
      <c r="P115" s="2371">
        <f>SUM(P113:P114)</f>
        <v>67148400</v>
      </c>
    </row>
    <row r="116" spans="3:25">
      <c r="C116" s="666">
        <v>4</v>
      </c>
      <c r="D116" s="665" t="s">
        <v>1230</v>
      </c>
      <c r="E116" s="1391">
        <f>J146</f>
        <v>0</v>
      </c>
      <c r="F116" s="1392">
        <f>L145</f>
        <v>22.713310620000005</v>
      </c>
      <c r="G116" s="1393">
        <f>F116*$G$111</f>
        <v>75.408191258400009</v>
      </c>
    </row>
    <row r="117" spans="3:25" ht="15.75" thickBot="1">
      <c r="C117" s="820">
        <v>5</v>
      </c>
      <c r="D117" s="1394" t="s">
        <v>2164</v>
      </c>
      <c r="E117" s="1395">
        <f>E115</f>
        <v>102210</v>
      </c>
      <c r="F117" s="1396">
        <f>F115</f>
        <v>22.713310620000005</v>
      </c>
      <c r="G117" s="1397">
        <f>F117*$G$111</f>
        <v>75.408191258400009</v>
      </c>
    </row>
    <row r="118" spans="3:25" ht="17.25">
      <c r="O118" s="2373" t="s">
        <v>1673</v>
      </c>
    </row>
    <row r="119" spans="3:25" ht="15.75" thickBot="1">
      <c r="C119" s="2268"/>
      <c r="D119" s="2264" t="s">
        <v>2149</v>
      </c>
      <c r="E119" s="2265"/>
      <c r="F119" s="2269"/>
      <c r="G119" s="2267"/>
      <c r="H119" s="752"/>
      <c r="O119" s="1360" t="s">
        <v>2208</v>
      </c>
      <c r="P119" s="2658">
        <f>IF('Assumption '!J104="Abuja",'Abuja Ammonia '!G16,0)</f>
        <v>0</v>
      </c>
    </row>
    <row r="120" spans="3:25">
      <c r="C120" s="1368"/>
      <c r="D120" s="750"/>
      <c r="E120" s="750" t="s">
        <v>2151</v>
      </c>
      <c r="F120" s="2266" t="s">
        <v>1406</v>
      </c>
      <c r="G120" s="2270" t="s">
        <v>2152</v>
      </c>
      <c r="O120" s="1360" t="s">
        <v>2209</v>
      </c>
      <c r="P120" s="2658">
        <f>IF('Assumption '!J104="Abuja",'Abuja Ammonia '!H16,0)</f>
        <v>0</v>
      </c>
    </row>
    <row r="121" spans="3:25">
      <c r="C121" s="1368">
        <v>1</v>
      </c>
      <c r="D121" s="750" t="s">
        <v>2150</v>
      </c>
      <c r="E121" s="1365">
        <f>500000/333.333</f>
        <v>1500.0015000014998</v>
      </c>
      <c r="F121" s="752">
        <f>130332-105425</f>
        <v>24907</v>
      </c>
      <c r="G121" s="2271">
        <f>F121/E121</f>
        <v>16.604650062000001</v>
      </c>
    </row>
    <row r="122" spans="3:25">
      <c r="C122" s="2272"/>
      <c r="D122" s="2273"/>
      <c r="E122" s="2273"/>
      <c r="F122" s="2273"/>
      <c r="G122" s="1437"/>
      <c r="O122" s="1360" t="s">
        <v>1673</v>
      </c>
      <c r="X122" s="2949" t="s">
        <v>1026</v>
      </c>
    </row>
    <row r="123" spans="3:25" ht="15.75" thickBot="1">
      <c r="O123" s="1360" t="s">
        <v>1020</v>
      </c>
      <c r="P123" s="2372">
        <v>677630</v>
      </c>
      <c r="X123" s="2949" t="s">
        <v>2205</v>
      </c>
      <c r="Y123" s="3079">
        <f>IF('Assumption '!J104="Kano",'Kano Ammonia '!G6,0)</f>
        <v>0</v>
      </c>
    </row>
    <row r="124" spans="3:25">
      <c r="C124" s="1398"/>
      <c r="D124" s="1469" t="s">
        <v>1231</v>
      </c>
      <c r="E124" s="1470"/>
      <c r="F124" s="1471"/>
      <c r="O124" s="1360" t="s">
        <v>2207</v>
      </c>
      <c r="P124" s="2658">
        <f>IF(Ammonia_location=1,P120,P119)</f>
        <v>0</v>
      </c>
      <c r="X124" s="2949" t="s">
        <v>2219</v>
      </c>
      <c r="Y124" s="3079">
        <f>IF('Assumption '!J104="Kano",'Kano Ammonia '!H6,0)</f>
        <v>0</v>
      </c>
    </row>
    <row r="125" spans="3:25" ht="15.75" thickBot="1">
      <c r="C125" s="1399"/>
      <c r="D125" s="1400"/>
      <c r="E125" s="3352" t="s">
        <v>1340</v>
      </c>
      <c r="F125" s="3353"/>
      <c r="G125" s="1420"/>
      <c r="H125" s="2262"/>
      <c r="I125" s="2263"/>
      <c r="O125" s="2371" t="s">
        <v>71</v>
      </c>
      <c r="P125" s="2371">
        <f>SUM(P123:P124)</f>
        <v>677630</v>
      </c>
    </row>
    <row r="126" spans="3:25">
      <c r="C126" s="666"/>
      <c r="D126" s="1402"/>
      <c r="E126" s="1472" t="s">
        <v>1508</v>
      </c>
      <c r="F126" s="1473" t="s">
        <v>1438</v>
      </c>
      <c r="K126" s="752"/>
    </row>
    <row r="127" spans="3:25">
      <c r="C127" s="666">
        <v>1</v>
      </c>
      <c r="D127" s="665" t="s">
        <v>1228</v>
      </c>
      <c r="E127" s="1403">
        <f>E161</f>
        <v>4.6535571743951625</v>
      </c>
      <c r="F127" s="1404">
        <f>E162</f>
        <v>0.59643757560483868</v>
      </c>
      <c r="X127" s="3080" t="s">
        <v>2204</v>
      </c>
    </row>
    <row r="128" spans="3:25">
      <c r="C128" s="666">
        <v>2</v>
      </c>
      <c r="D128" s="665" t="s">
        <v>1255</v>
      </c>
      <c r="E128" s="1405">
        <f>(E127+E129)/2</f>
        <v>4.8362966869959685</v>
      </c>
      <c r="F128" s="1404">
        <f>(F127+F129)/2</f>
        <v>0.60444608014112911</v>
      </c>
      <c r="X128" s="3081" t="s">
        <v>845</v>
      </c>
      <c r="Y128" s="311">
        <v>67148400</v>
      </c>
    </row>
    <row r="129" spans="3:51" ht="15.75" thickBot="1">
      <c r="C129" s="820">
        <v>3</v>
      </c>
      <c r="D129" s="1394" t="s">
        <v>1229</v>
      </c>
      <c r="E129" s="3100">
        <f>F161</f>
        <v>5.0190361995967745</v>
      </c>
      <c r="F129" s="3101">
        <f>F162</f>
        <v>0.61245458467741942</v>
      </c>
      <c r="X129" s="2949" t="s">
        <v>2206</v>
      </c>
      <c r="Y129" s="311">
        <f>IF(Ammonia_location=1,Y124,Y123)</f>
        <v>0</v>
      </c>
    </row>
    <row r="130" spans="3:51" ht="15.75" thickBot="1">
      <c r="X130" s="2949" t="s">
        <v>655</v>
      </c>
      <c r="Y130" s="421">
        <f>SUM(Y128:Y129)</f>
        <v>67148400</v>
      </c>
    </row>
    <row r="131" spans="3:51" ht="15.75" thickBot="1"/>
    <row r="132" spans="3:51" s="1225" customFormat="1">
      <c r="C132" s="659"/>
      <c r="D132" s="660"/>
      <c r="E132" s="1406"/>
      <c r="I132" s="703"/>
      <c r="J132" s="703"/>
      <c r="K132" s="703"/>
      <c r="M132" s="1401"/>
      <c r="N132" s="1401"/>
      <c r="O132" s="1401"/>
      <c r="P132" s="1401"/>
      <c r="Q132" s="1401"/>
      <c r="R132" s="1401"/>
      <c r="S132" s="1401"/>
      <c r="T132" s="1922"/>
      <c r="U132" s="1922"/>
      <c r="V132" s="1922"/>
      <c r="W132" s="2948"/>
      <c r="X132" s="3035"/>
      <c r="Y132" s="3035"/>
      <c r="Z132" s="3035"/>
      <c r="AA132" s="3035"/>
      <c r="AB132" s="3035"/>
      <c r="AC132" s="3035"/>
      <c r="AD132" s="3035"/>
      <c r="AE132" s="3035"/>
      <c r="AG132" s="1400"/>
      <c r="AH132" s="1400"/>
      <c r="AI132" s="1400"/>
      <c r="AJ132" s="1400"/>
      <c r="AK132" s="1400"/>
      <c r="AL132" s="1400"/>
      <c r="AM132" s="1400"/>
      <c r="AN132" s="1400"/>
      <c r="AO132" s="1400"/>
      <c r="AP132" s="1400"/>
      <c r="AQ132" s="1400"/>
      <c r="AR132" s="1400"/>
      <c r="AS132" s="1400"/>
      <c r="AT132" s="1400"/>
      <c r="AU132" s="1400"/>
      <c r="AV132" s="1400"/>
      <c r="AW132" s="1400"/>
      <c r="AX132" s="1400"/>
      <c r="AY132" s="1400"/>
    </row>
    <row r="133" spans="3:51">
      <c r="C133" s="666"/>
      <c r="D133" s="665"/>
      <c r="E133" s="1407" t="s">
        <v>1457</v>
      </c>
      <c r="X133" s="2949" t="s">
        <v>1673</v>
      </c>
    </row>
    <row r="134" spans="3:51">
      <c r="C134" s="666">
        <v>1</v>
      </c>
      <c r="D134" s="665" t="s">
        <v>1228</v>
      </c>
      <c r="E134" s="1408">
        <f>H168</f>
        <v>1.3333320000000001E-5</v>
      </c>
      <c r="X134" s="2949" t="s">
        <v>2205</v>
      </c>
      <c r="Y134" s="3079">
        <f>IF('Assumption '!J104="Kano",'Kano Ammonia '!G16,0)</f>
        <v>0</v>
      </c>
    </row>
    <row r="135" spans="3:51">
      <c r="C135" s="666">
        <v>3</v>
      </c>
      <c r="D135" s="665" t="s">
        <v>1229</v>
      </c>
      <c r="E135" s="1408">
        <f>H169</f>
        <v>1.1999988000000003E-5</v>
      </c>
      <c r="X135" s="2949" t="s">
        <v>2219</v>
      </c>
      <c r="Y135" s="3079">
        <f>IF('Assumption '!J104="Kano",'Kano Ammonia '!H16,0)</f>
        <v>0</v>
      </c>
    </row>
    <row r="136" spans="3:51" ht="12.6" hidden="1" customHeight="1">
      <c r="C136" s="666"/>
      <c r="D136" s="665"/>
      <c r="E136" s="3120"/>
    </row>
    <row r="137" spans="3:51" ht="15.75" hidden="1" thickBot="1">
      <c r="C137" s="820"/>
      <c r="D137" s="1394"/>
      <c r="E137" s="1409"/>
      <c r="X137" s="2949" t="s">
        <v>2207</v>
      </c>
      <c r="Y137" s="311">
        <f>IF(Ammonia_location=1,Y135,Y134)</f>
        <v>0</v>
      </c>
    </row>
    <row r="138" spans="3:51" ht="15.75" thickBot="1">
      <c r="X138" s="2949" t="s">
        <v>71</v>
      </c>
      <c r="Y138" s="3082">
        <f>SUM(Y137:Y137)</f>
        <v>0</v>
      </c>
    </row>
    <row r="139" spans="3:51">
      <c r="M139" s="703"/>
      <c r="N139" s="1225"/>
      <c r="O139" s="703"/>
      <c r="P139" s="703"/>
      <c r="Q139" s="703"/>
      <c r="R139" s="703"/>
      <c r="S139" s="703"/>
      <c r="T139" s="2949"/>
      <c r="U139" s="2949"/>
      <c r="V139" s="2949"/>
    </row>
    <row r="140" spans="3:51" ht="15.75" thickBot="1">
      <c r="C140" s="3115" t="s">
        <v>866</v>
      </c>
      <c r="L140" s="1360"/>
      <c r="M140" s="1401"/>
      <c r="N140" s="1360"/>
      <c r="O140" s="703"/>
      <c r="P140" s="703"/>
      <c r="Q140" s="703"/>
      <c r="R140" s="703"/>
      <c r="S140" s="703"/>
      <c r="T140" s="2949"/>
      <c r="U140" s="2949"/>
      <c r="V140" s="2949"/>
    </row>
    <row r="141" spans="3:51" ht="15.75" thickBot="1">
      <c r="C141" s="3354" t="s">
        <v>1399</v>
      </c>
      <c r="D141" s="3355"/>
      <c r="E141" s="3355"/>
      <c r="F141" s="3356"/>
      <c r="G141" s="3357" t="s">
        <v>1400</v>
      </c>
      <c r="H141" s="3358"/>
      <c r="I141" s="3358"/>
      <c r="J141" s="3358"/>
      <c r="K141" s="2329"/>
      <c r="L141" s="2337"/>
      <c r="M141" s="3118" t="s">
        <v>1404</v>
      </c>
      <c r="N141" s="3119"/>
      <c r="O141" s="703"/>
      <c r="P141" s="703"/>
      <c r="Q141" s="703"/>
      <c r="R141" s="703"/>
      <c r="S141" s="703"/>
      <c r="T141" s="2949"/>
      <c r="U141" s="2949"/>
      <c r="V141" s="2949"/>
    </row>
    <row r="142" spans="3:51" ht="26.25" thickBot="1">
      <c r="C142" s="2289" t="s">
        <v>1396</v>
      </c>
      <c r="D142" s="1410" t="s">
        <v>1397</v>
      </c>
      <c r="E142" s="1410" t="s">
        <v>1398</v>
      </c>
      <c r="F142" s="2324" t="s">
        <v>1402</v>
      </c>
      <c r="G142" s="1402" t="s">
        <v>1397</v>
      </c>
      <c r="H142" s="665" t="s">
        <v>1401</v>
      </c>
      <c r="I142" s="1402" t="s">
        <v>1402</v>
      </c>
      <c r="J142" s="1402" t="s">
        <v>1403</v>
      </c>
      <c r="K142" s="1402" t="s">
        <v>1040</v>
      </c>
      <c r="L142" s="2323" t="s">
        <v>1405</v>
      </c>
      <c r="M142" s="2335">
        <f>'Assumption '!J243</f>
        <v>3.32</v>
      </c>
      <c r="N142" s="756"/>
      <c r="O142" s="703"/>
      <c r="P142" s="703"/>
      <c r="Q142" s="703"/>
      <c r="R142" s="703"/>
      <c r="S142" s="703"/>
      <c r="T142" s="2949"/>
      <c r="U142" s="2949"/>
      <c r="V142" s="2949"/>
    </row>
    <row r="143" spans="3:51">
      <c r="C143" s="1411">
        <v>1</v>
      </c>
      <c r="D143" s="1390">
        <v>1036.06</v>
      </c>
      <c r="E143" s="1412">
        <f>46260682.23</f>
        <v>46260682.229999997</v>
      </c>
      <c r="F143" s="2325">
        <f>E143/1000</f>
        <v>46260.682229999999</v>
      </c>
      <c r="G143" s="2332">
        <v>522.55999999999995</v>
      </c>
      <c r="H143" s="1391">
        <v>23332400.5</v>
      </c>
      <c r="I143" s="1391">
        <f>H143/1000</f>
        <v>23332.4005</v>
      </c>
      <c r="J143" s="1391">
        <v>64470</v>
      </c>
      <c r="K143" s="2319">
        <f>1000000/333.333</f>
        <v>3000.0030000029997</v>
      </c>
      <c r="L143" s="2320">
        <f>J143/K143</f>
        <v>21.489978510000004</v>
      </c>
      <c r="M143" s="2336">
        <f>L143*$M$142</f>
        <v>71.346728653200003</v>
      </c>
      <c r="N143" s="1449"/>
      <c r="O143" s="703"/>
      <c r="P143" s="703"/>
      <c r="Q143" s="703"/>
      <c r="R143" s="703"/>
      <c r="S143" s="703"/>
      <c r="T143" s="2949"/>
      <c r="U143" s="2949"/>
      <c r="V143" s="2949"/>
    </row>
    <row r="144" spans="3:51">
      <c r="C144" s="1414"/>
      <c r="D144" s="1402"/>
      <c r="E144" s="1391"/>
      <c r="F144" s="2326"/>
      <c r="G144" s="2332"/>
      <c r="H144" s="1391"/>
      <c r="I144" s="1391"/>
      <c r="J144" s="1391"/>
      <c r="K144" s="2319"/>
      <c r="L144" s="2320"/>
      <c r="M144" s="2336"/>
      <c r="N144" s="1449"/>
      <c r="O144" s="703"/>
      <c r="P144" s="703"/>
      <c r="Q144" s="703"/>
      <c r="R144" s="703"/>
      <c r="S144" s="703"/>
      <c r="T144" s="2949"/>
      <c r="U144" s="2949"/>
      <c r="V144" s="2949"/>
    </row>
    <row r="145" spans="3:51">
      <c r="C145" s="2255">
        <v>1.5</v>
      </c>
      <c r="D145" s="2256">
        <v>1581.8109999999999</v>
      </c>
      <c r="E145" s="2257">
        <f>42170*1000</f>
        <v>42170000</v>
      </c>
      <c r="F145" s="2327">
        <f>E145/1000</f>
        <v>42170</v>
      </c>
      <c r="G145" s="2333">
        <v>783.84199999999998</v>
      </c>
      <c r="H145" s="2257">
        <f>63255*1000</f>
        <v>63255000</v>
      </c>
      <c r="I145" s="2257">
        <f>H145/1000</f>
        <v>63255</v>
      </c>
      <c r="J145" s="1391">
        <v>102210</v>
      </c>
      <c r="K145" s="2321">
        <f>1500000/333.333</f>
        <v>4500.0045000044993</v>
      </c>
      <c r="L145" s="2322">
        <f>J145/K145</f>
        <v>22.713310620000005</v>
      </c>
      <c r="M145" s="2336">
        <f>L145*$M$142</f>
        <v>75.408191258400009</v>
      </c>
      <c r="N145" s="2258"/>
    </row>
    <row r="146" spans="3:51" ht="15.75" thickBot="1">
      <c r="C146" s="1415"/>
      <c r="D146" s="1416"/>
      <c r="E146" s="1395"/>
      <c r="F146" s="2328"/>
      <c r="G146" s="2338"/>
      <c r="H146" s="1395"/>
      <c r="I146" s="1395"/>
      <c r="J146" s="1395"/>
      <c r="K146" s="2330"/>
      <c r="L146" s="2331"/>
      <c r="M146" s="2339"/>
      <c r="N146" s="2253"/>
    </row>
    <row r="148" spans="3:51" ht="15.75" thickBot="1"/>
    <row r="149" spans="3:51" ht="15.75" thickBot="1">
      <c r="C149" s="3116" t="s">
        <v>1422</v>
      </c>
      <c r="D149" s="1417"/>
      <c r="E149" s="1417" t="s">
        <v>1228</v>
      </c>
      <c r="F149" s="1418" t="s">
        <v>1229</v>
      </c>
    </row>
    <row r="150" spans="3:51">
      <c r="C150" s="821" t="s">
        <v>1423</v>
      </c>
      <c r="D150" s="2851" t="s">
        <v>1427</v>
      </c>
      <c r="E150" s="1420">
        <v>13849</v>
      </c>
      <c r="F150" s="2316">
        <v>22405</v>
      </c>
    </row>
    <row r="151" spans="3:51">
      <c r="C151" s="821" t="s">
        <v>1424</v>
      </c>
      <c r="D151" s="2851" t="s">
        <v>1427</v>
      </c>
      <c r="E151" s="1420">
        <v>1775</v>
      </c>
      <c r="F151" s="2316">
        <v>2734</v>
      </c>
      <c r="I151" s="1360"/>
      <c r="M151" s="703"/>
      <c r="N151" s="1225"/>
      <c r="O151" s="703"/>
      <c r="P151" s="703"/>
      <c r="Q151" s="703"/>
      <c r="R151" s="703"/>
      <c r="S151" s="703"/>
      <c r="T151" s="2949"/>
      <c r="U151" s="2949"/>
      <c r="V151" s="2949"/>
    </row>
    <row r="152" spans="3:51">
      <c r="C152" s="821" t="s">
        <v>1425</v>
      </c>
      <c r="D152" s="2851" t="s">
        <v>1427</v>
      </c>
      <c r="E152" s="1420">
        <f>SUM(E150:E151)</f>
        <v>15624</v>
      </c>
      <c r="F152" s="2316">
        <f>SUM(F150:F151)</f>
        <v>25139</v>
      </c>
      <c r="M152" s="703"/>
      <c r="N152" s="1225"/>
      <c r="O152" s="703"/>
      <c r="P152" s="703"/>
      <c r="Q152" s="703"/>
      <c r="R152" s="703"/>
      <c r="S152" s="703"/>
      <c r="T152" s="2949"/>
      <c r="U152" s="2949"/>
      <c r="V152" s="2949"/>
    </row>
    <row r="153" spans="3:51" ht="15.75">
      <c r="C153" s="821" t="s">
        <v>1425</v>
      </c>
      <c r="D153" s="2851" t="s">
        <v>1505</v>
      </c>
      <c r="E153" s="2315">
        <v>15750</v>
      </c>
      <c r="F153" s="2316">
        <f>22585+2756</f>
        <v>25341</v>
      </c>
      <c r="M153" s="703"/>
      <c r="N153" s="1225"/>
      <c r="O153" s="703"/>
      <c r="P153" s="703"/>
      <c r="Q153" s="703"/>
      <c r="R153" s="703"/>
      <c r="S153" s="703"/>
      <c r="T153" s="2949"/>
      <c r="U153" s="2949"/>
      <c r="V153" s="2949"/>
    </row>
    <row r="154" spans="3:51">
      <c r="C154" s="821" t="s">
        <v>1426</v>
      </c>
      <c r="D154" s="2851" t="s">
        <v>1430</v>
      </c>
      <c r="E154" s="2317">
        <f>E151*333.333*E155</f>
        <v>591666.07500000007</v>
      </c>
      <c r="F154" s="2318">
        <f>F151*333.333*F155</f>
        <v>911332.42200000002</v>
      </c>
      <c r="G154" s="1423"/>
      <c r="H154" s="1423"/>
      <c r="I154" s="1385"/>
      <c r="P154" s="703"/>
      <c r="Q154" s="703"/>
      <c r="R154" s="703"/>
      <c r="S154" s="703"/>
      <c r="T154" s="2949"/>
      <c r="U154" s="2949"/>
      <c r="V154" s="2949"/>
    </row>
    <row r="155" spans="3:51">
      <c r="C155" s="821" t="s">
        <v>2163</v>
      </c>
      <c r="D155" s="2851" t="s">
        <v>1058</v>
      </c>
      <c r="E155" s="3102">
        <f>Cost_of_Water</f>
        <v>1</v>
      </c>
      <c r="F155" s="3103">
        <f>Cost_of_Water</f>
        <v>1</v>
      </c>
      <c r="P155" s="703"/>
      <c r="Q155" s="703"/>
      <c r="R155" s="703"/>
      <c r="S155" s="703"/>
      <c r="T155" s="2949"/>
      <c r="U155" s="2949"/>
      <c r="V155" s="2949"/>
    </row>
    <row r="156" spans="3:51" ht="15.75" thickBot="1">
      <c r="C156" s="1362" t="s">
        <v>1432</v>
      </c>
      <c r="D156" s="1363"/>
      <c r="E156" s="3104">
        <f>K143</f>
        <v>3000.0030000029997</v>
      </c>
      <c r="F156" s="3105">
        <f>K145</f>
        <v>4500.0045000044993</v>
      </c>
      <c r="P156" s="703"/>
      <c r="Q156" s="703"/>
      <c r="R156" s="703"/>
      <c r="S156" s="703"/>
      <c r="T156" s="2949"/>
      <c r="U156" s="2949"/>
      <c r="V156" s="2949"/>
    </row>
    <row r="157" spans="3:51">
      <c r="C157" s="1421" t="s">
        <v>1436</v>
      </c>
      <c r="D157" s="703">
        <f>E153/E152</f>
        <v>1.0080645161290323</v>
      </c>
      <c r="P157" s="703"/>
      <c r="Q157" s="703"/>
      <c r="R157" s="703"/>
      <c r="S157" s="703"/>
      <c r="T157" s="2949"/>
      <c r="U157" s="2949"/>
      <c r="V157" s="2949"/>
    </row>
    <row r="158" spans="3:51" ht="15.75" thickBot="1">
      <c r="P158" s="703"/>
      <c r="Q158" s="703"/>
      <c r="R158" s="703"/>
      <c r="S158" s="703"/>
      <c r="T158" s="2949"/>
      <c r="U158" s="2949"/>
      <c r="V158" s="2949"/>
    </row>
    <row r="159" spans="3:51" hidden="1">
      <c r="P159" s="703"/>
      <c r="Q159" s="703"/>
      <c r="R159" s="703"/>
      <c r="S159" s="703"/>
      <c r="T159" s="2949"/>
      <c r="U159" s="2949"/>
      <c r="V159" s="2949"/>
    </row>
    <row r="160" spans="3:51" s="2254" customFormat="1">
      <c r="C160" s="3117" t="s">
        <v>1433</v>
      </c>
      <c r="D160" s="660"/>
      <c r="E160" s="3106" t="str">
        <f>E149</f>
        <v>1 MMTPY</v>
      </c>
      <c r="F160" s="3107" t="str">
        <f>F149</f>
        <v>1.5 MMTPY</v>
      </c>
      <c r="T160" s="3083"/>
      <c r="U160" s="3083"/>
      <c r="V160" s="3083"/>
      <c r="W160" s="2948"/>
      <c r="X160" s="3083"/>
      <c r="Y160" s="3083"/>
      <c r="Z160" s="3083"/>
      <c r="AA160" s="3083"/>
      <c r="AB160" s="3083"/>
      <c r="AC160" s="3083"/>
      <c r="AD160" s="3083"/>
      <c r="AE160" s="3083"/>
      <c r="AF160" s="1225"/>
      <c r="AG160" s="1400"/>
      <c r="AH160" s="1400"/>
      <c r="AI160" s="1400"/>
      <c r="AJ160" s="1400"/>
      <c r="AK160" s="1400"/>
      <c r="AL160" s="1400"/>
      <c r="AM160" s="1400"/>
      <c r="AN160" s="1400"/>
      <c r="AO160" s="1400"/>
      <c r="AP160" s="1400"/>
      <c r="AQ160" s="1400"/>
      <c r="AR160" s="1400"/>
      <c r="AS160" s="1400"/>
      <c r="AT160" s="1400"/>
      <c r="AU160" s="1400"/>
      <c r="AV160" s="1400"/>
      <c r="AW160" s="1400"/>
      <c r="AX160" s="1400"/>
      <c r="AY160" s="1400"/>
    </row>
    <row r="161" spans="3:22">
      <c r="C161" s="666" t="s">
        <v>1423</v>
      </c>
      <c r="D161" s="665" t="s">
        <v>1542</v>
      </c>
      <c r="E161" s="1403">
        <f>(E150/E156)*$D$157</f>
        <v>4.6535571743951625</v>
      </c>
      <c r="F161" s="3108">
        <f>(F150/F156)*$D$157</f>
        <v>5.0190361995967745</v>
      </c>
      <c r="P161" s="703"/>
      <c r="Q161" s="703"/>
      <c r="R161" s="703"/>
      <c r="S161" s="703"/>
      <c r="T161" s="2949"/>
      <c r="U161" s="2949"/>
      <c r="V161" s="2949"/>
    </row>
    <row r="162" spans="3:22">
      <c r="C162" s="666" t="s">
        <v>1424</v>
      </c>
      <c r="D162" s="665" t="s">
        <v>1428</v>
      </c>
      <c r="E162" s="1403">
        <f>(E151/E156)*$D$157</f>
        <v>0.59643757560483868</v>
      </c>
      <c r="F162" s="3108">
        <f>(F151/F156)*$D$157</f>
        <v>0.61245458467741942</v>
      </c>
      <c r="K162" s="703">
        <v>105425</v>
      </c>
    </row>
    <row r="163" spans="3:22" ht="15.75" thickBot="1">
      <c r="C163" s="820" t="s">
        <v>1434</v>
      </c>
      <c r="D163" s="1394" t="s">
        <v>1428</v>
      </c>
      <c r="E163" s="1422">
        <f>SUM(E161:E162)</f>
        <v>5.2499947500000008</v>
      </c>
      <c r="F163" s="3109">
        <f>SUM(F161:F162)</f>
        <v>5.6314907842741935</v>
      </c>
      <c r="N163" s="2334"/>
      <c r="O163" s="752"/>
      <c r="P163" s="750"/>
      <c r="Q163" s="703"/>
      <c r="R163" s="703"/>
      <c r="S163" s="703"/>
      <c r="T163" s="2949"/>
      <c r="U163" s="2949"/>
      <c r="V163" s="2949"/>
    </row>
    <row r="164" spans="3:22">
      <c r="I164" s="2851"/>
      <c r="J164" s="750"/>
      <c r="K164" s="750"/>
      <c r="L164" s="750"/>
      <c r="M164" s="752"/>
      <c r="N164" s="2334"/>
      <c r="O164" s="752"/>
      <c r="P164" s="750"/>
      <c r="Q164" s="703"/>
      <c r="R164" s="703"/>
      <c r="S164" s="703"/>
      <c r="T164" s="2949"/>
      <c r="U164" s="2949"/>
      <c r="V164" s="2949"/>
    </row>
    <row r="165" spans="3:22">
      <c r="I165" s="3102"/>
      <c r="P165" s="703"/>
      <c r="Q165" s="703"/>
      <c r="R165" s="703"/>
      <c r="S165" s="703"/>
      <c r="T165" s="2949"/>
      <c r="U165" s="2949"/>
      <c r="V165" s="2949"/>
    </row>
    <row r="166" spans="3:22">
      <c r="C166" s="3114" t="s">
        <v>1451</v>
      </c>
      <c r="E166" s="1423"/>
      <c r="P166" s="703"/>
      <c r="Q166" s="703"/>
      <c r="R166" s="703"/>
      <c r="S166" s="703"/>
      <c r="T166" s="2949"/>
      <c r="U166" s="2949"/>
      <c r="V166" s="2949"/>
    </row>
    <row r="167" spans="3:22">
      <c r="C167" s="1402"/>
      <c r="D167" s="1424" t="s">
        <v>1452</v>
      </c>
      <c r="E167" s="1425" t="s">
        <v>1427</v>
      </c>
      <c r="F167" s="1424" t="s">
        <v>1453</v>
      </c>
      <c r="G167" s="1402" t="s">
        <v>1455</v>
      </c>
      <c r="H167" s="1402" t="s">
        <v>1456</v>
      </c>
      <c r="I167" s="1391" t="s">
        <v>1454</v>
      </c>
      <c r="J167" s="1424" t="s">
        <v>1457</v>
      </c>
    </row>
    <row r="168" spans="3:22">
      <c r="C168" s="1426">
        <v>1</v>
      </c>
      <c r="D168" s="3113">
        <f>E168/24</f>
        <v>1.6666666666666668E-3</v>
      </c>
      <c r="E168" s="1402">
        <v>0.04</v>
      </c>
      <c r="F168" s="1391">
        <f>E168*333.333</f>
        <v>13.333320000000001</v>
      </c>
      <c r="G168" s="2319">
        <f>K143</f>
        <v>3000.0030000029997</v>
      </c>
      <c r="H168" s="3111">
        <f>E168/G168</f>
        <v>1.3333320000000001E-5</v>
      </c>
      <c r="I168" s="1391">
        <v>3056000</v>
      </c>
      <c r="J168" s="1427">
        <f>H168*2400</f>
        <v>3.1999968000000004E-2</v>
      </c>
    </row>
    <row r="169" spans="3:22">
      <c r="C169" s="1426">
        <v>1.5</v>
      </c>
      <c r="D169" s="3113">
        <f>E169/24</f>
        <v>2.2499999999999998E-3</v>
      </c>
      <c r="E169" s="3112">
        <v>5.3999999999999999E-2</v>
      </c>
      <c r="F169" s="1391">
        <f>E169*333.333</f>
        <v>17.999982000000003</v>
      </c>
      <c r="G169" s="2319">
        <f>K145</f>
        <v>4500.0045000044993</v>
      </c>
      <c r="H169" s="3111">
        <f>E169/G169</f>
        <v>1.1999988000000003E-5</v>
      </c>
      <c r="I169" s="1391">
        <v>4392000</v>
      </c>
      <c r="J169" s="1427">
        <f>H169*2400</f>
        <v>2.8799971200000007E-2</v>
      </c>
      <c r="P169" s="703"/>
      <c r="Q169" s="703"/>
      <c r="R169" s="703"/>
      <c r="S169" s="703"/>
      <c r="T169" s="2949"/>
      <c r="U169" s="2949"/>
      <c r="V169" s="2949"/>
    </row>
    <row r="170" spans="3:22">
      <c r="P170" s="703"/>
      <c r="Q170" s="703"/>
      <c r="R170" s="703"/>
      <c r="S170" s="703"/>
      <c r="T170" s="2949"/>
      <c r="U170" s="2949"/>
      <c r="V170" s="2949"/>
    </row>
    <row r="171" spans="3:22">
      <c r="P171" s="703"/>
      <c r="Q171" s="703"/>
      <c r="R171" s="703"/>
      <c r="S171" s="703"/>
      <c r="T171" s="2949"/>
      <c r="U171" s="2949"/>
      <c r="V171" s="2949"/>
    </row>
    <row r="172" spans="3:22">
      <c r="M172" s="703"/>
      <c r="N172" s="1225"/>
      <c r="O172" s="703"/>
      <c r="P172" s="703"/>
      <c r="Q172" s="703"/>
      <c r="R172" s="703"/>
      <c r="S172" s="703"/>
      <c r="T172" s="2949"/>
      <c r="U172" s="2949"/>
      <c r="V172" s="2949"/>
    </row>
    <row r="174" spans="3:22">
      <c r="G174" s="1428"/>
      <c r="M174" s="703"/>
      <c r="N174" s="1225"/>
      <c r="O174" s="703"/>
      <c r="P174" s="703"/>
      <c r="Q174" s="703"/>
      <c r="R174" s="703"/>
      <c r="S174" s="703"/>
      <c r="T174" s="2949"/>
      <c r="U174" s="2949"/>
      <c r="V174" s="2949"/>
    </row>
    <row r="176" spans="3:22" ht="14.45" customHeight="1">
      <c r="G176" s="1385"/>
    </row>
    <row r="481" spans="11:11">
      <c r="K481" s="703">
        <f>SUM(K474:K480)</f>
        <v>0</v>
      </c>
    </row>
    <row r="490" spans="11:11">
      <c r="K490" s="703">
        <f>SUM(K484:K489)</f>
        <v>0</v>
      </c>
    </row>
    <row r="514" spans="11:11">
      <c r="K514" s="703">
        <f>SUM(K507:K513)</f>
        <v>0</v>
      </c>
    </row>
  </sheetData>
  <sheetProtection formatCells="0" formatColumns="0" formatRows="0" insertColumns="0" insertRows="0" insertHyperlinks="0" deleteColumns="0" deleteRows="0" sort="0" autoFilter="0" pivotTables="0"/>
  <mergeCells count="39">
    <mergeCell ref="P14:Q14"/>
    <mergeCell ref="E125:F125"/>
    <mergeCell ref="C141:F141"/>
    <mergeCell ref="G141:J141"/>
    <mergeCell ref="C15:D15"/>
    <mergeCell ref="F16:F17"/>
    <mergeCell ref="G16:H16"/>
    <mergeCell ref="F15:I15"/>
    <mergeCell ref="F53:I53"/>
    <mergeCell ref="F54:F55"/>
    <mergeCell ref="G54:H54"/>
    <mergeCell ref="F80:H80"/>
    <mergeCell ref="O79:R79"/>
    <mergeCell ref="O53:R53"/>
    <mergeCell ref="O54:O55"/>
    <mergeCell ref="P54:Q54"/>
    <mergeCell ref="O67:R67"/>
    <mergeCell ref="G67:I67"/>
    <mergeCell ref="O16:O17"/>
    <mergeCell ref="P16:Q16"/>
    <mergeCell ref="AQ15:AU15"/>
    <mergeCell ref="AG15:AJ15"/>
    <mergeCell ref="O15:R15"/>
    <mergeCell ref="T15:V15"/>
    <mergeCell ref="X16:Z16"/>
    <mergeCell ref="Y15:AA15"/>
    <mergeCell ref="X79:Z79"/>
    <mergeCell ref="AG79:AI79"/>
    <mergeCell ref="AQ79:AS79"/>
    <mergeCell ref="X53:AA53"/>
    <mergeCell ref="Y54:AA54"/>
    <mergeCell ref="AQ54:AU54"/>
    <mergeCell ref="AQ55:AU55"/>
    <mergeCell ref="AG53:AJ53"/>
    <mergeCell ref="AH54:AJ54"/>
    <mergeCell ref="AT67:AV67"/>
    <mergeCell ref="Y67:AA67"/>
    <mergeCell ref="AG67:AI67"/>
    <mergeCell ref="AQ67:AS67"/>
  </mergeCells>
  <pageMargins left="0.7" right="0.7" top="0.75" bottom="0.75" header="0.3" footer="0.3"/>
  <pageSetup orientation="portrait" r:id="rId1"/>
  <ignoredErrors>
    <ignoredError sqref="M37 M25 AE25 AE37 M49 V25 V37 D49 V49 I46 AA37 D61 D35 D25" formula="1"/>
    <ignoredError sqref="G43:H43 P43:Q43 Y43:Z43" formulaRange="1"/>
    <ignoredError sqref="G46:H46 P46:Q46 Y46:Z46" formula="1" formulaRange="1"/>
    <ignoredError sqref="D7:D8 D10:D12 D14" unlockedFormula="1"/>
  </ignoredError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3765B-2D01-42D2-834A-CC1933F8CD2A}">
  <sheetPr codeName="Sheet28">
    <tabColor theme="9" tint="0.39997558519241921"/>
  </sheetPr>
  <dimension ref="B1:BA194"/>
  <sheetViews>
    <sheetView zoomScale="90" zoomScaleNormal="90" workbookViewId="0">
      <selection activeCell="C2" sqref="C2"/>
    </sheetView>
  </sheetViews>
  <sheetFormatPr defaultColWidth="8.875" defaultRowHeight="14.25" outlineLevelRow="1" outlineLevelCol="1"/>
  <cols>
    <col min="1" max="1" width="8.875" style="655"/>
    <col min="2" max="2" width="43.71875" style="655" customWidth="1"/>
    <col min="3" max="3" width="26.5" style="655" customWidth="1"/>
    <col min="4" max="4" width="29.7265625" style="655" customWidth="1" outlineLevel="1"/>
    <col min="5" max="5" width="44.9296875" style="655" customWidth="1" outlineLevel="1"/>
    <col min="6" max="6" width="34.16796875" style="655" customWidth="1" outlineLevel="1"/>
    <col min="7" max="7" width="25.9609375" style="655" customWidth="1" outlineLevel="1"/>
    <col min="8" max="8" width="17.484375" style="655" customWidth="1" outlineLevel="1"/>
    <col min="9" max="9" width="16.94921875" style="655" customWidth="1" outlineLevel="1"/>
    <col min="10" max="10" width="41.8359375" style="655" customWidth="1" outlineLevel="1"/>
    <col min="11" max="11" width="16.41015625" style="655" customWidth="1" outlineLevel="1"/>
    <col min="12" max="12" width="19.7734375" style="702" customWidth="1" outlineLevel="1"/>
    <col min="13" max="13" width="22.8671875" style="702" customWidth="1" outlineLevel="1"/>
    <col min="14" max="14" width="29.0546875" style="702" customWidth="1" outlineLevel="1"/>
    <col min="15" max="15" width="25.9609375" style="702" customWidth="1" outlineLevel="1"/>
    <col min="16" max="16" width="23.9453125" style="702" customWidth="1" outlineLevel="1"/>
    <col min="17" max="17" width="19.7734375" style="702" customWidth="1" outlineLevel="1"/>
    <col min="18" max="18" width="15.46875" style="702" customWidth="1" outlineLevel="1"/>
    <col min="19" max="19" width="51.7890625" style="702" customWidth="1" outlineLevel="1"/>
    <col min="20" max="20" width="20.04296875" style="702" customWidth="1" outlineLevel="1"/>
    <col min="21" max="21" width="19.7734375" style="702" customWidth="1" outlineLevel="1"/>
    <col min="22" max="22" width="3.49609375" style="655" customWidth="1" outlineLevel="1"/>
    <col min="23" max="23" width="35.91796875" style="655" customWidth="1" outlineLevel="1"/>
    <col min="24" max="24" width="22.59765625" style="655" customWidth="1" outlineLevel="1"/>
    <col min="25" max="26" width="20.71484375" style="655" customWidth="1" outlineLevel="1"/>
    <col min="27" max="27" width="3.49609375" style="655" customWidth="1" outlineLevel="1"/>
    <col min="28" max="28" width="40.35546875" style="655" customWidth="1" outlineLevel="1"/>
    <col min="29" max="29" width="10.4921875" style="655" customWidth="1" outlineLevel="1"/>
    <col min="30" max="30" width="40.35546875" style="655" customWidth="1" outlineLevel="1"/>
    <col min="31" max="31" width="5.78125" style="655" customWidth="1" outlineLevel="1"/>
    <col min="32" max="32" width="28.25" style="1301" customWidth="1" outlineLevel="1"/>
    <col min="33" max="33" width="27.57421875" style="1301" customWidth="1" outlineLevel="1"/>
    <col min="34" max="34" width="24.48046875" style="1301" customWidth="1" outlineLevel="1"/>
    <col min="35" max="35" width="18.16015625" style="1301" customWidth="1" outlineLevel="1"/>
    <col min="36" max="36" width="4.16796875" style="1301" customWidth="1" outlineLevel="1"/>
    <col min="37" max="37" width="48.0234375" style="1400" customWidth="1" outlineLevel="1"/>
    <col min="38" max="38" width="20.984375" style="1400" customWidth="1" outlineLevel="1"/>
    <col min="39" max="39" width="16.140625" style="1400" customWidth="1" outlineLevel="1"/>
    <col min="40" max="40" width="4.3046875" style="655" customWidth="1" outlineLevel="1"/>
    <col min="41" max="41" width="2.95703125" style="1301" customWidth="1" outlineLevel="1"/>
    <col min="42" max="42" width="36.18359375" style="1301" customWidth="1" outlineLevel="1"/>
    <col min="43" max="43" width="21.65625" style="1301" customWidth="1" outlineLevel="1"/>
    <col min="44" max="44" width="21.1171875" style="1301" customWidth="1" outlineLevel="1"/>
    <col min="45" max="45" width="22.328125" style="1301" customWidth="1" outlineLevel="1"/>
    <col min="46" max="46" width="16.6796875" style="1301" customWidth="1" outlineLevel="1"/>
    <col min="47" max="47" width="2.15234375" style="1301" customWidth="1" outlineLevel="1"/>
    <col min="48" max="48" width="41.4296875" style="1301" customWidth="1" outlineLevel="1"/>
    <col min="49" max="49" width="8.875" style="1301" customWidth="1" outlineLevel="1"/>
    <col min="50" max="50" width="19.234375" style="1301" customWidth="1" outlineLevel="1"/>
    <col min="51" max="53" width="8.875" style="1301"/>
    <col min="54" max="16384" width="8.875" style="655"/>
  </cols>
  <sheetData>
    <row r="1" spans="2:50" ht="15" thickBot="1"/>
    <row r="2" spans="2:50">
      <c r="B2" s="694" t="s">
        <v>1008</v>
      </c>
      <c r="C2" s="692">
        <f>'Assumption '!J81</f>
        <v>1</v>
      </c>
    </row>
    <row r="3" spans="2:50">
      <c r="B3" s="695" t="s">
        <v>1007</v>
      </c>
      <c r="C3" s="693">
        <f>'Assumption '!J87</f>
        <v>1</v>
      </c>
      <c r="W3" s="704"/>
      <c r="X3" s="704"/>
      <c r="Y3" s="704"/>
      <c r="Z3" s="704"/>
      <c r="AA3" s="704"/>
      <c r="AB3" s="704"/>
      <c r="AC3" s="704"/>
      <c r="AD3" s="704"/>
      <c r="AE3" s="704"/>
    </row>
    <row r="4" spans="2:50" ht="15" thickBot="1">
      <c r="B4" s="823" t="s">
        <v>1009</v>
      </c>
      <c r="C4" s="825"/>
      <c r="F4" s="742">
        <f>SUM(F12:F19)</f>
        <v>503887300</v>
      </c>
      <c r="W4" s="705"/>
      <c r="X4" s="705"/>
      <c r="Y4" s="705"/>
      <c r="Z4" s="705"/>
      <c r="AA4" s="705"/>
      <c r="AB4" s="705"/>
      <c r="AC4" s="705"/>
      <c r="AD4" s="705"/>
      <c r="AE4" s="705"/>
    </row>
    <row r="5" spans="2:50" ht="15" thickBot="1">
      <c r="B5" s="824" t="s">
        <v>1036</v>
      </c>
      <c r="C5" s="826">
        <f>'Assumption '!J102</f>
        <v>1</v>
      </c>
      <c r="F5" s="742">
        <f>0.05*F4</f>
        <v>25194365</v>
      </c>
      <c r="W5" s="706"/>
      <c r="X5" s="706"/>
      <c r="Y5" s="706"/>
      <c r="Z5" s="706"/>
      <c r="AA5" s="706"/>
      <c r="AB5" s="706"/>
      <c r="AC5" s="706"/>
      <c r="AD5" s="706"/>
      <c r="AE5" s="706"/>
      <c r="AH5" s="2940"/>
      <c r="AI5" s="2940"/>
      <c r="AJ5" s="2940"/>
      <c r="AK5" s="2868"/>
      <c r="AL5" s="2868"/>
    </row>
    <row r="6" spans="2:50" ht="15" thickBot="1"/>
    <row r="7" spans="2:50" ht="18" customHeight="1" thickBot="1">
      <c r="B7" s="3383" t="s">
        <v>1037</v>
      </c>
      <c r="C7" s="3384"/>
      <c r="E7" s="3327" t="s">
        <v>2359</v>
      </c>
      <c r="F7" s="3391"/>
      <c r="G7" s="3391"/>
      <c r="H7" s="3392"/>
      <c r="I7" s="708"/>
      <c r="J7" s="709"/>
      <c r="K7" s="710"/>
      <c r="L7" s="711"/>
      <c r="N7" s="3385" t="s">
        <v>2358</v>
      </c>
      <c r="O7" s="3386"/>
      <c r="P7" s="3386"/>
      <c r="Q7" s="3387"/>
      <c r="S7" s="709"/>
      <c r="T7" s="710"/>
      <c r="U7" s="711"/>
      <c r="W7" s="3388" t="s">
        <v>1046</v>
      </c>
      <c r="X7" s="3389"/>
      <c r="Y7" s="3389"/>
      <c r="Z7" s="3390"/>
      <c r="AB7" s="712"/>
      <c r="AC7" s="713"/>
      <c r="AD7" s="714" t="s">
        <v>1027</v>
      </c>
      <c r="AF7" s="3318"/>
      <c r="AG7" s="3372"/>
      <c r="AH7" s="3372"/>
      <c r="AI7" s="3372"/>
      <c r="AP7" s="3381"/>
      <c r="AQ7" s="3382"/>
      <c r="AR7" s="3382"/>
      <c r="AS7" s="3382"/>
      <c r="AT7" s="3382"/>
      <c r="AX7" s="2920"/>
    </row>
    <row r="8" spans="2:50" ht="15" thickBot="1">
      <c r="B8" s="718"/>
      <c r="C8" s="720"/>
      <c r="E8" s="3393" t="s">
        <v>1031</v>
      </c>
      <c r="F8" s="3395"/>
      <c r="G8" s="3395"/>
      <c r="H8" s="2944" t="s">
        <v>2354</v>
      </c>
      <c r="I8" s="717"/>
      <c r="J8" s="718"/>
      <c r="K8" s="719"/>
      <c r="L8" s="831" t="s">
        <v>1041</v>
      </c>
      <c r="M8" s="702" t="s">
        <v>1040</v>
      </c>
      <c r="N8" s="3393" t="s">
        <v>2357</v>
      </c>
      <c r="O8" s="3396"/>
      <c r="P8" s="3395"/>
      <c r="Q8" s="716"/>
      <c r="S8" s="718"/>
      <c r="T8" s="719"/>
      <c r="U8" s="831" t="s">
        <v>1042</v>
      </c>
      <c r="W8" s="701" t="s">
        <v>1061</v>
      </c>
      <c r="X8" s="3397" t="s">
        <v>989</v>
      </c>
      <c r="Y8" s="3398"/>
      <c r="Z8" s="3353"/>
      <c r="AB8" s="639"/>
      <c r="AC8" s="640"/>
      <c r="AD8" s="643" t="s">
        <v>1043</v>
      </c>
      <c r="AF8" s="2886"/>
      <c r="AG8" s="2869"/>
      <c r="AH8" s="2869"/>
      <c r="AI8" s="2878"/>
      <c r="AK8" s="2178"/>
      <c r="AL8" s="2178"/>
      <c r="AM8" s="2878"/>
      <c r="AP8" s="2886"/>
      <c r="AQ8" s="2869"/>
      <c r="AR8" s="2869"/>
      <c r="AS8" s="2879"/>
      <c r="AT8" s="2879"/>
    </row>
    <row r="9" spans="2:50" ht="15" thickBot="1">
      <c r="B9" s="753" t="s">
        <v>1038</v>
      </c>
      <c r="C9" s="724" t="s">
        <v>991</v>
      </c>
      <c r="E9" s="3394"/>
      <c r="F9" s="697" t="s">
        <v>1032</v>
      </c>
      <c r="G9" s="696"/>
      <c r="H9" s="721" t="s">
        <v>714</v>
      </c>
      <c r="I9" s="722"/>
      <c r="J9" s="803" t="s">
        <v>993</v>
      </c>
      <c r="K9" s="723"/>
      <c r="L9" s="724" t="s">
        <v>991</v>
      </c>
      <c r="N9" s="3394"/>
      <c r="O9" s="698" t="s">
        <v>1032</v>
      </c>
      <c r="P9" s="696"/>
      <c r="Q9" s="813" t="s">
        <v>714</v>
      </c>
      <c r="R9" s="725"/>
      <c r="S9" s="803" t="s">
        <v>993</v>
      </c>
      <c r="T9" s="723"/>
      <c r="U9" s="724" t="s">
        <v>991</v>
      </c>
      <c r="W9" s="690"/>
      <c r="X9" s="699" t="s">
        <v>1034</v>
      </c>
      <c r="Y9" s="700"/>
      <c r="Z9" s="726" t="s">
        <v>714</v>
      </c>
      <c r="AB9" s="641" t="s">
        <v>993</v>
      </c>
      <c r="AC9" s="642"/>
      <c r="AD9" s="643" t="s">
        <v>991</v>
      </c>
      <c r="AF9" s="2886"/>
      <c r="AG9" s="2869"/>
      <c r="AH9" s="2869"/>
      <c r="AI9" s="2922"/>
      <c r="AK9" s="2880"/>
      <c r="AL9" s="2880"/>
      <c r="AM9" s="2877"/>
      <c r="AP9" s="2886"/>
      <c r="AQ9" s="2921"/>
      <c r="AR9" s="2921"/>
      <c r="AS9" s="2921"/>
      <c r="AT9" s="2869"/>
      <c r="AV9" s="2922"/>
      <c r="AW9" s="2922"/>
      <c r="AX9" s="2923"/>
    </row>
    <row r="10" spans="2:50" ht="15" thickBot="1">
      <c r="B10" s="2109"/>
      <c r="C10" s="2110"/>
      <c r="E10" s="2098"/>
      <c r="F10" s="2099"/>
      <c r="G10" s="2100"/>
      <c r="H10" s="722"/>
      <c r="I10" s="722"/>
      <c r="J10" s="2101"/>
      <c r="K10" s="2102"/>
      <c r="L10" s="2103"/>
      <c r="N10" s="2098"/>
      <c r="O10" s="2104"/>
      <c r="P10" s="2100"/>
      <c r="Q10" s="2105"/>
      <c r="R10" s="725"/>
      <c r="S10" s="2101"/>
      <c r="T10" s="2102"/>
      <c r="U10" s="2103"/>
      <c r="W10" s="2098"/>
      <c r="X10" s="2106"/>
      <c r="Y10" s="2107"/>
      <c r="Z10" s="2108"/>
      <c r="AB10" s="641"/>
      <c r="AC10" s="642"/>
      <c r="AD10" s="643"/>
      <c r="AF10" s="2886"/>
      <c r="AG10" s="2869"/>
      <c r="AH10" s="2869"/>
      <c r="AI10" s="2922"/>
      <c r="AK10" s="2880"/>
      <c r="AL10" s="2880"/>
      <c r="AM10" s="2877"/>
      <c r="AP10" s="2886"/>
      <c r="AQ10" s="2921"/>
      <c r="AR10" s="2921"/>
      <c r="AS10" s="2921"/>
      <c r="AT10" s="2869"/>
      <c r="AV10" s="2922"/>
      <c r="AW10" s="2922"/>
      <c r="AX10" s="2923"/>
    </row>
    <row r="11" spans="2:50" ht="15" customHeight="1">
      <c r="B11" s="662" t="s">
        <v>1934</v>
      </c>
      <c r="C11" s="828">
        <f>(IF($C$5=1,AD11,IF($C$5=2,U11,IF($C$5=3,L11,IF($C$5=4,AM11,IF($C$5=5,AX13,0))))))</f>
        <v>8043600</v>
      </c>
      <c r="E11" s="738" t="s">
        <v>905</v>
      </c>
      <c r="F11" s="717"/>
      <c r="G11" s="717"/>
      <c r="H11" s="722"/>
      <c r="I11" s="722"/>
      <c r="J11" s="662" t="s">
        <v>1003</v>
      </c>
      <c r="K11" s="731"/>
      <c r="L11" s="732">
        <f t="shared" ref="L11:L17" si="0">IF($C$3&lt;=2,F35,0)</f>
        <v>5501200</v>
      </c>
      <c r="N11" s="728"/>
      <c r="O11" s="729"/>
      <c r="P11" s="730"/>
      <c r="Q11" s="722"/>
      <c r="R11" s="725"/>
      <c r="S11" s="804" t="s">
        <v>1003</v>
      </c>
      <c r="T11" s="731"/>
      <c r="U11" s="732">
        <f>IF($C$3&lt;=2,O35,0)</f>
        <v>4687000</v>
      </c>
      <c r="W11" s="733"/>
      <c r="X11" s="734"/>
      <c r="Y11" s="735"/>
      <c r="Z11" s="736"/>
      <c r="AB11" s="644" t="s">
        <v>1003</v>
      </c>
      <c r="AC11" s="645"/>
      <c r="AD11" s="646">
        <f t="shared" ref="AD11:AD17" si="1">IF($C$3&lt;=3,X35,0)</f>
        <v>8043600</v>
      </c>
      <c r="AF11" s="2924"/>
      <c r="AG11" s="2872"/>
      <c r="AH11" s="2872"/>
      <c r="AI11" s="2922"/>
      <c r="AJ11" s="2865"/>
      <c r="AK11" s="2882"/>
      <c r="AL11" s="2883"/>
      <c r="AM11" s="2178"/>
      <c r="AP11" s="2924"/>
      <c r="AQ11" s="2865"/>
      <c r="AR11" s="2865"/>
      <c r="AS11" s="2865"/>
      <c r="AT11" s="2865"/>
      <c r="AU11" s="2865"/>
      <c r="AV11" s="2178"/>
      <c r="AW11" s="2178"/>
      <c r="AX11" s="1400"/>
    </row>
    <row r="12" spans="2:50">
      <c r="B12" s="662" t="s">
        <v>891</v>
      </c>
      <c r="C12" s="828">
        <f t="shared" ref="C12:C17" si="2">IF($C$5=1,AD12,IF($C$5=2,U12,IF($C$5=3,L12,IF($C$5=4,AM12,IF($C$5=5,AX14,0)))))</f>
        <v>728519700</v>
      </c>
      <c r="E12" s="743" t="s">
        <v>894</v>
      </c>
      <c r="F12" s="2163">
        <v>228060000</v>
      </c>
      <c r="G12" s="745"/>
      <c r="H12" s="722">
        <f>F12+G12</f>
        <v>228060000</v>
      </c>
      <c r="I12" s="2163"/>
      <c r="J12" s="662" t="s">
        <v>891</v>
      </c>
      <c r="K12" s="731"/>
      <c r="L12" s="732">
        <f t="shared" si="0"/>
        <v>503887300</v>
      </c>
      <c r="N12" s="738" t="s">
        <v>905</v>
      </c>
      <c r="O12" s="739"/>
      <c r="P12" s="717"/>
      <c r="Q12" s="722"/>
      <c r="R12" s="725"/>
      <c r="S12" s="804" t="s">
        <v>891</v>
      </c>
      <c r="T12" s="731"/>
      <c r="U12" s="732">
        <f t="shared" ref="U12:U19" si="3">IF($C$3&lt;=2,O36,0)</f>
        <v>311119100</v>
      </c>
      <c r="W12" s="738" t="s">
        <v>905</v>
      </c>
      <c r="X12" s="734"/>
      <c r="Y12" s="735"/>
      <c r="Z12" s="736"/>
      <c r="AB12" s="644" t="s">
        <v>891</v>
      </c>
      <c r="AC12" s="647"/>
      <c r="AD12" s="646">
        <f t="shared" si="1"/>
        <v>728519700</v>
      </c>
      <c r="AF12" s="2925"/>
      <c r="AG12" s="2865"/>
      <c r="AH12" s="2865"/>
      <c r="AI12" s="2922"/>
      <c r="AJ12" s="2922"/>
      <c r="AK12" s="2882"/>
      <c r="AL12" s="2884"/>
      <c r="AM12" s="2178"/>
      <c r="AP12" s="2925"/>
      <c r="AS12" s="2922"/>
      <c r="AT12" s="2865"/>
      <c r="AU12" s="2922"/>
      <c r="AV12" s="2880"/>
      <c r="AW12" s="2880"/>
      <c r="AX12" s="2877"/>
    </row>
    <row r="13" spans="2:50">
      <c r="B13" s="662" t="s">
        <v>845</v>
      </c>
      <c r="C13" s="828">
        <f t="shared" si="2"/>
        <v>72876518.367346942</v>
      </c>
      <c r="E13" s="743" t="s">
        <v>996</v>
      </c>
      <c r="F13" s="2163">
        <v>24188800</v>
      </c>
      <c r="G13" s="745"/>
      <c r="H13" s="722">
        <f t="shared" ref="H13:H21" si="4">F13+G13</f>
        <v>24188800</v>
      </c>
      <c r="I13" s="2163"/>
      <c r="J13" s="662" t="s">
        <v>845</v>
      </c>
      <c r="K13" s="731"/>
      <c r="L13" s="732">
        <f t="shared" si="0"/>
        <v>58591512.244897962</v>
      </c>
      <c r="M13" s="740"/>
      <c r="N13" s="743" t="s">
        <v>894</v>
      </c>
      <c r="O13" s="744">
        <v>157109000</v>
      </c>
      <c r="P13" s="745"/>
      <c r="Q13" s="722">
        <f>O13+P13</f>
        <v>157109000</v>
      </c>
      <c r="R13" s="725"/>
      <c r="S13" s="804" t="s">
        <v>845</v>
      </c>
      <c r="T13" s="731"/>
      <c r="U13" s="732">
        <f t="shared" si="3"/>
        <v>32669306.122448981</v>
      </c>
      <c r="W13" s="743" t="s">
        <v>894</v>
      </c>
      <c r="X13" s="722">
        <v>382521000</v>
      </c>
      <c r="Y13" s="722"/>
      <c r="Z13" s="746">
        <f>X13+Y13</f>
        <v>382521000</v>
      </c>
      <c r="AB13" s="644" t="s">
        <v>845</v>
      </c>
      <c r="AC13" s="647"/>
      <c r="AD13" s="646">
        <f t="shared" si="1"/>
        <v>72876518.367346942</v>
      </c>
      <c r="AF13" s="2874"/>
      <c r="AG13" s="2875"/>
      <c r="AH13" s="2866"/>
      <c r="AI13" s="2922"/>
      <c r="AJ13" s="2922"/>
      <c r="AK13" s="2882"/>
      <c r="AL13" s="2884"/>
      <c r="AM13" s="2178"/>
      <c r="AP13" s="2874"/>
      <c r="AQ13" s="2922"/>
      <c r="AR13" s="2922"/>
      <c r="AS13" s="2922"/>
      <c r="AT13" s="2865"/>
      <c r="AU13" s="2922"/>
      <c r="AV13" s="2882"/>
      <c r="AW13" s="2883"/>
      <c r="AX13" s="2178"/>
    </row>
    <row r="14" spans="2:50">
      <c r="B14" s="662" t="s">
        <v>119</v>
      </c>
      <c r="C14" s="828">
        <f t="shared" si="2"/>
        <v>115364200</v>
      </c>
      <c r="E14" s="743" t="s">
        <v>896</v>
      </c>
      <c r="F14" s="2163">
        <v>25106400</v>
      </c>
      <c r="G14" s="745"/>
      <c r="H14" s="722">
        <f t="shared" si="4"/>
        <v>25106400</v>
      </c>
      <c r="I14" s="2163"/>
      <c r="J14" s="662" t="s">
        <v>119</v>
      </c>
      <c r="K14" s="731"/>
      <c r="L14" s="732">
        <f t="shared" si="0"/>
        <v>68780900</v>
      </c>
      <c r="M14" s="740"/>
      <c r="N14" s="743" t="s">
        <v>996</v>
      </c>
      <c r="O14" s="744">
        <v>14189500</v>
      </c>
      <c r="P14" s="745"/>
      <c r="Q14" s="722">
        <f t="shared" ref="Q14:Q22" si="5">O14+P14</f>
        <v>14189500</v>
      </c>
      <c r="R14" s="725"/>
      <c r="S14" s="804" t="s">
        <v>119</v>
      </c>
      <c r="T14" s="731"/>
      <c r="U14" s="732">
        <f t="shared" si="3"/>
        <v>46969600</v>
      </c>
      <c r="W14" s="743" t="s">
        <v>996</v>
      </c>
      <c r="X14" s="722">
        <v>26103700</v>
      </c>
      <c r="Y14" s="722"/>
      <c r="Z14" s="746">
        <f t="shared" ref="Z14:Z31" si="6">X14+Y14</f>
        <v>26103700</v>
      </c>
      <c r="AB14" s="644" t="s">
        <v>119</v>
      </c>
      <c r="AC14" s="648"/>
      <c r="AD14" s="646">
        <f t="shared" si="1"/>
        <v>115364200</v>
      </c>
      <c r="AF14" s="2874"/>
      <c r="AG14" s="2875"/>
      <c r="AH14" s="2866"/>
      <c r="AI14" s="2922"/>
      <c r="AJ14" s="2922"/>
      <c r="AK14" s="2882"/>
      <c r="AM14" s="2178"/>
      <c r="AP14" s="2874"/>
      <c r="AQ14" s="2922"/>
      <c r="AR14" s="2922"/>
      <c r="AS14" s="2922"/>
      <c r="AT14" s="2865"/>
      <c r="AU14" s="2922"/>
      <c r="AV14" s="2882"/>
      <c r="AW14" s="2884"/>
      <c r="AX14" s="2178"/>
    </row>
    <row r="15" spans="2:50">
      <c r="B15" s="666" t="s">
        <v>122</v>
      </c>
      <c r="C15" s="828">
        <f t="shared" si="2"/>
        <v>117576700</v>
      </c>
      <c r="E15" s="743" t="s">
        <v>997</v>
      </c>
      <c r="F15" s="2163">
        <v>59162700</v>
      </c>
      <c r="G15" s="745"/>
      <c r="H15" s="722">
        <f t="shared" si="4"/>
        <v>59162700</v>
      </c>
      <c r="I15" s="2163"/>
      <c r="J15" s="666" t="s">
        <v>122</v>
      </c>
      <c r="K15" s="731"/>
      <c r="L15" s="732">
        <f t="shared" si="0"/>
        <v>97136800</v>
      </c>
      <c r="M15" s="740"/>
      <c r="N15" s="743" t="s">
        <v>896</v>
      </c>
      <c r="O15" s="744">
        <v>7289600</v>
      </c>
      <c r="P15" s="745"/>
      <c r="Q15" s="722">
        <f t="shared" si="5"/>
        <v>7289600</v>
      </c>
      <c r="R15" s="725"/>
      <c r="S15" s="805" t="s">
        <v>122</v>
      </c>
      <c r="T15" s="731"/>
      <c r="U15" s="732">
        <f t="shared" si="3"/>
        <v>63639300</v>
      </c>
      <c r="W15" s="743" t="s">
        <v>896</v>
      </c>
      <c r="X15" s="722">
        <v>33704000</v>
      </c>
      <c r="Y15" s="722"/>
      <c r="Z15" s="746">
        <f t="shared" si="6"/>
        <v>33704000</v>
      </c>
      <c r="AB15" s="649" t="s">
        <v>122</v>
      </c>
      <c r="AC15" s="648"/>
      <c r="AD15" s="646">
        <f t="shared" si="1"/>
        <v>117576700</v>
      </c>
      <c r="AF15" s="2874"/>
      <c r="AG15" s="2875"/>
      <c r="AH15" s="2866"/>
      <c r="AI15" s="2922"/>
      <c r="AJ15" s="2922"/>
      <c r="AM15" s="2178"/>
      <c r="AP15" s="2874"/>
      <c r="AQ15" s="2922"/>
      <c r="AR15" s="2922"/>
      <c r="AS15" s="2922"/>
      <c r="AT15" s="2865"/>
      <c r="AV15" s="2882"/>
      <c r="AW15" s="2884"/>
      <c r="AX15" s="2178"/>
    </row>
    <row r="16" spans="2:50">
      <c r="B16" s="666" t="s">
        <v>120</v>
      </c>
      <c r="C16" s="828">
        <f t="shared" si="2"/>
        <v>81853600</v>
      </c>
      <c r="E16" s="743" t="s">
        <v>875</v>
      </c>
      <c r="F16" s="2163">
        <v>104111300</v>
      </c>
      <c r="G16" s="745"/>
      <c r="H16" s="722">
        <f t="shared" si="4"/>
        <v>104111300</v>
      </c>
      <c r="I16" s="2163"/>
      <c r="J16" s="666" t="s">
        <v>120</v>
      </c>
      <c r="K16" s="731"/>
      <c r="L16" s="732">
        <f t="shared" si="0"/>
        <v>57796800</v>
      </c>
      <c r="M16" s="740"/>
      <c r="N16" s="743" t="s">
        <v>997</v>
      </c>
      <c r="O16" s="744">
        <v>39591900</v>
      </c>
      <c r="P16" s="745"/>
      <c r="Q16" s="722">
        <f t="shared" si="5"/>
        <v>39591900</v>
      </c>
      <c r="R16" s="725"/>
      <c r="S16" s="805" t="s">
        <v>120</v>
      </c>
      <c r="T16" s="731"/>
      <c r="U16" s="732">
        <f t="shared" si="3"/>
        <v>35647400</v>
      </c>
      <c r="W16" s="743" t="s">
        <v>997</v>
      </c>
      <c r="X16" s="722">
        <v>80483400</v>
      </c>
      <c r="Y16" s="722"/>
      <c r="Z16" s="746">
        <f t="shared" si="6"/>
        <v>80483400</v>
      </c>
      <c r="AB16" s="649" t="s">
        <v>120</v>
      </c>
      <c r="AC16" s="648"/>
      <c r="AD16" s="646">
        <f t="shared" si="1"/>
        <v>81853600</v>
      </c>
      <c r="AF16" s="2874"/>
      <c r="AG16" s="2875"/>
      <c r="AH16" s="2866"/>
      <c r="AI16" s="2922"/>
      <c r="AJ16" s="2922"/>
      <c r="AM16" s="2178"/>
      <c r="AP16" s="2874"/>
      <c r="AQ16" s="2922"/>
      <c r="AR16" s="2922"/>
      <c r="AS16" s="2922"/>
      <c r="AT16" s="2865"/>
      <c r="AV16" s="2882"/>
      <c r="AW16" s="1400"/>
      <c r="AX16" s="2178"/>
    </row>
    <row r="17" spans="2:50">
      <c r="B17" s="666" t="s">
        <v>711</v>
      </c>
      <c r="C17" s="828">
        <f t="shared" si="2"/>
        <v>71096000</v>
      </c>
      <c r="E17" s="743" t="s">
        <v>998</v>
      </c>
      <c r="F17" s="2163">
        <v>22215000</v>
      </c>
      <c r="G17" s="745"/>
      <c r="H17" s="722">
        <f t="shared" si="4"/>
        <v>22215000</v>
      </c>
      <c r="I17" s="2163"/>
      <c r="J17" s="666" t="s">
        <v>711</v>
      </c>
      <c r="K17" s="731"/>
      <c r="L17" s="732">
        <f t="shared" si="0"/>
        <v>51457100</v>
      </c>
      <c r="M17" s="740"/>
      <c r="N17" s="743" t="s">
        <v>875</v>
      </c>
      <c r="O17" s="744">
        <v>54819100</v>
      </c>
      <c r="P17" s="745"/>
      <c r="Q17" s="722">
        <f t="shared" si="5"/>
        <v>54819100</v>
      </c>
      <c r="R17" s="725"/>
      <c r="S17" s="805" t="s">
        <v>711</v>
      </c>
      <c r="T17" s="731"/>
      <c r="U17" s="732">
        <f t="shared" si="3"/>
        <v>23579700</v>
      </c>
      <c r="W17" s="743" t="s">
        <v>875</v>
      </c>
      <c r="X17" s="722">
        <v>127906500</v>
      </c>
      <c r="Y17" s="722"/>
      <c r="Z17" s="746">
        <f t="shared" si="6"/>
        <v>127906500</v>
      </c>
      <c r="AB17" s="649" t="s">
        <v>711</v>
      </c>
      <c r="AC17" s="648"/>
      <c r="AD17" s="646">
        <f t="shared" si="1"/>
        <v>71096000</v>
      </c>
      <c r="AF17" s="2874"/>
      <c r="AG17" s="2875"/>
      <c r="AH17" s="2866"/>
      <c r="AI17" s="2922"/>
      <c r="AJ17" s="2922"/>
      <c r="AM17" s="2178"/>
      <c r="AP17" s="2874"/>
      <c r="AQ17" s="2922"/>
      <c r="AR17" s="2922"/>
      <c r="AS17" s="2922"/>
      <c r="AT17" s="2865"/>
      <c r="AV17" s="1400"/>
      <c r="AW17" s="1400"/>
      <c r="AX17" s="2178"/>
    </row>
    <row r="18" spans="2:50">
      <c r="B18" s="666" t="s">
        <v>907</v>
      </c>
      <c r="C18" s="828">
        <f>SUM(C11:C17)</f>
        <v>1195330318.367347</v>
      </c>
      <c r="E18" s="743" t="s">
        <v>898</v>
      </c>
      <c r="F18" s="2163">
        <v>34140900</v>
      </c>
      <c r="G18" s="745"/>
      <c r="H18" s="722">
        <f t="shared" si="4"/>
        <v>34140900</v>
      </c>
      <c r="I18" s="2163"/>
      <c r="J18" s="666" t="s">
        <v>907</v>
      </c>
      <c r="K18" s="731"/>
      <c r="L18" s="732">
        <f>SUM(L11:L17)</f>
        <v>843151612.24489796</v>
      </c>
      <c r="M18" s="740"/>
      <c r="N18" s="743" t="s">
        <v>998</v>
      </c>
      <c r="O18" s="744">
        <v>16360000</v>
      </c>
      <c r="P18" s="745"/>
      <c r="Q18" s="722">
        <f t="shared" si="5"/>
        <v>16360000</v>
      </c>
      <c r="R18" s="725"/>
      <c r="S18" s="805" t="s">
        <v>907</v>
      </c>
      <c r="T18" s="731"/>
      <c r="U18" s="732">
        <f>SUM(U11:U17)</f>
        <v>518311406.12244898</v>
      </c>
      <c r="W18" s="743" t="s">
        <v>998</v>
      </c>
      <c r="X18" s="722">
        <v>29988300</v>
      </c>
      <c r="Y18" s="722"/>
      <c r="Z18" s="746">
        <f t="shared" si="6"/>
        <v>29988300</v>
      </c>
      <c r="AB18" s="649" t="s">
        <v>907</v>
      </c>
      <c r="AC18" s="648"/>
      <c r="AD18" s="646">
        <f>SUM(AD11:AD17)</f>
        <v>1195330318.367347</v>
      </c>
      <c r="AF18" s="2874"/>
      <c r="AG18" s="2875"/>
      <c r="AH18" s="2866"/>
      <c r="AI18" s="2922"/>
      <c r="AJ18" s="2922"/>
      <c r="AM18" s="2178"/>
      <c r="AP18" s="2874"/>
      <c r="AQ18" s="2922"/>
      <c r="AR18" s="2922"/>
      <c r="AS18" s="2922"/>
      <c r="AT18" s="2865"/>
      <c r="AV18" s="1400"/>
      <c r="AW18" s="1400"/>
      <c r="AX18" s="2178"/>
    </row>
    <row r="19" spans="2:50" ht="15" thickBot="1">
      <c r="B19" s="667" t="s">
        <v>1004</v>
      </c>
      <c r="C19" s="828">
        <f>IF($C$5=1,AD19,IF($C$5=2,U19,IF($C$5=3,L19,IF($C$5=4,AM19,IF($C$5=5,AX21,0)))))</f>
        <v>89649773.877551019</v>
      </c>
      <c r="E19" s="743" t="s">
        <v>899</v>
      </c>
      <c r="F19" s="2163">
        <v>6902200</v>
      </c>
      <c r="G19" s="745"/>
      <c r="H19" s="722">
        <f t="shared" si="4"/>
        <v>6902200</v>
      </c>
      <c r="I19" s="2163"/>
      <c r="J19" s="667" t="s">
        <v>1004</v>
      </c>
      <c r="K19" s="747">
        <f>IF($C$3&lt;=2,E45,0)</f>
        <v>0</v>
      </c>
      <c r="L19" s="748">
        <f>IF($C$3&lt;=2,F43,0)</f>
        <v>63236370.918367341</v>
      </c>
      <c r="M19" s="740"/>
      <c r="N19" s="743" t="s">
        <v>898</v>
      </c>
      <c r="O19" s="744">
        <v>17046500</v>
      </c>
      <c r="P19" s="745"/>
      <c r="Q19" s="722">
        <f t="shared" si="5"/>
        <v>17046500</v>
      </c>
      <c r="R19" s="725"/>
      <c r="S19" s="806" t="s">
        <v>1004</v>
      </c>
      <c r="T19" s="747">
        <f>IF($C$3&lt;=2,N45,0)</f>
        <v>0</v>
      </c>
      <c r="U19" s="732">
        <f t="shared" si="3"/>
        <v>37104877.959183671</v>
      </c>
      <c r="W19" s="743" t="s">
        <v>898</v>
      </c>
      <c r="X19" s="722">
        <v>38789700</v>
      </c>
      <c r="Y19" s="722"/>
      <c r="Z19" s="746">
        <f t="shared" si="6"/>
        <v>38789700</v>
      </c>
      <c r="AB19" s="650" t="s">
        <v>1004</v>
      </c>
      <c r="AC19" s="651"/>
      <c r="AD19" s="652">
        <f>IF($C$3&lt;=3,X43,0)</f>
        <v>89649773.877551019</v>
      </c>
      <c r="AF19" s="2874"/>
      <c r="AG19" s="2875"/>
      <c r="AH19" s="2866"/>
      <c r="AI19" s="2922"/>
      <c r="AJ19" s="2922"/>
      <c r="AM19" s="2178"/>
      <c r="AP19" s="2874"/>
      <c r="AQ19" s="2922"/>
      <c r="AR19" s="2922"/>
      <c r="AS19" s="2922"/>
      <c r="AT19" s="2865"/>
      <c r="AV19" s="1400"/>
      <c r="AW19" s="1400"/>
      <c r="AX19" s="2178"/>
    </row>
    <row r="20" spans="2:50" ht="15" thickBot="1">
      <c r="B20" s="669" t="s">
        <v>655</v>
      </c>
      <c r="C20" s="829">
        <f>C18+C19</f>
        <v>1284980092.2448981</v>
      </c>
      <c r="E20" s="743" t="s">
        <v>900</v>
      </c>
      <c r="F20" s="2163">
        <f>43860900+'Support infra Nasarawa State '!D26</f>
        <v>58591512.244897962</v>
      </c>
      <c r="G20" s="745"/>
      <c r="H20" s="722">
        <f t="shared" si="4"/>
        <v>58591512.244897962</v>
      </c>
      <c r="I20" s="2163"/>
      <c r="J20" s="669" t="s">
        <v>655</v>
      </c>
      <c r="K20" s="670"/>
      <c r="L20" s="749">
        <f>L18+L19</f>
        <v>906387983.16326535</v>
      </c>
      <c r="M20" s="740"/>
      <c r="N20" s="743" t="s">
        <v>899</v>
      </c>
      <c r="O20" s="744">
        <v>4713500</v>
      </c>
      <c r="P20" s="745"/>
      <c r="Q20" s="722">
        <f t="shared" si="5"/>
        <v>4713500</v>
      </c>
      <c r="R20" s="725"/>
      <c r="S20" s="768" t="s">
        <v>655</v>
      </c>
      <c r="T20" s="670"/>
      <c r="U20" s="749">
        <f>U18+U19</f>
        <v>555416284.08163261</v>
      </c>
      <c r="W20" s="743" t="s">
        <v>899</v>
      </c>
      <c r="X20" s="722">
        <v>9023100</v>
      </c>
      <c r="Y20" s="722"/>
      <c r="Z20" s="746">
        <f t="shared" si="6"/>
        <v>9023100</v>
      </c>
      <c r="AB20" s="832" t="s">
        <v>655</v>
      </c>
      <c r="AC20" s="638"/>
      <c r="AD20" s="654">
        <f>AD18+AD19</f>
        <v>1284980092.2448981</v>
      </c>
      <c r="AF20" s="2874"/>
      <c r="AG20" s="2875"/>
      <c r="AH20" s="2866"/>
      <c r="AI20" s="2922"/>
      <c r="AJ20" s="2922"/>
      <c r="AM20" s="2178"/>
      <c r="AP20" s="2874"/>
      <c r="AQ20" s="2922"/>
      <c r="AR20" s="2922"/>
      <c r="AS20" s="2922"/>
      <c r="AT20" s="2865"/>
      <c r="AV20" s="1400"/>
      <c r="AW20" s="1400"/>
      <c r="AX20" s="2178"/>
    </row>
    <row r="21" spans="2:50" ht="15" thickBot="1">
      <c r="B21" s="750"/>
      <c r="C21" s="751"/>
      <c r="E21" s="743" t="s">
        <v>999</v>
      </c>
      <c r="F21" s="2163">
        <v>5501200</v>
      </c>
      <c r="G21" s="745"/>
      <c r="H21" s="722">
        <f t="shared" si="4"/>
        <v>5501200</v>
      </c>
      <c r="I21" s="2163"/>
      <c r="J21" s="750"/>
      <c r="K21" s="750"/>
      <c r="L21" s="751"/>
      <c r="M21" s="752"/>
      <c r="N21" s="743" t="s">
        <v>900</v>
      </c>
      <c r="O21" s="744">
        <f>25304000+'Support infra Nasarawa State '!E26</f>
        <v>32669306.122448981</v>
      </c>
      <c r="P21" s="745"/>
      <c r="Q21" s="722">
        <f t="shared" si="5"/>
        <v>32669306.122448981</v>
      </c>
      <c r="R21" s="725"/>
      <c r="S21" s="821"/>
      <c r="T21" s="750"/>
      <c r="U21" s="751"/>
      <c r="W21" s="743" t="s">
        <v>900</v>
      </c>
      <c r="X21" s="722">
        <f>50780600+'Support infra Nasarawa State '!F26</f>
        <v>72876518.367346942</v>
      </c>
      <c r="Y21" s="722"/>
      <c r="Z21" s="746">
        <f t="shared" si="6"/>
        <v>72876518.367346942</v>
      </c>
      <c r="AF21" s="2874"/>
      <c r="AG21" s="2875"/>
      <c r="AH21" s="2866"/>
      <c r="AI21" s="2922"/>
      <c r="AJ21" s="2922"/>
      <c r="AP21" s="2874"/>
      <c r="AQ21" s="2922"/>
      <c r="AR21" s="2922"/>
      <c r="AS21" s="2922"/>
      <c r="AT21" s="2865"/>
      <c r="AV21" s="1400"/>
      <c r="AW21" s="1400"/>
      <c r="AX21" s="2178"/>
    </row>
    <row r="22" spans="2:50" ht="15" thickBot="1">
      <c r="B22" s="827" t="s">
        <v>1005</v>
      </c>
      <c r="C22" s="724"/>
      <c r="E22" s="2856" t="s">
        <v>2155</v>
      </c>
      <c r="F22" s="797">
        <f>SUM(F12:F21)</f>
        <v>567980012.24489796</v>
      </c>
      <c r="G22" s="2275"/>
      <c r="H22" s="2276">
        <f>SUM(H12:H21)</f>
        <v>567980012.24489796</v>
      </c>
      <c r="I22" s="2163"/>
      <c r="J22" s="753" t="s">
        <v>1005</v>
      </c>
      <c r="K22" s="723"/>
      <c r="L22" s="724" t="s">
        <v>991</v>
      </c>
      <c r="M22" s="752"/>
      <c r="N22" s="743" t="s">
        <v>999</v>
      </c>
      <c r="O22" s="744">
        <v>4687000</v>
      </c>
      <c r="P22" s="745"/>
      <c r="Q22" s="722">
        <f t="shared" si="5"/>
        <v>4687000</v>
      </c>
      <c r="R22" s="725"/>
      <c r="S22" s="753" t="s">
        <v>1005</v>
      </c>
      <c r="T22" s="723"/>
      <c r="U22" s="724" t="s">
        <v>991</v>
      </c>
      <c r="W22" s="743" t="s">
        <v>999</v>
      </c>
      <c r="X22" s="722">
        <v>8043600</v>
      </c>
      <c r="Y22" s="722"/>
      <c r="Z22" s="746">
        <f t="shared" si="6"/>
        <v>8043600</v>
      </c>
      <c r="AB22" s="656" t="s">
        <v>1005</v>
      </c>
      <c r="AC22" s="657"/>
      <c r="AD22" s="658" t="s">
        <v>991</v>
      </c>
      <c r="AF22" s="2874"/>
      <c r="AG22" s="2875"/>
      <c r="AH22" s="2866"/>
      <c r="AI22" s="2922"/>
      <c r="AJ22" s="2922"/>
      <c r="AK22" s="2880"/>
      <c r="AL22" s="2880"/>
      <c r="AM22" s="2877"/>
      <c r="AP22" s="2874"/>
      <c r="AQ22" s="2922"/>
      <c r="AR22" s="2922"/>
      <c r="AS22" s="2922"/>
      <c r="AT22" s="2865"/>
      <c r="AV22" s="1400"/>
      <c r="AW22" s="1400"/>
      <c r="AX22" s="2178"/>
    </row>
    <row r="23" spans="2:50">
      <c r="B23" s="662" t="s">
        <v>1934</v>
      </c>
      <c r="C23" s="833">
        <f>IF($C$5=1,L23,IF($C$5=2,U23,IF($C$5=3,AD23,IF($C$5=4,AM23,AX25))))</f>
        <v>0</v>
      </c>
      <c r="E23" s="738" t="s">
        <v>880</v>
      </c>
      <c r="F23" s="2163"/>
      <c r="G23" s="755"/>
      <c r="H23" s="722"/>
      <c r="I23" s="2163"/>
      <c r="J23" s="662" t="s">
        <v>1003</v>
      </c>
      <c r="K23" s="663"/>
      <c r="L23" s="756">
        <f t="shared" ref="L23:L29" si="7">IF($C$3=2,G35,0)</f>
        <v>0</v>
      </c>
      <c r="M23" s="752"/>
      <c r="N23" s="738" t="s">
        <v>880</v>
      </c>
      <c r="O23" s="754"/>
      <c r="P23" s="755"/>
      <c r="Q23" s="722"/>
      <c r="R23" s="725"/>
      <c r="S23" s="662" t="s">
        <v>1003</v>
      </c>
      <c r="T23" s="663"/>
      <c r="U23" s="756">
        <f>IF($C$3=2,P35,0)</f>
        <v>0</v>
      </c>
      <c r="W23" s="738" t="s">
        <v>880</v>
      </c>
      <c r="X23" s="722"/>
      <c r="Y23" s="722"/>
      <c r="Z23" s="746">
        <f t="shared" si="6"/>
        <v>0</v>
      </c>
      <c r="AB23" s="644" t="s">
        <v>1003</v>
      </c>
      <c r="AC23" s="645"/>
      <c r="AD23" s="646">
        <f>IF($C$3&gt;=2,Y35,0)</f>
        <v>0</v>
      </c>
      <c r="AF23" s="2925"/>
      <c r="AG23" s="2867"/>
      <c r="AH23" s="2867"/>
      <c r="AI23" s="2922"/>
      <c r="AJ23" s="2922"/>
      <c r="AK23" s="2882"/>
      <c r="AL23" s="2883"/>
      <c r="AM23" s="2178"/>
      <c r="AP23" s="2925"/>
      <c r="AQ23" s="2922"/>
      <c r="AR23" s="2922"/>
      <c r="AS23" s="2922"/>
      <c r="AT23" s="2865"/>
      <c r="AV23" s="1400"/>
      <c r="AW23" s="1400"/>
      <c r="AX23" s="1400"/>
    </row>
    <row r="24" spans="2:50">
      <c r="B24" s="662" t="s">
        <v>1029</v>
      </c>
      <c r="C24" s="833">
        <f>IF($C$5=1,L24,IF($C$5=2,U24,IF($C$5=3,AD24,IF($C$5=4,AM24,AX26))))</f>
        <v>0</v>
      </c>
      <c r="E24" s="743" t="s">
        <v>901</v>
      </c>
      <c r="F24" s="2163">
        <v>30312900</v>
      </c>
      <c r="G24" s="745"/>
      <c r="H24" s="722">
        <f>F24+G24</f>
        <v>30312900</v>
      </c>
      <c r="I24" s="2163"/>
      <c r="J24" s="662" t="s">
        <v>1029</v>
      </c>
      <c r="K24" s="647"/>
      <c r="L24" s="756">
        <f t="shared" si="7"/>
        <v>0</v>
      </c>
      <c r="M24" s="752"/>
      <c r="N24" s="743" t="s">
        <v>901</v>
      </c>
      <c r="O24" s="744">
        <v>14783800</v>
      </c>
      <c r="P24" s="745"/>
      <c r="Q24" s="722">
        <f>O24+P24</f>
        <v>14783800</v>
      </c>
      <c r="R24" s="725"/>
      <c r="S24" s="662" t="s">
        <v>1029</v>
      </c>
      <c r="T24" s="647"/>
      <c r="U24" s="756">
        <f t="shared" ref="U24:U31" si="8">IF($C$3=2,P36,0)</f>
        <v>0</v>
      </c>
      <c r="W24" s="743" t="s">
        <v>901</v>
      </c>
      <c r="X24" s="722">
        <v>35994900</v>
      </c>
      <c r="Y24" s="722"/>
      <c r="Z24" s="746">
        <f t="shared" si="6"/>
        <v>35994900</v>
      </c>
      <c r="AB24" s="644" t="s">
        <v>891</v>
      </c>
      <c r="AC24" s="647"/>
      <c r="AD24" s="646">
        <f t="shared" ref="AD24:AD31" si="9">IF($C$3&gt;=2,Y36,0)</f>
        <v>0</v>
      </c>
      <c r="AF24" s="2874"/>
      <c r="AG24" s="2875"/>
      <c r="AH24" s="2866"/>
      <c r="AI24" s="2922"/>
      <c r="AJ24" s="2922"/>
      <c r="AK24" s="2882"/>
      <c r="AL24" s="2884"/>
      <c r="AM24" s="2178"/>
      <c r="AP24" s="2874"/>
      <c r="AQ24" s="2922"/>
      <c r="AR24" s="2922"/>
      <c r="AS24" s="2922"/>
      <c r="AT24" s="2865"/>
      <c r="AV24" s="2880"/>
      <c r="AW24" s="2880"/>
      <c r="AX24" s="2877"/>
    </row>
    <row r="25" spans="2:50">
      <c r="B25" s="662" t="s">
        <v>845</v>
      </c>
      <c r="C25" s="833">
        <f>IF($C$5=1,L25,IF($C$5=2,U25,IF($C$5=3,AD25,IF($C$5=4,AM25,AX27))))</f>
        <v>0</v>
      </c>
      <c r="E25" s="743" t="s">
        <v>902</v>
      </c>
      <c r="F25" s="2163">
        <v>23597600</v>
      </c>
      <c r="G25" s="745"/>
      <c r="H25" s="722">
        <f t="shared" ref="H25:H31" si="10">F25+G25</f>
        <v>23597600</v>
      </c>
      <c r="I25" s="2163"/>
      <c r="J25" s="662" t="s">
        <v>845</v>
      </c>
      <c r="K25" s="647"/>
      <c r="L25" s="756">
        <f t="shared" si="7"/>
        <v>0</v>
      </c>
      <c r="M25" s="752"/>
      <c r="N25" s="743" t="s">
        <v>902</v>
      </c>
      <c r="O25" s="744">
        <v>16114500</v>
      </c>
      <c r="P25" s="745"/>
      <c r="Q25" s="722">
        <f t="shared" ref="Q25:Q31" si="11">O25+P25</f>
        <v>16114500</v>
      </c>
      <c r="R25" s="725"/>
      <c r="S25" s="662" t="s">
        <v>845</v>
      </c>
      <c r="T25" s="647"/>
      <c r="U25" s="756">
        <f t="shared" si="8"/>
        <v>0</v>
      </c>
      <c r="W25" s="743" t="s">
        <v>902</v>
      </c>
      <c r="X25" s="722">
        <v>28665100</v>
      </c>
      <c r="Y25" s="722"/>
      <c r="Z25" s="746">
        <f t="shared" si="6"/>
        <v>28665100</v>
      </c>
      <c r="AB25" s="644" t="s">
        <v>845</v>
      </c>
      <c r="AC25" s="647"/>
      <c r="AD25" s="646">
        <f t="shared" si="9"/>
        <v>0</v>
      </c>
      <c r="AF25" s="2874"/>
      <c r="AG25" s="2875"/>
      <c r="AH25" s="2866"/>
      <c r="AI25" s="2922"/>
      <c r="AJ25" s="2922"/>
      <c r="AK25" s="2882"/>
      <c r="AL25" s="2884"/>
      <c r="AM25" s="2178"/>
      <c r="AP25" s="2874"/>
      <c r="AQ25" s="2922"/>
      <c r="AR25" s="2922"/>
      <c r="AS25" s="2922"/>
      <c r="AT25" s="2865"/>
      <c r="AV25" s="2882"/>
      <c r="AW25" s="2883"/>
      <c r="AX25" s="2178"/>
    </row>
    <row r="26" spans="2:50">
      <c r="B26" s="662" t="s">
        <v>119</v>
      </c>
      <c r="C26" s="833">
        <f>IF($C$5=1,L26,IF($C$5=2,U26,IF($C$5=3,AD26,IF($C$5=4,AM26,AX28))))</f>
        <v>0</v>
      </c>
      <c r="E26" s="743" t="s">
        <v>903</v>
      </c>
      <c r="F26" s="2163">
        <v>29801000</v>
      </c>
      <c r="G26" s="745"/>
      <c r="H26" s="722">
        <f t="shared" si="10"/>
        <v>29801000</v>
      </c>
      <c r="I26" s="2163"/>
      <c r="J26" s="662" t="s">
        <v>119</v>
      </c>
      <c r="K26" s="665"/>
      <c r="L26" s="756">
        <f t="shared" si="7"/>
        <v>0</v>
      </c>
      <c r="M26" s="752"/>
      <c r="N26" s="743" t="s">
        <v>903</v>
      </c>
      <c r="O26" s="744">
        <v>27224400</v>
      </c>
      <c r="P26" s="745"/>
      <c r="Q26" s="722">
        <f t="shared" si="11"/>
        <v>27224400</v>
      </c>
      <c r="R26" s="725"/>
      <c r="S26" s="662" t="s">
        <v>119</v>
      </c>
      <c r="T26" s="665"/>
      <c r="U26" s="756">
        <f t="shared" si="8"/>
        <v>0</v>
      </c>
      <c r="W26" s="743" t="s">
        <v>903</v>
      </c>
      <c r="X26" s="722">
        <v>34006900</v>
      </c>
      <c r="Y26" s="722"/>
      <c r="Z26" s="746">
        <f t="shared" si="6"/>
        <v>34006900</v>
      </c>
      <c r="AB26" s="644" t="s">
        <v>119</v>
      </c>
      <c r="AC26" s="648"/>
      <c r="AD26" s="646">
        <f t="shared" si="9"/>
        <v>0</v>
      </c>
      <c r="AF26" s="2874"/>
      <c r="AG26" s="2875"/>
      <c r="AH26" s="2866"/>
      <c r="AI26" s="2922"/>
      <c r="AJ26" s="2922"/>
      <c r="AK26" s="2882"/>
      <c r="AM26" s="2178"/>
      <c r="AP26" s="2874"/>
      <c r="AQ26" s="2922"/>
      <c r="AR26" s="2922"/>
      <c r="AS26" s="2922"/>
      <c r="AT26" s="2865"/>
      <c r="AV26" s="2882"/>
      <c r="AW26" s="2884"/>
      <c r="AX26" s="2178"/>
    </row>
    <row r="27" spans="2:50">
      <c r="B27" s="666" t="s">
        <v>122</v>
      </c>
      <c r="C27" s="833">
        <f>IF($C$5=1,L27,IF($C$5=2,U27,IF($C$5=3,AD26,IF($C$5=4,AM27,AX29))))</f>
        <v>0</v>
      </c>
      <c r="E27" s="743" t="s">
        <v>904</v>
      </c>
      <c r="F27" s="2163">
        <v>13425300</v>
      </c>
      <c r="G27" s="745"/>
      <c r="H27" s="722">
        <f t="shared" si="10"/>
        <v>13425300</v>
      </c>
      <c r="I27" s="2163"/>
      <c r="J27" s="666" t="s">
        <v>122</v>
      </c>
      <c r="K27" s="665"/>
      <c r="L27" s="756">
        <f t="shared" si="7"/>
        <v>0</v>
      </c>
      <c r="M27" s="752"/>
      <c r="N27" s="743" t="s">
        <v>904</v>
      </c>
      <c r="O27" s="744">
        <v>5516600</v>
      </c>
      <c r="P27" s="745"/>
      <c r="Q27" s="722">
        <f t="shared" si="11"/>
        <v>5516600</v>
      </c>
      <c r="R27" s="725"/>
      <c r="S27" s="666" t="s">
        <v>122</v>
      </c>
      <c r="T27" s="665"/>
      <c r="U27" s="756">
        <f t="shared" si="8"/>
        <v>0</v>
      </c>
      <c r="W27" s="743" t="s">
        <v>904</v>
      </c>
      <c r="X27" s="722">
        <v>18909800</v>
      </c>
      <c r="Y27" s="722"/>
      <c r="Z27" s="746">
        <f t="shared" si="6"/>
        <v>18909800</v>
      </c>
      <c r="AB27" s="649" t="s">
        <v>122</v>
      </c>
      <c r="AC27" s="648"/>
      <c r="AD27" s="646">
        <f t="shared" si="9"/>
        <v>0</v>
      </c>
      <c r="AF27" s="2874"/>
      <c r="AG27" s="2875"/>
      <c r="AH27" s="2866"/>
      <c r="AI27" s="2922"/>
      <c r="AJ27" s="2922"/>
      <c r="AM27" s="2178"/>
      <c r="AP27" s="2874"/>
      <c r="AQ27" s="2922"/>
      <c r="AR27" s="2922"/>
      <c r="AS27" s="2922"/>
      <c r="AT27" s="2865"/>
      <c r="AV27" s="2882"/>
      <c r="AW27" s="2884"/>
      <c r="AX27" s="2178"/>
    </row>
    <row r="28" spans="2:50">
      <c r="B28" s="666" t="s">
        <v>120</v>
      </c>
      <c r="C28" s="833">
        <f>IF($C$5=1,L28,IF($C$5=2,U28,IF($C$5=3,AD28,IF($C$5=4,AM28,AX30))))</f>
        <v>0</v>
      </c>
      <c r="E28" s="743" t="s">
        <v>9</v>
      </c>
      <c r="F28" s="2163">
        <v>51457100</v>
      </c>
      <c r="G28" s="745"/>
      <c r="H28" s="722">
        <f t="shared" si="10"/>
        <v>51457100</v>
      </c>
      <c r="I28" s="2163"/>
      <c r="J28" s="666" t="s">
        <v>120</v>
      </c>
      <c r="K28" s="665"/>
      <c r="L28" s="756">
        <f t="shared" si="7"/>
        <v>0</v>
      </c>
      <c r="M28" s="752"/>
      <c r="N28" s="743" t="s">
        <v>9</v>
      </c>
      <c r="O28" s="744">
        <v>23579700</v>
      </c>
      <c r="P28" s="745"/>
      <c r="Q28" s="722">
        <f t="shared" si="11"/>
        <v>23579700</v>
      </c>
      <c r="R28" s="725"/>
      <c r="S28" s="666" t="s">
        <v>120</v>
      </c>
      <c r="T28" s="665"/>
      <c r="U28" s="756">
        <f t="shared" si="8"/>
        <v>0</v>
      </c>
      <c r="W28" s="743" t="s">
        <v>9</v>
      </c>
      <c r="X28" s="722">
        <v>71096000</v>
      </c>
      <c r="Y28" s="722"/>
      <c r="Z28" s="746">
        <f t="shared" si="6"/>
        <v>71096000</v>
      </c>
      <c r="AB28" s="649" t="s">
        <v>120</v>
      </c>
      <c r="AC28" s="648"/>
      <c r="AD28" s="646">
        <f t="shared" si="9"/>
        <v>0</v>
      </c>
      <c r="AF28" s="2874"/>
      <c r="AG28" s="2875"/>
      <c r="AH28" s="2866"/>
      <c r="AI28" s="2922"/>
      <c r="AJ28" s="2922"/>
      <c r="AM28" s="2178"/>
      <c r="AP28" s="2874"/>
      <c r="AQ28" s="2922"/>
      <c r="AR28" s="2922"/>
      <c r="AS28" s="2922"/>
      <c r="AT28" s="2865"/>
      <c r="AV28" s="2882"/>
      <c r="AW28" s="1400"/>
      <c r="AX28" s="2178"/>
    </row>
    <row r="29" spans="2:50">
      <c r="B29" s="666" t="s">
        <v>711</v>
      </c>
      <c r="C29" s="833">
        <f>IF($C$5=1,L29,IF($C$5=2,U29,IF($C$5=3,AD29,IF($C$5=4,AM29,AX31))))</f>
        <v>0</v>
      </c>
      <c r="E29" s="743" t="s">
        <v>1000</v>
      </c>
      <c r="F29" s="2163">
        <v>68780900</v>
      </c>
      <c r="G29" s="745"/>
      <c r="H29" s="722">
        <f t="shared" si="10"/>
        <v>68780900</v>
      </c>
      <c r="I29" s="2163"/>
      <c r="J29" s="666" t="s">
        <v>711</v>
      </c>
      <c r="K29" s="665"/>
      <c r="L29" s="756">
        <f t="shared" si="7"/>
        <v>0</v>
      </c>
      <c r="M29" s="752"/>
      <c r="N29" s="743" t="s">
        <v>1000</v>
      </c>
      <c r="O29" s="744">
        <v>46969600</v>
      </c>
      <c r="P29" s="745"/>
      <c r="Q29" s="722">
        <f t="shared" si="11"/>
        <v>46969600</v>
      </c>
      <c r="R29" s="725"/>
      <c r="S29" s="666" t="s">
        <v>711</v>
      </c>
      <c r="T29" s="665"/>
      <c r="U29" s="756">
        <f t="shared" si="8"/>
        <v>0</v>
      </c>
      <c r="W29" s="743" t="s">
        <v>1000</v>
      </c>
      <c r="X29" s="722">
        <v>115364200</v>
      </c>
      <c r="Y29" s="722"/>
      <c r="Z29" s="746">
        <f t="shared" si="6"/>
        <v>115364200</v>
      </c>
      <c r="AB29" s="649" t="s">
        <v>711</v>
      </c>
      <c r="AC29" s="648"/>
      <c r="AD29" s="646">
        <f t="shared" si="9"/>
        <v>0</v>
      </c>
      <c r="AF29" s="2874"/>
      <c r="AG29" s="2875"/>
      <c r="AH29" s="2866"/>
      <c r="AI29" s="2922"/>
      <c r="AJ29" s="2922"/>
      <c r="AM29" s="2178"/>
      <c r="AP29" s="2874"/>
      <c r="AQ29" s="2922"/>
      <c r="AR29" s="2922"/>
      <c r="AS29" s="2922"/>
      <c r="AT29" s="2865"/>
      <c r="AV29" s="1400"/>
      <c r="AW29" s="1400"/>
      <c r="AX29" s="2178"/>
    </row>
    <row r="30" spans="2:50" ht="15" thickBot="1">
      <c r="B30" s="666" t="s">
        <v>907</v>
      </c>
      <c r="C30" s="833">
        <f>SUM(C23:C29)</f>
        <v>0</v>
      </c>
      <c r="E30" s="743" t="s">
        <v>1001</v>
      </c>
      <c r="F30" s="2163">
        <f>SUM(F22:F29)</f>
        <v>785354812.24489796</v>
      </c>
      <c r="G30" s="745"/>
      <c r="H30" s="722">
        <f t="shared" si="10"/>
        <v>785354812.24489796</v>
      </c>
      <c r="I30" s="2163"/>
      <c r="J30" s="666" t="s">
        <v>907</v>
      </c>
      <c r="K30" s="665"/>
      <c r="L30" s="756">
        <f>SUM(L23:L29)</f>
        <v>0</v>
      </c>
      <c r="M30" s="752"/>
      <c r="N30" s="757" t="s">
        <v>1001</v>
      </c>
      <c r="O30" s="908">
        <f>SUM(O13:O29)</f>
        <v>482664006.12244898</v>
      </c>
      <c r="P30" s="758"/>
      <c r="Q30" s="722">
        <f t="shared" si="11"/>
        <v>482664006.12244898</v>
      </c>
      <c r="R30" s="725"/>
      <c r="S30" s="666" t="s">
        <v>907</v>
      </c>
      <c r="T30" s="665"/>
      <c r="U30" s="756">
        <f>SUM(U23:U29)</f>
        <v>0</v>
      </c>
      <c r="W30" s="759" t="s">
        <v>1001</v>
      </c>
      <c r="X30" s="760">
        <f>SUM(X13:X29)</f>
        <v>1113476718.367347</v>
      </c>
      <c r="Y30" s="760"/>
      <c r="Z30" s="746">
        <f t="shared" si="6"/>
        <v>1113476718.367347</v>
      </c>
      <c r="AB30" s="649" t="s">
        <v>907</v>
      </c>
      <c r="AC30" s="648"/>
      <c r="AD30" s="646">
        <f>SUM(AD23:AD29)</f>
        <v>0</v>
      </c>
      <c r="AF30" s="2874"/>
      <c r="AG30" s="2941"/>
      <c r="AH30" s="2941"/>
      <c r="AI30" s="2922"/>
      <c r="AJ30" s="2922"/>
      <c r="AM30" s="2178"/>
      <c r="AP30" s="2874"/>
      <c r="AQ30" s="2922"/>
      <c r="AR30" s="2922"/>
      <c r="AS30" s="2922"/>
      <c r="AT30" s="2922"/>
      <c r="AV30" s="1400"/>
      <c r="AW30" s="1400"/>
      <c r="AX30" s="2178"/>
    </row>
    <row r="31" spans="2:50" ht="15" thickBot="1">
      <c r="B31" s="667" t="s">
        <v>1004</v>
      </c>
      <c r="C31" s="834">
        <f>IF($C$5=1,L31,IF($C$5=2,U31,IF($C$5=3,AD31,IF($C$5=4,AM31,AX33))))</f>
        <v>0</v>
      </c>
      <c r="E31" s="905" t="s">
        <v>120</v>
      </c>
      <c r="F31" s="906">
        <v>57796800</v>
      </c>
      <c r="G31" s="840"/>
      <c r="H31" s="761">
        <f t="shared" si="10"/>
        <v>57796800</v>
      </c>
      <c r="I31" s="2163"/>
      <c r="J31" s="667" t="s">
        <v>1004</v>
      </c>
      <c r="K31" s="668"/>
      <c r="L31" s="764">
        <f>IF($C$3=2,G43,0)</f>
        <v>0</v>
      </c>
      <c r="M31" s="752"/>
      <c r="N31" s="762" t="s">
        <v>120</v>
      </c>
      <c r="O31" s="909">
        <v>35647400</v>
      </c>
      <c r="P31" s="763"/>
      <c r="Q31" s="721">
        <f t="shared" si="11"/>
        <v>35647400</v>
      </c>
      <c r="R31" s="725"/>
      <c r="S31" s="667" t="s">
        <v>1004</v>
      </c>
      <c r="T31" s="668"/>
      <c r="U31" s="756">
        <f t="shared" si="8"/>
        <v>0</v>
      </c>
      <c r="W31" s="765" t="s">
        <v>120</v>
      </c>
      <c r="X31" s="766">
        <v>81853600</v>
      </c>
      <c r="Y31" s="766"/>
      <c r="Z31" s="767">
        <f t="shared" si="6"/>
        <v>81853600</v>
      </c>
      <c r="AB31" s="650" t="s">
        <v>1004</v>
      </c>
      <c r="AC31" s="651"/>
      <c r="AD31" s="646">
        <f t="shared" si="9"/>
        <v>0</v>
      </c>
      <c r="AF31" s="2926"/>
      <c r="AG31" s="2941"/>
      <c r="AH31" s="2942"/>
      <c r="AI31" s="2922"/>
      <c r="AJ31" s="2922"/>
      <c r="AM31" s="2178"/>
      <c r="AP31" s="2926"/>
      <c r="AQ31" s="2922"/>
      <c r="AR31" s="2922"/>
      <c r="AS31" s="2922"/>
      <c r="AT31" s="2865"/>
      <c r="AV31" s="1400"/>
      <c r="AW31" s="1400"/>
      <c r="AX31" s="2178"/>
    </row>
    <row r="32" spans="2:50" ht="15" thickBot="1">
      <c r="B32" s="669" t="s">
        <v>655</v>
      </c>
      <c r="C32" s="835">
        <f>C30+C31</f>
        <v>0</v>
      </c>
      <c r="E32" s="838" t="s">
        <v>1002</v>
      </c>
      <c r="F32" s="907">
        <f>F30+F31</f>
        <v>843151612.24489796</v>
      </c>
      <c r="G32" s="907">
        <f>G30+G31</f>
        <v>0</v>
      </c>
      <c r="H32" s="839">
        <f>H30+H31</f>
        <v>843151612.24489796</v>
      </c>
      <c r="I32" s="2163">
        <f>I30+I31</f>
        <v>0</v>
      </c>
      <c r="J32" s="669" t="s">
        <v>1010</v>
      </c>
      <c r="K32" s="670"/>
      <c r="L32" s="769">
        <f>L30+L31</f>
        <v>0</v>
      </c>
      <c r="M32" s="752"/>
      <c r="N32" s="808" t="s">
        <v>1002</v>
      </c>
      <c r="O32" s="910">
        <f>O30+O31</f>
        <v>518311406.12244898</v>
      </c>
      <c r="P32" s="809"/>
      <c r="Q32" s="810">
        <f>Q30+Q31</f>
        <v>518311406.12244898</v>
      </c>
      <c r="R32" s="725"/>
      <c r="S32" s="669" t="s">
        <v>1010</v>
      </c>
      <c r="T32" s="670"/>
      <c r="U32" s="769">
        <f>U30+U31</f>
        <v>0</v>
      </c>
      <c r="W32" s="653" t="s">
        <v>1002</v>
      </c>
      <c r="X32" s="770">
        <f>X30+X31</f>
        <v>1195330318.367347</v>
      </c>
      <c r="Y32" s="770"/>
      <c r="Z32" s="771">
        <f>Z30+Z31</f>
        <v>1195330318.367347</v>
      </c>
      <c r="AB32" s="653" t="s">
        <v>71</v>
      </c>
      <c r="AC32" s="638"/>
      <c r="AD32" s="654">
        <f>AD30+AD31</f>
        <v>0</v>
      </c>
      <c r="AF32" s="2874"/>
      <c r="AG32" s="2941"/>
      <c r="AH32" s="2942"/>
      <c r="AI32" s="2922"/>
      <c r="AJ32" s="2922"/>
      <c r="AM32" s="2178"/>
      <c r="AP32" s="2874"/>
      <c r="AQ32" s="2922"/>
      <c r="AR32" s="2922"/>
      <c r="AS32" s="2922"/>
      <c r="AT32" s="2922"/>
      <c r="AV32" s="1400"/>
      <c r="AW32" s="1400"/>
      <c r="AX32" s="2178"/>
    </row>
    <row r="33" spans="2:50" ht="15" thickBot="1">
      <c r="B33" s="741"/>
      <c r="C33" s="775"/>
      <c r="E33" s="773"/>
      <c r="F33" s="717"/>
      <c r="G33" s="717"/>
      <c r="H33" s="774"/>
      <c r="I33" s="2163"/>
      <c r="J33" s="741"/>
      <c r="K33" s="741"/>
      <c r="L33" s="775"/>
      <c r="M33" s="776"/>
      <c r="N33" s="811"/>
      <c r="O33" s="790"/>
      <c r="P33" s="790"/>
      <c r="Q33" s="812"/>
      <c r="R33" s="776"/>
      <c r="S33" s="822"/>
      <c r="T33" s="741"/>
      <c r="U33" s="775"/>
      <c r="W33" s="777"/>
      <c r="X33" s="734"/>
      <c r="Y33" s="717"/>
      <c r="Z33" s="737"/>
      <c r="AF33" s="2885"/>
      <c r="AG33" s="2865"/>
      <c r="AH33" s="2865"/>
      <c r="AJ33" s="2922"/>
      <c r="AK33" s="1301"/>
      <c r="AL33" s="1301"/>
      <c r="AM33" s="1301"/>
      <c r="AP33" s="2927"/>
      <c r="AQ33" s="2865"/>
      <c r="AR33" s="2865"/>
      <c r="AS33" s="2865"/>
      <c r="AT33" s="2865"/>
      <c r="AV33" s="1400"/>
      <c r="AW33" s="1400"/>
      <c r="AX33" s="2178"/>
    </row>
    <row r="34" spans="2:50" ht="15" thickBot="1">
      <c r="B34" s="827" t="s">
        <v>1039</v>
      </c>
      <c r="C34" s="724"/>
      <c r="E34" s="817"/>
      <c r="F34" s="818" t="s">
        <v>995</v>
      </c>
      <c r="G34" s="819"/>
      <c r="H34" s="818" t="s">
        <v>71</v>
      </c>
      <c r="I34" s="2163"/>
      <c r="J34" s="753" t="s">
        <v>1011</v>
      </c>
      <c r="K34" s="723"/>
      <c r="L34" s="724" t="s">
        <v>991</v>
      </c>
      <c r="M34" s="778"/>
      <c r="N34" s="814"/>
      <c r="O34" s="815" t="s">
        <v>995</v>
      </c>
      <c r="P34" s="816" t="s">
        <v>994</v>
      </c>
      <c r="Q34" s="815" t="s">
        <v>71</v>
      </c>
      <c r="R34" s="778"/>
      <c r="S34" s="753" t="s">
        <v>1011</v>
      </c>
      <c r="T34" s="723"/>
      <c r="U34" s="724" t="s">
        <v>991</v>
      </c>
      <c r="W34" s="779"/>
      <c r="X34" s="697" t="s">
        <v>995</v>
      </c>
      <c r="Y34" s="715" t="s">
        <v>994</v>
      </c>
      <c r="Z34" s="727" t="s">
        <v>71</v>
      </c>
      <c r="AB34" s="659" t="s">
        <v>1011</v>
      </c>
      <c r="AC34" s="660"/>
      <c r="AD34" s="661" t="s">
        <v>991</v>
      </c>
      <c r="AG34" s="2869"/>
      <c r="AH34" s="2869"/>
      <c r="AI34" s="2869"/>
      <c r="AJ34" s="2922"/>
      <c r="AK34" s="2880"/>
      <c r="AL34" s="2880"/>
      <c r="AM34" s="2877"/>
      <c r="AP34" s="2927"/>
      <c r="AQ34" s="2865"/>
      <c r="AR34" s="2865"/>
      <c r="AS34" s="2865"/>
      <c r="AT34" s="2865"/>
      <c r="AV34" s="1400"/>
      <c r="AW34" s="1400"/>
      <c r="AX34" s="2178"/>
    </row>
    <row r="35" spans="2:50">
      <c r="B35" s="662" t="s">
        <v>1938</v>
      </c>
      <c r="C35" s="833">
        <f>IF($C$5=1,0,IF($C$5=2,0,IF($C$5=3,0,IF($C$5=4,0,AX37))))</f>
        <v>0</v>
      </c>
      <c r="E35" s="780" t="s">
        <v>1003</v>
      </c>
      <c r="F35" s="640">
        <f>F21</f>
        <v>5501200</v>
      </c>
      <c r="G35" s="781">
        <f>G21</f>
        <v>0</v>
      </c>
      <c r="H35" s="782">
        <f>H21</f>
        <v>5501200</v>
      </c>
      <c r="I35" s="2163"/>
      <c r="J35" s="662" t="s">
        <v>1003</v>
      </c>
      <c r="K35" s="663"/>
      <c r="L35" s="756">
        <f>L11+L23</f>
        <v>5501200</v>
      </c>
      <c r="M35" s="752"/>
      <c r="N35" s="780" t="s">
        <v>1003</v>
      </c>
      <c r="O35" s="640">
        <f>O22</f>
        <v>4687000</v>
      </c>
      <c r="P35" s="781">
        <f>P22</f>
        <v>0</v>
      </c>
      <c r="Q35" s="782">
        <f>Q21</f>
        <v>32669306.122448981</v>
      </c>
      <c r="R35" s="752"/>
      <c r="S35" s="662" t="s">
        <v>1003</v>
      </c>
      <c r="T35" s="663"/>
      <c r="U35" s="756">
        <f>U11+U23</f>
        <v>4687000</v>
      </c>
      <c r="W35" s="780" t="s">
        <v>1003</v>
      </c>
      <c r="X35" s="783">
        <f>X22</f>
        <v>8043600</v>
      </c>
      <c r="Y35" s="784">
        <f>Y22</f>
        <v>0</v>
      </c>
      <c r="Z35" s="785">
        <f>X35+Y35</f>
        <v>8043600</v>
      </c>
      <c r="AB35" s="662" t="s">
        <v>1003</v>
      </c>
      <c r="AC35" s="663"/>
      <c r="AD35" s="664">
        <f>AD11+AD23</f>
        <v>8043600</v>
      </c>
      <c r="AF35" s="2221"/>
      <c r="AG35" s="2922"/>
      <c r="AH35" s="2922"/>
      <c r="AI35" s="2922"/>
      <c r="AK35" s="2882"/>
      <c r="AL35" s="2883"/>
      <c r="AM35" s="2178"/>
      <c r="AQ35" s="2869"/>
      <c r="AR35" s="2869"/>
      <c r="AS35" s="2869"/>
      <c r="AT35" s="2928"/>
    </row>
    <row r="36" spans="2:50">
      <c r="B36" s="662" t="s">
        <v>891</v>
      </c>
      <c r="C36" s="833">
        <f t="shared" ref="C36:C43" si="12">IF($C$5=1,0,IF($C$5=2,0,IF($C$5=3,0,IF($C$5=4,0,AX38))))</f>
        <v>0</v>
      </c>
      <c r="E36" s="786" t="s">
        <v>1028</v>
      </c>
      <c r="F36" s="766">
        <f>SUM(F12:F19)</f>
        <v>503887300</v>
      </c>
      <c r="G36" s="787">
        <f>SUM(G12:G19)</f>
        <v>0</v>
      </c>
      <c r="H36" s="761">
        <f>SUM(H12:H19)</f>
        <v>503887300</v>
      </c>
      <c r="I36" s="2163"/>
      <c r="J36" s="662" t="s">
        <v>891</v>
      </c>
      <c r="K36" s="647"/>
      <c r="L36" s="756">
        <f t="shared" ref="L36:L43" si="13">L12+L24</f>
        <v>503887300</v>
      </c>
      <c r="M36" s="752"/>
      <c r="N36" s="786" t="s">
        <v>1028</v>
      </c>
      <c r="O36" s="766">
        <f>SUM(O13:O20)</f>
        <v>311119100</v>
      </c>
      <c r="P36" s="787">
        <f>SUM(P13:P20)</f>
        <v>0</v>
      </c>
      <c r="Q36" s="761">
        <f>SUM(Q12:Q19)</f>
        <v>306405600</v>
      </c>
      <c r="R36" s="752"/>
      <c r="S36" s="662" t="s">
        <v>891</v>
      </c>
      <c r="T36" s="647"/>
      <c r="U36" s="756">
        <f t="shared" ref="U36:U43" si="14">U12+U24</f>
        <v>311119100</v>
      </c>
      <c r="W36" s="786" t="s">
        <v>891</v>
      </c>
      <c r="X36" s="788">
        <f>SUM(X13:X20)</f>
        <v>728519700</v>
      </c>
      <c r="Y36" s="789">
        <f>SUM(Y13:Y20)</f>
        <v>0</v>
      </c>
      <c r="Z36" s="785">
        <f t="shared" ref="Z36:Z43" si="15">X36+Y36</f>
        <v>728519700</v>
      </c>
      <c r="AB36" s="662" t="s">
        <v>891</v>
      </c>
      <c r="AC36" s="647"/>
      <c r="AD36" s="664">
        <f>AD12+AD24</f>
        <v>728519700</v>
      </c>
      <c r="AF36" s="2221"/>
      <c r="AG36" s="2922"/>
      <c r="AH36" s="2922"/>
      <c r="AI36" s="2922"/>
      <c r="AJ36" s="2869"/>
      <c r="AK36" s="2882"/>
      <c r="AL36" s="2884"/>
      <c r="AM36" s="2178"/>
      <c r="AP36" s="2221"/>
      <c r="AQ36" s="2334"/>
      <c r="AR36" s="2334"/>
      <c r="AS36" s="2334"/>
      <c r="AT36" s="2865"/>
      <c r="AV36" s="2880"/>
      <c r="AW36" s="2880"/>
      <c r="AX36" s="2877"/>
    </row>
    <row r="37" spans="2:50">
      <c r="B37" s="662" t="s">
        <v>845</v>
      </c>
      <c r="C37" s="833">
        <f t="shared" si="12"/>
        <v>0</v>
      </c>
      <c r="E37" s="786" t="s">
        <v>845</v>
      </c>
      <c r="F37" s="766">
        <f>F20</f>
        <v>58591512.244897962</v>
      </c>
      <c r="G37" s="787">
        <f>G20</f>
        <v>0</v>
      </c>
      <c r="H37" s="761">
        <f>H20</f>
        <v>58591512.244897962</v>
      </c>
      <c r="I37" s="2163"/>
      <c r="J37" s="662" t="s">
        <v>845</v>
      </c>
      <c r="K37" s="647"/>
      <c r="L37" s="756">
        <f t="shared" si="13"/>
        <v>58591512.244897962</v>
      </c>
      <c r="M37" s="752"/>
      <c r="N37" s="786" t="s">
        <v>845</v>
      </c>
      <c r="O37" s="766">
        <f>O21</f>
        <v>32669306.122448981</v>
      </c>
      <c r="P37" s="787">
        <f>P21</f>
        <v>0</v>
      </c>
      <c r="Q37" s="761">
        <f>Q20</f>
        <v>4713500</v>
      </c>
      <c r="R37" s="752"/>
      <c r="S37" s="662" t="s">
        <v>845</v>
      </c>
      <c r="T37" s="647"/>
      <c r="U37" s="756">
        <f t="shared" si="14"/>
        <v>32669306.122448981</v>
      </c>
      <c r="W37" s="786" t="s">
        <v>845</v>
      </c>
      <c r="X37" s="788">
        <f>X21</f>
        <v>72876518.367346942</v>
      </c>
      <c r="Y37" s="789">
        <f>Y21</f>
        <v>0</v>
      </c>
      <c r="Z37" s="785">
        <f t="shared" si="15"/>
        <v>72876518.367346942</v>
      </c>
      <c r="AB37" s="662" t="s">
        <v>845</v>
      </c>
      <c r="AC37" s="647"/>
      <c r="AD37" s="664">
        <f t="shared" ref="AD37:AD43" si="16">AD13+AD25</f>
        <v>72876518.367346942</v>
      </c>
      <c r="AF37" s="2221"/>
      <c r="AG37" s="2922"/>
      <c r="AH37" s="2922"/>
      <c r="AI37" s="2922"/>
      <c r="AJ37" s="2922"/>
      <c r="AK37" s="2882"/>
      <c r="AL37" s="2884"/>
      <c r="AM37" s="2178"/>
      <c r="AP37" s="2221"/>
      <c r="AQ37" s="740"/>
      <c r="AR37" s="740"/>
      <c r="AS37" s="740"/>
      <c r="AT37" s="2865"/>
      <c r="AV37" s="2882"/>
      <c r="AW37" s="2883"/>
      <c r="AX37" s="2178"/>
    </row>
    <row r="38" spans="2:50">
      <c r="B38" s="662" t="s">
        <v>119</v>
      </c>
      <c r="C38" s="833">
        <f t="shared" si="12"/>
        <v>0</v>
      </c>
      <c r="E38" s="786" t="s">
        <v>119</v>
      </c>
      <c r="F38" s="766">
        <f>F29</f>
        <v>68780900</v>
      </c>
      <c r="G38" s="787">
        <f>G29</f>
        <v>0</v>
      </c>
      <c r="H38" s="761">
        <f>H29</f>
        <v>68780900</v>
      </c>
      <c r="I38" s="2163"/>
      <c r="J38" s="662" t="s">
        <v>119</v>
      </c>
      <c r="K38" s="665"/>
      <c r="L38" s="756">
        <f t="shared" si="13"/>
        <v>68780900</v>
      </c>
      <c r="M38" s="752"/>
      <c r="N38" s="786" t="s">
        <v>119</v>
      </c>
      <c r="O38" s="766">
        <f>O29</f>
        <v>46969600</v>
      </c>
      <c r="P38" s="787">
        <f>P29</f>
        <v>0</v>
      </c>
      <c r="Q38" s="761">
        <f>Q28</f>
        <v>23579700</v>
      </c>
      <c r="R38" s="752"/>
      <c r="S38" s="662" t="s">
        <v>119</v>
      </c>
      <c r="T38" s="665"/>
      <c r="U38" s="756">
        <f t="shared" si="14"/>
        <v>46969600</v>
      </c>
      <c r="W38" s="786" t="s">
        <v>119</v>
      </c>
      <c r="X38" s="788">
        <f>X29</f>
        <v>115364200</v>
      </c>
      <c r="Y38" s="789">
        <f>Y29</f>
        <v>0</v>
      </c>
      <c r="Z38" s="785">
        <f t="shared" si="15"/>
        <v>115364200</v>
      </c>
      <c r="AB38" s="662" t="s">
        <v>119</v>
      </c>
      <c r="AC38" s="665"/>
      <c r="AD38" s="664">
        <f t="shared" si="16"/>
        <v>115364200</v>
      </c>
      <c r="AF38" s="2221"/>
      <c r="AG38" s="2922"/>
      <c r="AH38" s="2922"/>
      <c r="AI38" s="2922"/>
      <c r="AJ38" s="2922"/>
      <c r="AK38" s="2882"/>
      <c r="AM38" s="2178"/>
      <c r="AP38" s="2221"/>
      <c r="AQ38" s="2334"/>
      <c r="AR38" s="2334"/>
      <c r="AS38" s="2334"/>
      <c r="AT38" s="2865"/>
      <c r="AV38" s="2882"/>
      <c r="AW38" s="2884"/>
      <c r="AX38" s="2178"/>
    </row>
    <row r="39" spans="2:50">
      <c r="B39" s="666" t="s">
        <v>122</v>
      </c>
      <c r="C39" s="833">
        <f t="shared" si="12"/>
        <v>0</v>
      </c>
      <c r="E39" s="786" t="s">
        <v>122</v>
      </c>
      <c r="F39" s="766">
        <f>SUM(F24:F27)</f>
        <v>97136800</v>
      </c>
      <c r="G39" s="787">
        <f>SUM(G24:G27)</f>
        <v>0</v>
      </c>
      <c r="H39" s="761">
        <f>SUM(H24:H27)</f>
        <v>97136800</v>
      </c>
      <c r="I39" s="2163"/>
      <c r="J39" s="666" t="s">
        <v>122</v>
      </c>
      <c r="K39" s="665"/>
      <c r="L39" s="756">
        <f t="shared" si="13"/>
        <v>97136800</v>
      </c>
      <c r="M39" s="752"/>
      <c r="N39" s="786" t="s">
        <v>122</v>
      </c>
      <c r="O39" s="766">
        <f>SUM(O24:O27)</f>
        <v>63639300</v>
      </c>
      <c r="P39" s="787">
        <f>SUM(P24:P27)</f>
        <v>0</v>
      </c>
      <c r="Q39" s="761">
        <f>SUM(Q23:Q26)</f>
        <v>58122700</v>
      </c>
      <c r="R39" s="752"/>
      <c r="S39" s="666" t="s">
        <v>122</v>
      </c>
      <c r="T39" s="665"/>
      <c r="U39" s="756">
        <f t="shared" si="14"/>
        <v>63639300</v>
      </c>
      <c r="W39" s="786" t="s">
        <v>122</v>
      </c>
      <c r="X39" s="788">
        <f>SUM(X24:X27)</f>
        <v>117576700</v>
      </c>
      <c r="Y39" s="789">
        <f>SUM(Y24:Y27)</f>
        <v>0</v>
      </c>
      <c r="Z39" s="785">
        <f t="shared" si="15"/>
        <v>117576700</v>
      </c>
      <c r="AB39" s="666" t="s">
        <v>122</v>
      </c>
      <c r="AC39" s="665"/>
      <c r="AD39" s="664">
        <f t="shared" si="16"/>
        <v>117576700</v>
      </c>
      <c r="AF39" s="2221"/>
      <c r="AG39" s="2922"/>
      <c r="AH39" s="2922"/>
      <c r="AI39" s="2922"/>
      <c r="AJ39" s="2922"/>
      <c r="AM39" s="2178"/>
      <c r="AP39" s="2221"/>
      <c r="AQ39" s="2334"/>
      <c r="AR39" s="2334"/>
      <c r="AS39" s="2334"/>
      <c r="AT39" s="2865"/>
      <c r="AV39" s="2882"/>
      <c r="AW39" s="2884"/>
      <c r="AX39" s="2178"/>
    </row>
    <row r="40" spans="2:50">
      <c r="B40" s="666" t="s">
        <v>120</v>
      </c>
      <c r="C40" s="833">
        <f t="shared" si="12"/>
        <v>0</v>
      </c>
      <c r="E40" s="786" t="s">
        <v>120</v>
      </c>
      <c r="F40" s="766">
        <f>F31</f>
        <v>57796800</v>
      </c>
      <c r="G40" s="787">
        <f>G31</f>
        <v>0</v>
      </c>
      <c r="H40" s="761">
        <f>H31</f>
        <v>57796800</v>
      </c>
      <c r="I40" s="2163"/>
      <c r="J40" s="666" t="s">
        <v>120</v>
      </c>
      <c r="K40" s="665"/>
      <c r="L40" s="756">
        <f t="shared" si="13"/>
        <v>57796800</v>
      </c>
      <c r="M40" s="752"/>
      <c r="N40" s="786" t="s">
        <v>120</v>
      </c>
      <c r="O40" s="766">
        <f>O31</f>
        <v>35647400</v>
      </c>
      <c r="P40" s="787">
        <f>P31</f>
        <v>0</v>
      </c>
      <c r="Q40" s="761">
        <f>Q30</f>
        <v>482664006.12244898</v>
      </c>
      <c r="R40" s="752"/>
      <c r="S40" s="666" t="s">
        <v>120</v>
      </c>
      <c r="T40" s="665"/>
      <c r="U40" s="756">
        <f t="shared" si="14"/>
        <v>35647400</v>
      </c>
      <c r="W40" s="786" t="s">
        <v>120</v>
      </c>
      <c r="X40" s="790">
        <f>X31</f>
        <v>81853600</v>
      </c>
      <c r="Y40" s="766">
        <f>Y31</f>
        <v>0</v>
      </c>
      <c r="Z40" s="785">
        <f t="shared" si="15"/>
        <v>81853600</v>
      </c>
      <c r="AB40" s="666" t="s">
        <v>120</v>
      </c>
      <c r="AC40" s="665"/>
      <c r="AD40" s="664">
        <f t="shared" si="16"/>
        <v>81853600</v>
      </c>
      <c r="AF40" s="2221"/>
      <c r="AG40" s="2922"/>
      <c r="AH40" s="2922"/>
      <c r="AI40" s="2922"/>
      <c r="AJ40" s="2922"/>
      <c r="AM40" s="2178"/>
      <c r="AP40" s="2221"/>
      <c r="AQ40" s="2334"/>
      <c r="AR40" s="2334"/>
      <c r="AS40" s="2334"/>
      <c r="AT40" s="2865"/>
      <c r="AV40" s="2882"/>
      <c r="AW40" s="1400"/>
      <c r="AX40" s="2178"/>
    </row>
    <row r="41" spans="2:50">
      <c r="B41" s="666" t="s">
        <v>711</v>
      </c>
      <c r="C41" s="833">
        <f t="shared" si="12"/>
        <v>0</v>
      </c>
      <c r="E41" s="791" t="s">
        <v>711</v>
      </c>
      <c r="F41" s="766">
        <f>F28</f>
        <v>51457100</v>
      </c>
      <c r="G41" s="787">
        <f>G28</f>
        <v>0</v>
      </c>
      <c r="H41" s="761">
        <f>H28</f>
        <v>51457100</v>
      </c>
      <c r="I41" s="2163"/>
      <c r="J41" s="666" t="s">
        <v>711</v>
      </c>
      <c r="K41" s="665"/>
      <c r="L41" s="756">
        <f t="shared" si="13"/>
        <v>51457100</v>
      </c>
      <c r="M41" s="752"/>
      <c r="N41" s="791" t="s">
        <v>711</v>
      </c>
      <c r="O41" s="766">
        <f>O28</f>
        <v>23579700</v>
      </c>
      <c r="P41" s="787">
        <f>P28</f>
        <v>0</v>
      </c>
      <c r="Q41" s="761">
        <f>Q27</f>
        <v>5516600</v>
      </c>
      <c r="R41" s="752"/>
      <c r="S41" s="666" t="s">
        <v>711</v>
      </c>
      <c r="T41" s="665"/>
      <c r="U41" s="756">
        <f t="shared" si="14"/>
        <v>23579700</v>
      </c>
      <c r="W41" s="791" t="s">
        <v>711</v>
      </c>
      <c r="X41" s="790">
        <f>X28</f>
        <v>71096000</v>
      </c>
      <c r="Y41" s="766">
        <f>Y28</f>
        <v>0</v>
      </c>
      <c r="Z41" s="785">
        <f t="shared" si="15"/>
        <v>71096000</v>
      </c>
      <c r="AB41" s="666" t="s">
        <v>711</v>
      </c>
      <c r="AC41" s="665"/>
      <c r="AD41" s="664">
        <f t="shared" si="16"/>
        <v>71096000</v>
      </c>
      <c r="AF41" s="2870"/>
      <c r="AG41" s="2922"/>
      <c r="AH41" s="2922"/>
      <c r="AI41" s="2922"/>
      <c r="AJ41" s="2922"/>
      <c r="AM41" s="2178"/>
      <c r="AP41" s="2221"/>
      <c r="AQ41" s="2334"/>
      <c r="AR41" s="2334"/>
      <c r="AS41" s="2334"/>
      <c r="AT41" s="2865"/>
      <c r="AV41" s="1400"/>
      <c r="AW41" s="1400"/>
      <c r="AX41" s="2178"/>
    </row>
    <row r="42" spans="2:50">
      <c r="B42" s="666" t="s">
        <v>907</v>
      </c>
      <c r="C42" s="833">
        <f>SUM(C35:C41)</f>
        <v>0</v>
      </c>
      <c r="E42" s="791" t="s">
        <v>907</v>
      </c>
      <c r="F42" s="766">
        <f>SUM(F35:F41)</f>
        <v>843151612.24489796</v>
      </c>
      <c r="G42" s="787">
        <f>SUM(G35:G41)</f>
        <v>0</v>
      </c>
      <c r="H42" s="761">
        <f>SUM(H35:H41)</f>
        <v>843151612.24489796</v>
      </c>
      <c r="I42" s="2163"/>
      <c r="J42" s="666" t="s">
        <v>907</v>
      </c>
      <c r="K42" s="665"/>
      <c r="L42" s="756">
        <f>SUM(L35:L41)</f>
        <v>843151612.24489796</v>
      </c>
      <c r="M42" s="752"/>
      <c r="N42" s="791" t="s">
        <v>907</v>
      </c>
      <c r="O42" s="766">
        <f>SUM(O35:O40)</f>
        <v>494731706.12244898</v>
      </c>
      <c r="P42" s="766">
        <f>SUM(P35:P40)</f>
        <v>0</v>
      </c>
      <c r="Q42" s="766">
        <f>SUM(Q35:Q40)</f>
        <v>908154812.24489796</v>
      </c>
      <c r="R42" s="752"/>
      <c r="S42" s="666" t="s">
        <v>907</v>
      </c>
      <c r="T42" s="665"/>
      <c r="U42" s="756">
        <f>SUM(U35:U41)</f>
        <v>518311406.12244898</v>
      </c>
      <c r="W42" s="791" t="s">
        <v>907</v>
      </c>
      <c r="X42" s="790">
        <f>SUM(X35:X41)</f>
        <v>1195330318.367347</v>
      </c>
      <c r="Y42" s="766">
        <f>SUM(Y35:Y41)</f>
        <v>0</v>
      </c>
      <c r="Z42" s="785">
        <f t="shared" si="15"/>
        <v>1195330318.367347</v>
      </c>
      <c r="AB42" s="666" t="s">
        <v>907</v>
      </c>
      <c r="AC42" s="665"/>
      <c r="AD42" s="664">
        <f t="shared" si="16"/>
        <v>1195330318.367347</v>
      </c>
      <c r="AF42" s="2870"/>
      <c r="AG42" s="2922"/>
      <c r="AH42" s="2922"/>
      <c r="AI42" s="2922"/>
      <c r="AJ42" s="2922"/>
      <c r="AM42" s="2178"/>
      <c r="AP42" s="2870"/>
      <c r="AQ42" s="2334"/>
      <c r="AR42" s="2334"/>
      <c r="AS42" s="2334"/>
      <c r="AT42" s="2865"/>
      <c r="AV42" s="1400"/>
      <c r="AW42" s="1400"/>
      <c r="AX42" s="2178"/>
    </row>
    <row r="43" spans="2:50" ht="15" thickBot="1">
      <c r="B43" s="667" t="s">
        <v>1004</v>
      </c>
      <c r="C43" s="834">
        <f t="shared" si="12"/>
        <v>0</v>
      </c>
      <c r="E43" s="786" t="s">
        <v>1004</v>
      </c>
      <c r="F43" s="766">
        <f>0.075*F42</f>
        <v>63236370.918367341</v>
      </c>
      <c r="G43" s="787">
        <f>0.075*G42</f>
        <v>0</v>
      </c>
      <c r="H43" s="761">
        <f>0.075*H42</f>
        <v>63236370.918367341</v>
      </c>
      <c r="I43" s="2163"/>
      <c r="J43" s="667" t="s">
        <v>1004</v>
      </c>
      <c r="K43" s="668"/>
      <c r="L43" s="756">
        <f t="shared" si="13"/>
        <v>63236370.918367341</v>
      </c>
      <c r="M43" s="752"/>
      <c r="N43" s="786" t="s">
        <v>1004</v>
      </c>
      <c r="O43" s="766">
        <f>0.075*O42</f>
        <v>37104877.959183671</v>
      </c>
      <c r="P43" s="787">
        <f>0.075*P42</f>
        <v>0</v>
      </c>
      <c r="Q43" s="761">
        <f>0.075*Q42</f>
        <v>68111610.918367341</v>
      </c>
      <c r="R43" s="752"/>
      <c r="S43" s="667" t="s">
        <v>1004</v>
      </c>
      <c r="T43" s="668"/>
      <c r="U43" s="756">
        <f t="shared" si="14"/>
        <v>37104877.959183671</v>
      </c>
      <c r="W43" s="792" t="s">
        <v>1004</v>
      </c>
      <c r="X43" s="793">
        <f>0.075*X42</f>
        <v>89649773.877551019</v>
      </c>
      <c r="Y43" s="794">
        <f>0.075*Y42</f>
        <v>0</v>
      </c>
      <c r="Z43" s="785">
        <f t="shared" si="15"/>
        <v>89649773.877551019</v>
      </c>
      <c r="AB43" s="667" t="s">
        <v>1004</v>
      </c>
      <c r="AC43" s="668"/>
      <c r="AD43" s="664">
        <f t="shared" si="16"/>
        <v>89649773.877551019</v>
      </c>
      <c r="AF43" s="2221"/>
      <c r="AG43" s="2922"/>
      <c r="AH43" s="2922"/>
      <c r="AI43" s="2922"/>
      <c r="AJ43" s="2922"/>
      <c r="AM43" s="2178"/>
      <c r="AP43" s="2870"/>
      <c r="AQ43" s="2334"/>
      <c r="AR43" s="2334"/>
      <c r="AS43" s="2334"/>
      <c r="AT43" s="2865"/>
      <c r="AV43" s="1400"/>
      <c r="AW43" s="1400"/>
      <c r="AX43" s="2178"/>
    </row>
    <row r="44" spans="2:50" ht="15" thickBot="1">
      <c r="B44" s="669" t="s">
        <v>655</v>
      </c>
      <c r="C44" s="835">
        <f>C43+C42</f>
        <v>0</v>
      </c>
      <c r="E44" s="795" t="s">
        <v>655</v>
      </c>
      <c r="F44" s="770">
        <f>F42+F43</f>
        <v>906387983.16326535</v>
      </c>
      <c r="G44" s="796">
        <f>G42+G43</f>
        <v>0</v>
      </c>
      <c r="H44" s="772">
        <f>H42+H43</f>
        <v>906387983.16326535</v>
      </c>
      <c r="I44" s="2163"/>
      <c r="J44" s="669" t="s">
        <v>1010</v>
      </c>
      <c r="K44" s="670"/>
      <c r="L44" s="798">
        <f>L42+L43</f>
        <v>906387983.16326535</v>
      </c>
      <c r="M44" s="752"/>
      <c r="N44" s="795" t="s">
        <v>655</v>
      </c>
      <c r="O44" s="770">
        <f>O42+O43</f>
        <v>531836584.08163267</v>
      </c>
      <c r="P44" s="770">
        <f>P42+P43</f>
        <v>0</v>
      </c>
      <c r="Q44" s="770">
        <f>Q42+Q43</f>
        <v>976266423.16326535</v>
      </c>
      <c r="R44" s="752"/>
      <c r="S44" s="820" t="s">
        <v>1010</v>
      </c>
      <c r="T44" s="807"/>
      <c r="U44" s="798">
        <f>U42+U43</f>
        <v>555416284.08163261</v>
      </c>
      <c r="W44" s="799" t="s">
        <v>655</v>
      </c>
      <c r="X44" s="800">
        <f>X42+X43</f>
        <v>1284980092.2448981</v>
      </c>
      <c r="Y44" s="800">
        <f>Y42+Y43</f>
        <v>0</v>
      </c>
      <c r="Z44" s="801">
        <f>Z42+Z43</f>
        <v>1284980092.2448981</v>
      </c>
      <c r="AB44" s="669" t="s">
        <v>1010</v>
      </c>
      <c r="AC44" s="670"/>
      <c r="AD44" s="671">
        <f>AD42+AD43</f>
        <v>1284980092.2448981</v>
      </c>
      <c r="AF44" s="2870"/>
      <c r="AG44" s="2922"/>
      <c r="AH44" s="2922"/>
      <c r="AI44" s="2922"/>
      <c r="AJ44" s="2922"/>
      <c r="AM44" s="2178"/>
      <c r="AP44" s="2221"/>
      <c r="AQ44" s="2334"/>
      <c r="AR44" s="2334"/>
      <c r="AS44" s="2334"/>
      <c r="AT44" s="2865"/>
      <c r="AV44" s="1400"/>
      <c r="AW44" s="1400"/>
      <c r="AX44" s="2178"/>
    </row>
    <row r="45" spans="2:50" ht="15" outlineLevel="1" thickBot="1">
      <c r="AJ45" s="2922"/>
      <c r="AP45" s="2870"/>
      <c r="AQ45" s="2865"/>
      <c r="AR45" s="2865"/>
      <c r="AS45" s="2865"/>
      <c r="AT45" s="2865"/>
      <c r="AV45" s="1400"/>
      <c r="AW45" s="1400"/>
      <c r="AX45" s="2178"/>
    </row>
    <row r="46" spans="2:50" outlineLevel="1">
      <c r="B46" s="827" t="s">
        <v>1011</v>
      </c>
      <c r="C46" s="724"/>
      <c r="AJ46" s="2922"/>
      <c r="AV46" s="1400"/>
      <c r="AW46" s="1400"/>
      <c r="AX46" s="2178"/>
    </row>
    <row r="47" spans="2:50" outlineLevel="1">
      <c r="B47" s="662" t="s">
        <v>1003</v>
      </c>
      <c r="C47" s="833">
        <f>C11+C23+C35</f>
        <v>8043600</v>
      </c>
      <c r="AK47" s="1301"/>
      <c r="AL47" s="1301"/>
      <c r="AM47" s="1301"/>
    </row>
    <row r="48" spans="2:50" outlineLevel="1">
      <c r="B48" s="662" t="s">
        <v>891</v>
      </c>
      <c r="C48" s="833">
        <f t="shared" ref="C48:C55" si="17">C12+C24+C36</f>
        <v>728519700</v>
      </c>
      <c r="AG48" s="2922"/>
      <c r="AQ48" s="2865"/>
      <c r="AR48" s="2865"/>
      <c r="AS48" s="2865"/>
      <c r="AT48" s="2865"/>
      <c r="AV48" s="2880"/>
      <c r="AW48" s="2880"/>
      <c r="AX48" s="2877"/>
    </row>
    <row r="49" spans="2:53" outlineLevel="1">
      <c r="B49" s="662" t="s">
        <v>845</v>
      </c>
      <c r="C49" s="833">
        <f t="shared" si="17"/>
        <v>72876518.367346942</v>
      </c>
      <c r="AQ49" s="2865"/>
      <c r="AR49" s="2865"/>
      <c r="AS49" s="2865"/>
      <c r="AT49" s="2865"/>
      <c r="AV49" s="2882"/>
      <c r="AW49" s="2883"/>
      <c r="AX49" s="2178"/>
    </row>
    <row r="50" spans="2:53" outlineLevel="1">
      <c r="B50" s="662" t="s">
        <v>119</v>
      </c>
      <c r="C50" s="833">
        <f t="shared" si="17"/>
        <v>115364200</v>
      </c>
      <c r="AP50" s="2919"/>
      <c r="AQ50" s="2919"/>
      <c r="AR50" s="2919"/>
      <c r="AS50" s="2919"/>
      <c r="AT50" s="2919"/>
      <c r="AV50" s="2882"/>
      <c r="AW50" s="2884"/>
      <c r="AX50" s="2178"/>
    </row>
    <row r="51" spans="2:53" outlineLevel="1">
      <c r="B51" s="666" t="s">
        <v>122</v>
      </c>
      <c r="C51" s="833">
        <f t="shared" si="17"/>
        <v>117576700</v>
      </c>
      <c r="AF51" s="1400"/>
      <c r="AG51" s="1400"/>
      <c r="AH51" s="1400"/>
      <c r="AP51" s="2919"/>
      <c r="AQ51" s="2919"/>
      <c r="AR51" s="2919"/>
      <c r="AS51" s="2919"/>
      <c r="AT51" s="2919"/>
      <c r="AV51" s="2882"/>
      <c r="AW51" s="2884"/>
      <c r="AX51" s="2178"/>
    </row>
    <row r="52" spans="2:53" outlineLevel="1">
      <c r="B52" s="666" t="s">
        <v>120</v>
      </c>
      <c r="C52" s="833">
        <f t="shared" si="17"/>
        <v>81853600</v>
      </c>
      <c r="AP52" s="2919"/>
      <c r="AQ52" s="2919"/>
      <c r="AR52" s="2919"/>
      <c r="AS52" s="2919"/>
      <c r="AT52" s="2919"/>
      <c r="AV52" s="2882"/>
      <c r="AW52" s="1400"/>
      <c r="AX52" s="2178"/>
    </row>
    <row r="53" spans="2:53" outlineLevel="1">
      <c r="B53" s="666" t="s">
        <v>711</v>
      </c>
      <c r="C53" s="833">
        <f t="shared" si="17"/>
        <v>71096000</v>
      </c>
      <c r="AV53" s="1400"/>
      <c r="AW53" s="1400"/>
      <c r="AX53" s="2178"/>
    </row>
    <row r="54" spans="2:53" outlineLevel="1">
      <c r="B54" s="666" t="s">
        <v>907</v>
      </c>
      <c r="C54" s="833">
        <f>SUM(C47:C53)</f>
        <v>1195330318.367347</v>
      </c>
      <c r="AV54" s="1400"/>
      <c r="AW54" s="1400"/>
      <c r="AX54" s="2178"/>
    </row>
    <row r="55" spans="2:53" ht="15" outlineLevel="1" thickBot="1">
      <c r="B55" s="667" t="s">
        <v>1004</v>
      </c>
      <c r="C55" s="834">
        <f t="shared" si="17"/>
        <v>89649773.877551019</v>
      </c>
      <c r="AV55" s="1400"/>
      <c r="AW55" s="1400"/>
      <c r="AX55" s="2178"/>
    </row>
    <row r="56" spans="2:53" ht="15" outlineLevel="1" thickBot="1">
      <c r="B56" s="830" t="s">
        <v>655</v>
      </c>
      <c r="C56" s="835">
        <f>C54+C55</f>
        <v>1284980092.2448981</v>
      </c>
      <c r="AV56" s="1400"/>
      <c r="AW56" s="1400"/>
      <c r="AX56" s="2178"/>
    </row>
    <row r="57" spans="2:53" s="874" customFormat="1" ht="9.6" customHeight="1">
      <c r="L57" s="875"/>
      <c r="M57" s="875"/>
      <c r="N57" s="875"/>
      <c r="O57" s="875"/>
      <c r="P57" s="875"/>
      <c r="Q57" s="875"/>
      <c r="R57" s="875"/>
      <c r="S57" s="875"/>
      <c r="T57" s="875"/>
      <c r="U57" s="875"/>
      <c r="AF57" s="1400"/>
      <c r="AG57" s="1400"/>
      <c r="AH57" s="1400"/>
      <c r="AI57" s="1400"/>
      <c r="AJ57" s="1301"/>
      <c r="AK57" s="1400"/>
      <c r="AL57" s="1400"/>
      <c r="AM57" s="1400"/>
      <c r="AO57" s="1301"/>
      <c r="AP57" s="1301"/>
      <c r="AQ57" s="1301"/>
      <c r="AR57" s="1301"/>
      <c r="AS57" s="1301"/>
      <c r="AT57" s="1301"/>
      <c r="AU57" s="1301"/>
      <c r="AV57" s="1400"/>
      <c r="AW57" s="1400"/>
      <c r="AX57" s="2178"/>
      <c r="AY57" s="1301"/>
      <c r="AZ57" s="1301"/>
      <c r="BA57" s="1301"/>
    </row>
    <row r="58" spans="2:53" s="2176" customFormat="1" ht="9" customHeight="1">
      <c r="L58" s="2177"/>
      <c r="M58" s="2177"/>
      <c r="N58" s="2177"/>
      <c r="O58" s="2177"/>
      <c r="P58" s="2177"/>
      <c r="Q58" s="2177"/>
      <c r="R58" s="2177"/>
      <c r="S58" s="2177"/>
      <c r="T58" s="2177"/>
      <c r="U58" s="2177"/>
      <c r="AF58" s="1400"/>
      <c r="AG58" s="1400"/>
      <c r="AH58" s="1400"/>
      <c r="AI58" s="1400"/>
      <c r="AJ58" s="1301"/>
      <c r="AK58" s="1400"/>
      <c r="AL58" s="1400"/>
      <c r="AM58" s="1400"/>
      <c r="AO58" s="1301"/>
      <c r="AP58" s="1301"/>
      <c r="AQ58" s="1301"/>
      <c r="AR58" s="1301"/>
      <c r="AS58" s="1301"/>
      <c r="AT58" s="1301"/>
      <c r="AU58" s="1301"/>
      <c r="AV58" s="1400"/>
      <c r="AW58" s="1400"/>
      <c r="AX58" s="2178"/>
      <c r="AY58" s="1301"/>
      <c r="AZ58" s="1301"/>
      <c r="BA58" s="1301"/>
    </row>
    <row r="59" spans="2:53" ht="13.9" customHeight="1" thickBot="1">
      <c r="E59" s="3098"/>
      <c r="F59" s="2175"/>
      <c r="AF59" s="1400"/>
      <c r="AG59" s="1400"/>
      <c r="AH59" s="1400"/>
      <c r="AI59" s="1400"/>
    </row>
    <row r="60" spans="2:53" ht="15.75" thickBot="1">
      <c r="B60" s="850" t="s">
        <v>1051</v>
      </c>
      <c r="C60" s="904" t="s">
        <v>1058</v>
      </c>
      <c r="E60" s="2653" t="s">
        <v>1940</v>
      </c>
      <c r="F60" s="2654" t="s">
        <v>1045</v>
      </c>
      <c r="G60" s="2654"/>
      <c r="H60" s="841"/>
      <c r="J60" s="900" t="s">
        <v>1051</v>
      </c>
      <c r="K60" s="843"/>
      <c r="L60" s="843" t="s">
        <v>1052</v>
      </c>
      <c r="N60" s="2655" t="s">
        <v>1042</v>
      </c>
      <c r="O60" s="2655" t="s">
        <v>1044</v>
      </c>
      <c r="P60" s="2656"/>
      <c r="Q60" s="2657"/>
      <c r="S60" s="900" t="s">
        <v>993</v>
      </c>
      <c r="T60" s="843"/>
      <c r="U60" s="843" t="s">
        <v>1052</v>
      </c>
      <c r="W60" s="2653" t="s">
        <v>2363</v>
      </c>
      <c r="X60" s="2653" t="s">
        <v>1046</v>
      </c>
      <c r="Y60" s="2654"/>
      <c r="Z60" s="841"/>
      <c r="AB60" s="844" t="s">
        <v>2367</v>
      </c>
      <c r="AC60" s="843"/>
      <c r="AD60" s="843" t="s">
        <v>1052</v>
      </c>
      <c r="AF60" s="3381"/>
      <c r="AG60" s="3381"/>
      <c r="AH60" s="3381"/>
      <c r="AK60" s="2930"/>
      <c r="AL60" s="2930"/>
      <c r="AM60" s="2930"/>
      <c r="AP60" s="3381"/>
      <c r="AQ60" s="3381"/>
      <c r="AR60" s="3381"/>
      <c r="AS60" s="3381"/>
      <c r="AT60" s="3381"/>
      <c r="AU60" s="3381"/>
      <c r="AV60" s="2929"/>
      <c r="AW60" s="2930"/>
      <c r="AX60" s="2930"/>
    </row>
    <row r="61" spans="2:53" ht="15" thickBot="1">
      <c r="B61" s="856" t="s">
        <v>1053</v>
      </c>
      <c r="C61" s="852"/>
      <c r="E61" s="884"/>
      <c r="F61" s="885" t="s">
        <v>1048</v>
      </c>
      <c r="G61" s="885"/>
      <c r="H61" s="886" t="s">
        <v>1050</v>
      </c>
      <c r="J61" s="856" t="s">
        <v>993</v>
      </c>
      <c r="K61" s="648"/>
      <c r="L61" s="863"/>
      <c r="N61" s="894"/>
      <c r="O61" s="885" t="s">
        <v>1032</v>
      </c>
      <c r="P61" s="885"/>
      <c r="Q61" s="886" t="s">
        <v>714</v>
      </c>
      <c r="S61" s="860"/>
      <c r="T61" s="648"/>
      <c r="U61" s="863"/>
      <c r="W61" s="903"/>
      <c r="X61" s="901" t="s">
        <v>1057</v>
      </c>
      <c r="Y61" s="901"/>
      <c r="Z61" s="902" t="s">
        <v>1050</v>
      </c>
      <c r="AB61" s="860"/>
      <c r="AC61" s="648"/>
      <c r="AD61" s="863"/>
      <c r="AF61" s="2931"/>
      <c r="AG61" s="2931"/>
      <c r="AH61" s="2931"/>
      <c r="AI61" s="2931"/>
      <c r="AK61" s="2178"/>
      <c r="AL61" s="1301"/>
      <c r="AM61" s="1301"/>
      <c r="AP61" s="2931"/>
      <c r="AQ61" s="2932"/>
      <c r="AR61" s="2932"/>
      <c r="AS61" s="2932"/>
      <c r="AT61" s="2932"/>
      <c r="AV61" s="2178"/>
    </row>
    <row r="62" spans="2:53">
      <c r="B62" s="1446" t="s">
        <v>1708</v>
      </c>
      <c r="C62" s="853">
        <f>IF($C$5=1,AD62,IF($C$5=2,U62,IF($C$5=3,L62,IF($C$5=4,AM62,IF($C$5=5,AX62,0)))))</f>
        <v>627042.06242176867</v>
      </c>
      <c r="E62" s="1446" t="s">
        <v>1708</v>
      </c>
      <c r="F62" s="876">
        <f>(500000+Decommission_cost)</f>
        <v>627042.06242176867</v>
      </c>
      <c r="G62" s="876"/>
      <c r="H62" s="877">
        <f>F62+G62</f>
        <v>627042.06242176867</v>
      </c>
      <c r="J62" s="1446" t="s">
        <v>1708</v>
      </c>
      <c r="K62" s="648"/>
      <c r="L62" s="864">
        <f t="shared" ref="L62:L68" si="18">IF($C$3&lt;=2,F62,0)</f>
        <v>627042.06242176867</v>
      </c>
      <c r="N62" s="1446" t="s">
        <v>1708</v>
      </c>
      <c r="O62" s="891">
        <f>500000+Decommission_cost</f>
        <v>627042.06242176867</v>
      </c>
      <c r="P62" s="876"/>
      <c r="Q62" s="877">
        <f>O62+P62</f>
        <v>627042.06242176867</v>
      </c>
      <c r="S62" s="1446" t="s">
        <v>1708</v>
      </c>
      <c r="T62" s="648"/>
      <c r="U62" s="864">
        <f t="shared" ref="U62:U68" si="19">IF($C$3&lt;=2,O62,0)</f>
        <v>627042.06242176867</v>
      </c>
      <c r="W62" s="887" t="s">
        <v>1504</v>
      </c>
      <c r="X62" s="876">
        <f>500000+Decommission_cost</f>
        <v>627042.06242176867</v>
      </c>
      <c r="Y62" s="876"/>
      <c r="Z62" s="877">
        <f>X62+Y62</f>
        <v>627042.06242176867</v>
      </c>
      <c r="AB62" s="1446" t="s">
        <v>1708</v>
      </c>
      <c r="AC62" s="648"/>
      <c r="AD62" s="864">
        <f t="shared" ref="AD62:AD68" si="20">IF($C$3&lt;=2,X62,0)</f>
        <v>627042.06242176867</v>
      </c>
      <c r="AF62" s="2891"/>
      <c r="AG62" s="2934"/>
      <c r="AH62" s="2934"/>
      <c r="AI62" s="2934"/>
      <c r="AK62" s="2936"/>
      <c r="AL62" s="1301"/>
      <c r="AM62" s="2936"/>
      <c r="AP62" s="2933"/>
      <c r="AQ62" s="2934"/>
      <c r="AR62" s="2934"/>
      <c r="AS62" s="2935"/>
      <c r="AT62" s="2934"/>
      <c r="AV62" s="2936"/>
      <c r="AX62" s="2936"/>
    </row>
    <row r="63" spans="2:53" ht="13.5">
      <c r="B63" s="842" t="s">
        <v>1018</v>
      </c>
      <c r="C63" s="853">
        <f t="shared" ref="C63:C69" si="21">IF($C$5=1,AD63,IF($C$5=2,U63,IF($C$5=3,L63,IF($C$5=4,AM63,IF($C$5=5,AX63,0)))))</f>
        <v>0</v>
      </c>
      <c r="E63" s="888" t="s">
        <v>1018</v>
      </c>
      <c r="F63" s="878">
        <f>IF(Power_Switch="No",'Power '!J24,0)</f>
        <v>0</v>
      </c>
      <c r="G63" s="878"/>
      <c r="H63" s="879">
        <f t="shared" ref="H63:H68" si="22">F63+G63</f>
        <v>0</v>
      </c>
      <c r="J63" s="861" t="s">
        <v>1018</v>
      </c>
      <c r="K63" s="648"/>
      <c r="L63" s="864">
        <f t="shared" si="18"/>
        <v>0</v>
      </c>
      <c r="N63" s="895" t="s">
        <v>1018</v>
      </c>
      <c r="O63" s="892">
        <f>IF(Power_Switch="No",'Power '!J26,0)</f>
        <v>0</v>
      </c>
      <c r="P63" s="878"/>
      <c r="Q63" s="877">
        <f t="shared" ref="Q63:Q68" si="23">O63+P63</f>
        <v>0</v>
      </c>
      <c r="S63" s="861" t="s">
        <v>1018</v>
      </c>
      <c r="T63" s="648"/>
      <c r="U63" s="864">
        <f t="shared" si="19"/>
        <v>0</v>
      </c>
      <c r="W63" s="888" t="s">
        <v>1018</v>
      </c>
      <c r="X63" s="878">
        <f>IF(Power_Switch="No",'Power '!J28,0)</f>
        <v>0</v>
      </c>
      <c r="Y63" s="878"/>
      <c r="Z63" s="879">
        <f t="shared" ref="Z63:Z68" si="24">X63+Y63</f>
        <v>0</v>
      </c>
      <c r="AB63" s="861" t="s">
        <v>1018</v>
      </c>
      <c r="AC63" s="648"/>
      <c r="AD63" s="864">
        <f t="shared" si="20"/>
        <v>0</v>
      </c>
      <c r="AF63" s="2933"/>
      <c r="AG63" s="2934"/>
      <c r="AH63" s="2934"/>
      <c r="AI63" s="2934"/>
      <c r="AK63" s="2936"/>
      <c r="AL63" s="1301"/>
      <c r="AM63" s="2936"/>
      <c r="AP63" s="2933"/>
      <c r="AQ63" s="2934"/>
      <c r="AR63" s="2934"/>
      <c r="AS63" s="2935"/>
      <c r="AT63" s="2934"/>
      <c r="AV63" s="2936"/>
      <c r="AX63" s="2936"/>
    </row>
    <row r="64" spans="2:53" ht="13.5">
      <c r="B64" s="842" t="s">
        <v>1019</v>
      </c>
      <c r="C64" s="853">
        <f t="shared" si="21"/>
        <v>1240000</v>
      </c>
      <c r="E64" s="888" t="s">
        <v>1019</v>
      </c>
      <c r="F64" s="878">
        <v>1045000</v>
      </c>
      <c r="G64" s="878"/>
      <c r="H64" s="879">
        <f t="shared" si="22"/>
        <v>1045000</v>
      </c>
      <c r="J64" s="861" t="s">
        <v>1019</v>
      </c>
      <c r="K64" s="648"/>
      <c r="L64" s="864">
        <f t="shared" si="18"/>
        <v>1045000</v>
      </c>
      <c r="N64" s="895" t="s">
        <v>1019</v>
      </c>
      <c r="O64" s="892">
        <v>850000</v>
      </c>
      <c r="P64" s="878"/>
      <c r="Q64" s="877">
        <f t="shared" si="23"/>
        <v>850000</v>
      </c>
      <c r="S64" s="861" t="s">
        <v>1019</v>
      </c>
      <c r="T64" s="648"/>
      <c r="U64" s="864">
        <f t="shared" si="19"/>
        <v>850000</v>
      </c>
      <c r="W64" s="888" t="s">
        <v>1019</v>
      </c>
      <c r="X64" s="878">
        <v>1240000</v>
      </c>
      <c r="Y64" s="878"/>
      <c r="Z64" s="879">
        <f t="shared" si="24"/>
        <v>1240000</v>
      </c>
      <c r="AB64" s="861" t="s">
        <v>1019</v>
      </c>
      <c r="AC64" s="648"/>
      <c r="AD64" s="864">
        <f t="shared" si="20"/>
        <v>1240000</v>
      </c>
      <c r="AF64" s="2933"/>
      <c r="AG64" s="2934"/>
      <c r="AH64" s="2934"/>
      <c r="AI64" s="2934"/>
      <c r="AK64" s="2936"/>
      <c r="AL64" s="1301"/>
      <c r="AM64" s="2936"/>
      <c r="AP64" s="2933"/>
      <c r="AQ64" s="2934"/>
      <c r="AR64" s="2934"/>
      <c r="AS64" s="2935"/>
      <c r="AT64" s="2934"/>
      <c r="AV64" s="2936"/>
      <c r="AX64" s="2936"/>
    </row>
    <row r="65" spans="2:50" ht="13.5">
      <c r="B65" s="842" t="s">
        <v>348</v>
      </c>
      <c r="C65" s="853">
        <f t="shared" si="21"/>
        <v>6572000</v>
      </c>
      <c r="E65" s="888" t="s">
        <v>348</v>
      </c>
      <c r="F65" s="878">
        <v>6136200</v>
      </c>
      <c r="G65" s="878"/>
      <c r="H65" s="879">
        <f t="shared" si="22"/>
        <v>6136200</v>
      </c>
      <c r="J65" s="861" t="s">
        <v>348</v>
      </c>
      <c r="K65" s="648"/>
      <c r="L65" s="864">
        <f t="shared" si="18"/>
        <v>6136200</v>
      </c>
      <c r="N65" s="895" t="s">
        <v>348</v>
      </c>
      <c r="O65" s="892">
        <v>4590000</v>
      </c>
      <c r="P65" s="878"/>
      <c r="Q65" s="877">
        <f t="shared" si="23"/>
        <v>4590000</v>
      </c>
      <c r="S65" s="861" t="s">
        <v>348</v>
      </c>
      <c r="T65" s="648"/>
      <c r="U65" s="864">
        <f t="shared" si="19"/>
        <v>4590000</v>
      </c>
      <c r="W65" s="888" t="s">
        <v>348</v>
      </c>
      <c r="X65" s="878">
        <v>6572000</v>
      </c>
      <c r="Y65" s="878"/>
      <c r="Z65" s="879">
        <f t="shared" si="24"/>
        <v>6572000</v>
      </c>
      <c r="AB65" s="861" t="s">
        <v>348</v>
      </c>
      <c r="AC65" s="648"/>
      <c r="AD65" s="864">
        <f t="shared" si="20"/>
        <v>6572000</v>
      </c>
      <c r="AF65" s="2933"/>
      <c r="AG65" s="2934"/>
      <c r="AH65" s="2934"/>
      <c r="AI65" s="2934"/>
      <c r="AK65" s="2936"/>
      <c r="AL65" s="1301"/>
      <c r="AM65" s="2936"/>
      <c r="AP65" s="2933"/>
      <c r="AQ65" s="2934"/>
      <c r="AR65" s="2934"/>
      <c r="AS65" s="2935"/>
      <c r="AT65" s="2934"/>
      <c r="AV65" s="2936"/>
      <c r="AX65" s="2936"/>
    </row>
    <row r="66" spans="2:50" ht="13.5">
      <c r="B66" s="842" t="s">
        <v>1020</v>
      </c>
      <c r="C66" s="853">
        <f t="shared" si="21"/>
        <v>377710</v>
      </c>
      <c r="E66" s="888" t="s">
        <v>1020</v>
      </c>
      <c r="F66" s="878">
        <v>357139</v>
      </c>
      <c r="G66" s="878"/>
      <c r="H66" s="879">
        <f t="shared" si="22"/>
        <v>357139</v>
      </c>
      <c r="J66" s="861" t="s">
        <v>1020</v>
      </c>
      <c r="K66" s="648"/>
      <c r="L66" s="864">
        <f t="shared" si="18"/>
        <v>357139</v>
      </c>
      <c r="N66" s="895" t="s">
        <v>1020</v>
      </c>
      <c r="O66" s="892">
        <v>355450</v>
      </c>
      <c r="P66" s="878"/>
      <c r="Q66" s="877">
        <f t="shared" si="23"/>
        <v>355450</v>
      </c>
      <c r="S66" s="861" t="s">
        <v>1020</v>
      </c>
      <c r="T66" s="648"/>
      <c r="U66" s="864">
        <f t="shared" si="19"/>
        <v>355450</v>
      </c>
      <c r="W66" s="888" t="s">
        <v>1020</v>
      </c>
      <c r="X66" s="878">
        <v>377710</v>
      </c>
      <c r="Y66" s="878"/>
      <c r="Z66" s="879">
        <f t="shared" si="24"/>
        <v>377710</v>
      </c>
      <c r="AB66" s="861" t="s">
        <v>1020</v>
      </c>
      <c r="AC66" s="648"/>
      <c r="AD66" s="864">
        <f t="shared" si="20"/>
        <v>377710</v>
      </c>
      <c r="AF66" s="2933"/>
      <c r="AG66" s="2934"/>
      <c r="AH66" s="2934"/>
      <c r="AI66" s="2934"/>
      <c r="AK66" s="2936"/>
      <c r="AL66" s="1301"/>
      <c r="AM66" s="2936"/>
      <c r="AP66" s="2933"/>
      <c r="AQ66" s="2934"/>
      <c r="AR66" s="2934"/>
      <c r="AS66" s="2935"/>
      <c r="AT66" s="2934"/>
      <c r="AV66" s="2936"/>
      <c r="AX66" s="2936"/>
    </row>
    <row r="67" spans="2:50" ht="13.5">
      <c r="B67" s="842" t="s">
        <v>1021</v>
      </c>
      <c r="C67" s="853">
        <f t="shared" si="21"/>
        <v>1413766</v>
      </c>
      <c r="E67" s="888" t="s">
        <v>1021</v>
      </c>
      <c r="F67" s="878">
        <v>1213600</v>
      </c>
      <c r="G67" s="878"/>
      <c r="H67" s="879">
        <f t="shared" si="22"/>
        <v>1213600</v>
      </c>
      <c r="J67" s="861" t="s">
        <v>1021</v>
      </c>
      <c r="K67" s="648"/>
      <c r="L67" s="864">
        <f t="shared" si="18"/>
        <v>1213600</v>
      </c>
      <c r="N67" s="895" t="s">
        <v>1021</v>
      </c>
      <c r="O67" s="892">
        <v>1077060</v>
      </c>
      <c r="P67" s="878"/>
      <c r="Q67" s="877">
        <f t="shared" si="23"/>
        <v>1077060</v>
      </c>
      <c r="S67" s="861" t="s">
        <v>1021</v>
      </c>
      <c r="T67" s="648"/>
      <c r="U67" s="864">
        <f t="shared" si="19"/>
        <v>1077060</v>
      </c>
      <c r="W67" s="888" t="s">
        <v>1021</v>
      </c>
      <c r="X67" s="878">
        <v>1413766</v>
      </c>
      <c r="Y67" s="878"/>
      <c r="Z67" s="879">
        <f t="shared" si="24"/>
        <v>1413766</v>
      </c>
      <c r="AB67" s="861" t="s">
        <v>1021</v>
      </c>
      <c r="AC67" s="648"/>
      <c r="AD67" s="864">
        <f t="shared" si="20"/>
        <v>1413766</v>
      </c>
      <c r="AF67" s="2933"/>
      <c r="AG67" s="2934"/>
      <c r="AH67" s="2934"/>
      <c r="AI67" s="2934"/>
      <c r="AK67" s="2936"/>
      <c r="AL67" s="1301"/>
      <c r="AM67" s="2936"/>
      <c r="AP67" s="2933"/>
      <c r="AQ67" s="2934"/>
      <c r="AR67" s="2934"/>
      <c r="AS67" s="2935"/>
      <c r="AT67" s="2934"/>
      <c r="AV67" s="2936"/>
      <c r="AX67" s="2936"/>
    </row>
    <row r="68" spans="2:50" thickBot="1">
      <c r="B68" s="842" t="s">
        <v>1022</v>
      </c>
      <c r="C68" s="853">
        <f t="shared" si="21"/>
        <v>1620891</v>
      </c>
      <c r="E68" s="889" t="s">
        <v>1022</v>
      </c>
      <c r="F68" s="880">
        <v>769000</v>
      </c>
      <c r="G68" s="880"/>
      <c r="H68" s="881">
        <f t="shared" si="22"/>
        <v>769000</v>
      </c>
      <c r="J68" s="862" t="s">
        <v>1022</v>
      </c>
      <c r="K68" s="651"/>
      <c r="L68" s="865">
        <f t="shared" si="18"/>
        <v>769000</v>
      </c>
      <c r="N68" s="896" t="s">
        <v>1022</v>
      </c>
      <c r="O68" s="893">
        <v>923578</v>
      </c>
      <c r="P68" s="880"/>
      <c r="Q68" s="877">
        <f t="shared" si="23"/>
        <v>923578</v>
      </c>
      <c r="S68" s="862" t="s">
        <v>1022</v>
      </c>
      <c r="T68" s="651"/>
      <c r="U68" s="865">
        <f t="shared" si="19"/>
        <v>923578</v>
      </c>
      <c r="W68" s="889" t="s">
        <v>1022</v>
      </c>
      <c r="X68" s="880">
        <v>1620891</v>
      </c>
      <c r="Y68" s="880"/>
      <c r="Z68" s="881">
        <f t="shared" si="24"/>
        <v>1620891</v>
      </c>
      <c r="AB68" s="862" t="s">
        <v>1022</v>
      </c>
      <c r="AC68" s="651"/>
      <c r="AD68" s="865">
        <f t="shared" si="20"/>
        <v>1620891</v>
      </c>
      <c r="AF68" s="2933"/>
      <c r="AG68" s="2934"/>
      <c r="AH68" s="2934"/>
      <c r="AI68" s="2934"/>
      <c r="AK68" s="2936"/>
      <c r="AL68" s="1301"/>
      <c r="AM68" s="2936"/>
      <c r="AP68" s="2933"/>
      <c r="AQ68" s="2934"/>
      <c r="AR68" s="2934"/>
      <c r="AS68" s="2935"/>
      <c r="AT68" s="2934"/>
      <c r="AV68" s="2936"/>
      <c r="AX68" s="2936"/>
    </row>
    <row r="69" spans="2:50" ht="15" thickBot="1">
      <c r="B69" s="691" t="s">
        <v>655</v>
      </c>
      <c r="C69" s="853">
        <f t="shared" si="21"/>
        <v>11851409.062421769</v>
      </c>
      <c r="E69" s="890" t="s">
        <v>655</v>
      </c>
      <c r="F69" s="882">
        <f>SUM(F62:F68)</f>
        <v>10147981.062421769</v>
      </c>
      <c r="G69" s="882"/>
      <c r="H69" s="883">
        <f>SUM(H62:H68)</f>
        <v>10147981.062421769</v>
      </c>
      <c r="J69" s="669" t="s">
        <v>1010</v>
      </c>
      <c r="K69" s="866"/>
      <c r="L69" s="654">
        <f>SUM(L62:L68)</f>
        <v>10147981.062421769</v>
      </c>
      <c r="N69" s="897" t="s">
        <v>655</v>
      </c>
      <c r="O69" s="882">
        <f>SUM(O62:O68)</f>
        <v>8423130.0624217689</v>
      </c>
      <c r="P69" s="882">
        <f>SUM(P62:P68)</f>
        <v>0</v>
      </c>
      <c r="Q69" s="883">
        <f>SUM(Q62:Q68)</f>
        <v>8423130.0624217689</v>
      </c>
      <c r="S69" s="669" t="s">
        <v>1010</v>
      </c>
      <c r="T69" s="866"/>
      <c r="U69" s="654">
        <f>SUM(U62:U68)</f>
        <v>8423130.0624217689</v>
      </c>
      <c r="W69" s="890" t="s">
        <v>655</v>
      </c>
      <c r="X69" s="882">
        <f>SUM(X62:X68)</f>
        <v>11851409.062421769</v>
      </c>
      <c r="Y69" s="882">
        <f>SUM(Y62:Y68)</f>
        <v>0</v>
      </c>
      <c r="Z69" s="882">
        <f>SUM(Z62:Z68)</f>
        <v>11851409.062421769</v>
      </c>
      <c r="AB69" s="669" t="s">
        <v>1010</v>
      </c>
      <c r="AC69" s="866"/>
      <c r="AD69" s="654">
        <f>SUM(AD62:AD68)</f>
        <v>11851409.062421769</v>
      </c>
      <c r="AF69" s="2933"/>
      <c r="AG69" s="2934"/>
      <c r="AH69" s="2934"/>
      <c r="AI69" s="2934"/>
      <c r="AL69" s="1301"/>
      <c r="AM69" s="2922"/>
      <c r="AP69" s="2933"/>
      <c r="AQ69" s="2934"/>
      <c r="AR69" s="2934"/>
      <c r="AS69" s="2934"/>
      <c r="AT69" s="2934"/>
      <c r="AV69" s="1400"/>
      <c r="AX69" s="2922"/>
    </row>
    <row r="70" spans="2:50" ht="15" thickBot="1">
      <c r="C70" s="851"/>
      <c r="L70" s="655"/>
      <c r="S70" s="655"/>
      <c r="T70" s="655"/>
      <c r="U70" s="655"/>
      <c r="AF70" s="1400"/>
      <c r="AG70" s="1400"/>
      <c r="AH70" s="1400"/>
      <c r="AI70" s="1400"/>
      <c r="AK70" s="1301"/>
      <c r="AL70" s="1301"/>
      <c r="AM70" s="1301"/>
    </row>
    <row r="71" spans="2:50" ht="15">
      <c r="B71" s="850" t="s">
        <v>1051</v>
      </c>
      <c r="C71" s="904" t="s">
        <v>1058</v>
      </c>
      <c r="J71" s="850" t="s">
        <v>1056</v>
      </c>
      <c r="K71" s="870"/>
      <c r="L71" s="873" t="s">
        <v>1052</v>
      </c>
      <c r="S71" s="899" t="s">
        <v>1005</v>
      </c>
      <c r="T71" s="870"/>
      <c r="U71" s="873" t="s">
        <v>1052</v>
      </c>
      <c r="AB71" s="848" t="s">
        <v>1005</v>
      </c>
      <c r="AC71" s="870"/>
      <c r="AD71" s="873" t="s">
        <v>1052</v>
      </c>
      <c r="AF71" s="1400"/>
      <c r="AG71" s="1400"/>
      <c r="AH71" s="1400"/>
      <c r="AI71" s="1400"/>
      <c r="AK71" s="2880"/>
      <c r="AL71" s="2930"/>
      <c r="AM71" s="2938"/>
      <c r="AV71" s="2937"/>
      <c r="AW71" s="2930"/>
      <c r="AX71" s="2938"/>
    </row>
    <row r="72" spans="2:50">
      <c r="B72" s="857" t="s">
        <v>1005</v>
      </c>
      <c r="C72" s="852"/>
      <c r="J72" s="856" t="s">
        <v>1005</v>
      </c>
      <c r="K72" s="648"/>
      <c r="L72" s="863"/>
      <c r="S72" s="845"/>
      <c r="T72" s="648"/>
      <c r="U72" s="863"/>
      <c r="AB72" s="845"/>
      <c r="AC72" s="648"/>
      <c r="AD72" s="863"/>
      <c r="AF72" s="1400"/>
      <c r="AG72" s="1400"/>
      <c r="AH72" s="1400"/>
      <c r="AI72" s="1400"/>
      <c r="AK72" s="2882"/>
      <c r="AL72" s="1301"/>
      <c r="AM72" s="1301"/>
      <c r="AV72" s="2882"/>
    </row>
    <row r="73" spans="2:50">
      <c r="B73" s="1446" t="s">
        <v>1708</v>
      </c>
      <c r="C73" s="853">
        <f>IF($C$5=1,L73,IF($C$5=2,U73,IF($C$5=3,AD73,IF($C$5=4,AM73,AX75))))</f>
        <v>0</v>
      </c>
      <c r="J73" s="1446" t="s">
        <v>1708</v>
      </c>
      <c r="K73" s="648"/>
      <c r="L73" s="867">
        <f t="shared" ref="L73:L79" si="25">IF($C$3=2,G62,0)</f>
        <v>0</v>
      </c>
      <c r="S73" s="1446" t="s">
        <v>1708</v>
      </c>
      <c r="T73" s="648"/>
      <c r="U73" s="864">
        <f t="shared" ref="U73:U79" si="26">IF($C$3=2,P62,0)</f>
        <v>0</v>
      </c>
      <c r="AB73" s="1446" t="s">
        <v>1708</v>
      </c>
      <c r="AC73" s="648"/>
      <c r="AD73" s="867">
        <f t="shared" ref="AD73:AD79" si="27">IF($C$3=2,Y62,0)</f>
        <v>0</v>
      </c>
      <c r="AF73" s="1400"/>
      <c r="AG73" s="1400"/>
      <c r="AH73" s="1400"/>
      <c r="AI73" s="1400"/>
      <c r="AK73" s="2882"/>
      <c r="AL73" s="1301"/>
      <c r="AM73" s="2943"/>
      <c r="AV73" s="2882"/>
      <c r="AX73" s="740"/>
    </row>
    <row r="74" spans="2:50">
      <c r="B74" s="842" t="s">
        <v>1018</v>
      </c>
      <c r="C74" s="853">
        <f t="shared" ref="C74:C79" si="28">IF($C$5=1,L74,IF($C$5=2,U74,IF($C$5=3,AD74,IF($C$5=4,AM74,AX76))))</f>
        <v>0</v>
      </c>
      <c r="J74" s="845" t="s">
        <v>1018</v>
      </c>
      <c r="K74" s="648"/>
      <c r="L74" s="867">
        <f t="shared" si="25"/>
        <v>0</v>
      </c>
      <c r="S74" s="845" t="s">
        <v>1018</v>
      </c>
      <c r="T74" s="648"/>
      <c r="U74" s="864">
        <f t="shared" si="26"/>
        <v>0</v>
      </c>
      <c r="AB74" s="845" t="s">
        <v>1018</v>
      </c>
      <c r="AC74" s="648"/>
      <c r="AD74" s="867">
        <f t="shared" si="27"/>
        <v>0</v>
      </c>
      <c r="AF74" s="1400"/>
      <c r="AG74" s="1400"/>
      <c r="AH74" s="1400"/>
      <c r="AI74" s="1400"/>
      <c r="AK74" s="2882"/>
      <c r="AL74" s="1301"/>
      <c r="AM74" s="2943"/>
      <c r="AV74" s="2882"/>
      <c r="AX74" s="740"/>
    </row>
    <row r="75" spans="2:50">
      <c r="B75" s="842" t="s">
        <v>1019</v>
      </c>
      <c r="C75" s="853">
        <f t="shared" si="28"/>
        <v>0</v>
      </c>
      <c r="J75" s="845" t="s">
        <v>1019</v>
      </c>
      <c r="K75" s="648"/>
      <c r="L75" s="867">
        <f t="shared" si="25"/>
        <v>0</v>
      </c>
      <c r="S75" s="845" t="s">
        <v>1019</v>
      </c>
      <c r="T75" s="648"/>
      <c r="U75" s="864">
        <f t="shared" si="26"/>
        <v>0</v>
      </c>
      <c r="AB75" s="845" t="s">
        <v>1019</v>
      </c>
      <c r="AC75" s="648"/>
      <c r="AD75" s="867">
        <f t="shared" si="27"/>
        <v>0</v>
      </c>
      <c r="AF75" s="1400"/>
      <c r="AG75" s="1400"/>
      <c r="AH75" s="1400"/>
      <c r="AI75" s="1400"/>
      <c r="AK75" s="2882"/>
      <c r="AL75" s="1301"/>
      <c r="AM75" s="2943"/>
      <c r="AV75" s="2882"/>
      <c r="AX75" s="740"/>
    </row>
    <row r="76" spans="2:50">
      <c r="B76" s="842" t="s">
        <v>348</v>
      </c>
      <c r="C76" s="853">
        <f t="shared" si="28"/>
        <v>0</v>
      </c>
      <c r="G76" s="655" t="s">
        <v>2144</v>
      </c>
      <c r="J76" s="846" t="s">
        <v>348</v>
      </c>
      <c r="K76" s="648"/>
      <c r="L76" s="867">
        <f t="shared" si="25"/>
        <v>0</v>
      </c>
      <c r="S76" s="846" t="s">
        <v>348</v>
      </c>
      <c r="T76" s="648"/>
      <c r="U76" s="864">
        <f t="shared" si="26"/>
        <v>0</v>
      </c>
      <c r="AB76" s="846" t="s">
        <v>348</v>
      </c>
      <c r="AC76" s="648"/>
      <c r="AD76" s="867">
        <f t="shared" si="27"/>
        <v>0</v>
      </c>
      <c r="AF76" s="1400"/>
      <c r="AG76" s="1400"/>
      <c r="AH76" s="1400"/>
      <c r="AI76" s="1400"/>
      <c r="AL76" s="1301"/>
      <c r="AM76" s="2943"/>
      <c r="AV76" s="1400"/>
      <c r="AX76" s="740"/>
    </row>
    <row r="77" spans="2:50">
      <c r="B77" s="842" t="s">
        <v>1020</v>
      </c>
      <c r="C77" s="853">
        <f t="shared" si="28"/>
        <v>0</v>
      </c>
      <c r="J77" s="846" t="s">
        <v>1020</v>
      </c>
      <c r="K77" s="648"/>
      <c r="L77" s="867">
        <f t="shared" si="25"/>
        <v>0</v>
      </c>
      <c r="S77" s="846" t="s">
        <v>1020</v>
      </c>
      <c r="T77" s="648"/>
      <c r="U77" s="864">
        <f t="shared" si="26"/>
        <v>0</v>
      </c>
      <c r="AB77" s="846" t="s">
        <v>1020</v>
      </c>
      <c r="AC77" s="648"/>
      <c r="AD77" s="867">
        <f t="shared" si="27"/>
        <v>0</v>
      </c>
      <c r="AF77" s="1400"/>
      <c r="AG77" s="1400"/>
      <c r="AH77" s="1400"/>
      <c r="AI77" s="1400"/>
      <c r="AL77" s="1301"/>
      <c r="AM77" s="2943"/>
      <c r="AV77" s="1400"/>
      <c r="AX77" s="740"/>
    </row>
    <row r="78" spans="2:50">
      <c r="B78" s="842" t="s">
        <v>1021</v>
      </c>
      <c r="C78" s="853">
        <f t="shared" si="28"/>
        <v>0</v>
      </c>
      <c r="J78" s="846" t="s">
        <v>1021</v>
      </c>
      <c r="K78" s="648"/>
      <c r="L78" s="867">
        <f t="shared" si="25"/>
        <v>0</v>
      </c>
      <c r="S78" s="846" t="s">
        <v>1021</v>
      </c>
      <c r="T78" s="648"/>
      <c r="U78" s="864">
        <f t="shared" si="26"/>
        <v>0</v>
      </c>
      <c r="AB78" s="846" t="s">
        <v>1021</v>
      </c>
      <c r="AC78" s="648"/>
      <c r="AD78" s="867">
        <f t="shared" si="27"/>
        <v>0</v>
      </c>
      <c r="AL78" s="1301"/>
      <c r="AM78" s="2943"/>
      <c r="AV78" s="1400"/>
      <c r="AX78" s="740"/>
    </row>
    <row r="79" spans="2:50" ht="15" thickBot="1">
      <c r="B79" s="842" t="s">
        <v>1022</v>
      </c>
      <c r="C79" s="853">
        <f t="shared" si="28"/>
        <v>0</v>
      </c>
      <c r="J79" s="849" t="s">
        <v>1022</v>
      </c>
      <c r="K79" s="651"/>
      <c r="L79" s="868">
        <f t="shared" si="25"/>
        <v>0</v>
      </c>
      <c r="S79" s="849" t="s">
        <v>1022</v>
      </c>
      <c r="T79" s="651"/>
      <c r="U79" s="865">
        <f t="shared" si="26"/>
        <v>0</v>
      </c>
      <c r="AB79" s="849" t="s">
        <v>1022</v>
      </c>
      <c r="AC79" s="651"/>
      <c r="AD79" s="868">
        <f t="shared" si="27"/>
        <v>0</v>
      </c>
      <c r="AL79" s="1301"/>
      <c r="AM79" s="2943"/>
      <c r="AV79" s="1400"/>
      <c r="AX79" s="740"/>
    </row>
    <row r="80" spans="2:50" ht="15" thickBot="1">
      <c r="B80" s="691" t="s">
        <v>655</v>
      </c>
      <c r="C80" s="854">
        <f>SUM(C73:C79)</f>
        <v>0</v>
      </c>
      <c r="J80" s="669" t="s">
        <v>1010</v>
      </c>
      <c r="K80" s="866"/>
      <c r="L80" s="869">
        <f>SUM(L73:L79)</f>
        <v>0</v>
      </c>
      <c r="S80" s="669" t="s">
        <v>1010</v>
      </c>
      <c r="T80" s="866"/>
      <c r="U80" s="869">
        <f>SUM(U73:U79)</f>
        <v>0</v>
      </c>
      <c r="AB80" s="669" t="s">
        <v>1010</v>
      </c>
      <c r="AC80" s="866"/>
      <c r="AD80" s="869">
        <f>SUM(AD73:AD79)</f>
        <v>0</v>
      </c>
      <c r="AL80" s="1301"/>
      <c r="AM80" s="2939"/>
      <c r="AV80" s="1400"/>
      <c r="AX80" s="2939"/>
    </row>
    <row r="81" spans="2:50" thickBot="1">
      <c r="L81" s="655"/>
      <c r="S81" s="655"/>
      <c r="T81" s="655"/>
      <c r="U81" s="655"/>
      <c r="AK81" s="1301"/>
      <c r="AL81" s="1301"/>
      <c r="AM81" s="1301"/>
    </row>
    <row r="82" spans="2:50" ht="15">
      <c r="B82" s="850" t="s">
        <v>1051</v>
      </c>
      <c r="C82" s="904" t="s">
        <v>1058</v>
      </c>
      <c r="J82" s="827" t="s">
        <v>1055</v>
      </c>
      <c r="K82" s="871"/>
      <c r="L82" s="873" t="s">
        <v>1052</v>
      </c>
      <c r="S82" s="898" t="s">
        <v>1055</v>
      </c>
      <c r="T82" s="871"/>
      <c r="U82" s="873" t="s">
        <v>1052</v>
      </c>
      <c r="AB82" s="753" t="s">
        <v>1055</v>
      </c>
      <c r="AC82" s="871"/>
      <c r="AD82" s="873" t="s">
        <v>1052</v>
      </c>
      <c r="AK82" s="2880"/>
      <c r="AL82" s="2930"/>
      <c r="AM82" s="2938"/>
      <c r="AV82" s="2937"/>
      <c r="AW82" s="2930"/>
      <c r="AX82" s="2938"/>
    </row>
    <row r="83" spans="2:50">
      <c r="B83" s="857" t="s">
        <v>1012</v>
      </c>
      <c r="C83" s="852"/>
      <c r="J83" s="662"/>
      <c r="K83" s="648"/>
      <c r="L83" s="847"/>
      <c r="S83" s="662"/>
      <c r="T83" s="648"/>
      <c r="U83" s="847"/>
      <c r="AB83" s="662"/>
      <c r="AC83" s="648"/>
      <c r="AD83" s="847"/>
      <c r="AK83" s="2882"/>
      <c r="AL83" s="1301"/>
      <c r="AM83" s="1301"/>
      <c r="AV83" s="2882"/>
    </row>
    <row r="84" spans="2:50">
      <c r="B84" s="1446" t="s">
        <v>1708</v>
      </c>
      <c r="C84" s="853">
        <f t="shared" ref="C84:C90" si="29">IF($C$5=1,0,IF($C$5=2,0,IF($C$5=3,0,IF($C$5=4,0,AX84))))</f>
        <v>0</v>
      </c>
      <c r="J84" s="1446" t="s">
        <v>1708</v>
      </c>
      <c r="K84" s="648"/>
      <c r="L84" s="812">
        <f>L62+L73</f>
        <v>627042.06242176867</v>
      </c>
      <c r="S84" s="1446" t="s">
        <v>1708</v>
      </c>
      <c r="T84" s="648"/>
      <c r="U84" s="812">
        <f>U62+U73</f>
        <v>627042.06242176867</v>
      </c>
      <c r="AB84" s="1446" t="s">
        <v>1708</v>
      </c>
      <c r="AC84" s="648"/>
      <c r="AD84" s="812">
        <f>AD62+AD73</f>
        <v>627042.06242176867</v>
      </c>
      <c r="AK84" s="2882"/>
      <c r="AL84" s="1301"/>
      <c r="AM84" s="740"/>
      <c r="AV84" s="2882"/>
      <c r="AX84" s="740"/>
    </row>
    <row r="85" spans="2:50">
      <c r="B85" s="842" t="s">
        <v>1018</v>
      </c>
      <c r="C85" s="853">
        <f t="shared" si="29"/>
        <v>0</v>
      </c>
      <c r="J85" s="662" t="s">
        <v>1018</v>
      </c>
      <c r="K85" s="648"/>
      <c r="L85" s="812">
        <f t="shared" ref="L85:L90" si="30">L63+L74</f>
        <v>0</v>
      </c>
      <c r="S85" s="662" t="s">
        <v>1018</v>
      </c>
      <c r="T85" s="648"/>
      <c r="U85" s="812">
        <f t="shared" ref="U85:U90" si="31">U63+U74</f>
        <v>0</v>
      </c>
      <c r="AB85" s="662" t="s">
        <v>1018</v>
      </c>
      <c r="AC85" s="648"/>
      <c r="AD85" s="812">
        <f t="shared" ref="AD85:AD90" si="32">AD63+AD74</f>
        <v>0</v>
      </c>
      <c r="AK85" s="2882"/>
      <c r="AL85" s="1301"/>
      <c r="AM85" s="740"/>
      <c r="AV85" s="2882"/>
      <c r="AX85" s="740"/>
    </row>
    <row r="86" spans="2:50">
      <c r="B86" s="842" t="s">
        <v>1019</v>
      </c>
      <c r="C86" s="853">
        <f t="shared" si="29"/>
        <v>0</v>
      </c>
      <c r="J86" s="662" t="s">
        <v>1019</v>
      </c>
      <c r="K86" s="648"/>
      <c r="L86" s="812">
        <f t="shared" si="30"/>
        <v>1045000</v>
      </c>
      <c r="S86" s="662" t="s">
        <v>1019</v>
      </c>
      <c r="T86" s="648"/>
      <c r="U86" s="812">
        <f t="shared" si="31"/>
        <v>850000</v>
      </c>
      <c r="AB86" s="662" t="s">
        <v>1019</v>
      </c>
      <c r="AC86" s="648"/>
      <c r="AD86" s="812">
        <f t="shared" si="32"/>
        <v>1240000</v>
      </c>
      <c r="AK86" s="2882"/>
      <c r="AL86" s="1301"/>
      <c r="AM86" s="740"/>
      <c r="AV86" s="2882"/>
      <c r="AX86" s="740"/>
    </row>
    <row r="87" spans="2:50">
      <c r="B87" s="842" t="s">
        <v>348</v>
      </c>
      <c r="C87" s="853">
        <f t="shared" si="29"/>
        <v>0</v>
      </c>
      <c r="J87" s="666" t="s">
        <v>348</v>
      </c>
      <c r="K87" s="648"/>
      <c r="L87" s="812">
        <f t="shared" si="30"/>
        <v>6136200</v>
      </c>
      <c r="S87" s="666" t="s">
        <v>348</v>
      </c>
      <c r="T87" s="648"/>
      <c r="U87" s="812">
        <f t="shared" si="31"/>
        <v>4590000</v>
      </c>
      <c r="AB87" s="666" t="s">
        <v>348</v>
      </c>
      <c r="AC87" s="648"/>
      <c r="AD87" s="812">
        <f t="shared" si="32"/>
        <v>6572000</v>
      </c>
      <c r="AL87" s="1301"/>
      <c r="AM87" s="740"/>
      <c r="AV87" s="1400"/>
      <c r="AX87" s="740"/>
    </row>
    <row r="88" spans="2:50">
      <c r="B88" s="842" t="s">
        <v>1020</v>
      </c>
      <c r="C88" s="853">
        <f t="shared" si="29"/>
        <v>0</v>
      </c>
      <c r="J88" s="666" t="s">
        <v>1020</v>
      </c>
      <c r="K88" s="648"/>
      <c r="L88" s="812">
        <f t="shared" si="30"/>
        <v>357139</v>
      </c>
      <c r="S88" s="666" t="s">
        <v>1020</v>
      </c>
      <c r="T88" s="648"/>
      <c r="U88" s="812">
        <f t="shared" si="31"/>
        <v>355450</v>
      </c>
      <c r="AB88" s="666" t="s">
        <v>1020</v>
      </c>
      <c r="AC88" s="648"/>
      <c r="AD88" s="812">
        <f t="shared" si="32"/>
        <v>377710</v>
      </c>
      <c r="AL88" s="1301"/>
      <c r="AM88" s="740"/>
      <c r="AV88" s="1400"/>
      <c r="AX88" s="740"/>
    </row>
    <row r="89" spans="2:50">
      <c r="B89" s="842" t="s">
        <v>1021</v>
      </c>
      <c r="C89" s="853">
        <f t="shared" si="29"/>
        <v>0</v>
      </c>
      <c r="J89" s="666" t="s">
        <v>1021</v>
      </c>
      <c r="K89" s="648"/>
      <c r="L89" s="812">
        <f t="shared" si="30"/>
        <v>1213600</v>
      </c>
      <c r="S89" s="666" t="s">
        <v>1021</v>
      </c>
      <c r="T89" s="648"/>
      <c r="U89" s="812">
        <f t="shared" si="31"/>
        <v>1077060</v>
      </c>
      <c r="AB89" s="666" t="s">
        <v>1021</v>
      </c>
      <c r="AC89" s="648"/>
      <c r="AD89" s="812">
        <f t="shared" si="32"/>
        <v>1413766</v>
      </c>
      <c r="AL89" s="1301"/>
      <c r="AM89" s="740"/>
      <c r="AV89" s="1400"/>
      <c r="AX89" s="740"/>
    </row>
    <row r="90" spans="2:50" ht="15" thickBot="1">
      <c r="B90" s="842" t="s">
        <v>1022</v>
      </c>
      <c r="C90" s="853">
        <f t="shared" si="29"/>
        <v>0</v>
      </c>
      <c r="J90" s="667" t="s">
        <v>1022</v>
      </c>
      <c r="K90" s="651"/>
      <c r="L90" s="872">
        <f t="shared" si="30"/>
        <v>769000</v>
      </c>
      <c r="S90" s="667" t="s">
        <v>1022</v>
      </c>
      <c r="T90" s="651"/>
      <c r="U90" s="872">
        <f t="shared" si="31"/>
        <v>923578</v>
      </c>
      <c r="AB90" s="667" t="s">
        <v>1022</v>
      </c>
      <c r="AC90" s="651"/>
      <c r="AD90" s="872">
        <f t="shared" si="32"/>
        <v>1620891</v>
      </c>
      <c r="AL90" s="1301"/>
      <c r="AM90" s="740"/>
      <c r="AV90" s="1400"/>
      <c r="AX90" s="740"/>
    </row>
    <row r="91" spans="2:50" ht="15" thickBot="1">
      <c r="B91" s="691" t="s">
        <v>655</v>
      </c>
      <c r="C91" s="854">
        <f>SUM(C84:C90)</f>
        <v>0</v>
      </c>
      <c r="J91" s="830" t="s">
        <v>1010</v>
      </c>
      <c r="K91" s="866"/>
      <c r="L91" s="801">
        <f>SUM(L84:L90)</f>
        <v>10147981.062421769</v>
      </c>
      <c r="S91" s="830" t="s">
        <v>1010</v>
      </c>
      <c r="T91" s="866"/>
      <c r="U91" s="801">
        <f>SUM(U84:U90)</f>
        <v>8423130.0624217689</v>
      </c>
      <c r="AB91" s="830" t="s">
        <v>1010</v>
      </c>
      <c r="AC91" s="866"/>
      <c r="AD91" s="801">
        <f>SUM(AD84:AD90)</f>
        <v>11851409.062421769</v>
      </c>
      <c r="AL91" s="1301"/>
      <c r="AM91" s="2922"/>
      <c r="AV91" s="1400"/>
      <c r="AX91" s="2939"/>
    </row>
    <row r="92" spans="2:50" outlineLevel="1">
      <c r="L92" s="655"/>
    </row>
    <row r="93" spans="2:50" outlineLevel="1">
      <c r="B93" s="857" t="s">
        <v>1054</v>
      </c>
      <c r="C93" s="852"/>
      <c r="AV93" s="2880"/>
      <c r="AW93" s="2930"/>
      <c r="AX93" s="2938"/>
    </row>
    <row r="94" spans="2:50" outlineLevel="1">
      <c r="B94" s="1446" t="s">
        <v>1708</v>
      </c>
      <c r="C94" s="853">
        <f>C62+C73+C84</f>
        <v>627042.06242176867</v>
      </c>
      <c r="AV94" s="2882"/>
    </row>
    <row r="95" spans="2:50" outlineLevel="1">
      <c r="B95" s="842" t="s">
        <v>1018</v>
      </c>
      <c r="C95" s="853">
        <f t="shared" ref="C95:C100" si="33">C63+C74+C85</f>
        <v>0</v>
      </c>
      <c r="AV95" s="2882"/>
      <c r="AX95" s="740"/>
    </row>
    <row r="96" spans="2:50" outlineLevel="1">
      <c r="B96" s="842" t="s">
        <v>1019</v>
      </c>
      <c r="C96" s="853">
        <f t="shared" si="33"/>
        <v>1240000</v>
      </c>
      <c r="AV96" s="2882"/>
      <c r="AX96" s="740"/>
    </row>
    <row r="97" spans="2:50" outlineLevel="1">
      <c r="B97" s="842" t="s">
        <v>348</v>
      </c>
      <c r="C97" s="853">
        <f t="shared" si="33"/>
        <v>6572000</v>
      </c>
      <c r="AV97" s="2882"/>
      <c r="AX97" s="740"/>
    </row>
    <row r="98" spans="2:50" outlineLevel="1">
      <c r="B98" s="842" t="s">
        <v>1020</v>
      </c>
      <c r="C98" s="853">
        <f t="shared" si="33"/>
        <v>377710</v>
      </c>
      <c r="AV98" s="1400"/>
      <c r="AX98" s="740"/>
    </row>
    <row r="99" spans="2:50" outlineLevel="1">
      <c r="B99" s="842" t="s">
        <v>1021</v>
      </c>
      <c r="C99" s="853">
        <f t="shared" si="33"/>
        <v>1413766</v>
      </c>
      <c r="AV99" s="1400"/>
      <c r="AX99" s="740"/>
    </row>
    <row r="100" spans="2:50" outlineLevel="1">
      <c r="B100" s="842" t="s">
        <v>1022</v>
      </c>
      <c r="C100" s="853">
        <f t="shared" si="33"/>
        <v>1620891</v>
      </c>
      <c r="AV100" s="1400"/>
      <c r="AX100" s="740"/>
    </row>
    <row r="101" spans="2:50" ht="15" outlineLevel="1" thickBot="1">
      <c r="B101" s="691" t="s">
        <v>655</v>
      </c>
      <c r="C101" s="854">
        <f>SUM(C94:C100)</f>
        <v>11851409.062421769</v>
      </c>
      <c r="AV101" s="1400"/>
      <c r="AX101" s="740"/>
    </row>
    <row r="102" spans="2:50">
      <c r="AV102" s="1400"/>
      <c r="AX102" s="2922"/>
    </row>
    <row r="104" spans="2:50" ht="15" thickBot="1"/>
    <row r="105" spans="2:50" ht="15.75" thickBot="1">
      <c r="B105" s="3375" t="s">
        <v>1233</v>
      </c>
      <c r="C105" s="3376"/>
    </row>
    <row r="106" spans="2:50">
      <c r="B106" s="1024"/>
      <c r="C106" s="1028" t="s">
        <v>1414</v>
      </c>
    </row>
    <row r="107" spans="2:50">
      <c r="B107" s="822" t="s">
        <v>1227</v>
      </c>
      <c r="C107" s="1025">
        <f>S121</f>
        <v>30.228636438000002</v>
      </c>
    </row>
    <row r="108" spans="2:50">
      <c r="B108" s="822" t="s">
        <v>1228</v>
      </c>
      <c r="C108" s="1025">
        <f>S122</f>
        <v>30.215636451000002</v>
      </c>
      <c r="L108" s="2260"/>
      <c r="M108" s="2261"/>
    </row>
    <row r="109" spans="2:50" ht="15" thickBot="1">
      <c r="B109" s="691" t="s">
        <v>1229</v>
      </c>
      <c r="C109" s="1026">
        <f>S123</f>
        <v>30.238414206000005</v>
      </c>
    </row>
    <row r="110" spans="2:50" ht="15" thickBot="1">
      <c r="O110" s="2261"/>
    </row>
    <row r="111" spans="2:50" ht="15.75" thickBot="1">
      <c r="B111" s="3375" t="s">
        <v>1232</v>
      </c>
      <c r="C111" s="3377"/>
      <c r="D111" s="1310"/>
    </row>
    <row r="112" spans="2:50" ht="15">
      <c r="B112" s="1024"/>
      <c r="C112" s="1294" t="s">
        <v>1437</v>
      </c>
      <c r="D112" s="1311" t="s">
        <v>1438</v>
      </c>
    </row>
    <row r="113" spans="2:21">
      <c r="B113" s="822" t="s">
        <v>1227</v>
      </c>
      <c r="C113" s="1312">
        <f t="shared" ref="C113:D115" si="34">L131</f>
        <v>5.8353274980000007</v>
      </c>
      <c r="D113" s="1308">
        <f t="shared" si="34"/>
        <v>0.75333258000000003</v>
      </c>
    </row>
    <row r="114" spans="2:21">
      <c r="B114" s="822" t="s">
        <v>1228</v>
      </c>
      <c r="C114" s="1312">
        <f t="shared" si="34"/>
        <v>5.6269943730000005</v>
      </c>
      <c r="D114" s="1308">
        <f t="shared" si="34"/>
        <v>0.75799924200000013</v>
      </c>
      <c r="L114" s="2261"/>
    </row>
    <row r="115" spans="2:21" ht="15" thickBot="1">
      <c r="B115" s="691" t="s">
        <v>1229</v>
      </c>
      <c r="C115" s="1313">
        <f t="shared" si="34"/>
        <v>5.4159945840000008</v>
      </c>
      <c r="D115" s="1306">
        <f t="shared" si="34"/>
        <v>0.78533254800000007</v>
      </c>
    </row>
    <row r="117" spans="2:21">
      <c r="R117" s="3110"/>
    </row>
    <row r="118" spans="2:21" ht="15" thickBot="1"/>
    <row r="119" spans="2:21" ht="15.75" thickBot="1">
      <c r="J119" s="3378" t="s">
        <v>1399</v>
      </c>
      <c r="K119" s="3379"/>
      <c r="L119" s="3379"/>
      <c r="M119" s="3379"/>
      <c r="N119" s="3380" t="s">
        <v>1400</v>
      </c>
      <c r="O119" s="3379"/>
      <c r="P119" s="3379"/>
      <c r="Q119" s="3379"/>
      <c r="R119" s="1279"/>
      <c r="S119" s="1281"/>
      <c r="T119" s="1286" t="s">
        <v>1404</v>
      </c>
      <c r="U119" s="1284" t="s">
        <v>1223</v>
      </c>
    </row>
    <row r="120" spans="2:21">
      <c r="J120" s="1275" t="s">
        <v>1396</v>
      </c>
      <c r="K120" s="1172" t="s">
        <v>1397</v>
      </c>
      <c r="L120" s="1277" t="s">
        <v>1398</v>
      </c>
      <c r="M120" s="1277" t="s">
        <v>1402</v>
      </c>
      <c r="N120" s="1276" t="s">
        <v>1397</v>
      </c>
      <c r="O120" s="1277" t="s">
        <v>1401</v>
      </c>
      <c r="P120" s="1276" t="s">
        <v>1402</v>
      </c>
      <c r="Q120" s="1276" t="s">
        <v>1403</v>
      </c>
      <c r="R120" s="1276" t="s">
        <v>1413</v>
      </c>
      <c r="S120" s="1282" t="s">
        <v>1415</v>
      </c>
      <c r="T120" s="1289">
        <v>2.21</v>
      </c>
      <c r="U120" s="775"/>
    </row>
    <row r="121" spans="2:21">
      <c r="J121" s="1278">
        <v>0.5</v>
      </c>
      <c r="K121" s="648">
        <v>1057.43</v>
      </c>
      <c r="L121" s="790">
        <v>47214816.859999999</v>
      </c>
      <c r="M121" s="790">
        <f>L121/1000</f>
        <v>47214.816859999999</v>
      </c>
      <c r="N121" s="790">
        <v>126.55</v>
      </c>
      <c r="O121" s="790">
        <v>5650483.5099999998</v>
      </c>
      <c r="P121" s="790">
        <f>O121/1000</f>
        <v>5650.48351</v>
      </c>
      <c r="Q121" s="3099">
        <v>45343</v>
      </c>
      <c r="R121" s="790">
        <f>500000/333.333</f>
        <v>1500.0015000014998</v>
      </c>
      <c r="S121" s="1283">
        <f>Q121/R121</f>
        <v>30.228636438000002</v>
      </c>
      <c r="T121" s="1290">
        <f>S121*$T$120</f>
        <v>66.805286527980002</v>
      </c>
      <c r="U121" s="1285">
        <f>500000*T121</f>
        <v>33402643.26399</v>
      </c>
    </row>
    <row r="122" spans="2:21">
      <c r="J122" s="1278">
        <v>1</v>
      </c>
      <c r="K122" s="648">
        <v>2131.33</v>
      </c>
      <c r="L122" s="790">
        <v>95165178.719999999</v>
      </c>
      <c r="M122" s="790">
        <f>L122/1000</f>
        <v>95165.178719999996</v>
      </c>
      <c r="N122" s="790">
        <v>252.2</v>
      </c>
      <c r="O122" s="790">
        <v>11260747.460000001</v>
      </c>
      <c r="P122" s="790">
        <f>O122/1000</f>
        <v>11260.747460000001</v>
      </c>
      <c r="Q122" s="3099">
        <v>90647</v>
      </c>
      <c r="R122" s="790">
        <f>1000000/333.333</f>
        <v>3000.0030000029997</v>
      </c>
      <c r="S122" s="1283">
        <f>Q122/R122</f>
        <v>30.215636451000002</v>
      </c>
      <c r="T122" s="1290">
        <f>S122*$T$120</f>
        <v>66.776556556710005</v>
      </c>
      <c r="U122" s="1285">
        <f>1000000*T122</f>
        <v>66776556.556710005</v>
      </c>
    </row>
    <row r="123" spans="2:21">
      <c r="J123" s="1278">
        <v>1.5</v>
      </c>
      <c r="K123" s="648">
        <v>3186.36</v>
      </c>
      <c r="L123" s="790">
        <v>142272962.28999999</v>
      </c>
      <c r="M123" s="790">
        <f>L123/1000</f>
        <v>142272.96229</v>
      </c>
      <c r="N123" s="790">
        <v>380.61</v>
      </c>
      <c r="O123" s="790">
        <v>16994294</v>
      </c>
      <c r="P123" s="790">
        <f>O123/1000</f>
        <v>16994.294000000002</v>
      </c>
      <c r="Q123" s="3099">
        <v>136073</v>
      </c>
      <c r="R123" s="790">
        <f>1500000/333.333</f>
        <v>4500.0045000044993</v>
      </c>
      <c r="S123" s="1283">
        <f>Q123/R123</f>
        <v>30.238414206000005</v>
      </c>
      <c r="T123" s="1290">
        <f>S123*$T$120</f>
        <v>66.82689539526001</v>
      </c>
      <c r="U123" s="1285">
        <f>1500000*T123</f>
        <v>100240343.09289001</v>
      </c>
    </row>
    <row r="124" spans="2:21" ht="15" thickBot="1">
      <c r="J124" s="1170"/>
      <c r="K124" s="1171"/>
      <c r="L124" s="1173"/>
      <c r="M124" s="1173"/>
      <c r="N124" s="1173"/>
      <c r="O124" s="1173"/>
      <c r="P124" s="1173">
        <f>O124/1000</f>
        <v>0</v>
      </c>
      <c r="Q124" s="1173">
        <f>M124+P124</f>
        <v>0</v>
      </c>
      <c r="R124" s="1173"/>
      <c r="S124" s="1287"/>
      <c r="T124" s="1291">
        <f>S124*$M$148</f>
        <v>0</v>
      </c>
      <c r="U124" s="1288">
        <f>1750000*T124</f>
        <v>0</v>
      </c>
    </row>
    <row r="127" spans="2:21" ht="15" thickBot="1"/>
    <row r="128" spans="2:21" ht="15">
      <c r="J128" s="1296"/>
      <c r="K128" s="1297" t="s">
        <v>1231</v>
      </c>
      <c r="L128" s="1298"/>
      <c r="M128" s="1299"/>
    </row>
    <row r="129" spans="10:15" ht="15">
      <c r="J129" s="1300"/>
      <c r="K129" s="1301"/>
      <c r="L129" s="3373"/>
      <c r="M129" s="3374"/>
      <c r="O129" s="702">
        <f>M121+Q121</f>
        <v>92557.816859999992</v>
      </c>
    </row>
    <row r="130" spans="10:15" ht="15">
      <c r="J130" s="649"/>
      <c r="K130" s="1169"/>
      <c r="L130" s="1294" t="s">
        <v>1437</v>
      </c>
      <c r="M130" s="1302" t="s">
        <v>1438</v>
      </c>
    </row>
    <row r="131" spans="10:15">
      <c r="J131" s="649">
        <v>1</v>
      </c>
      <c r="K131" s="648" t="s">
        <v>1227</v>
      </c>
      <c r="L131" s="1293">
        <f>L139/L145</f>
        <v>5.8353274980000007</v>
      </c>
      <c r="M131" s="1303">
        <f>L140/L145</f>
        <v>0.75333258000000003</v>
      </c>
    </row>
    <row r="132" spans="10:15">
      <c r="J132" s="649">
        <v>2</v>
      </c>
      <c r="K132" s="648" t="s">
        <v>1442</v>
      </c>
      <c r="L132" s="1292">
        <f>M139/M145</f>
        <v>5.6269943730000005</v>
      </c>
      <c r="M132" s="1303">
        <f>M140/M145</f>
        <v>0.75799924200000013</v>
      </c>
    </row>
    <row r="133" spans="10:15" ht="15" thickBot="1">
      <c r="J133" s="1170">
        <v>3</v>
      </c>
      <c r="K133" s="1171" t="s">
        <v>1229</v>
      </c>
      <c r="L133" s="1304">
        <f>N139/N145</f>
        <v>5.4159945840000008</v>
      </c>
      <c r="M133" s="1305">
        <f>N140/N145</f>
        <v>0.78533254800000007</v>
      </c>
    </row>
    <row r="136" spans="10:15">
      <c r="N136" s="702">
        <f>L139*2</f>
        <v>17506</v>
      </c>
    </row>
    <row r="137" spans="10:15" ht="15" thickBot="1"/>
    <row r="138" spans="10:15" ht="15" thickBot="1">
      <c r="J138" s="2341" t="s">
        <v>1433</v>
      </c>
      <c r="K138" s="2342"/>
      <c r="L138" s="2343">
        <v>0.5</v>
      </c>
      <c r="M138" s="2343">
        <v>1</v>
      </c>
      <c r="N138" s="2344">
        <v>1.5</v>
      </c>
    </row>
    <row r="139" spans="10:15">
      <c r="J139" s="822" t="s">
        <v>1423</v>
      </c>
      <c r="K139" s="1172" t="s">
        <v>1427</v>
      </c>
      <c r="L139" s="1276">
        <v>8753</v>
      </c>
      <c r="M139" s="1276">
        <v>16881</v>
      </c>
      <c r="N139" s="2345">
        <v>24372</v>
      </c>
    </row>
    <row r="140" spans="10:15">
      <c r="J140" s="822" t="s">
        <v>1424</v>
      </c>
      <c r="K140" s="1169" t="s">
        <v>1427</v>
      </c>
      <c r="L140" s="790">
        <v>1130</v>
      </c>
      <c r="M140" s="790">
        <v>2274</v>
      </c>
      <c r="N140" s="812">
        <v>3534</v>
      </c>
    </row>
    <row r="141" spans="10:15">
      <c r="J141" s="822" t="s">
        <v>1425</v>
      </c>
      <c r="K141" s="1169" t="s">
        <v>1427</v>
      </c>
      <c r="L141" s="766">
        <f>SUM(L139:L140)</f>
        <v>9883</v>
      </c>
      <c r="M141" s="766">
        <f>SUM(M139:M140)</f>
        <v>19155</v>
      </c>
      <c r="N141" s="646">
        <f>SUM(N139:N140)</f>
        <v>27906</v>
      </c>
    </row>
    <row r="142" spans="10:15" ht="15.75">
      <c r="J142" s="822" t="s">
        <v>1425</v>
      </c>
      <c r="K142" s="1169" t="s">
        <v>1429</v>
      </c>
      <c r="L142" s="790">
        <v>9963</v>
      </c>
      <c r="M142" s="790">
        <v>19309</v>
      </c>
      <c r="N142" s="812">
        <v>28131</v>
      </c>
    </row>
    <row r="143" spans="10:15">
      <c r="J143" s="822" t="s">
        <v>1426</v>
      </c>
      <c r="K143" s="1169" t="s">
        <v>1430</v>
      </c>
      <c r="L143" s="790">
        <f>1220*333.33*L144</f>
        <v>406662.6</v>
      </c>
      <c r="M143" s="790">
        <f>2458*333.333*M144</f>
        <v>819332.51400000008</v>
      </c>
      <c r="N143" s="812">
        <f>3723*333.333*N144</f>
        <v>1240998.7590000001</v>
      </c>
    </row>
    <row r="144" spans="10:15">
      <c r="J144" s="822" t="s">
        <v>1431</v>
      </c>
      <c r="K144" s="1169" t="s">
        <v>1058</v>
      </c>
      <c r="L144" s="790">
        <v>1</v>
      </c>
      <c r="M144" s="1307">
        <f>Cost_of_Water</f>
        <v>1</v>
      </c>
      <c r="N144" s="1309">
        <f>Cost_of_Water</f>
        <v>1</v>
      </c>
    </row>
    <row r="145" spans="10:15" ht="15" thickBot="1">
      <c r="J145" s="1170" t="s">
        <v>1443</v>
      </c>
      <c r="K145" s="2340"/>
      <c r="L145" s="1173">
        <f>R121</f>
        <v>1500.0015000014998</v>
      </c>
      <c r="M145" s="1173">
        <f>R122</f>
        <v>3000.0030000029997</v>
      </c>
      <c r="N145" s="1174">
        <f>R123</f>
        <v>4500.0045000044993</v>
      </c>
    </row>
    <row r="148" spans="10:15">
      <c r="L148" s="702">
        <f>500000/333.3333</f>
        <v>1500.0001500000149</v>
      </c>
    </row>
    <row r="150" spans="10:15">
      <c r="L150" s="742">
        <f>L140*333.333</f>
        <v>376666.29000000004</v>
      </c>
      <c r="M150" s="655"/>
      <c r="N150" s="655"/>
      <c r="O150" s="655"/>
    </row>
    <row r="151" spans="10:15">
      <c r="L151" s="655"/>
      <c r="M151" s="655"/>
      <c r="N151" s="655"/>
      <c r="O151" s="655"/>
    </row>
    <row r="152" spans="10:15">
      <c r="L152" s="655"/>
      <c r="M152" s="655"/>
      <c r="N152" s="655"/>
      <c r="O152" s="655"/>
    </row>
    <row r="153" spans="10:15">
      <c r="L153" s="655"/>
      <c r="M153" s="655"/>
      <c r="N153" s="655"/>
      <c r="O153" s="655"/>
    </row>
    <row r="154" spans="10:15">
      <c r="L154" s="655"/>
      <c r="M154" s="655"/>
      <c r="N154" s="655"/>
      <c r="O154" s="655"/>
    </row>
    <row r="155" spans="10:15">
      <c r="L155" s="655"/>
      <c r="M155" s="655"/>
      <c r="N155" s="655"/>
      <c r="O155" s="655"/>
    </row>
    <row r="156" spans="10:15">
      <c r="L156" s="655"/>
      <c r="M156" s="655"/>
      <c r="N156" s="655"/>
      <c r="O156" s="655"/>
    </row>
    <row r="157" spans="10:15">
      <c r="L157" s="655"/>
      <c r="M157" s="655"/>
      <c r="N157" s="655"/>
      <c r="O157" s="655"/>
    </row>
    <row r="184" spans="6:10">
      <c r="F184" s="1870" t="s">
        <v>1894</v>
      </c>
      <c r="G184" s="1871"/>
      <c r="H184" s="1871"/>
      <c r="I184" s="1871"/>
      <c r="J184" s="1871"/>
    </row>
    <row r="185" spans="6:10">
      <c r="F185" s="648" t="s">
        <v>1895</v>
      </c>
      <c r="G185" s="790">
        <v>500000</v>
      </c>
      <c r="H185" s="648"/>
      <c r="I185" s="648"/>
      <c r="J185" s="648"/>
    </row>
    <row r="186" spans="6:10">
      <c r="H186" s="648"/>
      <c r="I186" s="1169" t="s">
        <v>1899</v>
      </c>
      <c r="J186" s="1169" t="s">
        <v>1058</v>
      </c>
    </row>
    <row r="187" spans="6:10">
      <c r="F187" s="648" t="s">
        <v>1896</v>
      </c>
      <c r="G187" s="790">
        <v>3000000</v>
      </c>
      <c r="H187" s="766">
        <f>G187/Fx_Rate</f>
        <v>2142.8571428571427</v>
      </c>
      <c r="I187" s="790">
        <f>G187*G185</f>
        <v>1500000000000</v>
      </c>
      <c r="J187" s="766">
        <f>I187/Fx_Rate</f>
        <v>1071428571.4285715</v>
      </c>
    </row>
    <row r="188" spans="6:10">
      <c r="F188" s="648" t="s">
        <v>1897</v>
      </c>
      <c r="G188" s="790">
        <v>3000000</v>
      </c>
      <c r="H188" s="766">
        <f>G188/Fx_Rate</f>
        <v>2142.8571428571427</v>
      </c>
      <c r="I188" s="790">
        <f>G188*G185</f>
        <v>1500000000000</v>
      </c>
      <c r="J188" s="766">
        <f>I188/Fx_Rate</f>
        <v>1071428571.4285715</v>
      </c>
    </row>
    <row r="189" spans="6:10">
      <c r="F189" s="648" t="s">
        <v>1898</v>
      </c>
      <c r="G189" s="790">
        <v>5000000</v>
      </c>
      <c r="H189" s="766">
        <f>G189/Fx_Rate</f>
        <v>3571.4285714285716</v>
      </c>
      <c r="I189" s="790">
        <f>G189*G185</f>
        <v>2500000000000</v>
      </c>
      <c r="J189" s="766">
        <f>I189/Fx_Rate</f>
        <v>1785714285.7142856</v>
      </c>
    </row>
    <row r="194" spans="5:9">
      <c r="E194" s="1869" t="s">
        <v>867</v>
      </c>
      <c r="F194" s="1872">
        <v>1</v>
      </c>
      <c r="G194" s="655">
        <v>1.25</v>
      </c>
      <c r="H194" s="655">
        <v>1.5</v>
      </c>
      <c r="I194" s="655">
        <v>1.1160000000000001</v>
      </c>
    </row>
  </sheetData>
  <sheetProtection formatCells="0" formatColumns="0" formatRows="0" insertColumns="0" insertRows="0" insertHyperlinks="0" deleteColumns="0" deleteRows="0" sort="0" autoFilter="0" pivotTables="0"/>
  <mergeCells count="19">
    <mergeCell ref="AF60:AH60"/>
    <mergeCell ref="AP60:AR60"/>
    <mergeCell ref="AS60:AU60"/>
    <mergeCell ref="E8:E9"/>
    <mergeCell ref="F8:G8"/>
    <mergeCell ref="N8:N9"/>
    <mergeCell ref="O8:P8"/>
    <mergeCell ref="X8:Z8"/>
    <mergeCell ref="AP7:AT7"/>
    <mergeCell ref="B7:C7"/>
    <mergeCell ref="N7:Q7"/>
    <mergeCell ref="W7:Z7"/>
    <mergeCell ref="AF7:AI7"/>
    <mergeCell ref="E7:H7"/>
    <mergeCell ref="L129:M129"/>
    <mergeCell ref="B105:C105"/>
    <mergeCell ref="B111:C111"/>
    <mergeCell ref="J119:M119"/>
    <mergeCell ref="N119:Q119"/>
  </mergeCells>
  <pageMargins left="0.7" right="0.7" top="0.75" bottom="0.75" header="0.3" footer="0.3"/>
  <pageSetup orientation="portrait" r:id="rId1"/>
  <ignoredErrors>
    <ignoredError sqref="C42 C27 C30 C54 H39 X39:Y39 O39 U18 C18 AD18 I188:I189 L18 L42 L30" formula="1"/>
    <ignoredError sqref="C2:C3 C5" unlockedFormula="1"/>
    <ignoredError sqref="F36:G36 X36 O36 L141:N141" formulaRange="1"/>
    <ignoredError sqref="F39:G39" formula="1" formulaRange="1"/>
  </ignoredError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F8717-9004-418E-A7E9-A4DAE6BFF7E6}">
  <sheetPr codeName="Sheet44">
    <tabColor theme="9" tint="0.39997558519241921"/>
  </sheetPr>
  <dimension ref="A2:R86"/>
  <sheetViews>
    <sheetView topLeftCell="C1" zoomScale="88" zoomScaleNormal="88" workbookViewId="0">
      <selection activeCell="H76" sqref="H76"/>
    </sheetView>
  </sheetViews>
  <sheetFormatPr defaultRowHeight="15"/>
  <cols>
    <col min="4" max="4" width="47.21484375" customWidth="1"/>
    <col min="5" max="5" width="12.64453125" customWidth="1"/>
    <col min="6" max="6" width="22.59765625" customWidth="1"/>
    <col min="7" max="7" width="21.92578125" customWidth="1"/>
    <col min="8" max="8" width="24.6171875" customWidth="1"/>
    <col min="9" max="9" width="20.4453125" customWidth="1"/>
    <col min="10" max="10" width="20.84765625" customWidth="1"/>
    <col min="11" max="11" width="27.171875" customWidth="1"/>
    <col min="12" max="12" width="16.94921875" customWidth="1"/>
    <col min="13" max="13" width="17.75390625" customWidth="1"/>
    <col min="17" max="17" width="13.85546875" customWidth="1"/>
    <col min="18" max="18" width="16.27734375" customWidth="1"/>
  </cols>
  <sheetData>
    <row r="2" spans="1:18">
      <c r="G2">
        <v>8000</v>
      </c>
      <c r="H2" s="395">
        <v>0.67385739760384689</v>
      </c>
      <c r="I2" s="395">
        <v>0.32614260239615311</v>
      </c>
      <c r="L2">
        <f>170</f>
        <v>170</v>
      </c>
    </row>
    <row r="3" spans="1:18" ht="15.75" thickBot="1">
      <c r="G3" s="923">
        <v>7999.998725119106</v>
      </c>
      <c r="H3" s="395">
        <v>0.67385741285625311</v>
      </c>
      <c r="I3" s="395">
        <v>0.32614258714374689</v>
      </c>
      <c r="L3" s="413">
        <f>G7*1500</f>
        <v>4894575</v>
      </c>
      <c r="M3" s="413">
        <f>L3/L2</f>
        <v>28791.617647058825</v>
      </c>
    </row>
    <row r="4" spans="1:18">
      <c r="D4" s="3399" t="s">
        <v>1466</v>
      </c>
      <c r="E4" s="3400"/>
      <c r="F4" s="3400"/>
      <c r="G4" s="3400"/>
      <c r="H4" s="3400"/>
      <c r="I4" s="3400"/>
      <c r="J4" s="1341"/>
    </row>
    <row r="5" spans="1:18">
      <c r="D5" s="1320" t="s">
        <v>1006</v>
      </c>
      <c r="E5" s="1316"/>
      <c r="F5" s="1316" t="s">
        <v>1459</v>
      </c>
      <c r="G5" s="1324" t="s">
        <v>1460</v>
      </c>
      <c r="H5" s="1175" t="s">
        <v>1461</v>
      </c>
      <c r="I5" s="1316" t="s">
        <v>1462</v>
      </c>
      <c r="J5" s="1321" t="s">
        <v>1463</v>
      </c>
      <c r="Q5" s="434"/>
      <c r="R5" s="434"/>
    </row>
    <row r="6" spans="1:18">
      <c r="D6" s="1320"/>
      <c r="E6" s="1316"/>
      <c r="F6" s="1316"/>
      <c r="G6" s="2303" t="s">
        <v>1464</v>
      </c>
      <c r="H6" s="1175" t="s">
        <v>1058</v>
      </c>
      <c r="I6" s="1175" t="s">
        <v>207</v>
      </c>
      <c r="J6" s="2313" t="s">
        <v>207</v>
      </c>
      <c r="Q6" s="434"/>
      <c r="R6" s="434"/>
    </row>
    <row r="7" spans="1:18">
      <c r="D7" s="3404">
        <v>1</v>
      </c>
      <c r="E7" s="437" t="s">
        <v>993</v>
      </c>
      <c r="F7" s="1327" t="s">
        <v>1465</v>
      </c>
      <c r="G7" s="2302">
        <v>3263.05</v>
      </c>
      <c r="H7" s="541">
        <f>H3*J7</f>
        <v>13192214.388672924</v>
      </c>
      <c r="I7" s="541">
        <f>I3*J7</f>
        <v>6384945.6113270754</v>
      </c>
      <c r="J7" s="2029">
        <v>19577160</v>
      </c>
      <c r="L7" s="923">
        <f>H7/G7</f>
        <v>4042.9090540055845</v>
      </c>
      <c r="Q7" s="434"/>
      <c r="R7" s="434"/>
    </row>
    <row r="8" spans="1:18" ht="15.75" thickBot="1">
      <c r="D8" s="3402"/>
      <c r="E8" s="1332" t="s">
        <v>1005</v>
      </c>
      <c r="F8" s="1333" t="s">
        <v>1465</v>
      </c>
      <c r="G8" s="1334">
        <v>3137.5479999999998</v>
      </c>
      <c r="H8" s="1334">
        <f>H3*J8</f>
        <v>13192214.388672924</v>
      </c>
      <c r="I8" s="1334">
        <f>I3*J8</f>
        <v>6384945.6113270754</v>
      </c>
      <c r="J8" s="2314">
        <v>19577160</v>
      </c>
      <c r="L8" s="923">
        <f t="shared" ref="L8:L17" si="0">H8/G8</f>
        <v>4204.6255192503586</v>
      </c>
      <c r="Q8" s="434"/>
      <c r="R8" s="434"/>
    </row>
    <row r="9" spans="1:18">
      <c r="D9" s="3401">
        <v>1.25</v>
      </c>
      <c r="E9" s="455" t="s">
        <v>993</v>
      </c>
      <c r="F9" s="1328" t="s">
        <v>1465</v>
      </c>
      <c r="G9" s="1344">
        <f>(G7+G14)/2</f>
        <v>4180.7870000000003</v>
      </c>
      <c r="H9" s="1344">
        <f>H3*J9</f>
        <v>22582168.109582055</v>
      </c>
      <c r="I9" s="1344">
        <f>I3*J9</f>
        <v>10929621.890417945</v>
      </c>
      <c r="J9" s="2304">
        <v>33511790</v>
      </c>
      <c r="L9" s="923">
        <f t="shared" si="0"/>
        <v>5401.4155970112934</v>
      </c>
      <c r="Q9" s="434"/>
      <c r="R9" s="434"/>
    </row>
    <row r="10" spans="1:18" ht="15.75" thickBot="1">
      <c r="D10" s="3403"/>
      <c r="E10" s="1323" t="s">
        <v>1005</v>
      </c>
      <c r="F10" s="1329" t="s">
        <v>1465</v>
      </c>
      <c r="G10" s="1345">
        <f>(G8+G15)/2</f>
        <v>3973.7379999999998</v>
      </c>
      <c r="H10" s="1345">
        <f>H3*J10</f>
        <v>13192214.388672924</v>
      </c>
      <c r="I10" s="1345">
        <f>I3*J10</f>
        <v>6384945.6113270754</v>
      </c>
      <c r="J10" s="2306">
        <v>19577160</v>
      </c>
      <c r="L10" s="923">
        <f t="shared" si="0"/>
        <v>3319.8500728213394</v>
      </c>
      <c r="Q10" s="434"/>
      <c r="R10" s="434"/>
    </row>
    <row r="11" spans="1:18">
      <c r="D11" s="3401">
        <v>1.167</v>
      </c>
      <c r="E11" s="455" t="s">
        <v>993</v>
      </c>
      <c r="F11" s="1328" t="s">
        <v>1465</v>
      </c>
      <c r="G11" s="1330">
        <v>3838.8969999999999</v>
      </c>
      <c r="H11" s="1330">
        <f>H3*J11</f>
        <v>17265507.24646163</v>
      </c>
      <c r="I11" s="1330">
        <f>I3*J11</f>
        <v>8356392.7535383683</v>
      </c>
      <c r="J11" s="2304">
        <v>25621900</v>
      </c>
      <c r="L11" s="923">
        <f t="shared" si="0"/>
        <v>4497.5177105459279</v>
      </c>
      <c r="Q11" s="434"/>
      <c r="R11" s="434"/>
    </row>
    <row r="12" spans="1:18">
      <c r="D12" s="3404"/>
      <c r="E12" s="437" t="s">
        <v>1005</v>
      </c>
      <c r="F12" s="1327" t="s">
        <v>1465</v>
      </c>
      <c r="G12" s="541">
        <v>4064.26</v>
      </c>
      <c r="H12" s="541">
        <f>H3*J12</f>
        <v>17265507.24646163</v>
      </c>
      <c r="I12" s="541">
        <f>I3*J12</f>
        <v>8356392.7535383683</v>
      </c>
      <c r="J12" s="2029">
        <v>25621900</v>
      </c>
      <c r="L12" s="923">
        <f t="shared" si="0"/>
        <v>4248.1305936287608</v>
      </c>
      <c r="Q12" s="434"/>
      <c r="R12" s="434"/>
    </row>
    <row r="13" spans="1:18" ht="15.75" thickBot="1">
      <c r="D13" s="3403"/>
      <c r="E13" s="1336" t="s">
        <v>1012</v>
      </c>
      <c r="F13" s="1329" t="s">
        <v>1465</v>
      </c>
      <c r="G13" s="462">
        <v>4062.3249999999998</v>
      </c>
      <c r="H13" s="462">
        <f>J13*H3</f>
        <v>17265507.24646163</v>
      </c>
      <c r="I13" s="462">
        <f>I3*J13</f>
        <v>8356392.7535383683</v>
      </c>
      <c r="J13" s="2306">
        <v>25621900</v>
      </c>
      <c r="L13" s="923">
        <f t="shared" si="0"/>
        <v>4250.1540980747795</v>
      </c>
      <c r="Q13" s="434"/>
      <c r="R13" s="434"/>
    </row>
    <row r="14" spans="1:18" s="2164" customFormat="1">
      <c r="A14"/>
      <c r="B14"/>
      <c r="C14"/>
      <c r="D14" s="3405">
        <v>1.5</v>
      </c>
      <c r="E14" s="2307" t="s">
        <v>993</v>
      </c>
      <c r="F14" s="2308" t="s">
        <v>1465</v>
      </c>
      <c r="G14" s="2309">
        <v>5098.5240000000003</v>
      </c>
      <c r="H14" s="2309">
        <f>H3*J14</f>
        <v>22582168.109582055</v>
      </c>
      <c r="I14" s="2309">
        <f>I3*J14</f>
        <v>10929621.890417945</v>
      </c>
      <c r="J14" s="2438">
        <f>IF(Ammonia_flag=2,47186400,33511790)</f>
        <v>33511790</v>
      </c>
      <c r="K14" s="2164">
        <v>51745860</v>
      </c>
      <c r="L14" s="2165">
        <f t="shared" si="0"/>
        <v>4429.1579503366174</v>
      </c>
      <c r="Q14" s="2437"/>
      <c r="R14" s="2437"/>
    </row>
    <row r="15" spans="1:18" s="2164" customFormat="1" ht="15.75" thickBot="1">
      <c r="A15"/>
      <c r="B15"/>
      <c r="C15"/>
      <c r="D15" s="3406"/>
      <c r="E15" s="2310" t="s">
        <v>1005</v>
      </c>
      <c r="F15" s="2311" t="s">
        <v>1465</v>
      </c>
      <c r="G15" s="2312">
        <v>4809.9279999999999</v>
      </c>
      <c r="H15" s="2312">
        <f>H3*J15</f>
        <v>22582168.109582055</v>
      </c>
      <c r="I15" s="2312">
        <f>I3*J15</f>
        <v>10929621.890417945</v>
      </c>
      <c r="J15" s="2306">
        <v>33511790</v>
      </c>
      <c r="K15" s="2164">
        <v>48812300</v>
      </c>
      <c r="L15" s="2165">
        <f t="shared" si="0"/>
        <v>4694.9077220245408</v>
      </c>
      <c r="Q15" s="2437"/>
      <c r="R15" s="2437"/>
    </row>
    <row r="16" spans="1:18">
      <c r="D16" s="2292">
        <v>1.75</v>
      </c>
      <c r="E16" s="437" t="s">
        <v>993</v>
      </c>
      <c r="F16" s="1327" t="s">
        <v>1465</v>
      </c>
      <c r="G16" s="541">
        <v>4936.6769999999997</v>
      </c>
      <c r="H16" s="1337">
        <v>43032490</v>
      </c>
      <c r="I16" s="541">
        <v>20156750</v>
      </c>
      <c r="J16" s="2305">
        <v>38685700</v>
      </c>
      <c r="L16" s="923">
        <f t="shared" si="0"/>
        <v>8716.893975441375</v>
      </c>
      <c r="Q16" s="434"/>
      <c r="R16" s="434"/>
    </row>
    <row r="17" spans="4:18" ht="15.75" thickBot="1">
      <c r="D17" s="2291"/>
      <c r="E17" s="1323" t="s">
        <v>1005</v>
      </c>
      <c r="F17" s="1329" t="s">
        <v>1465</v>
      </c>
      <c r="G17" s="462">
        <v>4657.2430000000004</v>
      </c>
      <c r="H17" s="1342">
        <v>40596690</v>
      </c>
      <c r="I17" s="462">
        <v>19015810</v>
      </c>
      <c r="J17" s="2306">
        <v>36496000</v>
      </c>
      <c r="K17" t="s">
        <v>1040</v>
      </c>
      <c r="L17" s="923">
        <f t="shared" si="0"/>
        <v>8716.8932349031384</v>
      </c>
      <c r="Q17" s="434"/>
      <c r="R17" s="434"/>
    </row>
    <row r="20" spans="4:18" ht="15.75" thickBot="1">
      <c r="H20" s="395">
        <v>0.67385741285625311</v>
      </c>
      <c r="I20" s="395">
        <v>0.32614258714374689</v>
      </c>
    </row>
    <row r="21" spans="4:18">
      <c r="D21" s="3399" t="s">
        <v>1467</v>
      </c>
      <c r="E21" s="3400"/>
      <c r="F21" s="3400"/>
      <c r="G21" s="3400"/>
      <c r="H21" s="3400"/>
      <c r="I21" s="3400"/>
      <c r="J21" s="1341"/>
    </row>
    <row r="22" spans="4:18">
      <c r="D22" s="1320" t="s">
        <v>1006</v>
      </c>
      <c r="E22" s="1316"/>
      <c r="F22" s="1316" t="s">
        <v>1459</v>
      </c>
      <c r="G22" s="1324" t="s">
        <v>1460</v>
      </c>
      <c r="H22" s="1175" t="s">
        <v>1461</v>
      </c>
      <c r="I22" s="1316" t="s">
        <v>1462</v>
      </c>
      <c r="J22" s="1321" t="s">
        <v>1463</v>
      </c>
      <c r="L22">
        <f>73+54+46</f>
        <v>173</v>
      </c>
    </row>
    <row r="23" spans="4:18" ht="15.75" thickBot="1">
      <c r="D23" s="1322"/>
      <c r="E23" s="1318"/>
      <c r="F23" s="1317"/>
      <c r="G23" s="1325" t="s">
        <v>1464</v>
      </c>
      <c r="H23" s="1319" t="s">
        <v>1058</v>
      </c>
      <c r="I23" s="1319" t="s">
        <v>207</v>
      </c>
      <c r="J23" s="1326" t="s">
        <v>207</v>
      </c>
    </row>
    <row r="24" spans="4:18">
      <c r="D24" s="3401">
        <v>0.5</v>
      </c>
      <c r="E24" s="455" t="s">
        <v>993</v>
      </c>
      <c r="F24" s="1328" t="s">
        <v>1465</v>
      </c>
      <c r="G24" s="1338">
        <v>1274</v>
      </c>
      <c r="H24" s="1330">
        <f>H20*J24</f>
        <v>4566327.3724791138</v>
      </c>
      <c r="I24" s="1330">
        <f>I20*J24</f>
        <v>2210072.6275208862</v>
      </c>
      <c r="J24" s="2439">
        <f>IF(Ammonia_flag=2,10176050,6776400)</f>
        <v>6776400</v>
      </c>
      <c r="M24">
        <f>1870*8000</f>
        <v>14960000</v>
      </c>
    </row>
    <row r="25" spans="4:18" ht="15.75" thickBot="1">
      <c r="D25" s="3402"/>
      <c r="E25" s="1332"/>
      <c r="F25" s="1333"/>
      <c r="G25" s="1334"/>
      <c r="H25" s="1334"/>
      <c r="I25" s="1334"/>
      <c r="J25" s="1343"/>
    </row>
    <row r="26" spans="4:18">
      <c r="D26" s="3401">
        <v>1</v>
      </c>
      <c r="E26" s="455" t="s">
        <v>993</v>
      </c>
      <c r="F26" s="1328" t="s">
        <v>1465</v>
      </c>
      <c r="G26" s="1344">
        <v>2045</v>
      </c>
      <c r="H26" s="1344">
        <f>H20*J26</f>
        <v>7194775.5970662143</v>
      </c>
      <c r="I26" s="1344">
        <f>I20*J26</f>
        <v>3482224.4029337857</v>
      </c>
      <c r="J26" s="1335">
        <v>10677000</v>
      </c>
    </row>
    <row r="27" spans="4:18" ht="15.75" thickBot="1">
      <c r="D27" s="3402"/>
      <c r="E27" s="1332" t="s">
        <v>1005</v>
      </c>
      <c r="F27" s="1333"/>
      <c r="G27" s="1345"/>
      <c r="H27" s="1345"/>
      <c r="I27" s="1345"/>
      <c r="J27" s="1339"/>
    </row>
    <row r="28" spans="4:18">
      <c r="D28" s="3401">
        <v>1.5</v>
      </c>
      <c r="E28" s="455" t="s">
        <v>993</v>
      </c>
      <c r="F28" s="1328" t="s">
        <v>1465</v>
      </c>
      <c r="G28" s="1330">
        <v>2804</v>
      </c>
      <c r="H28" s="1330">
        <f>H20*J28</f>
        <v>10062645.360441143</v>
      </c>
      <c r="I28" s="1330">
        <f>I20*J28</f>
        <v>4870254.6395588582</v>
      </c>
      <c r="J28" s="1331">
        <v>14932900</v>
      </c>
      <c r="L28" t="s">
        <v>747</v>
      </c>
    </row>
    <row r="29" spans="4:18" ht="15.75" thickBot="1">
      <c r="D29" s="3403"/>
      <c r="E29" s="1323" t="s">
        <v>1005</v>
      </c>
      <c r="F29" s="1329"/>
      <c r="G29" s="462"/>
      <c r="H29" s="462"/>
      <c r="I29" s="462"/>
      <c r="J29" s="1340"/>
    </row>
    <row r="30" spans="4:18" ht="15.75" thickBot="1">
      <c r="D30" s="297"/>
      <c r="E30" s="394"/>
      <c r="F30" s="394"/>
      <c r="G30" s="394"/>
      <c r="H30" s="394"/>
      <c r="I30" s="394"/>
      <c r="J30" s="444"/>
    </row>
    <row r="31" spans="4:18" ht="15.75" thickBot="1">
      <c r="D31" s="1886"/>
      <c r="E31" s="1897"/>
      <c r="F31" s="2229">
        <v>200</v>
      </c>
      <c r="G31" s="2288">
        <v>180</v>
      </c>
      <c r="H31" s="2294">
        <v>150</v>
      </c>
      <c r="I31" s="2294">
        <v>120</v>
      </c>
      <c r="J31" s="2229" t="s">
        <v>2109</v>
      </c>
      <c r="K31" s="2290" t="s">
        <v>2221</v>
      </c>
      <c r="L31" s="2230" t="s">
        <v>2110</v>
      </c>
      <c r="M31" s="2385" t="s">
        <v>2222</v>
      </c>
    </row>
    <row r="32" spans="4:18">
      <c r="D32" s="297"/>
      <c r="E32" s="394"/>
      <c r="F32" s="2183"/>
      <c r="G32" s="2228"/>
      <c r="J32" s="297"/>
      <c r="K32" s="394"/>
      <c r="L32" s="444"/>
      <c r="M32" s="1158"/>
    </row>
    <row r="33" spans="3:13" ht="15.75" thickBot="1">
      <c r="D33" s="2181" t="s">
        <v>1621</v>
      </c>
      <c r="E33" s="2182"/>
      <c r="F33" s="394"/>
      <c r="G33" s="394"/>
      <c r="J33" s="2231">
        <f>0.07*'Power Plant '!C56</f>
        <v>16800000</v>
      </c>
      <c r="K33" s="2225">
        <f>0.07*'Power Plant '!C57</f>
        <v>15120000.000000002</v>
      </c>
      <c r="L33" s="2384">
        <f>0.07*'Power Plant '!C58</f>
        <v>12600000.000000002</v>
      </c>
      <c r="M33" s="254">
        <f>0.07*'Power Plant '!C59</f>
        <v>10080000.000000002</v>
      </c>
    </row>
    <row r="34" spans="3:13" ht="15.75" thickBot="1">
      <c r="D34" s="252" t="s">
        <v>2087</v>
      </c>
      <c r="E34" s="2232">
        <f>IF('Assumption '!$J$108=200,F34,G34)</f>
        <v>43271455.281119995</v>
      </c>
      <c r="F34" s="561">
        <f>H55</f>
        <v>36536995.926387005</v>
      </c>
      <c r="G34" s="2233">
        <f>H50</f>
        <v>43271455.281119995</v>
      </c>
      <c r="H34" s="310">
        <f>H60</f>
        <v>27294075.805896901</v>
      </c>
      <c r="I34" s="465">
        <f>H65</f>
        <v>21835260.644717522</v>
      </c>
      <c r="J34" s="394"/>
      <c r="K34" s="394"/>
      <c r="L34" s="444"/>
      <c r="M34" s="1158"/>
    </row>
    <row r="35" spans="3:13">
      <c r="C35" s="395">
        <v>6.0026457942894941E-2</v>
      </c>
      <c r="D35" s="297" t="s">
        <v>1478</v>
      </c>
      <c r="E35" s="442">
        <v>0</v>
      </c>
      <c r="F35" s="393">
        <v>0</v>
      </c>
      <c r="G35" s="393">
        <v>0</v>
      </c>
      <c r="J35" s="297"/>
      <c r="K35" s="394"/>
      <c r="L35" s="444"/>
      <c r="M35" s="1158"/>
    </row>
    <row r="36" spans="3:13">
      <c r="C36" s="395">
        <v>6.0026457942894941E-2</v>
      </c>
      <c r="D36" s="297" t="s">
        <v>1018</v>
      </c>
      <c r="E36" s="442">
        <v>0</v>
      </c>
      <c r="F36" s="393">
        <v>0</v>
      </c>
      <c r="G36" s="393">
        <v>0</v>
      </c>
      <c r="J36" s="297"/>
      <c r="K36" s="394"/>
      <c r="L36" s="444"/>
      <c r="M36" s="1158"/>
    </row>
    <row r="37" spans="3:13">
      <c r="C37" s="395">
        <v>6.0026457942894941E-2</v>
      </c>
      <c r="D37" s="297" t="s">
        <v>969</v>
      </c>
      <c r="E37" s="442">
        <f>IF('Assumption '!$J$108=200,F37,IF('Assumption '!$J$108=180,G37,IF('Assumption '!$J$108=150,H37,IF('Assumption '!$J$108=120,I37,0))))</f>
        <v>907600.04409657163</v>
      </c>
      <c r="F37" s="393">
        <f>IF('Assumption '!J29=1,J37,544500)</f>
        <v>1008444.493440635</v>
      </c>
      <c r="G37" s="393">
        <f>IF('Assumption '!J29=1,K37,515930)</f>
        <v>907600.04409657163</v>
      </c>
      <c r="H37" s="393">
        <f>IF('Assumption '!J29=1,L37,515930)</f>
        <v>756333.37008047639</v>
      </c>
      <c r="I37" s="393">
        <f>IF('Assumption '!J29=1,M37,515930)</f>
        <v>605066.69606438116</v>
      </c>
      <c r="J37" s="2383">
        <f>$J$33*C37</f>
        <v>1008444.493440635</v>
      </c>
      <c r="K37" s="393">
        <f>$K$33*C37</f>
        <v>907600.04409657163</v>
      </c>
      <c r="L37" s="536">
        <f>$L$33*C37</f>
        <v>756333.37008047639</v>
      </c>
      <c r="M37" s="2386">
        <f>C37*M33</f>
        <v>605066.69606438116</v>
      </c>
    </row>
    <row r="38" spans="3:13">
      <c r="C38" s="395">
        <v>0.74036534009480759</v>
      </c>
      <c r="D38" s="297" t="s">
        <v>970</v>
      </c>
      <c r="E38" s="442">
        <f>IF('Assumption '!$J$108=200,F38,IF('Assumption '!$J$108=180,G38,IF('Assumption '!$J$108=150,H38,IF('Assumption '!$J$108=120,I38,0))))</f>
        <v>11194323.942233492</v>
      </c>
      <c r="F38" s="393">
        <f>IF('Assumption '!J29=1,J38,544500)</f>
        <v>12438137.713592768</v>
      </c>
      <c r="G38" s="393">
        <f>IF('Assumption '!J29=1,K38,515930)</f>
        <v>11194323.942233492</v>
      </c>
      <c r="H38" s="393">
        <f>IF('Assumption '!J29=1,L38,515930)</f>
        <v>9328603.2851945776</v>
      </c>
      <c r="I38" s="393">
        <f>IF('Assumption '!J29=1,M38,515930)</f>
        <v>7462882.6281556617</v>
      </c>
      <c r="J38" s="2383">
        <f>$J$33*C38</f>
        <v>12438137.713592768</v>
      </c>
      <c r="K38" s="393">
        <f>$K$33*C38</f>
        <v>11194323.942233492</v>
      </c>
      <c r="L38" s="536">
        <f>$L$33*C38</f>
        <v>9328603.2851945776</v>
      </c>
      <c r="M38" s="2386">
        <f>C38*M33</f>
        <v>7462882.6281556617</v>
      </c>
    </row>
    <row r="39" spans="3:13">
      <c r="C39" s="395">
        <v>1.8119281225884687E-2</v>
      </c>
      <c r="D39" s="297" t="s">
        <v>971</v>
      </c>
      <c r="E39" s="442">
        <f>IF('Assumption '!$J$108=200,F39,IF('Assumption '!$J$108=180,G39,IF('Assumption '!$J$108=150,H39,IF('Assumption '!$J$108=120,I39,0))))</f>
        <v>273963.53213537647</v>
      </c>
      <c r="F39" s="393">
        <f>IF('Assumption '!J29=1,J39,544500)</f>
        <v>304403.92459486274</v>
      </c>
      <c r="G39" s="393">
        <f>IF('Assumption '!J29=1,K39,515930)</f>
        <v>273963.53213537647</v>
      </c>
      <c r="H39" s="393">
        <f>IF('Assumption '!J29=1,L39,515930)</f>
        <v>228302.94344614708</v>
      </c>
      <c r="I39" s="393">
        <f>IF('Assumption '!J31=1,J29,515930)</f>
        <v>515930</v>
      </c>
      <c r="J39" s="2383">
        <f>$J$33*C39</f>
        <v>304403.92459486274</v>
      </c>
      <c r="K39" s="393">
        <f>$K$33*C39</f>
        <v>273963.53213537647</v>
      </c>
      <c r="L39" s="536">
        <f>$L$33*C39</f>
        <v>228302.94344614708</v>
      </c>
      <c r="M39" s="2386">
        <f>C39*M33</f>
        <v>182642.35475691769</v>
      </c>
    </row>
    <row r="40" spans="3:13">
      <c r="C40" s="395">
        <v>0.13426579208466541</v>
      </c>
      <c r="D40" s="297" t="s">
        <v>972</v>
      </c>
      <c r="E40" s="442">
        <f>IF('Assumption '!$J$108=200,F40,IF('Assumption '!$J$108=180,G40,IF('Assumption '!$J$108=150,H40,IF('Assumption '!$J$108=120,I40,0))))</f>
        <v>2030098.7763201413</v>
      </c>
      <c r="F40" s="393">
        <f>IF('Assumption '!J29=1,J40,544500)</f>
        <v>2255665.3070223788</v>
      </c>
      <c r="G40" s="393">
        <f>IF('Assumption '!J29=1,K40,515930)</f>
        <v>2030098.7763201413</v>
      </c>
      <c r="H40" s="393">
        <f>IF('Assumption '!J29=1,L40,515930)</f>
        <v>1691748.9802667843</v>
      </c>
      <c r="I40" s="393">
        <f>IF('Assumption '!J29=1,M40,515930)</f>
        <v>1353399.1842134276</v>
      </c>
      <c r="J40" s="2383">
        <f>$J$33*C40</f>
        <v>2255665.3070223788</v>
      </c>
      <c r="K40" s="393">
        <f>$K$33*C40</f>
        <v>2030098.7763201413</v>
      </c>
      <c r="L40" s="536">
        <f>$L$33*C40</f>
        <v>1691748.9802667843</v>
      </c>
      <c r="M40" s="2386">
        <f>C40*M33</f>
        <v>1353399.1842134276</v>
      </c>
    </row>
    <row r="41" spans="3:13" ht="15.75" thickBot="1">
      <c r="C41" s="395">
        <v>4.7223128651747326E-2</v>
      </c>
      <c r="D41" s="297" t="s">
        <v>973</v>
      </c>
      <c r="E41" s="442">
        <f>IF('Assumption '!$J$108=200,F41,IF('Assumption '!$J$108=180,G41,IF('Assumption '!$J$108=150,H41,IF('Assumption '!$J$108=120,I41,0))))</f>
        <v>714013.70521441964</v>
      </c>
      <c r="F41" s="393">
        <f>IF('Assumption '!J29=1,J41,544500)</f>
        <v>793348.56134935503</v>
      </c>
      <c r="G41" s="393">
        <f>IF('Assumption '!J29=1,K41,515930)</f>
        <v>714013.70521441964</v>
      </c>
      <c r="H41" s="393">
        <f>IF('Assumption '!J29=1,L41,515930)</f>
        <v>595011.42101201636</v>
      </c>
      <c r="I41" s="393">
        <f>IF('Assumption '!J29=1,M41,515930)</f>
        <v>476009.13680961315</v>
      </c>
      <c r="J41" s="2383">
        <f>$J$33*C41</f>
        <v>793348.56134935503</v>
      </c>
      <c r="K41" s="393">
        <f>$K$33*C41</f>
        <v>714013.70521441964</v>
      </c>
      <c r="L41" s="536">
        <f>$L$33*C41</f>
        <v>595011.42101201636</v>
      </c>
      <c r="M41" s="2386">
        <f>C41*M33</f>
        <v>476009.13680961315</v>
      </c>
    </row>
    <row r="42" spans="3:13" ht="15.75" thickBot="1">
      <c r="C42" s="2226">
        <v>1</v>
      </c>
      <c r="D42" s="253" t="s">
        <v>655</v>
      </c>
      <c r="E42" s="452">
        <f>SUM(E35:E41)</f>
        <v>15120000.000000002</v>
      </c>
      <c r="F42" s="452">
        <f>SUM(F35:F41)</f>
        <v>16800000</v>
      </c>
      <c r="G42" s="452">
        <f>SUM(G35:G41)</f>
        <v>15120000.000000002</v>
      </c>
      <c r="H42" s="452">
        <f>SUM(H35:H41)</f>
        <v>12600000.000000002</v>
      </c>
      <c r="I42" s="452">
        <f>SUM(I35:I41)</f>
        <v>10413287.645243084</v>
      </c>
      <c r="J42" s="2227">
        <f>SUM(J37:J41)</f>
        <v>16800000</v>
      </c>
      <c r="K42" s="421">
        <f>SUM(K37:K41)</f>
        <v>15120000.000000002</v>
      </c>
      <c r="L42" s="2301">
        <f>SUM(L37:L41)</f>
        <v>12600000.000000002</v>
      </c>
      <c r="M42" s="255">
        <f>SUM(M37:M41)</f>
        <v>10080000.000000002</v>
      </c>
    </row>
    <row r="45" spans="3:13" ht="15.75" thickBot="1"/>
    <row r="46" spans="3:13">
      <c r="D46" s="2297" t="s">
        <v>2368</v>
      </c>
      <c r="E46" s="1328"/>
      <c r="F46" s="455"/>
      <c r="G46" s="455"/>
      <c r="H46" s="1570"/>
    </row>
    <row r="47" spans="3:13">
      <c r="D47" s="1902"/>
      <c r="E47" s="434"/>
      <c r="F47" s="434"/>
      <c r="G47" s="434"/>
      <c r="H47" s="458"/>
    </row>
    <row r="48" spans="3:13">
      <c r="D48" s="459" t="s">
        <v>2160</v>
      </c>
      <c r="E48" s="434"/>
      <c r="F48" s="434" t="s">
        <v>1632</v>
      </c>
      <c r="G48" s="434" t="s">
        <v>1633</v>
      </c>
      <c r="H48" s="458"/>
    </row>
    <row r="49" spans="4:8">
      <c r="D49" s="459" t="s">
        <v>866</v>
      </c>
      <c r="E49" s="434"/>
      <c r="F49" s="436">
        <v>39338080</v>
      </c>
      <c r="G49" s="2295">
        <f>F49/1000</f>
        <v>39338.080000000002</v>
      </c>
      <c r="H49" s="2298">
        <f>G49*333.33</f>
        <v>13112562.2064</v>
      </c>
    </row>
    <row r="50" spans="4:8">
      <c r="D50" s="459" t="s">
        <v>1631</v>
      </c>
      <c r="E50" s="434"/>
      <c r="F50" s="2296">
        <f>F55</f>
        <v>3.3</v>
      </c>
      <c r="G50" s="2296">
        <f>F50*G49</f>
        <v>129815.664</v>
      </c>
      <c r="H50" s="2298">
        <f>H49*F50</f>
        <v>43271455.281119995</v>
      </c>
    </row>
    <row r="51" spans="4:8">
      <c r="D51" s="459"/>
      <c r="E51" s="434"/>
      <c r="F51" s="434"/>
      <c r="G51" s="434"/>
      <c r="H51" s="458"/>
    </row>
    <row r="52" spans="4:8">
      <c r="D52" s="459"/>
      <c r="E52" s="434"/>
      <c r="F52" s="434"/>
      <c r="G52" s="434"/>
      <c r="H52" s="458"/>
    </row>
    <row r="53" spans="4:8">
      <c r="D53" s="459" t="s">
        <v>1013</v>
      </c>
      <c r="E53" s="434"/>
      <c r="F53" s="434" t="s">
        <v>1632</v>
      </c>
      <c r="G53" s="434" t="s">
        <v>1633</v>
      </c>
      <c r="H53" s="458"/>
    </row>
    <row r="54" spans="4:8">
      <c r="D54" s="459" t="s">
        <v>866</v>
      </c>
      <c r="E54" s="434"/>
      <c r="F54" s="436">
        <v>33215783</v>
      </c>
      <c r="G54" s="2295">
        <f>F54/1000</f>
        <v>33215.783000000003</v>
      </c>
      <c r="H54" s="2298">
        <f>G54*333.33</f>
        <v>11071816.947390001</v>
      </c>
    </row>
    <row r="55" spans="4:8">
      <c r="D55" s="459" t="s">
        <v>1631</v>
      </c>
      <c r="E55" s="434"/>
      <c r="F55" s="2296">
        <f>'Assumption '!J111</f>
        <v>3.3</v>
      </c>
      <c r="G55" s="2296">
        <f>F55*G54</f>
        <v>109612.0839</v>
      </c>
      <c r="H55" s="2298">
        <f>H54*F55</f>
        <v>36536995.926387005</v>
      </c>
    </row>
    <row r="56" spans="4:8">
      <c r="D56" s="459"/>
      <c r="E56" s="434"/>
      <c r="F56" s="434"/>
      <c r="G56" s="434"/>
      <c r="H56" s="458"/>
    </row>
    <row r="57" spans="4:8">
      <c r="D57" s="459"/>
      <c r="E57" s="434"/>
      <c r="F57" s="434"/>
      <c r="G57" s="434"/>
      <c r="H57" s="458"/>
    </row>
    <row r="58" spans="4:8">
      <c r="D58" s="459" t="s">
        <v>1014</v>
      </c>
      <c r="E58" s="434"/>
      <c r="F58" s="434" t="s">
        <v>1632</v>
      </c>
      <c r="G58" s="434" t="s">
        <v>1633</v>
      </c>
      <c r="H58" s="458"/>
    </row>
    <row r="59" spans="4:8">
      <c r="D59" s="459" t="s">
        <v>866</v>
      </c>
      <c r="E59" s="434"/>
      <c r="F59" s="436">
        <v>24812821</v>
      </c>
      <c r="G59" s="2295">
        <f>F59/1000</f>
        <v>24812.821</v>
      </c>
      <c r="H59" s="2298">
        <f>G59*333.333</f>
        <v>8270932.0623930003</v>
      </c>
    </row>
    <row r="60" spans="4:8">
      <c r="D60" s="459" t="s">
        <v>1631</v>
      </c>
      <c r="E60" s="434"/>
      <c r="F60" s="2296">
        <f>F55</f>
        <v>3.3</v>
      </c>
      <c r="G60" s="2296">
        <f>F60*G59</f>
        <v>81882.309299999994</v>
      </c>
      <c r="H60" s="2298">
        <f>H59*F60</f>
        <v>27294075.805896901</v>
      </c>
    </row>
    <row r="61" spans="4:8">
      <c r="D61" s="459"/>
      <c r="E61" s="434"/>
      <c r="F61" s="434"/>
      <c r="G61" s="434"/>
      <c r="H61" s="458"/>
    </row>
    <row r="62" spans="4:8">
      <c r="D62" s="459"/>
      <c r="E62" s="434"/>
      <c r="F62" s="434"/>
      <c r="G62" s="434"/>
      <c r="H62" s="458"/>
    </row>
    <row r="63" spans="4:8">
      <c r="D63" s="459" t="s">
        <v>2161</v>
      </c>
      <c r="E63" s="434"/>
      <c r="F63" s="434" t="s">
        <v>1632</v>
      </c>
      <c r="G63" s="434" t="s">
        <v>1633</v>
      </c>
      <c r="H63" s="458"/>
    </row>
    <row r="64" spans="4:8">
      <c r="D64" s="459" t="s">
        <v>866</v>
      </c>
      <c r="E64" s="434"/>
      <c r="F64" s="436">
        <v>19850256.800000001</v>
      </c>
      <c r="G64" s="2295">
        <f>F64/1000</f>
        <v>19850.256799999999</v>
      </c>
      <c r="H64" s="2298">
        <f>G64*333.333</f>
        <v>6616745.6499144007</v>
      </c>
    </row>
    <row r="65" spans="3:9" ht="15.75" thickBot="1">
      <c r="D65" s="460" t="s">
        <v>1631</v>
      </c>
      <c r="E65" s="1323"/>
      <c r="F65" s="2299">
        <f>F60</f>
        <v>3.3</v>
      </c>
      <c r="G65" s="2299">
        <f>F65*G64</f>
        <v>65505.84743999999</v>
      </c>
      <c r="H65" s="2300">
        <f>H64*F65</f>
        <v>21835260.644717522</v>
      </c>
    </row>
    <row r="66" spans="3:9" ht="15.75" thickBot="1">
      <c r="D66" s="394"/>
      <c r="E66" s="394"/>
      <c r="F66" s="993"/>
      <c r="G66" s="993"/>
      <c r="H66" s="442"/>
    </row>
    <row r="67" spans="3:9" ht="15.75" thickBot="1">
      <c r="D67" s="3126"/>
      <c r="E67" s="3127"/>
      <c r="F67" s="3128"/>
      <c r="G67" s="2343">
        <v>0.5</v>
      </c>
      <c r="H67" s="2343">
        <v>1</v>
      </c>
      <c r="I67" s="2344">
        <v>1.5</v>
      </c>
    </row>
    <row r="68" spans="3:9" ht="17.25">
      <c r="D68" s="297" t="s">
        <v>1433</v>
      </c>
      <c r="E68" s="394"/>
      <c r="F68" s="3122" t="s">
        <v>2369</v>
      </c>
      <c r="G68" s="3122"/>
      <c r="H68" s="3129"/>
      <c r="I68" s="444"/>
    </row>
    <row r="69" spans="3:9">
      <c r="D69" s="297" t="s">
        <v>1423</v>
      </c>
      <c r="E69" s="394" t="s">
        <v>1542</v>
      </c>
      <c r="F69" s="394">
        <v>6926</v>
      </c>
      <c r="G69" s="993">
        <f>F69/G72</f>
        <v>4.6173333333333337</v>
      </c>
      <c r="H69" s="993">
        <f>F69/H72</f>
        <v>2.3086666666666669</v>
      </c>
      <c r="I69" s="3121">
        <f>F69/I72</f>
        <v>1.5391111111111111</v>
      </c>
    </row>
    <row r="70" spans="3:9">
      <c r="D70" s="297" t="s">
        <v>1424</v>
      </c>
      <c r="E70" s="393" t="s">
        <v>1542</v>
      </c>
      <c r="F70" s="394">
        <v>1775</v>
      </c>
      <c r="G70" s="993">
        <f>F70/G72</f>
        <v>1.1833333333333333</v>
      </c>
      <c r="H70" s="993">
        <f>F70/H72</f>
        <v>0.59166666666666667</v>
      </c>
      <c r="I70" s="3121">
        <f>F70/I72</f>
        <v>0.39444444444444443</v>
      </c>
    </row>
    <row r="71" spans="3:9" ht="15.75" thickBot="1">
      <c r="D71" s="299" t="s">
        <v>1434</v>
      </c>
      <c r="E71" s="309" t="s">
        <v>1542</v>
      </c>
      <c r="F71" s="300">
        <f>SUM(F69:F70)</f>
        <v>8701</v>
      </c>
      <c r="G71" s="3125">
        <f t="shared" ref="G71" si="1">SUM(G69:G70)</f>
        <v>5.8006666666666673</v>
      </c>
      <c r="H71" s="3131">
        <f t="shared" ref="H71" si="2">SUM(H69:H70)</f>
        <v>2.9003333333333337</v>
      </c>
      <c r="I71" s="3132">
        <f t="shared" ref="I71" si="3">SUM(I69:I70)</f>
        <v>1.9335555555555555</v>
      </c>
    </row>
    <row r="72" spans="3:9" ht="15.75" thickBot="1">
      <c r="D72" s="3130" t="s">
        <v>2373</v>
      </c>
      <c r="E72" s="561"/>
      <c r="F72" s="302"/>
      <c r="G72" s="302">
        <v>1500</v>
      </c>
      <c r="H72" s="302">
        <v>3000</v>
      </c>
      <c r="I72" s="303">
        <v>4500</v>
      </c>
    </row>
    <row r="73" spans="3:9" ht="17.25">
      <c r="C73" s="311"/>
      <c r="D73" s="3123" t="s">
        <v>1413</v>
      </c>
      <c r="E73" s="1921" t="s">
        <v>867</v>
      </c>
      <c r="F73" s="3124" t="s">
        <v>863</v>
      </c>
      <c r="G73" t="s">
        <v>655</v>
      </c>
    </row>
    <row r="74" spans="3:9" ht="15.75" thickBot="1">
      <c r="C74" s="311"/>
    </row>
    <row r="75" spans="3:9">
      <c r="C75" s="311"/>
      <c r="D75" s="1296"/>
      <c r="E75" s="1297" t="s">
        <v>1231</v>
      </c>
      <c r="F75" s="1298"/>
      <c r="G75" s="1299"/>
    </row>
    <row r="76" spans="3:9">
      <c r="C76" s="311"/>
      <c r="D76" s="1300"/>
      <c r="E76" s="1301"/>
      <c r="F76" s="3373"/>
      <c r="G76" s="3374"/>
    </row>
    <row r="77" spans="3:9">
      <c r="C77" s="311"/>
      <c r="D77" s="649"/>
      <c r="E77" s="1169"/>
      <c r="F77" s="1294" t="s">
        <v>1437</v>
      </c>
      <c r="G77" s="1302" t="s">
        <v>1438</v>
      </c>
    </row>
    <row r="78" spans="3:9">
      <c r="C78" s="311"/>
      <c r="D78" s="649">
        <v>1</v>
      </c>
      <c r="E78" s="648" t="s">
        <v>1227</v>
      </c>
      <c r="F78" s="1293">
        <f>G69</f>
        <v>4.6173333333333337</v>
      </c>
      <c r="G78" s="1303">
        <f>G70</f>
        <v>1.1833333333333333</v>
      </c>
    </row>
    <row r="79" spans="3:9">
      <c r="C79" s="311"/>
      <c r="D79" s="649">
        <v>2</v>
      </c>
      <c r="E79" s="648" t="s">
        <v>1442</v>
      </c>
      <c r="F79" s="1292">
        <f>H69</f>
        <v>2.3086666666666669</v>
      </c>
      <c r="G79" s="1303">
        <f>H70</f>
        <v>0.59166666666666667</v>
      </c>
    </row>
    <row r="80" spans="3:9" ht="15.75" thickBot="1">
      <c r="C80" s="311"/>
      <c r="D80" s="1170">
        <v>3</v>
      </c>
      <c r="E80" s="1171" t="s">
        <v>1229</v>
      </c>
      <c r="F80" s="1304">
        <f>I69</f>
        <v>1.5391111111111111</v>
      </c>
      <c r="G80" s="1305">
        <f>I70</f>
        <v>0.39444444444444443</v>
      </c>
    </row>
    <row r="84" spans="4:7">
      <c r="D84" s="311" t="s">
        <v>2370</v>
      </c>
      <c r="E84" s="311">
        <f>3000+4500</f>
        <v>7500</v>
      </c>
      <c r="F84">
        <v>3000</v>
      </c>
      <c r="G84" s="413">
        <f>E84+F84</f>
        <v>10500</v>
      </c>
    </row>
    <row r="85" spans="4:7">
      <c r="D85" s="311" t="s">
        <v>2371</v>
      </c>
      <c r="E85">
        <f>4500+4500</f>
        <v>9000</v>
      </c>
      <c r="F85">
        <v>1500</v>
      </c>
      <c r="G85" s="413">
        <f t="shared" ref="G85:G86" si="4">E85+F85</f>
        <v>10500</v>
      </c>
    </row>
    <row r="86" spans="4:7">
      <c r="D86" s="311" t="s">
        <v>2372</v>
      </c>
      <c r="E86">
        <f>3000+3000</f>
        <v>6000</v>
      </c>
      <c r="F86">
        <v>4500</v>
      </c>
      <c r="G86" s="413">
        <f t="shared" si="4"/>
        <v>10500</v>
      </c>
    </row>
  </sheetData>
  <mergeCells count="10">
    <mergeCell ref="D4:I4"/>
    <mergeCell ref="D7:D8"/>
    <mergeCell ref="D14:D15"/>
    <mergeCell ref="D11:D13"/>
    <mergeCell ref="D9:D10"/>
    <mergeCell ref="F76:G76"/>
    <mergeCell ref="D21:I21"/>
    <mergeCell ref="D24:D25"/>
    <mergeCell ref="D26:D27"/>
    <mergeCell ref="D28:D29"/>
  </mergeCells>
  <phoneticPr fontId="47" type="noConversion"/>
  <pageMargins left="0.7" right="0.7" top="0.75" bottom="0.75" header="0.3" footer="0.3"/>
  <pageSetup orientation="portrait" r:id="rId1"/>
  <ignoredErrors>
    <ignoredError sqref="I39"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1984A-94D7-4CA0-B945-BA54F1365BB7}">
  <sheetPr codeName="Sheet22">
    <tabColor theme="4" tint="0.39997558519241921"/>
  </sheetPr>
  <dimension ref="B1:K27"/>
  <sheetViews>
    <sheetView topLeftCell="A21" workbookViewId="0">
      <selection activeCell="G32" sqref="G32"/>
    </sheetView>
  </sheetViews>
  <sheetFormatPr defaultColWidth="8.875" defaultRowHeight="15"/>
  <cols>
    <col min="1" max="1" width="8.875" style="403"/>
    <col min="2" max="2" width="35.109375" style="403" customWidth="1"/>
    <col min="3" max="3" width="15.46875" style="403" customWidth="1"/>
    <col min="4" max="4" width="14.796875" style="403" customWidth="1"/>
    <col min="5" max="5" width="25.828125" style="3143" customWidth="1"/>
    <col min="6" max="6" width="26.6328125" style="403" customWidth="1"/>
    <col min="7" max="7" width="16.54296875" style="403" bestFit="1" customWidth="1"/>
    <col min="8" max="8" width="14.9296875" style="403" bestFit="1" customWidth="1"/>
    <col min="9" max="10" width="8.875" style="403"/>
    <col min="11" max="11" width="12.10546875" style="403" bestFit="1" customWidth="1"/>
    <col min="12" max="16384" width="8.875" style="403"/>
  </cols>
  <sheetData>
    <row r="1" spans="2:11" s="3134" customFormat="1" ht="15.75" thickTop="1" thickBot="1">
      <c r="B1" s="3144" t="s">
        <v>942</v>
      </c>
      <c r="C1" s="3145" t="s">
        <v>943</v>
      </c>
      <c r="D1" s="3146" t="s">
        <v>944</v>
      </c>
      <c r="E1" s="3147" t="s">
        <v>945</v>
      </c>
      <c r="F1" s="3146" t="s">
        <v>2386</v>
      </c>
    </row>
    <row r="2" spans="2:11" s="3134" customFormat="1" ht="14.25">
      <c r="B2" s="3148"/>
      <c r="C2" s="3149"/>
      <c r="D2" s="3150"/>
      <c r="E2" s="3151"/>
      <c r="F2" s="3150"/>
    </row>
    <row r="3" spans="2:11" s="3134" customFormat="1" thickBot="1">
      <c r="B3" s="3135" t="s">
        <v>2381</v>
      </c>
      <c r="C3" s="3136">
        <v>48.7</v>
      </c>
      <c r="D3" s="3137" t="s">
        <v>2382</v>
      </c>
      <c r="E3" s="3152">
        <v>1000000</v>
      </c>
      <c r="F3" s="3152">
        <f>E3*C3</f>
        <v>48700000</v>
      </c>
      <c r="G3" s="3138"/>
    </row>
    <row r="4" spans="2:11" s="3134" customFormat="1" ht="15.75" thickTop="1" thickBot="1">
      <c r="B4" s="3135"/>
      <c r="C4" s="3136"/>
      <c r="D4" s="3137"/>
      <c r="E4" s="3152"/>
      <c r="F4" s="3152"/>
      <c r="G4" s="3138"/>
    </row>
    <row r="5" spans="2:11" s="3134" customFormat="1" ht="15.75" thickTop="1" thickBot="1">
      <c r="B5" s="3135" t="s">
        <v>2383</v>
      </c>
      <c r="C5" s="3136">
        <v>4</v>
      </c>
      <c r="D5" s="3137" t="s">
        <v>2384</v>
      </c>
      <c r="E5" s="3152">
        <f>1000000000/Fx_Rate</f>
        <v>714285.71428571432</v>
      </c>
      <c r="F5" s="3152">
        <f>E5*C5</f>
        <v>2857142.8571428573</v>
      </c>
      <c r="G5" s="3138"/>
    </row>
    <row r="6" spans="2:11" s="3134" customFormat="1" ht="15.75" thickTop="1" thickBot="1">
      <c r="B6" s="3135"/>
      <c r="C6" s="3136"/>
      <c r="D6" s="3137"/>
      <c r="E6" s="3152"/>
      <c r="F6" s="3152"/>
      <c r="G6" s="3138"/>
    </row>
    <row r="7" spans="2:11" s="3134" customFormat="1" ht="15.75" thickTop="1" thickBot="1">
      <c r="B7" s="3135"/>
      <c r="C7" s="3136"/>
      <c r="D7" s="3137"/>
      <c r="E7" s="3153"/>
      <c r="F7" s="3153"/>
      <c r="G7" s="3138"/>
      <c r="K7" s="3138"/>
    </row>
    <row r="8" spans="2:11" s="3134" customFormat="1" ht="15.75" thickTop="1" thickBot="1">
      <c r="B8" s="3135"/>
      <c r="C8" s="3136"/>
      <c r="D8" s="3137"/>
      <c r="E8" s="3140"/>
      <c r="F8" s="3152"/>
      <c r="G8" s="3138"/>
    </row>
    <row r="9" spans="2:11" s="3134" customFormat="1" ht="15.75" thickTop="1" thickBot="1">
      <c r="B9" s="3135" t="s">
        <v>949</v>
      </c>
      <c r="C9" s="3136"/>
      <c r="D9" s="3137"/>
      <c r="E9" s="3140"/>
      <c r="F9" s="3139">
        <f>SUM(F3:F8)</f>
        <v>51557142.857142858</v>
      </c>
      <c r="G9" s="3141"/>
    </row>
    <row r="10" spans="2:11" s="3134" customFormat="1" ht="23.45" customHeight="1" thickTop="1">
      <c r="B10" s="3135"/>
      <c r="C10" s="3136"/>
      <c r="D10" s="3137"/>
      <c r="E10" s="3140"/>
      <c r="F10" s="3142"/>
      <c r="G10" s="3141"/>
    </row>
    <row r="11" spans="2:11" s="3134" customFormat="1" ht="14.25">
      <c r="B11" s="3135"/>
      <c r="C11" s="3154"/>
      <c r="D11" s="3142"/>
      <c r="E11" s="3142"/>
      <c r="F11" s="3142"/>
      <c r="G11" s="3141"/>
    </row>
    <row r="12" spans="2:11" s="3134" customFormat="1" ht="27" customHeight="1" thickBot="1">
      <c r="B12" s="3155" t="s">
        <v>950</v>
      </c>
      <c r="C12" s="3156"/>
      <c r="D12" s="3157"/>
      <c r="E12" s="3158"/>
      <c r="F12" s="3162">
        <f>SUM(F9:F11)</f>
        <v>51557142.857142858</v>
      </c>
      <c r="G12" s="3141"/>
    </row>
    <row r="13" spans="2:11" s="3134" customFormat="1" ht="14.25">
      <c r="B13" s="3134" t="s">
        <v>1266</v>
      </c>
      <c r="E13" s="3138"/>
      <c r="F13" s="3163">
        <v>3500000</v>
      </c>
    </row>
    <row r="14" spans="2:11">
      <c r="B14" s="3134" t="s">
        <v>2389</v>
      </c>
      <c r="F14" s="3164">
        <f>F12/F13</f>
        <v>14.730612244897959</v>
      </c>
    </row>
    <row r="15" spans="2:11">
      <c r="B15" s="3134"/>
    </row>
    <row r="16" spans="2:11" ht="15.75" thickBot="1"/>
    <row r="17" spans="2:6" ht="17.25">
      <c r="B17" s="3172"/>
      <c r="C17" s="3173"/>
      <c r="D17" s="3174" t="s">
        <v>1940</v>
      </c>
      <c r="E17" s="3174" t="s">
        <v>1042</v>
      </c>
      <c r="F17" s="3175" t="s">
        <v>2363</v>
      </c>
    </row>
    <row r="18" spans="2:6">
      <c r="B18" s="3159" t="s">
        <v>2387</v>
      </c>
      <c r="C18" s="3160"/>
      <c r="D18" s="3168">
        <v>1500000</v>
      </c>
      <c r="E18" s="3171">
        <v>1500000</v>
      </c>
      <c r="F18" s="2846">
        <v>1000000</v>
      </c>
    </row>
    <row r="19" spans="2:6">
      <c r="B19" s="3159" t="s">
        <v>2388</v>
      </c>
      <c r="C19" s="3160"/>
      <c r="D19" s="3168">
        <v>1000000</v>
      </c>
      <c r="E19" s="3171">
        <v>1500000</v>
      </c>
      <c r="F19" s="2846">
        <v>1000000</v>
      </c>
    </row>
    <row r="20" spans="2:6">
      <c r="B20" s="3159" t="s">
        <v>863</v>
      </c>
      <c r="C20" s="3160"/>
      <c r="D20" s="3168">
        <v>1000000</v>
      </c>
      <c r="E20" s="3171">
        <v>500000</v>
      </c>
      <c r="F20" s="3161">
        <v>1500000</v>
      </c>
    </row>
    <row r="21" spans="2:6" ht="15.75" thickBot="1">
      <c r="B21" s="3169" t="s">
        <v>907</v>
      </c>
      <c r="C21" s="3169"/>
      <c r="D21" s="3170">
        <f>SUM(D18:D20)</f>
        <v>3500000</v>
      </c>
      <c r="E21" s="3170">
        <f t="shared" ref="E21:F21" si="0">SUM(E18:E20)</f>
        <v>3500000</v>
      </c>
      <c r="F21" s="3170">
        <f t="shared" si="0"/>
        <v>3500000</v>
      </c>
    </row>
    <row r="22" spans="2:6" ht="15.75" thickBot="1"/>
    <row r="23" spans="2:6" ht="17.25">
      <c r="B23" s="3176"/>
      <c r="C23" s="3177"/>
      <c r="D23" s="3178" t="s">
        <v>1940</v>
      </c>
      <c r="E23" s="3178" t="s">
        <v>1042</v>
      </c>
      <c r="F23" s="3179" t="s">
        <v>2363</v>
      </c>
    </row>
    <row r="24" spans="2:6">
      <c r="B24" s="3180" t="s">
        <v>2387</v>
      </c>
      <c r="C24" s="3168"/>
      <c r="D24" s="3168">
        <f>D18*F14</f>
        <v>22095918.367346939</v>
      </c>
      <c r="E24" s="3168">
        <f>E18*F14</f>
        <v>22095918.367346939</v>
      </c>
      <c r="F24" s="2846">
        <f>F18*F14</f>
        <v>14730612.244897958</v>
      </c>
    </row>
    <row r="25" spans="2:6">
      <c r="B25" s="3180" t="s">
        <v>2388</v>
      </c>
      <c r="C25" s="3168"/>
      <c r="D25" s="3168">
        <f>D19*F14</f>
        <v>14730612.244897958</v>
      </c>
      <c r="E25" s="3168">
        <f>E19*F14</f>
        <v>22095918.367346939</v>
      </c>
      <c r="F25" s="2846">
        <f>F19*F14</f>
        <v>14730612.244897958</v>
      </c>
    </row>
    <row r="26" spans="2:6">
      <c r="B26" s="3180" t="s">
        <v>863</v>
      </c>
      <c r="C26" s="3168"/>
      <c r="D26" s="3168">
        <f>D20*F14</f>
        <v>14730612.244897958</v>
      </c>
      <c r="E26" s="3168">
        <f>E20*F14</f>
        <v>7365306.1224489789</v>
      </c>
      <c r="F26" s="2846">
        <f>F20*F14</f>
        <v>22095918.367346939</v>
      </c>
    </row>
    <row r="27" spans="2:6" ht="15.75" thickBot="1">
      <c r="B27" s="3181" t="s">
        <v>907</v>
      </c>
      <c r="C27" s="3181"/>
      <c r="D27" s="3181">
        <f>SUM(D24:D26)</f>
        <v>51557142.857142851</v>
      </c>
      <c r="E27" s="3181">
        <f t="shared" ref="E27" si="1">SUM(E24:E26)</f>
        <v>51557142.857142858</v>
      </c>
      <c r="F27" s="3181">
        <f t="shared" ref="F27" si="2">SUM(F24:F26)</f>
        <v>51557142.857142851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theme="9" tint="0.39997558519241921"/>
  </sheetPr>
  <dimension ref="B1:AQ265"/>
  <sheetViews>
    <sheetView topLeftCell="C1" zoomScale="102" zoomScaleNormal="102" workbookViewId="0">
      <selection activeCell="J41" sqref="J41:J42"/>
    </sheetView>
  </sheetViews>
  <sheetFormatPr defaultColWidth="9.14453125" defaultRowHeight="10.5"/>
  <cols>
    <col min="1" max="1" width="0" style="2" hidden="1" customWidth="1"/>
    <col min="2" max="2" width="28.78515625" style="2" hidden="1" customWidth="1"/>
    <col min="3" max="3" width="32.8203125" style="2" customWidth="1"/>
    <col min="4" max="4" width="9.14453125" style="2" customWidth="1"/>
    <col min="5" max="5" width="13.046875" style="2" customWidth="1"/>
    <col min="6" max="6" width="16.0078125" style="2" customWidth="1"/>
    <col min="7" max="9" width="9.14453125" style="2" customWidth="1"/>
    <col min="10" max="10" width="14.9296875" style="2" customWidth="1"/>
    <col min="11" max="11" width="12.9140625" style="2" customWidth="1"/>
    <col min="12" max="13" width="13.85546875" style="2" bestFit="1" customWidth="1"/>
    <col min="14" max="14" width="17.21875" style="2" customWidth="1"/>
    <col min="15" max="28" width="13.85546875" style="2" bestFit="1" customWidth="1"/>
    <col min="29" max="36" width="15.06640625" style="2" bestFit="1" customWidth="1"/>
    <col min="37" max="39" width="15.87109375" style="2" customWidth="1"/>
    <col min="40" max="40" width="4.03515625" style="151" customWidth="1"/>
    <col min="41" max="16384" width="9.14453125" style="2"/>
  </cols>
  <sheetData>
    <row r="1" spans="2:40" s="1663" customFormat="1" ht="14.25">
      <c r="B1" s="2729" t="s">
        <v>672</v>
      </c>
      <c r="C1" s="3263" t="s">
        <v>1272</v>
      </c>
      <c r="D1" s="3264"/>
      <c r="E1" s="3264"/>
      <c r="F1" s="2726"/>
      <c r="G1" s="2726"/>
      <c r="H1" s="2726"/>
      <c r="I1" s="2726"/>
      <c r="J1" s="2726"/>
      <c r="K1" s="2726"/>
      <c r="L1" s="2726"/>
      <c r="M1" s="2726"/>
      <c r="N1" s="2726"/>
      <c r="O1" s="2726"/>
      <c r="P1" s="2726"/>
      <c r="Q1" s="2726"/>
      <c r="R1" s="2726"/>
      <c r="S1" s="2726"/>
      <c r="T1" s="2726"/>
      <c r="U1" s="2726"/>
      <c r="V1" s="2726"/>
      <c r="W1" s="2726"/>
      <c r="X1" s="2726"/>
      <c r="Y1" s="2726"/>
      <c r="Z1" s="2726"/>
      <c r="AA1" s="2726"/>
      <c r="AB1" s="2726"/>
      <c r="AC1" s="2726"/>
      <c r="AD1" s="2726"/>
      <c r="AE1" s="2726"/>
      <c r="AF1" s="2726"/>
      <c r="AG1" s="2726"/>
      <c r="AH1" s="2726"/>
      <c r="AI1" s="2726"/>
      <c r="AJ1" s="2726"/>
      <c r="AK1" s="2726"/>
      <c r="AL1" s="2726"/>
      <c r="AM1" s="2726"/>
    </row>
    <row r="2" spans="2:40" s="135" customFormat="1" ht="11.25">
      <c r="B2" s="2704" t="s">
        <v>4</v>
      </c>
      <c r="C2" s="2711" t="s">
        <v>2392</v>
      </c>
      <c r="D2" s="2711"/>
      <c r="E2" s="2714"/>
      <c r="F2" s="2711"/>
      <c r="G2" s="2704"/>
      <c r="H2" s="2704"/>
      <c r="I2" s="2704" t="s">
        <v>0</v>
      </c>
      <c r="J2" s="2714">
        <f>'Timing &amp; Flags'!I2</f>
        <v>1</v>
      </c>
      <c r="K2" s="2714">
        <f>'Timing &amp; Flags'!J2</f>
        <v>2</v>
      </c>
      <c r="L2" s="2714">
        <f>'Timing &amp; Flags'!K2</f>
        <v>3</v>
      </c>
      <c r="M2" s="2714">
        <f>'Timing &amp; Flags'!L2</f>
        <v>4</v>
      </c>
      <c r="N2" s="2714">
        <f>'Timing &amp; Flags'!M2</f>
        <v>5</v>
      </c>
      <c r="O2" s="2714">
        <f>'Timing &amp; Flags'!N2</f>
        <v>6</v>
      </c>
      <c r="P2" s="2714">
        <f>'Timing &amp; Flags'!O2</f>
        <v>7</v>
      </c>
      <c r="Q2" s="2714">
        <f>'Timing &amp; Flags'!P2</f>
        <v>8</v>
      </c>
      <c r="R2" s="2714">
        <f>'Timing &amp; Flags'!Q2</f>
        <v>9</v>
      </c>
      <c r="S2" s="2714">
        <f>'Timing &amp; Flags'!R2</f>
        <v>10</v>
      </c>
      <c r="T2" s="2714">
        <f>'Timing &amp; Flags'!S2</f>
        <v>11</v>
      </c>
      <c r="U2" s="2714">
        <f>'Timing &amp; Flags'!T2</f>
        <v>12</v>
      </c>
      <c r="V2" s="2714">
        <f>'Timing &amp; Flags'!U2</f>
        <v>13</v>
      </c>
      <c r="W2" s="2714">
        <f>'Timing &amp; Flags'!V2</f>
        <v>14</v>
      </c>
      <c r="X2" s="2714">
        <f>'Timing &amp; Flags'!W2</f>
        <v>15</v>
      </c>
      <c r="Y2" s="2714">
        <f>'Timing &amp; Flags'!X2</f>
        <v>16</v>
      </c>
      <c r="Z2" s="2714">
        <f>'Timing &amp; Flags'!Y2</f>
        <v>17</v>
      </c>
      <c r="AA2" s="2714">
        <f>'Timing &amp; Flags'!Z2</f>
        <v>18</v>
      </c>
      <c r="AB2" s="2714">
        <f>'Timing &amp; Flags'!AA2</f>
        <v>19</v>
      </c>
      <c r="AC2" s="2714">
        <f>'Timing &amp; Flags'!AB2</f>
        <v>20</v>
      </c>
      <c r="AD2" s="2714">
        <f>'Timing &amp; Flags'!AC2</f>
        <v>21</v>
      </c>
      <c r="AE2" s="2714">
        <f>'Timing &amp; Flags'!AD2</f>
        <v>22</v>
      </c>
      <c r="AF2" s="2714">
        <f>'Timing &amp; Flags'!AE2</f>
        <v>23</v>
      </c>
      <c r="AG2" s="2714">
        <f>'Timing &amp; Flags'!AF2</f>
        <v>24</v>
      </c>
      <c r="AH2" s="2714">
        <f>'Timing &amp; Flags'!AG2</f>
        <v>25</v>
      </c>
      <c r="AI2" s="2714">
        <f>'Timing &amp; Flags'!AH2</f>
        <v>26</v>
      </c>
      <c r="AJ2" s="2714">
        <f>'Timing &amp; Flags'!AI2</f>
        <v>27</v>
      </c>
      <c r="AK2" s="2714">
        <f>'Timing &amp; Flags'!AJ2</f>
        <v>28</v>
      </c>
      <c r="AL2" s="2714">
        <f>'Timing &amp; Flags'!AK2</f>
        <v>29</v>
      </c>
      <c r="AM2" s="2714">
        <f>'Timing &amp; Flags'!AL2</f>
        <v>30</v>
      </c>
    </row>
    <row r="3" spans="2:40" s="135" customFormat="1" ht="11.25">
      <c r="B3" s="2704" t="s">
        <v>823</v>
      </c>
      <c r="C3" s="2711" t="s">
        <v>2395</v>
      </c>
      <c r="D3" s="2704"/>
      <c r="E3" s="2714"/>
      <c r="F3" s="2711"/>
      <c r="G3" s="2704"/>
      <c r="H3" s="2704"/>
      <c r="I3" s="2704" t="s">
        <v>1</v>
      </c>
      <c r="J3" s="2719">
        <f>'Timing &amp; Flags'!I3</f>
        <v>46023</v>
      </c>
      <c r="K3" s="2719">
        <f>'Timing &amp; Flags'!J3</f>
        <v>46388</v>
      </c>
      <c r="L3" s="2719">
        <f>'Timing &amp; Flags'!K3</f>
        <v>46753</v>
      </c>
      <c r="M3" s="2719">
        <f>'Timing &amp; Flags'!L3</f>
        <v>47119</v>
      </c>
      <c r="N3" s="2719">
        <f>'Timing &amp; Flags'!M3</f>
        <v>47484</v>
      </c>
      <c r="O3" s="2719">
        <f>'Timing &amp; Flags'!N3</f>
        <v>47849</v>
      </c>
      <c r="P3" s="2719">
        <f>'Timing &amp; Flags'!O3</f>
        <v>48214</v>
      </c>
      <c r="Q3" s="2719">
        <f>'Timing &amp; Flags'!P3</f>
        <v>48580</v>
      </c>
      <c r="R3" s="2719">
        <f>'Timing &amp; Flags'!Q3</f>
        <v>48945</v>
      </c>
      <c r="S3" s="2719">
        <f>'Timing &amp; Flags'!R3</f>
        <v>49310</v>
      </c>
      <c r="T3" s="2719">
        <f>'Timing &amp; Flags'!S3</f>
        <v>49675</v>
      </c>
      <c r="U3" s="2719">
        <f>'Timing &amp; Flags'!T3</f>
        <v>50041</v>
      </c>
      <c r="V3" s="2719">
        <f>'Timing &amp; Flags'!U3</f>
        <v>50406</v>
      </c>
      <c r="W3" s="2719">
        <f>'Timing &amp; Flags'!V3</f>
        <v>50771</v>
      </c>
      <c r="X3" s="2719">
        <f>'Timing &amp; Flags'!W3</f>
        <v>51136</v>
      </c>
      <c r="Y3" s="2719">
        <f>'Timing &amp; Flags'!X3</f>
        <v>51502</v>
      </c>
      <c r="Z3" s="2719">
        <f>'Timing &amp; Flags'!Y3</f>
        <v>51867</v>
      </c>
      <c r="AA3" s="2719">
        <f>'Timing &amp; Flags'!Z3</f>
        <v>52232</v>
      </c>
      <c r="AB3" s="2719">
        <f>'Timing &amp; Flags'!AA3</f>
        <v>52597</v>
      </c>
      <c r="AC3" s="2719">
        <f>'Timing &amp; Flags'!AB3</f>
        <v>52963</v>
      </c>
      <c r="AD3" s="2719">
        <f>'Timing &amp; Flags'!AC3</f>
        <v>53328</v>
      </c>
      <c r="AE3" s="2719">
        <f>'Timing &amp; Flags'!AD3</f>
        <v>53693</v>
      </c>
      <c r="AF3" s="2719">
        <f>'Timing &amp; Flags'!AE3</f>
        <v>54058</v>
      </c>
      <c r="AG3" s="2719">
        <f>'Timing &amp; Flags'!AF3</f>
        <v>54424</v>
      </c>
      <c r="AH3" s="2719">
        <f>'Timing &amp; Flags'!AG3</f>
        <v>54789</v>
      </c>
      <c r="AI3" s="2719">
        <f>'Timing &amp; Flags'!AH3</f>
        <v>55154</v>
      </c>
      <c r="AJ3" s="2719">
        <f>'Timing &amp; Flags'!AI3</f>
        <v>55519</v>
      </c>
      <c r="AK3" s="2719">
        <f>'Timing &amp; Flags'!AJ3</f>
        <v>55885</v>
      </c>
      <c r="AL3" s="2719">
        <f>'Timing &amp; Flags'!AK3</f>
        <v>56250</v>
      </c>
      <c r="AM3" s="2719">
        <f>'Timing &amp; Flags'!AL3</f>
        <v>56615</v>
      </c>
    </row>
    <row r="4" spans="2:40" s="135" customFormat="1" ht="11.25">
      <c r="B4" s="2704" t="s">
        <v>849</v>
      </c>
      <c r="C4" s="2704" t="s">
        <v>849</v>
      </c>
      <c r="D4" s="2704"/>
      <c r="E4" s="2720"/>
      <c r="F4" s="2711"/>
      <c r="G4" s="2704"/>
      <c r="H4" s="2704"/>
      <c r="I4" s="2704" t="s">
        <v>2</v>
      </c>
      <c r="J4" s="2722">
        <f>'Timing &amp; Flags'!I4</f>
        <v>46387</v>
      </c>
      <c r="K4" s="2722">
        <f>'Timing &amp; Flags'!J4</f>
        <v>46752</v>
      </c>
      <c r="L4" s="2722">
        <f>'Timing &amp; Flags'!K4</f>
        <v>47118</v>
      </c>
      <c r="M4" s="2722">
        <f>'Timing &amp; Flags'!L4</f>
        <v>47483</v>
      </c>
      <c r="N4" s="2722">
        <f>'Timing &amp; Flags'!M4</f>
        <v>47848</v>
      </c>
      <c r="O4" s="2722">
        <f>'Timing &amp; Flags'!N4</f>
        <v>48213</v>
      </c>
      <c r="P4" s="2722">
        <f>'Timing &amp; Flags'!O4</f>
        <v>48579</v>
      </c>
      <c r="Q4" s="2722">
        <f>'Timing &amp; Flags'!P4</f>
        <v>48944</v>
      </c>
      <c r="R4" s="2722">
        <f>'Timing &amp; Flags'!Q4</f>
        <v>49309</v>
      </c>
      <c r="S4" s="2722">
        <f>'Timing &amp; Flags'!R4</f>
        <v>49674</v>
      </c>
      <c r="T4" s="2722">
        <f>'Timing &amp; Flags'!S4</f>
        <v>50040</v>
      </c>
      <c r="U4" s="2722">
        <f>'Timing &amp; Flags'!T4</f>
        <v>50405</v>
      </c>
      <c r="V4" s="2722">
        <f>'Timing &amp; Flags'!U4</f>
        <v>50770</v>
      </c>
      <c r="W4" s="2722">
        <f>'Timing &amp; Flags'!V4</f>
        <v>51135</v>
      </c>
      <c r="X4" s="2722">
        <f>'Timing &amp; Flags'!W4</f>
        <v>51501</v>
      </c>
      <c r="Y4" s="2722">
        <f>'Timing &amp; Flags'!X4</f>
        <v>51866</v>
      </c>
      <c r="Z4" s="2722">
        <f>'Timing &amp; Flags'!Y4</f>
        <v>52231</v>
      </c>
      <c r="AA4" s="2722">
        <f>'Timing &amp; Flags'!Z4</f>
        <v>52596</v>
      </c>
      <c r="AB4" s="2722">
        <f>'Timing &amp; Flags'!AA4</f>
        <v>52962</v>
      </c>
      <c r="AC4" s="2722">
        <f>'Timing &amp; Flags'!AB4</f>
        <v>53327</v>
      </c>
      <c r="AD4" s="2722">
        <f>'Timing &amp; Flags'!AC4</f>
        <v>53692</v>
      </c>
      <c r="AE4" s="2722">
        <f>'Timing &amp; Flags'!AD4</f>
        <v>54057</v>
      </c>
      <c r="AF4" s="2722">
        <f>'Timing &amp; Flags'!AE4</f>
        <v>54423</v>
      </c>
      <c r="AG4" s="2722">
        <f>'Timing &amp; Flags'!AF4</f>
        <v>54788</v>
      </c>
      <c r="AH4" s="2722">
        <f>'Timing &amp; Flags'!AG4</f>
        <v>55153</v>
      </c>
      <c r="AI4" s="2722">
        <f>'Timing &amp; Flags'!AH4</f>
        <v>55518</v>
      </c>
      <c r="AJ4" s="2722">
        <f>'Timing &amp; Flags'!AI4</f>
        <v>55884</v>
      </c>
      <c r="AK4" s="2722">
        <f>'Timing &amp; Flags'!AJ4</f>
        <v>56249</v>
      </c>
      <c r="AL4" s="2722">
        <f>'Timing &amp; Flags'!AK4</f>
        <v>56614</v>
      </c>
      <c r="AM4" s="2722">
        <f>'Timing &amp; Flags'!AL4</f>
        <v>56979</v>
      </c>
    </row>
    <row r="5" spans="2:40" s="135" customFormat="1" ht="11.25">
      <c r="B5" s="2704" t="s">
        <v>640</v>
      </c>
      <c r="C5" s="2704" t="s">
        <v>640</v>
      </c>
      <c r="D5" s="2704"/>
      <c r="E5" s="2723"/>
      <c r="F5" s="2711"/>
      <c r="G5" s="2704"/>
      <c r="H5" s="2704"/>
      <c r="I5" s="2704" t="s">
        <v>3</v>
      </c>
      <c r="J5" s="2723">
        <f ca="1">'Timing &amp; Flags'!I5</f>
        <v>365</v>
      </c>
      <c r="K5" s="2723">
        <f ca="1">'Timing &amp; Flags'!J5</f>
        <v>366</v>
      </c>
      <c r="L5" s="2723">
        <f ca="1">'Timing &amp; Flags'!K5</f>
        <v>365</v>
      </c>
      <c r="M5" s="2723">
        <f ca="1">'Timing &amp; Flags'!L5</f>
        <v>365</v>
      </c>
      <c r="N5" s="2723">
        <f ca="1">'Timing &amp; Flags'!M5</f>
        <v>365</v>
      </c>
      <c r="O5" s="2723">
        <f ca="1">'Timing &amp; Flags'!N5</f>
        <v>366</v>
      </c>
      <c r="P5" s="2723">
        <f ca="1">'Timing &amp; Flags'!O5</f>
        <v>365</v>
      </c>
      <c r="Q5" s="2723">
        <f ca="1">'Timing &amp; Flags'!P5</f>
        <v>365</v>
      </c>
      <c r="R5" s="2723">
        <f ca="1">'Timing &amp; Flags'!Q5</f>
        <v>365</v>
      </c>
      <c r="S5" s="2723">
        <f ca="1">'Timing &amp; Flags'!R5</f>
        <v>366</v>
      </c>
      <c r="T5" s="2723">
        <f ca="1">'Timing &amp; Flags'!S5</f>
        <v>365</v>
      </c>
      <c r="U5" s="2723">
        <f ca="1">'Timing &amp; Flags'!T5</f>
        <v>365</v>
      </c>
      <c r="V5" s="2723">
        <f ca="1">'Timing &amp; Flags'!U5</f>
        <v>365</v>
      </c>
      <c r="W5" s="2723">
        <f ca="1">'Timing &amp; Flags'!V5</f>
        <v>366</v>
      </c>
      <c r="X5" s="2723">
        <f ca="1">'Timing &amp; Flags'!W5</f>
        <v>365</v>
      </c>
      <c r="Y5" s="2723">
        <f ca="1">'Timing &amp; Flags'!X5</f>
        <v>365</v>
      </c>
      <c r="Z5" s="2723">
        <f ca="1">'Timing &amp; Flags'!Y5</f>
        <v>365</v>
      </c>
      <c r="AA5" s="2723">
        <f ca="1">'Timing &amp; Flags'!Z5</f>
        <v>366</v>
      </c>
      <c r="AB5" s="2723">
        <f ca="1">'Timing &amp; Flags'!AA5</f>
        <v>365</v>
      </c>
      <c r="AC5" s="2723">
        <f ca="1">'Timing &amp; Flags'!AB5</f>
        <v>365</v>
      </c>
      <c r="AD5" s="2723">
        <f ca="1">'Timing &amp; Flags'!AC5</f>
        <v>365</v>
      </c>
      <c r="AE5" s="2723">
        <f ca="1">'Timing &amp; Flags'!AD5</f>
        <v>366</v>
      </c>
      <c r="AF5" s="2723">
        <f ca="1">'Timing &amp; Flags'!AE5</f>
        <v>365</v>
      </c>
      <c r="AG5" s="2723">
        <f ca="1">'Timing &amp; Flags'!AF5</f>
        <v>365</v>
      </c>
      <c r="AH5" s="2723">
        <f ca="1">'Timing &amp; Flags'!AG5</f>
        <v>365</v>
      </c>
      <c r="AI5" s="2723">
        <f ca="1">'Timing &amp; Flags'!AH5</f>
        <v>366</v>
      </c>
      <c r="AJ5" s="2723">
        <f ca="1">'Timing &amp; Flags'!AI5</f>
        <v>365</v>
      </c>
      <c r="AK5" s="2723">
        <f ca="1">'Timing &amp; Flags'!AJ5</f>
        <v>365</v>
      </c>
      <c r="AL5" s="2723">
        <f ca="1">'Timing &amp; Flags'!AK5</f>
        <v>365</v>
      </c>
      <c r="AM5" s="2723">
        <f ca="1">'Timing &amp; Flags'!AL5</f>
        <v>365</v>
      </c>
    </row>
    <row r="7" spans="2:40">
      <c r="B7" s="1" t="s">
        <v>258</v>
      </c>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row>
    <row r="9" spans="2:40">
      <c r="C9" s="10" t="s">
        <v>210</v>
      </c>
      <c r="G9" s="13"/>
    </row>
    <row r="10" spans="2:40">
      <c r="C10" s="50" t="s">
        <v>58</v>
      </c>
    </row>
    <row r="11" spans="2:40">
      <c r="C11" s="2" t="s">
        <v>59</v>
      </c>
      <c r="D11" s="15" t="s">
        <v>60</v>
      </c>
      <c r="E11" s="41">
        <f>SUM(J11:AJ11)</f>
        <v>1</v>
      </c>
      <c r="J11" s="41">
        <f>'Timing &amp; Flags'!I36</f>
        <v>1</v>
      </c>
      <c r="K11" s="41">
        <f>'Timing &amp; Flags'!J36</f>
        <v>0</v>
      </c>
      <c r="L11" s="41">
        <f>'Timing &amp; Flags'!K36</f>
        <v>0</v>
      </c>
      <c r="M11" s="41">
        <f>'Timing &amp; Flags'!L36</f>
        <v>0</v>
      </c>
      <c r="N11" s="41">
        <f>'Timing &amp; Flags'!M36</f>
        <v>0</v>
      </c>
      <c r="O11" s="41">
        <f>'Timing &amp; Flags'!N36</f>
        <v>0</v>
      </c>
      <c r="P11" s="41">
        <f>'Timing &amp; Flags'!O36</f>
        <v>0</v>
      </c>
      <c r="Q11" s="41">
        <f>'Timing &amp; Flags'!P36</f>
        <v>0</v>
      </c>
      <c r="R11" s="41">
        <f>'Timing &amp; Flags'!Q36</f>
        <v>0</v>
      </c>
      <c r="S11" s="41">
        <f>'Timing &amp; Flags'!R36</f>
        <v>0</v>
      </c>
      <c r="T11" s="41">
        <f>'Timing &amp; Flags'!S36</f>
        <v>0</v>
      </c>
      <c r="U11" s="41">
        <f>'Timing &amp; Flags'!T36</f>
        <v>0</v>
      </c>
      <c r="V11" s="41">
        <f>'Timing &amp; Flags'!U36</f>
        <v>0</v>
      </c>
      <c r="W11" s="41">
        <f>'Timing &amp; Flags'!V36</f>
        <v>0</v>
      </c>
      <c r="X11" s="41">
        <f>'Timing &amp; Flags'!W36</f>
        <v>0</v>
      </c>
      <c r="Y11" s="41">
        <f>'Timing &amp; Flags'!X36</f>
        <v>0</v>
      </c>
      <c r="Z11" s="41">
        <f>'Timing &amp; Flags'!Y36</f>
        <v>0</v>
      </c>
      <c r="AA11" s="41">
        <f>'Timing &amp; Flags'!Z36</f>
        <v>0</v>
      </c>
      <c r="AB11" s="41">
        <f>'Timing &amp; Flags'!AA36</f>
        <v>0</v>
      </c>
      <c r="AC11" s="41">
        <f>'Timing &amp; Flags'!AB36</f>
        <v>0</v>
      </c>
      <c r="AD11" s="41">
        <f>'Timing &amp; Flags'!AC36</f>
        <v>0</v>
      </c>
      <c r="AE11" s="41">
        <f>'Timing &amp; Flags'!AD36</f>
        <v>0</v>
      </c>
      <c r="AF11" s="41">
        <f>'Timing &amp; Flags'!AE36</f>
        <v>0</v>
      </c>
      <c r="AG11" s="41">
        <f>'Timing &amp; Flags'!AF36</f>
        <v>0</v>
      </c>
      <c r="AH11" s="41">
        <f>'Timing &amp; Flags'!AG36</f>
        <v>0</v>
      </c>
      <c r="AI11" s="41">
        <f>'Timing &amp; Flags'!AH36</f>
        <v>0</v>
      </c>
      <c r="AJ11" s="41">
        <f>'Timing &amp; Flags'!AI36</f>
        <v>0</v>
      </c>
      <c r="AK11" s="41">
        <f>'Timing &amp; Flags'!AJ36</f>
        <v>0</v>
      </c>
      <c r="AL11" s="41">
        <f>'Timing &amp; Flags'!AK36</f>
        <v>0</v>
      </c>
      <c r="AM11" s="41">
        <f>'Timing &amp; Flags'!AL36</f>
        <v>0</v>
      </c>
      <c r="AN11" s="1070"/>
    </row>
    <row r="12" spans="2:40">
      <c r="C12" s="2" t="s">
        <v>61</v>
      </c>
      <c r="D12" s="15" t="s">
        <v>60</v>
      </c>
      <c r="E12" s="41">
        <f>SUM(J12:AJ12)</f>
        <v>3</v>
      </c>
      <c r="J12" s="41">
        <f>'Timing &amp; Flags'!I37</f>
        <v>1</v>
      </c>
      <c r="K12" s="41">
        <f>'Timing &amp; Flags'!J37</f>
        <v>1</v>
      </c>
      <c r="L12" s="41">
        <f>'Timing &amp; Flags'!K37</f>
        <v>1</v>
      </c>
      <c r="M12" s="41">
        <f>'Timing &amp; Flags'!L37</f>
        <v>0</v>
      </c>
      <c r="N12" s="41">
        <f>'Timing &amp; Flags'!M37</f>
        <v>0</v>
      </c>
      <c r="O12" s="41">
        <f>'Timing &amp; Flags'!N37</f>
        <v>0</v>
      </c>
      <c r="P12" s="41">
        <f>'Timing &amp; Flags'!O37</f>
        <v>0</v>
      </c>
      <c r="Q12" s="41">
        <f>'Timing &amp; Flags'!P37</f>
        <v>0</v>
      </c>
      <c r="R12" s="41">
        <f>'Timing &amp; Flags'!Q37</f>
        <v>0</v>
      </c>
      <c r="S12" s="41">
        <f>'Timing &amp; Flags'!R37</f>
        <v>0</v>
      </c>
      <c r="T12" s="41">
        <f>'Timing &amp; Flags'!S37</f>
        <v>0</v>
      </c>
      <c r="U12" s="41">
        <f>'Timing &amp; Flags'!T37</f>
        <v>0</v>
      </c>
      <c r="V12" s="41">
        <f>'Timing &amp; Flags'!U37</f>
        <v>0</v>
      </c>
      <c r="W12" s="41">
        <f>'Timing &amp; Flags'!V37</f>
        <v>0</v>
      </c>
      <c r="X12" s="41">
        <f>'Timing &amp; Flags'!W37</f>
        <v>0</v>
      </c>
      <c r="Y12" s="41">
        <f>'Timing &amp; Flags'!X37</f>
        <v>0</v>
      </c>
      <c r="Z12" s="41">
        <f>'Timing &amp; Flags'!Y37</f>
        <v>0</v>
      </c>
      <c r="AA12" s="41">
        <f>'Timing &amp; Flags'!Z37</f>
        <v>0</v>
      </c>
      <c r="AB12" s="41">
        <f>'Timing &amp; Flags'!AA37</f>
        <v>0</v>
      </c>
      <c r="AC12" s="41">
        <f>'Timing &amp; Flags'!AB37</f>
        <v>0</v>
      </c>
      <c r="AD12" s="41">
        <f>'Timing &amp; Flags'!AC37</f>
        <v>0</v>
      </c>
      <c r="AE12" s="41">
        <f>'Timing &amp; Flags'!AD37</f>
        <v>0</v>
      </c>
      <c r="AF12" s="41">
        <f>'Timing &amp; Flags'!AE37</f>
        <v>0</v>
      </c>
      <c r="AG12" s="41">
        <f>'Timing &amp; Flags'!AF37</f>
        <v>0</v>
      </c>
      <c r="AH12" s="41">
        <f>'Timing &amp; Flags'!AG37</f>
        <v>0</v>
      </c>
      <c r="AI12" s="41">
        <f>'Timing &amp; Flags'!AH37</f>
        <v>0</v>
      </c>
      <c r="AJ12" s="41">
        <f>'Timing &amp; Flags'!AI37</f>
        <v>0</v>
      </c>
      <c r="AK12" s="41">
        <f>'Timing &amp; Flags'!AJ37</f>
        <v>0</v>
      </c>
      <c r="AL12" s="41">
        <f>'Timing &amp; Flags'!AK37</f>
        <v>0</v>
      </c>
      <c r="AM12" s="41">
        <f>'Timing &amp; Flags'!AL37</f>
        <v>0</v>
      </c>
      <c r="AN12" s="1070"/>
    </row>
    <row r="13" spans="2:40">
      <c r="C13" s="2" t="s">
        <v>62</v>
      </c>
      <c r="D13" s="15" t="s">
        <v>60</v>
      </c>
      <c r="E13" s="41">
        <f>SUM(J13:AJ13)</f>
        <v>1</v>
      </c>
      <c r="G13" s="14"/>
      <c r="J13" s="41">
        <f>'Timing &amp; Flags'!I38</f>
        <v>0</v>
      </c>
      <c r="K13" s="41">
        <f>'Timing &amp; Flags'!J38</f>
        <v>0</v>
      </c>
      <c r="L13" s="41">
        <f>'Timing &amp; Flags'!K38</f>
        <v>1</v>
      </c>
      <c r="M13" s="41">
        <f>'Timing &amp; Flags'!L38</f>
        <v>0</v>
      </c>
      <c r="N13" s="41">
        <f>'Timing &amp; Flags'!M38</f>
        <v>0</v>
      </c>
      <c r="O13" s="41">
        <f>'Timing &amp; Flags'!N38</f>
        <v>0</v>
      </c>
      <c r="P13" s="41">
        <f>'Timing &amp; Flags'!O38</f>
        <v>0</v>
      </c>
      <c r="Q13" s="41">
        <f>'Timing &amp; Flags'!P38</f>
        <v>0</v>
      </c>
      <c r="R13" s="41">
        <f>'Timing &amp; Flags'!Q38</f>
        <v>0</v>
      </c>
      <c r="S13" s="41">
        <f>'Timing &amp; Flags'!R38</f>
        <v>0</v>
      </c>
      <c r="T13" s="41">
        <f>'Timing &amp; Flags'!S38</f>
        <v>0</v>
      </c>
      <c r="U13" s="41">
        <f>'Timing &amp; Flags'!T38</f>
        <v>0</v>
      </c>
      <c r="V13" s="41">
        <f>'Timing &amp; Flags'!U38</f>
        <v>0</v>
      </c>
      <c r="W13" s="41">
        <f>'Timing &amp; Flags'!V38</f>
        <v>0</v>
      </c>
      <c r="X13" s="41">
        <f>'Timing &amp; Flags'!W38</f>
        <v>0</v>
      </c>
      <c r="Y13" s="41">
        <f>'Timing &amp; Flags'!X38</f>
        <v>0</v>
      </c>
      <c r="Z13" s="41">
        <f>'Timing &amp; Flags'!Y38</f>
        <v>0</v>
      </c>
      <c r="AA13" s="41">
        <f>'Timing &amp; Flags'!Z38</f>
        <v>0</v>
      </c>
      <c r="AB13" s="41">
        <f>'Timing &amp; Flags'!AA38</f>
        <v>0</v>
      </c>
      <c r="AC13" s="41">
        <f>'Timing &amp; Flags'!AB38</f>
        <v>0</v>
      </c>
      <c r="AD13" s="41">
        <f>'Timing &amp; Flags'!AC38</f>
        <v>0</v>
      </c>
      <c r="AE13" s="41">
        <f>'Timing &amp; Flags'!AD38</f>
        <v>0</v>
      </c>
      <c r="AF13" s="41">
        <f>'Timing &amp; Flags'!AE38</f>
        <v>0</v>
      </c>
      <c r="AG13" s="41">
        <f>'Timing &amp; Flags'!AF38</f>
        <v>0</v>
      </c>
      <c r="AH13" s="41">
        <f>'Timing &amp; Flags'!AG38</f>
        <v>0</v>
      </c>
      <c r="AI13" s="41">
        <f>'Timing &amp; Flags'!AH38</f>
        <v>0</v>
      </c>
      <c r="AJ13" s="41">
        <f>'Timing &amp; Flags'!AI38</f>
        <v>0</v>
      </c>
      <c r="AK13" s="41">
        <f>'Timing &amp; Flags'!AJ38</f>
        <v>0</v>
      </c>
      <c r="AL13" s="41">
        <f>'Timing &amp; Flags'!AK38</f>
        <v>0</v>
      </c>
      <c r="AM13" s="41">
        <f>'Timing &amp; Flags'!AL38</f>
        <v>0</v>
      </c>
      <c r="AN13" s="1070"/>
    </row>
    <row r="15" spans="2:40">
      <c r="C15" s="50" t="s">
        <v>64</v>
      </c>
    </row>
    <row r="16" spans="2:40">
      <c r="C16" s="2" t="s">
        <v>65</v>
      </c>
      <c r="D16" s="15" t="s">
        <v>60</v>
      </c>
      <c r="E16" s="41">
        <f>SUM(J16:AJ16)</f>
        <v>1</v>
      </c>
      <c r="J16" s="41">
        <f>'Timing &amp; Flags'!I42</f>
        <v>0</v>
      </c>
      <c r="K16" s="41">
        <f>'Timing &amp; Flags'!J42</f>
        <v>0</v>
      </c>
      <c r="L16" s="41">
        <f>'Timing &amp; Flags'!K42</f>
        <v>0</v>
      </c>
      <c r="M16" s="41">
        <f>'Timing &amp; Flags'!L42</f>
        <v>1</v>
      </c>
      <c r="N16" s="41">
        <f>'Timing &amp; Flags'!M42</f>
        <v>0</v>
      </c>
      <c r="O16" s="41">
        <f>'Timing &amp; Flags'!N42</f>
        <v>0</v>
      </c>
      <c r="P16" s="41">
        <f>'Timing &amp; Flags'!O42</f>
        <v>0</v>
      </c>
      <c r="Q16" s="41">
        <f>'Timing &amp; Flags'!P42</f>
        <v>0</v>
      </c>
      <c r="R16" s="41">
        <f>'Timing &amp; Flags'!Q42</f>
        <v>0</v>
      </c>
      <c r="S16" s="41">
        <f>'Timing &amp; Flags'!R42</f>
        <v>0</v>
      </c>
      <c r="T16" s="41">
        <f>'Timing &amp; Flags'!S42</f>
        <v>0</v>
      </c>
      <c r="U16" s="41">
        <f>'Timing &amp; Flags'!T42</f>
        <v>0</v>
      </c>
      <c r="V16" s="41">
        <f>'Timing &amp; Flags'!U42</f>
        <v>0</v>
      </c>
      <c r="W16" s="41">
        <f>'Timing &amp; Flags'!V42</f>
        <v>0</v>
      </c>
      <c r="X16" s="41">
        <f>'Timing &amp; Flags'!W42</f>
        <v>0</v>
      </c>
      <c r="Y16" s="41">
        <f>'Timing &amp; Flags'!X42</f>
        <v>0</v>
      </c>
      <c r="Z16" s="41">
        <f>'Timing &amp; Flags'!Y42</f>
        <v>0</v>
      </c>
      <c r="AA16" s="41">
        <f>'Timing &amp; Flags'!Z42</f>
        <v>0</v>
      </c>
      <c r="AB16" s="41">
        <f>'Timing &amp; Flags'!AA42</f>
        <v>0</v>
      </c>
      <c r="AC16" s="41">
        <f>'Timing &amp; Flags'!AB42</f>
        <v>0</v>
      </c>
      <c r="AD16" s="41">
        <f>'Timing &amp; Flags'!AC42</f>
        <v>0</v>
      </c>
      <c r="AE16" s="41">
        <f>'Timing &amp; Flags'!AD42</f>
        <v>0</v>
      </c>
      <c r="AF16" s="41">
        <f>'Timing &amp; Flags'!AE42</f>
        <v>0</v>
      </c>
      <c r="AG16" s="41">
        <f>'Timing &amp; Flags'!AF42</f>
        <v>0</v>
      </c>
      <c r="AH16" s="41">
        <f>'Timing &amp; Flags'!AG42</f>
        <v>0</v>
      </c>
      <c r="AI16" s="41">
        <f>'Timing &amp; Flags'!AH42</f>
        <v>0</v>
      </c>
      <c r="AJ16" s="41">
        <f>'Timing &amp; Flags'!AI42</f>
        <v>0</v>
      </c>
      <c r="AK16" s="41">
        <f>'Timing &amp; Flags'!AJ42</f>
        <v>0</v>
      </c>
      <c r="AL16" s="41">
        <f>'Timing &amp; Flags'!AK42</f>
        <v>0</v>
      </c>
      <c r="AM16" s="41">
        <f>'Timing &amp; Flags'!AL42</f>
        <v>0</v>
      </c>
      <c r="AN16" s="1070"/>
    </row>
    <row r="17" spans="2:40">
      <c r="C17" s="2" t="s">
        <v>66</v>
      </c>
      <c r="D17" s="15" t="s">
        <v>60</v>
      </c>
      <c r="E17" s="41">
        <f>SUM(J17:AJ17)</f>
        <v>24</v>
      </c>
      <c r="J17" s="41">
        <f>'Timing &amp; Flags'!I43</f>
        <v>0</v>
      </c>
      <c r="K17" s="41">
        <f>'Timing &amp; Flags'!J43</f>
        <v>0</v>
      </c>
      <c r="L17" s="41">
        <f>'Timing &amp; Flags'!K43</f>
        <v>0</v>
      </c>
      <c r="M17" s="41">
        <f>'Timing &amp; Flags'!L43</f>
        <v>1</v>
      </c>
      <c r="N17" s="41">
        <f>'Timing &amp; Flags'!M43</f>
        <v>1</v>
      </c>
      <c r="O17" s="41">
        <f>'Timing &amp; Flags'!N43</f>
        <v>1</v>
      </c>
      <c r="P17" s="41">
        <f>'Timing &amp; Flags'!O43</f>
        <v>1</v>
      </c>
      <c r="Q17" s="41">
        <f>'Timing &amp; Flags'!P43</f>
        <v>1</v>
      </c>
      <c r="R17" s="41">
        <f>'Timing &amp; Flags'!Q43</f>
        <v>1</v>
      </c>
      <c r="S17" s="41">
        <f>'Timing &amp; Flags'!R43</f>
        <v>1</v>
      </c>
      <c r="T17" s="41">
        <f>'Timing &amp; Flags'!S43</f>
        <v>1</v>
      </c>
      <c r="U17" s="41">
        <f>'Timing &amp; Flags'!T43</f>
        <v>1</v>
      </c>
      <c r="V17" s="41">
        <f>'Timing &amp; Flags'!U43</f>
        <v>1</v>
      </c>
      <c r="W17" s="41">
        <f>'Timing &amp; Flags'!V43</f>
        <v>1</v>
      </c>
      <c r="X17" s="41">
        <f>'Timing &amp; Flags'!W43</f>
        <v>1</v>
      </c>
      <c r="Y17" s="41">
        <f>'Timing &amp; Flags'!X43</f>
        <v>1</v>
      </c>
      <c r="Z17" s="41">
        <f>'Timing &amp; Flags'!Y43</f>
        <v>1</v>
      </c>
      <c r="AA17" s="41">
        <f>'Timing &amp; Flags'!Z43</f>
        <v>1</v>
      </c>
      <c r="AB17" s="41">
        <f>'Timing &amp; Flags'!AA43</f>
        <v>1</v>
      </c>
      <c r="AC17" s="41">
        <f>'Timing &amp; Flags'!AB43</f>
        <v>1</v>
      </c>
      <c r="AD17" s="41">
        <f>'Timing &amp; Flags'!AC43</f>
        <v>1</v>
      </c>
      <c r="AE17" s="41">
        <f>'Timing &amp; Flags'!AD43</f>
        <v>1</v>
      </c>
      <c r="AF17" s="41">
        <f>'Timing &amp; Flags'!AE43</f>
        <v>1</v>
      </c>
      <c r="AG17" s="41">
        <f>'Timing &amp; Flags'!AF43</f>
        <v>1</v>
      </c>
      <c r="AH17" s="41">
        <f>'Timing &amp; Flags'!AG43</f>
        <v>1</v>
      </c>
      <c r="AI17" s="41">
        <f>'Timing &amp; Flags'!AH43</f>
        <v>1</v>
      </c>
      <c r="AJ17" s="41">
        <f>'Timing &amp; Flags'!AI43</f>
        <v>1</v>
      </c>
      <c r="AK17" s="41">
        <f>'Timing &amp; Flags'!AJ43</f>
        <v>1</v>
      </c>
      <c r="AL17" s="41">
        <f>'Timing &amp; Flags'!AK43</f>
        <v>1</v>
      </c>
      <c r="AM17" s="41">
        <f>'Timing &amp; Flags'!AL43</f>
        <v>1</v>
      </c>
      <c r="AN17" s="1070"/>
    </row>
    <row r="18" spans="2:40">
      <c r="C18" s="2" t="s">
        <v>67</v>
      </c>
      <c r="D18" s="15" t="s">
        <v>60</v>
      </c>
      <c r="E18" s="41">
        <f>SUM(J18:AJ18)</f>
        <v>0</v>
      </c>
      <c r="J18" s="41">
        <f>'Timing &amp; Flags'!I44</f>
        <v>0</v>
      </c>
      <c r="K18" s="41">
        <f>'Timing &amp; Flags'!J44</f>
        <v>0</v>
      </c>
      <c r="L18" s="41">
        <f>'Timing &amp; Flags'!K44</f>
        <v>0</v>
      </c>
      <c r="M18" s="41">
        <f>'Timing &amp; Flags'!L44</f>
        <v>0</v>
      </c>
      <c r="N18" s="41">
        <f>'Timing &amp; Flags'!M44</f>
        <v>0</v>
      </c>
      <c r="O18" s="41">
        <f>'Timing &amp; Flags'!N44</f>
        <v>0</v>
      </c>
      <c r="P18" s="41">
        <f>'Timing &amp; Flags'!O44</f>
        <v>0</v>
      </c>
      <c r="Q18" s="41">
        <f>'Timing &amp; Flags'!P44</f>
        <v>0</v>
      </c>
      <c r="R18" s="41">
        <f>'Timing &amp; Flags'!Q44</f>
        <v>0</v>
      </c>
      <c r="S18" s="41">
        <f>'Timing &amp; Flags'!R44</f>
        <v>0</v>
      </c>
      <c r="T18" s="41">
        <f>'Timing &amp; Flags'!S44</f>
        <v>0</v>
      </c>
      <c r="U18" s="41">
        <f>'Timing &amp; Flags'!T44</f>
        <v>0</v>
      </c>
      <c r="V18" s="41">
        <f>'Timing &amp; Flags'!U44</f>
        <v>0</v>
      </c>
      <c r="W18" s="41">
        <f>'Timing &amp; Flags'!V44</f>
        <v>0</v>
      </c>
      <c r="X18" s="41">
        <f>'Timing &amp; Flags'!W44</f>
        <v>0</v>
      </c>
      <c r="Y18" s="41">
        <f>'Timing &amp; Flags'!X44</f>
        <v>0</v>
      </c>
      <c r="Z18" s="41">
        <f>'Timing &amp; Flags'!Y44</f>
        <v>0</v>
      </c>
      <c r="AA18" s="41">
        <f>'Timing &amp; Flags'!Z44</f>
        <v>0</v>
      </c>
      <c r="AB18" s="41">
        <f>'Timing &amp; Flags'!AA44</f>
        <v>0</v>
      </c>
      <c r="AC18" s="41">
        <f>'Timing &amp; Flags'!AB44</f>
        <v>0</v>
      </c>
      <c r="AD18" s="41">
        <f>'Timing &amp; Flags'!AC44</f>
        <v>0</v>
      </c>
      <c r="AE18" s="41">
        <f>'Timing &amp; Flags'!AD44</f>
        <v>0</v>
      </c>
      <c r="AF18" s="41">
        <f>'Timing &amp; Flags'!AE44</f>
        <v>0</v>
      </c>
      <c r="AG18" s="41">
        <f>'Timing &amp; Flags'!AF44</f>
        <v>0</v>
      </c>
      <c r="AH18" s="41">
        <f>'Timing &amp; Flags'!AG44</f>
        <v>0</v>
      </c>
      <c r="AI18" s="41">
        <f>'Timing &amp; Flags'!AH44</f>
        <v>0</v>
      </c>
      <c r="AJ18" s="41">
        <f>'Timing &amp; Flags'!AI44</f>
        <v>0</v>
      </c>
      <c r="AK18" s="41">
        <f>'Timing &amp; Flags'!AJ44</f>
        <v>0</v>
      </c>
      <c r="AL18" s="41">
        <f>'Timing &amp; Flags'!AK44</f>
        <v>0</v>
      </c>
      <c r="AM18" s="41">
        <f>'Timing &amp; Flags'!AL44</f>
        <v>1</v>
      </c>
      <c r="AN18" s="1070"/>
    </row>
    <row r="20" spans="2:40">
      <c r="C20" s="2" t="s">
        <v>538</v>
      </c>
      <c r="D20" s="15" t="s">
        <v>60</v>
      </c>
      <c r="E20" s="41">
        <f>SUM(J20:AJ20)</f>
        <v>27</v>
      </c>
      <c r="J20" s="2">
        <f>'Timing &amp; Flags'!I49</f>
        <v>1</v>
      </c>
      <c r="K20" s="2">
        <f>'Timing &amp; Flags'!J49</f>
        <v>1</v>
      </c>
      <c r="L20" s="2">
        <f>'Timing &amp; Flags'!K49</f>
        <v>1</v>
      </c>
      <c r="M20" s="2">
        <f>'Timing &amp; Flags'!L49</f>
        <v>1</v>
      </c>
      <c r="N20" s="2">
        <f>'Timing &amp; Flags'!M49</f>
        <v>1</v>
      </c>
      <c r="O20" s="2">
        <f>'Timing &amp; Flags'!N49</f>
        <v>1</v>
      </c>
      <c r="P20" s="2">
        <f>'Timing &amp; Flags'!O49</f>
        <v>1</v>
      </c>
      <c r="Q20" s="2">
        <f>'Timing &amp; Flags'!P49</f>
        <v>1</v>
      </c>
      <c r="R20" s="2">
        <f>'Timing &amp; Flags'!Q49</f>
        <v>1</v>
      </c>
      <c r="S20" s="2">
        <f>'Timing &amp; Flags'!R49</f>
        <v>1</v>
      </c>
      <c r="T20" s="2">
        <f>'Timing &amp; Flags'!S49</f>
        <v>1</v>
      </c>
      <c r="U20" s="2">
        <f>'Timing &amp; Flags'!T49</f>
        <v>1</v>
      </c>
      <c r="V20" s="2">
        <f>'Timing &amp; Flags'!U49</f>
        <v>1</v>
      </c>
      <c r="W20" s="2">
        <f>'Timing &amp; Flags'!V49</f>
        <v>1</v>
      </c>
      <c r="X20" s="2">
        <f>'Timing &amp; Flags'!W49</f>
        <v>1</v>
      </c>
      <c r="Y20" s="2">
        <f>'Timing &amp; Flags'!X49</f>
        <v>1</v>
      </c>
      <c r="Z20" s="2">
        <f>'Timing &amp; Flags'!Y49</f>
        <v>1</v>
      </c>
      <c r="AA20" s="2">
        <f>'Timing &amp; Flags'!Z49</f>
        <v>1</v>
      </c>
      <c r="AB20" s="2">
        <f>'Timing &amp; Flags'!AA49</f>
        <v>1</v>
      </c>
      <c r="AC20" s="2">
        <f>'Timing &amp; Flags'!AB49</f>
        <v>1</v>
      </c>
      <c r="AD20" s="2">
        <f>'Timing &amp; Flags'!AC49</f>
        <v>1</v>
      </c>
      <c r="AE20" s="2">
        <f>'Timing &amp; Flags'!AD49</f>
        <v>1</v>
      </c>
      <c r="AF20" s="2">
        <f>'Timing &amp; Flags'!AE49</f>
        <v>1</v>
      </c>
      <c r="AG20" s="2">
        <f>'Timing &amp; Flags'!AF49</f>
        <v>1</v>
      </c>
      <c r="AH20" s="2">
        <f>'Timing &amp; Flags'!AG49</f>
        <v>1</v>
      </c>
      <c r="AI20" s="2">
        <f>'Timing &amp; Flags'!AH49</f>
        <v>1</v>
      </c>
      <c r="AJ20" s="2">
        <f>'Timing &amp; Flags'!AI49</f>
        <v>1</v>
      </c>
      <c r="AK20" s="2">
        <f>'Timing &amp; Flags'!AJ49</f>
        <v>1</v>
      </c>
      <c r="AL20" s="2">
        <f>'Timing &amp; Flags'!AK49</f>
        <v>1</v>
      </c>
      <c r="AM20" s="2">
        <f>'Timing &amp; Flags'!AL49</f>
        <v>1</v>
      </c>
    </row>
    <row r="22" spans="2:40">
      <c r="C22" s="50" t="s">
        <v>69</v>
      </c>
    </row>
    <row r="23" spans="2:40">
      <c r="C23" s="2" t="s">
        <v>56</v>
      </c>
      <c r="D23" s="15" t="s">
        <v>72</v>
      </c>
      <c r="E23" s="59">
        <f ca="1">SUM(J23:AJ23)</f>
        <v>3.0000074855902388</v>
      </c>
      <c r="J23" s="17">
        <f ca="1">'Timing &amp; Flags'!I54</f>
        <v>1</v>
      </c>
      <c r="K23" s="17">
        <f ca="1">'Timing &amp; Flags'!J54</f>
        <v>0.99726775956284153</v>
      </c>
      <c r="L23" s="17">
        <f ca="1">'Timing &amp; Flags'!K54</f>
        <v>1.0027397260273974</v>
      </c>
      <c r="M23" s="17">
        <f>'Timing &amp; Flags'!L54</f>
        <v>0</v>
      </c>
      <c r="N23" s="17">
        <f>'Timing &amp; Flags'!M54</f>
        <v>0</v>
      </c>
      <c r="O23" s="17">
        <f>'Timing &amp; Flags'!N54</f>
        <v>0</v>
      </c>
      <c r="P23" s="17">
        <f>'Timing &amp; Flags'!O54</f>
        <v>0</v>
      </c>
      <c r="Q23" s="17">
        <f>'Timing &amp; Flags'!P54</f>
        <v>0</v>
      </c>
      <c r="R23" s="17">
        <f>'Timing &amp; Flags'!Q54</f>
        <v>0</v>
      </c>
      <c r="S23" s="17">
        <f>'Timing &amp; Flags'!R54</f>
        <v>0</v>
      </c>
      <c r="T23" s="17">
        <f>'Timing &amp; Flags'!S54</f>
        <v>0</v>
      </c>
      <c r="U23" s="17">
        <f>'Timing &amp; Flags'!T54</f>
        <v>0</v>
      </c>
      <c r="V23" s="17">
        <f>'Timing &amp; Flags'!U54</f>
        <v>0</v>
      </c>
      <c r="W23" s="17">
        <f>'Timing &amp; Flags'!V54</f>
        <v>0</v>
      </c>
      <c r="X23" s="17">
        <f>'Timing &amp; Flags'!W54</f>
        <v>0</v>
      </c>
      <c r="Y23" s="17">
        <f>'Timing &amp; Flags'!X54</f>
        <v>0</v>
      </c>
      <c r="Z23" s="17">
        <f>'Timing &amp; Flags'!Y54</f>
        <v>0</v>
      </c>
      <c r="AA23" s="17">
        <f>'Timing &amp; Flags'!Z54</f>
        <v>0</v>
      </c>
      <c r="AB23" s="17">
        <f>'Timing &amp; Flags'!AA54</f>
        <v>0</v>
      </c>
      <c r="AC23" s="17">
        <f>'Timing &amp; Flags'!AB54</f>
        <v>0</v>
      </c>
      <c r="AD23" s="17">
        <f>'Timing &amp; Flags'!AC54</f>
        <v>0</v>
      </c>
      <c r="AE23" s="17">
        <f>'Timing &amp; Flags'!AD54</f>
        <v>0</v>
      </c>
      <c r="AF23" s="17">
        <f>'Timing &amp; Flags'!AE54</f>
        <v>0</v>
      </c>
      <c r="AG23" s="17">
        <f>'Timing &amp; Flags'!AF54</f>
        <v>0</v>
      </c>
      <c r="AH23" s="17">
        <f>'Timing &amp; Flags'!AG54</f>
        <v>0</v>
      </c>
      <c r="AI23" s="17">
        <f>'Timing &amp; Flags'!AH54</f>
        <v>0</v>
      </c>
      <c r="AJ23" s="17">
        <f>'Timing &amp; Flags'!AI54</f>
        <v>0</v>
      </c>
      <c r="AK23" s="17">
        <f>'Timing &amp; Flags'!AJ54</f>
        <v>0</v>
      </c>
      <c r="AL23" s="17">
        <f>'Timing &amp; Flags'!AK54</f>
        <v>0</v>
      </c>
      <c r="AM23" s="17">
        <f>'Timing &amp; Flags'!AL54</f>
        <v>0</v>
      </c>
      <c r="AN23" s="1073"/>
    </row>
    <row r="24" spans="2:40">
      <c r="C24" s="27" t="s">
        <v>57</v>
      </c>
      <c r="D24" s="15" t="s">
        <v>72</v>
      </c>
      <c r="E24" s="189">
        <f ca="1">SUM(J24:AJ24)</f>
        <v>24.00004491354143</v>
      </c>
      <c r="F24" s="27"/>
      <c r="G24" s="27"/>
      <c r="H24" s="27"/>
      <c r="I24" s="27"/>
      <c r="J24" s="116">
        <f>'Timing &amp; Flags'!I55</f>
        <v>0</v>
      </c>
      <c r="K24" s="116">
        <f>'Timing &amp; Flags'!J55</f>
        <v>0</v>
      </c>
      <c r="L24" s="1733">
        <f>'Timing &amp; Flags'!K55</f>
        <v>0</v>
      </c>
      <c r="M24" s="116">
        <f ca="1">'Timing &amp; Flags'!L55</f>
        <v>1</v>
      </c>
      <c r="N24" s="116">
        <f ca="1">'Timing &amp; Flags'!M55</f>
        <v>1</v>
      </c>
      <c r="O24" s="116">
        <f ca="1">'Timing &amp; Flags'!N55</f>
        <v>0.99726775956284153</v>
      </c>
      <c r="P24" s="116">
        <f ca="1">'Timing &amp; Flags'!O55</f>
        <v>1.0027397260273974</v>
      </c>
      <c r="Q24" s="116">
        <f ca="1">'Timing &amp; Flags'!P55</f>
        <v>1</v>
      </c>
      <c r="R24" s="116">
        <f ca="1">'Timing &amp; Flags'!Q55</f>
        <v>1</v>
      </c>
      <c r="S24" s="116">
        <f ca="1">'Timing &amp; Flags'!R55</f>
        <v>0.99726775956284153</v>
      </c>
      <c r="T24" s="116">
        <f ca="1">'Timing &amp; Flags'!S55</f>
        <v>1.0027397260273974</v>
      </c>
      <c r="U24" s="116">
        <f ca="1">'Timing &amp; Flags'!T55</f>
        <v>1</v>
      </c>
      <c r="V24" s="116">
        <f ca="1">'Timing &amp; Flags'!U55</f>
        <v>1</v>
      </c>
      <c r="W24" s="116">
        <f ca="1">'Timing &amp; Flags'!V55</f>
        <v>0.99726775956284153</v>
      </c>
      <c r="X24" s="116">
        <f ca="1">'Timing &amp; Flags'!W55</f>
        <v>1.0027397260273974</v>
      </c>
      <c r="Y24" s="116">
        <f ca="1">'Timing &amp; Flags'!X55</f>
        <v>1</v>
      </c>
      <c r="Z24" s="116">
        <f ca="1">'Timing &amp; Flags'!Y55</f>
        <v>1</v>
      </c>
      <c r="AA24" s="116">
        <f ca="1">'Timing &amp; Flags'!Z55</f>
        <v>0.99726775956284153</v>
      </c>
      <c r="AB24" s="116">
        <f ca="1">'Timing &amp; Flags'!AA55</f>
        <v>1.0027397260273974</v>
      </c>
      <c r="AC24" s="116">
        <f ca="1">'Timing &amp; Flags'!AB55</f>
        <v>1</v>
      </c>
      <c r="AD24" s="116">
        <f ca="1">'Timing &amp; Flags'!AC55</f>
        <v>1</v>
      </c>
      <c r="AE24" s="116">
        <f ca="1">'Timing &amp; Flags'!AD55</f>
        <v>0.99726775956284153</v>
      </c>
      <c r="AF24" s="116">
        <f ca="1">'Timing &amp; Flags'!AE55</f>
        <v>1.0027397260273974</v>
      </c>
      <c r="AG24" s="116">
        <f ca="1">'Timing &amp; Flags'!AF55</f>
        <v>1</v>
      </c>
      <c r="AH24" s="116">
        <f ca="1">'Timing &amp; Flags'!AG55</f>
        <v>1</v>
      </c>
      <c r="AI24" s="116">
        <f ca="1">'Timing &amp; Flags'!AH55</f>
        <v>0.99726775956284153</v>
      </c>
      <c r="AJ24" s="116">
        <f ca="1">'Timing &amp; Flags'!AI55</f>
        <v>1.0027397260273974</v>
      </c>
      <c r="AK24" s="116">
        <f ca="1">'Timing &amp; Flags'!AJ55</f>
        <v>1</v>
      </c>
      <c r="AL24" s="116">
        <f ca="1">'Timing &amp; Flags'!AK55</f>
        <v>1</v>
      </c>
      <c r="AM24" s="116">
        <f ca="1">'Timing &amp; Flags'!AL55</f>
        <v>1</v>
      </c>
      <c r="AN24" s="1074"/>
    </row>
    <row r="25" spans="2:40">
      <c r="C25" s="2" t="s">
        <v>71</v>
      </c>
      <c r="D25" s="132" t="s">
        <v>72</v>
      </c>
      <c r="E25" s="144">
        <f ca="1">SUM(E23:E24)</f>
        <v>27.000052399131668</v>
      </c>
      <c r="J25" s="17">
        <f ca="1">SUM(J23:J24)</f>
        <v>1</v>
      </c>
      <c r="K25" s="17">
        <f t="shared" ref="K25:AJ25" ca="1" si="0">SUM(K23:K24)</f>
        <v>0.99726775956284153</v>
      </c>
      <c r="L25" s="17">
        <f t="shared" ca="1" si="0"/>
        <v>1.0027397260273974</v>
      </c>
      <c r="M25" s="17">
        <f t="shared" ca="1" si="0"/>
        <v>1</v>
      </c>
      <c r="N25" s="17">
        <f t="shared" ca="1" si="0"/>
        <v>1</v>
      </c>
      <c r="O25" s="17">
        <f t="shared" ca="1" si="0"/>
        <v>0.99726775956284153</v>
      </c>
      <c r="P25" s="17">
        <f t="shared" ca="1" si="0"/>
        <v>1.0027397260273974</v>
      </c>
      <c r="Q25" s="17">
        <f t="shared" ca="1" si="0"/>
        <v>1</v>
      </c>
      <c r="R25" s="17">
        <f t="shared" ca="1" si="0"/>
        <v>1</v>
      </c>
      <c r="S25" s="17">
        <f t="shared" ca="1" si="0"/>
        <v>0.99726775956284153</v>
      </c>
      <c r="T25" s="17">
        <f t="shared" ca="1" si="0"/>
        <v>1.0027397260273974</v>
      </c>
      <c r="U25" s="17">
        <f t="shared" ca="1" si="0"/>
        <v>1</v>
      </c>
      <c r="V25" s="17">
        <f t="shared" ca="1" si="0"/>
        <v>1</v>
      </c>
      <c r="W25" s="17">
        <f t="shared" ca="1" si="0"/>
        <v>0.99726775956284153</v>
      </c>
      <c r="X25" s="17">
        <f t="shared" ca="1" si="0"/>
        <v>1.0027397260273974</v>
      </c>
      <c r="Y25" s="17">
        <f t="shared" ca="1" si="0"/>
        <v>1</v>
      </c>
      <c r="Z25" s="17">
        <f t="shared" ca="1" si="0"/>
        <v>1</v>
      </c>
      <c r="AA25" s="17">
        <f t="shared" ca="1" si="0"/>
        <v>0.99726775956284153</v>
      </c>
      <c r="AB25" s="17">
        <f t="shared" ca="1" si="0"/>
        <v>1.0027397260273974</v>
      </c>
      <c r="AC25" s="17">
        <f t="shared" ca="1" si="0"/>
        <v>1</v>
      </c>
      <c r="AD25" s="17">
        <f t="shared" ca="1" si="0"/>
        <v>1</v>
      </c>
      <c r="AE25" s="17">
        <f t="shared" ca="1" si="0"/>
        <v>0.99726775956284153</v>
      </c>
      <c r="AF25" s="17">
        <f t="shared" ca="1" si="0"/>
        <v>1.0027397260273974</v>
      </c>
      <c r="AG25" s="17">
        <f t="shared" ca="1" si="0"/>
        <v>1</v>
      </c>
      <c r="AH25" s="17">
        <f t="shared" ca="1" si="0"/>
        <v>1</v>
      </c>
      <c r="AI25" s="17">
        <f t="shared" ca="1" si="0"/>
        <v>0.99726775956284153</v>
      </c>
      <c r="AJ25" s="17">
        <f t="shared" ca="1" si="0"/>
        <v>1.0027397260273974</v>
      </c>
      <c r="AK25" s="17">
        <f ca="1">SUM(AK23:AK24)</f>
        <v>1</v>
      </c>
      <c r="AL25" s="17">
        <f ca="1">SUM(AL23:AL24)</f>
        <v>1</v>
      </c>
      <c r="AM25" s="17">
        <f ca="1">SUM(AM23:AM24)</f>
        <v>1</v>
      </c>
      <c r="AN25" s="1073"/>
    </row>
    <row r="26" spans="2:40" ht="10.9" customHeight="1">
      <c r="D26" s="577"/>
      <c r="E26" s="144"/>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073"/>
    </row>
    <row r="27" spans="2:40" ht="10.9" customHeight="1">
      <c r="C27" s="2" t="s">
        <v>1818</v>
      </c>
      <c r="D27" s="577"/>
      <c r="E27" s="144"/>
      <c r="J27" s="107">
        <f>IF('Timing &amp; Flags'!I158&gt;0.001,'Assumption '!M90,0)</f>
        <v>0</v>
      </c>
      <c r="K27" s="107">
        <f>IF('Timing &amp; Flags'!J158&gt;0.001,'Assumption '!N90,0)</f>
        <v>0</v>
      </c>
      <c r="L27" s="107">
        <f ca="1">IF('Timing &amp; Flags'!K158&gt;0.001,'Assumption '!O90,0)</f>
        <v>1</v>
      </c>
      <c r="M27" s="107">
        <f ca="1">IF('Timing &amp; Flags'!L158&gt;0.001,'Assumption '!P90,0)</f>
        <v>1</v>
      </c>
      <c r="N27" s="107">
        <f ca="1">IF('Timing &amp; Flags'!M158&gt;0.001,'Assumption '!Q90,0)</f>
        <v>1</v>
      </c>
      <c r="O27" s="107">
        <f ca="1">IF('Timing &amp; Flags'!N158&gt;0.001,'Assumption '!R90,0)</f>
        <v>1</v>
      </c>
      <c r="P27" s="107">
        <f ca="1">IF('Timing &amp; Flags'!O158&gt;0.001,'Assumption '!S90,0)</f>
        <v>1</v>
      </c>
      <c r="Q27" s="107">
        <f ca="1">IF('Timing &amp; Flags'!P158&gt;0.001,'Assumption '!T90,0)</f>
        <v>1</v>
      </c>
      <c r="R27" s="107">
        <f ca="1">IF('Timing &amp; Flags'!Q158&gt;0.001,'Assumption '!U90,0)</f>
        <v>1</v>
      </c>
      <c r="S27" s="107">
        <f ca="1">IF('Timing &amp; Flags'!R158&gt;0.001,'Assumption '!V90,0)</f>
        <v>1</v>
      </c>
      <c r="T27" s="107">
        <f ca="1">IF('Timing &amp; Flags'!S158&gt;0.001,'Assumption '!W90,0)</f>
        <v>1</v>
      </c>
      <c r="U27" s="107">
        <f ca="1">IF('Timing &amp; Flags'!T158&gt;0.001,'Assumption '!X90,0)</f>
        <v>1</v>
      </c>
      <c r="V27" s="107">
        <f ca="1">IF('Timing &amp; Flags'!U158&gt;0.001,'Assumption '!Y90,0)</f>
        <v>1</v>
      </c>
      <c r="W27" s="107">
        <f ca="1">IF('Timing &amp; Flags'!V158&gt;0.001,'Assumption '!Z90,0)</f>
        <v>1</v>
      </c>
      <c r="X27" s="107">
        <f ca="1">IF('Timing &amp; Flags'!W158&gt;0.001,'Assumption '!AA90,0)</f>
        <v>1</v>
      </c>
      <c r="Y27" s="107">
        <f ca="1">IF('Timing &amp; Flags'!X158&gt;0.001,'Assumption '!AB90,0)</f>
        <v>1</v>
      </c>
      <c r="Z27" s="107">
        <f ca="1">IF('Timing &amp; Flags'!Y158&gt;0.001,'Assumption '!AC90,0)</f>
        <v>1</v>
      </c>
      <c r="AA27" s="107">
        <f ca="1">IF('Timing &amp; Flags'!Z158&gt;0.001,'Assumption '!AD90,0)</f>
        <v>1</v>
      </c>
      <c r="AB27" s="107">
        <f ca="1">IF('Timing &amp; Flags'!AA158&gt;0.001,'Assumption '!AE90,0)</f>
        <v>1</v>
      </c>
      <c r="AC27" s="107">
        <f ca="1">IF('Timing &amp; Flags'!AB158&gt;0.001,'Assumption '!AF90,0)</f>
        <v>1</v>
      </c>
      <c r="AD27" s="107">
        <f ca="1">IF('Timing &amp; Flags'!AC158&gt;0.001,'Assumption '!AG90,0)</f>
        <v>1</v>
      </c>
      <c r="AE27" s="107">
        <f ca="1">IF('Timing &amp; Flags'!AD158&gt;0.001,'Assumption '!AH90,0)</f>
        <v>1</v>
      </c>
      <c r="AF27" s="107">
        <f ca="1">IF('Timing &amp; Flags'!AE158&gt;0.001,'Assumption '!AI90,0)</f>
        <v>1</v>
      </c>
      <c r="AG27" s="107">
        <f ca="1">IF('Timing &amp; Flags'!AF158&gt;0.001,'Assumption '!AJ90,0)</f>
        <v>1</v>
      </c>
      <c r="AH27" s="107">
        <f ca="1">IF('Timing &amp; Flags'!AG158&gt;0.001,'Assumption '!AK90,0)</f>
        <v>1</v>
      </c>
      <c r="AI27" s="107">
        <f ca="1">IF('Timing &amp; Flags'!AH158&gt;0.001,'Assumption '!AL90,0)</f>
        <v>1</v>
      </c>
      <c r="AJ27" s="107">
        <f ca="1">IF('Timing &amp; Flags'!AI158&gt;0.001,'Assumption '!AM90,0)</f>
        <v>1</v>
      </c>
      <c r="AK27" s="107">
        <f ca="1">IF('Timing &amp; Flags'!AJ158&gt;0.001,'Assumption '!AN90,0)</f>
        <v>1</v>
      </c>
      <c r="AL27" s="107">
        <f ca="1">IF('Timing &amp; Flags'!AK158&gt;0.001,'Assumption '!AO90,0)</f>
        <v>1</v>
      </c>
      <c r="AM27" s="107">
        <f ca="1">IF('Timing &amp; Flags'!AL158&gt;0.001,'Assumption '!AP90,0)</f>
        <v>1</v>
      </c>
      <c r="AN27" s="1073"/>
    </row>
    <row r="28" spans="2:40">
      <c r="C28" s="2" t="s">
        <v>2212</v>
      </c>
      <c r="J28" s="107">
        <f>IF('Timing &amp; Flags'!I159&gt;0.001,'Assumption '!M91,0)</f>
        <v>0</v>
      </c>
      <c r="K28" s="107">
        <f>IF('Timing &amp; Flags'!J159&gt;0.001,'Assumption '!N91,0)</f>
        <v>0</v>
      </c>
      <c r="L28" s="107">
        <f>IF('Timing &amp; Flags'!K159&gt;0.001,'Assumption '!O91,0)</f>
        <v>0</v>
      </c>
      <c r="M28" s="107">
        <f ca="1">IF('Timing &amp; Flags'!L159&gt;0.001,'Assumption '!P91,0)</f>
        <v>1</v>
      </c>
      <c r="N28" s="107">
        <f ca="1">IF('Timing &amp; Flags'!M159&gt;0.001,'Assumption '!Q91,0)</f>
        <v>1</v>
      </c>
      <c r="O28" s="107">
        <f ca="1">IF('Timing &amp; Flags'!N159&gt;0.001,'Assumption '!R91,0)</f>
        <v>1</v>
      </c>
      <c r="P28" s="107">
        <f ca="1">IF('Timing &amp; Flags'!O159&gt;0.001,'Assumption '!S91,0)</f>
        <v>1</v>
      </c>
      <c r="Q28" s="107">
        <f ca="1">IF('Timing &amp; Flags'!P159&gt;0.001,'Assumption '!T91,0)</f>
        <v>1</v>
      </c>
      <c r="R28" s="107">
        <f ca="1">IF('Timing &amp; Flags'!Q159&gt;0.001,'Assumption '!U91,0)</f>
        <v>1</v>
      </c>
      <c r="S28" s="107">
        <f ca="1">IF('Timing &amp; Flags'!R159&gt;0.001,'Assumption '!V91,0)</f>
        <v>1</v>
      </c>
      <c r="T28" s="107">
        <f ca="1">IF('Timing &amp; Flags'!S159&gt;0.001,'Assumption '!W91,0)</f>
        <v>1</v>
      </c>
      <c r="U28" s="107">
        <f ca="1">IF('Timing &amp; Flags'!T159&gt;0.001,'Assumption '!X91,0)</f>
        <v>1</v>
      </c>
      <c r="V28" s="107">
        <f ca="1">IF('Timing &amp; Flags'!U159&gt;0.001,'Assumption '!Y91,0)</f>
        <v>1</v>
      </c>
      <c r="W28" s="107">
        <f ca="1">IF('Timing &amp; Flags'!V159&gt;0.001,'Assumption '!Z91,0)</f>
        <v>1</v>
      </c>
      <c r="X28" s="107">
        <f ca="1">IF('Timing &amp; Flags'!W159&gt;0.001,'Assumption '!AA91,0)</f>
        <v>1</v>
      </c>
      <c r="Y28" s="107">
        <f ca="1">IF('Timing &amp; Flags'!X159&gt;0.001,'Assumption '!AB91,0)</f>
        <v>1</v>
      </c>
      <c r="Z28" s="107">
        <f ca="1">IF('Timing &amp; Flags'!Y159&gt;0.001,'Assumption '!AC91,0)</f>
        <v>1</v>
      </c>
      <c r="AA28" s="107">
        <f ca="1">IF('Timing &amp; Flags'!Z159&gt;0.001,'Assumption '!AD91,0)</f>
        <v>1</v>
      </c>
      <c r="AB28" s="107">
        <f ca="1">IF('Timing &amp; Flags'!AA159&gt;0.001,'Assumption '!AE91,0)</f>
        <v>1</v>
      </c>
      <c r="AC28" s="107">
        <f ca="1">IF('Timing &amp; Flags'!AB159&gt;0.001,'Assumption '!AF91,0)</f>
        <v>1</v>
      </c>
      <c r="AD28" s="107">
        <f ca="1">IF('Timing &amp; Flags'!AC159&gt;0.001,'Assumption '!AG91,0)</f>
        <v>1</v>
      </c>
      <c r="AE28" s="107">
        <f ca="1">IF('Timing &amp; Flags'!AD159&gt;0.001,'Assumption '!AH91,0)</f>
        <v>1</v>
      </c>
      <c r="AF28" s="107">
        <f ca="1">IF('Timing &amp; Flags'!AE159&gt;0.001,'Assumption '!AI91,0)</f>
        <v>1</v>
      </c>
      <c r="AG28" s="107">
        <f ca="1">IF('Timing &amp; Flags'!AF159&gt;0.001,'Assumption '!AJ91,0)</f>
        <v>1</v>
      </c>
      <c r="AH28" s="107">
        <f ca="1">IF('Timing &amp; Flags'!AG159&gt;0.001,'Assumption '!AK91,0)</f>
        <v>1</v>
      </c>
      <c r="AI28" s="107">
        <f ca="1">IF('Timing &amp; Flags'!AH159&gt;0.001,'Assumption '!AL91,0)</f>
        <v>1</v>
      </c>
      <c r="AJ28" s="107">
        <f ca="1">IF('Timing &amp; Flags'!AI159&gt;0.001,'Assumption '!AM91,0)</f>
        <v>1</v>
      </c>
      <c r="AK28" s="107">
        <f ca="1">IF('Timing &amp; Flags'!AJ159&gt;0.001,'Assumption '!AN91,0)</f>
        <v>1</v>
      </c>
      <c r="AL28" s="107">
        <f ca="1">IF('Timing &amp; Flags'!AK159&gt;0.001,'Assumption '!AO91,0)</f>
        <v>1</v>
      </c>
      <c r="AM28" s="107">
        <f ca="1">IF('Timing &amp; Flags'!AL159&gt;0.001,'Assumption '!AP91,0)</f>
        <v>1</v>
      </c>
    </row>
    <row r="29" spans="2:40">
      <c r="C29" s="2" t="s">
        <v>2213</v>
      </c>
      <c r="J29" s="107">
        <f>IF('Timing &amp; Flags'!I160&gt;0.001,'Assumption '!M92,0)</f>
        <v>0</v>
      </c>
      <c r="K29" s="107">
        <f>IF('Timing &amp; Flags'!J160&gt;0.001,'Assumption '!N92,0)</f>
        <v>0</v>
      </c>
      <c r="L29" s="107">
        <f>IF('Timing &amp; Flags'!K160&gt;0.001,'Assumption '!O92,0)</f>
        <v>0</v>
      </c>
      <c r="M29" s="107">
        <f ca="1">IF('Timing &amp; Flags'!L160&gt;0.001,'Assumption '!P92,0)</f>
        <v>0</v>
      </c>
      <c r="N29" s="107">
        <f ca="1">IF('Timing &amp; Flags'!M160&gt;0.001,'Assumption '!Q92,0)</f>
        <v>0</v>
      </c>
      <c r="O29" s="107">
        <f ca="1">IF('Timing &amp; Flags'!N160&gt;0.001,'Assumption '!R92,0)</f>
        <v>0</v>
      </c>
      <c r="P29" s="107">
        <f ca="1">IF('Timing &amp; Flags'!O160&gt;0.001,'Assumption '!S92,0)</f>
        <v>0</v>
      </c>
      <c r="Q29" s="107">
        <f ca="1">IF('Timing &amp; Flags'!P160&gt;0.001,'Assumption '!T92,0)</f>
        <v>0</v>
      </c>
      <c r="R29" s="107">
        <f ca="1">IF('Timing &amp; Flags'!Q160&gt;0.001,'Assumption '!U92,0)</f>
        <v>0</v>
      </c>
      <c r="S29" s="107">
        <f ca="1">IF('Timing &amp; Flags'!R160&gt;0.001,'Assumption '!V92,0)</f>
        <v>0</v>
      </c>
      <c r="T29" s="107">
        <f ca="1">IF('Timing &amp; Flags'!S160&gt;0.001,'Assumption '!W92,0)</f>
        <v>0</v>
      </c>
      <c r="U29" s="107">
        <f ca="1">IF('Timing &amp; Flags'!T160&gt;0.001,'Assumption '!X92,0)</f>
        <v>0</v>
      </c>
      <c r="V29" s="107">
        <f ca="1">IF('Timing &amp; Flags'!U160&gt;0.001,'Assumption '!Y92,0)</f>
        <v>0</v>
      </c>
      <c r="W29" s="107">
        <f ca="1">IF('Timing &amp; Flags'!V160&gt;0.001,'Assumption '!Z92,0)</f>
        <v>0</v>
      </c>
      <c r="X29" s="107">
        <f ca="1">IF('Timing &amp; Flags'!W160&gt;0.001,'Assumption '!AA92,0)</f>
        <v>0</v>
      </c>
      <c r="Y29" s="107">
        <f ca="1">IF('Timing &amp; Flags'!X160&gt;0.001,'Assumption '!AB92,0)</f>
        <v>0</v>
      </c>
      <c r="Z29" s="107">
        <f ca="1">IF('Timing &amp; Flags'!Y160&gt;0.001,'Assumption '!AC92,0)</f>
        <v>0</v>
      </c>
      <c r="AA29" s="107">
        <f ca="1">IF('Timing &amp; Flags'!Z160&gt;0.001,'Assumption '!AD92,0)</f>
        <v>0</v>
      </c>
      <c r="AB29" s="107">
        <f ca="1">IF('Timing &amp; Flags'!AA160&gt;0.001,'Assumption '!AE92,0)</f>
        <v>0</v>
      </c>
      <c r="AC29" s="107">
        <f ca="1">IF('Timing &amp; Flags'!AB160&gt;0.001,'Assumption '!AF92,0)</f>
        <v>0</v>
      </c>
      <c r="AD29" s="107">
        <f ca="1">IF('Timing &amp; Flags'!AC160&gt;0.001,'Assumption '!AG92,0)</f>
        <v>0</v>
      </c>
      <c r="AE29" s="107">
        <f ca="1">IF('Timing &amp; Flags'!AD160&gt;0.001,'Assumption '!AH92,0)</f>
        <v>0</v>
      </c>
      <c r="AF29" s="107">
        <f ca="1">IF('Timing &amp; Flags'!AE160&gt;0.001,'Assumption '!AI92,0)</f>
        <v>0</v>
      </c>
      <c r="AG29" s="107">
        <f ca="1">IF('Timing &amp; Flags'!AF160&gt;0.001,'Assumption '!AJ92,0)</f>
        <v>0</v>
      </c>
      <c r="AH29" s="107">
        <f ca="1">IF('Timing &amp; Flags'!AG160&gt;0.001,'Assumption '!AK92,0)</f>
        <v>0</v>
      </c>
      <c r="AI29" s="107">
        <f ca="1">IF('Timing &amp; Flags'!AH160&gt;0.001,'Assumption '!AL92,0)</f>
        <v>0</v>
      </c>
      <c r="AJ29" s="107">
        <f ca="1">IF('Timing &amp; Flags'!AI160&gt;0.001,'Assumption '!AM92,0)</f>
        <v>0</v>
      </c>
      <c r="AK29" s="107">
        <f ca="1">IF('Timing &amp; Flags'!AJ160&gt;0.001,'Assumption '!AN92,0)</f>
        <v>0</v>
      </c>
      <c r="AL29" s="107">
        <f ca="1">IF('Timing &amp; Flags'!AK160&gt;0.001,'Assumption '!AO92,0)</f>
        <v>0</v>
      </c>
      <c r="AM29" s="107">
        <f ca="1">IF('Timing &amp; Flags'!AL160&gt;0.001,'Assumption '!AP92,0)</f>
        <v>0</v>
      </c>
    </row>
    <row r="30" spans="2:40">
      <c r="C30" s="5" t="s">
        <v>1936</v>
      </c>
      <c r="J30" s="107">
        <f>IF('Timing &amp; Flags'!I161&gt;0.001,'Assumption '!M93,0)</f>
        <v>0</v>
      </c>
      <c r="K30" s="107">
        <f>IF('Timing &amp; Flags'!J161&gt;0.001,'Assumption '!N93,0)</f>
        <v>0</v>
      </c>
      <c r="L30" s="107">
        <f ca="1">IF('Timing &amp; Flags'!K161&gt;0.001,'Assumption '!O93,0)</f>
        <v>1</v>
      </c>
      <c r="M30" s="107">
        <f ca="1">IF('Timing &amp; Flags'!L161&gt;0.001,'Assumption '!P93,0)</f>
        <v>1</v>
      </c>
      <c r="N30" s="107">
        <f ca="1">IF('Timing &amp; Flags'!M161&gt;0.001,'Assumption '!Q93,0)</f>
        <v>1</v>
      </c>
      <c r="O30" s="107">
        <f ca="1">IF('Timing &amp; Flags'!N161&gt;0.001,'Assumption '!R93,0)</f>
        <v>1</v>
      </c>
      <c r="P30" s="107">
        <f ca="1">IF('Timing &amp; Flags'!O161&gt;0.001,'Assumption '!S93,0)</f>
        <v>1</v>
      </c>
      <c r="Q30" s="107">
        <f ca="1">IF('Timing &amp; Flags'!P161&gt;0.001,'Assumption '!T93,0)</f>
        <v>1</v>
      </c>
      <c r="R30" s="107">
        <f ca="1">IF('Timing &amp; Flags'!Q161&gt;0.001,'Assumption '!U93,0)</f>
        <v>1</v>
      </c>
      <c r="S30" s="107">
        <f ca="1">IF('Timing &amp; Flags'!R161&gt;0.001,'Assumption '!V93,0)</f>
        <v>1</v>
      </c>
      <c r="T30" s="107">
        <f ca="1">IF('Timing &amp; Flags'!S161&gt;0.001,'Assumption '!W93,0)</f>
        <v>1</v>
      </c>
      <c r="U30" s="107">
        <f ca="1">IF('Timing &amp; Flags'!T161&gt;0.001,'Assumption '!X93,0)</f>
        <v>1</v>
      </c>
      <c r="V30" s="107">
        <f ca="1">IF('Timing &amp; Flags'!U161&gt;0.001,'Assumption '!Y93,0)</f>
        <v>1</v>
      </c>
      <c r="W30" s="107">
        <f ca="1">IF('Timing &amp; Flags'!V161&gt;0.001,'Assumption '!Z93,0)</f>
        <v>1</v>
      </c>
      <c r="X30" s="107">
        <f ca="1">IF('Timing &amp; Flags'!W161&gt;0.001,'Assumption '!AA93,0)</f>
        <v>1</v>
      </c>
      <c r="Y30" s="107">
        <f ca="1">IF('Timing &amp; Flags'!X161&gt;0.001,'Assumption '!AB93,0)</f>
        <v>1</v>
      </c>
      <c r="Z30" s="107">
        <f ca="1">IF('Timing &amp; Flags'!Y161&gt;0.001,'Assumption '!AC93,0)</f>
        <v>1</v>
      </c>
      <c r="AA30" s="107">
        <f ca="1">IF('Timing &amp; Flags'!Z161&gt;0.001,'Assumption '!AD93,0)</f>
        <v>1</v>
      </c>
      <c r="AB30" s="107">
        <f ca="1">IF('Timing &amp; Flags'!AA161&gt;0.001,'Assumption '!AE93,0)</f>
        <v>1</v>
      </c>
      <c r="AC30" s="107">
        <f ca="1">IF('Timing &amp; Flags'!AB161&gt;0.001,'Assumption '!AF93,0)</f>
        <v>1</v>
      </c>
      <c r="AD30" s="107">
        <f ca="1">IF('Timing &amp; Flags'!AC161&gt;0.001,'Assumption '!AG93,0)</f>
        <v>1</v>
      </c>
      <c r="AE30" s="107">
        <f ca="1">IF('Timing &amp; Flags'!AD161&gt;0.001,'Assumption '!AH93,0)</f>
        <v>1</v>
      </c>
      <c r="AF30" s="107">
        <f ca="1">IF('Timing &amp; Flags'!AE161&gt;0.001,'Assumption '!AI93,0)</f>
        <v>1</v>
      </c>
      <c r="AG30" s="107">
        <f ca="1">IF('Timing &amp; Flags'!AF161&gt;0.001,'Assumption '!AJ93,0)</f>
        <v>1</v>
      </c>
      <c r="AH30" s="107">
        <f ca="1">IF('Timing &amp; Flags'!AG161&gt;0.001,'Assumption '!AK93,0)</f>
        <v>1</v>
      </c>
      <c r="AI30" s="107">
        <f ca="1">IF('Timing &amp; Flags'!AH161&gt;0.001,'Assumption '!AL93,0)</f>
        <v>1</v>
      </c>
      <c r="AJ30" s="107">
        <f ca="1">IF('Timing &amp; Flags'!AI161&gt;0.001,'Assumption '!AM93,0)</f>
        <v>1</v>
      </c>
      <c r="AK30" s="107">
        <f ca="1">IF('Timing &amp; Flags'!AJ161&gt;0.001,'Assumption '!AN93,0)</f>
        <v>1</v>
      </c>
      <c r="AL30" s="107">
        <f ca="1">IF('Timing &amp; Flags'!AK161&gt;0.001,'Assumption '!AO93,0)</f>
        <v>1</v>
      </c>
      <c r="AM30" s="107">
        <f ca="1">IF('Timing &amp; Flags'!AL161&gt;0.001,'Assumption '!AP93,0)</f>
        <v>1</v>
      </c>
    </row>
    <row r="31" spans="2:40">
      <c r="B31" s="6" t="s">
        <v>432</v>
      </c>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075"/>
    </row>
    <row r="32" spans="2:40">
      <c r="C32" s="5"/>
    </row>
    <row r="33" spans="3:11">
      <c r="C33" s="26" t="s">
        <v>124</v>
      </c>
    </row>
    <row r="34" spans="3:11">
      <c r="C34" s="5"/>
    </row>
    <row r="35" spans="3:11">
      <c r="C35" s="5" t="s">
        <v>1215</v>
      </c>
      <c r="E35" s="15"/>
      <c r="F35" s="41">
        <f>Cap_Phase1</f>
        <v>1500000</v>
      </c>
    </row>
    <row r="36" spans="3:11">
      <c r="C36" s="5" t="s">
        <v>1216</v>
      </c>
      <c r="E36" s="15"/>
      <c r="F36" s="41">
        <f>Cap_Phase2</f>
        <v>1000000</v>
      </c>
    </row>
    <row r="37" spans="3:11">
      <c r="C37" s="5" t="s">
        <v>1217</v>
      </c>
      <c r="E37" s="15"/>
      <c r="F37" s="41">
        <f>'Input '!F28</f>
        <v>0</v>
      </c>
    </row>
    <row r="38" spans="3:11">
      <c r="C38" s="5" t="s">
        <v>2116</v>
      </c>
      <c r="E38" s="15"/>
      <c r="F38" s="41">
        <f>'Input '!F29</f>
        <v>0</v>
      </c>
    </row>
    <row r="39" spans="3:11">
      <c r="C39" s="5" t="s">
        <v>1218</v>
      </c>
      <c r="E39" s="15"/>
      <c r="F39" s="41">
        <f>'Input '!F30</f>
        <v>1000000</v>
      </c>
    </row>
    <row r="40" spans="3:11">
      <c r="C40" s="504" t="s">
        <v>941</v>
      </c>
      <c r="D40" s="63"/>
      <c r="E40" s="505"/>
      <c r="F40" s="506">
        <f>SUM(F35:F39)</f>
        <v>3500000</v>
      </c>
    </row>
    <row r="41" spans="3:11">
      <c r="C41" s="5"/>
      <c r="E41" s="15"/>
      <c r="F41" s="41"/>
      <c r="K41" s="107">
        <f ca="1">(L70*0.7)+(0.3*L106)</f>
        <v>448.84840737969608</v>
      </c>
    </row>
    <row r="42" spans="3:11">
      <c r="C42" s="5"/>
      <c r="E42" s="15"/>
      <c r="F42" s="41"/>
    </row>
    <row r="43" spans="3:11">
      <c r="C43" s="5" t="s">
        <v>433</v>
      </c>
      <c r="E43" s="15" t="s">
        <v>18</v>
      </c>
      <c r="F43" s="104">
        <f>KW_W</f>
        <v>0.95</v>
      </c>
    </row>
    <row r="44" spans="3:11">
      <c r="C44" s="5" t="s">
        <v>434</v>
      </c>
      <c r="E44" s="15" t="s">
        <v>18</v>
      </c>
      <c r="F44" s="104">
        <f>Avail_TAM_year</f>
        <v>0.95</v>
      </c>
    </row>
    <row r="45" spans="3:11">
      <c r="C45" s="5"/>
      <c r="E45" s="15"/>
    </row>
    <row r="46" spans="3:11">
      <c r="C46" s="5" t="s">
        <v>437</v>
      </c>
      <c r="E46" s="15" t="s">
        <v>183</v>
      </c>
      <c r="F46" s="49" t="str">
        <f>'Input '!F278</f>
        <v>Revenue &amp; OPEX</v>
      </c>
    </row>
    <row r="47" spans="3:11">
      <c r="C47" s="5"/>
      <c r="E47" s="15"/>
    </row>
    <row r="48" spans="3:11" ht="11.45" customHeight="1">
      <c r="C48" s="5" t="s">
        <v>932</v>
      </c>
      <c r="E48" s="15"/>
    </row>
    <row r="49" spans="3:40" ht="11.45" customHeight="1">
      <c r="C49" s="5"/>
      <c r="E49" s="15"/>
    </row>
    <row r="50" spans="3:40" ht="11.45" customHeight="1">
      <c r="C50" s="5"/>
      <c r="E50" s="15"/>
    </row>
    <row r="51" spans="3:40" ht="11.45" customHeight="1">
      <c r="C51" s="1732" t="s">
        <v>2119</v>
      </c>
      <c r="E51" s="15"/>
    </row>
    <row r="52" spans="3:40" ht="11.45" customHeight="1">
      <c r="C52" s="5" t="s">
        <v>961</v>
      </c>
      <c r="E52" s="15" t="s">
        <v>915</v>
      </c>
      <c r="J52" s="41">
        <f>'Assumption '!M137*J27</f>
        <v>0</v>
      </c>
      <c r="K52" s="41">
        <f>'Assumption '!N137*K27</f>
        <v>0</v>
      </c>
      <c r="L52" s="41">
        <f ca="1">'Assumption '!O137*L27</f>
        <v>1218750</v>
      </c>
      <c r="M52" s="41">
        <f ca="1">'Assumption '!P137*M27</f>
        <v>1425000</v>
      </c>
      <c r="N52" s="41">
        <f ca="1">'Assumption '!Q137*N27</f>
        <v>1425000</v>
      </c>
      <c r="O52" s="41">
        <f ca="1">'Assumption '!R137*O27</f>
        <v>1425000</v>
      </c>
      <c r="P52" s="41">
        <f ca="1">'Assumption '!S137*P27</f>
        <v>1425000</v>
      </c>
      <c r="Q52" s="41">
        <f ca="1">'Assumption '!T137*Q27</f>
        <v>1425000</v>
      </c>
      <c r="R52" s="41">
        <f ca="1">'Assumption '!U137*R27</f>
        <v>1425000</v>
      </c>
      <c r="S52" s="41">
        <f ca="1">'Assumption '!V137*S27</f>
        <v>1425000</v>
      </c>
      <c r="T52" s="41">
        <f ca="1">'Assumption '!W137*T27</f>
        <v>1425000</v>
      </c>
      <c r="U52" s="41">
        <f ca="1">'Assumption '!X137*U27</f>
        <v>1425000</v>
      </c>
      <c r="V52" s="41">
        <f ca="1">'Assumption '!Y137*V27</f>
        <v>1425000</v>
      </c>
      <c r="W52" s="41">
        <f ca="1">'Assumption '!Z137*W27</f>
        <v>1425000</v>
      </c>
      <c r="X52" s="41">
        <f ca="1">'Assumption '!AA137*X27</f>
        <v>1425000</v>
      </c>
      <c r="Y52" s="41">
        <f ca="1">'Assumption '!AB137*Y27</f>
        <v>1425000</v>
      </c>
      <c r="Z52" s="41">
        <f ca="1">'Assumption '!AC137*Z27</f>
        <v>1425000</v>
      </c>
      <c r="AA52" s="41">
        <f ca="1">'Assumption '!AD137*AA27</f>
        <v>1425000</v>
      </c>
      <c r="AB52" s="41">
        <f ca="1">'Assumption '!AE137*AB27</f>
        <v>1425000</v>
      </c>
      <c r="AC52" s="41">
        <f ca="1">'Assumption '!AF137*AC27</f>
        <v>1425000</v>
      </c>
      <c r="AD52" s="41">
        <f ca="1">'Assumption '!AG137*AD27</f>
        <v>1425000</v>
      </c>
      <c r="AE52" s="41">
        <f ca="1">'Assumption '!AH137*AE27</f>
        <v>1425000</v>
      </c>
      <c r="AF52" s="41">
        <f ca="1">'Assumption '!AI137*AF27</f>
        <v>1425000</v>
      </c>
      <c r="AG52" s="41">
        <f ca="1">'Assumption '!AJ137*AG27</f>
        <v>1425000</v>
      </c>
      <c r="AH52" s="41">
        <f ca="1">'Assumption '!AK137*AH27</f>
        <v>1425000</v>
      </c>
      <c r="AI52" s="41">
        <f ca="1">'Assumption '!AL137*AI27</f>
        <v>1425000</v>
      </c>
      <c r="AJ52" s="41">
        <f ca="1">'Assumption '!AM137*AJ27</f>
        <v>1425000</v>
      </c>
      <c r="AK52" s="41">
        <f ca="1">'Assumption '!AN137*AK27</f>
        <v>1425000</v>
      </c>
      <c r="AL52" s="41">
        <f ca="1">'Assumption '!AO137*AL27</f>
        <v>1425000</v>
      </c>
      <c r="AM52" s="41">
        <f ca="1">'Assumption '!AP137*AM27</f>
        <v>1425000</v>
      </c>
    </row>
    <row r="53" spans="3:40" ht="11.45" customHeight="1">
      <c r="C53" s="5" t="s">
        <v>981</v>
      </c>
      <c r="E53" s="15" t="s">
        <v>915</v>
      </c>
      <c r="J53" s="41">
        <f>'Assumption '!M138*J28</f>
        <v>0</v>
      </c>
      <c r="K53" s="41">
        <f>'Assumption '!N138*K28</f>
        <v>0</v>
      </c>
      <c r="L53" s="41">
        <f>'Assumption '!O138*L28</f>
        <v>0</v>
      </c>
      <c r="M53" s="41">
        <f ca="1">'Assumption '!P138*M28</f>
        <v>812500</v>
      </c>
      <c r="N53" s="41">
        <f ca="1">'Assumption '!Q138*N28</f>
        <v>950000</v>
      </c>
      <c r="O53" s="41">
        <f ca="1">'Assumption '!R138*O28</f>
        <v>950000</v>
      </c>
      <c r="P53" s="41">
        <f ca="1">'Assumption '!S138*P28</f>
        <v>950000</v>
      </c>
      <c r="Q53" s="41">
        <f ca="1">'Assumption '!T138*Q28</f>
        <v>950000</v>
      </c>
      <c r="R53" s="41">
        <f ca="1">'Assumption '!U138*R28</f>
        <v>950000</v>
      </c>
      <c r="S53" s="41">
        <f ca="1">'Assumption '!V138*S28</f>
        <v>950000</v>
      </c>
      <c r="T53" s="41">
        <f ca="1">'Assumption '!W138*T28</f>
        <v>950000</v>
      </c>
      <c r="U53" s="41">
        <f ca="1">'Assumption '!X138*U28</f>
        <v>950000</v>
      </c>
      <c r="V53" s="41">
        <f ca="1">'Assumption '!Y138*V28</f>
        <v>950000</v>
      </c>
      <c r="W53" s="41">
        <f ca="1">'Assumption '!Z138*W28</f>
        <v>950000</v>
      </c>
      <c r="X53" s="41">
        <f ca="1">'Assumption '!AA138*X28</f>
        <v>950000</v>
      </c>
      <c r="Y53" s="41">
        <f ca="1">'Assumption '!AB138*Y28</f>
        <v>950000</v>
      </c>
      <c r="Z53" s="41">
        <f ca="1">'Assumption '!AC138*Z28</f>
        <v>950000</v>
      </c>
      <c r="AA53" s="41">
        <f ca="1">'Assumption '!AD138*AA28</f>
        <v>950000</v>
      </c>
      <c r="AB53" s="41">
        <f ca="1">'Assumption '!AE138*AB28</f>
        <v>950000</v>
      </c>
      <c r="AC53" s="41">
        <f ca="1">'Assumption '!AF138*AC28</f>
        <v>950000</v>
      </c>
      <c r="AD53" s="41">
        <f ca="1">'Assumption '!AG138*AD28</f>
        <v>950000</v>
      </c>
      <c r="AE53" s="41">
        <f ca="1">'Assumption '!AH138*AE28</f>
        <v>950000</v>
      </c>
      <c r="AF53" s="41">
        <f ca="1">'Assumption '!AI138*AF28</f>
        <v>950000</v>
      </c>
      <c r="AG53" s="41">
        <f ca="1">'Assumption '!AJ138*AG28</f>
        <v>950000</v>
      </c>
      <c r="AH53" s="41">
        <f ca="1">'Assumption '!AK138*AH28</f>
        <v>950000</v>
      </c>
      <c r="AI53" s="41">
        <f ca="1">'Assumption '!AL138*AI28</f>
        <v>950000</v>
      </c>
      <c r="AJ53" s="41">
        <f ca="1">'Assumption '!AM138*AJ28</f>
        <v>950000</v>
      </c>
      <c r="AK53" s="41">
        <f ca="1">'Assumption '!AN138*AK28</f>
        <v>950000</v>
      </c>
      <c r="AL53" s="41">
        <f ca="1">'Assumption '!AO138*AL28</f>
        <v>950000</v>
      </c>
      <c r="AM53" s="41">
        <f ca="1">'Assumption '!AP138*AM28</f>
        <v>950000</v>
      </c>
    </row>
    <row r="54" spans="3:40" ht="11.45" customHeight="1">
      <c r="C54" s="5" t="s">
        <v>1067</v>
      </c>
      <c r="E54" s="15" t="s">
        <v>915</v>
      </c>
      <c r="J54" s="41">
        <f>'Assumption '!M139*J29</f>
        <v>0</v>
      </c>
      <c r="K54" s="41">
        <f>'Assumption '!N139*K29</f>
        <v>0</v>
      </c>
      <c r="L54" s="41">
        <f>'Assumption '!O139*L29</f>
        <v>0</v>
      </c>
      <c r="M54" s="41">
        <f ca="1">'Assumption '!P139*M29</f>
        <v>0</v>
      </c>
      <c r="N54" s="41">
        <f ca="1">'Assumption '!Q139*N29</f>
        <v>0</v>
      </c>
      <c r="O54" s="41">
        <f ca="1">'Assumption '!R139*O29</f>
        <v>0</v>
      </c>
      <c r="P54" s="41">
        <f ca="1">'Assumption '!S139*P29</f>
        <v>0</v>
      </c>
      <c r="Q54" s="41">
        <f ca="1">'Assumption '!T139*Q29</f>
        <v>0</v>
      </c>
      <c r="R54" s="41">
        <f ca="1">'Assumption '!U139*R29</f>
        <v>0</v>
      </c>
      <c r="S54" s="41">
        <f ca="1">'Assumption '!V139*S29</f>
        <v>0</v>
      </c>
      <c r="T54" s="41">
        <f ca="1">'Assumption '!W139*T29</f>
        <v>0</v>
      </c>
      <c r="U54" s="41">
        <f ca="1">'Assumption '!X139*U29</f>
        <v>0</v>
      </c>
      <c r="V54" s="41">
        <f ca="1">'Assumption '!Y139*V29</f>
        <v>0</v>
      </c>
      <c r="W54" s="41">
        <f ca="1">'Assumption '!Z139*W29</f>
        <v>0</v>
      </c>
      <c r="X54" s="41">
        <f ca="1">'Assumption '!AA139*X29</f>
        <v>0</v>
      </c>
      <c r="Y54" s="41">
        <f ca="1">'Assumption '!AB139*Y29</f>
        <v>0</v>
      </c>
      <c r="Z54" s="41">
        <f ca="1">'Assumption '!AC139*Z29</f>
        <v>0</v>
      </c>
      <c r="AA54" s="41">
        <f ca="1">'Assumption '!AD139*AA29</f>
        <v>0</v>
      </c>
      <c r="AB54" s="41">
        <f ca="1">'Assumption '!AE139*AB29</f>
        <v>0</v>
      </c>
      <c r="AC54" s="41">
        <f ca="1">'Assumption '!AF139*AC29</f>
        <v>0</v>
      </c>
      <c r="AD54" s="41">
        <f ca="1">'Assumption '!AG139*AD29</f>
        <v>0</v>
      </c>
      <c r="AE54" s="41">
        <f ca="1">'Assumption '!AH139*AE29</f>
        <v>0</v>
      </c>
      <c r="AF54" s="41">
        <f ca="1">'Assumption '!AI139*AF29</f>
        <v>0</v>
      </c>
      <c r="AG54" s="41">
        <f ca="1">'Assumption '!AJ139*AG29</f>
        <v>0</v>
      </c>
      <c r="AH54" s="41">
        <f ca="1">'Assumption '!AK139*AH29</f>
        <v>0</v>
      </c>
      <c r="AI54" s="41">
        <f ca="1">'Assumption '!AL139*AI29</f>
        <v>0</v>
      </c>
      <c r="AJ54" s="41">
        <f ca="1">'Assumption '!AM139*AJ29</f>
        <v>0</v>
      </c>
      <c r="AK54" s="41">
        <f ca="1">'Assumption '!AN139*AK29</f>
        <v>0</v>
      </c>
      <c r="AL54" s="41">
        <f ca="1">'Assumption '!AO139*AL29</f>
        <v>0</v>
      </c>
      <c r="AM54" s="41">
        <f ca="1">'Assumption '!AP139*AM29</f>
        <v>0</v>
      </c>
    </row>
    <row r="55" spans="3:40" ht="12" customHeight="1">
      <c r="C55" s="5" t="s">
        <v>2111</v>
      </c>
      <c r="E55" s="15" t="s">
        <v>915</v>
      </c>
      <c r="J55" s="41">
        <f>'Assumption '!M140</f>
        <v>0</v>
      </c>
      <c r="K55" s="41">
        <f>'Assumption '!N140</f>
        <v>0</v>
      </c>
      <c r="L55" s="41">
        <f ca="1">'Assumption '!O140</f>
        <v>0</v>
      </c>
      <c r="M55" s="41">
        <f ca="1">'Assumption '!P140</f>
        <v>0</v>
      </c>
      <c r="N55" s="41">
        <f ca="1">'Assumption '!Q140</f>
        <v>0</v>
      </c>
      <c r="O55" s="41">
        <f ca="1">'Assumption '!R140</f>
        <v>0</v>
      </c>
      <c r="P55" s="41">
        <f ca="1">'Assumption '!S140</f>
        <v>0</v>
      </c>
      <c r="Q55" s="41">
        <f ca="1">'Assumption '!T140</f>
        <v>0</v>
      </c>
      <c r="R55" s="41">
        <f ca="1">'Assumption '!U140</f>
        <v>0</v>
      </c>
      <c r="S55" s="41">
        <f ca="1">'Assumption '!V140</f>
        <v>0</v>
      </c>
      <c r="T55" s="41">
        <f ca="1">'Assumption '!W140</f>
        <v>0</v>
      </c>
      <c r="U55" s="41">
        <f ca="1">'Assumption '!X140</f>
        <v>0</v>
      </c>
      <c r="V55" s="41">
        <f ca="1">'Assumption '!Y140</f>
        <v>0</v>
      </c>
      <c r="W55" s="41">
        <f ca="1">'Assumption '!Z140</f>
        <v>0</v>
      </c>
      <c r="X55" s="41">
        <f ca="1">'Assumption '!AA140</f>
        <v>0</v>
      </c>
      <c r="Y55" s="41">
        <f ca="1">'Assumption '!AB140</f>
        <v>0</v>
      </c>
      <c r="Z55" s="41">
        <f ca="1">'Assumption '!AC140</f>
        <v>0</v>
      </c>
      <c r="AA55" s="41">
        <f ca="1">'Assumption '!AD140</f>
        <v>0</v>
      </c>
      <c r="AB55" s="41">
        <f ca="1">'Assumption '!AE140</f>
        <v>0</v>
      </c>
      <c r="AC55" s="41">
        <f ca="1">'Assumption '!AF140</f>
        <v>0</v>
      </c>
      <c r="AD55" s="41">
        <f ca="1">'Assumption '!AG140</f>
        <v>0</v>
      </c>
      <c r="AE55" s="41">
        <f ca="1">'Assumption '!AH140</f>
        <v>0</v>
      </c>
      <c r="AF55" s="41">
        <f ca="1">'Assumption '!AI140</f>
        <v>0</v>
      </c>
      <c r="AG55" s="41">
        <f ca="1">'Assumption '!AJ140</f>
        <v>0</v>
      </c>
      <c r="AH55" s="41">
        <f ca="1">'Assumption '!AK140</f>
        <v>0</v>
      </c>
      <c r="AI55" s="41">
        <f ca="1">'Assumption '!AL140</f>
        <v>0</v>
      </c>
      <c r="AJ55" s="41">
        <f ca="1">'Assumption '!AM140</f>
        <v>0</v>
      </c>
      <c r="AK55" s="41">
        <f ca="1">'Assumption '!AN140</f>
        <v>0</v>
      </c>
      <c r="AL55" s="41">
        <f ca="1">'Assumption '!AO140</f>
        <v>0</v>
      </c>
      <c r="AM55" s="41">
        <f ca="1">'Assumption '!AP140</f>
        <v>0</v>
      </c>
    </row>
    <row r="56" spans="3:40" ht="11.45" customHeight="1" thickBot="1">
      <c r="C56" s="5" t="s">
        <v>1812</v>
      </c>
      <c r="E56" s="15" t="s">
        <v>915</v>
      </c>
      <c r="J56" s="41">
        <f>'Assumption '!M141*J30</f>
        <v>0</v>
      </c>
      <c r="K56" s="41">
        <f>'Assumption '!N141*K30</f>
        <v>0</v>
      </c>
      <c r="L56" s="41">
        <f ca="1">'Assumption '!O141*L30</f>
        <v>812500</v>
      </c>
      <c r="M56" s="41">
        <f ca="1">'Assumption '!P141*M30</f>
        <v>950000</v>
      </c>
      <c r="N56" s="41">
        <f ca="1">'Assumption '!Q141*N30</f>
        <v>950000</v>
      </c>
      <c r="O56" s="41">
        <f ca="1">'Assumption '!R141*O30</f>
        <v>950000</v>
      </c>
      <c r="P56" s="41">
        <f ca="1">'Assumption '!S141*P30</f>
        <v>950000</v>
      </c>
      <c r="Q56" s="41">
        <f ca="1">'Assumption '!T141*Q30</f>
        <v>950000</v>
      </c>
      <c r="R56" s="41">
        <f ca="1">'Assumption '!U141*R30</f>
        <v>950000</v>
      </c>
      <c r="S56" s="41">
        <f ca="1">'Assumption '!V141*S30</f>
        <v>950000</v>
      </c>
      <c r="T56" s="41">
        <f ca="1">'Assumption '!W141*T30</f>
        <v>950000</v>
      </c>
      <c r="U56" s="41">
        <f ca="1">'Assumption '!X141*U30</f>
        <v>950000</v>
      </c>
      <c r="V56" s="41">
        <f ca="1">'Assumption '!Y141*V30</f>
        <v>950000</v>
      </c>
      <c r="W56" s="41">
        <f ca="1">'Assumption '!Z141*W30</f>
        <v>950000</v>
      </c>
      <c r="X56" s="41">
        <f ca="1">'Assumption '!AA141*X30</f>
        <v>950000</v>
      </c>
      <c r="Y56" s="41">
        <f ca="1">'Assumption '!AB141*Y30</f>
        <v>950000</v>
      </c>
      <c r="Z56" s="41">
        <f ca="1">'Assumption '!AC141*Z30</f>
        <v>950000</v>
      </c>
      <c r="AA56" s="41">
        <f ca="1">'Assumption '!AD141*AA30</f>
        <v>950000</v>
      </c>
      <c r="AB56" s="41">
        <f ca="1">'Assumption '!AE141*AB30</f>
        <v>950000</v>
      </c>
      <c r="AC56" s="41">
        <f ca="1">'Assumption '!AF141*AC30</f>
        <v>950000</v>
      </c>
      <c r="AD56" s="41">
        <f ca="1">'Assumption '!AG141*AD30</f>
        <v>950000</v>
      </c>
      <c r="AE56" s="41">
        <f ca="1">'Assumption '!AH141*AE30</f>
        <v>950000</v>
      </c>
      <c r="AF56" s="41">
        <f ca="1">'Assumption '!AI141*AF30</f>
        <v>950000</v>
      </c>
      <c r="AG56" s="41">
        <f ca="1">'Assumption '!AJ141*AG30</f>
        <v>950000</v>
      </c>
      <c r="AH56" s="41">
        <f ca="1">'Assumption '!AK141*AH30</f>
        <v>950000</v>
      </c>
      <c r="AI56" s="41">
        <f ca="1">'Assumption '!AL141*AI30</f>
        <v>950000</v>
      </c>
      <c r="AJ56" s="41">
        <f ca="1">'Assumption '!AM141*AJ30</f>
        <v>950000</v>
      </c>
      <c r="AK56" s="41">
        <f ca="1">'Assumption '!AN141*AK30</f>
        <v>950000</v>
      </c>
      <c r="AL56" s="41">
        <f ca="1">'Assumption '!AO141*AL30</f>
        <v>950000</v>
      </c>
      <c r="AM56" s="41">
        <f ca="1">'Assumption '!AP141*AM30</f>
        <v>950000</v>
      </c>
    </row>
    <row r="57" spans="3:40" ht="11.45" customHeight="1" thickBot="1">
      <c r="C57" s="2237" t="s">
        <v>1266</v>
      </c>
      <c r="D57" s="580"/>
      <c r="E57" s="1657"/>
      <c r="F57" s="580"/>
      <c r="G57" s="580"/>
      <c r="H57" s="580"/>
      <c r="I57" s="580"/>
      <c r="J57" s="2238">
        <f t="shared" ref="J57:AM57" si="1">SUM(J52:J56)</f>
        <v>0</v>
      </c>
      <c r="K57" s="2238">
        <f t="shared" si="1"/>
        <v>0</v>
      </c>
      <c r="L57" s="2238">
        <f t="shared" ca="1" si="1"/>
        <v>2031250</v>
      </c>
      <c r="M57" s="2238">
        <f t="shared" ca="1" si="1"/>
        <v>3187500</v>
      </c>
      <c r="N57" s="2238">
        <f t="shared" ca="1" si="1"/>
        <v>3325000</v>
      </c>
      <c r="O57" s="2238">
        <f t="shared" ca="1" si="1"/>
        <v>3325000</v>
      </c>
      <c r="P57" s="2238">
        <f t="shared" ca="1" si="1"/>
        <v>3325000</v>
      </c>
      <c r="Q57" s="2238">
        <f t="shared" ca="1" si="1"/>
        <v>3325000</v>
      </c>
      <c r="R57" s="2238">
        <f t="shared" ca="1" si="1"/>
        <v>3325000</v>
      </c>
      <c r="S57" s="2238">
        <f t="shared" ca="1" si="1"/>
        <v>3325000</v>
      </c>
      <c r="T57" s="2238">
        <f t="shared" ca="1" si="1"/>
        <v>3325000</v>
      </c>
      <c r="U57" s="2238">
        <f t="shared" ca="1" si="1"/>
        <v>3325000</v>
      </c>
      <c r="V57" s="2238">
        <f t="shared" ca="1" si="1"/>
        <v>3325000</v>
      </c>
      <c r="W57" s="2238">
        <f t="shared" ca="1" si="1"/>
        <v>3325000</v>
      </c>
      <c r="X57" s="2238">
        <f t="shared" ca="1" si="1"/>
        <v>3325000</v>
      </c>
      <c r="Y57" s="2238">
        <f t="shared" ca="1" si="1"/>
        <v>3325000</v>
      </c>
      <c r="Z57" s="2238">
        <f t="shared" ca="1" si="1"/>
        <v>3325000</v>
      </c>
      <c r="AA57" s="2238">
        <f t="shared" ca="1" si="1"/>
        <v>3325000</v>
      </c>
      <c r="AB57" s="2238">
        <f t="shared" ca="1" si="1"/>
        <v>3325000</v>
      </c>
      <c r="AC57" s="2238">
        <f t="shared" ca="1" si="1"/>
        <v>3325000</v>
      </c>
      <c r="AD57" s="2238">
        <f t="shared" ca="1" si="1"/>
        <v>3325000</v>
      </c>
      <c r="AE57" s="2238">
        <f t="shared" ca="1" si="1"/>
        <v>3325000</v>
      </c>
      <c r="AF57" s="2238">
        <f t="shared" ca="1" si="1"/>
        <v>3325000</v>
      </c>
      <c r="AG57" s="2238">
        <f t="shared" ca="1" si="1"/>
        <v>3325000</v>
      </c>
      <c r="AH57" s="2238">
        <f t="shared" ca="1" si="1"/>
        <v>3325000</v>
      </c>
      <c r="AI57" s="2238">
        <f t="shared" ca="1" si="1"/>
        <v>3325000</v>
      </c>
      <c r="AJ57" s="2238">
        <f t="shared" ca="1" si="1"/>
        <v>3325000</v>
      </c>
      <c r="AK57" s="2238">
        <f t="shared" ca="1" si="1"/>
        <v>3325000</v>
      </c>
      <c r="AL57" s="2238">
        <f t="shared" ca="1" si="1"/>
        <v>3325000</v>
      </c>
      <c r="AM57" s="2238">
        <f t="shared" ca="1" si="1"/>
        <v>3325000</v>
      </c>
    </row>
    <row r="58" spans="3:40" ht="11.45" customHeight="1">
      <c r="C58" s="5"/>
      <c r="E58" s="15"/>
    </row>
    <row r="59" spans="3:40" ht="11.45" customHeight="1">
      <c r="C59" s="5"/>
      <c r="E59" s="15"/>
    </row>
    <row r="60" spans="3:40" ht="11.45" customHeight="1">
      <c r="C60" s="5"/>
      <c r="E60" s="15"/>
    </row>
    <row r="61" spans="3:40" ht="11.45" customHeight="1">
      <c r="C61" s="501" t="s">
        <v>1111</v>
      </c>
      <c r="E61" s="15"/>
      <c r="K61" s="41"/>
      <c r="L61" s="41"/>
      <c r="M61" s="41"/>
      <c r="N61" s="41"/>
      <c r="O61" s="41"/>
      <c r="P61" s="41"/>
      <c r="Q61" s="41"/>
      <c r="R61" s="41"/>
      <c r="S61" s="41"/>
      <c r="T61" s="41"/>
      <c r="U61" s="41"/>
      <c r="V61" s="41"/>
      <c r="W61" s="41"/>
      <c r="X61" s="41"/>
      <c r="Y61" s="41"/>
      <c r="Z61" s="41"/>
    </row>
    <row r="62" spans="3:40" s="41" customFormat="1" ht="12" customHeight="1">
      <c r="C62" s="2239" t="s">
        <v>961</v>
      </c>
      <c r="E62" s="59" t="s">
        <v>915</v>
      </c>
      <c r="J62" s="41">
        <f>'Assumption '!M476*J27</f>
        <v>0</v>
      </c>
      <c r="K62" s="41">
        <f>'Assumption '!N476*K27</f>
        <v>0</v>
      </c>
      <c r="L62" s="41">
        <f ca="1">'Assumption '!O476*L27</f>
        <v>853125</v>
      </c>
      <c r="M62" s="41">
        <f ca="1">'Assumption '!P476*M27</f>
        <v>997499.99999999988</v>
      </c>
      <c r="N62" s="41">
        <f ca="1">'Assumption '!Q476*N27</f>
        <v>997499.99999999988</v>
      </c>
      <c r="O62" s="41">
        <f ca="1">'Assumption '!R476</f>
        <v>997499.99999999988</v>
      </c>
      <c r="P62" s="41">
        <f ca="1">'Assumption '!S476</f>
        <v>997499.99999999988</v>
      </c>
      <c r="Q62" s="41">
        <f ca="1">'Assumption '!T476</f>
        <v>997499.99999999988</v>
      </c>
      <c r="R62" s="41">
        <f ca="1">'Assumption '!U476</f>
        <v>997499.99999999988</v>
      </c>
      <c r="S62" s="41">
        <f ca="1">'Assumption '!V476</f>
        <v>997499.99999999988</v>
      </c>
      <c r="T62" s="41">
        <f ca="1">'Assumption '!W476</f>
        <v>997499.99999999988</v>
      </c>
      <c r="U62" s="41">
        <f ca="1">'Assumption '!X476</f>
        <v>997499.99999999988</v>
      </c>
      <c r="V62" s="41">
        <f ca="1">'Assumption '!Y476</f>
        <v>997499.99999999988</v>
      </c>
      <c r="W62" s="41">
        <f ca="1">'Assumption '!Z476</f>
        <v>997499.99999999988</v>
      </c>
      <c r="X62" s="41">
        <f ca="1">'Assumption '!AA476</f>
        <v>997499.99999999988</v>
      </c>
      <c r="Y62" s="41">
        <f ca="1">'Assumption '!AB476</f>
        <v>997499.99999999988</v>
      </c>
      <c r="Z62" s="41">
        <f ca="1">'Assumption '!AC476</f>
        <v>997499.99999999988</v>
      </c>
      <c r="AA62" s="41">
        <f ca="1">'Assumption '!AD476</f>
        <v>997499.99999999988</v>
      </c>
      <c r="AB62" s="41">
        <f ca="1">'Assumption '!AE476</f>
        <v>997499.99999999988</v>
      </c>
      <c r="AC62" s="41">
        <f ca="1">'Assumption '!AF476</f>
        <v>997499.99999999988</v>
      </c>
      <c r="AD62" s="41">
        <f ca="1">'Assumption '!AG476</f>
        <v>997499.99999999988</v>
      </c>
      <c r="AE62" s="41">
        <f ca="1">'Assumption '!AH476</f>
        <v>997499.99999999988</v>
      </c>
      <c r="AF62" s="41">
        <f ca="1">'Assumption '!AI476</f>
        <v>997499.99999999988</v>
      </c>
      <c r="AG62" s="41">
        <f ca="1">'Assumption '!AJ476</f>
        <v>997499.99999999988</v>
      </c>
      <c r="AH62" s="41">
        <f ca="1">'Assumption '!AK476</f>
        <v>997499.99999999988</v>
      </c>
      <c r="AI62" s="41">
        <f ca="1">'Assumption '!AL476</f>
        <v>997499.99999999988</v>
      </c>
      <c r="AJ62" s="41">
        <f ca="1">'Assumption '!AM476</f>
        <v>997499.99999999988</v>
      </c>
      <c r="AK62" s="41">
        <f ca="1">'Assumption '!AN476</f>
        <v>997499.99999999988</v>
      </c>
      <c r="AL62" s="41">
        <f ca="1">'Assumption '!AO476</f>
        <v>997499.99999999988</v>
      </c>
      <c r="AM62" s="41">
        <f ca="1">'Assumption '!AP476</f>
        <v>997499.99999999988</v>
      </c>
      <c r="AN62" s="1070"/>
    </row>
    <row r="63" spans="3:40" s="41" customFormat="1" ht="12" customHeight="1">
      <c r="C63" s="2239" t="s">
        <v>981</v>
      </c>
      <c r="E63" s="59" t="s">
        <v>915</v>
      </c>
      <c r="J63" s="41">
        <f>'Assumption '!M477*J28</f>
        <v>0</v>
      </c>
      <c r="K63" s="41">
        <f>'Assumption '!N477*K28</f>
        <v>0</v>
      </c>
      <c r="L63" s="41">
        <f>'Assumption '!O477*L28</f>
        <v>0</v>
      </c>
      <c r="M63" s="41">
        <f ca="1">'Assumption '!P477*M28</f>
        <v>568750</v>
      </c>
      <c r="N63" s="41">
        <f ca="1">'Assumption '!Q477*N28</f>
        <v>665000</v>
      </c>
      <c r="O63" s="41">
        <f ca="1">'Assumption '!R477</f>
        <v>665000</v>
      </c>
      <c r="P63" s="41">
        <f ca="1">'Assumption '!S477</f>
        <v>665000</v>
      </c>
      <c r="Q63" s="41">
        <f ca="1">'Assumption '!T477</f>
        <v>665000</v>
      </c>
      <c r="R63" s="41">
        <f ca="1">'Assumption '!U477</f>
        <v>665000</v>
      </c>
      <c r="S63" s="41">
        <f ca="1">'Assumption '!V477</f>
        <v>665000</v>
      </c>
      <c r="T63" s="41">
        <f ca="1">'Assumption '!W477</f>
        <v>665000</v>
      </c>
      <c r="U63" s="41">
        <f ca="1">'Assumption '!X477</f>
        <v>665000</v>
      </c>
      <c r="V63" s="41">
        <f ca="1">'Assumption '!Y477</f>
        <v>665000</v>
      </c>
      <c r="W63" s="41">
        <f ca="1">'Assumption '!Z477</f>
        <v>665000</v>
      </c>
      <c r="X63" s="41">
        <f ca="1">'Assumption '!AA477</f>
        <v>665000</v>
      </c>
      <c r="Y63" s="41">
        <f ca="1">'Assumption '!AB477</f>
        <v>665000</v>
      </c>
      <c r="Z63" s="41">
        <f ca="1">'Assumption '!AC477</f>
        <v>665000</v>
      </c>
      <c r="AA63" s="41">
        <f ca="1">'Assumption '!AD477</f>
        <v>665000</v>
      </c>
      <c r="AB63" s="41">
        <f ca="1">'Assumption '!AE477</f>
        <v>665000</v>
      </c>
      <c r="AC63" s="41">
        <f ca="1">'Assumption '!AF477</f>
        <v>665000</v>
      </c>
      <c r="AD63" s="41">
        <f ca="1">'Assumption '!AG477</f>
        <v>665000</v>
      </c>
      <c r="AE63" s="41">
        <f ca="1">'Assumption '!AH477</f>
        <v>665000</v>
      </c>
      <c r="AF63" s="41">
        <f ca="1">'Assumption '!AI477</f>
        <v>665000</v>
      </c>
      <c r="AG63" s="41">
        <f ca="1">'Assumption '!AJ477</f>
        <v>665000</v>
      </c>
      <c r="AH63" s="41">
        <f ca="1">'Assumption '!AK477</f>
        <v>665000</v>
      </c>
      <c r="AI63" s="41">
        <f ca="1">'Assumption '!AL477</f>
        <v>665000</v>
      </c>
      <c r="AJ63" s="41">
        <f ca="1">'Assumption '!AM477</f>
        <v>665000</v>
      </c>
      <c r="AK63" s="41">
        <f ca="1">'Assumption '!AN477</f>
        <v>665000</v>
      </c>
      <c r="AL63" s="41">
        <f ca="1">'Assumption '!AO477</f>
        <v>665000</v>
      </c>
      <c r="AM63" s="41">
        <f ca="1">'Assumption '!AP477</f>
        <v>665000</v>
      </c>
      <c r="AN63" s="1070"/>
    </row>
    <row r="64" spans="3:40" s="41" customFormat="1" ht="11.45" customHeight="1">
      <c r="C64" s="2239" t="s">
        <v>1067</v>
      </c>
      <c r="E64" s="59" t="s">
        <v>915</v>
      </c>
      <c r="J64" s="41">
        <f>'Assumption '!M478*J29</f>
        <v>0</v>
      </c>
      <c r="K64" s="41">
        <f>'Assumption '!N478</f>
        <v>0</v>
      </c>
      <c r="L64" s="41">
        <f>'Assumption '!O478</f>
        <v>0</v>
      </c>
      <c r="M64" s="41">
        <f ca="1">'Assumption '!P478</f>
        <v>0</v>
      </c>
      <c r="N64" s="41">
        <f ca="1">'Assumption '!Q478</f>
        <v>0</v>
      </c>
      <c r="O64" s="41">
        <f ca="1">'Assumption '!R478</f>
        <v>0</v>
      </c>
      <c r="P64" s="41">
        <f ca="1">'Assumption '!S478</f>
        <v>0</v>
      </c>
      <c r="Q64" s="41">
        <f ca="1">'Assumption '!T478</f>
        <v>0</v>
      </c>
      <c r="R64" s="41">
        <f ca="1">'Assumption '!U478</f>
        <v>0</v>
      </c>
      <c r="S64" s="41">
        <f ca="1">'Assumption '!V478</f>
        <v>0</v>
      </c>
      <c r="T64" s="41">
        <f ca="1">'Assumption '!W478</f>
        <v>0</v>
      </c>
      <c r="U64" s="41">
        <f ca="1">'Assumption '!X478</f>
        <v>0</v>
      </c>
      <c r="V64" s="41">
        <f ca="1">'Assumption '!Y478</f>
        <v>0</v>
      </c>
      <c r="W64" s="41">
        <f ca="1">'Assumption '!Z478</f>
        <v>0</v>
      </c>
      <c r="X64" s="41">
        <f ca="1">'Assumption '!AA478</f>
        <v>0</v>
      </c>
      <c r="Y64" s="41">
        <f ca="1">'Assumption '!AB478</f>
        <v>0</v>
      </c>
      <c r="Z64" s="41">
        <f ca="1">'Assumption '!AC478</f>
        <v>0</v>
      </c>
      <c r="AA64" s="41">
        <f ca="1">'Assumption '!AD478</f>
        <v>0</v>
      </c>
      <c r="AB64" s="41">
        <f ca="1">'Assumption '!AE478</f>
        <v>0</v>
      </c>
      <c r="AC64" s="41">
        <f ca="1">'Assumption '!AF478</f>
        <v>0</v>
      </c>
      <c r="AD64" s="41">
        <f ca="1">'Assumption '!AG478</f>
        <v>0</v>
      </c>
      <c r="AE64" s="41">
        <f ca="1">'Assumption '!AH478</f>
        <v>0</v>
      </c>
      <c r="AF64" s="41">
        <f ca="1">'Assumption '!AI478</f>
        <v>0</v>
      </c>
      <c r="AG64" s="41">
        <f ca="1">'Assumption '!AJ478</f>
        <v>0</v>
      </c>
      <c r="AH64" s="41">
        <f ca="1">'Assumption '!AK478</f>
        <v>0</v>
      </c>
      <c r="AI64" s="41">
        <f ca="1">'Assumption '!AL478</f>
        <v>0</v>
      </c>
      <c r="AJ64" s="41">
        <f ca="1">'Assumption '!AM478</f>
        <v>0</v>
      </c>
      <c r="AK64" s="41">
        <f ca="1">'Assumption '!AN478</f>
        <v>0</v>
      </c>
      <c r="AL64" s="41">
        <f ca="1">'Assumption '!AO478</f>
        <v>0</v>
      </c>
      <c r="AM64" s="41">
        <f ca="1">'Assumption '!AP478</f>
        <v>0</v>
      </c>
      <c r="AN64" s="1070"/>
    </row>
    <row r="65" spans="3:42" s="1054" customFormat="1" ht="11.45" customHeight="1">
      <c r="C65" s="2239" t="s">
        <v>2111</v>
      </c>
      <c r="D65" s="41"/>
      <c r="E65" s="59" t="s">
        <v>915</v>
      </c>
      <c r="F65" s="41"/>
      <c r="G65" s="41"/>
      <c r="H65" s="41"/>
      <c r="I65" s="41"/>
      <c r="J65" s="41">
        <f>'Assumption '!M479</f>
        <v>0</v>
      </c>
      <c r="K65" s="41">
        <f>'Assumption '!N479</f>
        <v>0</v>
      </c>
      <c r="L65" s="41">
        <f ca="1">'Assumption '!O479</f>
        <v>0</v>
      </c>
      <c r="M65" s="41">
        <f ca="1">'Assumption '!P479</f>
        <v>0</v>
      </c>
      <c r="N65" s="41">
        <f ca="1">'Assumption '!Q479</f>
        <v>0</v>
      </c>
      <c r="O65" s="41">
        <f ca="1">'Assumption '!R479</f>
        <v>0</v>
      </c>
      <c r="P65" s="41">
        <f ca="1">'Assumption '!S479</f>
        <v>0</v>
      </c>
      <c r="Q65" s="41">
        <f ca="1">'Assumption '!T479</f>
        <v>0</v>
      </c>
      <c r="R65" s="41">
        <f ca="1">'Assumption '!U479</f>
        <v>0</v>
      </c>
      <c r="S65" s="41">
        <f ca="1">'Assumption '!V479</f>
        <v>0</v>
      </c>
      <c r="T65" s="41">
        <f ca="1">'Assumption '!W479</f>
        <v>0</v>
      </c>
      <c r="U65" s="41">
        <f ca="1">'Assumption '!X479</f>
        <v>0</v>
      </c>
      <c r="V65" s="41">
        <f ca="1">'Assumption '!Y479</f>
        <v>0</v>
      </c>
      <c r="W65" s="41">
        <f ca="1">'Assumption '!Z479</f>
        <v>0</v>
      </c>
      <c r="X65" s="41">
        <f ca="1">'Assumption '!AA479</f>
        <v>0</v>
      </c>
      <c r="Y65" s="41">
        <f ca="1">'Assumption '!AB479</f>
        <v>0</v>
      </c>
      <c r="Z65" s="41">
        <f ca="1">'Assumption '!AC479</f>
        <v>0</v>
      </c>
      <c r="AA65" s="41">
        <f ca="1">'Assumption '!AD479</f>
        <v>0</v>
      </c>
      <c r="AB65" s="41">
        <f ca="1">'Assumption '!AE479</f>
        <v>0</v>
      </c>
      <c r="AC65" s="41">
        <f ca="1">'Assumption '!AF479</f>
        <v>0</v>
      </c>
      <c r="AD65" s="41">
        <f ca="1">'Assumption '!AG479</f>
        <v>0</v>
      </c>
      <c r="AE65" s="41">
        <f ca="1">'Assumption '!AH479</f>
        <v>0</v>
      </c>
      <c r="AF65" s="41">
        <f ca="1">'Assumption '!AI479</f>
        <v>0</v>
      </c>
      <c r="AG65" s="41">
        <f ca="1">'Assumption '!AJ479</f>
        <v>0</v>
      </c>
      <c r="AH65" s="41">
        <f ca="1">'Assumption '!AK479</f>
        <v>0</v>
      </c>
      <c r="AI65" s="41">
        <f ca="1">'Assumption '!AL479</f>
        <v>0</v>
      </c>
      <c r="AJ65" s="41">
        <f ca="1">'Assumption '!AM479</f>
        <v>0</v>
      </c>
      <c r="AK65" s="41">
        <f ca="1">'Assumption '!AN479</f>
        <v>0</v>
      </c>
      <c r="AL65" s="41">
        <f ca="1">'Assumption '!AO479</f>
        <v>0</v>
      </c>
      <c r="AM65" s="41">
        <f ca="1">'Assumption '!AP479</f>
        <v>0</v>
      </c>
      <c r="AN65" s="1070"/>
      <c r="AO65" s="41">
        <f>'Assumption '!BC476*AO24</f>
        <v>0</v>
      </c>
      <c r="AP65" s="41"/>
    </row>
    <row r="66" spans="3:42" s="41" customFormat="1" ht="11.45" customHeight="1" thickBot="1">
      <c r="C66" s="2239" t="s">
        <v>1812</v>
      </c>
      <c r="E66" s="59" t="s">
        <v>915</v>
      </c>
      <c r="J66" s="41">
        <f>'Assumption '!M480*J30</f>
        <v>0</v>
      </c>
      <c r="K66" s="41">
        <f>'Assumption '!N480*K30</f>
        <v>0</v>
      </c>
      <c r="L66" s="41">
        <f ca="1">'Assumption '!O480*L30</f>
        <v>812500</v>
      </c>
      <c r="M66" s="41">
        <f ca="1">'Assumption '!P480*M30</f>
        <v>950000</v>
      </c>
      <c r="N66" s="41">
        <f ca="1">'Assumption '!Q480*N30</f>
        <v>950000</v>
      </c>
      <c r="O66" s="41">
        <f ca="1">'Assumption '!R480*O30</f>
        <v>950000</v>
      </c>
      <c r="P66" s="41">
        <f ca="1">'Assumption '!S480*P30</f>
        <v>950000</v>
      </c>
      <c r="Q66" s="41">
        <f ca="1">'Assumption '!T480*Q30</f>
        <v>950000</v>
      </c>
      <c r="R66" s="41">
        <f ca="1">'Assumption '!U480*R30</f>
        <v>950000</v>
      </c>
      <c r="S66" s="41">
        <f ca="1">'Assumption '!V480*S30</f>
        <v>950000</v>
      </c>
      <c r="T66" s="41">
        <f ca="1">'Assumption '!W480*T30</f>
        <v>950000</v>
      </c>
      <c r="U66" s="41">
        <f ca="1">'Assumption '!X480*U30</f>
        <v>950000</v>
      </c>
      <c r="V66" s="41">
        <f ca="1">'Assumption '!Y480*V30</f>
        <v>950000</v>
      </c>
      <c r="W66" s="41">
        <f ca="1">'Assumption '!Z480*W30</f>
        <v>950000</v>
      </c>
      <c r="X66" s="41">
        <f ca="1">'Assumption '!AA480*X30</f>
        <v>950000</v>
      </c>
      <c r="Y66" s="41">
        <f ca="1">'Assumption '!AB480*Y30</f>
        <v>950000</v>
      </c>
      <c r="Z66" s="41">
        <f ca="1">'Assumption '!AC480*Z30</f>
        <v>950000</v>
      </c>
      <c r="AA66" s="41">
        <f ca="1">'Assumption '!AD480*AA30</f>
        <v>950000</v>
      </c>
      <c r="AB66" s="41">
        <f ca="1">'Assumption '!AE480*AB30</f>
        <v>950000</v>
      </c>
      <c r="AC66" s="41">
        <f ca="1">'Assumption '!AF480*AC30</f>
        <v>950000</v>
      </c>
      <c r="AD66" s="41">
        <f ca="1">'Assumption '!AG480*AD30</f>
        <v>950000</v>
      </c>
      <c r="AE66" s="41">
        <f ca="1">'Assumption '!AH480*AE30</f>
        <v>950000</v>
      </c>
      <c r="AF66" s="41">
        <f ca="1">'Assumption '!AI480*AF30</f>
        <v>950000</v>
      </c>
      <c r="AG66" s="41">
        <f ca="1">'Assumption '!AJ480*AG30</f>
        <v>950000</v>
      </c>
      <c r="AH66" s="41">
        <f ca="1">'Assumption '!AK480*AH30</f>
        <v>950000</v>
      </c>
      <c r="AI66" s="41">
        <f ca="1">'Assumption '!AL480*AI30</f>
        <v>950000</v>
      </c>
      <c r="AJ66" s="41">
        <f ca="1">'Assumption '!AM480*AJ30</f>
        <v>950000</v>
      </c>
      <c r="AK66" s="41">
        <f ca="1">'Assumption '!AN480*AK30</f>
        <v>950000</v>
      </c>
      <c r="AL66" s="41">
        <f ca="1">'Assumption '!AO480*AL30</f>
        <v>950000</v>
      </c>
      <c r="AM66" s="41">
        <f ca="1">'Assumption '!AP480*AM30</f>
        <v>950000</v>
      </c>
      <c r="AN66" s="1070"/>
      <c r="AO66" s="41">
        <f>'Assumption '!BC480*AO24</f>
        <v>0</v>
      </c>
    </row>
    <row r="67" spans="3:42" ht="11.45" customHeight="1" thickBot="1">
      <c r="C67" s="2237" t="s">
        <v>655</v>
      </c>
      <c r="D67" s="580"/>
      <c r="E67" s="1657"/>
      <c r="F67" s="580"/>
      <c r="G67" s="580"/>
      <c r="H67" s="580"/>
      <c r="I67" s="580"/>
      <c r="J67" s="2238">
        <f>SUM(J61:J66)</f>
        <v>0</v>
      </c>
      <c r="K67" s="2238">
        <f t="shared" ref="K67:AM67" si="2">SUM(K61:K66)</f>
        <v>0</v>
      </c>
      <c r="L67" s="2238">
        <f t="shared" ca="1" si="2"/>
        <v>1665625</v>
      </c>
      <c r="M67" s="2238">
        <f t="shared" ca="1" si="2"/>
        <v>2516250</v>
      </c>
      <c r="N67" s="2238">
        <f t="shared" ca="1" si="2"/>
        <v>2612500</v>
      </c>
      <c r="O67" s="2238">
        <f t="shared" ca="1" si="2"/>
        <v>2612500</v>
      </c>
      <c r="P67" s="2238">
        <f t="shared" ca="1" si="2"/>
        <v>2612500</v>
      </c>
      <c r="Q67" s="2238">
        <f t="shared" ca="1" si="2"/>
        <v>2612500</v>
      </c>
      <c r="R67" s="2238">
        <f t="shared" ca="1" si="2"/>
        <v>2612500</v>
      </c>
      <c r="S67" s="2238">
        <f t="shared" ca="1" si="2"/>
        <v>2612500</v>
      </c>
      <c r="T67" s="2238">
        <f t="shared" ca="1" si="2"/>
        <v>2612500</v>
      </c>
      <c r="U67" s="2238">
        <f t="shared" ca="1" si="2"/>
        <v>2612500</v>
      </c>
      <c r="V67" s="2238">
        <f t="shared" ca="1" si="2"/>
        <v>2612500</v>
      </c>
      <c r="W67" s="2238">
        <f t="shared" ca="1" si="2"/>
        <v>2612500</v>
      </c>
      <c r="X67" s="2238">
        <f t="shared" ca="1" si="2"/>
        <v>2612500</v>
      </c>
      <c r="Y67" s="2238">
        <f t="shared" ca="1" si="2"/>
        <v>2612500</v>
      </c>
      <c r="Z67" s="2238">
        <f t="shared" ca="1" si="2"/>
        <v>2612500</v>
      </c>
      <c r="AA67" s="2238">
        <f t="shared" ca="1" si="2"/>
        <v>2612500</v>
      </c>
      <c r="AB67" s="2238">
        <f t="shared" ca="1" si="2"/>
        <v>2612500</v>
      </c>
      <c r="AC67" s="2238">
        <f t="shared" ca="1" si="2"/>
        <v>2612500</v>
      </c>
      <c r="AD67" s="2238">
        <f t="shared" ca="1" si="2"/>
        <v>2612500</v>
      </c>
      <c r="AE67" s="2238">
        <f t="shared" ca="1" si="2"/>
        <v>2612500</v>
      </c>
      <c r="AF67" s="2238">
        <f t="shared" ca="1" si="2"/>
        <v>2612500</v>
      </c>
      <c r="AG67" s="2238">
        <f t="shared" ca="1" si="2"/>
        <v>2612500</v>
      </c>
      <c r="AH67" s="2238">
        <f t="shared" ca="1" si="2"/>
        <v>2612500</v>
      </c>
      <c r="AI67" s="2238">
        <f t="shared" ca="1" si="2"/>
        <v>2612500</v>
      </c>
      <c r="AJ67" s="2238">
        <f t="shared" ca="1" si="2"/>
        <v>2612500</v>
      </c>
      <c r="AK67" s="2238">
        <f t="shared" ca="1" si="2"/>
        <v>2612500</v>
      </c>
      <c r="AL67" s="2238">
        <f t="shared" ca="1" si="2"/>
        <v>2612500</v>
      </c>
      <c r="AM67" s="2238">
        <f t="shared" ca="1" si="2"/>
        <v>2612500</v>
      </c>
      <c r="AN67" s="1076"/>
      <c r="AO67" s="2">
        <f>SUM(AO65:AO66)</f>
        <v>0</v>
      </c>
    </row>
    <row r="68" spans="3:42" ht="11.45" customHeight="1">
      <c r="C68" s="5"/>
      <c r="E68" s="15"/>
    </row>
    <row r="69" spans="3:42" ht="11.45" customHeight="1">
      <c r="C69" s="588" t="s">
        <v>1112</v>
      </c>
      <c r="E69" s="15"/>
    </row>
    <row r="70" spans="3:42" ht="11.45" customHeight="1">
      <c r="C70" s="591" t="s">
        <v>933</v>
      </c>
      <c r="E70" s="15" t="s">
        <v>915</v>
      </c>
      <c r="J70" s="188">
        <f>('Assumption '!M492*J27)*(1-'Assumption '!M526)</f>
        <v>0</v>
      </c>
      <c r="K70" s="188">
        <f>('Assumption '!N492*K27)*(1-'Assumption '!N526)</f>
        <v>0</v>
      </c>
      <c r="L70" s="188">
        <f ca="1">('Assumption '!O494*L27)*(1-'Assumption '!O526)</f>
        <v>482.15299588109644</v>
      </c>
      <c r="M70" s="188">
        <f ca="1">('Assumption '!P494*M27)*(1-'Assumption '!P526)</f>
        <v>466.68771110755193</v>
      </c>
      <c r="N70" s="188">
        <f ca="1">('Assumption '!Q494*N27)*(1-'Assumption '!Q526)</f>
        <v>520.49866312204949</v>
      </c>
      <c r="O70" s="188">
        <f ca="1">('Assumption '!R494*O27)*(1-'Assumption '!R526)</f>
        <v>571.71798021018481</v>
      </c>
      <c r="P70" s="188">
        <f ca="1">('Assumption '!S494*P27)*(1-'Assumption '!S526)</f>
        <v>621.1772432388708</v>
      </c>
      <c r="Q70" s="188">
        <f ca="1">('Assumption '!T494*Q27)*(1-'Assumption '!T526)</f>
        <v>661.41691753067948</v>
      </c>
      <c r="R70" s="188">
        <f ca="1">('Assumption '!U494*R27)*(1-'Assumption '!U526)</f>
        <v>704.26330577528518</v>
      </c>
      <c r="S70" s="188">
        <f ca="1">('Assumption '!V494*S27)*(1-'Assumption '!V526)</f>
        <v>749.8852701156178</v>
      </c>
      <c r="T70" s="188">
        <f ca="1">('Assumption '!W494*T27)*(1-'Assumption '!W526)</f>
        <v>798.46261153324861</v>
      </c>
      <c r="U70" s="188">
        <f ca="1">('Assumption '!X494*U27)*(1-'Assumption '!X526)</f>
        <v>850.1867784630557</v>
      </c>
      <c r="V70" s="188">
        <f ca="1">('Assumption '!Y494*V27)*(1-'Assumption '!Y526)</f>
        <v>905.26162131173294</v>
      </c>
      <c r="W70" s="188">
        <f ca="1">('Assumption '!Z494*W27)*(1-'Assumption '!Z526)</f>
        <v>963.90419585377981</v>
      </c>
      <c r="X70" s="188">
        <f ca="1">('Assumption '!AA494*X27)*(1-'Assumption '!AA526)</f>
        <v>1026.3456186712422</v>
      </c>
      <c r="Y70" s="188">
        <f ca="1">('Assumption '!AB494*Y27)*(1-'Assumption '!AB526)</f>
        <v>569.67078588006984</v>
      </c>
      <c r="Z70" s="188">
        <f ca="1">('Assumption '!AC494*Z27)*(1-'Assumption '!AC526)</f>
        <v>586.76090945647195</v>
      </c>
      <c r="AA70" s="188">
        <f ca="1">('Assumption '!AD494*AA27)*(1-'Assumption '!AD526)</f>
        <v>604.36373674016613</v>
      </c>
      <c r="AB70" s="188">
        <f ca="1">('Assumption '!AE494*AB27)*(1-'Assumption '!AE526)</f>
        <v>622.49464884237113</v>
      </c>
      <c r="AC70" s="188">
        <f ca="1">('Assumption '!AF494*AC27)*(1-'Assumption '!AF526)</f>
        <v>641.16948830764238</v>
      </c>
      <c r="AD70" s="188">
        <f ca="1">('Assumption '!AG494*AD27)*(1-'Assumption '!AG526)</f>
        <v>660.40457295687168</v>
      </c>
      <c r="AE70" s="188">
        <f ca="1">('Assumption '!AH494*AE27)*(1-'Assumption '!AH526)</f>
        <v>680.21671014557785</v>
      </c>
      <c r="AF70" s="188">
        <f ca="1">('Assumption '!AI494*AF27)*(1-'Assumption '!AI526)</f>
        <v>700.62321144994519</v>
      </c>
      <c r="AG70" s="188">
        <f ca="1">('Assumption '!AJ494*AG27)*(1-'Assumption '!AJ526)</f>
        <v>721.64190779344358</v>
      </c>
      <c r="AH70" s="188">
        <f ca="1">('Assumption '!AK494*AH27)*(1-'Assumption '!AK526)</f>
        <v>743.29116502724685</v>
      </c>
      <c r="AI70" s="188">
        <f ca="1">('Assumption '!AL494*AI27)*(1-'Assumption '!AL526)</f>
        <v>765.5898999780643</v>
      </c>
      <c r="AJ70" s="188">
        <f ca="1">('Assumption '!AM494*AJ27)*(1-'Assumption '!AM526)</f>
        <v>788.55759697740632</v>
      </c>
      <c r="AK70" s="188">
        <f ca="1">('Assumption '!AN494*AK27)*(1-'Assumption '!AN526)</f>
        <v>812.21432488672849</v>
      </c>
      <c r="AL70" s="188">
        <f ca="1">('Assumption '!AO494*AL27)*(1-'Assumption '!AO526)</f>
        <v>836.58075463333034</v>
      </c>
      <c r="AM70" s="188">
        <f ca="1">('Assumption '!AP494*AM27)*(1-'Assumption '!AP526)</f>
        <v>861.67817727233023</v>
      </c>
      <c r="AN70" s="1077"/>
    </row>
    <row r="71" spans="3:42" ht="11.45" customHeight="1">
      <c r="C71" s="591"/>
      <c r="E71" s="15"/>
      <c r="J71" s="188"/>
      <c r="K71" s="188"/>
      <c r="L71" s="188"/>
      <c r="M71" s="188"/>
      <c r="N71" s="188"/>
      <c r="O71" s="188"/>
      <c r="P71" s="188"/>
      <c r="Q71" s="188"/>
      <c r="R71" s="188"/>
      <c r="S71" s="188"/>
      <c r="T71" s="188"/>
      <c r="U71" s="188"/>
      <c r="V71" s="188"/>
      <c r="W71" s="188"/>
      <c r="X71" s="188"/>
      <c r="Y71" s="188"/>
      <c r="Z71" s="188"/>
      <c r="AA71" s="188"/>
      <c r="AB71" s="188"/>
      <c r="AC71" s="188"/>
      <c r="AD71" s="188"/>
      <c r="AE71" s="188"/>
      <c r="AF71" s="188"/>
      <c r="AG71" s="188"/>
      <c r="AH71" s="188"/>
      <c r="AI71" s="188"/>
      <c r="AJ71" s="188"/>
      <c r="AK71" s="188"/>
      <c r="AL71" s="188"/>
      <c r="AM71" s="188"/>
      <c r="AN71" s="1077"/>
    </row>
    <row r="72" spans="3:42">
      <c r="C72" s="5" t="s">
        <v>863</v>
      </c>
      <c r="E72" s="15" t="s">
        <v>915</v>
      </c>
      <c r="J72" s="188">
        <f>('Assumption '!M496*J27)*(1-'Assumption '!M532)</f>
        <v>0</v>
      </c>
      <c r="K72" s="188">
        <f>('Assumption '!N496*K27)*(1-'Assumption '!N532)</f>
        <v>0</v>
      </c>
      <c r="L72" s="188">
        <f ca="1">('Assumption '!O496*L27)*(1-'Assumption '!O532)</f>
        <v>576.15077251489481</v>
      </c>
      <c r="M72" s="188">
        <f ca="1">('Assumption '!P496*M27)*(1-'Assumption '!P532)</f>
        <v>593.43529569034172</v>
      </c>
      <c r="N72" s="188">
        <f ca="1">('Assumption '!Q496*N27)*(1-'Assumption '!Q532)</f>
        <v>611.23835456105189</v>
      </c>
      <c r="O72" s="188">
        <f ca="1">('Assumption '!R496*O27)*(1-'Assumption '!R532)</f>
        <v>629.57550519788356</v>
      </c>
      <c r="P72" s="188">
        <f ca="1">('Assumption '!S496*P27)*(1-'Assumption '!S532)</f>
        <v>648.46277035382002</v>
      </c>
      <c r="Q72" s="188">
        <f ca="1">('Assumption '!T496*Q27)*(1-'Assumption '!T532)</f>
        <v>667.91665346443472</v>
      </c>
      <c r="R72" s="188">
        <f ca="1">('Assumption '!U496*R27)*(1-'Assumption '!U532)</f>
        <v>687.95415306836776</v>
      </c>
      <c r="S72" s="188">
        <f ca="1">('Assumption '!V496*S27)*(1-'Assumption '!V532)</f>
        <v>708.59277766041873</v>
      </c>
      <c r="T72" s="188">
        <f ca="1">('Assumption '!W496*T27)*(1-'Assumption '!W532)</f>
        <v>729.85056099023132</v>
      </c>
      <c r="U72" s="188">
        <f ca="1">('Assumption '!X496*U27)*(1-'Assumption '!X532)</f>
        <v>751.74607781993825</v>
      </c>
      <c r="V72" s="188">
        <f ca="1">('Assumption '!Y496*V27)*(1-'Assumption '!Y532)</f>
        <v>774.29846015453654</v>
      </c>
      <c r="W72" s="188">
        <f ca="1">('Assumption '!Z496*W27)*(1-'Assumption '!Z532)</f>
        <v>797.52741395917269</v>
      </c>
      <c r="X72" s="188">
        <f ca="1">('Assumption '!AA496*X27)*(1-'Assumption '!AA532)</f>
        <v>821.45323637794786</v>
      </c>
      <c r="Y72" s="188">
        <f ca="1">('Assumption '!AB496*Y27)*(1-'Assumption '!AB532)</f>
        <v>846.09683346928637</v>
      </c>
      <c r="Z72" s="188">
        <f ca="1">('Assumption '!AC496*Z27)*(1-'Assumption '!AC532)</f>
        <v>871.47973847336493</v>
      </c>
      <c r="AA72" s="188">
        <f ca="1">('Assumption '!AD496*AA27)*(1-'Assumption '!AD532)</f>
        <v>897.62413062756593</v>
      </c>
      <c r="AB72" s="188">
        <f ca="1">('Assumption '!AE496*AB27)*(1-'Assumption '!AE532)</f>
        <v>924.55285454639295</v>
      </c>
      <c r="AC72" s="188">
        <f ca="1">('Assumption '!AF496*AC27)*(1-'Assumption '!AF532)</f>
        <v>952.2894401827848</v>
      </c>
      <c r="AD72" s="188">
        <f ca="1">('Assumption '!AG496*AD27)*(1-'Assumption '!AG532)</f>
        <v>980.8581233882685</v>
      </c>
      <c r="AE72" s="188">
        <f ca="1">('Assumption '!AH496*AE27)*(1-'Assumption '!AH532)</f>
        <v>1010.2838670899166</v>
      </c>
      <c r="AF72" s="188">
        <f ca="1">('Assumption '!AI496*AF27)*(1-'Assumption '!AI532)</f>
        <v>1040.5923831026141</v>
      </c>
      <c r="AG72" s="188">
        <f ca="1">('Assumption '!AJ496*AG27)*(1-'Assumption '!AJ532)</f>
        <v>1071.8101545956927</v>
      </c>
      <c r="AH72" s="188">
        <f ca="1">('Assumption '!AK496*AH27)*(1-'Assumption '!AK532)</f>
        <v>1103.9644592335633</v>
      </c>
      <c r="AI72" s="188">
        <f ca="1">('Assumption '!AL496*AI27)*(1-'Assumption '!AL532)</f>
        <v>1137.0833930105703</v>
      </c>
      <c r="AJ72" s="188">
        <f ca="1">('Assumption '!AM496*AJ27)*(1-'Assumption '!AM532)</f>
        <v>1171.1958948008876</v>
      </c>
      <c r="AK72" s="188">
        <f ca="1">('Assumption '!AN496*AK27)*(1-'Assumption '!AN532)</f>
        <v>1206.3317716449139</v>
      </c>
      <c r="AL72" s="188">
        <f ca="1">('Assumption '!AO496*AL27)*(1-'Assumption '!AO532)</f>
        <v>1242.5217247942614</v>
      </c>
      <c r="AM72" s="188">
        <f ca="1">('Assumption '!AP496*AM27)*(1-'Assumption '!AP532)</f>
        <v>1279.7973765380893</v>
      </c>
      <c r="AN72" s="1077"/>
    </row>
    <row r="73" spans="3:42" ht="11.25" thickBot="1">
      <c r="C73" s="1039"/>
      <c r="D73" s="486"/>
      <c r="E73" s="1040"/>
      <c r="F73" s="486"/>
      <c r="G73" s="486"/>
      <c r="H73" s="486"/>
      <c r="I73" s="486"/>
      <c r="J73" s="589"/>
      <c r="K73" s="589"/>
      <c r="L73" s="589"/>
      <c r="M73" s="589"/>
      <c r="N73" s="589"/>
      <c r="O73" s="589"/>
      <c r="P73" s="589"/>
      <c r="Q73" s="589"/>
      <c r="R73" s="589"/>
      <c r="S73" s="589"/>
      <c r="T73" s="589"/>
      <c r="U73" s="589"/>
      <c r="V73" s="589"/>
      <c r="W73" s="589"/>
      <c r="X73" s="589"/>
      <c r="Y73" s="589"/>
      <c r="Z73" s="589"/>
      <c r="AA73" s="589"/>
      <c r="AB73" s="589"/>
      <c r="AC73" s="589"/>
      <c r="AD73" s="589"/>
      <c r="AE73" s="589"/>
      <c r="AF73" s="589"/>
      <c r="AG73" s="589"/>
      <c r="AH73" s="589"/>
      <c r="AI73" s="589"/>
      <c r="AJ73" s="589"/>
      <c r="AK73" s="589"/>
      <c r="AL73" s="589"/>
      <c r="AM73" s="589"/>
      <c r="AN73" s="1078"/>
    </row>
    <row r="74" spans="3:42">
      <c r="C74" s="5"/>
      <c r="E74" s="15"/>
      <c r="J74" s="52"/>
      <c r="K74" s="52"/>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1080"/>
    </row>
    <row r="75" spans="3:42">
      <c r="C75" s="2" t="s">
        <v>1560</v>
      </c>
      <c r="D75" s="17">
        <f>'Sens WIP'!D17</f>
        <v>0</v>
      </c>
      <c r="E75" s="15"/>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c r="AJ75" s="52"/>
      <c r="AK75" s="52"/>
      <c r="AL75" s="52"/>
      <c r="AM75" s="52"/>
      <c r="AN75" s="1080"/>
    </row>
    <row r="76" spans="3:42">
      <c r="C76" s="2" t="s">
        <v>1565</v>
      </c>
      <c r="E76" s="15"/>
      <c r="J76" s="52">
        <f>J70</f>
        <v>0</v>
      </c>
      <c r="K76" s="52">
        <f t="shared" ref="K76:AM76" si="3">K70</f>
        <v>0</v>
      </c>
      <c r="L76" s="52">
        <f ca="1">L70</f>
        <v>482.15299588109644</v>
      </c>
      <c r="M76" s="52">
        <f ca="1">M70</f>
        <v>466.68771110755193</v>
      </c>
      <c r="N76" s="52">
        <f t="shared" ca="1" si="3"/>
        <v>520.49866312204949</v>
      </c>
      <c r="O76" s="52">
        <f t="shared" ca="1" si="3"/>
        <v>571.71798021018481</v>
      </c>
      <c r="P76" s="52">
        <f t="shared" ca="1" si="3"/>
        <v>621.1772432388708</v>
      </c>
      <c r="Q76" s="52">
        <f t="shared" ca="1" si="3"/>
        <v>661.41691753067948</v>
      </c>
      <c r="R76" s="52">
        <f t="shared" ca="1" si="3"/>
        <v>704.26330577528518</v>
      </c>
      <c r="S76" s="52">
        <f t="shared" ca="1" si="3"/>
        <v>749.8852701156178</v>
      </c>
      <c r="T76" s="52">
        <f t="shared" ca="1" si="3"/>
        <v>798.46261153324861</v>
      </c>
      <c r="U76" s="52">
        <f t="shared" ca="1" si="3"/>
        <v>850.1867784630557</v>
      </c>
      <c r="V76" s="52">
        <f t="shared" ca="1" si="3"/>
        <v>905.26162131173294</v>
      </c>
      <c r="W76" s="52">
        <f t="shared" ca="1" si="3"/>
        <v>963.90419585377981</v>
      </c>
      <c r="X76" s="52">
        <f t="shared" ca="1" si="3"/>
        <v>1026.3456186712422</v>
      </c>
      <c r="Y76" s="52">
        <f t="shared" ca="1" si="3"/>
        <v>569.67078588006984</v>
      </c>
      <c r="Z76" s="52">
        <f t="shared" ca="1" si="3"/>
        <v>586.76090945647195</v>
      </c>
      <c r="AA76" s="52">
        <f t="shared" ca="1" si="3"/>
        <v>604.36373674016613</v>
      </c>
      <c r="AB76" s="52">
        <f t="shared" ca="1" si="3"/>
        <v>622.49464884237113</v>
      </c>
      <c r="AC76" s="52">
        <f t="shared" ca="1" si="3"/>
        <v>641.16948830764238</v>
      </c>
      <c r="AD76" s="52">
        <f t="shared" ca="1" si="3"/>
        <v>660.40457295687168</v>
      </c>
      <c r="AE76" s="52">
        <f t="shared" ca="1" si="3"/>
        <v>680.21671014557785</v>
      </c>
      <c r="AF76" s="52">
        <f t="shared" ca="1" si="3"/>
        <v>700.62321144994519</v>
      </c>
      <c r="AG76" s="52">
        <f t="shared" ca="1" si="3"/>
        <v>721.64190779344358</v>
      </c>
      <c r="AH76" s="52">
        <f t="shared" ca="1" si="3"/>
        <v>743.29116502724685</v>
      </c>
      <c r="AI76" s="52">
        <f t="shared" ca="1" si="3"/>
        <v>765.5898999780643</v>
      </c>
      <c r="AJ76" s="52">
        <f t="shared" ca="1" si="3"/>
        <v>788.55759697740632</v>
      </c>
      <c r="AK76" s="52">
        <f t="shared" ca="1" si="3"/>
        <v>812.21432488672849</v>
      </c>
      <c r="AL76" s="52">
        <f t="shared" ca="1" si="3"/>
        <v>836.58075463333034</v>
      </c>
      <c r="AM76" s="52">
        <f t="shared" ca="1" si="3"/>
        <v>861.67817727233023</v>
      </c>
      <c r="AN76" s="1080"/>
    </row>
    <row r="77" spans="3:42">
      <c r="C77" s="2" t="s">
        <v>1562</v>
      </c>
      <c r="E77" s="15"/>
      <c r="J77" s="52">
        <f t="shared" ref="J77:AM77" si="4">J76*(1+$D$75)</f>
        <v>0</v>
      </c>
      <c r="K77" s="52">
        <f t="shared" si="4"/>
        <v>0</v>
      </c>
      <c r="L77" s="52">
        <f ca="1">L76*(1+$D$75)</f>
        <v>482.15299588109644</v>
      </c>
      <c r="M77" s="52">
        <f t="shared" ca="1" si="4"/>
        <v>466.68771110755193</v>
      </c>
      <c r="N77" s="52">
        <f t="shared" ca="1" si="4"/>
        <v>520.49866312204949</v>
      </c>
      <c r="O77" s="52">
        <f t="shared" ca="1" si="4"/>
        <v>571.71798021018481</v>
      </c>
      <c r="P77" s="52">
        <f t="shared" ca="1" si="4"/>
        <v>621.1772432388708</v>
      </c>
      <c r="Q77" s="52">
        <f t="shared" ca="1" si="4"/>
        <v>661.41691753067948</v>
      </c>
      <c r="R77" s="52">
        <f t="shared" ca="1" si="4"/>
        <v>704.26330577528518</v>
      </c>
      <c r="S77" s="52">
        <f t="shared" ca="1" si="4"/>
        <v>749.8852701156178</v>
      </c>
      <c r="T77" s="52">
        <f t="shared" ca="1" si="4"/>
        <v>798.46261153324861</v>
      </c>
      <c r="U77" s="52">
        <f t="shared" ca="1" si="4"/>
        <v>850.1867784630557</v>
      </c>
      <c r="V77" s="52">
        <f t="shared" ca="1" si="4"/>
        <v>905.26162131173294</v>
      </c>
      <c r="W77" s="52">
        <f t="shared" ca="1" si="4"/>
        <v>963.90419585377981</v>
      </c>
      <c r="X77" s="52">
        <f t="shared" ca="1" si="4"/>
        <v>1026.3456186712422</v>
      </c>
      <c r="Y77" s="52">
        <f t="shared" ca="1" si="4"/>
        <v>569.67078588006984</v>
      </c>
      <c r="Z77" s="52">
        <f t="shared" ca="1" si="4"/>
        <v>586.76090945647195</v>
      </c>
      <c r="AA77" s="52">
        <f t="shared" ca="1" si="4"/>
        <v>604.36373674016613</v>
      </c>
      <c r="AB77" s="52">
        <f t="shared" ca="1" si="4"/>
        <v>622.49464884237113</v>
      </c>
      <c r="AC77" s="52">
        <f t="shared" ca="1" si="4"/>
        <v>641.16948830764238</v>
      </c>
      <c r="AD77" s="52">
        <f t="shared" ca="1" si="4"/>
        <v>660.40457295687168</v>
      </c>
      <c r="AE77" s="52">
        <f t="shared" ca="1" si="4"/>
        <v>680.21671014557785</v>
      </c>
      <c r="AF77" s="52">
        <f t="shared" ca="1" si="4"/>
        <v>700.62321144994519</v>
      </c>
      <c r="AG77" s="52">
        <f t="shared" ca="1" si="4"/>
        <v>721.64190779344358</v>
      </c>
      <c r="AH77" s="52">
        <f t="shared" ca="1" si="4"/>
        <v>743.29116502724685</v>
      </c>
      <c r="AI77" s="52">
        <f t="shared" ca="1" si="4"/>
        <v>765.5898999780643</v>
      </c>
      <c r="AJ77" s="52">
        <f t="shared" ca="1" si="4"/>
        <v>788.55759697740632</v>
      </c>
      <c r="AK77" s="52">
        <f t="shared" ca="1" si="4"/>
        <v>812.21432488672849</v>
      </c>
      <c r="AL77" s="52">
        <f t="shared" ca="1" si="4"/>
        <v>836.58075463333034</v>
      </c>
      <c r="AM77" s="52">
        <f t="shared" ca="1" si="4"/>
        <v>861.67817727233023</v>
      </c>
      <c r="AN77" s="1080"/>
    </row>
    <row r="78" spans="3:42" ht="10.9" customHeight="1">
      <c r="E78" s="15"/>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1080"/>
    </row>
    <row r="79" spans="3:42" ht="15" customHeight="1">
      <c r="C79" s="2" t="s">
        <v>2122</v>
      </c>
      <c r="D79" s="17">
        <f>'Sens WIP'!D51</f>
        <v>0</v>
      </c>
      <c r="E79" s="15"/>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c r="AJ79" s="52"/>
      <c r="AK79" s="52"/>
      <c r="AL79" s="52"/>
      <c r="AM79" s="52"/>
      <c r="AN79" s="1080"/>
    </row>
    <row r="80" spans="3:42" ht="10.9" customHeight="1">
      <c r="C80" s="2" t="s">
        <v>2123</v>
      </c>
      <c r="E80" s="15"/>
      <c r="J80" s="52">
        <f>J71</f>
        <v>0</v>
      </c>
      <c r="K80" s="52">
        <f t="shared" ref="K80:AM80" si="5">K71</f>
        <v>0</v>
      </c>
      <c r="L80" s="52">
        <f t="shared" si="5"/>
        <v>0</v>
      </c>
      <c r="M80" s="52">
        <f t="shared" si="5"/>
        <v>0</v>
      </c>
      <c r="N80" s="52">
        <f t="shared" si="5"/>
        <v>0</v>
      </c>
      <c r="O80" s="52">
        <f t="shared" si="5"/>
        <v>0</v>
      </c>
      <c r="P80" s="52">
        <f t="shared" si="5"/>
        <v>0</v>
      </c>
      <c r="Q80" s="52">
        <f t="shared" si="5"/>
        <v>0</v>
      </c>
      <c r="R80" s="52">
        <f t="shared" si="5"/>
        <v>0</v>
      </c>
      <c r="S80" s="52">
        <f t="shared" si="5"/>
        <v>0</v>
      </c>
      <c r="T80" s="52">
        <f t="shared" si="5"/>
        <v>0</v>
      </c>
      <c r="U80" s="52">
        <f t="shared" si="5"/>
        <v>0</v>
      </c>
      <c r="V80" s="52">
        <f t="shared" si="5"/>
        <v>0</v>
      </c>
      <c r="W80" s="52">
        <f t="shared" si="5"/>
        <v>0</v>
      </c>
      <c r="X80" s="52">
        <f t="shared" si="5"/>
        <v>0</v>
      </c>
      <c r="Y80" s="52">
        <f t="shared" si="5"/>
        <v>0</v>
      </c>
      <c r="Z80" s="52">
        <f t="shared" si="5"/>
        <v>0</v>
      </c>
      <c r="AA80" s="52">
        <f t="shared" si="5"/>
        <v>0</v>
      </c>
      <c r="AB80" s="52">
        <f t="shared" si="5"/>
        <v>0</v>
      </c>
      <c r="AC80" s="52">
        <f t="shared" si="5"/>
        <v>0</v>
      </c>
      <c r="AD80" s="52">
        <f t="shared" si="5"/>
        <v>0</v>
      </c>
      <c r="AE80" s="52">
        <f t="shared" si="5"/>
        <v>0</v>
      </c>
      <c r="AF80" s="52">
        <f t="shared" si="5"/>
        <v>0</v>
      </c>
      <c r="AG80" s="52">
        <f t="shared" si="5"/>
        <v>0</v>
      </c>
      <c r="AH80" s="52">
        <f t="shared" si="5"/>
        <v>0</v>
      </c>
      <c r="AI80" s="52">
        <f t="shared" si="5"/>
        <v>0</v>
      </c>
      <c r="AJ80" s="52">
        <f t="shared" si="5"/>
        <v>0</v>
      </c>
      <c r="AK80" s="52">
        <f t="shared" si="5"/>
        <v>0</v>
      </c>
      <c r="AL80" s="52">
        <f t="shared" si="5"/>
        <v>0</v>
      </c>
      <c r="AM80" s="52">
        <f t="shared" si="5"/>
        <v>0</v>
      </c>
      <c r="AN80" s="1080"/>
    </row>
    <row r="81" spans="3:42" ht="10.9" customHeight="1">
      <c r="C81" s="2" t="s">
        <v>2124</v>
      </c>
      <c r="E81" s="15"/>
      <c r="J81" s="52">
        <f>J80*(1+$D$79)</f>
        <v>0</v>
      </c>
      <c r="K81" s="52">
        <f t="shared" ref="K81:AM81" si="6">K80*(1+$D$79)</f>
        <v>0</v>
      </c>
      <c r="L81" s="52">
        <f t="shared" si="6"/>
        <v>0</v>
      </c>
      <c r="M81" s="52">
        <f t="shared" si="6"/>
        <v>0</v>
      </c>
      <c r="N81" s="52">
        <f t="shared" si="6"/>
        <v>0</v>
      </c>
      <c r="O81" s="52">
        <f t="shared" si="6"/>
        <v>0</v>
      </c>
      <c r="P81" s="52">
        <f t="shared" si="6"/>
        <v>0</v>
      </c>
      <c r="Q81" s="52">
        <f t="shared" si="6"/>
        <v>0</v>
      </c>
      <c r="R81" s="52">
        <f t="shared" si="6"/>
        <v>0</v>
      </c>
      <c r="S81" s="52">
        <f t="shared" si="6"/>
        <v>0</v>
      </c>
      <c r="T81" s="52">
        <f t="shared" si="6"/>
        <v>0</v>
      </c>
      <c r="U81" s="52">
        <f t="shared" si="6"/>
        <v>0</v>
      </c>
      <c r="V81" s="52">
        <f t="shared" si="6"/>
        <v>0</v>
      </c>
      <c r="W81" s="52">
        <f t="shared" si="6"/>
        <v>0</v>
      </c>
      <c r="X81" s="52">
        <f t="shared" si="6"/>
        <v>0</v>
      </c>
      <c r="Y81" s="52">
        <f t="shared" si="6"/>
        <v>0</v>
      </c>
      <c r="Z81" s="52">
        <f t="shared" si="6"/>
        <v>0</v>
      </c>
      <c r="AA81" s="52">
        <f t="shared" si="6"/>
        <v>0</v>
      </c>
      <c r="AB81" s="52">
        <f t="shared" si="6"/>
        <v>0</v>
      </c>
      <c r="AC81" s="52">
        <f t="shared" si="6"/>
        <v>0</v>
      </c>
      <c r="AD81" s="52">
        <f t="shared" si="6"/>
        <v>0</v>
      </c>
      <c r="AE81" s="52">
        <f t="shared" si="6"/>
        <v>0</v>
      </c>
      <c r="AF81" s="52">
        <f t="shared" si="6"/>
        <v>0</v>
      </c>
      <c r="AG81" s="52">
        <f t="shared" si="6"/>
        <v>0</v>
      </c>
      <c r="AH81" s="52">
        <f t="shared" si="6"/>
        <v>0</v>
      </c>
      <c r="AI81" s="52">
        <f t="shared" si="6"/>
        <v>0</v>
      </c>
      <c r="AJ81" s="52">
        <f t="shared" si="6"/>
        <v>0</v>
      </c>
      <c r="AK81" s="52">
        <f t="shared" si="6"/>
        <v>0</v>
      </c>
      <c r="AL81" s="52">
        <f t="shared" si="6"/>
        <v>0</v>
      </c>
      <c r="AM81" s="52">
        <f t="shared" si="6"/>
        <v>0</v>
      </c>
      <c r="AN81" s="1080"/>
    </row>
    <row r="82" spans="3:42">
      <c r="E82" s="15"/>
      <c r="J82" s="52"/>
      <c r="K82" s="52"/>
      <c r="L82" s="52"/>
      <c r="M82" s="52"/>
      <c r="N82" s="52"/>
      <c r="O82" s="52"/>
      <c r="P82" s="52"/>
      <c r="Q82" s="52"/>
      <c r="R82" s="52"/>
      <c r="S82" s="52"/>
      <c r="T82" s="52"/>
      <c r="U82" s="52"/>
      <c r="V82" s="52"/>
      <c r="W82" s="52"/>
      <c r="X82" s="52"/>
      <c r="Y82" s="52"/>
      <c r="Z82" s="52"/>
      <c r="AA82" s="52"/>
      <c r="AB82" s="52"/>
      <c r="AC82" s="52"/>
      <c r="AD82" s="52"/>
      <c r="AE82" s="52"/>
      <c r="AF82" s="52"/>
      <c r="AG82" s="52"/>
      <c r="AH82" s="52"/>
      <c r="AI82" s="52"/>
      <c r="AJ82" s="52"/>
      <c r="AK82" s="52"/>
      <c r="AL82" s="52"/>
      <c r="AM82" s="52"/>
      <c r="AN82" s="1080"/>
    </row>
    <row r="83" spans="3:42">
      <c r="E83" s="15"/>
      <c r="J83" s="52"/>
      <c r="K83" s="52"/>
      <c r="L83" s="52"/>
      <c r="M83" s="52"/>
      <c r="N83" s="52"/>
      <c r="O83" s="52"/>
      <c r="P83" s="52"/>
      <c r="Q83" s="52"/>
      <c r="R83" s="52"/>
      <c r="S83" s="52"/>
      <c r="T83" s="52"/>
      <c r="U83" s="52"/>
      <c r="V83" s="52"/>
      <c r="W83" s="52"/>
      <c r="X83" s="52"/>
      <c r="Y83" s="52"/>
      <c r="Z83" s="52"/>
      <c r="AA83" s="52"/>
      <c r="AB83" s="52"/>
      <c r="AC83" s="52"/>
      <c r="AD83" s="52"/>
      <c r="AE83" s="52"/>
      <c r="AF83" s="52"/>
      <c r="AG83" s="52"/>
      <c r="AH83" s="52"/>
      <c r="AI83" s="52"/>
      <c r="AJ83" s="52"/>
      <c r="AK83" s="52"/>
      <c r="AL83" s="52"/>
      <c r="AM83" s="52"/>
      <c r="AN83" s="1080"/>
    </row>
    <row r="84" spans="3:42">
      <c r="E84" s="15"/>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c r="AJ84" s="52"/>
      <c r="AK84" s="52"/>
      <c r="AL84" s="52"/>
      <c r="AM84" s="52"/>
      <c r="AN84" s="1080"/>
    </row>
    <row r="85" spans="3:42">
      <c r="C85" s="2" t="s">
        <v>1561</v>
      </c>
      <c r="D85" s="17">
        <f>'Sens WIP'!D19</f>
        <v>0</v>
      </c>
      <c r="E85" s="15"/>
      <c r="J85" s="52"/>
      <c r="K85" s="52"/>
      <c r="L85" s="52"/>
      <c r="M85" s="52"/>
      <c r="N85" s="52"/>
      <c r="O85" s="52"/>
      <c r="P85" s="52"/>
      <c r="Q85" s="52"/>
      <c r="R85" s="52"/>
      <c r="S85" s="52"/>
      <c r="T85" s="52"/>
      <c r="U85" s="52"/>
      <c r="V85" s="52"/>
      <c r="W85" s="52"/>
      <c r="X85" s="52"/>
      <c r="Y85" s="52"/>
      <c r="Z85" s="52"/>
      <c r="AA85" s="52"/>
      <c r="AB85" s="52"/>
      <c r="AC85" s="52"/>
      <c r="AD85" s="52"/>
      <c r="AE85" s="52"/>
      <c r="AF85" s="52"/>
      <c r="AG85" s="52"/>
      <c r="AH85" s="52"/>
      <c r="AI85" s="52"/>
      <c r="AJ85" s="52"/>
      <c r="AK85" s="52"/>
      <c r="AL85" s="52"/>
      <c r="AM85" s="52"/>
      <c r="AN85" s="1080"/>
    </row>
    <row r="86" spans="3:42">
      <c r="C86" s="2" t="s">
        <v>1566</v>
      </c>
      <c r="E86" s="15"/>
      <c r="J86" s="52">
        <f>J72</f>
        <v>0</v>
      </c>
      <c r="K86" s="52">
        <f t="shared" ref="K86:AM86" si="7">K72</f>
        <v>0</v>
      </c>
      <c r="L86" s="52">
        <f t="shared" ca="1" si="7"/>
        <v>576.15077251489481</v>
      </c>
      <c r="M86" s="52">
        <f t="shared" ca="1" si="7"/>
        <v>593.43529569034172</v>
      </c>
      <c r="N86" s="52">
        <f t="shared" ca="1" si="7"/>
        <v>611.23835456105189</v>
      </c>
      <c r="O86" s="52">
        <f t="shared" ca="1" si="7"/>
        <v>629.57550519788356</v>
      </c>
      <c r="P86" s="52">
        <f t="shared" ca="1" si="7"/>
        <v>648.46277035382002</v>
      </c>
      <c r="Q86" s="52">
        <f t="shared" ca="1" si="7"/>
        <v>667.91665346443472</v>
      </c>
      <c r="R86" s="52">
        <f t="shared" ca="1" si="7"/>
        <v>687.95415306836776</v>
      </c>
      <c r="S86" s="52">
        <f t="shared" ca="1" si="7"/>
        <v>708.59277766041873</v>
      </c>
      <c r="T86" s="52">
        <f t="shared" ca="1" si="7"/>
        <v>729.85056099023132</v>
      </c>
      <c r="U86" s="52">
        <f t="shared" ca="1" si="7"/>
        <v>751.74607781993825</v>
      </c>
      <c r="V86" s="52">
        <f t="shared" ca="1" si="7"/>
        <v>774.29846015453654</v>
      </c>
      <c r="W86" s="52">
        <f t="shared" ca="1" si="7"/>
        <v>797.52741395917269</v>
      </c>
      <c r="X86" s="52">
        <f t="shared" ca="1" si="7"/>
        <v>821.45323637794786</v>
      </c>
      <c r="Y86" s="52">
        <f t="shared" ca="1" si="7"/>
        <v>846.09683346928637</v>
      </c>
      <c r="Z86" s="52">
        <f t="shared" ca="1" si="7"/>
        <v>871.47973847336493</v>
      </c>
      <c r="AA86" s="52">
        <f t="shared" ca="1" si="7"/>
        <v>897.62413062756593</v>
      </c>
      <c r="AB86" s="52">
        <f t="shared" ca="1" si="7"/>
        <v>924.55285454639295</v>
      </c>
      <c r="AC86" s="52">
        <f t="shared" ca="1" si="7"/>
        <v>952.2894401827848</v>
      </c>
      <c r="AD86" s="52">
        <f t="shared" ca="1" si="7"/>
        <v>980.8581233882685</v>
      </c>
      <c r="AE86" s="52">
        <f t="shared" ca="1" si="7"/>
        <v>1010.2838670899166</v>
      </c>
      <c r="AF86" s="52">
        <f t="shared" ca="1" si="7"/>
        <v>1040.5923831026141</v>
      </c>
      <c r="AG86" s="52">
        <f t="shared" ca="1" si="7"/>
        <v>1071.8101545956927</v>
      </c>
      <c r="AH86" s="52">
        <f t="shared" ca="1" si="7"/>
        <v>1103.9644592335633</v>
      </c>
      <c r="AI86" s="52">
        <f t="shared" ca="1" si="7"/>
        <v>1137.0833930105703</v>
      </c>
      <c r="AJ86" s="52">
        <f t="shared" ca="1" si="7"/>
        <v>1171.1958948008876</v>
      </c>
      <c r="AK86" s="52">
        <f t="shared" ca="1" si="7"/>
        <v>1206.3317716449139</v>
      </c>
      <c r="AL86" s="52">
        <f t="shared" ca="1" si="7"/>
        <v>1242.5217247942614</v>
      </c>
      <c r="AM86" s="52">
        <f t="shared" ca="1" si="7"/>
        <v>1279.7973765380893</v>
      </c>
      <c r="AN86" s="1080"/>
    </row>
    <row r="87" spans="3:42">
      <c r="C87" s="2" t="s">
        <v>1563</v>
      </c>
      <c r="E87" s="15"/>
      <c r="J87" s="52">
        <f t="shared" ref="J87:AM87" si="8">J86*(1+$D$85)</f>
        <v>0</v>
      </c>
      <c r="K87" s="52">
        <f t="shared" si="8"/>
        <v>0</v>
      </c>
      <c r="L87" s="52">
        <f t="shared" ca="1" si="8"/>
        <v>576.15077251489481</v>
      </c>
      <c r="M87" s="52">
        <f t="shared" ca="1" si="8"/>
        <v>593.43529569034172</v>
      </c>
      <c r="N87" s="52">
        <f t="shared" ca="1" si="8"/>
        <v>611.23835456105189</v>
      </c>
      <c r="O87" s="52">
        <f t="shared" ca="1" si="8"/>
        <v>629.57550519788356</v>
      </c>
      <c r="P87" s="52">
        <f t="shared" ca="1" si="8"/>
        <v>648.46277035382002</v>
      </c>
      <c r="Q87" s="52">
        <f t="shared" ca="1" si="8"/>
        <v>667.91665346443472</v>
      </c>
      <c r="R87" s="52">
        <f t="shared" ca="1" si="8"/>
        <v>687.95415306836776</v>
      </c>
      <c r="S87" s="52">
        <f t="shared" ca="1" si="8"/>
        <v>708.59277766041873</v>
      </c>
      <c r="T87" s="52">
        <f t="shared" ca="1" si="8"/>
        <v>729.85056099023132</v>
      </c>
      <c r="U87" s="52">
        <f t="shared" ca="1" si="8"/>
        <v>751.74607781993825</v>
      </c>
      <c r="V87" s="52">
        <f t="shared" ca="1" si="8"/>
        <v>774.29846015453654</v>
      </c>
      <c r="W87" s="52">
        <f t="shared" ca="1" si="8"/>
        <v>797.52741395917269</v>
      </c>
      <c r="X87" s="52">
        <f t="shared" ca="1" si="8"/>
        <v>821.45323637794786</v>
      </c>
      <c r="Y87" s="52">
        <f t="shared" ca="1" si="8"/>
        <v>846.09683346928637</v>
      </c>
      <c r="Z87" s="52">
        <f t="shared" ca="1" si="8"/>
        <v>871.47973847336493</v>
      </c>
      <c r="AA87" s="52">
        <f t="shared" ca="1" si="8"/>
        <v>897.62413062756593</v>
      </c>
      <c r="AB87" s="52">
        <f t="shared" ca="1" si="8"/>
        <v>924.55285454639295</v>
      </c>
      <c r="AC87" s="52">
        <f t="shared" ca="1" si="8"/>
        <v>952.2894401827848</v>
      </c>
      <c r="AD87" s="52">
        <f t="shared" ca="1" si="8"/>
        <v>980.8581233882685</v>
      </c>
      <c r="AE87" s="52">
        <f t="shared" ca="1" si="8"/>
        <v>1010.2838670899166</v>
      </c>
      <c r="AF87" s="52">
        <f t="shared" ca="1" si="8"/>
        <v>1040.5923831026141</v>
      </c>
      <c r="AG87" s="52">
        <f t="shared" ca="1" si="8"/>
        <v>1071.8101545956927</v>
      </c>
      <c r="AH87" s="52">
        <f t="shared" ca="1" si="8"/>
        <v>1103.9644592335633</v>
      </c>
      <c r="AI87" s="52">
        <f t="shared" ca="1" si="8"/>
        <v>1137.0833930105703</v>
      </c>
      <c r="AJ87" s="52">
        <f t="shared" ca="1" si="8"/>
        <v>1171.1958948008876</v>
      </c>
      <c r="AK87" s="52">
        <f t="shared" ca="1" si="8"/>
        <v>1206.3317716449139</v>
      </c>
      <c r="AL87" s="52">
        <f t="shared" ca="1" si="8"/>
        <v>1242.5217247942614</v>
      </c>
      <c r="AM87" s="52">
        <f t="shared" ca="1" si="8"/>
        <v>1279.7973765380893</v>
      </c>
      <c r="AN87" s="1080"/>
    </row>
    <row r="88" spans="3:42">
      <c r="C88" s="5"/>
      <c r="E88" s="15"/>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c r="AJ88" s="52"/>
    </row>
    <row r="89" spans="3:42">
      <c r="C89" s="501" t="s">
        <v>986</v>
      </c>
      <c r="E89" s="15"/>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c r="AJ89" s="52"/>
    </row>
    <row r="90" spans="3:42" ht="10.9" customHeight="1">
      <c r="C90" s="5" t="s">
        <v>961</v>
      </c>
      <c r="E90" s="15"/>
      <c r="J90" s="53">
        <f>J62*J77</f>
        <v>0</v>
      </c>
      <c r="K90" s="53">
        <f t="shared" ref="K90:AM90" si="9">K62*K77</f>
        <v>0</v>
      </c>
      <c r="L90" s="53">
        <f t="shared" ca="1" si="9"/>
        <v>411336774.61106038</v>
      </c>
      <c r="M90" s="53">
        <f t="shared" ca="1" si="9"/>
        <v>465520991.82978302</v>
      </c>
      <c r="N90" s="53">
        <f t="shared" ca="1" si="9"/>
        <v>519197416.46424431</v>
      </c>
      <c r="O90" s="53">
        <f t="shared" ca="1" si="9"/>
        <v>570288685.25965929</v>
      </c>
      <c r="P90" s="53">
        <f t="shared" ca="1" si="9"/>
        <v>619624300.13077354</v>
      </c>
      <c r="Q90" s="53">
        <f t="shared" ca="1" si="9"/>
        <v>659763375.23685277</v>
      </c>
      <c r="R90" s="53">
        <f t="shared" ca="1" si="9"/>
        <v>702502647.51084685</v>
      </c>
      <c r="S90" s="53">
        <f t="shared" ca="1" si="9"/>
        <v>748010556.94032872</v>
      </c>
      <c r="T90" s="53">
        <f t="shared" ca="1" si="9"/>
        <v>796466455.00441539</v>
      </c>
      <c r="U90" s="53">
        <f t="shared" ca="1" si="9"/>
        <v>848061311.51689792</v>
      </c>
      <c r="V90" s="53">
        <f t="shared" ca="1" si="9"/>
        <v>902998467.25845349</v>
      </c>
      <c r="W90" s="53">
        <f t="shared" ca="1" si="9"/>
        <v>961494435.36414528</v>
      </c>
      <c r="X90" s="53">
        <f t="shared" ca="1" si="9"/>
        <v>1023779754.6245639</v>
      </c>
      <c r="Y90" s="53">
        <f t="shared" ca="1" si="9"/>
        <v>568246608.91536963</v>
      </c>
      <c r="Z90" s="53">
        <f t="shared" ca="1" si="9"/>
        <v>585294007.18283069</v>
      </c>
      <c r="AA90" s="53">
        <f t="shared" ca="1" si="9"/>
        <v>602852827.39831567</v>
      </c>
      <c r="AB90" s="53">
        <f t="shared" ca="1" si="9"/>
        <v>620938412.22026515</v>
      </c>
      <c r="AC90" s="53">
        <f t="shared" ca="1" si="9"/>
        <v>639566564.58687317</v>
      </c>
      <c r="AD90" s="53">
        <f t="shared" ca="1" si="9"/>
        <v>658753561.52447939</v>
      </c>
      <c r="AE90" s="53">
        <f t="shared" ca="1" si="9"/>
        <v>678516168.37021387</v>
      </c>
      <c r="AF90" s="53">
        <f t="shared" ca="1" si="9"/>
        <v>698871653.4213202</v>
      </c>
      <c r="AG90" s="53">
        <f t="shared" ca="1" si="9"/>
        <v>719837803.02395988</v>
      </c>
      <c r="AH90" s="53">
        <f t="shared" ca="1" si="9"/>
        <v>741432937.11467862</v>
      </c>
      <c r="AI90" s="53">
        <f t="shared" ca="1" si="9"/>
        <v>763675925.22811902</v>
      </c>
      <c r="AJ90" s="53">
        <f t="shared" ca="1" si="9"/>
        <v>786586202.9849627</v>
      </c>
      <c r="AK90" s="53">
        <f t="shared" ca="1" si="9"/>
        <v>810183789.07451153</v>
      </c>
      <c r="AL90" s="53">
        <f t="shared" ca="1" si="9"/>
        <v>834489302.7467469</v>
      </c>
      <c r="AM90" s="53">
        <f t="shared" ca="1" si="9"/>
        <v>859523981.82914925</v>
      </c>
      <c r="AN90" s="1079"/>
    </row>
    <row r="91" spans="3:42" ht="10.9" customHeight="1">
      <c r="C91" s="5" t="s">
        <v>981</v>
      </c>
      <c r="E91" s="15"/>
      <c r="J91" s="53">
        <f>J63*J77</f>
        <v>0</v>
      </c>
      <c r="K91" s="53">
        <f t="shared" ref="K91:AM91" si="10">K63*K77</f>
        <v>0</v>
      </c>
      <c r="L91" s="53">
        <f t="shared" ca="1" si="10"/>
        <v>0</v>
      </c>
      <c r="M91" s="53">
        <f t="shared" ca="1" si="10"/>
        <v>265428635.69242015</v>
      </c>
      <c r="N91" s="53">
        <f t="shared" ca="1" si="10"/>
        <v>346131610.97616291</v>
      </c>
      <c r="O91" s="53">
        <f t="shared" ca="1" si="10"/>
        <v>380192456.83977288</v>
      </c>
      <c r="P91" s="53">
        <f t="shared" ca="1" si="10"/>
        <v>413082866.75384909</v>
      </c>
      <c r="Q91" s="53">
        <f t="shared" ca="1" si="10"/>
        <v>439842250.15790188</v>
      </c>
      <c r="R91" s="53">
        <f t="shared" ca="1" si="10"/>
        <v>468335098.34056467</v>
      </c>
      <c r="S91" s="53">
        <f t="shared" ca="1" si="10"/>
        <v>498673704.62688583</v>
      </c>
      <c r="T91" s="53">
        <f t="shared" ca="1" si="10"/>
        <v>530977636.66961032</v>
      </c>
      <c r="U91" s="53">
        <f t="shared" ca="1" si="10"/>
        <v>565374207.67793202</v>
      </c>
      <c r="V91" s="53">
        <f t="shared" ca="1" si="10"/>
        <v>601998978.17230237</v>
      </c>
      <c r="W91" s="53">
        <f t="shared" ca="1" si="10"/>
        <v>640996290.24276352</v>
      </c>
      <c r="X91" s="53">
        <f t="shared" ca="1" si="10"/>
        <v>682519836.41637599</v>
      </c>
      <c r="Y91" s="53">
        <f t="shared" ca="1" si="10"/>
        <v>378831072.61024642</v>
      </c>
      <c r="Z91" s="53">
        <f t="shared" ca="1" si="10"/>
        <v>390196004.78855383</v>
      </c>
      <c r="AA91" s="53">
        <f t="shared" ca="1" si="10"/>
        <v>401901884.93221051</v>
      </c>
      <c r="AB91" s="53">
        <f t="shared" ca="1" si="10"/>
        <v>413958941.48017681</v>
      </c>
      <c r="AC91" s="53">
        <f t="shared" ca="1" si="10"/>
        <v>426377709.7245822</v>
      </c>
      <c r="AD91" s="53">
        <f t="shared" ca="1" si="10"/>
        <v>439169041.01631969</v>
      </c>
      <c r="AE91" s="53">
        <f t="shared" ca="1" si="10"/>
        <v>452344112.24680924</v>
      </c>
      <c r="AF91" s="53">
        <f t="shared" ca="1" si="10"/>
        <v>465914435.61421353</v>
      </c>
      <c r="AG91" s="53">
        <f t="shared" ca="1" si="10"/>
        <v>479891868.68263996</v>
      </c>
      <c r="AH91" s="53">
        <f t="shared" ca="1" si="10"/>
        <v>494288624.74311918</v>
      </c>
      <c r="AI91" s="53">
        <f t="shared" ca="1" si="10"/>
        <v>509117283.48541278</v>
      </c>
      <c r="AJ91" s="53">
        <f t="shared" ca="1" si="10"/>
        <v>524390801.98997521</v>
      </c>
      <c r="AK91" s="53">
        <f t="shared" ca="1" si="10"/>
        <v>540122526.04967439</v>
      </c>
      <c r="AL91" s="53">
        <f t="shared" ca="1" si="10"/>
        <v>556326201.83116472</v>
      </c>
      <c r="AM91" s="53">
        <f t="shared" ca="1" si="10"/>
        <v>573015987.88609958</v>
      </c>
      <c r="AN91" s="1079"/>
    </row>
    <row r="92" spans="3:42">
      <c r="C92" s="5" t="s">
        <v>1067</v>
      </c>
      <c r="E92" s="15"/>
      <c r="J92" s="53">
        <f>J64*J77</f>
        <v>0</v>
      </c>
      <c r="K92" s="53">
        <f t="shared" ref="K92:AM92" si="11">K64*K77</f>
        <v>0</v>
      </c>
      <c r="L92" s="53">
        <f t="shared" ca="1" si="11"/>
        <v>0</v>
      </c>
      <c r="M92" s="53">
        <f t="shared" ca="1" si="11"/>
        <v>0</v>
      </c>
      <c r="N92" s="53">
        <f t="shared" ca="1" si="11"/>
        <v>0</v>
      </c>
      <c r="O92" s="53">
        <f t="shared" ca="1" si="11"/>
        <v>0</v>
      </c>
      <c r="P92" s="53">
        <f t="shared" ca="1" si="11"/>
        <v>0</v>
      </c>
      <c r="Q92" s="53">
        <f t="shared" ca="1" si="11"/>
        <v>0</v>
      </c>
      <c r="R92" s="53">
        <f t="shared" ca="1" si="11"/>
        <v>0</v>
      </c>
      <c r="S92" s="53">
        <f t="shared" ca="1" si="11"/>
        <v>0</v>
      </c>
      <c r="T92" s="53">
        <f t="shared" ca="1" si="11"/>
        <v>0</v>
      </c>
      <c r="U92" s="53">
        <f t="shared" ca="1" si="11"/>
        <v>0</v>
      </c>
      <c r="V92" s="53">
        <f t="shared" ca="1" si="11"/>
        <v>0</v>
      </c>
      <c r="W92" s="53">
        <f t="shared" ca="1" si="11"/>
        <v>0</v>
      </c>
      <c r="X92" s="53">
        <f t="shared" ca="1" si="11"/>
        <v>0</v>
      </c>
      <c r="Y92" s="53">
        <f t="shared" ca="1" si="11"/>
        <v>0</v>
      </c>
      <c r="Z92" s="53">
        <f t="shared" ca="1" si="11"/>
        <v>0</v>
      </c>
      <c r="AA92" s="53">
        <f t="shared" ca="1" si="11"/>
        <v>0</v>
      </c>
      <c r="AB92" s="53">
        <f t="shared" ca="1" si="11"/>
        <v>0</v>
      </c>
      <c r="AC92" s="53">
        <f t="shared" ca="1" si="11"/>
        <v>0</v>
      </c>
      <c r="AD92" s="53">
        <f t="shared" ca="1" si="11"/>
        <v>0</v>
      </c>
      <c r="AE92" s="53">
        <f t="shared" ca="1" si="11"/>
        <v>0</v>
      </c>
      <c r="AF92" s="53">
        <f t="shared" ca="1" si="11"/>
        <v>0</v>
      </c>
      <c r="AG92" s="53">
        <f t="shared" ca="1" si="11"/>
        <v>0</v>
      </c>
      <c r="AH92" s="53">
        <f t="shared" ca="1" si="11"/>
        <v>0</v>
      </c>
      <c r="AI92" s="53">
        <f t="shared" ca="1" si="11"/>
        <v>0</v>
      </c>
      <c r="AJ92" s="53">
        <f t="shared" ca="1" si="11"/>
        <v>0</v>
      </c>
      <c r="AK92" s="53">
        <f t="shared" ca="1" si="11"/>
        <v>0</v>
      </c>
      <c r="AL92" s="53">
        <f t="shared" ca="1" si="11"/>
        <v>0</v>
      </c>
      <c r="AM92" s="53">
        <f t="shared" ca="1" si="11"/>
        <v>0</v>
      </c>
      <c r="AN92" s="1079"/>
    </row>
    <row r="93" spans="3:42">
      <c r="C93" s="5"/>
      <c r="E93" s="15"/>
      <c r="J93" s="53"/>
      <c r="K93" s="53"/>
      <c r="L93" s="53"/>
      <c r="M93" s="53"/>
      <c r="N93" s="53"/>
      <c r="O93" s="53"/>
      <c r="P93" s="53"/>
      <c r="Q93" s="53"/>
      <c r="R93" s="53"/>
      <c r="S93" s="53"/>
      <c r="T93" s="53"/>
      <c r="U93" s="53"/>
      <c r="V93" s="53"/>
      <c r="W93" s="53"/>
      <c r="X93" s="53"/>
      <c r="Y93" s="53"/>
      <c r="Z93" s="53"/>
      <c r="AA93" s="53"/>
      <c r="AB93" s="53"/>
      <c r="AC93" s="53"/>
      <c r="AD93" s="53"/>
      <c r="AE93" s="53"/>
      <c r="AF93" s="53"/>
      <c r="AG93" s="53"/>
      <c r="AH93" s="53"/>
      <c r="AI93" s="53"/>
      <c r="AJ93" s="53"/>
      <c r="AK93" s="53"/>
      <c r="AL93" s="53"/>
      <c r="AM93" s="53"/>
      <c r="AN93" s="1079"/>
    </row>
    <row r="94" spans="3:42">
      <c r="C94" s="5" t="s">
        <v>1812</v>
      </c>
      <c r="E94" s="15"/>
      <c r="J94" s="53">
        <f>J66*J87</f>
        <v>0</v>
      </c>
      <c r="K94" s="53">
        <f t="shared" ref="K94:AM94" si="12">K66*K87</f>
        <v>0</v>
      </c>
      <c r="L94" s="53">
        <f t="shared" ca="1" si="12"/>
        <v>468122502.66835201</v>
      </c>
      <c r="M94" s="53">
        <f t="shared" ca="1" si="12"/>
        <v>563763530.90582466</v>
      </c>
      <c r="N94" s="53">
        <f t="shared" ca="1" si="12"/>
        <v>580676436.83299935</v>
      </c>
      <c r="O94" s="53">
        <f t="shared" ca="1" si="12"/>
        <v>598096729.93798935</v>
      </c>
      <c r="P94" s="53">
        <f t="shared" ca="1" si="12"/>
        <v>616039631.83612907</v>
      </c>
      <c r="Q94" s="53">
        <f t="shared" ca="1" si="12"/>
        <v>634520820.79121304</v>
      </c>
      <c r="R94" s="53">
        <f t="shared" ca="1" si="12"/>
        <v>653556445.41494942</v>
      </c>
      <c r="S94" s="53">
        <f t="shared" ca="1" si="12"/>
        <v>673163138.77739775</v>
      </c>
      <c r="T94" s="53">
        <f t="shared" ca="1" si="12"/>
        <v>693358032.94071972</v>
      </c>
      <c r="U94" s="53">
        <f t="shared" ca="1" si="12"/>
        <v>714158773.92894137</v>
      </c>
      <c r="V94" s="53">
        <f t="shared" ca="1" si="12"/>
        <v>735583537.1468097</v>
      </c>
      <c r="W94" s="53">
        <f t="shared" ca="1" si="12"/>
        <v>757651043.26121402</v>
      </c>
      <c r="X94" s="53">
        <f t="shared" ca="1" si="12"/>
        <v>780380574.55905044</v>
      </c>
      <c r="Y94" s="53">
        <f t="shared" ca="1" si="12"/>
        <v>803791991.79582202</v>
      </c>
      <c r="Z94" s="53">
        <f t="shared" ca="1" si="12"/>
        <v>827905751.54969668</v>
      </c>
      <c r="AA94" s="53">
        <f t="shared" ca="1" si="12"/>
        <v>852742924.09618759</v>
      </c>
      <c r="AB94" s="53">
        <f t="shared" ca="1" si="12"/>
        <v>878325211.81907332</v>
      </c>
      <c r="AC94" s="53">
        <f t="shared" ca="1" si="12"/>
        <v>904674968.17364562</v>
      </c>
      <c r="AD94" s="53">
        <f t="shared" ca="1" si="12"/>
        <v>931815217.21885502</v>
      </c>
      <c r="AE94" s="53">
        <f t="shared" ca="1" si="12"/>
        <v>959769673.73542082</v>
      </c>
      <c r="AF94" s="53">
        <f t="shared" ca="1" si="12"/>
        <v>988562763.94748342</v>
      </c>
      <c r="AG94" s="53">
        <f t="shared" ca="1" si="12"/>
        <v>1018219646.865908</v>
      </c>
      <c r="AH94" s="53">
        <f t="shared" ca="1" si="12"/>
        <v>1048766236.2718852</v>
      </c>
      <c r="AI94" s="53">
        <f t="shared" ca="1" si="12"/>
        <v>1080229223.3600419</v>
      </c>
      <c r="AJ94" s="53">
        <f t="shared" ca="1" si="12"/>
        <v>1112636100.0608432</v>
      </c>
      <c r="AK94" s="53">
        <f t="shared" ca="1" si="12"/>
        <v>1146015183.0626683</v>
      </c>
      <c r="AL94" s="53">
        <f t="shared" ca="1" si="12"/>
        <v>1180395638.5545483</v>
      </c>
      <c r="AM94" s="53">
        <f t="shared" ca="1" si="12"/>
        <v>1215807507.711185</v>
      </c>
      <c r="AN94" s="1079"/>
    </row>
    <row r="95" spans="3:42" s="2240" customFormat="1" ht="11.25" thickBot="1">
      <c r="C95" s="2241" t="s">
        <v>655</v>
      </c>
      <c r="E95" s="2242"/>
      <c r="J95" s="1047">
        <f>SUM(J90:J94)</f>
        <v>0</v>
      </c>
      <c r="K95" s="1047">
        <f>SUM(K90:K94)</f>
        <v>0</v>
      </c>
      <c r="L95" s="1048">
        <f ca="1">SUM(L90:L94)</f>
        <v>879459277.27941239</v>
      </c>
      <c r="M95" s="1048">
        <f t="shared" ref="M95:AM95" ca="1" si="13">SUM(M90:M94)</f>
        <v>1294713158.4280279</v>
      </c>
      <c r="N95" s="1048">
        <f t="shared" ca="1" si="13"/>
        <v>1446005464.2734065</v>
      </c>
      <c r="O95" s="1048">
        <f t="shared" ca="1" si="13"/>
        <v>1548577872.0374217</v>
      </c>
      <c r="P95" s="1048">
        <f t="shared" ca="1" si="13"/>
        <v>1648746798.7207518</v>
      </c>
      <c r="Q95" s="1048">
        <f t="shared" ca="1" si="13"/>
        <v>1734126446.1859677</v>
      </c>
      <c r="R95" s="1048">
        <f t="shared" ca="1" si="13"/>
        <v>1824394191.266361</v>
      </c>
      <c r="S95" s="1048">
        <f t="shared" ca="1" si="13"/>
        <v>1919847400.3446121</v>
      </c>
      <c r="T95" s="1048">
        <f t="shared" ca="1" si="13"/>
        <v>2020802124.6147456</v>
      </c>
      <c r="U95" s="1048">
        <f t="shared" ca="1" si="13"/>
        <v>2127594293.1237712</v>
      </c>
      <c r="V95" s="1048">
        <f t="shared" ca="1" si="13"/>
        <v>2240580982.5775657</v>
      </c>
      <c r="W95" s="1048">
        <f t="shared" ca="1" si="13"/>
        <v>2360141768.8681231</v>
      </c>
      <c r="X95" s="1048">
        <f t="shared" ca="1" si="13"/>
        <v>2486680165.5999904</v>
      </c>
      <c r="Y95" s="1048">
        <f t="shared" ca="1" si="13"/>
        <v>1750869673.3214381</v>
      </c>
      <c r="Z95" s="1048">
        <f t="shared" ca="1" si="13"/>
        <v>1803395763.5210812</v>
      </c>
      <c r="AA95" s="1048">
        <f t="shared" ca="1" si="13"/>
        <v>1857497636.4267137</v>
      </c>
      <c r="AB95" s="1048">
        <f t="shared" ca="1" si="13"/>
        <v>1913222565.5195153</v>
      </c>
      <c r="AC95" s="1048">
        <f t="shared" ca="1" si="13"/>
        <v>1970619242.485101</v>
      </c>
      <c r="AD95" s="1048">
        <f t="shared" ca="1" si="13"/>
        <v>2029737819.759654</v>
      </c>
      <c r="AE95" s="1048">
        <f t="shared" ca="1" si="13"/>
        <v>2090629954.3524437</v>
      </c>
      <c r="AF95" s="1048">
        <f t="shared" ca="1" si="13"/>
        <v>2153348852.983017</v>
      </c>
      <c r="AG95" s="1048">
        <f t="shared" ca="1" si="13"/>
        <v>2217949318.5725079</v>
      </c>
      <c r="AH95" s="1048">
        <f t="shared" ca="1" si="13"/>
        <v>2284487798.129683</v>
      </c>
      <c r="AI95" s="1048">
        <f t="shared" ca="1" si="13"/>
        <v>2353022432.0735736</v>
      </c>
      <c r="AJ95" s="1048">
        <f t="shared" ca="1" si="13"/>
        <v>2423613105.0357809</v>
      </c>
      <c r="AK95" s="1048">
        <f t="shared" ca="1" si="13"/>
        <v>2496321498.1868544</v>
      </c>
      <c r="AL95" s="1048">
        <f t="shared" ca="1" si="13"/>
        <v>2571211143.1324596</v>
      </c>
      <c r="AM95" s="1048">
        <f t="shared" ca="1" si="13"/>
        <v>2648347477.4264336</v>
      </c>
      <c r="AN95" s="1078"/>
      <c r="AO95" s="486"/>
      <c r="AP95" s="486"/>
    </row>
    <row r="96" spans="3:42">
      <c r="C96" s="5"/>
      <c r="E96" s="15"/>
      <c r="J96" s="52"/>
      <c r="K96" s="52"/>
      <c r="L96" s="52"/>
      <c r="M96" s="52"/>
      <c r="N96" s="52"/>
      <c r="O96" s="52"/>
      <c r="P96" s="52"/>
      <c r="Q96" s="52"/>
      <c r="R96" s="52"/>
      <c r="S96" s="52"/>
      <c r="T96" s="52"/>
      <c r="U96" s="52"/>
      <c r="V96" s="52"/>
      <c r="W96" s="52"/>
      <c r="X96" s="52"/>
      <c r="Y96" s="52"/>
      <c r="Z96" s="52"/>
      <c r="AA96" s="52"/>
      <c r="AB96" s="52"/>
      <c r="AC96" s="52"/>
      <c r="AD96" s="52"/>
      <c r="AE96" s="52"/>
      <c r="AF96" s="52"/>
      <c r="AG96" s="52"/>
      <c r="AH96" s="52"/>
      <c r="AI96" s="52"/>
      <c r="AJ96" s="52"/>
    </row>
    <row r="97" spans="3:41">
      <c r="C97" s="588" t="s">
        <v>982</v>
      </c>
      <c r="E97" s="15"/>
      <c r="J97" s="52"/>
      <c r="K97" s="52"/>
      <c r="L97" s="52"/>
      <c r="M97" s="52"/>
      <c r="N97" s="52"/>
      <c r="O97" s="52"/>
      <c r="P97" s="52"/>
      <c r="Q97" s="52"/>
      <c r="R97" s="52"/>
      <c r="S97" s="52"/>
      <c r="T97" s="52"/>
      <c r="U97" s="52"/>
      <c r="V97" s="52"/>
      <c r="W97" s="52"/>
      <c r="X97" s="52"/>
      <c r="Y97" s="52"/>
      <c r="Z97" s="52"/>
      <c r="AA97" s="52"/>
      <c r="AB97" s="52"/>
      <c r="AC97" s="52"/>
      <c r="AD97" s="52"/>
      <c r="AE97" s="52"/>
      <c r="AF97" s="52"/>
      <c r="AG97" s="52"/>
      <c r="AH97" s="52"/>
      <c r="AI97" s="52"/>
      <c r="AJ97" s="52"/>
    </row>
    <row r="98" spans="3:41">
      <c r="C98" s="2239" t="s">
        <v>1800</v>
      </c>
      <c r="E98" s="15"/>
      <c r="J98" s="53">
        <f>'Assumption '!M484*J27</f>
        <v>0</v>
      </c>
      <c r="K98" s="53">
        <f>'Assumption '!N484*K27</f>
        <v>0</v>
      </c>
      <c r="L98" s="53">
        <f ca="1">'Assumption '!O484*L27</f>
        <v>365625.00000000006</v>
      </c>
      <c r="M98" s="53">
        <f ca="1">'Assumption '!P484*M27</f>
        <v>427500.00000000006</v>
      </c>
      <c r="N98" s="53">
        <f ca="1">'Assumption '!Q484*N27</f>
        <v>427500.00000000006</v>
      </c>
      <c r="O98" s="53">
        <f ca="1">'Assumption '!R484*O27</f>
        <v>427500.00000000006</v>
      </c>
      <c r="P98" s="53">
        <f ca="1">'Assumption '!S484*P27</f>
        <v>427500.00000000006</v>
      </c>
      <c r="Q98" s="53">
        <f ca="1">'Assumption '!T484*Q27</f>
        <v>427500.00000000006</v>
      </c>
      <c r="R98" s="53">
        <f ca="1">'Assumption '!U484*R27</f>
        <v>427500.00000000006</v>
      </c>
      <c r="S98" s="53">
        <f ca="1">'Assumption '!V484*S27</f>
        <v>427500.00000000006</v>
      </c>
      <c r="T98" s="53">
        <f ca="1">'Assumption '!W484*T27</f>
        <v>427500.00000000006</v>
      </c>
      <c r="U98" s="53">
        <f ca="1">'Assumption '!X484*U27</f>
        <v>427500.00000000006</v>
      </c>
      <c r="V98" s="53">
        <f ca="1">'Assumption '!Y484*V27</f>
        <v>427500.00000000006</v>
      </c>
      <c r="W98" s="53">
        <f ca="1">'Assumption '!Z484*W27</f>
        <v>427500.00000000006</v>
      </c>
      <c r="X98" s="53">
        <f ca="1">'Assumption '!AA484*X27</f>
        <v>427500.00000000006</v>
      </c>
      <c r="Y98" s="53">
        <f ca="1">'Assumption '!AB484*Y27</f>
        <v>427500.00000000006</v>
      </c>
      <c r="Z98" s="53">
        <f ca="1">'Assumption '!AC484*Z27</f>
        <v>427500.00000000006</v>
      </c>
      <c r="AA98" s="53">
        <f ca="1">'Assumption '!AD484*AA27</f>
        <v>427500.00000000006</v>
      </c>
      <c r="AB98" s="53">
        <f ca="1">'Assumption '!AE484*AB27</f>
        <v>427500.00000000006</v>
      </c>
      <c r="AC98" s="53">
        <f ca="1">'Assumption '!AF484*AC27</f>
        <v>427500.00000000006</v>
      </c>
      <c r="AD98" s="53">
        <f ca="1">'Assumption '!AG484*AD27</f>
        <v>427500.00000000006</v>
      </c>
      <c r="AE98" s="53">
        <f ca="1">'Assumption '!AH484*AE27</f>
        <v>427500.00000000006</v>
      </c>
      <c r="AF98" s="53">
        <f ca="1">'Assumption '!AI484*AF27</f>
        <v>427500.00000000006</v>
      </c>
      <c r="AG98" s="53">
        <f ca="1">'Assumption '!AJ484*AG27</f>
        <v>427500.00000000006</v>
      </c>
      <c r="AH98" s="53">
        <f ca="1">'Assumption '!AK484*AH27</f>
        <v>427500.00000000006</v>
      </c>
      <c r="AI98" s="53">
        <f ca="1">'Assumption '!AL484*AI27</f>
        <v>427500.00000000006</v>
      </c>
      <c r="AJ98" s="53">
        <f ca="1">'Assumption '!AM484*AJ27</f>
        <v>427500.00000000006</v>
      </c>
      <c r="AK98" s="53">
        <f ca="1">'Assumption '!AN484*AK27</f>
        <v>427500.00000000006</v>
      </c>
      <c r="AL98" s="53">
        <f ca="1">'Assumption '!AO484*AL27</f>
        <v>427500.00000000006</v>
      </c>
      <c r="AM98" s="53">
        <f ca="1">'Assumption '!AP484*AM27</f>
        <v>427500.00000000006</v>
      </c>
      <c r="AN98" s="1080"/>
      <c r="AO98" s="2">
        <f>'Assumption '!BC484*AO24</f>
        <v>0</v>
      </c>
    </row>
    <row r="99" spans="3:41">
      <c r="C99" s="2239" t="s">
        <v>1801</v>
      </c>
      <c r="E99" s="15"/>
      <c r="J99" s="53">
        <f>'Assumption '!M485*J28</f>
        <v>0</v>
      </c>
      <c r="K99" s="53">
        <f>'Assumption '!N485*K28</f>
        <v>0</v>
      </c>
      <c r="L99" s="53">
        <f>'Assumption '!O485*L28</f>
        <v>0</v>
      </c>
      <c r="M99" s="53">
        <f ca="1">'Assumption '!P485*M28</f>
        <v>243750.00000000003</v>
      </c>
      <c r="N99" s="53">
        <f ca="1">'Assumption '!Q485*N28</f>
        <v>285000.00000000006</v>
      </c>
      <c r="O99" s="53">
        <f ca="1">'Assumption '!R485*O28</f>
        <v>285000.00000000006</v>
      </c>
      <c r="P99" s="53">
        <f ca="1">'Assumption '!S485*P28</f>
        <v>285000.00000000006</v>
      </c>
      <c r="Q99" s="53">
        <f ca="1">'Assumption '!T485*Q28</f>
        <v>285000.00000000006</v>
      </c>
      <c r="R99" s="53">
        <f ca="1">'Assumption '!U485*R28</f>
        <v>285000.00000000006</v>
      </c>
      <c r="S99" s="53">
        <f ca="1">'Assumption '!V485*S28</f>
        <v>285000.00000000006</v>
      </c>
      <c r="T99" s="53">
        <f ca="1">'Assumption '!W485*T28</f>
        <v>285000.00000000006</v>
      </c>
      <c r="U99" s="53">
        <f ca="1">'Assumption '!X485*U28</f>
        <v>285000.00000000006</v>
      </c>
      <c r="V99" s="53">
        <f ca="1">'Assumption '!Y485*V28</f>
        <v>285000.00000000006</v>
      </c>
      <c r="W99" s="53">
        <f ca="1">'Assumption '!Z485*W28</f>
        <v>285000.00000000006</v>
      </c>
      <c r="X99" s="53">
        <f ca="1">'Assumption '!AA485*X28</f>
        <v>285000.00000000006</v>
      </c>
      <c r="Y99" s="53">
        <f ca="1">'Assumption '!AB485*Y28</f>
        <v>285000.00000000006</v>
      </c>
      <c r="Z99" s="53">
        <f ca="1">'Assumption '!AC485*Z28</f>
        <v>285000.00000000006</v>
      </c>
      <c r="AA99" s="53">
        <f ca="1">'Assumption '!AD485*AA28</f>
        <v>285000.00000000006</v>
      </c>
      <c r="AB99" s="53">
        <f ca="1">'Assumption '!AE485*AB28</f>
        <v>285000.00000000006</v>
      </c>
      <c r="AC99" s="53">
        <f ca="1">'Assumption '!AF485*AC28</f>
        <v>285000.00000000006</v>
      </c>
      <c r="AD99" s="53">
        <f ca="1">'Assumption '!AG485*AD28</f>
        <v>285000.00000000006</v>
      </c>
      <c r="AE99" s="53">
        <f ca="1">'Assumption '!AH485*AE28</f>
        <v>285000.00000000006</v>
      </c>
      <c r="AF99" s="53">
        <f ca="1">'Assumption '!AI485*AF28</f>
        <v>285000.00000000006</v>
      </c>
      <c r="AG99" s="53">
        <f ca="1">'Assumption '!AJ485*AG28</f>
        <v>285000.00000000006</v>
      </c>
      <c r="AH99" s="53">
        <f ca="1">'Assumption '!AK485*AH28</f>
        <v>285000.00000000006</v>
      </c>
      <c r="AI99" s="53">
        <f ca="1">'Assumption '!AL485*AI28</f>
        <v>285000.00000000006</v>
      </c>
      <c r="AJ99" s="53">
        <f ca="1">'Assumption '!AM485*AJ28</f>
        <v>285000.00000000006</v>
      </c>
      <c r="AK99" s="53">
        <f ca="1">'Assumption '!AN485*AK28</f>
        <v>285000.00000000006</v>
      </c>
      <c r="AL99" s="53">
        <f ca="1">'Assumption '!AO485*AL28</f>
        <v>285000.00000000006</v>
      </c>
      <c r="AM99" s="53">
        <f ca="1">'Assumption '!AP485*AM28</f>
        <v>285000.00000000006</v>
      </c>
      <c r="AN99" s="1080"/>
    </row>
    <row r="100" spans="3:41">
      <c r="C100" s="2239" t="s">
        <v>1802</v>
      </c>
      <c r="E100" s="15"/>
      <c r="J100" s="53">
        <f>'Assumption '!M486*J29</f>
        <v>0</v>
      </c>
      <c r="K100" s="53">
        <f>'Assumption '!N486*K29</f>
        <v>0</v>
      </c>
      <c r="L100" s="53">
        <f>'Assumption '!O486*L29</f>
        <v>0</v>
      </c>
      <c r="M100" s="53">
        <f ca="1">'Assumption '!P486*M29</f>
        <v>0</v>
      </c>
      <c r="N100" s="53">
        <f ca="1">'Assumption '!Q486*N29</f>
        <v>0</v>
      </c>
      <c r="O100" s="53">
        <f ca="1">'Assumption '!R486*O29</f>
        <v>0</v>
      </c>
      <c r="P100" s="53">
        <f ca="1">'Assumption '!S486*P29</f>
        <v>0</v>
      </c>
      <c r="Q100" s="53">
        <f ca="1">'Assumption '!T486*Q29</f>
        <v>0</v>
      </c>
      <c r="R100" s="53">
        <f ca="1">'Assumption '!U486*R29</f>
        <v>0</v>
      </c>
      <c r="S100" s="53">
        <f ca="1">'Assumption '!V486*S29</f>
        <v>0</v>
      </c>
      <c r="T100" s="53">
        <f ca="1">'Assumption '!W486*T29</f>
        <v>0</v>
      </c>
      <c r="U100" s="53">
        <f ca="1">'Assumption '!X486*U29</f>
        <v>0</v>
      </c>
      <c r="V100" s="53">
        <f ca="1">'Assumption '!Y486*V29</f>
        <v>0</v>
      </c>
      <c r="W100" s="53">
        <f ca="1">'Assumption '!Z486*W29</f>
        <v>0</v>
      </c>
      <c r="X100" s="53">
        <f ca="1">'Assumption '!AA486*X29</f>
        <v>0</v>
      </c>
      <c r="Y100" s="53">
        <f ca="1">'Assumption '!AB486*Y29</f>
        <v>0</v>
      </c>
      <c r="Z100" s="53">
        <f ca="1">'Assumption '!AC486*Z29</f>
        <v>0</v>
      </c>
      <c r="AA100" s="53">
        <f ca="1">'Assumption '!AD486*AA29</f>
        <v>0</v>
      </c>
      <c r="AB100" s="53">
        <f ca="1">'Assumption '!AE486*AB29</f>
        <v>0</v>
      </c>
      <c r="AC100" s="53">
        <f ca="1">'Assumption '!AF486*AC29</f>
        <v>0</v>
      </c>
      <c r="AD100" s="53">
        <f ca="1">'Assumption '!AG486*AD29</f>
        <v>0</v>
      </c>
      <c r="AE100" s="53">
        <f ca="1">'Assumption '!AH486*AE29</f>
        <v>0</v>
      </c>
      <c r="AF100" s="53">
        <f ca="1">'Assumption '!AI486*AF29</f>
        <v>0</v>
      </c>
      <c r="AG100" s="53">
        <f ca="1">'Assumption '!AJ486*AG29</f>
        <v>0</v>
      </c>
      <c r="AH100" s="53">
        <f ca="1">'Assumption '!AK486*AH29</f>
        <v>0</v>
      </c>
      <c r="AI100" s="53">
        <f ca="1">'Assumption '!AL486*AI29</f>
        <v>0</v>
      </c>
      <c r="AJ100" s="53">
        <f ca="1">'Assumption '!AM486*AJ29</f>
        <v>0</v>
      </c>
      <c r="AK100" s="53">
        <f ca="1">'Assumption '!AN486*AK29</f>
        <v>0</v>
      </c>
      <c r="AL100" s="53">
        <f ca="1">'Assumption '!AO486*AL29</f>
        <v>0</v>
      </c>
      <c r="AM100" s="53">
        <f ca="1">'Assumption '!AP486*AM29</f>
        <v>0</v>
      </c>
      <c r="AN100" s="1080"/>
    </row>
    <row r="101" spans="3:41">
      <c r="C101" s="2239"/>
      <c r="E101" s="15"/>
      <c r="J101" s="53"/>
      <c r="K101" s="53"/>
      <c r="L101" s="53"/>
      <c r="M101" s="53"/>
      <c r="N101" s="53"/>
      <c r="O101" s="53"/>
      <c r="P101" s="53"/>
      <c r="Q101" s="53"/>
      <c r="R101" s="53"/>
      <c r="S101" s="53"/>
      <c r="T101" s="53"/>
      <c r="U101" s="53"/>
      <c r="V101" s="53"/>
      <c r="W101" s="53"/>
      <c r="X101" s="53"/>
      <c r="Y101" s="53"/>
      <c r="Z101" s="53"/>
      <c r="AA101" s="53"/>
      <c r="AB101" s="53"/>
      <c r="AC101" s="53"/>
      <c r="AD101" s="53"/>
      <c r="AE101" s="53"/>
      <c r="AF101" s="53"/>
      <c r="AG101" s="53"/>
      <c r="AH101" s="53"/>
      <c r="AI101" s="53"/>
      <c r="AJ101" s="53"/>
      <c r="AK101" s="53"/>
      <c r="AL101" s="53"/>
      <c r="AM101" s="53"/>
      <c r="AN101" s="1080"/>
    </row>
    <row r="102" spans="3:41">
      <c r="C102" s="2239" t="s">
        <v>863</v>
      </c>
      <c r="E102" s="15"/>
      <c r="J102" s="53">
        <f>'Assumption '!M488*J30</f>
        <v>0</v>
      </c>
      <c r="K102" s="53">
        <f>'Assumption '!N488*K30</f>
        <v>0</v>
      </c>
      <c r="L102" s="53">
        <f ca="1">'Assumption '!O488*L30</f>
        <v>0</v>
      </c>
      <c r="M102" s="53">
        <f ca="1">'Assumption '!P488*M30</f>
        <v>0</v>
      </c>
      <c r="N102" s="53">
        <f ca="1">'Assumption '!Q488*N30</f>
        <v>0</v>
      </c>
      <c r="O102" s="53">
        <f ca="1">'Assumption '!R488*O30</f>
        <v>0</v>
      </c>
      <c r="P102" s="53">
        <f ca="1">'Assumption '!S488*P30</f>
        <v>0</v>
      </c>
      <c r="Q102" s="53">
        <f ca="1">'Assumption '!T488*Q30</f>
        <v>0</v>
      </c>
      <c r="R102" s="53">
        <f ca="1">'Assumption '!U488*R30</f>
        <v>0</v>
      </c>
      <c r="S102" s="53">
        <f ca="1">'Assumption '!V488*S30</f>
        <v>0</v>
      </c>
      <c r="T102" s="53">
        <f ca="1">'Assumption '!W488*T30</f>
        <v>0</v>
      </c>
      <c r="U102" s="53">
        <f ca="1">'Assumption '!X488*U30</f>
        <v>0</v>
      </c>
      <c r="V102" s="53">
        <f ca="1">'Assumption '!Y488*V30</f>
        <v>0</v>
      </c>
      <c r="W102" s="53">
        <f ca="1">'Assumption '!Z488*W30</f>
        <v>0</v>
      </c>
      <c r="X102" s="53">
        <f ca="1">'Assumption '!AA488*X30</f>
        <v>0</v>
      </c>
      <c r="Y102" s="53">
        <f ca="1">'Assumption '!AB488*Y30</f>
        <v>0</v>
      </c>
      <c r="Z102" s="53">
        <f ca="1">'Assumption '!AC488*Z30</f>
        <v>0</v>
      </c>
      <c r="AA102" s="53">
        <f ca="1">'Assumption '!AD488*AA30</f>
        <v>0</v>
      </c>
      <c r="AB102" s="53">
        <f ca="1">'Assumption '!AE488*AB30</f>
        <v>0</v>
      </c>
      <c r="AC102" s="53">
        <f ca="1">'Assumption '!AF488*AC30</f>
        <v>0</v>
      </c>
      <c r="AD102" s="53">
        <f ca="1">'Assumption '!AG488*AD30</f>
        <v>0</v>
      </c>
      <c r="AE102" s="53">
        <f ca="1">'Assumption '!AH488*AE30</f>
        <v>0</v>
      </c>
      <c r="AF102" s="53">
        <f ca="1">'Assumption '!AI488*AF30</f>
        <v>0</v>
      </c>
      <c r="AG102" s="53">
        <f ca="1">'Assumption '!AJ488*AG30</f>
        <v>0</v>
      </c>
      <c r="AH102" s="53">
        <f ca="1">'Assumption '!AK488*AH30</f>
        <v>0</v>
      </c>
      <c r="AI102" s="53">
        <f ca="1">'Assumption '!AL488*AI30</f>
        <v>0</v>
      </c>
      <c r="AJ102" s="53">
        <f ca="1">'Assumption '!AM488*AJ30</f>
        <v>0</v>
      </c>
      <c r="AK102" s="53">
        <f ca="1">'Assumption '!AN488*AK30</f>
        <v>0</v>
      </c>
      <c r="AL102" s="53">
        <f ca="1">'Assumption '!AO488*AL30</f>
        <v>0</v>
      </c>
      <c r="AM102" s="53">
        <f ca="1">'Assumption '!AP488*AM30</f>
        <v>0</v>
      </c>
      <c r="AN102" s="1080"/>
      <c r="AO102" s="2">
        <f>'Assumption '!BC488*AO24</f>
        <v>0</v>
      </c>
    </row>
    <row r="103" spans="3:41" s="486" customFormat="1" ht="11.25" thickBot="1">
      <c r="C103" s="1039" t="s">
        <v>655</v>
      </c>
      <c r="E103" s="1040"/>
      <c r="J103" s="589">
        <f t="shared" ref="J103:AJ103" si="14">SUM(J98:J102)</f>
        <v>0</v>
      </c>
      <c r="K103" s="589">
        <f t="shared" si="14"/>
        <v>0</v>
      </c>
      <c r="L103" s="997">
        <f t="shared" ca="1" si="14"/>
        <v>365625.00000000006</v>
      </c>
      <c r="M103" s="589">
        <f t="shared" ca="1" si="14"/>
        <v>671250.00000000012</v>
      </c>
      <c r="N103" s="589">
        <f t="shared" ca="1" si="14"/>
        <v>712500.00000000012</v>
      </c>
      <c r="O103" s="589">
        <f t="shared" ca="1" si="14"/>
        <v>712500.00000000012</v>
      </c>
      <c r="P103" s="589">
        <f t="shared" ca="1" si="14"/>
        <v>712500.00000000012</v>
      </c>
      <c r="Q103" s="589">
        <f t="shared" ca="1" si="14"/>
        <v>712500.00000000012</v>
      </c>
      <c r="R103" s="589">
        <f t="shared" ca="1" si="14"/>
        <v>712500.00000000012</v>
      </c>
      <c r="S103" s="589">
        <f t="shared" ca="1" si="14"/>
        <v>712500.00000000012</v>
      </c>
      <c r="T103" s="589">
        <f t="shared" ca="1" si="14"/>
        <v>712500.00000000012</v>
      </c>
      <c r="U103" s="589">
        <f t="shared" ca="1" si="14"/>
        <v>712500.00000000012</v>
      </c>
      <c r="V103" s="589">
        <f t="shared" ca="1" si="14"/>
        <v>712500.00000000012</v>
      </c>
      <c r="W103" s="589">
        <f t="shared" ca="1" si="14"/>
        <v>712500.00000000012</v>
      </c>
      <c r="X103" s="589">
        <f t="shared" ca="1" si="14"/>
        <v>712500.00000000012</v>
      </c>
      <c r="Y103" s="589">
        <f t="shared" ca="1" si="14"/>
        <v>712500.00000000012</v>
      </c>
      <c r="Z103" s="589">
        <f t="shared" ca="1" si="14"/>
        <v>712500.00000000012</v>
      </c>
      <c r="AA103" s="589">
        <f t="shared" ca="1" si="14"/>
        <v>712500.00000000012</v>
      </c>
      <c r="AB103" s="589">
        <f t="shared" ca="1" si="14"/>
        <v>712500.00000000012</v>
      </c>
      <c r="AC103" s="589">
        <f t="shared" ca="1" si="14"/>
        <v>712500.00000000012</v>
      </c>
      <c r="AD103" s="589">
        <f t="shared" ca="1" si="14"/>
        <v>712500.00000000012</v>
      </c>
      <c r="AE103" s="589">
        <f t="shared" ca="1" si="14"/>
        <v>712500.00000000012</v>
      </c>
      <c r="AF103" s="589">
        <f t="shared" ca="1" si="14"/>
        <v>712500.00000000012</v>
      </c>
      <c r="AG103" s="589">
        <f t="shared" ca="1" si="14"/>
        <v>712500.00000000012</v>
      </c>
      <c r="AH103" s="589">
        <f t="shared" ca="1" si="14"/>
        <v>712500.00000000012</v>
      </c>
      <c r="AI103" s="589">
        <f t="shared" ca="1" si="14"/>
        <v>712500.00000000012</v>
      </c>
      <c r="AJ103" s="589">
        <f t="shared" ca="1" si="14"/>
        <v>712500.00000000012</v>
      </c>
      <c r="AK103" s="589">
        <f ca="1">SUM(AK98:AK102)</f>
        <v>712500.00000000012</v>
      </c>
      <c r="AL103" s="589">
        <f ca="1">SUM(AL98:AL102)</f>
        <v>712500.00000000012</v>
      </c>
      <c r="AM103" s="589">
        <f ca="1">SUM(AM98:AM102)</f>
        <v>712500.00000000012</v>
      </c>
      <c r="AN103" s="1078"/>
      <c r="AO103" s="486">
        <f>SUM(AO98:AO102)</f>
        <v>0</v>
      </c>
    </row>
    <row r="104" spans="3:41">
      <c r="C104" s="5"/>
      <c r="E104" s="15"/>
      <c r="J104" s="52"/>
      <c r="K104" s="52"/>
      <c r="L104" s="52"/>
      <c r="M104" s="52"/>
      <c r="N104" s="52"/>
      <c r="O104" s="52"/>
      <c r="P104" s="52"/>
      <c r="Q104" s="52"/>
      <c r="R104" s="52"/>
      <c r="S104" s="52"/>
      <c r="T104" s="52"/>
      <c r="U104" s="52"/>
      <c r="V104" s="52"/>
      <c r="W104" s="52"/>
      <c r="X104" s="52"/>
      <c r="Y104" s="52"/>
      <c r="Z104" s="52"/>
      <c r="AA104" s="52"/>
      <c r="AB104" s="52"/>
      <c r="AC104" s="52"/>
      <c r="AD104" s="52"/>
      <c r="AE104" s="52"/>
      <c r="AF104" s="52"/>
      <c r="AG104" s="52"/>
      <c r="AH104" s="52"/>
      <c r="AI104" s="52"/>
      <c r="AJ104" s="52"/>
    </row>
    <row r="105" spans="3:41">
      <c r="C105" s="588" t="s">
        <v>1113</v>
      </c>
      <c r="E105" s="15"/>
      <c r="J105" s="52"/>
      <c r="K105" s="52"/>
      <c r="L105" s="52"/>
      <c r="M105" s="52"/>
      <c r="N105" s="52"/>
      <c r="O105" s="52"/>
      <c r="P105" s="52"/>
      <c r="Q105" s="52"/>
      <c r="R105" s="52"/>
      <c r="S105" s="52"/>
      <c r="T105" s="52"/>
      <c r="U105" s="52"/>
      <c r="V105" s="52"/>
      <c r="W105" s="52"/>
      <c r="X105" s="52"/>
      <c r="Y105" s="52"/>
      <c r="Z105" s="52"/>
      <c r="AA105" s="52"/>
      <c r="AB105" s="52"/>
      <c r="AC105" s="52"/>
      <c r="AD105" s="52"/>
      <c r="AE105" s="52"/>
      <c r="AF105" s="52"/>
      <c r="AG105" s="52"/>
      <c r="AH105" s="52"/>
      <c r="AI105" s="52"/>
      <c r="AJ105" s="52"/>
    </row>
    <row r="106" spans="3:41">
      <c r="C106" s="2243" t="s">
        <v>933</v>
      </c>
      <c r="E106" s="15"/>
      <c r="J106" s="52">
        <f>'Assumption '!M500*J27</f>
        <v>0</v>
      </c>
      <c r="K106" s="52">
        <f>'Assumption '!N500*K27</f>
        <v>0</v>
      </c>
      <c r="L106" s="52">
        <f ca="1">'Assumption '!O500*L27</f>
        <v>371.13770087642854</v>
      </c>
      <c r="M106" s="52">
        <f ca="1">'Assumption '!P500*M27</f>
        <v>382.27183190272149</v>
      </c>
      <c r="N106" s="52">
        <f ca="1">'Assumption '!Q500*N27</f>
        <v>393.73998685980308</v>
      </c>
      <c r="O106" s="52">
        <f ca="1">'Assumption '!R500*O27</f>
        <v>405.55218646559717</v>
      </c>
      <c r="P106" s="52">
        <f ca="1">'Assumption '!S500*P27</f>
        <v>417.71875205956513</v>
      </c>
      <c r="Q106" s="52">
        <f ca="1">'Assumption '!T500*Q27</f>
        <v>430.25031462135212</v>
      </c>
      <c r="R106" s="52">
        <f ca="1">'Assumption '!U500*R27</f>
        <v>443.15782405999266</v>
      </c>
      <c r="S106" s="52">
        <f ca="1">'Assumption '!V500*S27</f>
        <v>456.45255878179245</v>
      </c>
      <c r="T106" s="52">
        <f ca="1">'Assumption '!W500*T27</f>
        <v>470.14613554524624</v>
      </c>
      <c r="U106" s="52">
        <f ca="1">'Assumption '!X500*U27</f>
        <v>484.25051961160364</v>
      </c>
      <c r="V106" s="52">
        <f ca="1">'Assumption '!Y500*V27</f>
        <v>498.77803519995177</v>
      </c>
      <c r="W106" s="52">
        <f ca="1">'Assumption '!Z500*W27</f>
        <v>513.7413762559504</v>
      </c>
      <c r="X106" s="52">
        <f ca="1">'Assumption '!AA500*X27</f>
        <v>529.15361754362891</v>
      </c>
      <c r="Y106" s="52">
        <f ca="1">'Assumption '!AB500*Y27</f>
        <v>545.02822606993789</v>
      </c>
      <c r="Z106" s="52">
        <f ca="1">'Assumption '!AC500*Z27</f>
        <v>561.37907285203596</v>
      </c>
      <c r="AA106" s="52">
        <f ca="1">'Assumption '!AD500*AA27</f>
        <v>578.22044503759707</v>
      </c>
      <c r="AB106" s="52">
        <f ca="1">'Assumption '!AE500*AB27</f>
        <v>595.56705838872494</v>
      </c>
      <c r="AC106" s="52">
        <f ca="1">'Assumption '!AF500*AC27</f>
        <v>613.43407014038678</v>
      </c>
      <c r="AD106" s="52">
        <f ca="1">'Assumption '!AG500*AD27</f>
        <v>631.83709224459847</v>
      </c>
      <c r="AE106" s="52">
        <f ca="1">'Assumption '!AH500*AE27</f>
        <v>650.7922050119364</v>
      </c>
      <c r="AF106" s="52">
        <f ca="1">'Assumption '!AI500*AF27</f>
        <v>670.31597116229455</v>
      </c>
      <c r="AG106" s="52">
        <f ca="1">'Assumption '!AJ500*AG27</f>
        <v>690.42545029716337</v>
      </c>
      <c r="AH106" s="52">
        <f ca="1">'Assumption '!AK500*AH27</f>
        <v>711.13821380607828</v>
      </c>
      <c r="AI106" s="52">
        <f ca="1">'Assumption '!AL500*AI27</f>
        <v>732.47236022026073</v>
      </c>
      <c r="AJ106" s="52">
        <f ca="1">'Assumption '!AM500*AJ27</f>
        <v>754.44653102686857</v>
      </c>
      <c r="AK106" s="52">
        <f ca="1">'Assumption '!AN500*AK27</f>
        <v>777.07992695767462</v>
      </c>
      <c r="AL106" s="52">
        <f ca="1">'Assumption '!AO500*AL27</f>
        <v>800.39232476640484</v>
      </c>
      <c r="AM106" s="52">
        <f ca="1">'Assumption '!AP500*AM27</f>
        <v>824.40409450939694</v>
      </c>
      <c r="AN106" s="1080"/>
      <c r="AO106" s="2">
        <f>'Assumption '!BC500*AO24</f>
        <v>0</v>
      </c>
    </row>
    <row r="107" spans="3:41">
      <c r="C107" s="2243"/>
      <c r="E107" s="15"/>
      <c r="J107" s="52"/>
      <c r="K107" s="52"/>
      <c r="L107" s="52"/>
      <c r="M107" s="52"/>
      <c r="N107" s="52"/>
      <c r="O107" s="52"/>
      <c r="P107" s="52"/>
      <c r="Q107" s="52"/>
      <c r="R107" s="52"/>
      <c r="S107" s="52"/>
      <c r="T107" s="52"/>
      <c r="U107" s="52"/>
      <c r="V107" s="52"/>
      <c r="W107" s="52"/>
      <c r="X107" s="52"/>
      <c r="Y107" s="52"/>
      <c r="Z107" s="52"/>
      <c r="AA107" s="52"/>
      <c r="AB107" s="52"/>
      <c r="AC107" s="52"/>
      <c r="AD107" s="52"/>
      <c r="AE107" s="52"/>
      <c r="AF107" s="52"/>
      <c r="AG107" s="52"/>
      <c r="AH107" s="52"/>
      <c r="AI107" s="52"/>
      <c r="AJ107" s="52"/>
      <c r="AK107" s="52"/>
      <c r="AL107" s="52"/>
      <c r="AM107" s="52"/>
      <c r="AN107" s="1080"/>
    </row>
    <row r="108" spans="3:41">
      <c r="C108" s="5" t="s">
        <v>863</v>
      </c>
      <c r="E108" s="15"/>
      <c r="J108" s="52">
        <f>'Assumption '!M502*J27</f>
        <v>0</v>
      </c>
      <c r="K108" s="52">
        <f>'Assumption '!N502*K27</f>
        <v>0</v>
      </c>
      <c r="L108" s="52">
        <f ca="1">'Assumption '!O502*L27</f>
        <v>338.8546427</v>
      </c>
      <c r="M108" s="52">
        <f ca="1">'Assumption '!P502*M27</f>
        <v>349.0202819810001</v>
      </c>
      <c r="N108" s="52">
        <f ca="1">'Assumption '!Q502*N27</f>
        <v>359.49089044043006</v>
      </c>
      <c r="O108" s="52">
        <f ca="1">'Assumption '!R502*O27</f>
        <v>370.27561715364294</v>
      </c>
      <c r="P108" s="52">
        <f ca="1">'Assumption '!S502*P27</f>
        <v>381.38388566825228</v>
      </c>
      <c r="Q108" s="52">
        <f ca="1">'Assumption '!T502*Q27</f>
        <v>392.82540223829989</v>
      </c>
      <c r="R108" s="52">
        <f ca="1">'Assumption '!U502*R27</f>
        <v>404.61016430544885</v>
      </c>
      <c r="S108" s="52">
        <f ca="1">'Assumption '!V502*S27</f>
        <v>416.74846923461234</v>
      </c>
      <c r="T108" s="52">
        <f ca="1">'Assumption '!W502*T27</f>
        <v>429.25092331165069</v>
      </c>
      <c r="U108" s="52">
        <f ca="1">'Assumption '!X502*U27</f>
        <v>442.12845101100021</v>
      </c>
      <c r="V108" s="52">
        <f ca="1">'Assumption '!Y502*V27</f>
        <v>455.3923045413303</v>
      </c>
      <c r="W108" s="52">
        <f ca="1">'Assumption '!Z502*W27</f>
        <v>469.05407367757022</v>
      </c>
      <c r="X108" s="52">
        <f ca="1">'Assumption '!AA502*X27</f>
        <v>483.12569588789734</v>
      </c>
      <c r="Y108" s="52">
        <f ca="1">'Assumption '!AB502*Y27</f>
        <v>497.61946676453431</v>
      </c>
      <c r="Z108" s="52">
        <f ca="1">'Assumption '!AC502*Z27</f>
        <v>512.54805076747039</v>
      </c>
      <c r="AA108" s="52">
        <f ca="1">'Assumption '!AD502*AA27</f>
        <v>527.92449229049441</v>
      </c>
      <c r="AB108" s="52">
        <f ca="1">'Assumption '!AE502*AB27</f>
        <v>543.76222705920929</v>
      </c>
      <c r="AC108" s="52">
        <f ca="1">'Assumption '!AF502*AC27</f>
        <v>560.0750938709856</v>
      </c>
      <c r="AD108" s="52">
        <f ca="1">'Assumption '!AG502*AD27</f>
        <v>576.87734668711528</v>
      </c>
      <c r="AE108" s="52">
        <f ca="1">'Assumption '!AH502*AE27</f>
        <v>594.18366708772874</v>
      </c>
      <c r="AF108" s="52">
        <f ca="1">'Assumption '!AI502*AF27</f>
        <v>612.0091771003606</v>
      </c>
      <c r="AG108" s="52">
        <f ca="1">'Assumption '!AJ502*AG27</f>
        <v>630.3694524133715</v>
      </c>
      <c r="AH108" s="52">
        <f ca="1">'Assumption '!AK502*AH27</f>
        <v>649.28053598577253</v>
      </c>
      <c r="AI108" s="52">
        <f ca="1">'Assumption '!AL502*AI27</f>
        <v>668.75895206534585</v>
      </c>
      <c r="AJ108" s="52">
        <f ca="1">'Assumption '!AM502*AJ27</f>
        <v>688.82172062730626</v>
      </c>
      <c r="AK108" s="52">
        <f ca="1">'Assumption '!AN502*AK27</f>
        <v>709.48637224612537</v>
      </c>
      <c r="AL108" s="52">
        <f ca="1">'Assumption '!AO502*AL27</f>
        <v>730.77096341350921</v>
      </c>
      <c r="AM108" s="52">
        <f ca="1">'Assumption '!AP502*AM27</f>
        <v>752.69409231591442</v>
      </c>
      <c r="AN108" s="1080"/>
      <c r="AO108" s="2">
        <f>'Assumption '!BC502*AO24</f>
        <v>0</v>
      </c>
    </row>
    <row r="109" spans="3:41" s="486" customFormat="1" ht="12" customHeight="1" thickBot="1">
      <c r="C109" s="1039" t="s">
        <v>655</v>
      </c>
      <c r="E109" s="1040"/>
      <c r="J109" s="589"/>
      <c r="K109" s="589"/>
      <c r="L109" s="589"/>
      <c r="M109" s="589"/>
      <c r="N109" s="589"/>
      <c r="O109" s="589"/>
      <c r="P109" s="589"/>
      <c r="Q109" s="589"/>
      <c r="R109" s="589"/>
      <c r="S109" s="589"/>
      <c r="T109" s="589"/>
      <c r="U109" s="589"/>
      <c r="V109" s="589"/>
      <c r="W109" s="589"/>
      <c r="X109" s="589"/>
      <c r="Y109" s="589"/>
      <c r="Z109" s="589"/>
      <c r="AA109" s="589"/>
      <c r="AB109" s="589"/>
      <c r="AC109" s="589"/>
      <c r="AD109" s="589"/>
      <c r="AE109" s="589"/>
      <c r="AF109" s="589"/>
      <c r="AG109" s="589"/>
      <c r="AH109" s="589"/>
      <c r="AI109" s="589"/>
      <c r="AJ109" s="589"/>
      <c r="AK109" s="589"/>
      <c r="AL109" s="589"/>
      <c r="AM109" s="589"/>
      <c r="AN109" s="1078"/>
    </row>
    <row r="110" spans="3:41" ht="12" customHeight="1">
      <c r="C110" s="5"/>
      <c r="E110" s="15"/>
      <c r="J110" s="52"/>
      <c r="K110" s="52"/>
      <c r="L110" s="52"/>
      <c r="M110" s="52"/>
      <c r="N110" s="52"/>
      <c r="O110" s="52"/>
      <c r="P110" s="52"/>
      <c r="Q110" s="52"/>
      <c r="R110" s="52"/>
      <c r="S110" s="52"/>
      <c r="T110" s="52"/>
      <c r="U110" s="52"/>
      <c r="V110" s="52"/>
      <c r="W110" s="52"/>
      <c r="X110" s="52"/>
      <c r="Y110" s="52"/>
      <c r="Z110" s="52"/>
      <c r="AA110" s="52"/>
      <c r="AB110" s="52"/>
      <c r="AC110" s="52"/>
      <c r="AD110" s="52"/>
      <c r="AE110" s="52"/>
      <c r="AF110" s="52"/>
      <c r="AG110" s="52"/>
      <c r="AH110" s="52"/>
      <c r="AI110" s="52"/>
      <c r="AJ110" s="52"/>
      <c r="AK110" s="52"/>
      <c r="AL110" s="52"/>
      <c r="AM110" s="52"/>
      <c r="AN110" s="1080"/>
    </row>
    <row r="111" spans="3:41" ht="12" customHeight="1">
      <c r="E111" s="15"/>
      <c r="J111" s="52"/>
      <c r="K111" s="52"/>
      <c r="L111" s="52"/>
      <c r="M111" s="52"/>
      <c r="N111" s="52"/>
      <c r="O111" s="52"/>
      <c r="P111" s="52"/>
      <c r="Q111" s="52"/>
      <c r="R111" s="52"/>
      <c r="S111" s="52"/>
      <c r="T111" s="52"/>
      <c r="U111" s="52"/>
      <c r="V111" s="52"/>
      <c r="W111" s="52"/>
      <c r="X111" s="52"/>
      <c r="Y111" s="52"/>
      <c r="Z111" s="52"/>
      <c r="AA111" s="52"/>
      <c r="AB111" s="52"/>
      <c r="AC111" s="52"/>
      <c r="AD111" s="52"/>
      <c r="AE111" s="52"/>
      <c r="AF111" s="52"/>
      <c r="AG111" s="52"/>
      <c r="AH111" s="52"/>
      <c r="AI111" s="52"/>
      <c r="AJ111" s="52"/>
      <c r="AK111" s="52"/>
      <c r="AL111" s="52"/>
      <c r="AM111" s="52"/>
      <c r="AN111" s="1080"/>
    </row>
    <row r="112" spans="3:41" ht="12" customHeight="1">
      <c r="C112" s="2" t="s">
        <v>1564</v>
      </c>
      <c r="E112" s="15"/>
      <c r="J112" s="52">
        <f>J106</f>
        <v>0</v>
      </c>
      <c r="K112" s="52">
        <f t="shared" ref="K112:AM112" si="15">K106</f>
        <v>0</v>
      </c>
      <c r="L112" s="52">
        <f ca="1">L106</f>
        <v>371.13770087642854</v>
      </c>
      <c r="M112" s="52">
        <f t="shared" ca="1" si="15"/>
        <v>382.27183190272149</v>
      </c>
      <c r="N112" s="52">
        <f t="shared" ca="1" si="15"/>
        <v>393.73998685980308</v>
      </c>
      <c r="O112" s="52">
        <f t="shared" ca="1" si="15"/>
        <v>405.55218646559717</v>
      </c>
      <c r="P112" s="52">
        <f t="shared" ca="1" si="15"/>
        <v>417.71875205956513</v>
      </c>
      <c r="Q112" s="52">
        <f t="shared" ca="1" si="15"/>
        <v>430.25031462135212</v>
      </c>
      <c r="R112" s="52">
        <f t="shared" ca="1" si="15"/>
        <v>443.15782405999266</v>
      </c>
      <c r="S112" s="52">
        <f t="shared" ca="1" si="15"/>
        <v>456.45255878179245</v>
      </c>
      <c r="T112" s="52">
        <f t="shared" ca="1" si="15"/>
        <v>470.14613554524624</v>
      </c>
      <c r="U112" s="52">
        <f t="shared" ca="1" si="15"/>
        <v>484.25051961160364</v>
      </c>
      <c r="V112" s="52">
        <f t="shared" ca="1" si="15"/>
        <v>498.77803519995177</v>
      </c>
      <c r="W112" s="52">
        <f t="shared" ca="1" si="15"/>
        <v>513.7413762559504</v>
      </c>
      <c r="X112" s="52">
        <f t="shared" ca="1" si="15"/>
        <v>529.15361754362891</v>
      </c>
      <c r="Y112" s="52">
        <f t="shared" ca="1" si="15"/>
        <v>545.02822606993789</v>
      </c>
      <c r="Z112" s="52">
        <f t="shared" ca="1" si="15"/>
        <v>561.37907285203596</v>
      </c>
      <c r="AA112" s="52">
        <f t="shared" ca="1" si="15"/>
        <v>578.22044503759707</v>
      </c>
      <c r="AB112" s="52">
        <f t="shared" ca="1" si="15"/>
        <v>595.56705838872494</v>
      </c>
      <c r="AC112" s="52">
        <f t="shared" ca="1" si="15"/>
        <v>613.43407014038678</v>
      </c>
      <c r="AD112" s="52">
        <f t="shared" ca="1" si="15"/>
        <v>631.83709224459847</v>
      </c>
      <c r="AE112" s="52">
        <f t="shared" ca="1" si="15"/>
        <v>650.7922050119364</v>
      </c>
      <c r="AF112" s="52">
        <f t="shared" ca="1" si="15"/>
        <v>670.31597116229455</v>
      </c>
      <c r="AG112" s="52">
        <f t="shared" ca="1" si="15"/>
        <v>690.42545029716337</v>
      </c>
      <c r="AH112" s="52">
        <f t="shared" ca="1" si="15"/>
        <v>711.13821380607828</v>
      </c>
      <c r="AI112" s="52">
        <f t="shared" ca="1" si="15"/>
        <v>732.47236022026073</v>
      </c>
      <c r="AJ112" s="52">
        <f t="shared" ca="1" si="15"/>
        <v>754.44653102686857</v>
      </c>
      <c r="AK112" s="52">
        <f t="shared" ca="1" si="15"/>
        <v>777.07992695767462</v>
      </c>
      <c r="AL112" s="52">
        <f t="shared" ca="1" si="15"/>
        <v>800.39232476640484</v>
      </c>
      <c r="AM112" s="52">
        <f t="shared" ca="1" si="15"/>
        <v>824.40409450939694</v>
      </c>
      <c r="AN112" s="1080"/>
    </row>
    <row r="113" spans="3:41" ht="12" customHeight="1">
      <c r="C113" s="2" t="s">
        <v>1562</v>
      </c>
      <c r="E113" s="15"/>
      <c r="J113" s="52">
        <f t="shared" ref="J113:AM113" si="16">J112*(1+$D$75)</f>
        <v>0</v>
      </c>
      <c r="K113" s="52">
        <f t="shared" si="16"/>
        <v>0</v>
      </c>
      <c r="L113" s="52">
        <f t="shared" ca="1" si="16"/>
        <v>371.13770087642854</v>
      </c>
      <c r="M113" s="52">
        <f t="shared" ca="1" si="16"/>
        <v>382.27183190272149</v>
      </c>
      <c r="N113" s="52">
        <f t="shared" ca="1" si="16"/>
        <v>393.73998685980308</v>
      </c>
      <c r="O113" s="52">
        <f t="shared" ca="1" si="16"/>
        <v>405.55218646559717</v>
      </c>
      <c r="P113" s="52">
        <f t="shared" ca="1" si="16"/>
        <v>417.71875205956513</v>
      </c>
      <c r="Q113" s="52">
        <f t="shared" ca="1" si="16"/>
        <v>430.25031462135212</v>
      </c>
      <c r="R113" s="52">
        <f t="shared" ca="1" si="16"/>
        <v>443.15782405999266</v>
      </c>
      <c r="S113" s="52">
        <f t="shared" ca="1" si="16"/>
        <v>456.45255878179245</v>
      </c>
      <c r="T113" s="52">
        <f t="shared" ca="1" si="16"/>
        <v>470.14613554524624</v>
      </c>
      <c r="U113" s="52">
        <f t="shared" ca="1" si="16"/>
        <v>484.25051961160364</v>
      </c>
      <c r="V113" s="52">
        <f t="shared" ca="1" si="16"/>
        <v>498.77803519995177</v>
      </c>
      <c r="W113" s="52">
        <f t="shared" ca="1" si="16"/>
        <v>513.7413762559504</v>
      </c>
      <c r="X113" s="52">
        <f t="shared" ca="1" si="16"/>
        <v>529.15361754362891</v>
      </c>
      <c r="Y113" s="52">
        <f t="shared" ca="1" si="16"/>
        <v>545.02822606993789</v>
      </c>
      <c r="Z113" s="52">
        <f t="shared" ca="1" si="16"/>
        <v>561.37907285203596</v>
      </c>
      <c r="AA113" s="52">
        <f t="shared" ca="1" si="16"/>
        <v>578.22044503759707</v>
      </c>
      <c r="AB113" s="52">
        <f t="shared" ca="1" si="16"/>
        <v>595.56705838872494</v>
      </c>
      <c r="AC113" s="52">
        <f t="shared" ca="1" si="16"/>
        <v>613.43407014038678</v>
      </c>
      <c r="AD113" s="52">
        <f t="shared" ca="1" si="16"/>
        <v>631.83709224459847</v>
      </c>
      <c r="AE113" s="52">
        <f t="shared" ca="1" si="16"/>
        <v>650.7922050119364</v>
      </c>
      <c r="AF113" s="52">
        <f t="shared" ca="1" si="16"/>
        <v>670.31597116229455</v>
      </c>
      <c r="AG113" s="52">
        <f t="shared" ca="1" si="16"/>
        <v>690.42545029716337</v>
      </c>
      <c r="AH113" s="52">
        <f t="shared" ca="1" si="16"/>
        <v>711.13821380607828</v>
      </c>
      <c r="AI113" s="52">
        <f t="shared" ca="1" si="16"/>
        <v>732.47236022026073</v>
      </c>
      <c r="AJ113" s="52">
        <f t="shared" ca="1" si="16"/>
        <v>754.44653102686857</v>
      </c>
      <c r="AK113" s="52">
        <f t="shared" ca="1" si="16"/>
        <v>777.07992695767462</v>
      </c>
      <c r="AL113" s="52">
        <f t="shared" ca="1" si="16"/>
        <v>800.39232476640484</v>
      </c>
      <c r="AM113" s="52">
        <f t="shared" ca="1" si="16"/>
        <v>824.40409450939694</v>
      </c>
      <c r="AN113" s="1080"/>
    </row>
    <row r="114" spans="3:41" ht="12" customHeight="1">
      <c r="E114" s="15"/>
      <c r="J114" s="52"/>
      <c r="K114" s="52"/>
      <c r="L114" s="52"/>
      <c r="M114" s="52"/>
      <c r="N114" s="52"/>
      <c r="O114" s="52"/>
      <c r="P114" s="52"/>
      <c r="Q114" s="52"/>
      <c r="R114" s="52"/>
      <c r="S114" s="52"/>
      <c r="T114" s="52"/>
      <c r="U114" s="52"/>
      <c r="V114" s="52"/>
      <c r="W114" s="52"/>
      <c r="X114" s="52"/>
      <c r="Y114" s="52"/>
      <c r="Z114" s="52"/>
      <c r="AA114" s="52"/>
      <c r="AB114" s="52"/>
      <c r="AC114" s="52"/>
      <c r="AD114" s="52"/>
      <c r="AE114" s="52"/>
      <c r="AF114" s="52"/>
      <c r="AG114" s="52"/>
      <c r="AH114" s="52"/>
      <c r="AI114" s="52"/>
      <c r="AJ114" s="52"/>
      <c r="AK114" s="52"/>
      <c r="AL114" s="52"/>
      <c r="AM114" s="52"/>
      <c r="AN114" s="1080"/>
    </row>
    <row r="115" spans="3:41" ht="12" customHeight="1">
      <c r="C115" s="2" t="s">
        <v>2126</v>
      </c>
      <c r="E115" s="15"/>
      <c r="J115" s="52">
        <f>J107</f>
        <v>0</v>
      </c>
      <c r="K115" s="52">
        <f t="shared" ref="K115:AM115" si="17">K107</f>
        <v>0</v>
      </c>
      <c r="L115" s="52">
        <f t="shared" si="17"/>
        <v>0</v>
      </c>
      <c r="M115" s="52">
        <f t="shared" si="17"/>
        <v>0</v>
      </c>
      <c r="N115" s="52">
        <f t="shared" si="17"/>
        <v>0</v>
      </c>
      <c r="O115" s="52">
        <f t="shared" si="17"/>
        <v>0</v>
      </c>
      <c r="P115" s="52">
        <f t="shared" si="17"/>
        <v>0</v>
      </c>
      <c r="Q115" s="52">
        <f t="shared" si="17"/>
        <v>0</v>
      </c>
      <c r="R115" s="52">
        <f t="shared" si="17"/>
        <v>0</v>
      </c>
      <c r="S115" s="52">
        <f t="shared" si="17"/>
        <v>0</v>
      </c>
      <c r="T115" s="52">
        <f t="shared" si="17"/>
        <v>0</v>
      </c>
      <c r="U115" s="52">
        <f t="shared" si="17"/>
        <v>0</v>
      </c>
      <c r="V115" s="52">
        <f t="shared" si="17"/>
        <v>0</v>
      </c>
      <c r="W115" s="52">
        <f t="shared" si="17"/>
        <v>0</v>
      </c>
      <c r="X115" s="52">
        <f t="shared" si="17"/>
        <v>0</v>
      </c>
      <c r="Y115" s="52">
        <f t="shared" si="17"/>
        <v>0</v>
      </c>
      <c r="Z115" s="52">
        <f t="shared" si="17"/>
        <v>0</v>
      </c>
      <c r="AA115" s="52">
        <f t="shared" si="17"/>
        <v>0</v>
      </c>
      <c r="AB115" s="52">
        <f t="shared" si="17"/>
        <v>0</v>
      </c>
      <c r="AC115" s="52">
        <f t="shared" si="17"/>
        <v>0</v>
      </c>
      <c r="AD115" s="52">
        <f t="shared" si="17"/>
        <v>0</v>
      </c>
      <c r="AE115" s="52">
        <f t="shared" si="17"/>
        <v>0</v>
      </c>
      <c r="AF115" s="52">
        <f t="shared" si="17"/>
        <v>0</v>
      </c>
      <c r="AG115" s="52">
        <f t="shared" si="17"/>
        <v>0</v>
      </c>
      <c r="AH115" s="52">
        <f t="shared" si="17"/>
        <v>0</v>
      </c>
      <c r="AI115" s="52">
        <f t="shared" si="17"/>
        <v>0</v>
      </c>
      <c r="AJ115" s="52">
        <f t="shared" si="17"/>
        <v>0</v>
      </c>
      <c r="AK115" s="52">
        <f t="shared" si="17"/>
        <v>0</v>
      </c>
      <c r="AL115" s="52">
        <f t="shared" si="17"/>
        <v>0</v>
      </c>
      <c r="AM115" s="52">
        <f t="shared" si="17"/>
        <v>0</v>
      </c>
      <c r="AN115" s="1080"/>
    </row>
    <row r="116" spans="3:41" ht="12" customHeight="1">
      <c r="C116" s="2" t="s">
        <v>2127</v>
      </c>
      <c r="E116" s="15"/>
      <c r="J116" s="52">
        <f t="shared" ref="J116:AM116" si="18">J115*(1+D79)</f>
        <v>0</v>
      </c>
      <c r="K116" s="52">
        <f t="shared" si="18"/>
        <v>0</v>
      </c>
      <c r="L116" s="52">
        <f t="shared" si="18"/>
        <v>0</v>
      </c>
      <c r="M116" s="52">
        <f t="shared" si="18"/>
        <v>0</v>
      </c>
      <c r="N116" s="52">
        <f t="shared" si="18"/>
        <v>0</v>
      </c>
      <c r="O116" s="52">
        <f t="shared" si="18"/>
        <v>0</v>
      </c>
      <c r="P116" s="52">
        <f t="shared" si="18"/>
        <v>0</v>
      </c>
      <c r="Q116" s="52">
        <f t="shared" si="18"/>
        <v>0</v>
      </c>
      <c r="R116" s="52">
        <f t="shared" si="18"/>
        <v>0</v>
      </c>
      <c r="S116" s="52">
        <f t="shared" si="18"/>
        <v>0</v>
      </c>
      <c r="T116" s="52">
        <f t="shared" si="18"/>
        <v>0</v>
      </c>
      <c r="U116" s="52">
        <f t="shared" si="18"/>
        <v>0</v>
      </c>
      <c r="V116" s="52">
        <f t="shared" si="18"/>
        <v>0</v>
      </c>
      <c r="W116" s="52">
        <f t="shared" si="18"/>
        <v>0</v>
      </c>
      <c r="X116" s="52">
        <f t="shared" si="18"/>
        <v>0</v>
      </c>
      <c r="Y116" s="52">
        <f t="shared" si="18"/>
        <v>0</v>
      </c>
      <c r="Z116" s="52">
        <f t="shared" si="18"/>
        <v>0</v>
      </c>
      <c r="AA116" s="52">
        <f t="shared" si="18"/>
        <v>0</v>
      </c>
      <c r="AB116" s="52">
        <f t="shared" si="18"/>
        <v>0</v>
      </c>
      <c r="AC116" s="52">
        <f t="shared" si="18"/>
        <v>0</v>
      </c>
      <c r="AD116" s="52">
        <f t="shared" si="18"/>
        <v>0</v>
      </c>
      <c r="AE116" s="52">
        <f t="shared" si="18"/>
        <v>0</v>
      </c>
      <c r="AF116" s="52">
        <f t="shared" si="18"/>
        <v>0</v>
      </c>
      <c r="AG116" s="52">
        <f t="shared" si="18"/>
        <v>0</v>
      </c>
      <c r="AH116" s="52">
        <f t="shared" si="18"/>
        <v>0</v>
      </c>
      <c r="AI116" s="52">
        <f t="shared" si="18"/>
        <v>0</v>
      </c>
      <c r="AJ116" s="52">
        <f t="shared" si="18"/>
        <v>0</v>
      </c>
      <c r="AK116" s="52">
        <f t="shared" si="18"/>
        <v>0</v>
      </c>
      <c r="AL116" s="52">
        <f t="shared" si="18"/>
        <v>0</v>
      </c>
      <c r="AM116" s="52">
        <f t="shared" si="18"/>
        <v>0</v>
      </c>
      <c r="AN116" s="1080"/>
    </row>
    <row r="117" spans="3:41" ht="12" customHeight="1">
      <c r="E117" s="15"/>
      <c r="J117" s="52"/>
      <c r="K117" s="52"/>
      <c r="L117" s="52"/>
      <c r="M117" s="52"/>
      <c r="N117" s="52"/>
      <c r="O117" s="52"/>
      <c r="P117" s="52"/>
      <c r="Q117" s="52"/>
      <c r="R117" s="52"/>
      <c r="S117" s="52"/>
      <c r="T117" s="52"/>
      <c r="U117" s="52"/>
      <c r="V117" s="52"/>
      <c r="W117" s="52"/>
      <c r="X117" s="52"/>
      <c r="Y117" s="52"/>
      <c r="Z117" s="52"/>
      <c r="AA117" s="52"/>
      <c r="AB117" s="52"/>
      <c r="AC117" s="52"/>
      <c r="AD117" s="52"/>
      <c r="AE117" s="52"/>
      <c r="AF117" s="52"/>
      <c r="AG117" s="52"/>
      <c r="AH117" s="52"/>
      <c r="AI117" s="52"/>
      <c r="AJ117" s="52"/>
      <c r="AK117" s="52"/>
      <c r="AL117" s="52"/>
      <c r="AM117" s="52"/>
      <c r="AN117" s="1080"/>
    </row>
    <row r="118" spans="3:41" ht="12" customHeight="1">
      <c r="C118" s="2" t="s">
        <v>1567</v>
      </c>
      <c r="E118" s="15"/>
      <c r="J118" s="52">
        <f t="shared" ref="J118:AM118" si="19">J108</f>
        <v>0</v>
      </c>
      <c r="K118" s="52">
        <f t="shared" si="19"/>
        <v>0</v>
      </c>
      <c r="L118" s="52">
        <f t="shared" ca="1" si="19"/>
        <v>338.8546427</v>
      </c>
      <c r="M118" s="52">
        <f t="shared" ca="1" si="19"/>
        <v>349.0202819810001</v>
      </c>
      <c r="N118" s="52">
        <f t="shared" ca="1" si="19"/>
        <v>359.49089044043006</v>
      </c>
      <c r="O118" s="52">
        <f t="shared" ca="1" si="19"/>
        <v>370.27561715364294</v>
      </c>
      <c r="P118" s="52">
        <f t="shared" ca="1" si="19"/>
        <v>381.38388566825228</v>
      </c>
      <c r="Q118" s="52">
        <f t="shared" ca="1" si="19"/>
        <v>392.82540223829989</v>
      </c>
      <c r="R118" s="52">
        <f t="shared" ca="1" si="19"/>
        <v>404.61016430544885</v>
      </c>
      <c r="S118" s="52">
        <f t="shared" ca="1" si="19"/>
        <v>416.74846923461234</v>
      </c>
      <c r="T118" s="52">
        <f t="shared" ca="1" si="19"/>
        <v>429.25092331165069</v>
      </c>
      <c r="U118" s="52">
        <f t="shared" ca="1" si="19"/>
        <v>442.12845101100021</v>
      </c>
      <c r="V118" s="52">
        <f t="shared" ca="1" si="19"/>
        <v>455.3923045413303</v>
      </c>
      <c r="W118" s="52">
        <f t="shared" ca="1" si="19"/>
        <v>469.05407367757022</v>
      </c>
      <c r="X118" s="52">
        <f t="shared" ca="1" si="19"/>
        <v>483.12569588789734</v>
      </c>
      <c r="Y118" s="52">
        <f t="shared" ca="1" si="19"/>
        <v>497.61946676453431</v>
      </c>
      <c r="Z118" s="52">
        <f t="shared" ca="1" si="19"/>
        <v>512.54805076747039</v>
      </c>
      <c r="AA118" s="52">
        <f t="shared" ca="1" si="19"/>
        <v>527.92449229049441</v>
      </c>
      <c r="AB118" s="52">
        <f t="shared" ca="1" si="19"/>
        <v>543.76222705920929</v>
      </c>
      <c r="AC118" s="52">
        <f t="shared" ca="1" si="19"/>
        <v>560.0750938709856</v>
      </c>
      <c r="AD118" s="52">
        <f t="shared" ca="1" si="19"/>
        <v>576.87734668711528</v>
      </c>
      <c r="AE118" s="52">
        <f t="shared" ca="1" si="19"/>
        <v>594.18366708772874</v>
      </c>
      <c r="AF118" s="52">
        <f t="shared" ca="1" si="19"/>
        <v>612.0091771003606</v>
      </c>
      <c r="AG118" s="52">
        <f t="shared" ca="1" si="19"/>
        <v>630.3694524133715</v>
      </c>
      <c r="AH118" s="52">
        <f t="shared" ca="1" si="19"/>
        <v>649.28053598577253</v>
      </c>
      <c r="AI118" s="52">
        <f t="shared" ca="1" si="19"/>
        <v>668.75895206534585</v>
      </c>
      <c r="AJ118" s="52">
        <f t="shared" ca="1" si="19"/>
        <v>688.82172062730626</v>
      </c>
      <c r="AK118" s="52">
        <f t="shared" ca="1" si="19"/>
        <v>709.48637224612537</v>
      </c>
      <c r="AL118" s="52">
        <f t="shared" ca="1" si="19"/>
        <v>730.77096341350921</v>
      </c>
      <c r="AM118" s="52">
        <f t="shared" ca="1" si="19"/>
        <v>752.69409231591442</v>
      </c>
      <c r="AN118" s="1080"/>
    </row>
    <row r="119" spans="3:41" ht="12" customHeight="1">
      <c r="C119" s="2" t="s">
        <v>1563</v>
      </c>
      <c r="E119" s="15"/>
      <c r="J119" s="52">
        <f t="shared" ref="J119:AM119" si="20">J118*(1+$D$85)</f>
        <v>0</v>
      </c>
      <c r="K119" s="52">
        <f t="shared" si="20"/>
        <v>0</v>
      </c>
      <c r="L119" s="52">
        <f t="shared" ca="1" si="20"/>
        <v>338.8546427</v>
      </c>
      <c r="M119" s="52">
        <f t="shared" ca="1" si="20"/>
        <v>349.0202819810001</v>
      </c>
      <c r="N119" s="52">
        <f t="shared" ca="1" si="20"/>
        <v>359.49089044043006</v>
      </c>
      <c r="O119" s="52">
        <f t="shared" ca="1" si="20"/>
        <v>370.27561715364294</v>
      </c>
      <c r="P119" s="52">
        <f t="shared" ca="1" si="20"/>
        <v>381.38388566825228</v>
      </c>
      <c r="Q119" s="52">
        <f t="shared" ca="1" si="20"/>
        <v>392.82540223829989</v>
      </c>
      <c r="R119" s="52">
        <f t="shared" ca="1" si="20"/>
        <v>404.61016430544885</v>
      </c>
      <c r="S119" s="52">
        <f t="shared" ca="1" si="20"/>
        <v>416.74846923461234</v>
      </c>
      <c r="T119" s="52">
        <f t="shared" ca="1" si="20"/>
        <v>429.25092331165069</v>
      </c>
      <c r="U119" s="52">
        <f t="shared" ca="1" si="20"/>
        <v>442.12845101100021</v>
      </c>
      <c r="V119" s="52">
        <f t="shared" ca="1" si="20"/>
        <v>455.3923045413303</v>
      </c>
      <c r="W119" s="52">
        <f t="shared" ca="1" si="20"/>
        <v>469.05407367757022</v>
      </c>
      <c r="X119" s="52">
        <f t="shared" ca="1" si="20"/>
        <v>483.12569588789734</v>
      </c>
      <c r="Y119" s="52">
        <f t="shared" ca="1" si="20"/>
        <v>497.61946676453431</v>
      </c>
      <c r="Z119" s="52">
        <f t="shared" ca="1" si="20"/>
        <v>512.54805076747039</v>
      </c>
      <c r="AA119" s="52">
        <f t="shared" ca="1" si="20"/>
        <v>527.92449229049441</v>
      </c>
      <c r="AB119" s="52">
        <f t="shared" ca="1" si="20"/>
        <v>543.76222705920929</v>
      </c>
      <c r="AC119" s="52">
        <f t="shared" ca="1" si="20"/>
        <v>560.0750938709856</v>
      </c>
      <c r="AD119" s="52">
        <f t="shared" ca="1" si="20"/>
        <v>576.87734668711528</v>
      </c>
      <c r="AE119" s="52">
        <f t="shared" ca="1" si="20"/>
        <v>594.18366708772874</v>
      </c>
      <c r="AF119" s="52">
        <f t="shared" ca="1" si="20"/>
        <v>612.0091771003606</v>
      </c>
      <c r="AG119" s="52">
        <f t="shared" ca="1" si="20"/>
        <v>630.3694524133715</v>
      </c>
      <c r="AH119" s="52">
        <f t="shared" ca="1" si="20"/>
        <v>649.28053598577253</v>
      </c>
      <c r="AI119" s="52">
        <f t="shared" ca="1" si="20"/>
        <v>668.75895206534585</v>
      </c>
      <c r="AJ119" s="52">
        <f t="shared" ca="1" si="20"/>
        <v>688.82172062730626</v>
      </c>
      <c r="AK119" s="52">
        <f t="shared" ca="1" si="20"/>
        <v>709.48637224612537</v>
      </c>
      <c r="AL119" s="52">
        <f t="shared" ca="1" si="20"/>
        <v>730.77096341350921</v>
      </c>
      <c r="AM119" s="52">
        <f t="shared" ca="1" si="20"/>
        <v>752.69409231591442</v>
      </c>
      <c r="AN119" s="1080"/>
    </row>
    <row r="120" spans="3:41">
      <c r="C120" s="5"/>
      <c r="E120" s="15"/>
      <c r="J120" s="52"/>
      <c r="K120" s="52"/>
      <c r="L120" s="52"/>
      <c r="M120" s="52"/>
      <c r="N120" s="52"/>
      <c r="O120" s="52"/>
      <c r="P120" s="52"/>
      <c r="Q120" s="52"/>
      <c r="R120" s="52"/>
      <c r="S120" s="52"/>
      <c r="T120" s="52"/>
      <c r="U120" s="52"/>
      <c r="V120" s="52"/>
      <c r="W120" s="52"/>
      <c r="X120" s="52"/>
      <c r="Y120" s="52"/>
      <c r="Z120" s="52"/>
      <c r="AA120" s="52"/>
      <c r="AB120" s="52"/>
      <c r="AC120" s="52"/>
      <c r="AD120" s="52"/>
      <c r="AE120" s="52"/>
      <c r="AF120" s="52"/>
      <c r="AG120" s="52"/>
      <c r="AH120" s="52"/>
      <c r="AI120" s="52"/>
      <c r="AJ120" s="52"/>
      <c r="AK120" s="52"/>
      <c r="AL120" s="52"/>
      <c r="AM120" s="52"/>
      <c r="AN120" s="1080"/>
    </row>
    <row r="121" spans="3:41">
      <c r="C121" s="5"/>
      <c r="E121" s="15"/>
      <c r="J121" s="52"/>
      <c r="K121" s="52"/>
      <c r="L121" s="52"/>
      <c r="M121" s="52"/>
      <c r="N121" s="52"/>
      <c r="O121" s="52"/>
      <c r="P121" s="52"/>
      <c r="Q121" s="52"/>
      <c r="R121" s="52"/>
      <c r="S121" s="52"/>
      <c r="T121" s="52"/>
      <c r="U121" s="52"/>
      <c r="V121" s="52"/>
      <c r="W121" s="52"/>
      <c r="X121" s="52"/>
      <c r="Y121" s="52"/>
      <c r="Z121" s="52"/>
      <c r="AA121" s="52"/>
      <c r="AB121" s="52"/>
      <c r="AC121" s="52"/>
      <c r="AD121" s="52"/>
      <c r="AE121" s="52"/>
      <c r="AF121" s="52"/>
      <c r="AG121" s="52"/>
      <c r="AH121" s="52"/>
      <c r="AI121" s="52"/>
      <c r="AJ121" s="52"/>
      <c r="AK121" s="52"/>
      <c r="AL121" s="52"/>
      <c r="AM121" s="52"/>
      <c r="AN121" s="1080"/>
    </row>
    <row r="122" spans="3:41">
      <c r="C122" s="501" t="s">
        <v>1115</v>
      </c>
      <c r="E122" s="15"/>
      <c r="J122" s="52"/>
      <c r="K122" s="52"/>
      <c r="L122" s="52"/>
      <c r="M122" s="52"/>
      <c r="N122" s="52"/>
      <c r="O122" s="52"/>
      <c r="P122" s="52"/>
      <c r="Q122" s="52"/>
      <c r="R122" s="52"/>
      <c r="S122" s="52"/>
      <c r="T122" s="52"/>
      <c r="U122" s="52"/>
      <c r="V122" s="52"/>
      <c r="W122" s="52"/>
      <c r="X122" s="52"/>
      <c r="Y122" s="52"/>
      <c r="Z122" s="52"/>
      <c r="AA122" s="52"/>
      <c r="AB122" s="52"/>
      <c r="AC122" s="52"/>
      <c r="AD122" s="52"/>
      <c r="AE122" s="52"/>
      <c r="AF122" s="52"/>
      <c r="AG122" s="52"/>
      <c r="AH122" s="52"/>
      <c r="AI122" s="52"/>
      <c r="AJ122" s="52"/>
    </row>
    <row r="123" spans="3:41">
      <c r="C123" s="2239" t="s">
        <v>1800</v>
      </c>
      <c r="E123" s="15"/>
      <c r="J123" s="52">
        <f>J98*J113</f>
        <v>0</v>
      </c>
      <c r="K123" s="52">
        <f>K98*K113</f>
        <v>0</v>
      </c>
      <c r="L123" s="53">
        <f ca="1">L98*L113</f>
        <v>135697221.8829442</v>
      </c>
      <c r="M123" s="53">
        <f t="shared" ref="M123:AM123" ca="1" si="21">M98*M113</f>
        <v>163421208.13841346</v>
      </c>
      <c r="N123" s="53">
        <f t="shared" ca="1" si="21"/>
        <v>168323844.38256583</v>
      </c>
      <c r="O123" s="53">
        <f t="shared" ca="1" si="21"/>
        <v>173373559.71404281</v>
      </c>
      <c r="P123" s="53">
        <f t="shared" ca="1" si="21"/>
        <v>178574766.50546411</v>
      </c>
      <c r="Q123" s="53">
        <f t="shared" ca="1" si="21"/>
        <v>183932009.50062805</v>
      </c>
      <c r="R123" s="53">
        <f t="shared" ca="1" si="21"/>
        <v>189449969.78564689</v>
      </c>
      <c r="S123" s="53">
        <f t="shared" ca="1" si="21"/>
        <v>195133468.87921628</v>
      </c>
      <c r="T123" s="53">
        <f t="shared" ca="1" si="21"/>
        <v>200987472.94559279</v>
      </c>
      <c r="U123" s="53">
        <f t="shared" ca="1" si="21"/>
        <v>207017097.13396057</v>
      </c>
      <c r="V123" s="53">
        <f t="shared" ca="1" si="21"/>
        <v>213227610.04797941</v>
      </c>
      <c r="W123" s="53">
        <f t="shared" ca="1" si="21"/>
        <v>219624438.34941882</v>
      </c>
      <c r="X123" s="53">
        <f t="shared" ca="1" si="21"/>
        <v>226213171.49990138</v>
      </c>
      <c r="Y123" s="53">
        <f t="shared" ca="1" si="21"/>
        <v>232999566.64489847</v>
      </c>
      <c r="Z123" s="53">
        <f t="shared" ca="1" si="21"/>
        <v>239989553.64424542</v>
      </c>
      <c r="AA123" s="53">
        <f t="shared" ca="1" si="21"/>
        <v>247189240.25357279</v>
      </c>
      <c r="AB123" s="53">
        <f t="shared" ca="1" si="21"/>
        <v>254604917.46117994</v>
      </c>
      <c r="AC123" s="53">
        <f t="shared" ca="1" si="21"/>
        <v>262243064.98501539</v>
      </c>
      <c r="AD123" s="53">
        <f t="shared" ca="1" si="21"/>
        <v>270110356.9345659</v>
      </c>
      <c r="AE123" s="53">
        <f t="shared" ca="1" si="21"/>
        <v>278213667.64260286</v>
      </c>
      <c r="AF123" s="53">
        <f t="shared" ca="1" si="21"/>
        <v>286560077.67188096</v>
      </c>
      <c r="AG123" s="53">
        <f t="shared" ca="1" si="21"/>
        <v>295156880.00203741</v>
      </c>
      <c r="AH123" s="53">
        <f t="shared" ca="1" si="21"/>
        <v>304011586.40209854</v>
      </c>
      <c r="AI123" s="53">
        <f t="shared" ca="1" si="21"/>
        <v>313131933.99416149</v>
      </c>
      <c r="AJ123" s="53">
        <f t="shared" ca="1" si="21"/>
        <v>322525892.01398635</v>
      </c>
      <c r="AK123" s="53">
        <f t="shared" ca="1" si="21"/>
        <v>332201668.77440596</v>
      </c>
      <c r="AL123" s="53">
        <f t="shared" ca="1" si="21"/>
        <v>342167718.83763814</v>
      </c>
      <c r="AM123" s="53">
        <f t="shared" ca="1" si="21"/>
        <v>352432750.40276724</v>
      </c>
      <c r="AN123" s="1079"/>
      <c r="AO123" s="2">
        <f>AO98*AO106</f>
        <v>0</v>
      </c>
    </row>
    <row r="124" spans="3:41">
      <c r="C124" s="2239" t="s">
        <v>1801</v>
      </c>
      <c r="E124" s="15"/>
      <c r="J124" s="52">
        <f>J99*J113</f>
        <v>0</v>
      </c>
      <c r="K124" s="52">
        <f>K99*K113</f>
        <v>0</v>
      </c>
      <c r="L124" s="53">
        <f ca="1">L99*L113</f>
        <v>0</v>
      </c>
      <c r="M124" s="53">
        <f ca="1">M99*M113</f>
        <v>93178759.026288375</v>
      </c>
      <c r="N124" s="53">
        <f t="shared" ref="N124:AM124" ca="1" si="22">N99*N113</f>
        <v>112215896.25504389</v>
      </c>
      <c r="O124" s="53">
        <f t="shared" ca="1" si="22"/>
        <v>115582373.14269522</v>
      </c>
      <c r="P124" s="53">
        <f t="shared" ca="1" si="22"/>
        <v>119049844.33697608</v>
      </c>
      <c r="Q124" s="53">
        <f t="shared" ca="1" si="22"/>
        <v>122621339.66708538</v>
      </c>
      <c r="R124" s="53">
        <f t="shared" ca="1" si="22"/>
        <v>126299979.85709794</v>
      </c>
      <c r="S124" s="53">
        <f t="shared" ca="1" si="22"/>
        <v>130088979.25281088</v>
      </c>
      <c r="T124" s="53">
        <f t="shared" ca="1" si="22"/>
        <v>133991648.6303952</v>
      </c>
      <c r="U124" s="53">
        <f t="shared" ca="1" si="22"/>
        <v>138011398.08930707</v>
      </c>
      <c r="V124" s="53">
        <f t="shared" ca="1" si="22"/>
        <v>142151740.0319863</v>
      </c>
      <c r="W124" s="53">
        <f t="shared" ca="1" si="22"/>
        <v>146416292.23294589</v>
      </c>
      <c r="X124" s="53">
        <f t="shared" ca="1" si="22"/>
        <v>150808780.99993426</v>
      </c>
      <c r="Y124" s="53">
        <f t="shared" ca="1" si="22"/>
        <v>155333044.42993233</v>
      </c>
      <c r="Z124" s="53">
        <f t="shared" ca="1" si="22"/>
        <v>159993035.76283029</v>
      </c>
      <c r="AA124" s="53">
        <f t="shared" ca="1" si="22"/>
        <v>164792826.8357152</v>
      </c>
      <c r="AB124" s="53">
        <f t="shared" ca="1" si="22"/>
        <v>169736611.64078665</v>
      </c>
      <c r="AC124" s="53">
        <f t="shared" ca="1" si="22"/>
        <v>174828709.99001026</v>
      </c>
      <c r="AD124" s="53">
        <f t="shared" ca="1" si="22"/>
        <v>180073571.28971061</v>
      </c>
      <c r="AE124" s="53">
        <f t="shared" ca="1" si="22"/>
        <v>185475778.42840192</v>
      </c>
      <c r="AF124" s="53">
        <f t="shared" ca="1" si="22"/>
        <v>191040051.78125399</v>
      </c>
      <c r="AG124" s="53">
        <f t="shared" ca="1" si="22"/>
        <v>196771253.33469161</v>
      </c>
      <c r="AH124" s="53">
        <f t="shared" ca="1" si="22"/>
        <v>202674390.93473235</v>
      </c>
      <c r="AI124" s="53">
        <f t="shared" ca="1" si="22"/>
        <v>208754622.66277435</v>
      </c>
      <c r="AJ124" s="53">
        <f t="shared" ca="1" si="22"/>
        <v>215017261.3426576</v>
      </c>
      <c r="AK124" s="53">
        <f t="shared" ca="1" si="22"/>
        <v>221467779.18293732</v>
      </c>
      <c r="AL124" s="53">
        <f t="shared" ca="1" si="22"/>
        <v>228111812.55842543</v>
      </c>
      <c r="AM124" s="53">
        <f t="shared" ca="1" si="22"/>
        <v>234955166.93517819</v>
      </c>
      <c r="AN124" s="1079"/>
    </row>
    <row r="125" spans="3:41">
      <c r="C125" s="2239" t="s">
        <v>1802</v>
      </c>
      <c r="E125" s="15"/>
      <c r="J125" s="52">
        <f>J100*J113</f>
        <v>0</v>
      </c>
      <c r="K125" s="52">
        <f>K100*K113</f>
        <v>0</v>
      </c>
      <c r="L125" s="53">
        <f ca="1">L100*L113</f>
        <v>0</v>
      </c>
      <c r="M125" s="53">
        <f t="shared" ref="M125:AM125" ca="1" si="23">M100*M113</f>
        <v>0</v>
      </c>
      <c r="N125" s="53">
        <f t="shared" ca="1" si="23"/>
        <v>0</v>
      </c>
      <c r="O125" s="53">
        <f t="shared" ca="1" si="23"/>
        <v>0</v>
      </c>
      <c r="P125" s="53">
        <f t="shared" ca="1" si="23"/>
        <v>0</v>
      </c>
      <c r="Q125" s="53">
        <f t="shared" ca="1" si="23"/>
        <v>0</v>
      </c>
      <c r="R125" s="53">
        <f t="shared" ca="1" si="23"/>
        <v>0</v>
      </c>
      <c r="S125" s="53">
        <f t="shared" ca="1" si="23"/>
        <v>0</v>
      </c>
      <c r="T125" s="53">
        <f t="shared" ca="1" si="23"/>
        <v>0</v>
      </c>
      <c r="U125" s="53">
        <f t="shared" ca="1" si="23"/>
        <v>0</v>
      </c>
      <c r="V125" s="53">
        <f t="shared" ca="1" si="23"/>
        <v>0</v>
      </c>
      <c r="W125" s="53">
        <f t="shared" ca="1" si="23"/>
        <v>0</v>
      </c>
      <c r="X125" s="53">
        <f t="shared" ca="1" si="23"/>
        <v>0</v>
      </c>
      <c r="Y125" s="53">
        <f t="shared" ca="1" si="23"/>
        <v>0</v>
      </c>
      <c r="Z125" s="53">
        <f t="shared" ca="1" si="23"/>
        <v>0</v>
      </c>
      <c r="AA125" s="53">
        <f t="shared" ca="1" si="23"/>
        <v>0</v>
      </c>
      <c r="AB125" s="53">
        <f t="shared" ca="1" si="23"/>
        <v>0</v>
      </c>
      <c r="AC125" s="53">
        <f t="shared" ca="1" si="23"/>
        <v>0</v>
      </c>
      <c r="AD125" s="53">
        <f t="shared" ca="1" si="23"/>
        <v>0</v>
      </c>
      <c r="AE125" s="53">
        <f t="shared" ca="1" si="23"/>
        <v>0</v>
      </c>
      <c r="AF125" s="53">
        <f t="shared" ca="1" si="23"/>
        <v>0</v>
      </c>
      <c r="AG125" s="53">
        <f t="shared" ca="1" si="23"/>
        <v>0</v>
      </c>
      <c r="AH125" s="53">
        <f t="shared" ca="1" si="23"/>
        <v>0</v>
      </c>
      <c r="AI125" s="53">
        <f t="shared" ca="1" si="23"/>
        <v>0</v>
      </c>
      <c r="AJ125" s="53">
        <f t="shared" ca="1" si="23"/>
        <v>0</v>
      </c>
      <c r="AK125" s="53">
        <f t="shared" ca="1" si="23"/>
        <v>0</v>
      </c>
      <c r="AL125" s="53">
        <f t="shared" ca="1" si="23"/>
        <v>0</v>
      </c>
      <c r="AM125" s="53">
        <f t="shared" ca="1" si="23"/>
        <v>0</v>
      </c>
      <c r="AN125" s="1079"/>
    </row>
    <row r="126" spans="3:41">
      <c r="C126" s="2239" t="s">
        <v>2113</v>
      </c>
      <c r="E126" s="15"/>
      <c r="J126" s="52">
        <f>J101*J116</f>
        <v>0</v>
      </c>
      <c r="K126" s="52">
        <f>K101*K116</f>
        <v>0</v>
      </c>
      <c r="L126" s="53">
        <f>L101*L116</f>
        <v>0</v>
      </c>
      <c r="M126" s="53">
        <f t="shared" ref="M126:AM126" si="24">M101*M116</f>
        <v>0</v>
      </c>
      <c r="N126" s="53">
        <f t="shared" si="24"/>
        <v>0</v>
      </c>
      <c r="O126" s="53">
        <f t="shared" si="24"/>
        <v>0</v>
      </c>
      <c r="P126" s="53">
        <f t="shared" si="24"/>
        <v>0</v>
      </c>
      <c r="Q126" s="53">
        <f t="shared" si="24"/>
        <v>0</v>
      </c>
      <c r="R126" s="53">
        <f t="shared" si="24"/>
        <v>0</v>
      </c>
      <c r="S126" s="53">
        <f t="shared" si="24"/>
        <v>0</v>
      </c>
      <c r="T126" s="53">
        <f t="shared" si="24"/>
        <v>0</v>
      </c>
      <c r="U126" s="53">
        <f t="shared" si="24"/>
        <v>0</v>
      </c>
      <c r="V126" s="53">
        <f t="shared" si="24"/>
        <v>0</v>
      </c>
      <c r="W126" s="53">
        <f t="shared" si="24"/>
        <v>0</v>
      </c>
      <c r="X126" s="53">
        <f t="shared" si="24"/>
        <v>0</v>
      </c>
      <c r="Y126" s="53">
        <f t="shared" si="24"/>
        <v>0</v>
      </c>
      <c r="Z126" s="53">
        <f t="shared" si="24"/>
        <v>0</v>
      </c>
      <c r="AA126" s="53">
        <f t="shared" si="24"/>
        <v>0</v>
      </c>
      <c r="AB126" s="53">
        <f t="shared" si="24"/>
        <v>0</v>
      </c>
      <c r="AC126" s="53">
        <f t="shared" si="24"/>
        <v>0</v>
      </c>
      <c r="AD126" s="53">
        <f t="shared" si="24"/>
        <v>0</v>
      </c>
      <c r="AE126" s="53">
        <f t="shared" si="24"/>
        <v>0</v>
      </c>
      <c r="AF126" s="53">
        <f t="shared" si="24"/>
        <v>0</v>
      </c>
      <c r="AG126" s="53">
        <f t="shared" si="24"/>
        <v>0</v>
      </c>
      <c r="AH126" s="53">
        <f t="shared" si="24"/>
        <v>0</v>
      </c>
      <c r="AI126" s="53">
        <f t="shared" si="24"/>
        <v>0</v>
      </c>
      <c r="AJ126" s="53">
        <f t="shared" si="24"/>
        <v>0</v>
      </c>
      <c r="AK126" s="53">
        <f t="shared" si="24"/>
        <v>0</v>
      </c>
      <c r="AL126" s="53">
        <f t="shared" si="24"/>
        <v>0</v>
      </c>
      <c r="AM126" s="53">
        <f t="shared" si="24"/>
        <v>0</v>
      </c>
      <c r="AN126" s="1079"/>
    </row>
    <row r="127" spans="3:41" ht="10.9" customHeight="1">
      <c r="C127" s="2239" t="s">
        <v>863</v>
      </c>
      <c r="E127" s="15"/>
      <c r="J127" s="52">
        <f>J102*J119</f>
        <v>0</v>
      </c>
      <c r="K127" s="52">
        <f>K102*K119</f>
        <v>0</v>
      </c>
      <c r="L127" s="52">
        <f ca="1">L102*L119</f>
        <v>0</v>
      </c>
      <c r="M127" s="52">
        <f t="shared" ref="M127:AM127" ca="1" si="25">M102*M119</f>
        <v>0</v>
      </c>
      <c r="N127" s="52">
        <f t="shared" ca="1" si="25"/>
        <v>0</v>
      </c>
      <c r="O127" s="52">
        <f t="shared" ca="1" si="25"/>
        <v>0</v>
      </c>
      <c r="P127" s="52">
        <f t="shared" ca="1" si="25"/>
        <v>0</v>
      </c>
      <c r="Q127" s="52">
        <f t="shared" ca="1" si="25"/>
        <v>0</v>
      </c>
      <c r="R127" s="52">
        <f t="shared" ca="1" si="25"/>
        <v>0</v>
      </c>
      <c r="S127" s="52">
        <f t="shared" ca="1" si="25"/>
        <v>0</v>
      </c>
      <c r="T127" s="52">
        <f t="shared" ca="1" si="25"/>
        <v>0</v>
      </c>
      <c r="U127" s="52">
        <f t="shared" ca="1" si="25"/>
        <v>0</v>
      </c>
      <c r="V127" s="52">
        <f t="shared" ca="1" si="25"/>
        <v>0</v>
      </c>
      <c r="W127" s="52">
        <f t="shared" ca="1" si="25"/>
        <v>0</v>
      </c>
      <c r="X127" s="52">
        <f t="shared" ca="1" si="25"/>
        <v>0</v>
      </c>
      <c r="Y127" s="52">
        <f t="shared" ca="1" si="25"/>
        <v>0</v>
      </c>
      <c r="Z127" s="52">
        <f t="shared" ca="1" si="25"/>
        <v>0</v>
      </c>
      <c r="AA127" s="52">
        <f t="shared" ca="1" si="25"/>
        <v>0</v>
      </c>
      <c r="AB127" s="52">
        <f t="shared" ca="1" si="25"/>
        <v>0</v>
      </c>
      <c r="AC127" s="52">
        <f t="shared" ca="1" si="25"/>
        <v>0</v>
      </c>
      <c r="AD127" s="52">
        <f t="shared" ca="1" si="25"/>
        <v>0</v>
      </c>
      <c r="AE127" s="52">
        <f t="shared" ca="1" si="25"/>
        <v>0</v>
      </c>
      <c r="AF127" s="52">
        <f t="shared" ca="1" si="25"/>
        <v>0</v>
      </c>
      <c r="AG127" s="52">
        <f t="shared" ca="1" si="25"/>
        <v>0</v>
      </c>
      <c r="AH127" s="52">
        <f t="shared" ca="1" si="25"/>
        <v>0</v>
      </c>
      <c r="AI127" s="52">
        <f t="shared" ca="1" si="25"/>
        <v>0</v>
      </c>
      <c r="AJ127" s="52">
        <f t="shared" ca="1" si="25"/>
        <v>0</v>
      </c>
      <c r="AK127" s="52">
        <f t="shared" ca="1" si="25"/>
        <v>0</v>
      </c>
      <c r="AL127" s="52">
        <f t="shared" ca="1" si="25"/>
        <v>0</v>
      </c>
      <c r="AM127" s="52">
        <f t="shared" ca="1" si="25"/>
        <v>0</v>
      </c>
      <c r="AN127" s="1079"/>
      <c r="AO127" s="2">
        <f>AO102*AO108</f>
        <v>0</v>
      </c>
    </row>
    <row r="128" spans="3:41" s="486" customFormat="1" ht="11.25" thickBot="1">
      <c r="C128" s="1039" t="s">
        <v>655</v>
      </c>
      <c r="E128" s="1040"/>
      <c r="J128" s="589">
        <f>SUM(J123:J127)</f>
        <v>0</v>
      </c>
      <c r="K128" s="589">
        <f>SUM(K123:K127)</f>
        <v>0</v>
      </c>
      <c r="L128" s="997">
        <f ca="1">SUM(L123:L127)</f>
        <v>135697221.8829442</v>
      </c>
      <c r="M128" s="997">
        <f t="shared" ref="M128:AM128" ca="1" si="26">SUM(M123:M127)</f>
        <v>256599967.16470182</v>
      </c>
      <c r="N128" s="997">
        <f t="shared" ca="1" si="26"/>
        <v>280539740.63760972</v>
      </c>
      <c r="O128" s="997">
        <f t="shared" ca="1" si="26"/>
        <v>288955932.85673803</v>
      </c>
      <c r="P128" s="997">
        <f t="shared" ca="1" si="26"/>
        <v>297624610.84244019</v>
      </c>
      <c r="Q128" s="997">
        <f t="shared" ca="1" si="26"/>
        <v>306553349.1677134</v>
      </c>
      <c r="R128" s="997">
        <f t="shared" ca="1" si="26"/>
        <v>315749949.64274484</v>
      </c>
      <c r="S128" s="997">
        <f t="shared" ca="1" si="26"/>
        <v>325222448.13202715</v>
      </c>
      <c r="T128" s="997">
        <f t="shared" ca="1" si="26"/>
        <v>334979121.57598799</v>
      </c>
      <c r="U128" s="997">
        <f t="shared" ca="1" si="26"/>
        <v>345028495.22326767</v>
      </c>
      <c r="V128" s="997">
        <f t="shared" ca="1" si="26"/>
        <v>355379350.07996571</v>
      </c>
      <c r="W128" s="997">
        <f t="shared" ca="1" si="26"/>
        <v>366040730.58236468</v>
      </c>
      <c r="X128" s="997">
        <f t="shared" ca="1" si="26"/>
        <v>377021952.49983561</v>
      </c>
      <c r="Y128" s="997">
        <f t="shared" ca="1" si="26"/>
        <v>388332611.07483077</v>
      </c>
      <c r="Z128" s="997">
        <f t="shared" ca="1" si="26"/>
        <v>399982589.4070757</v>
      </c>
      <c r="AA128" s="997">
        <f t="shared" ca="1" si="26"/>
        <v>411982067.089288</v>
      </c>
      <c r="AB128" s="997">
        <f t="shared" ca="1" si="26"/>
        <v>424341529.10196662</v>
      </c>
      <c r="AC128" s="997">
        <f t="shared" ca="1" si="26"/>
        <v>437071774.97502565</v>
      </c>
      <c r="AD128" s="997">
        <f t="shared" ca="1" si="26"/>
        <v>450183928.22427654</v>
      </c>
      <c r="AE128" s="997">
        <f t="shared" ca="1" si="26"/>
        <v>463689446.07100475</v>
      </c>
      <c r="AF128" s="997">
        <f t="shared" ca="1" si="26"/>
        <v>477600129.45313495</v>
      </c>
      <c r="AG128" s="997">
        <f t="shared" ca="1" si="26"/>
        <v>491928133.33672905</v>
      </c>
      <c r="AH128" s="997">
        <f t="shared" ca="1" si="26"/>
        <v>506685977.33683085</v>
      </c>
      <c r="AI128" s="997">
        <f t="shared" ca="1" si="26"/>
        <v>521886556.65693581</v>
      </c>
      <c r="AJ128" s="997">
        <f t="shared" ca="1" si="26"/>
        <v>537543153.35664392</v>
      </c>
      <c r="AK128" s="997">
        <f t="shared" ca="1" si="26"/>
        <v>553669447.95734334</v>
      </c>
      <c r="AL128" s="997">
        <f t="shared" ca="1" si="26"/>
        <v>570279531.39606357</v>
      </c>
      <c r="AM128" s="997">
        <f t="shared" ca="1" si="26"/>
        <v>587387917.33794546</v>
      </c>
      <c r="AN128" s="1081"/>
      <c r="AO128" s="486">
        <f>SUM(AO123:AO127)</f>
        <v>0</v>
      </c>
    </row>
    <row r="129" spans="3:41">
      <c r="E129" s="15"/>
      <c r="J129" s="52"/>
      <c r="K129" s="52"/>
      <c r="L129" s="52"/>
      <c r="M129" s="52"/>
      <c r="N129" s="52"/>
      <c r="O129" s="52"/>
      <c r="P129" s="52"/>
      <c r="Q129" s="52"/>
      <c r="R129" s="52"/>
      <c r="S129" s="52"/>
      <c r="T129" s="52"/>
      <c r="U129" s="52"/>
      <c r="V129" s="52"/>
      <c r="W129" s="52"/>
      <c r="X129" s="52"/>
      <c r="Y129" s="52"/>
      <c r="Z129" s="52"/>
      <c r="AA129" s="52"/>
      <c r="AB129" s="52"/>
      <c r="AC129" s="52"/>
      <c r="AD129" s="52"/>
      <c r="AE129" s="52"/>
      <c r="AF129" s="52"/>
      <c r="AG129" s="52"/>
      <c r="AH129" s="52"/>
      <c r="AI129" s="52"/>
      <c r="AJ129" s="52"/>
    </row>
    <row r="130" spans="3:41">
      <c r="C130" s="5"/>
      <c r="E130" s="15"/>
      <c r="J130" s="52"/>
      <c r="K130" s="52"/>
      <c r="L130" s="52"/>
      <c r="M130" s="52"/>
      <c r="N130" s="52"/>
      <c r="O130" s="52"/>
      <c r="P130" s="52"/>
      <c r="Q130" s="52"/>
      <c r="R130" s="52"/>
      <c r="S130" s="52"/>
      <c r="T130" s="52"/>
      <c r="U130" s="52"/>
      <c r="V130" s="52"/>
      <c r="W130" s="52"/>
      <c r="X130" s="52"/>
      <c r="Y130" s="52"/>
      <c r="Z130" s="52"/>
      <c r="AA130" s="52"/>
      <c r="AB130" s="52"/>
      <c r="AC130" s="52"/>
      <c r="AD130" s="52"/>
      <c r="AE130" s="52"/>
      <c r="AF130" s="52"/>
      <c r="AG130" s="52"/>
      <c r="AH130" s="52"/>
      <c r="AI130" s="52"/>
      <c r="AJ130" s="52"/>
    </row>
    <row r="131" spans="3:41">
      <c r="C131" s="1208" t="s">
        <v>1269</v>
      </c>
      <c r="E131" s="15"/>
      <c r="J131" s="52"/>
      <c r="K131" s="52"/>
      <c r="L131" s="52"/>
      <c r="M131" s="52"/>
      <c r="N131" s="52"/>
      <c r="O131" s="52"/>
      <c r="P131" s="52"/>
      <c r="Q131" s="52"/>
      <c r="R131" s="52"/>
      <c r="S131" s="52"/>
      <c r="T131" s="52"/>
      <c r="U131" s="52"/>
      <c r="V131" s="52"/>
      <c r="W131" s="52"/>
      <c r="X131" s="52"/>
      <c r="Y131" s="52"/>
      <c r="Z131" s="52"/>
      <c r="AA131" s="52"/>
      <c r="AB131" s="52"/>
      <c r="AC131" s="52"/>
      <c r="AD131" s="52"/>
      <c r="AE131" s="52"/>
      <c r="AF131" s="52"/>
      <c r="AG131" s="52"/>
      <c r="AH131" s="52"/>
      <c r="AI131" s="52"/>
      <c r="AJ131" s="52"/>
    </row>
    <row r="132" spans="3:41">
      <c r="C132" s="2239" t="s">
        <v>1800</v>
      </c>
      <c r="D132" s="15" t="s">
        <v>915</v>
      </c>
      <c r="E132" s="15"/>
      <c r="J132" s="107">
        <f>J62+J98</f>
        <v>0</v>
      </c>
      <c r="K132" s="107">
        <f t="shared" ref="K132:AM136" si="27">K62+K98</f>
        <v>0</v>
      </c>
      <c r="L132" s="107">
        <f t="shared" ca="1" si="27"/>
        <v>1218750</v>
      </c>
      <c r="M132" s="107">
        <f ca="1">M62+M98</f>
        <v>1425000</v>
      </c>
      <c r="N132" s="107">
        <f t="shared" ca="1" si="27"/>
        <v>1425000</v>
      </c>
      <c r="O132" s="107">
        <f t="shared" ca="1" si="27"/>
        <v>1425000</v>
      </c>
      <c r="P132" s="107">
        <f t="shared" ca="1" si="27"/>
        <v>1425000</v>
      </c>
      <c r="Q132" s="107">
        <f t="shared" ca="1" si="27"/>
        <v>1425000</v>
      </c>
      <c r="R132" s="107">
        <f t="shared" ca="1" si="27"/>
        <v>1425000</v>
      </c>
      <c r="S132" s="107">
        <f t="shared" ca="1" si="27"/>
        <v>1425000</v>
      </c>
      <c r="T132" s="107">
        <f t="shared" ca="1" si="27"/>
        <v>1425000</v>
      </c>
      <c r="U132" s="107">
        <f t="shared" ca="1" si="27"/>
        <v>1425000</v>
      </c>
      <c r="V132" s="107">
        <f t="shared" ca="1" si="27"/>
        <v>1425000</v>
      </c>
      <c r="W132" s="107">
        <f t="shared" ca="1" si="27"/>
        <v>1425000</v>
      </c>
      <c r="X132" s="107">
        <f t="shared" ca="1" si="27"/>
        <v>1425000</v>
      </c>
      <c r="Y132" s="107">
        <f t="shared" ca="1" si="27"/>
        <v>1425000</v>
      </c>
      <c r="Z132" s="107">
        <f t="shared" ca="1" si="27"/>
        <v>1425000</v>
      </c>
      <c r="AA132" s="107">
        <f t="shared" ca="1" si="27"/>
        <v>1425000</v>
      </c>
      <c r="AB132" s="107">
        <f t="shared" ca="1" si="27"/>
        <v>1425000</v>
      </c>
      <c r="AC132" s="107">
        <f t="shared" ca="1" si="27"/>
        <v>1425000</v>
      </c>
      <c r="AD132" s="107">
        <f t="shared" ca="1" si="27"/>
        <v>1425000</v>
      </c>
      <c r="AE132" s="107">
        <f t="shared" ca="1" si="27"/>
        <v>1425000</v>
      </c>
      <c r="AF132" s="107">
        <f t="shared" ca="1" si="27"/>
        <v>1425000</v>
      </c>
      <c r="AG132" s="107">
        <f t="shared" ca="1" si="27"/>
        <v>1425000</v>
      </c>
      <c r="AH132" s="107">
        <f t="shared" ca="1" si="27"/>
        <v>1425000</v>
      </c>
      <c r="AI132" s="107">
        <f t="shared" ca="1" si="27"/>
        <v>1425000</v>
      </c>
      <c r="AJ132" s="107">
        <f t="shared" ca="1" si="27"/>
        <v>1425000</v>
      </c>
      <c r="AK132" s="107">
        <f t="shared" ca="1" si="27"/>
        <v>1425000</v>
      </c>
      <c r="AL132" s="107">
        <f t="shared" ca="1" si="27"/>
        <v>1425000</v>
      </c>
      <c r="AM132" s="107">
        <f t="shared" ca="1" si="27"/>
        <v>1425000</v>
      </c>
      <c r="AN132" s="1071"/>
      <c r="AO132" s="2">
        <f>AO65+AO98</f>
        <v>0</v>
      </c>
    </row>
    <row r="133" spans="3:41">
      <c r="C133" s="2239" t="s">
        <v>1801</v>
      </c>
      <c r="D133" s="15" t="s">
        <v>915</v>
      </c>
      <c r="E133" s="15"/>
      <c r="J133" s="107">
        <f>J63+J99</f>
        <v>0</v>
      </c>
      <c r="K133" s="107">
        <f>K63+K99</f>
        <v>0</v>
      </c>
      <c r="L133" s="107">
        <f>L63+L99</f>
        <v>0</v>
      </c>
      <c r="M133" s="107">
        <f ca="1">M63+M99</f>
        <v>812500</v>
      </c>
      <c r="N133" s="107">
        <f t="shared" ref="N133:Y133" ca="1" si="28">N63+N99</f>
        <v>950000</v>
      </c>
      <c r="O133" s="107">
        <f t="shared" ca="1" si="28"/>
        <v>950000</v>
      </c>
      <c r="P133" s="107">
        <f t="shared" ca="1" si="28"/>
        <v>950000</v>
      </c>
      <c r="Q133" s="107">
        <f t="shared" ca="1" si="28"/>
        <v>950000</v>
      </c>
      <c r="R133" s="107">
        <f t="shared" ca="1" si="28"/>
        <v>950000</v>
      </c>
      <c r="S133" s="107">
        <f t="shared" ca="1" si="28"/>
        <v>950000</v>
      </c>
      <c r="T133" s="107">
        <f t="shared" ca="1" si="28"/>
        <v>950000</v>
      </c>
      <c r="U133" s="107">
        <f t="shared" ca="1" si="28"/>
        <v>950000</v>
      </c>
      <c r="V133" s="107">
        <f t="shared" ca="1" si="28"/>
        <v>950000</v>
      </c>
      <c r="W133" s="107">
        <f t="shared" ca="1" si="28"/>
        <v>950000</v>
      </c>
      <c r="X133" s="107">
        <f t="shared" ca="1" si="28"/>
        <v>950000</v>
      </c>
      <c r="Y133" s="107">
        <f t="shared" ca="1" si="28"/>
        <v>950000</v>
      </c>
      <c r="Z133" s="107">
        <f t="shared" ca="1" si="27"/>
        <v>950000</v>
      </c>
      <c r="AA133" s="107">
        <f t="shared" ca="1" si="27"/>
        <v>950000</v>
      </c>
      <c r="AB133" s="107">
        <f t="shared" ca="1" si="27"/>
        <v>950000</v>
      </c>
      <c r="AC133" s="107">
        <f t="shared" ca="1" si="27"/>
        <v>950000</v>
      </c>
      <c r="AD133" s="107">
        <f t="shared" ca="1" si="27"/>
        <v>950000</v>
      </c>
      <c r="AE133" s="107">
        <f t="shared" ca="1" si="27"/>
        <v>950000</v>
      </c>
      <c r="AF133" s="107">
        <f t="shared" ca="1" si="27"/>
        <v>950000</v>
      </c>
      <c r="AG133" s="107">
        <f t="shared" ca="1" si="27"/>
        <v>950000</v>
      </c>
      <c r="AH133" s="107">
        <f t="shared" ca="1" si="27"/>
        <v>950000</v>
      </c>
      <c r="AI133" s="107">
        <f t="shared" ca="1" si="27"/>
        <v>950000</v>
      </c>
      <c r="AJ133" s="107">
        <f t="shared" ca="1" si="27"/>
        <v>950000</v>
      </c>
      <c r="AK133" s="107">
        <f t="shared" ca="1" si="27"/>
        <v>950000</v>
      </c>
      <c r="AL133" s="107">
        <f t="shared" ca="1" si="27"/>
        <v>950000</v>
      </c>
      <c r="AM133" s="107">
        <f t="shared" ca="1" si="27"/>
        <v>950000</v>
      </c>
      <c r="AN133" s="1071"/>
    </row>
    <row r="134" spans="3:41">
      <c r="C134" s="2239" t="s">
        <v>1802</v>
      </c>
      <c r="D134" s="15" t="s">
        <v>915</v>
      </c>
      <c r="E134" s="15"/>
      <c r="J134" s="107">
        <f>J64+J100</f>
        <v>0</v>
      </c>
      <c r="K134" s="107">
        <f t="shared" si="27"/>
        <v>0</v>
      </c>
      <c r="L134" s="107">
        <f t="shared" si="27"/>
        <v>0</v>
      </c>
      <c r="M134" s="107">
        <f t="shared" ca="1" si="27"/>
        <v>0</v>
      </c>
      <c r="N134" s="107">
        <f t="shared" ca="1" si="27"/>
        <v>0</v>
      </c>
      <c r="O134" s="107">
        <f t="shared" ca="1" si="27"/>
        <v>0</v>
      </c>
      <c r="P134" s="107">
        <f t="shared" ca="1" si="27"/>
        <v>0</v>
      </c>
      <c r="Q134" s="107">
        <f t="shared" ca="1" si="27"/>
        <v>0</v>
      </c>
      <c r="R134" s="107">
        <f t="shared" ca="1" si="27"/>
        <v>0</v>
      </c>
      <c r="S134" s="107">
        <f t="shared" ca="1" si="27"/>
        <v>0</v>
      </c>
      <c r="T134" s="107">
        <f t="shared" ca="1" si="27"/>
        <v>0</v>
      </c>
      <c r="U134" s="107">
        <f t="shared" ca="1" si="27"/>
        <v>0</v>
      </c>
      <c r="V134" s="107">
        <f t="shared" ca="1" si="27"/>
        <v>0</v>
      </c>
      <c r="W134" s="107">
        <f t="shared" ca="1" si="27"/>
        <v>0</v>
      </c>
      <c r="X134" s="107">
        <f t="shared" ca="1" si="27"/>
        <v>0</v>
      </c>
      <c r="Y134" s="107">
        <f t="shared" ca="1" si="27"/>
        <v>0</v>
      </c>
      <c r="Z134" s="107">
        <f t="shared" ca="1" si="27"/>
        <v>0</v>
      </c>
      <c r="AA134" s="107">
        <f t="shared" ca="1" si="27"/>
        <v>0</v>
      </c>
      <c r="AB134" s="107">
        <f t="shared" ca="1" si="27"/>
        <v>0</v>
      </c>
      <c r="AC134" s="107">
        <f t="shared" ca="1" si="27"/>
        <v>0</v>
      </c>
      <c r="AD134" s="107">
        <f t="shared" ca="1" si="27"/>
        <v>0</v>
      </c>
      <c r="AE134" s="107">
        <f t="shared" ca="1" si="27"/>
        <v>0</v>
      </c>
      <c r="AF134" s="107">
        <f t="shared" ca="1" si="27"/>
        <v>0</v>
      </c>
      <c r="AG134" s="107">
        <f t="shared" ca="1" si="27"/>
        <v>0</v>
      </c>
      <c r="AH134" s="107">
        <f t="shared" ca="1" si="27"/>
        <v>0</v>
      </c>
      <c r="AI134" s="107">
        <f t="shared" ca="1" si="27"/>
        <v>0</v>
      </c>
      <c r="AJ134" s="107">
        <f t="shared" ca="1" si="27"/>
        <v>0</v>
      </c>
      <c r="AK134" s="107">
        <f t="shared" ca="1" si="27"/>
        <v>0</v>
      </c>
      <c r="AL134" s="107">
        <f t="shared" ca="1" si="27"/>
        <v>0</v>
      </c>
      <c r="AM134" s="107">
        <f t="shared" ca="1" si="27"/>
        <v>0</v>
      </c>
      <c r="AN134" s="1071"/>
    </row>
    <row r="135" spans="3:41">
      <c r="C135" s="2239" t="s">
        <v>2113</v>
      </c>
      <c r="D135" s="15" t="s">
        <v>915</v>
      </c>
      <c r="E135" s="15"/>
      <c r="J135" s="107">
        <f>J65+J101</f>
        <v>0</v>
      </c>
      <c r="K135" s="107">
        <f t="shared" si="27"/>
        <v>0</v>
      </c>
      <c r="L135" s="107">
        <f t="shared" ca="1" si="27"/>
        <v>0</v>
      </c>
      <c r="M135" s="107">
        <f t="shared" ca="1" si="27"/>
        <v>0</v>
      </c>
      <c r="N135" s="107">
        <f t="shared" ca="1" si="27"/>
        <v>0</v>
      </c>
      <c r="O135" s="107">
        <f t="shared" ca="1" si="27"/>
        <v>0</v>
      </c>
      <c r="P135" s="107">
        <f t="shared" ca="1" si="27"/>
        <v>0</v>
      </c>
      <c r="Q135" s="107">
        <f t="shared" ca="1" si="27"/>
        <v>0</v>
      </c>
      <c r="R135" s="107">
        <f t="shared" ca="1" si="27"/>
        <v>0</v>
      </c>
      <c r="S135" s="107">
        <f t="shared" ca="1" si="27"/>
        <v>0</v>
      </c>
      <c r="T135" s="107">
        <f t="shared" ca="1" si="27"/>
        <v>0</v>
      </c>
      <c r="U135" s="107">
        <f t="shared" ca="1" si="27"/>
        <v>0</v>
      </c>
      <c r="V135" s="107">
        <f t="shared" ca="1" si="27"/>
        <v>0</v>
      </c>
      <c r="W135" s="107">
        <f t="shared" ca="1" si="27"/>
        <v>0</v>
      </c>
      <c r="X135" s="107">
        <f t="shared" ca="1" si="27"/>
        <v>0</v>
      </c>
      <c r="Y135" s="107">
        <f t="shared" ca="1" si="27"/>
        <v>0</v>
      </c>
      <c r="Z135" s="107">
        <f t="shared" ca="1" si="27"/>
        <v>0</v>
      </c>
      <c r="AA135" s="107">
        <f t="shared" ca="1" si="27"/>
        <v>0</v>
      </c>
      <c r="AB135" s="107">
        <f t="shared" ca="1" si="27"/>
        <v>0</v>
      </c>
      <c r="AC135" s="107">
        <f t="shared" ca="1" si="27"/>
        <v>0</v>
      </c>
      <c r="AD135" s="107">
        <f t="shared" ca="1" si="27"/>
        <v>0</v>
      </c>
      <c r="AE135" s="107">
        <f t="shared" ca="1" si="27"/>
        <v>0</v>
      </c>
      <c r="AF135" s="107">
        <f t="shared" ca="1" si="27"/>
        <v>0</v>
      </c>
      <c r="AG135" s="107">
        <f t="shared" ca="1" si="27"/>
        <v>0</v>
      </c>
      <c r="AH135" s="107">
        <f t="shared" ca="1" si="27"/>
        <v>0</v>
      </c>
      <c r="AI135" s="107">
        <f t="shared" ca="1" si="27"/>
        <v>0</v>
      </c>
      <c r="AJ135" s="107">
        <f t="shared" ca="1" si="27"/>
        <v>0</v>
      </c>
      <c r="AK135" s="107">
        <f t="shared" ca="1" si="27"/>
        <v>0</v>
      </c>
      <c r="AL135" s="107">
        <f t="shared" ca="1" si="27"/>
        <v>0</v>
      </c>
      <c r="AM135" s="107">
        <f t="shared" ca="1" si="27"/>
        <v>0</v>
      </c>
      <c r="AN135" s="1071"/>
    </row>
    <row r="136" spans="3:41">
      <c r="C136" s="2239" t="s">
        <v>863</v>
      </c>
      <c r="D136" s="15" t="s">
        <v>915</v>
      </c>
      <c r="E136" s="15"/>
      <c r="J136" s="107">
        <f>J66+J102</f>
        <v>0</v>
      </c>
      <c r="K136" s="107">
        <f t="shared" si="27"/>
        <v>0</v>
      </c>
      <c r="L136" s="107">
        <f t="shared" ca="1" si="27"/>
        <v>812500</v>
      </c>
      <c r="M136" s="107">
        <f t="shared" ca="1" si="27"/>
        <v>950000</v>
      </c>
      <c r="N136" s="107">
        <f t="shared" ca="1" si="27"/>
        <v>950000</v>
      </c>
      <c r="O136" s="107">
        <f t="shared" ca="1" si="27"/>
        <v>950000</v>
      </c>
      <c r="P136" s="107">
        <f t="shared" ca="1" si="27"/>
        <v>950000</v>
      </c>
      <c r="Q136" s="107">
        <f t="shared" ca="1" si="27"/>
        <v>950000</v>
      </c>
      <c r="R136" s="107">
        <f t="shared" ca="1" si="27"/>
        <v>950000</v>
      </c>
      <c r="S136" s="107">
        <f t="shared" ca="1" si="27"/>
        <v>950000</v>
      </c>
      <c r="T136" s="107">
        <f t="shared" ca="1" si="27"/>
        <v>950000</v>
      </c>
      <c r="U136" s="107">
        <f t="shared" ca="1" si="27"/>
        <v>950000</v>
      </c>
      <c r="V136" s="107">
        <f t="shared" ca="1" si="27"/>
        <v>950000</v>
      </c>
      <c r="W136" s="107">
        <f t="shared" ca="1" si="27"/>
        <v>950000</v>
      </c>
      <c r="X136" s="107">
        <f t="shared" ca="1" si="27"/>
        <v>950000</v>
      </c>
      <c r="Y136" s="107">
        <f t="shared" ca="1" si="27"/>
        <v>950000</v>
      </c>
      <c r="Z136" s="107">
        <f t="shared" ca="1" si="27"/>
        <v>950000</v>
      </c>
      <c r="AA136" s="107">
        <f t="shared" ca="1" si="27"/>
        <v>950000</v>
      </c>
      <c r="AB136" s="107">
        <f t="shared" ca="1" si="27"/>
        <v>950000</v>
      </c>
      <c r="AC136" s="107">
        <f t="shared" ca="1" si="27"/>
        <v>950000</v>
      </c>
      <c r="AD136" s="107">
        <f t="shared" ca="1" si="27"/>
        <v>950000</v>
      </c>
      <c r="AE136" s="107">
        <f t="shared" ca="1" si="27"/>
        <v>950000</v>
      </c>
      <c r="AF136" s="107">
        <f t="shared" ca="1" si="27"/>
        <v>950000</v>
      </c>
      <c r="AG136" s="107">
        <f t="shared" ca="1" si="27"/>
        <v>950000</v>
      </c>
      <c r="AH136" s="107">
        <f t="shared" ca="1" si="27"/>
        <v>950000</v>
      </c>
      <c r="AI136" s="107">
        <f t="shared" ca="1" si="27"/>
        <v>950000</v>
      </c>
      <c r="AJ136" s="107">
        <f t="shared" ca="1" si="27"/>
        <v>950000</v>
      </c>
      <c r="AK136" s="107">
        <f t="shared" ca="1" si="27"/>
        <v>950000</v>
      </c>
      <c r="AL136" s="107">
        <f t="shared" ca="1" si="27"/>
        <v>950000</v>
      </c>
      <c r="AM136" s="107">
        <f t="shared" ca="1" si="27"/>
        <v>950000</v>
      </c>
      <c r="AN136" s="1071"/>
      <c r="AO136" s="2">
        <f>AO66+AO102</f>
        <v>0</v>
      </c>
    </row>
    <row r="137" spans="3:41" s="486" customFormat="1" ht="11.25" thickBot="1">
      <c r="C137" s="1039" t="s">
        <v>655</v>
      </c>
      <c r="E137" s="1040"/>
      <c r="J137" s="1046">
        <f>SUM(J132:J136)</f>
        <v>0</v>
      </c>
      <c r="K137" s="1046">
        <f t="shared" ref="K137:AO137" si="29">SUM(K132:K136)</f>
        <v>0</v>
      </c>
      <c r="L137" s="1046">
        <f t="shared" ca="1" si="29"/>
        <v>2031250</v>
      </c>
      <c r="M137" s="1046">
        <f t="shared" ca="1" si="29"/>
        <v>3187500</v>
      </c>
      <c r="N137" s="1046">
        <f t="shared" ca="1" si="29"/>
        <v>3325000</v>
      </c>
      <c r="O137" s="1046">
        <f t="shared" ca="1" si="29"/>
        <v>3325000</v>
      </c>
      <c r="P137" s="1046">
        <f t="shared" ca="1" si="29"/>
        <v>3325000</v>
      </c>
      <c r="Q137" s="1046">
        <f t="shared" ca="1" si="29"/>
        <v>3325000</v>
      </c>
      <c r="R137" s="1046">
        <f t="shared" ca="1" si="29"/>
        <v>3325000</v>
      </c>
      <c r="S137" s="1046">
        <f t="shared" ca="1" si="29"/>
        <v>3325000</v>
      </c>
      <c r="T137" s="1046">
        <f t="shared" ca="1" si="29"/>
        <v>3325000</v>
      </c>
      <c r="U137" s="1046">
        <f t="shared" ca="1" si="29"/>
        <v>3325000</v>
      </c>
      <c r="V137" s="1046">
        <f t="shared" ca="1" si="29"/>
        <v>3325000</v>
      </c>
      <c r="W137" s="1046">
        <f t="shared" ca="1" si="29"/>
        <v>3325000</v>
      </c>
      <c r="X137" s="1046">
        <f t="shared" ca="1" si="29"/>
        <v>3325000</v>
      </c>
      <c r="Y137" s="1046">
        <f t="shared" ca="1" si="29"/>
        <v>3325000</v>
      </c>
      <c r="Z137" s="1046">
        <f t="shared" ca="1" si="29"/>
        <v>3325000</v>
      </c>
      <c r="AA137" s="1046">
        <f t="shared" ca="1" si="29"/>
        <v>3325000</v>
      </c>
      <c r="AB137" s="1046">
        <f t="shared" ca="1" si="29"/>
        <v>3325000</v>
      </c>
      <c r="AC137" s="1046">
        <f t="shared" ca="1" si="29"/>
        <v>3325000</v>
      </c>
      <c r="AD137" s="1046">
        <f t="shared" ca="1" si="29"/>
        <v>3325000</v>
      </c>
      <c r="AE137" s="1046">
        <f t="shared" ca="1" si="29"/>
        <v>3325000</v>
      </c>
      <c r="AF137" s="1046">
        <f t="shared" ca="1" si="29"/>
        <v>3325000</v>
      </c>
      <c r="AG137" s="1046">
        <f t="shared" ca="1" si="29"/>
        <v>3325000</v>
      </c>
      <c r="AH137" s="1046">
        <f t="shared" ca="1" si="29"/>
        <v>3325000</v>
      </c>
      <c r="AI137" s="1046">
        <f t="shared" ca="1" si="29"/>
        <v>3325000</v>
      </c>
      <c r="AJ137" s="1046">
        <f t="shared" ca="1" si="29"/>
        <v>3325000</v>
      </c>
      <c r="AK137" s="1046">
        <f t="shared" ca="1" si="29"/>
        <v>3325000</v>
      </c>
      <c r="AL137" s="1046">
        <f t="shared" ca="1" si="29"/>
        <v>3325000</v>
      </c>
      <c r="AM137" s="1046">
        <f t="shared" ca="1" si="29"/>
        <v>3325000</v>
      </c>
      <c r="AN137" s="1082"/>
      <c r="AO137" s="486">
        <f t="shared" si="29"/>
        <v>0</v>
      </c>
    </row>
    <row r="138" spans="3:41">
      <c r="C138" s="588"/>
      <c r="E138" s="15"/>
    </row>
    <row r="139" spans="3:41">
      <c r="C139" s="588" t="s">
        <v>1155</v>
      </c>
      <c r="E139" s="15"/>
    </row>
    <row r="140" spans="3:41">
      <c r="C140" s="2239" t="s">
        <v>1800</v>
      </c>
      <c r="D140" s="15" t="str">
        <f>IF('Input '!$F$9=1,"US$","=N=")</f>
        <v>US$</v>
      </c>
      <c r="E140" s="15"/>
      <c r="J140" s="107">
        <f>J123+J90</f>
        <v>0</v>
      </c>
      <c r="K140" s="107">
        <f t="shared" ref="K140:AM144" si="30">K123+K90</f>
        <v>0</v>
      </c>
      <c r="L140" s="41">
        <f t="shared" ca="1" si="30"/>
        <v>547033996.49400461</v>
      </c>
      <c r="M140" s="41">
        <f t="shared" ca="1" si="30"/>
        <v>628942199.96819651</v>
      </c>
      <c r="N140" s="41">
        <f t="shared" ca="1" si="30"/>
        <v>687521260.8468101</v>
      </c>
      <c r="O140" s="41">
        <f t="shared" ca="1" si="30"/>
        <v>743662244.97370207</v>
      </c>
      <c r="P140" s="41">
        <f t="shared" ca="1" si="30"/>
        <v>798199066.63623762</v>
      </c>
      <c r="Q140" s="41">
        <f t="shared" ca="1" si="30"/>
        <v>843695384.73748088</v>
      </c>
      <c r="R140" s="41">
        <f t="shared" ca="1" si="30"/>
        <v>891952617.29649377</v>
      </c>
      <c r="S140" s="41">
        <f t="shared" ca="1" si="30"/>
        <v>943144025.81954503</v>
      </c>
      <c r="T140" s="41">
        <f t="shared" ca="1" si="30"/>
        <v>997453927.95000815</v>
      </c>
      <c r="U140" s="41">
        <f t="shared" ca="1" si="30"/>
        <v>1055078408.6508585</v>
      </c>
      <c r="V140" s="41">
        <f t="shared" ca="1" si="30"/>
        <v>1116226077.306433</v>
      </c>
      <c r="W140" s="41">
        <f t="shared" ca="1" si="30"/>
        <v>1181118873.7135642</v>
      </c>
      <c r="X140" s="41">
        <f t="shared" ca="1" si="30"/>
        <v>1249992926.1244652</v>
      </c>
      <c r="Y140" s="41">
        <f t="shared" ca="1" si="30"/>
        <v>801246175.56026816</v>
      </c>
      <c r="Z140" s="41">
        <f t="shared" ca="1" si="30"/>
        <v>825283560.82707608</v>
      </c>
      <c r="AA140" s="41">
        <f t="shared" ca="1" si="30"/>
        <v>850042067.65188849</v>
      </c>
      <c r="AB140" s="41">
        <f t="shared" ca="1" si="30"/>
        <v>875543329.68144512</v>
      </c>
      <c r="AC140" s="41">
        <f t="shared" ca="1" si="30"/>
        <v>901809629.57188857</v>
      </c>
      <c r="AD140" s="41">
        <f t="shared" ca="1" si="30"/>
        <v>928863918.45904529</v>
      </c>
      <c r="AE140" s="41">
        <f t="shared" ca="1" si="30"/>
        <v>956729836.01281667</v>
      </c>
      <c r="AF140" s="41">
        <f t="shared" ca="1" si="30"/>
        <v>985431731.09320116</v>
      </c>
      <c r="AG140" s="41">
        <f t="shared" ca="1" si="30"/>
        <v>1014994683.0259973</v>
      </c>
      <c r="AH140" s="41">
        <f t="shared" ca="1" si="30"/>
        <v>1045444523.5167772</v>
      </c>
      <c r="AI140" s="41">
        <f t="shared" ca="1" si="30"/>
        <v>1076807859.2222805</v>
      </c>
      <c r="AJ140" s="41">
        <f t="shared" ca="1" si="30"/>
        <v>1109112094.9989491</v>
      </c>
      <c r="AK140" s="41">
        <f t="shared" ca="1" si="30"/>
        <v>1142385457.8489175</v>
      </c>
      <c r="AL140" s="41">
        <f t="shared" ca="1" si="30"/>
        <v>1176657021.5843849</v>
      </c>
      <c r="AM140" s="41">
        <f t="shared" ca="1" si="30"/>
        <v>1211956732.2319164</v>
      </c>
    </row>
    <row r="141" spans="3:41">
      <c r="C141" s="2239" t="s">
        <v>1801</v>
      </c>
      <c r="D141" s="15" t="str">
        <f>IF('Input '!$F$9=1,"US$","=N=")</f>
        <v>US$</v>
      </c>
      <c r="E141" s="15"/>
      <c r="J141" s="107">
        <f>J124+J91</f>
        <v>0</v>
      </c>
      <c r="K141" s="107">
        <f t="shared" ref="K141:Y141" si="31">K124+K91</f>
        <v>0</v>
      </c>
      <c r="L141" s="41">
        <f t="shared" ca="1" si="31"/>
        <v>0</v>
      </c>
      <c r="M141" s="41">
        <f t="shared" ca="1" si="31"/>
        <v>358607394.71870852</v>
      </c>
      <c r="N141" s="41">
        <f t="shared" ca="1" si="31"/>
        <v>458347507.23120677</v>
      </c>
      <c r="O141" s="41">
        <f t="shared" ca="1" si="31"/>
        <v>495774829.98246813</v>
      </c>
      <c r="P141" s="41">
        <f t="shared" ca="1" si="31"/>
        <v>532132711.0908252</v>
      </c>
      <c r="Q141" s="41">
        <f t="shared" ca="1" si="31"/>
        <v>562463589.82498729</v>
      </c>
      <c r="R141" s="41">
        <f t="shared" ca="1" si="31"/>
        <v>594635078.19766259</v>
      </c>
      <c r="S141" s="41">
        <f t="shared" ca="1" si="31"/>
        <v>628762683.87969673</v>
      </c>
      <c r="T141" s="41">
        <f t="shared" ca="1" si="31"/>
        <v>664969285.30000556</v>
      </c>
      <c r="U141" s="41">
        <f t="shared" ca="1" si="31"/>
        <v>703385605.76723909</v>
      </c>
      <c r="V141" s="41">
        <f t="shared" ca="1" si="31"/>
        <v>744150718.20428872</v>
      </c>
      <c r="W141" s="41">
        <f t="shared" ca="1" si="31"/>
        <v>787412582.47570944</v>
      </c>
      <c r="X141" s="41">
        <f t="shared" ca="1" si="31"/>
        <v>833328617.41631031</v>
      </c>
      <c r="Y141" s="41">
        <f t="shared" ca="1" si="31"/>
        <v>534164117.04017878</v>
      </c>
      <c r="Z141" s="41">
        <f t="shared" ca="1" si="30"/>
        <v>550189040.55138409</v>
      </c>
      <c r="AA141" s="41">
        <f t="shared" ca="1" si="30"/>
        <v>566694711.76792574</v>
      </c>
      <c r="AB141" s="41">
        <f t="shared" ca="1" si="30"/>
        <v>583695553.12096345</v>
      </c>
      <c r="AC141" s="41">
        <f t="shared" ca="1" si="30"/>
        <v>601206419.71459246</v>
      </c>
      <c r="AD141" s="41">
        <f t="shared" ca="1" si="30"/>
        <v>619242612.30603027</v>
      </c>
      <c r="AE141" s="41">
        <f t="shared" ca="1" si="30"/>
        <v>637819890.67521119</v>
      </c>
      <c r="AF141" s="41">
        <f t="shared" ca="1" si="30"/>
        <v>656954487.39546752</v>
      </c>
      <c r="AG141" s="41">
        <f t="shared" ca="1" si="30"/>
        <v>676663122.0173316</v>
      </c>
      <c r="AH141" s="41">
        <f t="shared" ca="1" si="30"/>
        <v>696963015.67785156</v>
      </c>
      <c r="AI141" s="41">
        <f t="shared" ca="1" si="30"/>
        <v>717871906.14818716</v>
      </c>
      <c r="AJ141" s="41">
        <f t="shared" ca="1" si="30"/>
        <v>739408063.33263278</v>
      </c>
      <c r="AK141" s="41">
        <f t="shared" ca="1" si="30"/>
        <v>761590305.23261166</v>
      </c>
      <c r="AL141" s="41">
        <f t="shared" ca="1" si="30"/>
        <v>784438014.38959014</v>
      </c>
      <c r="AM141" s="41">
        <f t="shared" ca="1" si="30"/>
        <v>807971154.82127774</v>
      </c>
    </row>
    <row r="142" spans="3:41">
      <c r="C142" s="2239" t="s">
        <v>1802</v>
      </c>
      <c r="D142" s="15" t="str">
        <f>IF('Input '!$F$9=1,"US$","=N=")</f>
        <v>US$</v>
      </c>
      <c r="E142" s="15"/>
      <c r="J142" s="107">
        <f>J125+J92</f>
        <v>0</v>
      </c>
      <c r="K142" s="107">
        <f t="shared" si="30"/>
        <v>0</v>
      </c>
      <c r="L142" s="41">
        <f t="shared" ca="1" si="30"/>
        <v>0</v>
      </c>
      <c r="M142" s="41">
        <f t="shared" ca="1" si="30"/>
        <v>0</v>
      </c>
      <c r="N142" s="41">
        <f t="shared" ca="1" si="30"/>
        <v>0</v>
      </c>
      <c r="O142" s="41">
        <f t="shared" ca="1" si="30"/>
        <v>0</v>
      </c>
      <c r="P142" s="41">
        <f t="shared" ca="1" si="30"/>
        <v>0</v>
      </c>
      <c r="Q142" s="41">
        <f t="shared" ca="1" si="30"/>
        <v>0</v>
      </c>
      <c r="R142" s="41">
        <f t="shared" ca="1" si="30"/>
        <v>0</v>
      </c>
      <c r="S142" s="41">
        <f t="shared" ca="1" si="30"/>
        <v>0</v>
      </c>
      <c r="T142" s="41">
        <f t="shared" ca="1" si="30"/>
        <v>0</v>
      </c>
      <c r="U142" s="41">
        <f t="shared" ca="1" si="30"/>
        <v>0</v>
      </c>
      <c r="V142" s="41">
        <f t="shared" ca="1" si="30"/>
        <v>0</v>
      </c>
      <c r="W142" s="41">
        <f t="shared" ca="1" si="30"/>
        <v>0</v>
      </c>
      <c r="X142" s="41">
        <f t="shared" ca="1" si="30"/>
        <v>0</v>
      </c>
      <c r="Y142" s="41">
        <f t="shared" ca="1" si="30"/>
        <v>0</v>
      </c>
      <c r="Z142" s="41">
        <f t="shared" ca="1" si="30"/>
        <v>0</v>
      </c>
      <c r="AA142" s="41">
        <f t="shared" ca="1" si="30"/>
        <v>0</v>
      </c>
      <c r="AB142" s="41">
        <f t="shared" ca="1" si="30"/>
        <v>0</v>
      </c>
      <c r="AC142" s="41">
        <f t="shared" ca="1" si="30"/>
        <v>0</v>
      </c>
      <c r="AD142" s="41">
        <f t="shared" ca="1" si="30"/>
        <v>0</v>
      </c>
      <c r="AE142" s="41">
        <f t="shared" ca="1" si="30"/>
        <v>0</v>
      </c>
      <c r="AF142" s="41">
        <f t="shared" ca="1" si="30"/>
        <v>0</v>
      </c>
      <c r="AG142" s="41">
        <f t="shared" ca="1" si="30"/>
        <v>0</v>
      </c>
      <c r="AH142" s="41">
        <f t="shared" ca="1" si="30"/>
        <v>0</v>
      </c>
      <c r="AI142" s="41">
        <f t="shared" ca="1" si="30"/>
        <v>0</v>
      </c>
      <c r="AJ142" s="41">
        <f t="shared" ca="1" si="30"/>
        <v>0</v>
      </c>
      <c r="AK142" s="41">
        <f t="shared" ca="1" si="30"/>
        <v>0</v>
      </c>
      <c r="AL142" s="41">
        <f t="shared" ca="1" si="30"/>
        <v>0</v>
      </c>
      <c r="AM142" s="41">
        <f t="shared" ca="1" si="30"/>
        <v>0</v>
      </c>
    </row>
    <row r="143" spans="3:41">
      <c r="C143" s="2239" t="s">
        <v>2113</v>
      </c>
      <c r="D143" s="15" t="str">
        <f>IF('Input '!$F$9=1,"US$","=N=")</f>
        <v>US$</v>
      </c>
      <c r="E143" s="15"/>
      <c r="J143" s="107">
        <f>J126+J93</f>
        <v>0</v>
      </c>
      <c r="K143" s="107">
        <f t="shared" si="30"/>
        <v>0</v>
      </c>
      <c r="L143" s="41">
        <f>L126+L93</f>
        <v>0</v>
      </c>
      <c r="M143" s="41">
        <f t="shared" si="30"/>
        <v>0</v>
      </c>
      <c r="N143" s="41">
        <f t="shared" si="30"/>
        <v>0</v>
      </c>
      <c r="O143" s="41">
        <f t="shared" si="30"/>
        <v>0</v>
      </c>
      <c r="P143" s="41">
        <f t="shared" si="30"/>
        <v>0</v>
      </c>
      <c r="Q143" s="41">
        <f t="shared" si="30"/>
        <v>0</v>
      </c>
      <c r="R143" s="41">
        <f t="shared" si="30"/>
        <v>0</v>
      </c>
      <c r="S143" s="41">
        <f t="shared" si="30"/>
        <v>0</v>
      </c>
      <c r="T143" s="41">
        <f t="shared" si="30"/>
        <v>0</v>
      </c>
      <c r="U143" s="41">
        <f t="shared" si="30"/>
        <v>0</v>
      </c>
      <c r="V143" s="41">
        <f t="shared" si="30"/>
        <v>0</v>
      </c>
      <c r="W143" s="41">
        <f t="shared" si="30"/>
        <v>0</v>
      </c>
      <c r="X143" s="41">
        <f t="shared" si="30"/>
        <v>0</v>
      </c>
      <c r="Y143" s="41">
        <f t="shared" si="30"/>
        <v>0</v>
      </c>
      <c r="Z143" s="41">
        <f t="shared" si="30"/>
        <v>0</v>
      </c>
      <c r="AA143" s="41">
        <f t="shared" si="30"/>
        <v>0</v>
      </c>
      <c r="AB143" s="41">
        <f t="shared" si="30"/>
        <v>0</v>
      </c>
      <c r="AC143" s="41">
        <f t="shared" si="30"/>
        <v>0</v>
      </c>
      <c r="AD143" s="41">
        <f t="shared" si="30"/>
        <v>0</v>
      </c>
      <c r="AE143" s="41">
        <f t="shared" si="30"/>
        <v>0</v>
      </c>
      <c r="AF143" s="41">
        <f t="shared" si="30"/>
        <v>0</v>
      </c>
      <c r="AG143" s="41">
        <f t="shared" si="30"/>
        <v>0</v>
      </c>
      <c r="AH143" s="41">
        <f t="shared" si="30"/>
        <v>0</v>
      </c>
      <c r="AI143" s="41">
        <f t="shared" si="30"/>
        <v>0</v>
      </c>
      <c r="AJ143" s="41">
        <f t="shared" si="30"/>
        <v>0</v>
      </c>
      <c r="AK143" s="41">
        <f t="shared" si="30"/>
        <v>0</v>
      </c>
      <c r="AL143" s="41">
        <f t="shared" si="30"/>
        <v>0</v>
      </c>
      <c r="AM143" s="41">
        <f t="shared" si="30"/>
        <v>0</v>
      </c>
      <c r="AN143" s="1070"/>
      <c r="AO143" s="2">
        <f>AO90+AO123</f>
        <v>0</v>
      </c>
    </row>
    <row r="144" spans="3:41">
      <c r="C144" s="2239" t="s">
        <v>863</v>
      </c>
      <c r="D144" s="15" t="str">
        <f>IF('Input '!$F$9=1,"US$","=N=")</f>
        <v>US$</v>
      </c>
      <c r="E144" s="15"/>
      <c r="J144" s="107">
        <f>J127+J94</f>
        <v>0</v>
      </c>
      <c r="K144" s="107">
        <f t="shared" si="30"/>
        <v>0</v>
      </c>
      <c r="L144" s="41">
        <f ca="1">L127+L94</f>
        <v>468122502.66835201</v>
      </c>
      <c r="M144" s="41">
        <f t="shared" ca="1" si="30"/>
        <v>563763530.90582466</v>
      </c>
      <c r="N144" s="41">
        <f t="shared" ca="1" si="30"/>
        <v>580676436.83299935</v>
      </c>
      <c r="O144" s="41">
        <f t="shared" ca="1" si="30"/>
        <v>598096729.93798935</v>
      </c>
      <c r="P144" s="41">
        <f t="shared" ca="1" si="30"/>
        <v>616039631.83612907</v>
      </c>
      <c r="Q144" s="41">
        <f t="shared" ca="1" si="30"/>
        <v>634520820.79121304</v>
      </c>
      <c r="R144" s="41">
        <f t="shared" ca="1" si="30"/>
        <v>653556445.41494942</v>
      </c>
      <c r="S144" s="41">
        <f t="shared" ca="1" si="30"/>
        <v>673163138.77739775</v>
      </c>
      <c r="T144" s="41">
        <f t="shared" ca="1" si="30"/>
        <v>693358032.94071972</v>
      </c>
      <c r="U144" s="41">
        <f t="shared" ca="1" si="30"/>
        <v>714158773.92894137</v>
      </c>
      <c r="V144" s="41">
        <f t="shared" ca="1" si="30"/>
        <v>735583537.1468097</v>
      </c>
      <c r="W144" s="41">
        <f t="shared" ca="1" si="30"/>
        <v>757651043.26121402</v>
      </c>
      <c r="X144" s="41">
        <f t="shared" ca="1" si="30"/>
        <v>780380574.55905044</v>
      </c>
      <c r="Y144" s="41">
        <f t="shared" ca="1" si="30"/>
        <v>803791991.79582202</v>
      </c>
      <c r="Z144" s="41">
        <f t="shared" ca="1" si="30"/>
        <v>827905751.54969668</v>
      </c>
      <c r="AA144" s="41">
        <f t="shared" ca="1" si="30"/>
        <v>852742924.09618759</v>
      </c>
      <c r="AB144" s="41">
        <f t="shared" ca="1" si="30"/>
        <v>878325211.81907332</v>
      </c>
      <c r="AC144" s="41">
        <f t="shared" ca="1" si="30"/>
        <v>904674968.17364562</v>
      </c>
      <c r="AD144" s="41">
        <f t="shared" ca="1" si="30"/>
        <v>931815217.21885502</v>
      </c>
      <c r="AE144" s="41">
        <f t="shared" ca="1" si="30"/>
        <v>959769673.73542082</v>
      </c>
      <c r="AF144" s="41">
        <f t="shared" ca="1" si="30"/>
        <v>988562763.94748342</v>
      </c>
      <c r="AG144" s="41">
        <f t="shared" ca="1" si="30"/>
        <v>1018219646.865908</v>
      </c>
      <c r="AH144" s="41">
        <f t="shared" ca="1" si="30"/>
        <v>1048766236.2718852</v>
      </c>
      <c r="AI144" s="41">
        <f t="shared" ca="1" si="30"/>
        <v>1080229223.3600419</v>
      </c>
      <c r="AJ144" s="41">
        <f t="shared" ca="1" si="30"/>
        <v>1112636100.0608432</v>
      </c>
      <c r="AK144" s="41">
        <f t="shared" ca="1" si="30"/>
        <v>1146015183.0626683</v>
      </c>
      <c r="AL144" s="41">
        <f t="shared" ca="1" si="30"/>
        <v>1180395638.5545483</v>
      </c>
      <c r="AM144" s="41">
        <f t="shared" ca="1" si="30"/>
        <v>1215807507.711185</v>
      </c>
      <c r="AN144" s="1070"/>
      <c r="AO144" s="2">
        <f>AO94+AO127</f>
        <v>0</v>
      </c>
    </row>
    <row r="145" spans="2:42" ht="11.25" thickBot="1">
      <c r="C145" s="1039" t="s">
        <v>655</v>
      </c>
      <c r="D145" s="486"/>
      <c r="E145" s="1040" t="s">
        <v>915</v>
      </c>
      <c r="F145" s="486"/>
      <c r="G145" s="486"/>
      <c r="H145" s="486"/>
      <c r="I145" s="486"/>
      <c r="J145" s="997">
        <f>SUM(J143:J144)</f>
        <v>0</v>
      </c>
      <c r="K145" s="997">
        <f>SUM(K143:K144)</f>
        <v>0</v>
      </c>
      <c r="L145" s="997">
        <f ca="1">SUM(L140:L144)</f>
        <v>1015156499.1623566</v>
      </c>
      <c r="M145" s="997">
        <f t="shared" ref="M145:AM145" ca="1" si="32">SUM(M140:M144)</f>
        <v>1551313125.5927296</v>
      </c>
      <c r="N145" s="997">
        <f t="shared" ca="1" si="32"/>
        <v>1726545204.911016</v>
      </c>
      <c r="O145" s="997">
        <f t="shared" ca="1" si="32"/>
        <v>1837533804.8941593</v>
      </c>
      <c r="P145" s="997">
        <f t="shared" ca="1" si="32"/>
        <v>1946371409.5631919</v>
      </c>
      <c r="Q145" s="997">
        <f t="shared" ca="1" si="32"/>
        <v>2040679795.3536811</v>
      </c>
      <c r="R145" s="997">
        <f t="shared" ca="1" si="32"/>
        <v>2140144140.9091058</v>
      </c>
      <c r="S145" s="997">
        <f t="shared" ca="1" si="32"/>
        <v>2245069848.4766393</v>
      </c>
      <c r="T145" s="997">
        <f t="shared" ca="1" si="32"/>
        <v>2355781246.1907334</v>
      </c>
      <c r="U145" s="997">
        <f t="shared" ca="1" si="32"/>
        <v>2472622788.3470387</v>
      </c>
      <c r="V145" s="997">
        <f t="shared" ca="1" si="32"/>
        <v>2595960332.6575313</v>
      </c>
      <c r="W145" s="997">
        <f t="shared" ca="1" si="32"/>
        <v>2726182499.4504876</v>
      </c>
      <c r="X145" s="997">
        <f t="shared" ca="1" si="32"/>
        <v>2863702118.0998259</v>
      </c>
      <c r="Y145" s="997">
        <f t="shared" ca="1" si="32"/>
        <v>2139202284.3962688</v>
      </c>
      <c r="Z145" s="997">
        <f t="shared" ca="1" si="32"/>
        <v>2203378352.9281569</v>
      </c>
      <c r="AA145" s="997">
        <f t="shared" ca="1" si="32"/>
        <v>2269479703.5160017</v>
      </c>
      <c r="AB145" s="997">
        <f t="shared" ca="1" si="32"/>
        <v>2337564094.6214819</v>
      </c>
      <c r="AC145" s="997">
        <f t="shared" ca="1" si="32"/>
        <v>2407691017.4601264</v>
      </c>
      <c r="AD145" s="997">
        <f t="shared" ca="1" si="32"/>
        <v>2479921747.9839306</v>
      </c>
      <c r="AE145" s="997">
        <f t="shared" ca="1" si="32"/>
        <v>2554319400.4234486</v>
      </c>
      <c r="AF145" s="997">
        <f t="shared" ca="1" si="32"/>
        <v>2630948982.436152</v>
      </c>
      <c r="AG145" s="997">
        <f t="shared" ca="1" si="32"/>
        <v>2709877451.9092369</v>
      </c>
      <c r="AH145" s="997">
        <f t="shared" ca="1" si="32"/>
        <v>2791173775.4665136</v>
      </c>
      <c r="AI145" s="997">
        <f t="shared" ca="1" si="32"/>
        <v>2874908988.7305098</v>
      </c>
      <c r="AJ145" s="997">
        <f t="shared" ca="1" si="32"/>
        <v>2961156258.3924251</v>
      </c>
      <c r="AK145" s="997">
        <f t="shared" ca="1" si="32"/>
        <v>3049990946.1441975</v>
      </c>
      <c r="AL145" s="997">
        <f t="shared" ca="1" si="32"/>
        <v>3141490674.5285234</v>
      </c>
      <c r="AM145" s="997">
        <f t="shared" ca="1" si="32"/>
        <v>3235735394.764379</v>
      </c>
      <c r="AN145" s="1081"/>
      <c r="AO145" s="2">
        <f>SUM(AO143:AO144)</f>
        <v>0</v>
      </c>
      <c r="AP145" s="2">
        <f>SUM(AP143:AP144)</f>
        <v>0</v>
      </c>
    </row>
    <row r="146" spans="2:42">
      <c r="C146" s="5"/>
    </row>
    <row r="147" spans="2:42">
      <c r="C147" s="5"/>
    </row>
    <row r="148" spans="2:42">
      <c r="C148" s="1044"/>
      <c r="J148" s="1045"/>
      <c r="K148" s="1045"/>
      <c r="L148" s="1045"/>
      <c r="M148" s="1045"/>
      <c r="N148" s="1045"/>
      <c r="O148" s="1045"/>
      <c r="P148" s="1045"/>
      <c r="Q148" s="1045"/>
      <c r="R148" s="1045"/>
      <c r="S148" s="1045"/>
      <c r="T148" s="1045"/>
      <c r="U148" s="1045"/>
      <c r="V148" s="1045"/>
      <c r="W148" s="1045"/>
      <c r="X148" s="1045"/>
      <c r="Y148" s="1045"/>
      <c r="Z148" s="1045"/>
      <c r="AA148" s="1045"/>
      <c r="AB148" s="1045"/>
      <c r="AC148" s="1045"/>
      <c r="AD148" s="1045"/>
      <c r="AE148" s="1045"/>
      <c r="AF148" s="1045"/>
      <c r="AG148" s="1045"/>
      <c r="AH148" s="1045"/>
      <c r="AI148" s="1045"/>
      <c r="AJ148" s="1045"/>
      <c r="AK148" s="1045"/>
      <c r="AL148" s="1045"/>
      <c r="AM148" s="1045"/>
      <c r="AN148" s="1083"/>
    </row>
    <row r="149" spans="2:42">
      <c r="C149" s="1044"/>
      <c r="J149" s="1045"/>
      <c r="K149" s="1045"/>
      <c r="L149" s="1045"/>
      <c r="M149" s="1045"/>
      <c r="N149" s="1045"/>
      <c r="O149" s="1045"/>
      <c r="P149" s="1045"/>
      <c r="Q149" s="1045"/>
      <c r="R149" s="1045"/>
      <c r="S149" s="1045"/>
      <c r="T149" s="1045"/>
      <c r="U149" s="1045"/>
      <c r="V149" s="1045"/>
      <c r="W149" s="1045"/>
      <c r="X149" s="1045"/>
      <c r="Y149" s="1045"/>
      <c r="Z149" s="1045"/>
      <c r="AA149" s="1045"/>
      <c r="AB149" s="1045"/>
      <c r="AC149" s="1045"/>
      <c r="AD149" s="1045"/>
      <c r="AE149" s="1045"/>
      <c r="AF149" s="1045"/>
      <c r="AG149" s="1045"/>
      <c r="AH149" s="1045"/>
      <c r="AI149" s="1045"/>
      <c r="AJ149" s="1045"/>
      <c r="AK149" s="1045"/>
      <c r="AL149" s="1045"/>
      <c r="AM149" s="1045"/>
      <c r="AN149" s="1083"/>
    </row>
    <row r="150" spans="2:42">
      <c r="C150" s="5"/>
    </row>
    <row r="151" spans="2:42">
      <c r="C151" s="2239"/>
      <c r="E151" s="15"/>
      <c r="J151" s="41"/>
      <c r="K151" s="41"/>
      <c r="L151" s="41"/>
      <c r="M151" s="41"/>
      <c r="N151" s="41"/>
      <c r="O151" s="41"/>
      <c r="P151" s="41"/>
      <c r="Q151" s="41"/>
      <c r="R151" s="41"/>
      <c r="S151" s="41"/>
      <c r="T151" s="41"/>
      <c r="U151" s="41"/>
      <c r="V151" s="41"/>
      <c r="W151" s="41"/>
      <c r="X151" s="41"/>
      <c r="Y151" s="41"/>
      <c r="Z151" s="41"/>
      <c r="AA151" s="41"/>
      <c r="AB151" s="41"/>
      <c r="AC151" s="41"/>
      <c r="AD151" s="41"/>
      <c r="AE151" s="41"/>
      <c r="AF151" s="41"/>
      <c r="AG151" s="41"/>
      <c r="AH151" s="41"/>
      <c r="AI151" s="41"/>
      <c r="AJ151" s="41"/>
      <c r="AK151" s="41"/>
      <c r="AL151" s="41"/>
      <c r="AM151" s="41"/>
      <c r="AN151" s="1070"/>
    </row>
    <row r="152" spans="2:42">
      <c r="B152" s="12"/>
      <c r="C152" s="2239"/>
      <c r="E152" s="15"/>
      <c r="J152" s="41"/>
      <c r="K152" s="41"/>
      <c r="L152" s="41"/>
      <c r="M152" s="41"/>
      <c r="N152" s="41"/>
      <c r="O152" s="41"/>
      <c r="P152" s="41"/>
      <c r="Q152" s="41"/>
      <c r="R152" s="41"/>
      <c r="S152" s="41"/>
      <c r="T152" s="41"/>
      <c r="U152" s="41"/>
      <c r="V152" s="41"/>
      <c r="W152" s="41"/>
      <c r="X152" s="41"/>
      <c r="Y152" s="41"/>
      <c r="Z152" s="41"/>
      <c r="AA152" s="41"/>
      <c r="AB152" s="41"/>
      <c r="AC152" s="41"/>
      <c r="AD152" s="41"/>
      <c r="AE152" s="41"/>
      <c r="AF152" s="41"/>
      <c r="AG152" s="41"/>
      <c r="AH152" s="41"/>
      <c r="AI152" s="41"/>
      <c r="AJ152" s="41"/>
      <c r="AK152" s="41"/>
      <c r="AL152" s="41"/>
      <c r="AM152" s="41"/>
      <c r="AN152" s="1070"/>
    </row>
    <row r="153" spans="2:42">
      <c r="B153" s="12"/>
      <c r="C153" s="2239"/>
      <c r="E153" s="15"/>
      <c r="J153" s="41"/>
      <c r="K153" s="41"/>
      <c r="L153" s="41"/>
      <c r="M153" s="41"/>
      <c r="N153" s="41"/>
      <c r="O153" s="41"/>
      <c r="P153" s="41"/>
      <c r="Q153" s="41"/>
      <c r="R153" s="41"/>
      <c r="S153" s="41"/>
      <c r="T153" s="41"/>
      <c r="U153" s="41"/>
      <c r="V153" s="41"/>
      <c r="W153" s="41"/>
      <c r="X153" s="41"/>
      <c r="Y153" s="41"/>
      <c r="Z153" s="41"/>
      <c r="AA153" s="41"/>
      <c r="AB153" s="41"/>
      <c r="AC153" s="41"/>
      <c r="AD153" s="41"/>
      <c r="AE153" s="41"/>
      <c r="AF153" s="41"/>
      <c r="AG153" s="41"/>
      <c r="AH153" s="41"/>
      <c r="AI153" s="41"/>
      <c r="AJ153" s="41"/>
      <c r="AK153" s="41"/>
      <c r="AL153" s="41"/>
      <c r="AM153" s="41"/>
      <c r="AN153" s="1070"/>
    </row>
    <row r="154" spans="2:42">
      <c r="B154" s="12"/>
      <c r="C154" s="2239"/>
      <c r="E154" s="15"/>
      <c r="J154" s="41"/>
      <c r="K154" s="41"/>
      <c r="L154" s="41"/>
      <c r="M154" s="41"/>
      <c r="N154" s="41"/>
      <c r="O154" s="41"/>
      <c r="P154" s="41"/>
      <c r="Q154" s="41"/>
      <c r="R154" s="41"/>
      <c r="S154" s="41"/>
      <c r="T154" s="41"/>
      <c r="U154" s="41"/>
      <c r="V154" s="41"/>
      <c r="W154" s="41"/>
      <c r="X154" s="41"/>
      <c r="Y154" s="41"/>
      <c r="Z154" s="41"/>
      <c r="AA154" s="41"/>
      <c r="AB154" s="41"/>
      <c r="AC154" s="41"/>
      <c r="AD154" s="41"/>
      <c r="AE154" s="41"/>
      <c r="AF154" s="41"/>
      <c r="AG154" s="41"/>
      <c r="AH154" s="41"/>
      <c r="AI154" s="41"/>
      <c r="AJ154" s="41"/>
      <c r="AK154" s="41"/>
      <c r="AL154" s="41"/>
      <c r="AM154" s="41"/>
      <c r="AN154" s="1070"/>
    </row>
    <row r="155" spans="2:42">
      <c r="B155" s="12"/>
      <c r="C155" s="2239"/>
      <c r="E155" s="15"/>
      <c r="J155" s="41"/>
      <c r="K155" s="41"/>
      <c r="L155" s="41"/>
      <c r="M155" s="41"/>
      <c r="N155" s="41"/>
      <c r="O155" s="41"/>
      <c r="P155" s="41"/>
      <c r="Q155" s="41"/>
      <c r="R155" s="41"/>
      <c r="S155" s="41"/>
      <c r="T155" s="41"/>
      <c r="U155" s="41"/>
      <c r="V155" s="41"/>
      <c r="W155" s="41"/>
      <c r="X155" s="41"/>
      <c r="Y155" s="41"/>
      <c r="Z155" s="41"/>
      <c r="AA155" s="41"/>
      <c r="AB155" s="41"/>
      <c r="AC155" s="41"/>
      <c r="AD155" s="41"/>
      <c r="AE155" s="41"/>
      <c r="AF155" s="41"/>
      <c r="AG155" s="41"/>
      <c r="AH155" s="41"/>
      <c r="AI155" s="41"/>
      <c r="AJ155" s="41"/>
      <c r="AK155" s="41"/>
      <c r="AL155" s="41"/>
      <c r="AM155" s="41"/>
      <c r="AN155" s="1070"/>
    </row>
    <row r="156" spans="2:42">
      <c r="C156" s="133"/>
      <c r="D156" s="27"/>
      <c r="E156" s="15"/>
      <c r="F156" s="27"/>
      <c r="G156" s="27"/>
      <c r="H156" s="27"/>
      <c r="I156" s="27"/>
      <c r="J156" s="43"/>
      <c r="K156" s="43"/>
      <c r="L156" s="43"/>
      <c r="M156" s="43"/>
      <c r="N156" s="43"/>
      <c r="O156" s="43"/>
      <c r="P156" s="43"/>
      <c r="Q156" s="43"/>
      <c r="R156" s="43"/>
      <c r="S156" s="43"/>
      <c r="T156" s="43"/>
      <c r="U156" s="43"/>
      <c r="V156" s="43"/>
      <c r="W156" s="43"/>
      <c r="X156" s="43"/>
      <c r="Y156" s="43"/>
      <c r="Z156" s="43"/>
      <c r="AA156" s="43"/>
      <c r="AB156" s="43"/>
      <c r="AC156" s="43"/>
      <c r="AD156" s="43"/>
      <c r="AE156" s="43"/>
      <c r="AF156" s="43"/>
      <c r="AG156" s="43"/>
      <c r="AH156" s="43"/>
      <c r="AI156" s="53"/>
      <c r="AJ156" s="53"/>
    </row>
    <row r="157" spans="2:42">
      <c r="C157" s="5" t="s">
        <v>71</v>
      </c>
      <c r="E157" s="15"/>
      <c r="J157" s="41">
        <f t="shared" ref="J157:AJ157" si="33">SUM(J151:J156)</f>
        <v>0</v>
      </c>
      <c r="K157" s="41">
        <f t="shared" si="33"/>
        <v>0</v>
      </c>
      <c r="L157" s="41">
        <f t="shared" si="33"/>
        <v>0</v>
      </c>
      <c r="M157" s="41">
        <f>SUM(M151:M156)</f>
        <v>0</v>
      </c>
      <c r="N157" s="41">
        <f t="shared" si="33"/>
        <v>0</v>
      </c>
      <c r="O157" s="41">
        <f t="shared" si="33"/>
        <v>0</v>
      </c>
      <c r="P157" s="41">
        <f t="shared" si="33"/>
        <v>0</v>
      </c>
      <c r="Q157" s="41">
        <f t="shared" si="33"/>
        <v>0</v>
      </c>
      <c r="R157" s="41">
        <f t="shared" si="33"/>
        <v>0</v>
      </c>
      <c r="S157" s="41">
        <f t="shared" si="33"/>
        <v>0</v>
      </c>
      <c r="T157" s="41">
        <f t="shared" si="33"/>
        <v>0</v>
      </c>
      <c r="U157" s="41">
        <f t="shared" si="33"/>
        <v>0</v>
      </c>
      <c r="V157" s="41">
        <f t="shared" si="33"/>
        <v>0</v>
      </c>
      <c r="W157" s="41">
        <f t="shared" si="33"/>
        <v>0</v>
      </c>
      <c r="X157" s="41">
        <f t="shared" si="33"/>
        <v>0</v>
      </c>
      <c r="Y157" s="41">
        <f t="shared" si="33"/>
        <v>0</v>
      </c>
      <c r="Z157" s="41">
        <f t="shared" si="33"/>
        <v>0</v>
      </c>
      <c r="AA157" s="41">
        <f t="shared" si="33"/>
        <v>0</v>
      </c>
      <c r="AB157" s="41">
        <f t="shared" si="33"/>
        <v>0</v>
      </c>
      <c r="AC157" s="41">
        <f t="shared" si="33"/>
        <v>0</v>
      </c>
      <c r="AD157" s="41">
        <f t="shared" si="33"/>
        <v>0</v>
      </c>
      <c r="AE157" s="41">
        <f t="shared" si="33"/>
        <v>0</v>
      </c>
      <c r="AF157" s="41">
        <f t="shared" si="33"/>
        <v>0</v>
      </c>
      <c r="AG157" s="41">
        <f t="shared" si="33"/>
        <v>0</v>
      </c>
      <c r="AH157" s="41">
        <f t="shared" si="33"/>
        <v>0</v>
      </c>
      <c r="AI157" s="957">
        <f t="shared" si="33"/>
        <v>0</v>
      </c>
      <c r="AJ157" s="957">
        <f t="shared" si="33"/>
        <v>0</v>
      </c>
      <c r="AK157" s="957">
        <f>SUM(AK151:AK156)</f>
        <v>0</v>
      </c>
      <c r="AL157" s="957">
        <f>SUM(AL151:AL156)</f>
        <v>0</v>
      </c>
      <c r="AM157" s="957">
        <f>SUM(AM151:AM156)</f>
        <v>0</v>
      </c>
      <c r="AN157" s="1084"/>
      <c r="AO157" s="2">
        <f>SUM(AO151:AO156)</f>
        <v>0</v>
      </c>
      <c r="AP157" s="2">
        <f>SUM(AP151:AP156)</f>
        <v>0</v>
      </c>
    </row>
    <row r="158" spans="2:42">
      <c r="C158" s="10"/>
    </row>
    <row r="159" spans="2:42">
      <c r="C159" s="187" t="s">
        <v>436</v>
      </c>
    </row>
    <row r="160" spans="2:42">
      <c r="C160" s="187"/>
    </row>
    <row r="161" spans="2:43">
      <c r="C161" s="5" t="s">
        <v>1800</v>
      </c>
      <c r="J161" s="107">
        <f>J140</f>
        <v>0</v>
      </c>
      <c r="K161" s="107">
        <f t="shared" ref="K161:AM165" si="34">K140</f>
        <v>0</v>
      </c>
      <c r="L161" s="107">
        <f t="shared" ca="1" si="34"/>
        <v>547033996.49400461</v>
      </c>
      <c r="M161" s="42">
        <f t="shared" ca="1" si="34"/>
        <v>628942199.96819651</v>
      </c>
      <c r="N161" s="107">
        <f t="shared" ca="1" si="34"/>
        <v>687521260.8468101</v>
      </c>
      <c r="O161" s="107">
        <f t="shared" ca="1" si="34"/>
        <v>743662244.97370207</v>
      </c>
      <c r="P161" s="107">
        <f t="shared" ca="1" si="34"/>
        <v>798199066.63623762</v>
      </c>
      <c r="Q161" s="107">
        <f t="shared" ca="1" si="34"/>
        <v>843695384.73748088</v>
      </c>
      <c r="R161" s="107">
        <f t="shared" ca="1" si="34"/>
        <v>891952617.29649377</v>
      </c>
      <c r="S161" s="107">
        <f t="shared" ca="1" si="34"/>
        <v>943144025.81954503</v>
      </c>
      <c r="T161" s="107">
        <f t="shared" ca="1" si="34"/>
        <v>997453927.95000815</v>
      </c>
      <c r="U161" s="107">
        <f t="shared" ca="1" si="34"/>
        <v>1055078408.6508585</v>
      </c>
      <c r="V161" s="107">
        <f t="shared" ca="1" si="34"/>
        <v>1116226077.306433</v>
      </c>
      <c r="W161" s="107">
        <f t="shared" ca="1" si="34"/>
        <v>1181118873.7135642</v>
      </c>
      <c r="X161" s="107">
        <f t="shared" ca="1" si="34"/>
        <v>1249992926.1244652</v>
      </c>
      <c r="Y161" s="107">
        <f t="shared" ca="1" si="34"/>
        <v>801246175.56026816</v>
      </c>
      <c r="Z161" s="107">
        <f t="shared" ca="1" si="34"/>
        <v>825283560.82707608</v>
      </c>
      <c r="AA161" s="107">
        <f t="shared" ca="1" si="34"/>
        <v>850042067.65188849</v>
      </c>
      <c r="AB161" s="107">
        <f t="shared" ca="1" si="34"/>
        <v>875543329.68144512</v>
      </c>
      <c r="AC161" s="107">
        <f t="shared" ca="1" si="34"/>
        <v>901809629.57188857</v>
      </c>
      <c r="AD161" s="107">
        <f t="shared" ca="1" si="34"/>
        <v>928863918.45904529</v>
      </c>
      <c r="AE161" s="107">
        <f t="shared" ca="1" si="34"/>
        <v>956729836.01281667</v>
      </c>
      <c r="AF161" s="107">
        <f t="shared" ca="1" si="34"/>
        <v>985431731.09320116</v>
      </c>
      <c r="AG161" s="107">
        <f t="shared" ca="1" si="34"/>
        <v>1014994683.0259973</v>
      </c>
      <c r="AH161" s="107">
        <f t="shared" ca="1" si="34"/>
        <v>1045444523.5167772</v>
      </c>
      <c r="AI161" s="107">
        <f t="shared" ca="1" si="34"/>
        <v>1076807859.2222805</v>
      </c>
      <c r="AJ161" s="107">
        <f t="shared" ca="1" si="34"/>
        <v>1109112094.9989491</v>
      </c>
      <c r="AK161" s="107">
        <f t="shared" ca="1" si="34"/>
        <v>1142385457.8489175</v>
      </c>
      <c r="AL161" s="107">
        <f t="shared" ca="1" si="34"/>
        <v>1176657021.5843849</v>
      </c>
      <c r="AM161" s="107">
        <f t="shared" ca="1" si="34"/>
        <v>1211956732.2319164</v>
      </c>
    </row>
    <row r="162" spans="2:43">
      <c r="C162" s="5" t="s">
        <v>1801</v>
      </c>
      <c r="J162" s="107">
        <f>J141</f>
        <v>0</v>
      </c>
      <c r="K162" s="107">
        <f t="shared" ref="K162:Y162" si="35">K141</f>
        <v>0</v>
      </c>
      <c r="L162" s="107">
        <f t="shared" ca="1" si="35"/>
        <v>0</v>
      </c>
      <c r="M162" s="42">
        <f t="shared" ca="1" si="35"/>
        <v>358607394.71870852</v>
      </c>
      <c r="N162" s="107">
        <f t="shared" ca="1" si="35"/>
        <v>458347507.23120677</v>
      </c>
      <c r="O162" s="107">
        <f t="shared" ca="1" si="35"/>
        <v>495774829.98246813</v>
      </c>
      <c r="P162" s="107">
        <f t="shared" ca="1" si="35"/>
        <v>532132711.0908252</v>
      </c>
      <c r="Q162" s="107">
        <f t="shared" ca="1" si="35"/>
        <v>562463589.82498729</v>
      </c>
      <c r="R162" s="107">
        <f t="shared" ca="1" si="35"/>
        <v>594635078.19766259</v>
      </c>
      <c r="S162" s="107">
        <f t="shared" ca="1" si="35"/>
        <v>628762683.87969673</v>
      </c>
      <c r="T162" s="107">
        <f t="shared" ca="1" si="35"/>
        <v>664969285.30000556</v>
      </c>
      <c r="U162" s="107">
        <f t="shared" ca="1" si="35"/>
        <v>703385605.76723909</v>
      </c>
      <c r="V162" s="107">
        <f t="shared" ca="1" si="35"/>
        <v>744150718.20428872</v>
      </c>
      <c r="W162" s="107">
        <f t="shared" ca="1" si="35"/>
        <v>787412582.47570944</v>
      </c>
      <c r="X162" s="107">
        <f t="shared" ca="1" si="35"/>
        <v>833328617.41631031</v>
      </c>
      <c r="Y162" s="107">
        <f t="shared" ca="1" si="35"/>
        <v>534164117.04017878</v>
      </c>
      <c r="Z162" s="107">
        <f t="shared" ca="1" si="34"/>
        <v>550189040.55138409</v>
      </c>
      <c r="AA162" s="107">
        <f t="shared" ca="1" si="34"/>
        <v>566694711.76792574</v>
      </c>
      <c r="AB162" s="107">
        <f t="shared" ca="1" si="34"/>
        <v>583695553.12096345</v>
      </c>
      <c r="AC162" s="107">
        <f t="shared" ca="1" si="34"/>
        <v>601206419.71459246</v>
      </c>
      <c r="AD162" s="107">
        <f t="shared" ca="1" si="34"/>
        <v>619242612.30603027</v>
      </c>
      <c r="AE162" s="107">
        <f t="shared" ca="1" si="34"/>
        <v>637819890.67521119</v>
      </c>
      <c r="AF162" s="107">
        <f t="shared" ca="1" si="34"/>
        <v>656954487.39546752</v>
      </c>
      <c r="AG162" s="107">
        <f t="shared" ca="1" si="34"/>
        <v>676663122.0173316</v>
      </c>
      <c r="AH162" s="107">
        <f t="shared" ca="1" si="34"/>
        <v>696963015.67785156</v>
      </c>
      <c r="AI162" s="107">
        <f t="shared" ca="1" si="34"/>
        <v>717871906.14818716</v>
      </c>
      <c r="AJ162" s="107">
        <f t="shared" ca="1" si="34"/>
        <v>739408063.33263278</v>
      </c>
      <c r="AK162" s="107">
        <f t="shared" ca="1" si="34"/>
        <v>761590305.23261166</v>
      </c>
      <c r="AL162" s="107">
        <f t="shared" ca="1" si="34"/>
        <v>784438014.38959014</v>
      </c>
      <c r="AM162" s="107">
        <f t="shared" ca="1" si="34"/>
        <v>807971154.82127774</v>
      </c>
    </row>
    <row r="163" spans="2:43">
      <c r="C163" s="5" t="s">
        <v>1802</v>
      </c>
      <c r="E163" s="15">
        <f>$E$151</f>
        <v>0</v>
      </c>
      <c r="J163" s="107">
        <f>J142</f>
        <v>0</v>
      </c>
      <c r="K163" s="107">
        <f t="shared" si="34"/>
        <v>0</v>
      </c>
      <c r="L163" s="107">
        <f t="shared" ca="1" si="34"/>
        <v>0</v>
      </c>
      <c r="M163" s="107">
        <f t="shared" ca="1" si="34"/>
        <v>0</v>
      </c>
      <c r="N163" s="107">
        <f t="shared" ca="1" si="34"/>
        <v>0</v>
      </c>
      <c r="O163" s="107">
        <f t="shared" ca="1" si="34"/>
        <v>0</v>
      </c>
      <c r="P163" s="107">
        <f t="shared" ca="1" si="34"/>
        <v>0</v>
      </c>
      <c r="Q163" s="107">
        <f t="shared" ca="1" si="34"/>
        <v>0</v>
      </c>
      <c r="R163" s="107">
        <f t="shared" ca="1" si="34"/>
        <v>0</v>
      </c>
      <c r="S163" s="107">
        <f t="shared" ca="1" si="34"/>
        <v>0</v>
      </c>
      <c r="T163" s="107">
        <f t="shared" ca="1" si="34"/>
        <v>0</v>
      </c>
      <c r="U163" s="107">
        <f t="shared" ca="1" si="34"/>
        <v>0</v>
      </c>
      <c r="V163" s="107">
        <f t="shared" ca="1" si="34"/>
        <v>0</v>
      </c>
      <c r="W163" s="107">
        <f t="shared" ca="1" si="34"/>
        <v>0</v>
      </c>
      <c r="X163" s="107">
        <f t="shared" ca="1" si="34"/>
        <v>0</v>
      </c>
      <c r="Y163" s="107">
        <f t="shared" ca="1" si="34"/>
        <v>0</v>
      </c>
      <c r="Z163" s="107">
        <f t="shared" ca="1" si="34"/>
        <v>0</v>
      </c>
      <c r="AA163" s="107">
        <f t="shared" ca="1" si="34"/>
        <v>0</v>
      </c>
      <c r="AB163" s="107">
        <f t="shared" ca="1" si="34"/>
        <v>0</v>
      </c>
      <c r="AC163" s="107">
        <f t="shared" ca="1" si="34"/>
        <v>0</v>
      </c>
      <c r="AD163" s="107">
        <f t="shared" ca="1" si="34"/>
        <v>0</v>
      </c>
      <c r="AE163" s="107">
        <f t="shared" ca="1" si="34"/>
        <v>0</v>
      </c>
      <c r="AF163" s="107">
        <f t="shared" ca="1" si="34"/>
        <v>0</v>
      </c>
      <c r="AG163" s="107">
        <f t="shared" ca="1" si="34"/>
        <v>0</v>
      </c>
      <c r="AH163" s="107">
        <f t="shared" ca="1" si="34"/>
        <v>0</v>
      </c>
      <c r="AI163" s="107">
        <f t="shared" ca="1" si="34"/>
        <v>0</v>
      </c>
      <c r="AJ163" s="107">
        <f t="shared" ca="1" si="34"/>
        <v>0</v>
      </c>
      <c r="AK163" s="107">
        <f t="shared" ca="1" si="34"/>
        <v>0</v>
      </c>
      <c r="AL163" s="107">
        <f t="shared" ca="1" si="34"/>
        <v>0</v>
      </c>
      <c r="AM163" s="107">
        <f t="shared" ca="1" si="34"/>
        <v>0</v>
      </c>
      <c r="AN163" s="1071"/>
      <c r="AO163" s="2">
        <f>AO143</f>
        <v>0</v>
      </c>
      <c r="AP163" s="2">
        <f>AP143</f>
        <v>0</v>
      </c>
    </row>
    <row r="164" spans="2:43">
      <c r="C164" s="5" t="s">
        <v>2113</v>
      </c>
      <c r="E164" s="15">
        <f>$E$151</f>
        <v>0</v>
      </c>
      <c r="J164" s="107">
        <f>J143</f>
        <v>0</v>
      </c>
      <c r="K164" s="107">
        <f t="shared" si="34"/>
        <v>0</v>
      </c>
      <c r="L164" s="107">
        <f t="shared" si="34"/>
        <v>0</v>
      </c>
      <c r="M164" s="107">
        <f t="shared" si="34"/>
        <v>0</v>
      </c>
      <c r="N164" s="107">
        <f t="shared" si="34"/>
        <v>0</v>
      </c>
      <c r="O164" s="107">
        <f t="shared" si="34"/>
        <v>0</v>
      </c>
      <c r="P164" s="107">
        <f t="shared" si="34"/>
        <v>0</v>
      </c>
      <c r="Q164" s="107">
        <f t="shared" si="34"/>
        <v>0</v>
      </c>
      <c r="R164" s="107">
        <f t="shared" si="34"/>
        <v>0</v>
      </c>
      <c r="S164" s="107">
        <f t="shared" si="34"/>
        <v>0</v>
      </c>
      <c r="T164" s="107">
        <f t="shared" si="34"/>
        <v>0</v>
      </c>
      <c r="U164" s="107">
        <f t="shared" si="34"/>
        <v>0</v>
      </c>
      <c r="V164" s="107">
        <f t="shared" si="34"/>
        <v>0</v>
      </c>
      <c r="W164" s="107">
        <f t="shared" si="34"/>
        <v>0</v>
      </c>
      <c r="X164" s="107">
        <f t="shared" si="34"/>
        <v>0</v>
      </c>
      <c r="Y164" s="107">
        <f t="shared" si="34"/>
        <v>0</v>
      </c>
      <c r="Z164" s="107">
        <f t="shared" si="34"/>
        <v>0</v>
      </c>
      <c r="AA164" s="107">
        <f t="shared" si="34"/>
        <v>0</v>
      </c>
      <c r="AB164" s="107">
        <f t="shared" si="34"/>
        <v>0</v>
      </c>
      <c r="AC164" s="107">
        <f t="shared" si="34"/>
        <v>0</v>
      </c>
      <c r="AD164" s="107">
        <f t="shared" si="34"/>
        <v>0</v>
      </c>
      <c r="AE164" s="107">
        <f t="shared" si="34"/>
        <v>0</v>
      </c>
      <c r="AF164" s="107">
        <f t="shared" si="34"/>
        <v>0</v>
      </c>
      <c r="AG164" s="107">
        <f t="shared" si="34"/>
        <v>0</v>
      </c>
      <c r="AH164" s="107">
        <f t="shared" si="34"/>
        <v>0</v>
      </c>
      <c r="AI164" s="107">
        <f t="shared" si="34"/>
        <v>0</v>
      </c>
      <c r="AJ164" s="107">
        <f t="shared" si="34"/>
        <v>0</v>
      </c>
      <c r="AK164" s="107">
        <f t="shared" si="34"/>
        <v>0</v>
      </c>
      <c r="AL164" s="107">
        <f t="shared" si="34"/>
        <v>0</v>
      </c>
      <c r="AM164" s="107">
        <f t="shared" si="34"/>
        <v>0</v>
      </c>
      <c r="AN164" s="1071"/>
      <c r="AO164" s="2">
        <f>AO144</f>
        <v>0</v>
      </c>
      <c r="AP164" s="2">
        <f>AP144</f>
        <v>0</v>
      </c>
    </row>
    <row r="165" spans="2:43">
      <c r="C165" s="5" t="s">
        <v>863</v>
      </c>
      <c r="D165" s="489"/>
      <c r="E165" s="577">
        <f>$E$151</f>
        <v>0</v>
      </c>
      <c r="F165" s="489"/>
      <c r="G165" s="489"/>
      <c r="H165" s="489"/>
      <c r="I165" s="489"/>
      <c r="J165" s="107">
        <f>J144</f>
        <v>0</v>
      </c>
      <c r="K165" s="107">
        <f t="shared" si="34"/>
        <v>0</v>
      </c>
      <c r="L165" s="107">
        <f t="shared" ca="1" si="34"/>
        <v>468122502.66835201</v>
      </c>
      <c r="M165" s="107">
        <f t="shared" ca="1" si="34"/>
        <v>563763530.90582466</v>
      </c>
      <c r="N165" s="107">
        <f t="shared" ca="1" si="34"/>
        <v>580676436.83299935</v>
      </c>
      <c r="O165" s="107">
        <f t="shared" ca="1" si="34"/>
        <v>598096729.93798935</v>
      </c>
      <c r="P165" s="107">
        <f t="shared" ca="1" si="34"/>
        <v>616039631.83612907</v>
      </c>
      <c r="Q165" s="107">
        <f t="shared" ca="1" si="34"/>
        <v>634520820.79121304</v>
      </c>
      <c r="R165" s="107">
        <f t="shared" ca="1" si="34"/>
        <v>653556445.41494942</v>
      </c>
      <c r="S165" s="107">
        <f t="shared" ca="1" si="34"/>
        <v>673163138.77739775</v>
      </c>
      <c r="T165" s="107">
        <f t="shared" ca="1" si="34"/>
        <v>693358032.94071972</v>
      </c>
      <c r="U165" s="107">
        <f t="shared" ca="1" si="34"/>
        <v>714158773.92894137</v>
      </c>
      <c r="V165" s="107">
        <f t="shared" ca="1" si="34"/>
        <v>735583537.1468097</v>
      </c>
      <c r="W165" s="107">
        <f t="shared" ca="1" si="34"/>
        <v>757651043.26121402</v>
      </c>
      <c r="X165" s="107">
        <f t="shared" ca="1" si="34"/>
        <v>780380574.55905044</v>
      </c>
      <c r="Y165" s="107">
        <f t="shared" ca="1" si="34"/>
        <v>803791991.79582202</v>
      </c>
      <c r="Z165" s="107">
        <f t="shared" ca="1" si="34"/>
        <v>827905751.54969668</v>
      </c>
      <c r="AA165" s="107">
        <f t="shared" ca="1" si="34"/>
        <v>852742924.09618759</v>
      </c>
      <c r="AB165" s="107">
        <f t="shared" ca="1" si="34"/>
        <v>878325211.81907332</v>
      </c>
      <c r="AC165" s="107">
        <f t="shared" ca="1" si="34"/>
        <v>904674968.17364562</v>
      </c>
      <c r="AD165" s="107">
        <f t="shared" ca="1" si="34"/>
        <v>931815217.21885502</v>
      </c>
      <c r="AE165" s="107">
        <f t="shared" ca="1" si="34"/>
        <v>959769673.73542082</v>
      </c>
      <c r="AF165" s="107">
        <f t="shared" ca="1" si="34"/>
        <v>988562763.94748342</v>
      </c>
      <c r="AG165" s="107">
        <f t="shared" ca="1" si="34"/>
        <v>1018219646.865908</v>
      </c>
      <c r="AH165" s="107">
        <f t="shared" ca="1" si="34"/>
        <v>1048766236.2718852</v>
      </c>
      <c r="AI165" s="107">
        <f t="shared" ca="1" si="34"/>
        <v>1080229223.3600419</v>
      </c>
      <c r="AJ165" s="107">
        <f t="shared" ca="1" si="34"/>
        <v>1112636100.0608432</v>
      </c>
      <c r="AK165" s="107">
        <f t="shared" ca="1" si="34"/>
        <v>1146015183.0626683</v>
      </c>
      <c r="AL165" s="107">
        <f t="shared" ca="1" si="34"/>
        <v>1180395638.5545483</v>
      </c>
      <c r="AM165" s="107">
        <f t="shared" ca="1" si="34"/>
        <v>1215807507.711185</v>
      </c>
    </row>
    <row r="166" spans="2:43" s="1041" customFormat="1">
      <c r="B166" s="1043"/>
      <c r="C166" s="1043" t="s">
        <v>1155</v>
      </c>
      <c r="D166" s="1043"/>
      <c r="E166" s="1043"/>
      <c r="F166" s="1042">
        <f ca="1">SUM(J166:AM166)*Sens_productprice</f>
        <v>67303901887.30986</v>
      </c>
      <c r="G166" s="1043"/>
      <c r="H166" s="1043"/>
      <c r="I166" s="1043"/>
      <c r="J166" s="1042">
        <f>SUM(J161:J165)</f>
        <v>0</v>
      </c>
      <c r="K166" s="1042">
        <f>SUM(K161:K165)</f>
        <v>0</v>
      </c>
      <c r="L166" s="1042">
        <f ca="1">SUM(L161:L165)</f>
        <v>1015156499.1623566</v>
      </c>
      <c r="M166" s="1042">
        <f ca="1">SUM(M161:M165)</f>
        <v>1551313125.5927296</v>
      </c>
      <c r="N166" s="1042">
        <f t="shared" ref="N166:AM166" ca="1" si="36">SUM(N161:N165)</f>
        <v>1726545204.911016</v>
      </c>
      <c r="O166" s="1042">
        <f t="shared" ca="1" si="36"/>
        <v>1837533804.8941593</v>
      </c>
      <c r="P166" s="1042">
        <f t="shared" ca="1" si="36"/>
        <v>1946371409.5631919</v>
      </c>
      <c r="Q166" s="1042">
        <f t="shared" ca="1" si="36"/>
        <v>2040679795.3536811</v>
      </c>
      <c r="R166" s="1042">
        <f t="shared" ca="1" si="36"/>
        <v>2140144140.9091058</v>
      </c>
      <c r="S166" s="1042">
        <f t="shared" ca="1" si="36"/>
        <v>2245069848.4766393</v>
      </c>
      <c r="T166" s="1042">
        <f t="shared" ca="1" si="36"/>
        <v>2355781246.1907334</v>
      </c>
      <c r="U166" s="1042">
        <f t="shared" ca="1" si="36"/>
        <v>2472622788.3470387</v>
      </c>
      <c r="V166" s="1042">
        <f t="shared" ca="1" si="36"/>
        <v>2595960332.6575313</v>
      </c>
      <c r="W166" s="1042">
        <f t="shared" ca="1" si="36"/>
        <v>2726182499.4504876</v>
      </c>
      <c r="X166" s="1042">
        <f t="shared" ca="1" si="36"/>
        <v>2863702118.0998259</v>
      </c>
      <c r="Y166" s="1042">
        <f t="shared" ca="1" si="36"/>
        <v>2139202284.3962688</v>
      </c>
      <c r="Z166" s="1042">
        <f t="shared" ca="1" si="36"/>
        <v>2203378352.9281569</v>
      </c>
      <c r="AA166" s="1042">
        <f t="shared" ca="1" si="36"/>
        <v>2269479703.5160017</v>
      </c>
      <c r="AB166" s="1042">
        <f t="shared" ca="1" si="36"/>
        <v>2337564094.6214819</v>
      </c>
      <c r="AC166" s="1042">
        <f t="shared" ca="1" si="36"/>
        <v>2407691017.4601264</v>
      </c>
      <c r="AD166" s="1042">
        <f t="shared" ca="1" si="36"/>
        <v>2479921747.9839306</v>
      </c>
      <c r="AE166" s="1042">
        <f t="shared" ca="1" si="36"/>
        <v>2554319400.4234486</v>
      </c>
      <c r="AF166" s="1042">
        <f t="shared" ca="1" si="36"/>
        <v>2630948982.436152</v>
      </c>
      <c r="AG166" s="1042">
        <f t="shared" ca="1" si="36"/>
        <v>2709877451.9092369</v>
      </c>
      <c r="AH166" s="1042">
        <f t="shared" ca="1" si="36"/>
        <v>2791173775.4665136</v>
      </c>
      <c r="AI166" s="1042">
        <f t="shared" ca="1" si="36"/>
        <v>2874908988.7305098</v>
      </c>
      <c r="AJ166" s="1042">
        <f t="shared" ca="1" si="36"/>
        <v>2961156258.3924251</v>
      </c>
      <c r="AK166" s="1042">
        <f t="shared" ca="1" si="36"/>
        <v>3049990946.1441975</v>
      </c>
      <c r="AL166" s="1042">
        <f t="shared" ca="1" si="36"/>
        <v>3141490674.5285234</v>
      </c>
      <c r="AM166" s="1042">
        <f t="shared" ca="1" si="36"/>
        <v>3235735394.764379</v>
      </c>
      <c r="AN166" s="1085"/>
      <c r="AO166" s="2">
        <f>SUM(AO163:AO165)</f>
        <v>0</v>
      </c>
      <c r="AP166" s="2"/>
      <c r="AQ166" s="1043"/>
    </row>
    <row r="167" spans="2:43" s="590" customFormat="1">
      <c r="B167" s="5"/>
      <c r="C167" s="5"/>
      <c r="D167" s="2"/>
      <c r="E167" s="2"/>
      <c r="F167" s="2"/>
      <c r="G167" s="2"/>
      <c r="H167" s="2"/>
      <c r="I167" s="2"/>
      <c r="J167" s="2"/>
      <c r="K167" s="2"/>
      <c r="L167" s="2"/>
      <c r="M167" s="2"/>
      <c r="N167" s="2"/>
      <c r="O167" s="5"/>
      <c r="P167" s="2"/>
      <c r="Q167" s="2"/>
      <c r="R167" s="2"/>
      <c r="S167" s="2"/>
      <c r="T167" s="2"/>
      <c r="U167" s="2"/>
      <c r="V167" s="2"/>
      <c r="W167" s="2"/>
      <c r="X167" s="2"/>
      <c r="Y167" s="2"/>
      <c r="Z167" s="2"/>
      <c r="AA167" s="5"/>
      <c r="AB167" s="2"/>
      <c r="AC167" s="2"/>
      <c r="AD167" s="2"/>
      <c r="AE167" s="2"/>
      <c r="AF167" s="2"/>
      <c r="AG167" s="2"/>
      <c r="AH167" s="2"/>
      <c r="AI167" s="2"/>
      <c r="AJ167" s="2"/>
      <c r="AK167" s="2"/>
      <c r="AL167" s="2"/>
      <c r="AM167" s="5"/>
      <c r="AN167" s="1085"/>
      <c r="AQ167" s="1502"/>
    </row>
    <row r="168" spans="2:43" s="590" customFormat="1" ht="12.75">
      <c r="B168" s="5"/>
      <c r="C168" s="1503" t="s">
        <v>1550</v>
      </c>
      <c r="D168" s="2"/>
      <c r="E168" s="104">
        <f>'Sens WIP'!D11</f>
        <v>0</v>
      </c>
      <c r="F168" s="2"/>
      <c r="G168" s="2"/>
      <c r="H168" s="2"/>
      <c r="I168" s="2"/>
      <c r="J168" s="2"/>
      <c r="K168" s="2"/>
      <c r="L168" s="2"/>
      <c r="M168" s="2"/>
      <c r="N168" s="2"/>
      <c r="O168" s="5"/>
      <c r="P168" s="2"/>
      <c r="Q168" s="2"/>
      <c r="R168" s="2"/>
      <c r="S168" s="2"/>
      <c r="T168" s="2"/>
      <c r="U168" s="2"/>
      <c r="V168" s="2"/>
      <c r="W168" s="2"/>
      <c r="X168" s="2"/>
      <c r="Y168" s="2"/>
      <c r="Z168" s="2"/>
      <c r="AA168" s="5"/>
      <c r="AB168" s="2"/>
      <c r="AC168" s="2"/>
      <c r="AD168" s="2"/>
      <c r="AE168" s="2"/>
      <c r="AF168" s="2"/>
      <c r="AG168" s="2"/>
      <c r="AH168" s="2"/>
      <c r="AI168" s="2"/>
      <c r="AJ168" s="2"/>
      <c r="AK168" s="2"/>
      <c r="AL168" s="2"/>
      <c r="AM168" s="5"/>
      <c r="AN168" s="1085"/>
      <c r="AQ168" s="1502"/>
    </row>
    <row r="169" spans="2:43" s="590" customFormat="1">
      <c r="B169" s="5"/>
      <c r="C169" s="5" t="s">
        <v>1155</v>
      </c>
      <c r="D169" s="2"/>
      <c r="E169" s="2"/>
      <c r="F169" s="2"/>
      <c r="G169" s="2"/>
      <c r="H169" s="2"/>
      <c r="I169" s="2"/>
      <c r="J169" s="42">
        <f>J166</f>
        <v>0</v>
      </c>
      <c r="K169" s="42">
        <f t="shared" ref="K169:AM169" si="37">K166</f>
        <v>0</v>
      </c>
      <c r="L169" s="42">
        <f ca="1">L166</f>
        <v>1015156499.1623566</v>
      </c>
      <c r="M169" s="42">
        <f t="shared" ca="1" si="37"/>
        <v>1551313125.5927296</v>
      </c>
      <c r="N169" s="42">
        <f t="shared" ca="1" si="37"/>
        <v>1726545204.911016</v>
      </c>
      <c r="O169" s="42">
        <f t="shared" ca="1" si="37"/>
        <v>1837533804.8941593</v>
      </c>
      <c r="P169" s="42">
        <f t="shared" ca="1" si="37"/>
        <v>1946371409.5631919</v>
      </c>
      <c r="Q169" s="42">
        <f t="shared" ca="1" si="37"/>
        <v>2040679795.3536811</v>
      </c>
      <c r="R169" s="42">
        <f t="shared" ca="1" si="37"/>
        <v>2140144140.9091058</v>
      </c>
      <c r="S169" s="42">
        <f t="shared" ca="1" si="37"/>
        <v>2245069848.4766393</v>
      </c>
      <c r="T169" s="42">
        <f t="shared" ca="1" si="37"/>
        <v>2355781246.1907334</v>
      </c>
      <c r="U169" s="42">
        <f t="shared" ca="1" si="37"/>
        <v>2472622788.3470387</v>
      </c>
      <c r="V169" s="42">
        <f t="shared" ca="1" si="37"/>
        <v>2595960332.6575313</v>
      </c>
      <c r="W169" s="42">
        <f t="shared" ca="1" si="37"/>
        <v>2726182499.4504876</v>
      </c>
      <c r="X169" s="42">
        <f t="shared" ca="1" si="37"/>
        <v>2863702118.0998259</v>
      </c>
      <c r="Y169" s="42">
        <f t="shared" ca="1" si="37"/>
        <v>2139202284.3962688</v>
      </c>
      <c r="Z169" s="42">
        <f t="shared" ca="1" si="37"/>
        <v>2203378352.9281569</v>
      </c>
      <c r="AA169" s="42">
        <f t="shared" ca="1" si="37"/>
        <v>2269479703.5160017</v>
      </c>
      <c r="AB169" s="42">
        <f t="shared" ca="1" si="37"/>
        <v>2337564094.6214819</v>
      </c>
      <c r="AC169" s="42">
        <f t="shared" ca="1" si="37"/>
        <v>2407691017.4601264</v>
      </c>
      <c r="AD169" s="42">
        <f t="shared" ca="1" si="37"/>
        <v>2479921747.9839306</v>
      </c>
      <c r="AE169" s="42">
        <f t="shared" ca="1" si="37"/>
        <v>2554319400.4234486</v>
      </c>
      <c r="AF169" s="42">
        <f t="shared" ca="1" si="37"/>
        <v>2630948982.436152</v>
      </c>
      <c r="AG169" s="42">
        <f t="shared" ca="1" si="37"/>
        <v>2709877451.9092369</v>
      </c>
      <c r="AH169" s="42">
        <f t="shared" ca="1" si="37"/>
        <v>2791173775.4665136</v>
      </c>
      <c r="AI169" s="42">
        <f t="shared" ca="1" si="37"/>
        <v>2874908988.7305098</v>
      </c>
      <c r="AJ169" s="42">
        <f t="shared" ca="1" si="37"/>
        <v>2961156258.3924251</v>
      </c>
      <c r="AK169" s="42">
        <f t="shared" ca="1" si="37"/>
        <v>3049990946.1441975</v>
      </c>
      <c r="AL169" s="42">
        <f t="shared" ca="1" si="37"/>
        <v>3141490674.5285234</v>
      </c>
      <c r="AM169" s="42">
        <f t="shared" ca="1" si="37"/>
        <v>3235735394.764379</v>
      </c>
      <c r="AN169" s="1085"/>
      <c r="AQ169" s="1502"/>
    </row>
    <row r="170" spans="2:43" s="590" customFormat="1">
      <c r="B170" s="5"/>
      <c r="C170" s="5" t="s">
        <v>1551</v>
      </c>
      <c r="D170" s="2"/>
      <c r="E170" s="2"/>
      <c r="F170" s="2"/>
      <c r="G170" s="2"/>
      <c r="H170" s="2"/>
      <c r="I170" s="2"/>
      <c r="J170" s="42">
        <f t="shared" ref="J170:AM170" si="38">J169*(1+$E$168)</f>
        <v>0</v>
      </c>
      <c r="K170" s="42">
        <f t="shared" si="38"/>
        <v>0</v>
      </c>
      <c r="L170" s="42">
        <f t="shared" ca="1" si="38"/>
        <v>1015156499.1623566</v>
      </c>
      <c r="M170" s="42">
        <f t="shared" ca="1" si="38"/>
        <v>1551313125.5927296</v>
      </c>
      <c r="N170" s="42">
        <f t="shared" ca="1" si="38"/>
        <v>1726545204.911016</v>
      </c>
      <c r="O170" s="42">
        <f t="shared" ca="1" si="38"/>
        <v>1837533804.8941593</v>
      </c>
      <c r="P170" s="42">
        <f t="shared" ca="1" si="38"/>
        <v>1946371409.5631919</v>
      </c>
      <c r="Q170" s="42">
        <f t="shared" ca="1" si="38"/>
        <v>2040679795.3536811</v>
      </c>
      <c r="R170" s="42">
        <f t="shared" ca="1" si="38"/>
        <v>2140144140.9091058</v>
      </c>
      <c r="S170" s="42">
        <f t="shared" ca="1" si="38"/>
        <v>2245069848.4766393</v>
      </c>
      <c r="T170" s="42">
        <f t="shared" ca="1" si="38"/>
        <v>2355781246.1907334</v>
      </c>
      <c r="U170" s="42">
        <f t="shared" ca="1" si="38"/>
        <v>2472622788.3470387</v>
      </c>
      <c r="V170" s="42">
        <f t="shared" ca="1" si="38"/>
        <v>2595960332.6575313</v>
      </c>
      <c r="W170" s="42">
        <f t="shared" ca="1" si="38"/>
        <v>2726182499.4504876</v>
      </c>
      <c r="X170" s="42">
        <f t="shared" ca="1" si="38"/>
        <v>2863702118.0998259</v>
      </c>
      <c r="Y170" s="42">
        <f t="shared" ca="1" si="38"/>
        <v>2139202284.3962688</v>
      </c>
      <c r="Z170" s="42">
        <f t="shared" ca="1" si="38"/>
        <v>2203378352.9281569</v>
      </c>
      <c r="AA170" s="42">
        <f t="shared" ca="1" si="38"/>
        <v>2269479703.5160017</v>
      </c>
      <c r="AB170" s="42">
        <f t="shared" ca="1" si="38"/>
        <v>2337564094.6214819</v>
      </c>
      <c r="AC170" s="42">
        <f t="shared" ca="1" si="38"/>
        <v>2407691017.4601264</v>
      </c>
      <c r="AD170" s="42">
        <f t="shared" ca="1" si="38"/>
        <v>2479921747.9839306</v>
      </c>
      <c r="AE170" s="42">
        <f t="shared" ca="1" si="38"/>
        <v>2554319400.4234486</v>
      </c>
      <c r="AF170" s="42">
        <f t="shared" ca="1" si="38"/>
        <v>2630948982.436152</v>
      </c>
      <c r="AG170" s="42">
        <f t="shared" ca="1" si="38"/>
        <v>2709877451.9092369</v>
      </c>
      <c r="AH170" s="42">
        <f t="shared" ca="1" si="38"/>
        <v>2791173775.4665136</v>
      </c>
      <c r="AI170" s="42">
        <f t="shared" ca="1" si="38"/>
        <v>2874908988.7305098</v>
      </c>
      <c r="AJ170" s="42">
        <f t="shared" ca="1" si="38"/>
        <v>2961156258.3924251</v>
      </c>
      <c r="AK170" s="42">
        <f t="shared" ca="1" si="38"/>
        <v>3049990946.1441975</v>
      </c>
      <c r="AL170" s="42">
        <f t="shared" ca="1" si="38"/>
        <v>3141490674.5285234</v>
      </c>
      <c r="AM170" s="42">
        <f t="shared" ca="1" si="38"/>
        <v>3235735394.764379</v>
      </c>
      <c r="AN170" s="1085"/>
      <c r="AQ170" s="1502"/>
    </row>
    <row r="171" spans="2:43" s="590" customFormat="1">
      <c r="C171" s="5"/>
      <c r="D171" s="2"/>
      <c r="E171" s="2"/>
      <c r="F171" s="2"/>
      <c r="G171" s="2"/>
      <c r="H171" s="2"/>
      <c r="I171" s="2"/>
      <c r="J171" s="2"/>
      <c r="K171" s="2"/>
      <c r="L171" s="2"/>
      <c r="M171" s="2"/>
      <c r="N171" s="2"/>
      <c r="O171" s="5"/>
      <c r="P171" s="2"/>
      <c r="Q171" s="2"/>
      <c r="R171" s="2"/>
      <c r="S171" s="2"/>
      <c r="T171" s="2"/>
      <c r="U171" s="2"/>
      <c r="V171" s="2"/>
      <c r="W171" s="2"/>
      <c r="X171" s="2"/>
      <c r="Y171" s="2"/>
      <c r="Z171" s="2"/>
      <c r="AA171" s="5"/>
      <c r="AB171" s="2"/>
      <c r="AC171" s="2"/>
      <c r="AD171" s="2"/>
      <c r="AE171" s="2"/>
      <c r="AF171" s="2"/>
      <c r="AG171" s="2"/>
      <c r="AH171" s="2"/>
      <c r="AI171" s="2"/>
      <c r="AJ171" s="2"/>
      <c r="AK171" s="2"/>
      <c r="AL171" s="2"/>
      <c r="AM171" s="5"/>
      <c r="AN171" s="1085"/>
      <c r="AQ171" s="1502"/>
    </row>
    <row r="172" spans="2:43">
      <c r="C172" s="26" t="s">
        <v>438</v>
      </c>
      <c r="M172" s="489"/>
      <c r="N172" s="489"/>
      <c r="O172" s="489"/>
      <c r="P172" s="489"/>
      <c r="Q172" s="489"/>
      <c r="R172" s="489"/>
      <c r="S172" s="489"/>
      <c r="T172" s="489"/>
      <c r="U172" s="489"/>
      <c r="V172" s="489"/>
      <c r="W172" s="489"/>
      <c r="X172" s="489"/>
      <c r="Y172" s="489"/>
      <c r="Z172" s="489"/>
      <c r="AA172" s="489"/>
      <c r="AB172" s="489"/>
      <c r="AC172" s="489"/>
      <c r="AD172" s="489"/>
      <c r="AE172" s="489"/>
      <c r="AF172" s="489"/>
      <c r="AG172" s="489"/>
      <c r="AH172" s="489"/>
      <c r="AI172" s="489"/>
      <c r="AJ172" s="489"/>
      <c r="AK172" s="489"/>
      <c r="AL172" s="489"/>
      <c r="AM172" s="489"/>
      <c r="AN172" s="1085"/>
      <c r="AQ172" s="489"/>
    </row>
    <row r="173" spans="2:43">
      <c r="C173" s="11"/>
      <c r="M173" s="489"/>
      <c r="N173" s="489"/>
      <c r="O173" s="489"/>
      <c r="P173" s="489"/>
      <c r="Q173" s="489"/>
      <c r="R173" s="489"/>
      <c r="S173" s="489"/>
      <c r="T173" s="489"/>
      <c r="U173" s="489"/>
      <c r="V173" s="489"/>
      <c r="W173" s="489"/>
      <c r="X173" s="489"/>
      <c r="Y173" s="489"/>
      <c r="Z173" s="489"/>
      <c r="AA173" s="489"/>
      <c r="AB173" s="489"/>
      <c r="AC173" s="489"/>
      <c r="AD173" s="489"/>
      <c r="AE173" s="489"/>
      <c r="AF173" s="489"/>
      <c r="AG173" s="489"/>
      <c r="AH173" s="489"/>
      <c r="AI173" s="489"/>
      <c r="AJ173" s="489"/>
      <c r="AK173" s="489"/>
      <c r="AL173" s="489"/>
      <c r="AM173" s="489"/>
      <c r="AN173" s="1086"/>
      <c r="AQ173" s="489"/>
    </row>
    <row r="174" spans="2:43">
      <c r="C174" s="2" t="s">
        <v>439</v>
      </c>
      <c r="E174" s="15" t="s">
        <v>19</v>
      </c>
      <c r="F174" s="49">
        <f>'Assumption '!J632</f>
        <v>45</v>
      </c>
    </row>
    <row r="175" spans="2:43">
      <c r="B175" s="12"/>
    </row>
    <row r="176" spans="2:43">
      <c r="C176" s="2" t="s">
        <v>263</v>
      </c>
      <c r="E176" s="15">
        <f>$E$151</f>
        <v>0</v>
      </c>
      <c r="J176" s="41">
        <f>I179</f>
        <v>0</v>
      </c>
      <c r="K176" s="41">
        <f t="shared" ref="K176:AJ176" ca="1" si="39">J179</f>
        <v>0</v>
      </c>
      <c r="L176" s="41">
        <f t="shared" ca="1" si="39"/>
        <v>0</v>
      </c>
      <c r="M176" s="41">
        <f t="shared" ca="1" si="39"/>
        <v>125156280.71864671</v>
      </c>
      <c r="N176" s="41">
        <f ca="1">M179</f>
        <v>191257782.60732284</v>
      </c>
      <c r="O176" s="41">
        <f t="shared" ca="1" si="39"/>
        <v>212861737.59176907</v>
      </c>
      <c r="P176" s="41">
        <f t="shared" ca="1" si="39"/>
        <v>225926287.48698679</v>
      </c>
      <c r="Q176" s="41">
        <f t="shared" ca="1" si="39"/>
        <v>239963598.43929762</v>
      </c>
      <c r="R176" s="41">
        <f t="shared" ca="1" si="39"/>
        <v>251590659.70113876</v>
      </c>
      <c r="S176" s="41">
        <f t="shared" ca="1" si="39"/>
        <v>263853387.23536921</v>
      </c>
      <c r="T176" s="41">
        <f t="shared" ca="1" si="39"/>
        <v>276033178.09139007</v>
      </c>
      <c r="U176" s="41">
        <f t="shared" ca="1" si="39"/>
        <v>290438783.77693975</v>
      </c>
      <c r="V176" s="41">
        <f t="shared" ca="1" si="39"/>
        <v>304843905.41264862</v>
      </c>
      <c r="W176" s="41">
        <f t="shared" ca="1" si="39"/>
        <v>320049904.02627099</v>
      </c>
      <c r="X176" s="41">
        <f t="shared" ca="1" si="39"/>
        <v>335186372.88325667</v>
      </c>
      <c r="Y176" s="41">
        <f t="shared" ca="1" si="39"/>
        <v>353059165.245184</v>
      </c>
      <c r="Z176" s="41">
        <f t="shared" ca="1" si="39"/>
        <v>263737267.939266</v>
      </c>
      <c r="AA176" s="41">
        <f t="shared" ca="1" si="39"/>
        <v>271649385.97744399</v>
      </c>
      <c r="AB176" s="41">
        <f t="shared" ca="1" si="39"/>
        <v>279034389.77655756</v>
      </c>
      <c r="AC176" s="41">
        <f t="shared" ca="1" si="39"/>
        <v>288192833.5834704</v>
      </c>
      <c r="AD176" s="41">
        <f t="shared" ca="1" si="39"/>
        <v>296838618.59097451</v>
      </c>
      <c r="AE176" s="41">
        <f t="shared" ca="1" si="39"/>
        <v>305743777.14870375</v>
      </c>
      <c r="AF176" s="41">
        <f t="shared" ca="1" si="39"/>
        <v>314055663.98648959</v>
      </c>
      <c r="AG176" s="41">
        <f t="shared" ca="1" si="39"/>
        <v>324363573.17705983</v>
      </c>
      <c r="AH176" s="41">
        <f t="shared" ca="1" si="39"/>
        <v>334094480.37237167</v>
      </c>
      <c r="AI176" s="41">
        <f t="shared" ca="1" si="39"/>
        <v>344117314.78354281</v>
      </c>
      <c r="AJ176" s="41">
        <f t="shared" ca="1" si="39"/>
        <v>353472416.64719385</v>
      </c>
      <c r="AK176" s="41">
        <f ca="1">AJ179</f>
        <v>365074059.25386065</v>
      </c>
      <c r="AL176" s="41">
        <f ca="1">AK179</f>
        <v>376026281.03147644</v>
      </c>
      <c r="AM176" s="41">
        <f ca="1">AL179</f>
        <v>387307069.46242076</v>
      </c>
    </row>
    <row r="177" spans="2:43">
      <c r="C177" s="2" t="s">
        <v>440</v>
      </c>
      <c r="E177" s="15">
        <f>$E$151</f>
        <v>0</v>
      </c>
      <c r="F177" s="42">
        <f ca="1">SUM(J177:AM177)</f>
        <v>67303901887.30986</v>
      </c>
      <c r="J177" s="41">
        <f>J170</f>
        <v>0</v>
      </c>
      <c r="K177" s="41">
        <f t="shared" ref="K177:AM177" si="40">K170</f>
        <v>0</v>
      </c>
      <c r="L177" s="41">
        <f t="shared" ca="1" si="40"/>
        <v>1015156499.1623566</v>
      </c>
      <c r="M177" s="41">
        <f ca="1">M170</f>
        <v>1551313125.5927296</v>
      </c>
      <c r="N177" s="41">
        <f t="shared" ca="1" si="40"/>
        <v>1726545204.911016</v>
      </c>
      <c r="O177" s="41">
        <f t="shared" ca="1" si="40"/>
        <v>1837533804.8941593</v>
      </c>
      <c r="P177" s="41">
        <f t="shared" ca="1" si="40"/>
        <v>1946371409.5631919</v>
      </c>
      <c r="Q177" s="41">
        <f t="shared" ca="1" si="40"/>
        <v>2040679795.3536811</v>
      </c>
      <c r="R177" s="41">
        <f t="shared" ca="1" si="40"/>
        <v>2140144140.9091058</v>
      </c>
      <c r="S177" s="41">
        <f t="shared" ca="1" si="40"/>
        <v>2245069848.4766393</v>
      </c>
      <c r="T177" s="41">
        <f t="shared" ca="1" si="40"/>
        <v>2355781246.1907334</v>
      </c>
      <c r="U177" s="41">
        <f t="shared" ca="1" si="40"/>
        <v>2472622788.3470387</v>
      </c>
      <c r="V177" s="41">
        <f t="shared" ca="1" si="40"/>
        <v>2595960332.6575313</v>
      </c>
      <c r="W177" s="41">
        <f t="shared" ca="1" si="40"/>
        <v>2726182499.4504876</v>
      </c>
      <c r="X177" s="41">
        <f t="shared" ca="1" si="40"/>
        <v>2863702118.0998259</v>
      </c>
      <c r="Y177" s="41">
        <f t="shared" ca="1" si="40"/>
        <v>2139202284.3962688</v>
      </c>
      <c r="Z177" s="41">
        <f t="shared" ca="1" si="40"/>
        <v>2203378352.9281569</v>
      </c>
      <c r="AA177" s="41">
        <f t="shared" ca="1" si="40"/>
        <v>2269479703.5160017</v>
      </c>
      <c r="AB177" s="41">
        <f t="shared" ca="1" si="40"/>
        <v>2337564094.6214819</v>
      </c>
      <c r="AC177" s="41">
        <f t="shared" ca="1" si="40"/>
        <v>2407691017.4601264</v>
      </c>
      <c r="AD177" s="41">
        <f t="shared" ca="1" si="40"/>
        <v>2479921747.9839306</v>
      </c>
      <c r="AE177" s="41">
        <f t="shared" ca="1" si="40"/>
        <v>2554319400.4234486</v>
      </c>
      <c r="AF177" s="41">
        <f t="shared" ca="1" si="40"/>
        <v>2630948982.436152</v>
      </c>
      <c r="AG177" s="41">
        <f t="shared" ca="1" si="40"/>
        <v>2709877451.9092369</v>
      </c>
      <c r="AH177" s="41">
        <f t="shared" ca="1" si="40"/>
        <v>2791173775.4665136</v>
      </c>
      <c r="AI177" s="41">
        <f t="shared" ca="1" si="40"/>
        <v>2874908988.7305098</v>
      </c>
      <c r="AJ177" s="41">
        <f t="shared" ca="1" si="40"/>
        <v>2961156258.3924251</v>
      </c>
      <c r="AK177" s="41">
        <f t="shared" ca="1" si="40"/>
        <v>3049990946.1441975</v>
      </c>
      <c r="AL177" s="41">
        <f t="shared" ca="1" si="40"/>
        <v>3141490674.5285234</v>
      </c>
      <c r="AM177" s="41">
        <f t="shared" ca="1" si="40"/>
        <v>3235735394.764379</v>
      </c>
      <c r="AN177" s="1070"/>
      <c r="AO177" s="2">
        <f>AO166</f>
        <v>0</v>
      </c>
      <c r="AP177" s="2">
        <f>AP166</f>
        <v>0</v>
      </c>
      <c r="AQ177" s="41">
        <f>AQ166</f>
        <v>0</v>
      </c>
    </row>
    <row r="178" spans="2:43">
      <c r="C178" s="27" t="s">
        <v>441</v>
      </c>
      <c r="D178" s="27"/>
      <c r="E178" s="28">
        <f>$E$151</f>
        <v>0</v>
      </c>
      <c r="F178" s="108">
        <f ca="1">SUM(J178:AM178)</f>
        <v>-67303901887.30986</v>
      </c>
      <c r="G178" s="27"/>
      <c r="H178" s="27"/>
      <c r="I178" s="27"/>
      <c r="J178" s="43">
        <f t="shared" ref="J178:AM178" ca="1" si="41">J179-SUM(J176:J177)</f>
        <v>0</v>
      </c>
      <c r="K178" s="43">
        <f t="shared" ca="1" si="41"/>
        <v>0</v>
      </c>
      <c r="L178" s="43">
        <f t="shared" ca="1" si="41"/>
        <v>-890000218.44370985</v>
      </c>
      <c r="M178" s="43">
        <f t="shared" ca="1" si="41"/>
        <v>-1485211623.7040534</v>
      </c>
      <c r="N178" s="43">
        <f t="shared" ca="1" si="41"/>
        <v>-1704941249.9265699</v>
      </c>
      <c r="O178" s="43">
        <f t="shared" ca="1" si="41"/>
        <v>-1824469254.9989414</v>
      </c>
      <c r="P178" s="43">
        <f t="shared" ca="1" si="41"/>
        <v>-1932334098.6108809</v>
      </c>
      <c r="Q178" s="43">
        <f t="shared" ca="1" si="41"/>
        <v>-2029052734.09184</v>
      </c>
      <c r="R178" s="43">
        <f t="shared" ca="1" si="41"/>
        <v>-2127881413.3748755</v>
      </c>
      <c r="S178" s="43">
        <f t="shared" ca="1" si="41"/>
        <v>-2232890057.6206183</v>
      </c>
      <c r="T178" s="43">
        <f t="shared" ca="1" si="41"/>
        <v>-2341375640.5051837</v>
      </c>
      <c r="U178" s="43">
        <f t="shared" ca="1" si="41"/>
        <v>-2458217666.7113299</v>
      </c>
      <c r="V178" s="43">
        <f t="shared" ca="1" si="41"/>
        <v>-2580754334.0439091</v>
      </c>
      <c r="W178" s="43">
        <f t="shared" ca="1" si="41"/>
        <v>-2711046030.593502</v>
      </c>
      <c r="X178" s="43">
        <f t="shared" ca="1" si="41"/>
        <v>-2845829325.7378988</v>
      </c>
      <c r="Y178" s="43">
        <f t="shared" ca="1" si="41"/>
        <v>-2228524181.7021866</v>
      </c>
      <c r="Z178" s="43">
        <f t="shared" ca="1" si="41"/>
        <v>-2195466234.8899789</v>
      </c>
      <c r="AA178" s="43">
        <f t="shared" ca="1" si="41"/>
        <v>-2262094699.7168884</v>
      </c>
      <c r="AB178" s="43">
        <f t="shared" ca="1" si="41"/>
        <v>-2328405650.814569</v>
      </c>
      <c r="AC178" s="43">
        <f t="shared" ca="1" si="41"/>
        <v>-2399045232.4526224</v>
      </c>
      <c r="AD178" s="43">
        <f t="shared" ca="1" si="41"/>
        <v>-2471016589.4262013</v>
      </c>
      <c r="AE178" s="43">
        <f t="shared" ca="1" si="41"/>
        <v>-2546007513.5856624</v>
      </c>
      <c r="AF178" s="43">
        <f t="shared" ca="1" si="41"/>
        <v>-2620641073.2455821</v>
      </c>
      <c r="AG178" s="43">
        <f t="shared" ca="1" si="41"/>
        <v>-2700146544.7139249</v>
      </c>
      <c r="AH178" s="43">
        <f t="shared" ca="1" si="41"/>
        <v>-2781150941.0553427</v>
      </c>
      <c r="AI178" s="43">
        <f t="shared" ca="1" si="41"/>
        <v>-2865553886.8668585</v>
      </c>
      <c r="AJ178" s="43">
        <f t="shared" ca="1" si="41"/>
        <v>-2949554615.7857585</v>
      </c>
      <c r="AK178" s="43">
        <f t="shared" ca="1" si="41"/>
        <v>-3039038724.3665814</v>
      </c>
      <c r="AL178" s="43">
        <f t="shared" ca="1" si="41"/>
        <v>-3130209886.097579</v>
      </c>
      <c r="AM178" s="43">
        <f t="shared" ca="1" si="41"/>
        <v>-3623042464.2268</v>
      </c>
    </row>
    <row r="179" spans="2:43">
      <c r="C179" s="2" t="s">
        <v>266</v>
      </c>
      <c r="E179" s="15">
        <f>$E$151</f>
        <v>0</v>
      </c>
      <c r="F179" s="41">
        <f ca="1">SUM(F176:F178)</f>
        <v>0</v>
      </c>
      <c r="I179" s="135"/>
      <c r="J179" s="41">
        <f t="shared" ref="J179:AM179" ca="1" si="42">IF(J18=1,0,J177*$F$174/J5)</f>
        <v>0</v>
      </c>
      <c r="K179" s="41">
        <f t="shared" ca="1" si="42"/>
        <v>0</v>
      </c>
      <c r="L179" s="41">
        <f t="shared" ca="1" si="42"/>
        <v>125156280.71864671</v>
      </c>
      <c r="M179" s="41">
        <f t="shared" ca="1" si="42"/>
        <v>191257782.60732284</v>
      </c>
      <c r="N179" s="41">
        <f t="shared" ca="1" si="42"/>
        <v>212861737.59176907</v>
      </c>
      <c r="O179" s="41">
        <f t="shared" ca="1" si="42"/>
        <v>225926287.48698679</v>
      </c>
      <c r="P179" s="41">
        <f t="shared" ca="1" si="42"/>
        <v>239963598.43929762</v>
      </c>
      <c r="Q179" s="41">
        <f t="shared" ca="1" si="42"/>
        <v>251590659.70113876</v>
      </c>
      <c r="R179" s="41">
        <f t="shared" ca="1" si="42"/>
        <v>263853387.23536921</v>
      </c>
      <c r="S179" s="41">
        <f t="shared" ca="1" si="42"/>
        <v>276033178.09139007</v>
      </c>
      <c r="T179" s="41">
        <f t="shared" ca="1" si="42"/>
        <v>290438783.77693975</v>
      </c>
      <c r="U179" s="41">
        <f t="shared" ca="1" si="42"/>
        <v>304843905.41264862</v>
      </c>
      <c r="V179" s="41">
        <f t="shared" ca="1" si="42"/>
        <v>320049904.02627099</v>
      </c>
      <c r="W179" s="41">
        <f t="shared" ca="1" si="42"/>
        <v>335186372.88325667</v>
      </c>
      <c r="X179" s="41">
        <f t="shared" ca="1" si="42"/>
        <v>353059165.245184</v>
      </c>
      <c r="Y179" s="41">
        <f t="shared" ca="1" si="42"/>
        <v>263737267.939266</v>
      </c>
      <c r="Z179" s="41">
        <f t="shared" ca="1" si="42"/>
        <v>271649385.97744399</v>
      </c>
      <c r="AA179" s="41">
        <f t="shared" ca="1" si="42"/>
        <v>279034389.77655756</v>
      </c>
      <c r="AB179" s="41">
        <f t="shared" ca="1" si="42"/>
        <v>288192833.5834704</v>
      </c>
      <c r="AC179" s="41">
        <f t="shared" ca="1" si="42"/>
        <v>296838618.59097451</v>
      </c>
      <c r="AD179" s="41">
        <f t="shared" ca="1" si="42"/>
        <v>305743777.14870375</v>
      </c>
      <c r="AE179" s="41">
        <f t="shared" ca="1" si="42"/>
        <v>314055663.98648959</v>
      </c>
      <c r="AF179" s="41">
        <f t="shared" ca="1" si="42"/>
        <v>324363573.17705983</v>
      </c>
      <c r="AG179" s="41">
        <f t="shared" ca="1" si="42"/>
        <v>334094480.37237167</v>
      </c>
      <c r="AH179" s="41">
        <f t="shared" ca="1" si="42"/>
        <v>344117314.78354281</v>
      </c>
      <c r="AI179" s="41">
        <f t="shared" ca="1" si="42"/>
        <v>353472416.64719385</v>
      </c>
      <c r="AJ179" s="41">
        <f t="shared" ca="1" si="42"/>
        <v>365074059.25386065</v>
      </c>
      <c r="AK179" s="41">
        <f t="shared" ca="1" si="42"/>
        <v>376026281.03147644</v>
      </c>
      <c r="AL179" s="41">
        <f t="shared" ca="1" si="42"/>
        <v>387307069.46242076</v>
      </c>
      <c r="AM179" s="41">
        <f t="shared" si="42"/>
        <v>0</v>
      </c>
    </row>
    <row r="181" spans="2:43">
      <c r="B181" s="6" t="s">
        <v>442</v>
      </c>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row>
    <row r="182" spans="2:43">
      <c r="B182" s="12"/>
    </row>
    <row r="183" spans="2:43">
      <c r="C183" s="2" t="s">
        <v>443</v>
      </c>
    </row>
    <row r="185" spans="2:43">
      <c r="C185" s="2" t="s">
        <v>370</v>
      </c>
      <c r="E185" s="15">
        <f>$E$151</f>
        <v>0</v>
      </c>
      <c r="J185" s="41">
        <f ca="1">CF!I43</f>
        <v>0</v>
      </c>
      <c r="K185" s="41">
        <f ca="1">CF!J43</f>
        <v>-132913371.73613448</v>
      </c>
      <c r="L185" s="41">
        <f ca="1">CF!K43</f>
        <v>632979160.75820112</v>
      </c>
      <c r="M185" s="41">
        <f ca="1">CF!L43</f>
        <v>878476565.64138186</v>
      </c>
      <c r="N185" s="41">
        <f ca="1">CF!M43</f>
        <v>1288299890.1069081</v>
      </c>
      <c r="O185" s="41">
        <f ca="1">CF!N43</f>
        <v>1637966395.679565</v>
      </c>
      <c r="P185" s="41">
        <f ca="1">CF!O43</f>
        <v>2040726817.8025031</v>
      </c>
      <c r="Q185" s="41">
        <f ca="1">CF!P43</f>
        <v>2485380857.1483808</v>
      </c>
      <c r="R185" s="41">
        <f ca="1">CF!Q43</f>
        <v>2965996236.233273</v>
      </c>
      <c r="S185" s="41">
        <f ca="1">CF!R43</f>
        <v>3260022660.1744308</v>
      </c>
      <c r="T185" s="41">
        <f ca="1">CF!S43</f>
        <v>3859761865.2041125</v>
      </c>
      <c r="U185" s="41">
        <f ca="1">CF!T43</f>
        <v>4437755346.5319462</v>
      </c>
      <c r="V185" s="41">
        <f ca="1">CF!U43</f>
        <v>4998010898.8891544</v>
      </c>
      <c r="W185" s="41">
        <f ca="1">CF!V43</f>
        <v>5549935527.9177265</v>
      </c>
      <c r="X185" s="41">
        <f ca="1">CF!W43</f>
        <v>6088236447.4359055</v>
      </c>
      <c r="Y185" s="41">
        <f ca="1">CF!X43</f>
        <v>6225215361.3162832</v>
      </c>
      <c r="Z185" s="41">
        <f ca="1">CF!Y43</f>
        <v>6288190203.7340374</v>
      </c>
      <c r="AA185" s="41">
        <f ca="1">CF!Z43</f>
        <v>6375851763.5649385</v>
      </c>
      <c r="AB185" s="41">
        <f ca="1">CF!AA43</f>
        <v>6475174472.3235817</v>
      </c>
      <c r="AC185" s="41">
        <f ca="1">CF!AB43</f>
        <v>6610492805.2316284</v>
      </c>
      <c r="AD185" s="41">
        <f ca="1">CF!AC43</f>
        <v>6774454777.4897223</v>
      </c>
      <c r="AE185" s="41">
        <f ca="1">CF!AD43</f>
        <v>6967936720.2900257</v>
      </c>
      <c r="AF185" s="41">
        <f ca="1">CF!AE43</f>
        <v>7176319197.5057688</v>
      </c>
      <c r="AG185" s="41">
        <f ca="1">CF!AF43</f>
        <v>7410087118.0503836</v>
      </c>
      <c r="AH185" s="41">
        <f ca="1">CF!AG43</f>
        <v>7663044541.6729469</v>
      </c>
      <c r="AI185" s="41">
        <f ca="1">CF!AH43</f>
        <v>7937849158.0875101</v>
      </c>
      <c r="AJ185" s="41">
        <f ca="1">CF!AI43</f>
        <v>8219935390.2149868</v>
      </c>
      <c r="AK185" s="41">
        <f ca="1">CF!AJ43</f>
        <v>9875293214.6079426</v>
      </c>
      <c r="AL185" s="41">
        <f ca="1">CF!AK43</f>
        <v>11605184399.40288</v>
      </c>
      <c r="AM185" s="41">
        <f ca="1">CF!AL43</f>
        <v>12504018718.493343</v>
      </c>
    </row>
    <row r="186" spans="2:43">
      <c r="C186" s="2" t="s">
        <v>444</v>
      </c>
      <c r="E186" s="15">
        <f>$E$151</f>
        <v>0</v>
      </c>
      <c r="I186" s="135"/>
      <c r="J186" s="41">
        <f ca="1">MAX(J185,0)</f>
        <v>0</v>
      </c>
      <c r="K186" s="41">
        <f t="shared" ref="K186:AM186" ca="1" si="43">MAX(K185,0)</f>
        <v>0</v>
      </c>
      <c r="L186" s="41">
        <f t="shared" ca="1" si="43"/>
        <v>632979160.75820112</v>
      </c>
      <c r="M186" s="41">
        <f t="shared" ca="1" si="43"/>
        <v>878476565.64138186</v>
      </c>
      <c r="N186" s="41">
        <f t="shared" ca="1" si="43"/>
        <v>1288299890.1069081</v>
      </c>
      <c r="O186" s="41">
        <f t="shared" ca="1" si="43"/>
        <v>1637966395.679565</v>
      </c>
      <c r="P186" s="41">
        <f t="shared" ca="1" si="43"/>
        <v>2040726817.8025031</v>
      </c>
      <c r="Q186" s="41">
        <f t="shared" ca="1" si="43"/>
        <v>2485380857.1483808</v>
      </c>
      <c r="R186" s="41">
        <f t="shared" ca="1" si="43"/>
        <v>2965996236.233273</v>
      </c>
      <c r="S186" s="41">
        <f t="shared" ca="1" si="43"/>
        <v>3260022660.1744308</v>
      </c>
      <c r="T186" s="41">
        <f t="shared" ca="1" si="43"/>
        <v>3859761865.2041125</v>
      </c>
      <c r="U186" s="41">
        <f t="shared" ca="1" si="43"/>
        <v>4437755346.5319462</v>
      </c>
      <c r="V186" s="41">
        <f t="shared" ca="1" si="43"/>
        <v>4998010898.8891544</v>
      </c>
      <c r="W186" s="41">
        <f t="shared" ca="1" si="43"/>
        <v>5549935527.9177265</v>
      </c>
      <c r="X186" s="41">
        <f t="shared" ca="1" si="43"/>
        <v>6088236447.4359055</v>
      </c>
      <c r="Y186" s="41">
        <f t="shared" ca="1" si="43"/>
        <v>6225215361.3162832</v>
      </c>
      <c r="Z186" s="41">
        <f t="shared" ca="1" si="43"/>
        <v>6288190203.7340374</v>
      </c>
      <c r="AA186" s="41">
        <f t="shared" ca="1" si="43"/>
        <v>6375851763.5649385</v>
      </c>
      <c r="AB186" s="41">
        <f t="shared" ca="1" si="43"/>
        <v>6475174472.3235817</v>
      </c>
      <c r="AC186" s="41">
        <f t="shared" ca="1" si="43"/>
        <v>6610492805.2316284</v>
      </c>
      <c r="AD186" s="41">
        <f t="shared" ca="1" si="43"/>
        <v>6774454777.4897223</v>
      </c>
      <c r="AE186" s="41">
        <f t="shared" ca="1" si="43"/>
        <v>6967936720.2900257</v>
      </c>
      <c r="AF186" s="41">
        <f t="shared" ca="1" si="43"/>
        <v>7176319197.5057688</v>
      </c>
      <c r="AG186" s="41">
        <f t="shared" ca="1" si="43"/>
        <v>7410087118.0503836</v>
      </c>
      <c r="AH186" s="41">
        <f t="shared" ca="1" si="43"/>
        <v>7663044541.6729469</v>
      </c>
      <c r="AI186" s="41">
        <f t="shared" ca="1" si="43"/>
        <v>7937849158.0875101</v>
      </c>
      <c r="AJ186" s="41">
        <f t="shared" ca="1" si="43"/>
        <v>8219935390.2149868</v>
      </c>
      <c r="AK186" s="41">
        <f t="shared" ca="1" si="43"/>
        <v>9875293214.6079426</v>
      </c>
      <c r="AL186" s="41">
        <f t="shared" ca="1" si="43"/>
        <v>11605184399.40288</v>
      </c>
      <c r="AM186" s="41">
        <f t="shared" ca="1" si="43"/>
        <v>12504018718.493343</v>
      </c>
    </row>
    <row r="187" spans="2:43">
      <c r="C187" s="2" t="s">
        <v>291</v>
      </c>
      <c r="F187" s="146">
        <f>IF('Input '!$F$9=1,'Input '!$F$389,'Input '!$E$389)</f>
        <v>2.3E-2</v>
      </c>
    </row>
    <row r="188" spans="2:43">
      <c r="C188" s="2" t="s">
        <v>445</v>
      </c>
      <c r="E188" s="15">
        <f>$E$151</f>
        <v>0</v>
      </c>
      <c r="J188" s="41">
        <f t="shared" ref="J188:AM188" si="44">I186*$F$187*J24</f>
        <v>0</v>
      </c>
      <c r="K188" s="41">
        <f t="shared" ca="1" si="44"/>
        <v>0</v>
      </c>
      <c r="L188" s="41">
        <f t="shared" ca="1" si="44"/>
        <v>0</v>
      </c>
      <c r="M188" s="41">
        <f t="shared" ca="1" si="44"/>
        <v>14558520.697438626</v>
      </c>
      <c r="N188" s="41">
        <f t="shared" ca="1" si="44"/>
        <v>20204961.009751782</v>
      </c>
      <c r="O188" s="41">
        <f t="shared" ca="1" si="44"/>
        <v>29549938.736195337</v>
      </c>
      <c r="P188" s="41">
        <f t="shared" ca="1" si="44"/>
        <v>37776441.42145364</v>
      </c>
      <c r="Q188" s="41">
        <f t="shared" ca="1" si="44"/>
        <v>46936716.80945757</v>
      </c>
      <c r="R188" s="41">
        <f t="shared" ca="1" si="44"/>
        <v>57163759.714412756</v>
      </c>
      <c r="S188" s="41">
        <f t="shared" ca="1" si="44"/>
        <v>68031525.691744074</v>
      </c>
      <c r="T188" s="41">
        <f t="shared" ca="1" si="44"/>
        <v>75185947.269447565</v>
      </c>
      <c r="U188" s="41">
        <f t="shared" ca="1" si="44"/>
        <v>88774522.899694592</v>
      </c>
      <c r="V188" s="41">
        <f t="shared" ca="1" si="44"/>
        <v>102068372.97023477</v>
      </c>
      <c r="W188" s="41">
        <f t="shared" ca="1" si="44"/>
        <v>114640168.02233456</v>
      </c>
      <c r="X188" s="41">
        <f t="shared" ca="1" si="44"/>
        <v>127998239.10688062</v>
      </c>
      <c r="Y188" s="41">
        <f t="shared" ca="1" si="44"/>
        <v>140029438.29102582</v>
      </c>
      <c r="Z188" s="41">
        <f t="shared" ca="1" si="44"/>
        <v>143179953.31027451</v>
      </c>
      <c r="AA188" s="41">
        <f t="shared" ca="1" si="44"/>
        <v>144233215.19220558</v>
      </c>
      <c r="AB188" s="41">
        <f t="shared" ca="1" si="44"/>
        <v>147046356.56353334</v>
      </c>
      <c r="AC188" s="41">
        <f t="shared" ca="1" si="44"/>
        <v>148929012.86344239</v>
      </c>
      <c r="AD188" s="41">
        <f t="shared" ca="1" si="44"/>
        <v>152041334.52032745</v>
      </c>
      <c r="AE188" s="41">
        <f t="shared" ca="1" si="44"/>
        <v>155386742.77876014</v>
      </c>
      <c r="AF188" s="41">
        <f t="shared" ca="1" si="44"/>
        <v>160701620.03123683</v>
      </c>
      <c r="AG188" s="41">
        <f t="shared" ca="1" si="44"/>
        <v>165055341.54263267</v>
      </c>
      <c r="AH188" s="41">
        <f t="shared" ca="1" si="44"/>
        <v>170432003.71515882</v>
      </c>
      <c r="AI188" s="41">
        <f t="shared" ca="1" si="44"/>
        <v>175768467.01460215</v>
      </c>
      <c r="AJ188" s="41">
        <f t="shared" ca="1" si="44"/>
        <v>183070723.87063196</v>
      </c>
      <c r="AK188" s="41">
        <f t="shared" ca="1" si="44"/>
        <v>189058513.97494468</v>
      </c>
      <c r="AL188" s="41">
        <f t="shared" ca="1" si="44"/>
        <v>227131743.93598267</v>
      </c>
      <c r="AM188" s="41">
        <f t="shared" ca="1" si="44"/>
        <v>266919241.18626624</v>
      </c>
    </row>
    <row r="190" spans="2:43">
      <c r="B190" s="6" t="s">
        <v>1485</v>
      </c>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row>
    <row r="192" spans="2:43">
      <c r="C192" s="2" t="s">
        <v>2128</v>
      </c>
      <c r="E192" s="1352" t="s">
        <v>915</v>
      </c>
      <c r="J192" s="188">
        <f>J132</f>
        <v>0</v>
      </c>
      <c r="K192" s="188">
        <f t="shared" ref="K192:AM194" si="45">K132</f>
        <v>0</v>
      </c>
      <c r="L192" s="188">
        <f t="shared" ca="1" si="45"/>
        <v>1218750</v>
      </c>
      <c r="M192" s="188">
        <f t="shared" ca="1" si="45"/>
        <v>1425000</v>
      </c>
      <c r="N192" s="188">
        <f t="shared" ca="1" si="45"/>
        <v>1425000</v>
      </c>
      <c r="O192" s="188">
        <f t="shared" ca="1" si="45"/>
        <v>1425000</v>
      </c>
      <c r="P192" s="188">
        <f t="shared" ca="1" si="45"/>
        <v>1425000</v>
      </c>
      <c r="Q192" s="188">
        <f t="shared" ca="1" si="45"/>
        <v>1425000</v>
      </c>
      <c r="R192" s="188">
        <f t="shared" ca="1" si="45"/>
        <v>1425000</v>
      </c>
      <c r="S192" s="188">
        <f t="shared" ca="1" si="45"/>
        <v>1425000</v>
      </c>
      <c r="T192" s="188">
        <f t="shared" ca="1" si="45"/>
        <v>1425000</v>
      </c>
      <c r="U192" s="188">
        <f t="shared" ca="1" si="45"/>
        <v>1425000</v>
      </c>
      <c r="V192" s="188">
        <f t="shared" ca="1" si="45"/>
        <v>1425000</v>
      </c>
      <c r="W192" s="188">
        <f t="shared" ca="1" si="45"/>
        <v>1425000</v>
      </c>
      <c r="X192" s="188">
        <f t="shared" ca="1" si="45"/>
        <v>1425000</v>
      </c>
      <c r="Y192" s="188">
        <f t="shared" ca="1" si="45"/>
        <v>1425000</v>
      </c>
      <c r="Z192" s="188">
        <f t="shared" ca="1" si="45"/>
        <v>1425000</v>
      </c>
      <c r="AA192" s="188">
        <f t="shared" ca="1" si="45"/>
        <v>1425000</v>
      </c>
      <c r="AB192" s="188">
        <f t="shared" ca="1" si="45"/>
        <v>1425000</v>
      </c>
      <c r="AC192" s="188">
        <f t="shared" ca="1" si="45"/>
        <v>1425000</v>
      </c>
      <c r="AD192" s="188">
        <f t="shared" ca="1" si="45"/>
        <v>1425000</v>
      </c>
      <c r="AE192" s="188">
        <f t="shared" ca="1" si="45"/>
        <v>1425000</v>
      </c>
      <c r="AF192" s="188">
        <f t="shared" ca="1" si="45"/>
        <v>1425000</v>
      </c>
      <c r="AG192" s="188">
        <f t="shared" ca="1" si="45"/>
        <v>1425000</v>
      </c>
      <c r="AH192" s="188">
        <f t="shared" ca="1" si="45"/>
        <v>1425000</v>
      </c>
      <c r="AI192" s="188">
        <f t="shared" ca="1" si="45"/>
        <v>1425000</v>
      </c>
      <c r="AJ192" s="188">
        <f t="shared" ca="1" si="45"/>
        <v>1425000</v>
      </c>
      <c r="AK192" s="188">
        <f t="shared" ca="1" si="45"/>
        <v>1425000</v>
      </c>
      <c r="AL192" s="188">
        <f t="shared" ca="1" si="45"/>
        <v>1425000</v>
      </c>
      <c r="AM192" s="188">
        <f t="shared" ca="1" si="45"/>
        <v>1425000</v>
      </c>
    </row>
    <row r="193" spans="3:39">
      <c r="C193" s="2" t="s">
        <v>2129</v>
      </c>
      <c r="E193" s="1352" t="s">
        <v>915</v>
      </c>
      <c r="J193" s="188">
        <f>J133</f>
        <v>0</v>
      </c>
      <c r="K193" s="188">
        <f t="shared" ref="K193:Y193" si="46">K133</f>
        <v>0</v>
      </c>
      <c r="L193" s="188">
        <f t="shared" si="46"/>
        <v>0</v>
      </c>
      <c r="M193" s="188">
        <f t="shared" ca="1" si="46"/>
        <v>812500</v>
      </c>
      <c r="N193" s="188">
        <f t="shared" ca="1" si="46"/>
        <v>950000</v>
      </c>
      <c r="O193" s="188">
        <f t="shared" ca="1" si="46"/>
        <v>950000</v>
      </c>
      <c r="P193" s="188">
        <f t="shared" ca="1" si="46"/>
        <v>950000</v>
      </c>
      <c r="Q193" s="188">
        <f t="shared" ca="1" si="46"/>
        <v>950000</v>
      </c>
      <c r="R193" s="188">
        <f t="shared" ca="1" si="46"/>
        <v>950000</v>
      </c>
      <c r="S193" s="188">
        <f t="shared" ca="1" si="46"/>
        <v>950000</v>
      </c>
      <c r="T193" s="188">
        <f t="shared" ca="1" si="46"/>
        <v>950000</v>
      </c>
      <c r="U193" s="188">
        <f t="shared" ca="1" si="46"/>
        <v>950000</v>
      </c>
      <c r="V193" s="188">
        <f t="shared" ca="1" si="46"/>
        <v>950000</v>
      </c>
      <c r="W193" s="188">
        <f t="shared" ca="1" si="46"/>
        <v>950000</v>
      </c>
      <c r="X193" s="188">
        <f t="shared" ca="1" si="46"/>
        <v>950000</v>
      </c>
      <c r="Y193" s="188">
        <f t="shared" ca="1" si="46"/>
        <v>950000</v>
      </c>
      <c r="Z193" s="188">
        <f t="shared" ca="1" si="45"/>
        <v>950000</v>
      </c>
      <c r="AA193" s="188">
        <f t="shared" ca="1" si="45"/>
        <v>950000</v>
      </c>
      <c r="AB193" s="188">
        <f t="shared" ca="1" si="45"/>
        <v>950000</v>
      </c>
      <c r="AC193" s="188">
        <f t="shared" ca="1" si="45"/>
        <v>950000</v>
      </c>
      <c r="AD193" s="188">
        <f t="shared" ca="1" si="45"/>
        <v>950000</v>
      </c>
      <c r="AE193" s="188">
        <f t="shared" ca="1" si="45"/>
        <v>950000</v>
      </c>
      <c r="AF193" s="188">
        <f t="shared" ca="1" si="45"/>
        <v>950000</v>
      </c>
      <c r="AG193" s="188">
        <f t="shared" ca="1" si="45"/>
        <v>950000</v>
      </c>
      <c r="AH193" s="188">
        <f t="shared" ca="1" si="45"/>
        <v>950000</v>
      </c>
      <c r="AI193" s="188">
        <f t="shared" ca="1" si="45"/>
        <v>950000</v>
      </c>
      <c r="AJ193" s="188">
        <f t="shared" ca="1" si="45"/>
        <v>950000</v>
      </c>
      <c r="AK193" s="188">
        <f t="shared" ca="1" si="45"/>
        <v>950000</v>
      </c>
      <c r="AL193" s="188">
        <f t="shared" ca="1" si="45"/>
        <v>950000</v>
      </c>
      <c r="AM193" s="188">
        <f t="shared" ca="1" si="45"/>
        <v>950000</v>
      </c>
    </row>
    <row r="194" spans="3:39" hidden="1">
      <c r="C194" s="2" t="s">
        <v>2130</v>
      </c>
      <c r="E194" s="1352" t="s">
        <v>915</v>
      </c>
      <c r="J194" s="188">
        <f>J134</f>
        <v>0</v>
      </c>
      <c r="K194" s="188">
        <f t="shared" si="45"/>
        <v>0</v>
      </c>
      <c r="L194" s="188">
        <f t="shared" si="45"/>
        <v>0</v>
      </c>
      <c r="M194" s="188">
        <f t="shared" ca="1" si="45"/>
        <v>0</v>
      </c>
      <c r="N194" s="188">
        <f t="shared" ca="1" si="45"/>
        <v>0</v>
      </c>
      <c r="O194" s="188">
        <f t="shared" ca="1" si="45"/>
        <v>0</v>
      </c>
      <c r="P194" s="188">
        <f t="shared" ca="1" si="45"/>
        <v>0</v>
      </c>
      <c r="Q194" s="188">
        <f t="shared" ca="1" si="45"/>
        <v>0</v>
      </c>
      <c r="R194" s="188">
        <f t="shared" ca="1" si="45"/>
        <v>0</v>
      </c>
      <c r="S194" s="188">
        <f t="shared" ca="1" si="45"/>
        <v>0</v>
      </c>
      <c r="T194" s="188">
        <f t="shared" ca="1" si="45"/>
        <v>0</v>
      </c>
      <c r="U194" s="188">
        <f t="shared" ca="1" si="45"/>
        <v>0</v>
      </c>
      <c r="V194" s="188">
        <f t="shared" ca="1" si="45"/>
        <v>0</v>
      </c>
      <c r="W194" s="188">
        <f t="shared" ca="1" si="45"/>
        <v>0</v>
      </c>
      <c r="X194" s="188">
        <f t="shared" ca="1" si="45"/>
        <v>0</v>
      </c>
      <c r="Y194" s="188">
        <f t="shared" ca="1" si="45"/>
        <v>0</v>
      </c>
      <c r="Z194" s="188">
        <f t="shared" ca="1" si="45"/>
        <v>0</v>
      </c>
      <c r="AA194" s="188">
        <f t="shared" ca="1" si="45"/>
        <v>0</v>
      </c>
      <c r="AB194" s="188">
        <f t="shared" ca="1" si="45"/>
        <v>0</v>
      </c>
      <c r="AC194" s="188">
        <f t="shared" ca="1" si="45"/>
        <v>0</v>
      </c>
      <c r="AD194" s="188">
        <f t="shared" ca="1" si="45"/>
        <v>0</v>
      </c>
      <c r="AE194" s="188">
        <f t="shared" ca="1" si="45"/>
        <v>0</v>
      </c>
      <c r="AF194" s="188">
        <f t="shared" ca="1" si="45"/>
        <v>0</v>
      </c>
      <c r="AG194" s="188">
        <f t="shared" ca="1" si="45"/>
        <v>0</v>
      </c>
      <c r="AH194" s="188">
        <f t="shared" ca="1" si="45"/>
        <v>0</v>
      </c>
      <c r="AI194" s="188">
        <f t="shared" ca="1" si="45"/>
        <v>0</v>
      </c>
      <c r="AJ194" s="188">
        <f t="shared" ca="1" si="45"/>
        <v>0</v>
      </c>
      <c r="AK194" s="188">
        <f t="shared" ca="1" si="45"/>
        <v>0</v>
      </c>
      <c r="AL194" s="188">
        <f t="shared" ca="1" si="45"/>
        <v>0</v>
      </c>
      <c r="AM194" s="188">
        <f t="shared" ca="1" si="45"/>
        <v>0</v>
      </c>
    </row>
    <row r="195" spans="3:39">
      <c r="C195" s="2" t="s">
        <v>1486</v>
      </c>
      <c r="E195" s="1352" t="s">
        <v>915</v>
      </c>
      <c r="J195" s="188">
        <f t="shared" ref="J195:AM195" si="47">J136</f>
        <v>0</v>
      </c>
      <c r="K195" s="188">
        <f t="shared" si="47"/>
        <v>0</v>
      </c>
      <c r="L195" s="188">
        <f t="shared" ca="1" si="47"/>
        <v>812500</v>
      </c>
      <c r="M195" s="188">
        <f t="shared" ca="1" si="47"/>
        <v>950000</v>
      </c>
      <c r="N195" s="188">
        <f t="shared" ca="1" si="47"/>
        <v>950000</v>
      </c>
      <c r="O195" s="188">
        <f t="shared" ca="1" si="47"/>
        <v>950000</v>
      </c>
      <c r="P195" s="188">
        <f t="shared" ca="1" si="47"/>
        <v>950000</v>
      </c>
      <c r="Q195" s="188">
        <f t="shared" ca="1" si="47"/>
        <v>950000</v>
      </c>
      <c r="R195" s="188">
        <f t="shared" ca="1" si="47"/>
        <v>950000</v>
      </c>
      <c r="S195" s="188">
        <f t="shared" ca="1" si="47"/>
        <v>950000</v>
      </c>
      <c r="T195" s="188">
        <f t="shared" ca="1" si="47"/>
        <v>950000</v>
      </c>
      <c r="U195" s="188">
        <f t="shared" ca="1" si="47"/>
        <v>950000</v>
      </c>
      <c r="V195" s="188">
        <f t="shared" ca="1" si="47"/>
        <v>950000</v>
      </c>
      <c r="W195" s="188">
        <f t="shared" ca="1" si="47"/>
        <v>950000</v>
      </c>
      <c r="X195" s="188">
        <f t="shared" ca="1" si="47"/>
        <v>950000</v>
      </c>
      <c r="Y195" s="188">
        <f t="shared" ca="1" si="47"/>
        <v>950000</v>
      </c>
      <c r="Z195" s="188">
        <f t="shared" ca="1" si="47"/>
        <v>950000</v>
      </c>
      <c r="AA195" s="188">
        <f t="shared" ca="1" si="47"/>
        <v>950000</v>
      </c>
      <c r="AB195" s="188">
        <f t="shared" ca="1" si="47"/>
        <v>950000</v>
      </c>
      <c r="AC195" s="188">
        <f t="shared" ca="1" si="47"/>
        <v>950000</v>
      </c>
      <c r="AD195" s="188">
        <f t="shared" ca="1" si="47"/>
        <v>950000</v>
      </c>
      <c r="AE195" s="188">
        <f t="shared" ca="1" si="47"/>
        <v>950000</v>
      </c>
      <c r="AF195" s="188">
        <f t="shared" ca="1" si="47"/>
        <v>950000</v>
      </c>
      <c r="AG195" s="188">
        <f t="shared" ca="1" si="47"/>
        <v>950000</v>
      </c>
      <c r="AH195" s="188">
        <f t="shared" ca="1" si="47"/>
        <v>950000</v>
      </c>
      <c r="AI195" s="188">
        <f t="shared" ca="1" si="47"/>
        <v>950000</v>
      </c>
      <c r="AJ195" s="188">
        <f t="shared" ca="1" si="47"/>
        <v>950000</v>
      </c>
      <c r="AK195" s="188">
        <f t="shared" ca="1" si="47"/>
        <v>950000</v>
      </c>
      <c r="AL195" s="188">
        <f t="shared" ca="1" si="47"/>
        <v>950000</v>
      </c>
      <c r="AM195" s="188">
        <f t="shared" ca="1" si="47"/>
        <v>950000</v>
      </c>
    </row>
    <row r="196" spans="3:39" ht="11.25" thickBot="1">
      <c r="C196" s="486" t="s">
        <v>1487</v>
      </c>
      <c r="D196" s="486"/>
      <c r="E196" s="486"/>
      <c r="F196" s="486"/>
      <c r="G196" s="486"/>
      <c r="H196" s="486"/>
      <c r="I196" s="1046">
        <f t="shared" ref="I196:AM196" si="48">SUM(I192:I195)</f>
        <v>0</v>
      </c>
      <c r="J196" s="1046">
        <f t="shared" si="48"/>
        <v>0</v>
      </c>
      <c r="K196" s="1046">
        <f t="shared" si="48"/>
        <v>0</v>
      </c>
      <c r="L196" s="1046">
        <f t="shared" ca="1" si="48"/>
        <v>2031250</v>
      </c>
      <c r="M196" s="1046">
        <f t="shared" ca="1" si="48"/>
        <v>3187500</v>
      </c>
      <c r="N196" s="1046">
        <f t="shared" ca="1" si="48"/>
        <v>3325000</v>
      </c>
      <c r="O196" s="1046">
        <f t="shared" ca="1" si="48"/>
        <v>3325000</v>
      </c>
      <c r="P196" s="1046">
        <f t="shared" ca="1" si="48"/>
        <v>3325000</v>
      </c>
      <c r="Q196" s="1046">
        <f t="shared" ca="1" si="48"/>
        <v>3325000</v>
      </c>
      <c r="R196" s="1046">
        <f t="shared" ca="1" si="48"/>
        <v>3325000</v>
      </c>
      <c r="S196" s="1046">
        <f t="shared" ca="1" si="48"/>
        <v>3325000</v>
      </c>
      <c r="T196" s="1046">
        <f t="shared" ca="1" si="48"/>
        <v>3325000</v>
      </c>
      <c r="U196" s="1046">
        <f t="shared" ca="1" si="48"/>
        <v>3325000</v>
      </c>
      <c r="V196" s="1046">
        <f t="shared" ca="1" si="48"/>
        <v>3325000</v>
      </c>
      <c r="W196" s="1046">
        <f t="shared" ca="1" si="48"/>
        <v>3325000</v>
      </c>
      <c r="X196" s="1046">
        <f t="shared" ca="1" si="48"/>
        <v>3325000</v>
      </c>
      <c r="Y196" s="1046">
        <f t="shared" ca="1" si="48"/>
        <v>3325000</v>
      </c>
      <c r="Z196" s="1046">
        <f t="shared" ca="1" si="48"/>
        <v>3325000</v>
      </c>
      <c r="AA196" s="1046">
        <f t="shared" ca="1" si="48"/>
        <v>3325000</v>
      </c>
      <c r="AB196" s="1046">
        <f t="shared" ca="1" si="48"/>
        <v>3325000</v>
      </c>
      <c r="AC196" s="1046">
        <f t="shared" ca="1" si="48"/>
        <v>3325000</v>
      </c>
      <c r="AD196" s="1046">
        <f t="shared" ca="1" si="48"/>
        <v>3325000</v>
      </c>
      <c r="AE196" s="1046">
        <f t="shared" ca="1" si="48"/>
        <v>3325000</v>
      </c>
      <c r="AF196" s="1046">
        <f t="shared" ca="1" si="48"/>
        <v>3325000</v>
      </c>
      <c r="AG196" s="1046">
        <f t="shared" ca="1" si="48"/>
        <v>3325000</v>
      </c>
      <c r="AH196" s="1046">
        <f t="shared" ca="1" si="48"/>
        <v>3325000</v>
      </c>
      <c r="AI196" s="1046">
        <f t="shared" ca="1" si="48"/>
        <v>3325000</v>
      </c>
      <c r="AJ196" s="1046">
        <f t="shared" ca="1" si="48"/>
        <v>3325000</v>
      </c>
      <c r="AK196" s="1046">
        <f t="shared" ca="1" si="48"/>
        <v>3325000</v>
      </c>
      <c r="AL196" s="1046">
        <f t="shared" ca="1" si="48"/>
        <v>3325000</v>
      </c>
      <c r="AM196" s="1046">
        <f t="shared" ca="1" si="48"/>
        <v>3325000</v>
      </c>
    </row>
    <row r="198" spans="3:39">
      <c r="C198" s="501" t="s">
        <v>1554</v>
      </c>
    </row>
    <row r="199" spans="3:39">
      <c r="C199" s="2" t="s">
        <v>2131</v>
      </c>
      <c r="J199" s="186">
        <f>'Raw Material '!I33</f>
        <v>21.489978510000004</v>
      </c>
      <c r="K199" s="186">
        <f>'Raw Material '!J33</f>
        <v>21.489978510000004</v>
      </c>
      <c r="L199" s="186">
        <f>'Raw Material '!K33</f>
        <v>21.489978510000004</v>
      </c>
      <c r="M199" s="186">
        <f>'Raw Material '!L33</f>
        <v>21.489978510000004</v>
      </c>
      <c r="N199" s="186">
        <f>'Raw Material '!M33</f>
        <v>21.489978510000004</v>
      </c>
      <c r="O199" s="186">
        <f>'Raw Material '!N33</f>
        <v>21.489978510000004</v>
      </c>
      <c r="P199" s="186">
        <f>'Raw Material '!O33</f>
        <v>21.489978510000004</v>
      </c>
      <c r="Q199" s="186">
        <f>'Raw Material '!P33</f>
        <v>21.489978510000004</v>
      </c>
      <c r="R199" s="186">
        <f>'Raw Material '!Q33</f>
        <v>21.489978510000004</v>
      </c>
      <c r="S199" s="186">
        <f>'Raw Material '!R33</f>
        <v>21.489978510000004</v>
      </c>
      <c r="T199" s="186">
        <f>'Raw Material '!S33</f>
        <v>21.489978510000004</v>
      </c>
      <c r="U199" s="186">
        <f>'Raw Material '!T33</f>
        <v>21.489978510000004</v>
      </c>
      <c r="V199" s="186">
        <f>'Raw Material '!U33</f>
        <v>21.489978510000004</v>
      </c>
      <c r="W199" s="186">
        <f>'Raw Material '!V33</f>
        <v>21.489978510000004</v>
      </c>
      <c r="X199" s="186">
        <f>'Raw Material '!W33</f>
        <v>21.489978510000004</v>
      </c>
      <c r="Y199" s="186">
        <f>'Raw Material '!X33</f>
        <v>21.489978510000004</v>
      </c>
      <c r="Z199" s="186">
        <f>'Raw Material '!Y33</f>
        <v>21.489978510000004</v>
      </c>
      <c r="AA199" s="186">
        <f>'Raw Material '!Z33</f>
        <v>21.489978510000004</v>
      </c>
      <c r="AB199" s="186">
        <f>'Raw Material '!AA33</f>
        <v>21.489978510000004</v>
      </c>
      <c r="AC199" s="186">
        <f>'Raw Material '!AB33</f>
        <v>21.489978510000004</v>
      </c>
      <c r="AD199" s="186">
        <f>'Raw Material '!AC33</f>
        <v>21.489978510000004</v>
      </c>
      <c r="AE199" s="186">
        <f>'Raw Material '!AD33</f>
        <v>21.489978510000004</v>
      </c>
      <c r="AF199" s="186">
        <f>'Raw Material '!AE33</f>
        <v>21.489978510000004</v>
      </c>
      <c r="AG199" s="186">
        <f>'Raw Material '!AF33</f>
        <v>21.489978510000004</v>
      </c>
      <c r="AH199" s="186">
        <f>'Raw Material '!AG33</f>
        <v>21.489978510000004</v>
      </c>
      <c r="AI199" s="186">
        <f>'Raw Material '!AH33</f>
        <v>21.489978510000004</v>
      </c>
      <c r="AJ199" s="186">
        <f>'Raw Material '!AI33</f>
        <v>21.489978510000004</v>
      </c>
      <c r="AK199" s="186">
        <f>'Raw Material '!AJ33</f>
        <v>21.489978510000004</v>
      </c>
      <c r="AL199" s="186">
        <f>'Raw Material '!AK33</f>
        <v>21.489978510000004</v>
      </c>
      <c r="AM199" s="186">
        <f>'Raw Material '!AL33</f>
        <v>21.489978510000004</v>
      </c>
    </row>
    <row r="200" spans="3:39" ht="12" customHeight="1">
      <c r="C200" s="2" t="s">
        <v>1582</v>
      </c>
      <c r="E200" s="323" t="s">
        <v>848</v>
      </c>
      <c r="J200" s="41">
        <f>'Raw Material '!I34</f>
        <v>0</v>
      </c>
      <c r="K200" s="41">
        <f>'Raw Material '!J34</f>
        <v>20952729.047250003</v>
      </c>
      <c r="L200" s="41">
        <f ca="1">'Raw Material '!K34*L20</f>
        <v>40159397.340562508</v>
      </c>
      <c r="M200" s="41">
        <f ca="1">'Raw Material '!L34*M20</f>
        <v>48083826.916125007</v>
      </c>
      <c r="N200" s="41">
        <f ca="1">'Raw Material '!M34*N20</f>
        <v>51038698.961250007</v>
      </c>
      <c r="O200" s="41">
        <f ca="1">'Raw Material '!N34*O20</f>
        <v>51038698.961250007</v>
      </c>
      <c r="P200" s="41">
        <f ca="1">'Raw Material '!O34*P20</f>
        <v>51038698.961250007</v>
      </c>
      <c r="Q200" s="41">
        <f ca="1">'Raw Material '!P34*Q20</f>
        <v>51038698.961250007</v>
      </c>
      <c r="R200" s="41">
        <f ca="1">'Raw Material '!Q34*R20</f>
        <v>51038698.961250007</v>
      </c>
      <c r="S200" s="41">
        <f ca="1">'Raw Material '!R34*S20</f>
        <v>51038698.961250007</v>
      </c>
      <c r="T200" s="41">
        <f ca="1">'Raw Material '!S34*T20</f>
        <v>51038698.961250007</v>
      </c>
      <c r="U200" s="41">
        <f ca="1">'Raw Material '!T34*U20</f>
        <v>51038698.961250007</v>
      </c>
      <c r="V200" s="41">
        <f ca="1">'Raw Material '!U34*V20</f>
        <v>51038698.961250007</v>
      </c>
      <c r="W200" s="41">
        <f ca="1">'Raw Material '!V34*W20</f>
        <v>51038698.961250007</v>
      </c>
      <c r="X200" s="41">
        <f ca="1">'Raw Material '!W34*X20</f>
        <v>51038698.961250007</v>
      </c>
      <c r="Y200" s="41">
        <f ca="1">'Raw Material '!X34*Y20</f>
        <v>51038698.961250007</v>
      </c>
      <c r="Z200" s="41">
        <f ca="1">'Raw Material '!Y34*Z20</f>
        <v>51038698.961250007</v>
      </c>
      <c r="AA200" s="41">
        <f ca="1">'Raw Material '!Z34*AA20</f>
        <v>51038698.961250007</v>
      </c>
      <c r="AB200" s="41">
        <f ca="1">'Raw Material '!AA34*AB20</f>
        <v>51038698.961250007</v>
      </c>
      <c r="AC200" s="41">
        <f ca="1">'Raw Material '!AB34*AC20</f>
        <v>51038698.961250007</v>
      </c>
      <c r="AD200" s="41">
        <f ca="1">'Raw Material '!AC34*AD20</f>
        <v>51038698.961250007</v>
      </c>
      <c r="AE200" s="41">
        <f ca="1">'Raw Material '!AD34*AE20</f>
        <v>51038698.961250007</v>
      </c>
      <c r="AF200" s="41">
        <f ca="1">'Raw Material '!AE34*AF20</f>
        <v>51038698.961250007</v>
      </c>
      <c r="AG200" s="41">
        <f ca="1">'Raw Material '!AF34*AG20</f>
        <v>51038698.961250007</v>
      </c>
      <c r="AH200" s="41">
        <f ca="1">'Raw Material '!AG34*AH20</f>
        <v>51038698.961250007</v>
      </c>
      <c r="AI200" s="41">
        <f ca="1">'Raw Material '!AH34*AI20</f>
        <v>51038698.961250007</v>
      </c>
      <c r="AJ200" s="41">
        <f ca="1">'Raw Material '!AI34*AJ20</f>
        <v>51038698.961250007</v>
      </c>
      <c r="AK200" s="41">
        <f ca="1">'Raw Material '!AJ34*AK20</f>
        <v>51038698.961250007</v>
      </c>
      <c r="AL200" s="41">
        <f ca="1">'Raw Material '!AK34*AL20</f>
        <v>51038698.961250007</v>
      </c>
      <c r="AM200" s="41">
        <f ca="1">'Raw Material '!AL34*AM20</f>
        <v>51038698.961250007</v>
      </c>
    </row>
    <row r="201" spans="3:39" ht="12" customHeight="1">
      <c r="J201" s="41"/>
      <c r="K201" s="41"/>
      <c r="L201" s="41"/>
      <c r="M201" s="41"/>
      <c r="N201" s="41"/>
      <c r="O201" s="41"/>
      <c r="P201" s="41"/>
      <c r="Q201" s="41"/>
      <c r="R201" s="41"/>
      <c r="S201" s="41"/>
      <c r="T201" s="41"/>
      <c r="U201" s="41"/>
      <c r="V201" s="41"/>
      <c r="W201" s="41"/>
      <c r="X201" s="41"/>
      <c r="Y201" s="41"/>
      <c r="Z201" s="41"/>
      <c r="AA201" s="41"/>
      <c r="AB201" s="41"/>
      <c r="AC201" s="41"/>
      <c r="AD201" s="41"/>
      <c r="AE201" s="41"/>
      <c r="AF201" s="41"/>
      <c r="AG201" s="41"/>
      <c r="AH201" s="41"/>
      <c r="AI201" s="41"/>
      <c r="AJ201" s="41"/>
      <c r="AK201" s="41"/>
      <c r="AL201" s="41"/>
      <c r="AM201" s="41"/>
    </row>
    <row r="202" spans="3:39" ht="11.45" customHeight="1">
      <c r="C202" s="2" t="s">
        <v>1583</v>
      </c>
      <c r="J202" s="41">
        <f>'Raw Material '!I91</f>
        <v>30.228636438000002</v>
      </c>
      <c r="K202" s="41">
        <f>'Raw Material '!J91</f>
        <v>30.228636438000002</v>
      </c>
      <c r="L202" s="41">
        <f>'Raw Material '!K91</f>
        <v>30.228636438000002</v>
      </c>
      <c r="M202" s="41">
        <f>'Raw Material '!L91</f>
        <v>30.228636438000002</v>
      </c>
      <c r="N202" s="41">
        <f>'Raw Material '!M91</f>
        <v>30.228636438000002</v>
      </c>
      <c r="O202" s="41">
        <f>'Raw Material '!N91</f>
        <v>30.228636438000002</v>
      </c>
      <c r="P202" s="41">
        <f>'Raw Material '!O91</f>
        <v>30.228636438000002</v>
      </c>
      <c r="Q202" s="41">
        <f>'Raw Material '!P91</f>
        <v>30.228636438000002</v>
      </c>
      <c r="R202" s="41">
        <f>'Raw Material '!Q91</f>
        <v>30.228636438000002</v>
      </c>
      <c r="S202" s="41">
        <f>'Raw Material '!R91</f>
        <v>30.228636438000002</v>
      </c>
      <c r="T202" s="41">
        <f>'Raw Material '!S91</f>
        <v>30.228636438000002</v>
      </c>
      <c r="U202" s="41">
        <f>'Raw Material '!T91</f>
        <v>30.228636438000002</v>
      </c>
      <c r="V202" s="41">
        <f>'Raw Material '!U91</f>
        <v>30.228636438000002</v>
      </c>
      <c r="W202" s="41">
        <f>'Raw Material '!V91</f>
        <v>30.228636438000002</v>
      </c>
      <c r="X202" s="41">
        <f>'Raw Material '!W91</f>
        <v>30.228636438000002</v>
      </c>
      <c r="Y202" s="41">
        <f>'Raw Material '!X91</f>
        <v>30.228636438000002</v>
      </c>
      <c r="Z202" s="41">
        <f>'Raw Material '!Y91</f>
        <v>30.228636438000002</v>
      </c>
      <c r="AA202" s="41">
        <f>'Raw Material '!Z91</f>
        <v>30.228636438000002</v>
      </c>
      <c r="AB202" s="41">
        <f>'Raw Material '!AA91</f>
        <v>30.228636438000002</v>
      </c>
      <c r="AC202" s="41">
        <f>'Raw Material '!AB91</f>
        <v>30.228636438000002</v>
      </c>
      <c r="AD202" s="41">
        <f>'Raw Material '!AC91</f>
        <v>30.228636438000002</v>
      </c>
      <c r="AE202" s="41">
        <f>'Raw Material '!AD91</f>
        <v>30.228636438000002</v>
      </c>
      <c r="AF202" s="41">
        <f>'Raw Material '!AE91</f>
        <v>30.228636438000002</v>
      </c>
      <c r="AG202" s="41">
        <f>'Raw Material '!AF91</f>
        <v>30.228636438000002</v>
      </c>
      <c r="AH202" s="41">
        <f>'Raw Material '!AG91</f>
        <v>30.228636438000002</v>
      </c>
      <c r="AI202" s="41">
        <f>'Raw Material '!AH91</f>
        <v>30.228636438000002</v>
      </c>
      <c r="AJ202" s="41">
        <f>'Raw Material '!AI91</f>
        <v>30.228636438000002</v>
      </c>
      <c r="AK202" s="41">
        <f>'Raw Material '!AJ91</f>
        <v>30.228636438000002</v>
      </c>
      <c r="AL202" s="41">
        <f>'Raw Material '!AK91</f>
        <v>30.228636438000002</v>
      </c>
      <c r="AM202" s="41">
        <f>'Raw Material '!AL91</f>
        <v>30.228636438000002</v>
      </c>
    </row>
    <row r="203" spans="3:39" ht="11.45" customHeight="1">
      <c r="C203" s="2" t="s">
        <v>863</v>
      </c>
      <c r="E203" s="1166" t="s">
        <v>848</v>
      </c>
      <c r="J203" s="41">
        <f>'Raw Material '!I92</f>
        <v>0</v>
      </c>
      <c r="K203" s="41">
        <f>'Raw Material '!J92</f>
        <v>19648613.684700001</v>
      </c>
      <c r="L203" s="41">
        <f ca="1">'Raw Material '!K92*L20</f>
        <v>24560767.105875</v>
      </c>
      <c r="M203" s="41">
        <f ca="1">'Raw Material '!L92*M20</f>
        <v>28717204.616100002</v>
      </c>
      <c r="N203" s="41">
        <f ca="1">'Raw Material '!M92*N20</f>
        <v>28717204.616100002</v>
      </c>
      <c r="O203" s="41">
        <f ca="1">'Raw Material '!N92*O20</f>
        <v>28717204.616100002</v>
      </c>
      <c r="P203" s="41">
        <f ca="1">'Raw Material '!O92*P20</f>
        <v>28717204.616100002</v>
      </c>
      <c r="Q203" s="41">
        <f ca="1">'Raw Material '!P92*Q20</f>
        <v>28717204.616100002</v>
      </c>
      <c r="R203" s="41">
        <f ca="1">'Raw Material '!Q92*R20</f>
        <v>28717204.616100002</v>
      </c>
      <c r="S203" s="41">
        <f ca="1">'Raw Material '!R92*S20</f>
        <v>28717204.616100002</v>
      </c>
      <c r="T203" s="41">
        <f ca="1">'Raw Material '!S92*T20</f>
        <v>28717204.616100002</v>
      </c>
      <c r="U203" s="41">
        <f ca="1">'Raw Material '!T92*U20</f>
        <v>28717204.616100002</v>
      </c>
      <c r="V203" s="41">
        <f ca="1">'Raw Material '!U92*V20</f>
        <v>28717204.616100002</v>
      </c>
      <c r="W203" s="41">
        <f ca="1">'Raw Material '!V92*W20</f>
        <v>28717204.616100002</v>
      </c>
      <c r="X203" s="41">
        <f ca="1">'Raw Material '!W92*X20</f>
        <v>28717204.616100002</v>
      </c>
      <c r="Y203" s="41">
        <f ca="1">'Raw Material '!X92*Y20</f>
        <v>28717204.616100002</v>
      </c>
      <c r="Z203" s="41">
        <f ca="1">'Raw Material '!Y92*Z20</f>
        <v>28717204.616100002</v>
      </c>
      <c r="AA203" s="41">
        <f ca="1">'Raw Material '!Z92*AA20</f>
        <v>28717204.616100002</v>
      </c>
      <c r="AB203" s="41">
        <f ca="1">'Raw Material '!AA92*AB20</f>
        <v>28717204.616100002</v>
      </c>
      <c r="AC203" s="41">
        <f ca="1">'Raw Material '!AB92*AC20</f>
        <v>28717204.616100002</v>
      </c>
      <c r="AD203" s="41">
        <f ca="1">'Raw Material '!AC92*AD20</f>
        <v>28717204.616100002</v>
      </c>
      <c r="AE203" s="41">
        <f ca="1">'Raw Material '!AD92*AE20</f>
        <v>28717204.616100002</v>
      </c>
      <c r="AF203" s="41">
        <f ca="1">'Raw Material '!AE92*AF20</f>
        <v>28717204.616100002</v>
      </c>
      <c r="AG203" s="41">
        <f ca="1">'Raw Material '!AF92*AG20</f>
        <v>28717204.616100002</v>
      </c>
      <c r="AH203" s="41">
        <f ca="1">'Raw Material '!AG92*AH20</f>
        <v>28717204.616100002</v>
      </c>
      <c r="AI203" s="41">
        <f ca="1">'Raw Material '!AH92*AI20</f>
        <v>28717204.616100002</v>
      </c>
      <c r="AJ203" s="41">
        <f ca="1">'Raw Material '!AI92*AJ20</f>
        <v>28717204.616100002</v>
      </c>
      <c r="AK203" s="41">
        <f ca="1">'Raw Material '!AJ92*AK20</f>
        <v>28717204.616100002</v>
      </c>
      <c r="AL203" s="41">
        <f ca="1">'Raw Material '!AK92*AL20</f>
        <v>28717204.616100002</v>
      </c>
      <c r="AM203" s="41">
        <f ca="1">'Raw Material '!AL92*AM20</f>
        <v>28717204.616100002</v>
      </c>
    </row>
    <row r="204" spans="3:39" ht="11.45" customHeight="1" thickBot="1">
      <c r="C204" s="486"/>
      <c r="D204" s="486"/>
      <c r="E204" s="481"/>
      <c r="F204" s="486"/>
      <c r="G204" s="486"/>
      <c r="H204" s="486"/>
      <c r="I204" s="486"/>
      <c r="J204" s="997"/>
      <c r="K204" s="997"/>
      <c r="L204" s="997"/>
      <c r="M204" s="997"/>
      <c r="N204" s="997"/>
      <c r="O204" s="997"/>
      <c r="P204" s="997"/>
      <c r="Q204" s="997"/>
      <c r="R204" s="997"/>
      <c r="S204" s="997"/>
      <c r="T204" s="997"/>
      <c r="U204" s="997"/>
      <c r="V204" s="997"/>
      <c r="W204" s="997"/>
      <c r="X204" s="997"/>
      <c r="Y204" s="997"/>
      <c r="Z204" s="997"/>
      <c r="AA204" s="997"/>
      <c r="AB204" s="997"/>
      <c r="AC204" s="997"/>
      <c r="AD204" s="997"/>
      <c r="AE204" s="997"/>
      <c r="AF204" s="997"/>
      <c r="AG204" s="997"/>
      <c r="AH204" s="997"/>
      <c r="AI204" s="997"/>
      <c r="AJ204" s="997"/>
      <c r="AK204" s="997"/>
      <c r="AL204" s="997"/>
      <c r="AM204" s="997"/>
    </row>
    <row r="205" spans="3:39" ht="11.45" customHeight="1">
      <c r="C205" s="489"/>
      <c r="D205" s="489"/>
      <c r="E205" s="1166"/>
      <c r="F205" s="489"/>
      <c r="G205" s="489"/>
      <c r="H205" s="489"/>
      <c r="I205" s="489"/>
      <c r="J205" s="53"/>
      <c r="K205" s="53"/>
      <c r="L205" s="53"/>
      <c r="M205" s="53"/>
      <c r="N205" s="53"/>
      <c r="O205" s="53"/>
      <c r="P205" s="53"/>
      <c r="Q205" s="53"/>
      <c r="R205" s="53"/>
      <c r="S205" s="53"/>
      <c r="T205" s="53"/>
      <c r="U205" s="53"/>
      <c r="V205" s="53"/>
      <c r="W205" s="53"/>
      <c r="X205" s="53"/>
      <c r="Y205" s="53"/>
      <c r="Z205" s="53"/>
      <c r="AA205" s="53"/>
      <c r="AB205" s="53"/>
      <c r="AC205" s="53"/>
      <c r="AD205" s="53"/>
      <c r="AE205" s="53"/>
      <c r="AF205" s="53"/>
      <c r="AG205" s="53"/>
      <c r="AH205" s="53"/>
      <c r="AI205" s="53"/>
      <c r="AJ205" s="53"/>
      <c r="AK205" s="53"/>
      <c r="AL205" s="53"/>
      <c r="AM205" s="53"/>
    </row>
    <row r="206" spans="3:39" ht="11.45" customHeight="1">
      <c r="C206" s="1353" t="s">
        <v>1488</v>
      </c>
      <c r="D206" s="489"/>
      <c r="E206" s="489"/>
      <c r="F206" s="489"/>
      <c r="G206" s="489"/>
      <c r="H206" s="489"/>
      <c r="I206" s="489"/>
      <c r="J206" s="53"/>
      <c r="K206" s="53"/>
      <c r="L206" s="53"/>
      <c r="M206" s="53"/>
      <c r="N206" s="53"/>
      <c r="O206" s="53"/>
      <c r="P206" s="53"/>
      <c r="Q206" s="53"/>
      <c r="R206" s="53"/>
      <c r="S206" s="53"/>
      <c r="T206" s="53"/>
      <c r="U206" s="53"/>
      <c r="V206" s="53"/>
      <c r="W206" s="53"/>
      <c r="X206" s="53"/>
      <c r="Y206" s="53"/>
      <c r="Z206" s="53"/>
      <c r="AA206" s="53"/>
      <c r="AB206" s="53"/>
      <c r="AC206" s="53"/>
      <c r="AD206" s="53"/>
      <c r="AE206" s="53"/>
      <c r="AF206" s="53"/>
      <c r="AG206" s="53"/>
      <c r="AH206" s="53"/>
      <c r="AI206" s="53"/>
      <c r="AJ206" s="53"/>
      <c r="AK206" s="53"/>
      <c r="AL206" s="53"/>
      <c r="AM206" s="53"/>
    </row>
    <row r="207" spans="3:39" ht="11.45" customHeight="1">
      <c r="C207" s="489" t="s">
        <v>867</v>
      </c>
      <c r="D207" s="489"/>
      <c r="E207" s="1355" t="s">
        <v>1493</v>
      </c>
      <c r="F207" s="489"/>
      <c r="G207" s="489"/>
      <c r="H207" s="489"/>
      <c r="I207" s="489"/>
      <c r="J207" s="53">
        <f ca="1">'Assumption '!M189</f>
        <v>0</v>
      </c>
      <c r="K207" s="53">
        <f ca="1">'Assumption '!N189</f>
        <v>594417.86548501404</v>
      </c>
      <c r="L207" s="53">
        <f ca="1">'Assumption '!O189*L20</f>
        <v>1140623.0493963489</v>
      </c>
      <c r="M207" s="53">
        <f ca="1">'Assumption '!P189*M20</f>
        <v>1334529.0754158266</v>
      </c>
      <c r="N207" s="53">
        <f ca="1">'Assumption '!Q189*N20</f>
        <v>1416539.2420614918</v>
      </c>
      <c r="O207" s="53">
        <f ca="1">'Assumption '!R189*O20</f>
        <v>1416539.2420614918</v>
      </c>
      <c r="P207" s="53">
        <f ca="1">'Assumption '!S189*P20</f>
        <v>1416539.2420614918</v>
      </c>
      <c r="Q207" s="53">
        <f ca="1">'Assumption '!T189*Q20</f>
        <v>1416539.2420614918</v>
      </c>
      <c r="R207" s="53">
        <f ca="1">'Assumption '!U189*R20</f>
        <v>1416539.2420614918</v>
      </c>
      <c r="S207" s="53">
        <f ca="1">'Assumption '!V189*S20</f>
        <v>1416539.2420614918</v>
      </c>
      <c r="T207" s="53">
        <f ca="1">'Assumption '!W189*T20</f>
        <v>1416539.2420614918</v>
      </c>
      <c r="U207" s="53">
        <f ca="1">'Assumption '!X189*U20</f>
        <v>1416539.2420614918</v>
      </c>
      <c r="V207" s="53">
        <f ca="1">'Assumption '!Y189*V20</f>
        <v>1416539.2420614918</v>
      </c>
      <c r="W207" s="53">
        <f ca="1">'Assumption '!Z189*W20</f>
        <v>1416539.2420614918</v>
      </c>
      <c r="X207" s="53">
        <f ca="1">'Assumption '!AA189*X20</f>
        <v>1416539.2420614918</v>
      </c>
      <c r="Y207" s="53">
        <f ca="1">'Assumption '!AB189*Y20</f>
        <v>1416539.2420614918</v>
      </c>
      <c r="Z207" s="53">
        <f ca="1">'Assumption '!AC189*Z20</f>
        <v>1416539.2420614918</v>
      </c>
      <c r="AA207" s="53">
        <f ca="1">'Assumption '!AD189*AA20</f>
        <v>1416539.2420614918</v>
      </c>
      <c r="AB207" s="53">
        <f ca="1">'Assumption '!AE189*AB20</f>
        <v>1416539.2420614918</v>
      </c>
      <c r="AC207" s="53">
        <f ca="1">'Assumption '!AF189*AC20</f>
        <v>1416539.2420614918</v>
      </c>
      <c r="AD207" s="53">
        <f ca="1">'Assumption '!AG189*AD20</f>
        <v>1416539.2420614918</v>
      </c>
      <c r="AE207" s="53">
        <f ca="1">'Assumption '!AH189*AE20</f>
        <v>1416539.2420614918</v>
      </c>
      <c r="AF207" s="53">
        <f ca="1">'Assumption '!AI189*AF20</f>
        <v>1416539.2420614918</v>
      </c>
      <c r="AG207" s="53">
        <f ca="1">'Assumption '!AJ189*AG20</f>
        <v>1416539.2420614918</v>
      </c>
      <c r="AH207" s="53">
        <f ca="1">'Assumption '!AK189*AH20</f>
        <v>1416539.2420614918</v>
      </c>
      <c r="AI207" s="53">
        <f ca="1">'Assumption '!AL189*AI20</f>
        <v>1416539.2420614918</v>
      </c>
      <c r="AJ207" s="53">
        <f ca="1">'Assumption '!AM189*AJ20</f>
        <v>1416539.2420614918</v>
      </c>
      <c r="AK207" s="53">
        <f ca="1">'Assumption '!AN189*AK20</f>
        <v>1416539.2420614918</v>
      </c>
      <c r="AL207" s="53">
        <f ca="1">'Assumption '!AO189*AL20</f>
        <v>1416539.2420614918</v>
      </c>
      <c r="AM207" s="53">
        <f ca="1">'Assumption '!AP189*AM20</f>
        <v>1416539.2420614918</v>
      </c>
    </row>
    <row r="208" spans="3:39" ht="11.45" customHeight="1">
      <c r="C208" s="489" t="s">
        <v>892</v>
      </c>
      <c r="D208" s="489"/>
      <c r="E208" s="1355" t="s">
        <v>1493</v>
      </c>
      <c r="F208" s="489"/>
      <c r="G208" s="489"/>
      <c r="H208" s="489"/>
      <c r="I208" s="489"/>
      <c r="J208" s="53">
        <f ca="1">'Assumption '!M204</f>
        <v>0</v>
      </c>
      <c r="K208" s="53">
        <f ca="1">'Assumption '!N204</f>
        <v>500442.81400045543</v>
      </c>
      <c r="L208" s="53">
        <f ca="1">'Assumption '!O204*L20</f>
        <v>626274.34271569422</v>
      </c>
      <c r="M208" s="53">
        <f ca="1">'Assumption '!P204*M20</f>
        <v>715665.951</v>
      </c>
      <c r="N208" s="53">
        <f ca="1">'Assumption '!Q204*N20</f>
        <v>715665.951</v>
      </c>
      <c r="O208" s="53">
        <f ca="1">'Assumption '!R204*O20</f>
        <v>715665.951</v>
      </c>
      <c r="P208" s="53">
        <f ca="1">'Assumption '!S204*P20</f>
        <v>715665.951</v>
      </c>
      <c r="Q208" s="53">
        <f ca="1">'Assumption '!T204*Q20</f>
        <v>715665.951</v>
      </c>
      <c r="R208" s="53">
        <f ca="1">'Assumption '!U204*R20</f>
        <v>715665.951</v>
      </c>
      <c r="S208" s="53">
        <f ca="1">'Assumption '!V204*S20</f>
        <v>715665.951</v>
      </c>
      <c r="T208" s="53">
        <f ca="1">'Assumption '!W204*T20</f>
        <v>715665.951</v>
      </c>
      <c r="U208" s="53">
        <f ca="1">'Assumption '!X204*U20</f>
        <v>715665.951</v>
      </c>
      <c r="V208" s="53">
        <f ca="1">'Assumption '!Y204*V20</f>
        <v>715665.951</v>
      </c>
      <c r="W208" s="53">
        <f ca="1">'Assumption '!Z204*W20</f>
        <v>715665.951</v>
      </c>
      <c r="X208" s="53">
        <f ca="1">'Assumption '!AA204*X20</f>
        <v>715665.951</v>
      </c>
      <c r="Y208" s="53">
        <f ca="1">'Assumption '!AB204*Y20</f>
        <v>715665.951</v>
      </c>
      <c r="Z208" s="53">
        <f ca="1">'Assumption '!AC204*Z20</f>
        <v>715665.951</v>
      </c>
      <c r="AA208" s="53">
        <f ca="1">'Assumption '!AD204*AA20</f>
        <v>715665.951</v>
      </c>
      <c r="AB208" s="53">
        <f ca="1">'Assumption '!AE204*AB20</f>
        <v>715665.951</v>
      </c>
      <c r="AC208" s="53">
        <f ca="1">'Assumption '!AF204*AC20</f>
        <v>715665.951</v>
      </c>
      <c r="AD208" s="53">
        <f ca="1">'Assumption '!AG204*AD20</f>
        <v>715665.951</v>
      </c>
      <c r="AE208" s="53">
        <f ca="1">'Assumption '!AH204*AE20</f>
        <v>715665.951</v>
      </c>
      <c r="AF208" s="53">
        <f ca="1">'Assumption '!AI204*AF20</f>
        <v>715665.951</v>
      </c>
      <c r="AG208" s="53">
        <f ca="1">'Assumption '!AJ204*AG20</f>
        <v>715665.951</v>
      </c>
      <c r="AH208" s="53">
        <f ca="1">'Assumption '!AK204*AH20</f>
        <v>715665.951</v>
      </c>
      <c r="AI208" s="53">
        <f ca="1">'Assumption '!AL204*AI20</f>
        <v>715665.951</v>
      </c>
      <c r="AJ208" s="53">
        <f ca="1">'Assumption '!AM204*AJ20</f>
        <v>715665.951</v>
      </c>
      <c r="AK208" s="53">
        <f ca="1">'Assumption '!AN204*AK20</f>
        <v>715665.951</v>
      </c>
      <c r="AL208" s="53">
        <f ca="1">'Assumption '!AO204*AL20</f>
        <v>715665.951</v>
      </c>
      <c r="AM208" s="53">
        <f ca="1">'Assumption '!AP204*AM20</f>
        <v>715665.951</v>
      </c>
    </row>
    <row r="209" spans="3:39" ht="11.45" customHeight="1">
      <c r="C209" s="489" t="s">
        <v>2378</v>
      </c>
      <c r="D209" s="489"/>
      <c r="E209" s="1355" t="s">
        <v>2379</v>
      </c>
      <c r="F209" s="489"/>
      <c r="G209" s="489"/>
      <c r="H209" s="489"/>
      <c r="I209" s="489"/>
      <c r="J209" s="53">
        <f ca="1">'Assumption '!M212</f>
        <v>0</v>
      </c>
      <c r="K209" s="53">
        <f ca="1">'Assumption '!N212</f>
        <v>648078.26800692617</v>
      </c>
      <c r="L209" s="53">
        <f ca="1">'Assumption '!O212</f>
        <v>1069956.548183739</v>
      </c>
      <c r="M209" s="53">
        <f ca="1">'Assumption '!P212</f>
        <v>1257291.6666666665</v>
      </c>
      <c r="N209" s="53">
        <f ca="1">'Assumption '!Q212</f>
        <v>1311527.7777777778</v>
      </c>
      <c r="O209" s="53">
        <f ca="1">'Assumption '!R212</f>
        <v>1311527.7777777778</v>
      </c>
      <c r="P209" s="53">
        <f ca="1">'Assumption '!S212</f>
        <v>1311527.7777777778</v>
      </c>
      <c r="Q209" s="53">
        <f ca="1">'Assumption '!T212</f>
        <v>1311527.7777777778</v>
      </c>
      <c r="R209" s="53">
        <f ca="1">'Assumption '!U212</f>
        <v>1311527.7777777778</v>
      </c>
      <c r="S209" s="53">
        <f ca="1">'Assumption '!V212</f>
        <v>1311527.7777777778</v>
      </c>
      <c r="T209" s="53">
        <f ca="1">'Assumption '!W212</f>
        <v>1311527.7777777778</v>
      </c>
      <c r="U209" s="53">
        <f ca="1">'Assumption '!X212</f>
        <v>1311527.7777777778</v>
      </c>
      <c r="V209" s="53">
        <f ca="1">'Assumption '!Y212</f>
        <v>1311527.7777777778</v>
      </c>
      <c r="W209" s="53">
        <f ca="1">'Assumption '!Z212</f>
        <v>1311527.7777777778</v>
      </c>
      <c r="X209" s="53">
        <f ca="1">'Assumption '!AA212</f>
        <v>1311527.7777777778</v>
      </c>
      <c r="Y209" s="53">
        <f ca="1">'Assumption '!AB212</f>
        <v>1311527.7777777778</v>
      </c>
      <c r="Z209" s="53">
        <f ca="1">'Assumption '!AC212</f>
        <v>1311527.7777777778</v>
      </c>
      <c r="AA209" s="53">
        <f ca="1">'Assumption '!AD212</f>
        <v>1311527.7777777778</v>
      </c>
      <c r="AB209" s="53">
        <f ca="1">'Assumption '!AE212</f>
        <v>1311527.7777777778</v>
      </c>
      <c r="AC209" s="53">
        <f ca="1">'Assumption '!AF212</f>
        <v>1311527.7777777778</v>
      </c>
      <c r="AD209" s="53">
        <f ca="1">'Assumption '!AG212</f>
        <v>1311527.7777777778</v>
      </c>
      <c r="AE209" s="53">
        <f ca="1">'Assumption '!AH212</f>
        <v>1311527.7777777778</v>
      </c>
      <c r="AF209" s="53">
        <f ca="1">'Assumption '!AI212</f>
        <v>1311527.7777777778</v>
      </c>
      <c r="AG209" s="53">
        <f ca="1">'Assumption '!AJ212</f>
        <v>1311527.7777777778</v>
      </c>
      <c r="AH209" s="53">
        <f ca="1">'Assumption '!AK212</f>
        <v>1311527.7777777778</v>
      </c>
      <c r="AI209" s="53">
        <f ca="1">'Assumption '!AL212</f>
        <v>1311527.7777777778</v>
      </c>
      <c r="AJ209" s="53">
        <f ca="1">'Assumption '!AM212</f>
        <v>1311527.7777777778</v>
      </c>
      <c r="AK209" s="53">
        <f ca="1">'Assumption '!AN212</f>
        <v>1311527.7777777778</v>
      </c>
      <c r="AL209" s="53">
        <f ca="1">'Assumption '!AO212</f>
        <v>1311527.7777777778</v>
      </c>
      <c r="AM209" s="53">
        <f ca="1">'Assumption '!AP212</f>
        <v>1311527.7777777778</v>
      </c>
    </row>
    <row r="210" spans="3:39" ht="11.45" customHeight="1" thickBot="1">
      <c r="C210" s="486" t="s">
        <v>1434</v>
      </c>
      <c r="D210" s="486"/>
      <c r="E210" s="486"/>
      <c r="F210" s="486"/>
      <c r="G210" s="486"/>
      <c r="H210" s="486"/>
      <c r="I210" s="486"/>
      <c r="J210" s="997">
        <f ca="1">SUM(J207:J208)</f>
        <v>0</v>
      </c>
      <c r="K210" s="997">
        <f ca="1">SUM(K207:K209)</f>
        <v>1742938.9474923958</v>
      </c>
      <c r="L210" s="997">
        <f t="shared" ref="L210:AM210" ca="1" si="49">SUM(L207:L209)</f>
        <v>2836853.9402957819</v>
      </c>
      <c r="M210" s="997">
        <f t="shared" ca="1" si="49"/>
        <v>3307486.6930824933</v>
      </c>
      <c r="N210" s="997">
        <f t="shared" ca="1" si="49"/>
        <v>3443732.9708392695</v>
      </c>
      <c r="O210" s="997">
        <f t="shared" ca="1" si="49"/>
        <v>3443732.9708392695</v>
      </c>
      <c r="P210" s="997">
        <f t="shared" ca="1" si="49"/>
        <v>3443732.9708392695</v>
      </c>
      <c r="Q210" s="997">
        <f t="shared" ca="1" si="49"/>
        <v>3443732.9708392695</v>
      </c>
      <c r="R210" s="997">
        <f t="shared" ca="1" si="49"/>
        <v>3443732.9708392695</v>
      </c>
      <c r="S210" s="997">
        <f t="shared" ca="1" si="49"/>
        <v>3443732.9708392695</v>
      </c>
      <c r="T210" s="997">
        <f t="shared" ca="1" si="49"/>
        <v>3443732.9708392695</v>
      </c>
      <c r="U210" s="997">
        <f t="shared" ca="1" si="49"/>
        <v>3443732.9708392695</v>
      </c>
      <c r="V210" s="997">
        <f t="shared" ca="1" si="49"/>
        <v>3443732.9708392695</v>
      </c>
      <c r="W210" s="997">
        <f t="shared" ca="1" si="49"/>
        <v>3443732.9708392695</v>
      </c>
      <c r="X210" s="997">
        <f t="shared" ca="1" si="49"/>
        <v>3443732.9708392695</v>
      </c>
      <c r="Y210" s="997">
        <f t="shared" ca="1" si="49"/>
        <v>3443732.9708392695</v>
      </c>
      <c r="Z210" s="997">
        <f t="shared" ca="1" si="49"/>
        <v>3443732.9708392695</v>
      </c>
      <c r="AA210" s="997">
        <f t="shared" ca="1" si="49"/>
        <v>3443732.9708392695</v>
      </c>
      <c r="AB210" s="997">
        <f t="shared" ca="1" si="49"/>
        <v>3443732.9708392695</v>
      </c>
      <c r="AC210" s="997">
        <f t="shared" ca="1" si="49"/>
        <v>3443732.9708392695</v>
      </c>
      <c r="AD210" s="997">
        <f t="shared" ca="1" si="49"/>
        <v>3443732.9708392695</v>
      </c>
      <c r="AE210" s="997">
        <f t="shared" ca="1" si="49"/>
        <v>3443732.9708392695</v>
      </c>
      <c r="AF210" s="997">
        <f t="shared" ca="1" si="49"/>
        <v>3443732.9708392695</v>
      </c>
      <c r="AG210" s="997">
        <f t="shared" ca="1" si="49"/>
        <v>3443732.9708392695</v>
      </c>
      <c r="AH210" s="997">
        <f t="shared" ca="1" si="49"/>
        <v>3443732.9708392695</v>
      </c>
      <c r="AI210" s="997">
        <f t="shared" ca="1" si="49"/>
        <v>3443732.9708392695</v>
      </c>
      <c r="AJ210" s="997">
        <f t="shared" ca="1" si="49"/>
        <v>3443732.9708392695</v>
      </c>
      <c r="AK210" s="997">
        <f t="shared" ca="1" si="49"/>
        <v>3443732.9708392695</v>
      </c>
      <c r="AL210" s="997">
        <f t="shared" ca="1" si="49"/>
        <v>3443732.9708392695</v>
      </c>
      <c r="AM210" s="997">
        <f t="shared" ca="1" si="49"/>
        <v>3443732.9708392695</v>
      </c>
    </row>
    <row r="211" spans="3:39" ht="11.45" customHeight="1">
      <c r="C211" s="489"/>
      <c r="D211" s="489"/>
      <c r="E211" s="1166"/>
      <c r="F211" s="489"/>
      <c r="G211" s="489"/>
      <c r="H211" s="489"/>
      <c r="I211" s="489"/>
      <c r="J211" s="53"/>
      <c r="K211" s="53"/>
      <c r="L211" s="53"/>
      <c r="M211" s="53"/>
      <c r="N211" s="53"/>
      <c r="O211" s="53"/>
      <c r="P211" s="53"/>
      <c r="Q211" s="53"/>
      <c r="R211" s="53"/>
      <c r="S211" s="53"/>
      <c r="T211" s="53"/>
      <c r="U211" s="53"/>
      <c r="V211" s="53"/>
      <c r="W211" s="53"/>
      <c r="X211" s="53"/>
      <c r="Y211" s="53"/>
      <c r="Z211" s="53"/>
      <c r="AA211" s="53"/>
      <c r="AB211" s="53"/>
      <c r="AC211" s="53"/>
      <c r="AD211" s="53"/>
      <c r="AE211" s="53"/>
      <c r="AF211" s="53"/>
      <c r="AG211" s="53"/>
      <c r="AH211" s="53"/>
      <c r="AI211" s="53"/>
      <c r="AJ211" s="53"/>
      <c r="AK211" s="53"/>
      <c r="AL211" s="53"/>
      <c r="AM211" s="53"/>
    </row>
    <row r="212" spans="3:39" ht="11.45" customHeight="1">
      <c r="C212" s="1353" t="s">
        <v>1450</v>
      </c>
      <c r="D212" s="489"/>
      <c r="E212" s="489"/>
      <c r="F212" s="489"/>
      <c r="G212" s="489"/>
      <c r="H212" s="489"/>
      <c r="I212" s="489"/>
      <c r="J212" s="53"/>
      <c r="K212" s="53"/>
      <c r="L212" s="53"/>
      <c r="M212" s="53"/>
      <c r="N212" s="53"/>
      <c r="O212" s="53"/>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row>
    <row r="213" spans="3:39" ht="11.45" customHeight="1">
      <c r="C213" s="489" t="s">
        <v>867</v>
      </c>
      <c r="D213" s="489"/>
      <c r="E213" s="1166" t="s">
        <v>915</v>
      </c>
      <c r="F213" s="489"/>
      <c r="G213" s="489"/>
      <c r="H213" s="489"/>
      <c r="I213" s="489"/>
      <c r="J213" s="53">
        <f>'Assumption '!M224</f>
        <v>0</v>
      </c>
      <c r="K213" s="53">
        <f>'Assumption '!N224</f>
        <v>12.999987000000001</v>
      </c>
      <c r="L213" s="53">
        <f ca="1">'Assumption '!O224</f>
        <v>24.916641750000004</v>
      </c>
      <c r="M213" s="53">
        <f ca="1">'Assumption '!P224</f>
        <v>29.833303500000003</v>
      </c>
      <c r="N213" s="53">
        <f ca="1">'Assumption '!Q224</f>
        <v>31.666635000000003</v>
      </c>
      <c r="O213" s="53">
        <f ca="1">'Assumption '!R224</f>
        <v>31.666635000000003</v>
      </c>
      <c r="P213" s="53">
        <f ca="1">'Assumption '!S224</f>
        <v>31.666635000000003</v>
      </c>
      <c r="Q213" s="53">
        <f ca="1">'Assumption '!T224</f>
        <v>31.666635000000003</v>
      </c>
      <c r="R213" s="53">
        <f ca="1">'Assumption '!U224</f>
        <v>31.666635000000003</v>
      </c>
      <c r="S213" s="53">
        <f ca="1">'Assumption '!V224</f>
        <v>31.666635000000003</v>
      </c>
      <c r="T213" s="53">
        <f ca="1">'Assumption '!W224</f>
        <v>31.666635000000003</v>
      </c>
      <c r="U213" s="53">
        <f ca="1">'Assumption '!X224</f>
        <v>31.666635000000003</v>
      </c>
      <c r="V213" s="53">
        <f ca="1">'Assumption '!Y224</f>
        <v>31.666635000000003</v>
      </c>
      <c r="W213" s="53">
        <f ca="1">'Assumption '!Z224</f>
        <v>31.666635000000003</v>
      </c>
      <c r="X213" s="53">
        <f ca="1">'Assumption '!AA224</f>
        <v>31.666635000000003</v>
      </c>
      <c r="Y213" s="53">
        <f ca="1">'Assumption '!AB224</f>
        <v>31.666635000000003</v>
      </c>
      <c r="Z213" s="53">
        <f ca="1">'Assumption '!AC224</f>
        <v>31.666635000000003</v>
      </c>
      <c r="AA213" s="53">
        <f ca="1">'Assumption '!AD224</f>
        <v>31.666635000000003</v>
      </c>
      <c r="AB213" s="53">
        <f ca="1">'Assumption '!AE224</f>
        <v>31.666635000000003</v>
      </c>
      <c r="AC213" s="53">
        <f ca="1">'Assumption '!AF224</f>
        <v>31.666635000000003</v>
      </c>
      <c r="AD213" s="53">
        <f ca="1">'Assumption '!AG224</f>
        <v>31.666635000000003</v>
      </c>
      <c r="AE213" s="53">
        <f ca="1">'Assumption '!AH224</f>
        <v>31.666635000000003</v>
      </c>
      <c r="AF213" s="53">
        <f ca="1">'Assumption '!AI224</f>
        <v>31.666635000000003</v>
      </c>
      <c r="AG213" s="53">
        <f ca="1">'Assumption '!AJ224</f>
        <v>31.666635000000003</v>
      </c>
      <c r="AH213" s="53">
        <f ca="1">'Assumption '!AK224</f>
        <v>31.666635000000003</v>
      </c>
      <c r="AI213" s="53">
        <f ca="1">'Assumption '!AL224</f>
        <v>31.666635000000003</v>
      </c>
      <c r="AJ213" s="53">
        <f ca="1">'Assumption '!AM224</f>
        <v>31.666635000000003</v>
      </c>
      <c r="AK213" s="53">
        <f ca="1">'Assumption '!AN224</f>
        <v>31.666635000000003</v>
      </c>
      <c r="AL213" s="53">
        <f ca="1">'Assumption '!AO224</f>
        <v>31.666635000000003</v>
      </c>
      <c r="AM213" s="53">
        <f ca="1">'Assumption '!AP224</f>
        <v>31.666635000000003</v>
      </c>
    </row>
    <row r="214" spans="3:39" ht="11.45" customHeight="1">
      <c r="J214" s="41"/>
      <c r="K214" s="41"/>
      <c r="L214" s="41"/>
      <c r="M214" s="41"/>
      <c r="N214" s="41"/>
      <c r="O214" s="41"/>
      <c r="P214" s="41"/>
      <c r="Q214" s="41"/>
      <c r="R214" s="41"/>
      <c r="S214" s="41"/>
      <c r="T214" s="41"/>
      <c r="U214" s="41"/>
      <c r="V214" s="41"/>
      <c r="W214" s="41"/>
      <c r="X214" s="41"/>
      <c r="Y214" s="41"/>
      <c r="Z214" s="41"/>
      <c r="AA214" s="41"/>
      <c r="AB214" s="41"/>
      <c r="AC214" s="41"/>
      <c r="AD214" s="41"/>
      <c r="AE214" s="41"/>
      <c r="AF214" s="41"/>
      <c r="AG214" s="41"/>
      <c r="AH214" s="41"/>
      <c r="AI214" s="41"/>
      <c r="AJ214" s="41"/>
    </row>
    <row r="215" spans="3:39" ht="11.45" customHeight="1">
      <c r="J215" s="41"/>
      <c r="K215" s="41"/>
      <c r="L215" s="41"/>
      <c r="M215" s="41"/>
      <c r="N215" s="41"/>
      <c r="O215" s="41"/>
      <c r="P215" s="41"/>
      <c r="Q215" s="41"/>
      <c r="R215" s="41"/>
      <c r="S215" s="41"/>
      <c r="T215" s="41"/>
      <c r="U215" s="41"/>
      <c r="V215" s="41"/>
      <c r="W215" s="41"/>
      <c r="X215" s="41"/>
      <c r="Y215" s="41"/>
      <c r="Z215" s="41"/>
      <c r="AA215" s="41"/>
      <c r="AB215" s="41"/>
      <c r="AC215" s="41"/>
      <c r="AD215" s="41"/>
      <c r="AE215" s="41"/>
      <c r="AF215" s="41"/>
      <c r="AG215" s="41"/>
      <c r="AH215" s="41"/>
      <c r="AI215" s="41"/>
      <c r="AJ215" s="41"/>
    </row>
    <row r="216" spans="3:39" ht="11.45" customHeight="1">
      <c r="C216" s="10" t="s">
        <v>1588</v>
      </c>
      <c r="J216" s="186">
        <f>'Raw Material '!I40</f>
        <v>3.4196</v>
      </c>
      <c r="K216" s="186">
        <f>'Raw Material '!J40</f>
        <v>3.5221879999999999</v>
      </c>
      <c r="L216" s="953">
        <f>'Raw Material '!K40</f>
        <v>3.6278536400000001</v>
      </c>
      <c r="M216" s="186">
        <f>'Raw Material '!L40</f>
        <v>3.7366892492000003</v>
      </c>
      <c r="N216" s="186">
        <f>'Raw Material '!M40</f>
        <v>3.848789926676</v>
      </c>
      <c r="O216" s="186">
        <f>'Raw Material '!N40</f>
        <v>3.9642536244762807</v>
      </c>
      <c r="P216" s="186">
        <f>'Raw Material '!O40</f>
        <v>4.0831812332105688</v>
      </c>
      <c r="Q216" s="186">
        <f>'Raw Material '!P40</f>
        <v>4.205676670206886</v>
      </c>
      <c r="R216" s="186">
        <f>'Raw Material '!Q40</f>
        <v>4.3318469703130926</v>
      </c>
      <c r="S216" s="186">
        <f>'Raw Material '!R40</f>
        <v>4.4618023794224859</v>
      </c>
      <c r="T216" s="186">
        <f>'Raw Material '!S40</f>
        <v>4.5956564508051603</v>
      </c>
      <c r="U216" s="186">
        <f>'Raw Material '!T40</f>
        <v>4.7335261443293151</v>
      </c>
      <c r="V216" s="186">
        <f>'Raw Material '!U40</f>
        <v>4.8755319286591945</v>
      </c>
      <c r="W216" s="186">
        <f>'Raw Material '!V40</f>
        <v>5.0217978865189714</v>
      </c>
      <c r="X216" s="186">
        <f>'Raw Material '!W40</f>
        <v>5.1724518231145407</v>
      </c>
      <c r="Y216" s="186">
        <f>'Raw Material '!X40</f>
        <v>5.3276253778079772</v>
      </c>
      <c r="Z216" s="186">
        <f>'Raw Material '!Y40</f>
        <v>5.4874541391422165</v>
      </c>
      <c r="AA216" s="186">
        <f>'Raw Material '!Z40</f>
        <v>5.6520777633164823</v>
      </c>
      <c r="AB216" s="186">
        <f>'Raw Material '!AA40</f>
        <v>5.8216400962159787</v>
      </c>
      <c r="AC216" s="186">
        <f>'Raw Material '!AB40</f>
        <v>5.9962892991024574</v>
      </c>
      <c r="AD216" s="186">
        <f>'Raw Material '!AC40</f>
        <v>6.1761779780755317</v>
      </c>
      <c r="AE216" s="186">
        <f>'Raw Material '!AD40</f>
        <v>6.3614633174177975</v>
      </c>
      <c r="AF216" s="186">
        <f>'Raw Material '!AE40</f>
        <v>6.5523072169403331</v>
      </c>
      <c r="AG216" s="186">
        <f>'Raw Material '!AF40</f>
        <v>6.7488764334485429</v>
      </c>
      <c r="AH216" s="186">
        <f>'Raw Material '!AG40</f>
        <v>6.9513427264519985</v>
      </c>
      <c r="AI216" s="186">
        <f>'Raw Material '!AH40</f>
        <v>7.1598830082455596</v>
      </c>
      <c r="AJ216" s="186">
        <f>'Raw Material '!AI40</f>
        <v>7.3746794984929265</v>
      </c>
      <c r="AK216" s="186">
        <f>'Raw Material '!AJ40</f>
        <v>7.5959198834477135</v>
      </c>
      <c r="AL216" s="186">
        <f>'Raw Material '!AK40</f>
        <v>7.8237974799511454</v>
      </c>
      <c r="AM216" s="186">
        <f>'Raw Material '!AL40</f>
        <v>8.0585114043496802</v>
      </c>
    </row>
    <row r="217" spans="3:39" ht="12" customHeight="1">
      <c r="C217" s="10" t="s">
        <v>1585</v>
      </c>
      <c r="D217" s="17">
        <f>'Sens WIP'!D23</f>
        <v>0</v>
      </c>
      <c r="J217" s="186">
        <f t="shared" ref="J217:AM217" si="50">J216*(1+$D$217)</f>
        <v>3.4196</v>
      </c>
      <c r="K217" s="186">
        <f t="shared" si="50"/>
        <v>3.5221879999999999</v>
      </c>
      <c r="L217" s="186">
        <f t="shared" si="50"/>
        <v>3.6278536400000001</v>
      </c>
      <c r="M217" s="186">
        <f t="shared" si="50"/>
        <v>3.7366892492000003</v>
      </c>
      <c r="N217" s="186">
        <f t="shared" si="50"/>
        <v>3.848789926676</v>
      </c>
      <c r="O217" s="186">
        <f t="shared" si="50"/>
        <v>3.9642536244762807</v>
      </c>
      <c r="P217" s="186">
        <f t="shared" si="50"/>
        <v>4.0831812332105688</v>
      </c>
      <c r="Q217" s="186">
        <f t="shared" si="50"/>
        <v>4.205676670206886</v>
      </c>
      <c r="R217" s="186">
        <f t="shared" si="50"/>
        <v>4.3318469703130926</v>
      </c>
      <c r="S217" s="186">
        <f t="shared" si="50"/>
        <v>4.4618023794224859</v>
      </c>
      <c r="T217" s="186">
        <f t="shared" si="50"/>
        <v>4.5956564508051603</v>
      </c>
      <c r="U217" s="186">
        <f t="shared" si="50"/>
        <v>4.7335261443293151</v>
      </c>
      <c r="V217" s="186">
        <f t="shared" si="50"/>
        <v>4.8755319286591945</v>
      </c>
      <c r="W217" s="186">
        <f t="shared" si="50"/>
        <v>5.0217978865189714</v>
      </c>
      <c r="X217" s="186">
        <f t="shared" si="50"/>
        <v>5.1724518231145407</v>
      </c>
      <c r="Y217" s="186">
        <f t="shared" si="50"/>
        <v>5.3276253778079772</v>
      </c>
      <c r="Z217" s="186">
        <f t="shared" si="50"/>
        <v>5.4874541391422165</v>
      </c>
      <c r="AA217" s="186">
        <f t="shared" si="50"/>
        <v>5.6520777633164823</v>
      </c>
      <c r="AB217" s="186">
        <f t="shared" si="50"/>
        <v>5.8216400962159787</v>
      </c>
      <c r="AC217" s="186">
        <f t="shared" si="50"/>
        <v>5.9962892991024574</v>
      </c>
      <c r="AD217" s="186">
        <f t="shared" si="50"/>
        <v>6.1761779780755317</v>
      </c>
      <c r="AE217" s="186">
        <f t="shared" si="50"/>
        <v>6.3614633174177975</v>
      </c>
      <c r="AF217" s="186">
        <f t="shared" si="50"/>
        <v>6.5523072169403331</v>
      </c>
      <c r="AG217" s="186">
        <f t="shared" si="50"/>
        <v>6.7488764334485429</v>
      </c>
      <c r="AH217" s="186">
        <f t="shared" si="50"/>
        <v>6.9513427264519985</v>
      </c>
      <c r="AI217" s="186">
        <f t="shared" si="50"/>
        <v>7.1598830082455596</v>
      </c>
      <c r="AJ217" s="186">
        <f t="shared" si="50"/>
        <v>7.3746794984929265</v>
      </c>
      <c r="AK217" s="186">
        <f t="shared" si="50"/>
        <v>7.5959198834477135</v>
      </c>
      <c r="AL217" s="186">
        <f t="shared" si="50"/>
        <v>7.8237974799511454</v>
      </c>
      <c r="AM217" s="186">
        <f t="shared" si="50"/>
        <v>8.0585114043496802</v>
      </c>
    </row>
    <row r="218" spans="3:39" ht="11.45" customHeight="1">
      <c r="C218" s="1510" t="s">
        <v>1584</v>
      </c>
      <c r="D218" s="27"/>
      <c r="E218" s="1511" t="s">
        <v>44</v>
      </c>
      <c r="F218" s="27"/>
      <c r="G218" s="27"/>
      <c r="H218" s="27"/>
      <c r="I218" s="27"/>
      <c r="J218" s="43">
        <f t="shared" ref="J218:AM218" si="51">J217*J200</f>
        <v>0</v>
      </c>
      <c r="K218" s="43">
        <f t="shared" si="51"/>
        <v>73799450.817475393</v>
      </c>
      <c r="L218" s="43">
        <f ca="1">L217*L200</f>
        <v>145692415.82216603</v>
      </c>
      <c r="M218" s="43">
        <f t="shared" ca="1" si="51"/>
        <v>179674319.09787792</v>
      </c>
      <c r="N218" s="43">
        <f t="shared" ca="1" si="51"/>
        <v>196437230.43270785</v>
      </c>
      <c r="O218" s="43">
        <f t="shared" ca="1" si="51"/>
        <v>202330347.34568912</v>
      </c>
      <c r="P218" s="43">
        <f t="shared" ca="1" si="51"/>
        <v>208400257.76605979</v>
      </c>
      <c r="Q218" s="43">
        <f t="shared" ca="1" si="51"/>
        <v>214652265.49904159</v>
      </c>
      <c r="R218" s="43">
        <f t="shared" ca="1" si="51"/>
        <v>221091833.46401283</v>
      </c>
      <c r="S218" s="43">
        <f t="shared" ca="1" si="51"/>
        <v>227724588.46793324</v>
      </c>
      <c r="T218" s="43">
        <f t="shared" ca="1" si="51"/>
        <v>234556326.12197122</v>
      </c>
      <c r="U218" s="43">
        <f t="shared" ca="1" si="51"/>
        <v>241593015.90563035</v>
      </c>
      <c r="V218" s="43">
        <f t="shared" ca="1" si="51"/>
        <v>248840806.38279927</v>
      </c>
      <c r="W218" s="43">
        <f t="shared" ca="1" si="51"/>
        <v>256306030.5742833</v>
      </c>
      <c r="X218" s="43">
        <f t="shared" ca="1" si="51"/>
        <v>263995211.49151182</v>
      </c>
      <c r="Y218" s="43">
        <f t="shared" ca="1" si="51"/>
        <v>271915067.83625716</v>
      </c>
      <c r="Z218" s="43">
        <f t="shared" ca="1" si="51"/>
        <v>280072519.87134492</v>
      </c>
      <c r="AA218" s="43">
        <f t="shared" ca="1" si="51"/>
        <v>288474695.46748519</v>
      </c>
      <c r="AB218" s="43">
        <f t="shared" ca="1" si="51"/>
        <v>297128936.33150989</v>
      </c>
      <c r="AC218" s="43">
        <f t="shared" ca="1" si="51"/>
        <v>306042804.42145514</v>
      </c>
      <c r="AD218" s="43">
        <f t="shared" ca="1" si="51"/>
        <v>315224088.55409878</v>
      </c>
      <c r="AE218" s="43">
        <f t="shared" ca="1" si="51"/>
        <v>324680811.21072179</v>
      </c>
      <c r="AF218" s="43">
        <f t="shared" ca="1" si="51"/>
        <v>334421235.5470435</v>
      </c>
      <c r="AG218" s="43">
        <f t="shared" ca="1" si="51"/>
        <v>344453872.61345482</v>
      </c>
      <c r="AH218" s="43">
        <f t="shared" ca="1" si="51"/>
        <v>354787488.79185843</v>
      </c>
      <c r="AI218" s="43">
        <f t="shared" ca="1" si="51"/>
        <v>365431113.45561421</v>
      </c>
      <c r="AJ218" s="43">
        <f t="shared" ca="1" si="51"/>
        <v>376394046.85928267</v>
      </c>
      <c r="AK218" s="43">
        <f t="shared" ca="1" si="51"/>
        <v>387685868.26506108</v>
      </c>
      <c r="AL218" s="43">
        <f t="shared" ca="1" si="51"/>
        <v>399316444.31301296</v>
      </c>
      <c r="AM218" s="43">
        <f t="shared" ca="1" si="51"/>
        <v>411295937.64240336</v>
      </c>
    </row>
    <row r="219" spans="3:39" ht="11.45" customHeight="1">
      <c r="E219" s="1352"/>
      <c r="J219" s="41"/>
      <c r="K219" s="41"/>
      <c r="L219" s="41"/>
      <c r="M219" s="41"/>
      <c r="N219" s="41"/>
      <c r="O219" s="41"/>
      <c r="P219" s="41"/>
      <c r="Q219" s="41"/>
      <c r="R219" s="41"/>
      <c r="S219" s="41"/>
      <c r="T219" s="41"/>
      <c r="U219" s="41"/>
      <c r="V219" s="41"/>
      <c r="W219" s="41"/>
      <c r="X219" s="41"/>
      <c r="Y219" s="41"/>
      <c r="Z219" s="41"/>
      <c r="AA219" s="41"/>
      <c r="AB219" s="41"/>
      <c r="AC219" s="41"/>
      <c r="AD219" s="41"/>
      <c r="AE219" s="41"/>
      <c r="AF219" s="41"/>
      <c r="AG219" s="41"/>
      <c r="AH219" s="41"/>
      <c r="AI219" s="41"/>
      <c r="AJ219" s="41"/>
      <c r="AK219" s="41"/>
      <c r="AL219" s="41"/>
      <c r="AM219" s="41"/>
    </row>
    <row r="220" spans="3:39" ht="11.45" customHeight="1">
      <c r="C220" s="10" t="s">
        <v>1589</v>
      </c>
      <c r="E220" s="1352"/>
      <c r="J220" s="186">
        <f>'Raw Material '!I94</f>
        <v>3.4196</v>
      </c>
      <c r="K220" s="186">
        <f>'Raw Material '!J94</f>
        <v>3.5221879999999999</v>
      </c>
      <c r="L220" s="186">
        <f>'Raw Material '!K94</f>
        <v>3.6278536400000001</v>
      </c>
      <c r="M220" s="186">
        <f>'Raw Material '!L94</f>
        <v>3.7366892492000003</v>
      </c>
      <c r="N220" s="186">
        <f>'Raw Material '!M94</f>
        <v>3.848789926676</v>
      </c>
      <c r="O220" s="186">
        <f>'Raw Material '!N94</f>
        <v>3.9642536244762807</v>
      </c>
      <c r="P220" s="186">
        <f>'Raw Material '!O94</f>
        <v>4.0831812332105688</v>
      </c>
      <c r="Q220" s="186">
        <f>'Raw Material '!P94</f>
        <v>4.205676670206886</v>
      </c>
      <c r="R220" s="186">
        <f>'Raw Material '!Q94</f>
        <v>4.3318469703130926</v>
      </c>
      <c r="S220" s="186">
        <f>'Raw Material '!R94</f>
        <v>4.4618023794224859</v>
      </c>
      <c r="T220" s="186">
        <f>'Raw Material '!S94</f>
        <v>4.5956564508051603</v>
      </c>
      <c r="U220" s="186">
        <f>'Raw Material '!T94</f>
        <v>4.7335261443293151</v>
      </c>
      <c r="V220" s="186">
        <f>'Raw Material '!U94</f>
        <v>4.8755319286591945</v>
      </c>
      <c r="W220" s="186">
        <f>'Raw Material '!V94</f>
        <v>5.0217978865189714</v>
      </c>
      <c r="X220" s="186">
        <f>'Raw Material '!W94</f>
        <v>5.1724518231145407</v>
      </c>
      <c r="Y220" s="186">
        <f>'Raw Material '!X94</f>
        <v>5.3276253778079772</v>
      </c>
      <c r="Z220" s="186">
        <f>'Raw Material '!Y94</f>
        <v>5.4874541391422165</v>
      </c>
      <c r="AA220" s="186">
        <f>'Raw Material '!Z94</f>
        <v>5.5321897551159136</v>
      </c>
      <c r="AB220" s="186">
        <f>'Raw Material '!AA94</f>
        <v>5.578155447769392</v>
      </c>
      <c r="AC220" s="186">
        <f>'Raw Material '!AB94</f>
        <v>5.6255001112024736</v>
      </c>
      <c r="AD220" s="186">
        <f>'Raw Material '!AC94</f>
        <v>5.6742651145385476</v>
      </c>
      <c r="AE220" s="186">
        <f>'Raw Material '!AD94</f>
        <v>5.7244930679747039</v>
      </c>
      <c r="AF220" s="186">
        <f>'Raw Material '!AE94</f>
        <v>5.7762278600139458</v>
      </c>
      <c r="AG220" s="186">
        <f>'Raw Material '!AF94</f>
        <v>5.829514695814364</v>
      </c>
      <c r="AH220" s="186">
        <f>'Raw Material '!AG94</f>
        <v>5.8844001366887948</v>
      </c>
      <c r="AI220" s="186">
        <f>'Raw Material '!AH94</f>
        <v>5.9409321407894584</v>
      </c>
      <c r="AJ220" s="186">
        <f>'Raw Material '!AI94</f>
        <v>5.9991601050131429</v>
      </c>
      <c r="AK220" s="186">
        <f>'Raw Material '!AJ94</f>
        <v>6.0591349081635375</v>
      </c>
      <c r="AL220" s="186">
        <f>'Raw Material '!AK94</f>
        <v>6.120908955408443</v>
      </c>
      <c r="AM220" s="186">
        <f>'Raw Material '!AL94</f>
        <v>6.1845362240706958</v>
      </c>
    </row>
    <row r="221" spans="3:39" ht="11.45" customHeight="1">
      <c r="C221" s="10" t="s">
        <v>1590</v>
      </c>
      <c r="D221" s="17">
        <f>'Sens WIP'!D25</f>
        <v>0</v>
      </c>
      <c r="E221" s="1352"/>
      <c r="J221" s="1221">
        <f t="shared" ref="J221:AM221" si="52">J220*(1+$D$221)</f>
        <v>3.4196</v>
      </c>
      <c r="K221" s="1221">
        <f t="shared" si="52"/>
        <v>3.5221879999999999</v>
      </c>
      <c r="L221" s="1221">
        <f t="shared" si="52"/>
        <v>3.6278536400000001</v>
      </c>
      <c r="M221" s="1221">
        <f t="shared" si="52"/>
        <v>3.7366892492000003</v>
      </c>
      <c r="N221" s="1221">
        <f t="shared" si="52"/>
        <v>3.848789926676</v>
      </c>
      <c r="O221" s="1221">
        <f t="shared" si="52"/>
        <v>3.9642536244762807</v>
      </c>
      <c r="P221" s="1221">
        <f t="shared" si="52"/>
        <v>4.0831812332105688</v>
      </c>
      <c r="Q221" s="1221">
        <f t="shared" si="52"/>
        <v>4.205676670206886</v>
      </c>
      <c r="R221" s="1221">
        <f t="shared" si="52"/>
        <v>4.3318469703130926</v>
      </c>
      <c r="S221" s="1221">
        <f t="shared" si="52"/>
        <v>4.4618023794224859</v>
      </c>
      <c r="T221" s="1221">
        <f t="shared" si="52"/>
        <v>4.5956564508051603</v>
      </c>
      <c r="U221" s="1221">
        <f t="shared" si="52"/>
        <v>4.7335261443293151</v>
      </c>
      <c r="V221" s="1221">
        <f t="shared" si="52"/>
        <v>4.8755319286591945</v>
      </c>
      <c r="W221" s="1221">
        <f t="shared" si="52"/>
        <v>5.0217978865189714</v>
      </c>
      <c r="X221" s="1221">
        <f t="shared" si="52"/>
        <v>5.1724518231145407</v>
      </c>
      <c r="Y221" s="1221">
        <f t="shared" si="52"/>
        <v>5.3276253778079772</v>
      </c>
      <c r="Z221" s="1221">
        <f t="shared" si="52"/>
        <v>5.4874541391422165</v>
      </c>
      <c r="AA221" s="1221">
        <f t="shared" si="52"/>
        <v>5.5321897551159136</v>
      </c>
      <c r="AB221" s="1221">
        <f t="shared" si="52"/>
        <v>5.578155447769392</v>
      </c>
      <c r="AC221" s="1221">
        <f t="shared" si="52"/>
        <v>5.6255001112024736</v>
      </c>
      <c r="AD221" s="1221">
        <f t="shared" si="52"/>
        <v>5.6742651145385476</v>
      </c>
      <c r="AE221" s="1221">
        <f t="shared" si="52"/>
        <v>5.7244930679747039</v>
      </c>
      <c r="AF221" s="1221">
        <f t="shared" si="52"/>
        <v>5.7762278600139458</v>
      </c>
      <c r="AG221" s="1221">
        <f t="shared" si="52"/>
        <v>5.829514695814364</v>
      </c>
      <c r="AH221" s="1221">
        <f t="shared" si="52"/>
        <v>5.8844001366887948</v>
      </c>
      <c r="AI221" s="1221">
        <f t="shared" si="52"/>
        <v>5.9409321407894584</v>
      </c>
      <c r="AJ221" s="1221">
        <f t="shared" si="52"/>
        <v>5.9991601050131429</v>
      </c>
      <c r="AK221" s="1221">
        <f t="shared" si="52"/>
        <v>6.0591349081635375</v>
      </c>
      <c r="AL221" s="1221">
        <f t="shared" si="52"/>
        <v>6.120908955408443</v>
      </c>
      <c r="AM221" s="1221">
        <f t="shared" si="52"/>
        <v>6.1845362240706958</v>
      </c>
    </row>
    <row r="222" spans="3:39" ht="11.45" customHeight="1">
      <c r="C222" s="2" t="s">
        <v>1591</v>
      </c>
      <c r="E222" s="1352" t="s">
        <v>44</v>
      </c>
      <c r="J222" s="41">
        <f>J221*J203</f>
        <v>0</v>
      </c>
      <c r="K222" s="41">
        <f t="shared" ref="K222:AM222" si="53">K221*K203</f>
        <v>69206111.336886123</v>
      </c>
      <c r="L222" s="41">
        <f t="shared" ca="1" si="53"/>
        <v>89102868.346240893</v>
      </c>
      <c r="M222" s="41">
        <f t="shared" ca="1" si="53"/>
        <v>107307269.7560575</v>
      </c>
      <c r="N222" s="41">
        <f t="shared" ca="1" si="53"/>
        <v>110526487.84873922</v>
      </c>
      <c r="O222" s="41">
        <f t="shared" ca="1" si="53"/>
        <v>113842282.48420142</v>
      </c>
      <c r="P222" s="41">
        <f t="shared" ca="1" si="53"/>
        <v>117257550.95872745</v>
      </c>
      <c r="Q222" s="41">
        <f t="shared" ca="1" si="53"/>
        <v>120775277.48748927</v>
      </c>
      <c r="R222" s="41">
        <f t="shared" ca="1" si="53"/>
        <v>124398535.81211396</v>
      </c>
      <c r="S222" s="41">
        <f t="shared" ca="1" si="53"/>
        <v>128130491.88647738</v>
      </c>
      <c r="T222" s="41">
        <f t="shared" ca="1" si="53"/>
        <v>131974406.6430717</v>
      </c>
      <c r="U222" s="41">
        <f t="shared" ca="1" si="53"/>
        <v>135933638.84236386</v>
      </c>
      <c r="V222" s="41">
        <f t="shared" ca="1" si="53"/>
        <v>140011648.00763476</v>
      </c>
      <c r="W222" s="41">
        <f t="shared" ca="1" si="53"/>
        <v>144211997.44786385</v>
      </c>
      <c r="X222" s="41">
        <f t="shared" ca="1" si="53"/>
        <v>148538357.37129974</v>
      </c>
      <c r="Y222" s="41">
        <f t="shared" ca="1" si="53"/>
        <v>152994508.09243876</v>
      </c>
      <c r="Z222" s="41">
        <f t="shared" ca="1" si="53"/>
        <v>157584343.33521193</v>
      </c>
      <c r="AA222" s="41">
        <f t="shared" ca="1" si="53"/>
        <v>158869025.17275587</v>
      </c>
      <c r="AB222" s="41">
        <f t="shared" ca="1" si="53"/>
        <v>160189031.37400657</v>
      </c>
      <c r="AC222" s="41">
        <f t="shared" ca="1" si="53"/>
        <v>161548637.76129475</v>
      </c>
      <c r="AD222" s="41">
        <f t="shared" ca="1" si="53"/>
        <v>162949032.34020159</v>
      </c>
      <c r="AE222" s="41">
        <f t="shared" ca="1" si="53"/>
        <v>164391438.75647563</v>
      </c>
      <c r="AF222" s="41">
        <f t="shared" ca="1" si="53"/>
        <v>165877117.36523792</v>
      </c>
      <c r="AG222" s="41">
        <f t="shared" ca="1" si="53"/>
        <v>167407366.33226305</v>
      </c>
      <c r="AH222" s="41">
        <f t="shared" ca="1" si="53"/>
        <v>168983522.76829895</v>
      </c>
      <c r="AI222" s="41">
        <f t="shared" ca="1" si="53"/>
        <v>170606963.89741591</v>
      </c>
      <c r="AJ222" s="41">
        <f t="shared" ca="1" si="53"/>
        <v>172279108.2604064</v>
      </c>
      <c r="AK222" s="41">
        <f t="shared" ca="1" si="53"/>
        <v>174001416.95428661</v>
      </c>
      <c r="AL222" s="41">
        <f t="shared" ca="1" si="53"/>
        <v>175775394.90898317</v>
      </c>
      <c r="AM222" s="41">
        <f t="shared" ca="1" si="53"/>
        <v>177602592.20232067</v>
      </c>
    </row>
    <row r="223" spans="3:39" ht="11.45" customHeight="1" thickBot="1">
      <c r="C223" s="486" t="s">
        <v>1489</v>
      </c>
      <c r="D223" s="486"/>
      <c r="E223" s="486"/>
      <c r="F223" s="486"/>
      <c r="G223" s="486"/>
      <c r="H223" s="486"/>
      <c r="I223" s="486"/>
      <c r="J223" s="997">
        <f>J218+J222</f>
        <v>0</v>
      </c>
      <c r="K223" s="997">
        <f t="shared" ref="K223:AM223" si="54">K218+K222</f>
        <v>143005562.15436152</v>
      </c>
      <c r="L223" s="997">
        <f t="shared" ca="1" si="54"/>
        <v>234795284.1684069</v>
      </c>
      <c r="M223" s="997">
        <f t="shared" ca="1" si="54"/>
        <v>286981588.85393542</v>
      </c>
      <c r="N223" s="997">
        <f t="shared" ca="1" si="54"/>
        <v>306963718.28144705</v>
      </c>
      <c r="O223" s="997">
        <f t="shared" ca="1" si="54"/>
        <v>316172629.82989055</v>
      </c>
      <c r="P223" s="997">
        <f t="shared" ca="1" si="54"/>
        <v>325657808.72478724</v>
      </c>
      <c r="Q223" s="997">
        <f t="shared" ca="1" si="54"/>
        <v>335427542.98653084</v>
      </c>
      <c r="R223" s="997">
        <f t="shared" ca="1" si="54"/>
        <v>345490369.2761268</v>
      </c>
      <c r="S223" s="997">
        <f t="shared" ca="1" si="54"/>
        <v>355855080.35441065</v>
      </c>
      <c r="T223" s="997">
        <f t="shared" ca="1" si="54"/>
        <v>366530732.7650429</v>
      </c>
      <c r="U223" s="997">
        <f t="shared" ca="1" si="54"/>
        <v>377526654.74799418</v>
      </c>
      <c r="V223" s="997">
        <f t="shared" ca="1" si="54"/>
        <v>388852454.39043403</v>
      </c>
      <c r="W223" s="997">
        <f t="shared" ca="1" si="54"/>
        <v>400518028.02214718</v>
      </c>
      <c r="X223" s="997">
        <f t="shared" ca="1" si="54"/>
        <v>412533568.86281157</v>
      </c>
      <c r="Y223" s="997">
        <f t="shared" ca="1" si="54"/>
        <v>424909575.92869592</v>
      </c>
      <c r="Z223" s="997">
        <f t="shared" ca="1" si="54"/>
        <v>437656863.20655686</v>
      </c>
      <c r="AA223" s="997">
        <f t="shared" ca="1" si="54"/>
        <v>447343720.64024103</v>
      </c>
      <c r="AB223" s="997">
        <f t="shared" ca="1" si="54"/>
        <v>457317967.70551646</v>
      </c>
      <c r="AC223" s="997">
        <f t="shared" ca="1" si="54"/>
        <v>467591442.18274987</v>
      </c>
      <c r="AD223" s="997">
        <f t="shared" ca="1" si="54"/>
        <v>478173120.89430034</v>
      </c>
      <c r="AE223" s="997">
        <f t="shared" ca="1" si="54"/>
        <v>489072249.96719742</v>
      </c>
      <c r="AF223" s="997">
        <f t="shared" ca="1" si="54"/>
        <v>500298352.91228139</v>
      </c>
      <c r="AG223" s="997">
        <f t="shared" ca="1" si="54"/>
        <v>511861238.94571787</v>
      </c>
      <c r="AH223" s="997">
        <f t="shared" ca="1" si="54"/>
        <v>523771011.56015742</v>
      </c>
      <c r="AI223" s="997">
        <f t="shared" ca="1" si="54"/>
        <v>536038077.35303009</v>
      </c>
      <c r="AJ223" s="997">
        <f t="shared" ca="1" si="54"/>
        <v>548673155.11968911</v>
      </c>
      <c r="AK223" s="997">
        <f t="shared" ca="1" si="54"/>
        <v>561687285.21934772</v>
      </c>
      <c r="AL223" s="997">
        <f t="shared" ca="1" si="54"/>
        <v>575091839.22199607</v>
      </c>
      <c r="AM223" s="997">
        <f t="shared" ca="1" si="54"/>
        <v>588898529.84472406</v>
      </c>
    </row>
    <row r="224" spans="3:39" ht="11.45" customHeight="1">
      <c r="C224" s="2" t="s">
        <v>1490</v>
      </c>
      <c r="J224" s="41"/>
      <c r="K224" s="41"/>
      <c r="L224" s="41">
        <f t="shared" ref="L224:AM224" ca="1" si="55">L218/L192</f>
        <v>119.54249503357212</v>
      </c>
      <c r="M224" s="41">
        <f t="shared" ca="1" si="55"/>
        <v>126.08724147219503</v>
      </c>
      <c r="N224" s="41">
        <f t="shared" ca="1" si="55"/>
        <v>137.85068802295288</v>
      </c>
      <c r="O224" s="41">
        <f t="shared" ca="1" si="55"/>
        <v>141.98620866364149</v>
      </c>
      <c r="P224" s="41">
        <f t="shared" ca="1" si="55"/>
        <v>146.24579492355073</v>
      </c>
      <c r="Q224" s="41">
        <f t="shared" ca="1" si="55"/>
        <v>150.63316877125726</v>
      </c>
      <c r="R224" s="41">
        <f t="shared" ca="1" si="55"/>
        <v>155.15216383439497</v>
      </c>
      <c r="S224" s="41">
        <f t="shared" ca="1" si="55"/>
        <v>159.80672874942684</v>
      </c>
      <c r="T224" s="41">
        <f t="shared" ca="1" si="55"/>
        <v>164.60093061190963</v>
      </c>
      <c r="U224" s="41">
        <f t="shared" ca="1" si="55"/>
        <v>169.53895853026691</v>
      </c>
      <c r="V224" s="41">
        <f t="shared" ca="1" si="55"/>
        <v>174.62512728617492</v>
      </c>
      <c r="W224" s="41">
        <f t="shared" ca="1" si="55"/>
        <v>179.86388110476022</v>
      </c>
      <c r="X224" s="41">
        <f t="shared" ca="1" si="55"/>
        <v>185.25979753790304</v>
      </c>
      <c r="Y224" s="41">
        <f t="shared" ca="1" si="55"/>
        <v>190.81759146404011</v>
      </c>
      <c r="Z224" s="41">
        <f t="shared" ca="1" si="55"/>
        <v>196.54211920796135</v>
      </c>
      <c r="AA224" s="41">
        <f t="shared" ca="1" si="55"/>
        <v>202.43838278420014</v>
      </c>
      <c r="AB224" s="41">
        <f t="shared" ca="1" si="55"/>
        <v>208.51153426772623</v>
      </c>
      <c r="AC224" s="41">
        <f t="shared" ca="1" si="55"/>
        <v>214.766880295758</v>
      </c>
      <c r="AD224" s="41">
        <f t="shared" ca="1" si="55"/>
        <v>221.20988670463072</v>
      </c>
      <c r="AE224" s="41">
        <f t="shared" ca="1" si="55"/>
        <v>227.84618330576967</v>
      </c>
      <c r="AF224" s="41">
        <f t="shared" ca="1" si="55"/>
        <v>234.6815688049428</v>
      </c>
      <c r="AG224" s="41">
        <f t="shared" ca="1" si="55"/>
        <v>241.72201586909111</v>
      </c>
      <c r="AH224" s="41">
        <f t="shared" ca="1" si="55"/>
        <v>248.97367634516382</v>
      </c>
      <c r="AI224" s="41">
        <f t="shared" ca="1" si="55"/>
        <v>256.44288663551873</v>
      </c>
      <c r="AJ224" s="41">
        <f t="shared" ca="1" si="55"/>
        <v>264.13617323458431</v>
      </c>
      <c r="AK224" s="41">
        <f t="shared" ca="1" si="55"/>
        <v>272.06025843162183</v>
      </c>
      <c r="AL224" s="41">
        <f t="shared" ca="1" si="55"/>
        <v>280.22206618457051</v>
      </c>
      <c r="AM224" s="41">
        <f t="shared" ca="1" si="55"/>
        <v>288.62872817010765</v>
      </c>
    </row>
    <row r="225" spans="3:39" ht="11.45" customHeight="1">
      <c r="C225" s="2" t="s">
        <v>1491</v>
      </c>
      <c r="J225" s="41"/>
      <c r="K225" s="41"/>
      <c r="L225" s="41">
        <f ca="1">IFERROR(L222/L195,0)</f>
        <v>109.66506873383494</v>
      </c>
      <c r="M225" s="41">
        <f ca="1">IFERROR(M222/M195,0)</f>
        <v>112.95502079585</v>
      </c>
      <c r="N225" s="41">
        <f t="shared" ref="N225:AM225" ca="1" si="56">IFERROR(N222/N195,0)</f>
        <v>116.3436714197255</v>
      </c>
      <c r="O225" s="41">
        <f t="shared" ca="1" si="56"/>
        <v>119.83398156231728</v>
      </c>
      <c r="P225" s="41">
        <f t="shared" ca="1" si="56"/>
        <v>123.42900100918679</v>
      </c>
      <c r="Q225" s="41">
        <f t="shared" ca="1" si="56"/>
        <v>127.13187103946238</v>
      </c>
      <c r="R225" s="41">
        <f t="shared" ca="1" si="56"/>
        <v>130.94582717064628</v>
      </c>
      <c r="S225" s="41">
        <f t="shared" ca="1" si="56"/>
        <v>134.87420198576567</v>
      </c>
      <c r="T225" s="41">
        <f t="shared" ca="1" si="56"/>
        <v>138.92042804533864</v>
      </c>
      <c r="U225" s="41">
        <f t="shared" ca="1" si="56"/>
        <v>143.08804088669879</v>
      </c>
      <c r="V225" s="41">
        <f t="shared" ca="1" si="56"/>
        <v>147.38068211329974</v>
      </c>
      <c r="W225" s="41">
        <f t="shared" ca="1" si="56"/>
        <v>151.80210257669879</v>
      </c>
      <c r="X225" s="41">
        <f t="shared" ca="1" si="56"/>
        <v>156.35616565399974</v>
      </c>
      <c r="Y225" s="41">
        <f t="shared" ca="1" si="56"/>
        <v>161.04685062361975</v>
      </c>
      <c r="Z225" s="41">
        <f t="shared" ca="1" si="56"/>
        <v>165.87825614232835</v>
      </c>
      <c r="AA225" s="41">
        <f t="shared" ca="1" si="56"/>
        <v>167.23055281342724</v>
      </c>
      <c r="AB225" s="41">
        <f t="shared" ca="1" si="56"/>
        <v>168.62003302527006</v>
      </c>
      <c r="AC225" s="41">
        <f t="shared" ca="1" si="56"/>
        <v>170.05119764346816</v>
      </c>
      <c r="AD225" s="41">
        <f t="shared" ca="1" si="56"/>
        <v>171.52529720021221</v>
      </c>
      <c r="AE225" s="41">
        <f t="shared" ca="1" si="56"/>
        <v>173.04361974365855</v>
      </c>
      <c r="AF225" s="41">
        <f t="shared" ca="1" si="56"/>
        <v>174.60749196340834</v>
      </c>
      <c r="AG225" s="41">
        <f t="shared" ca="1" si="56"/>
        <v>176.21828034975059</v>
      </c>
      <c r="AH225" s="41">
        <f t="shared" ca="1" si="56"/>
        <v>177.8773923876831</v>
      </c>
      <c r="AI225" s="41">
        <f t="shared" ca="1" si="56"/>
        <v>179.58627778675358</v>
      </c>
      <c r="AJ225" s="41">
        <f t="shared" ca="1" si="56"/>
        <v>181.34642974779621</v>
      </c>
      <c r="AK225" s="41">
        <f t="shared" ca="1" si="56"/>
        <v>183.1593862676701</v>
      </c>
      <c r="AL225" s="41">
        <f t="shared" ca="1" si="56"/>
        <v>185.02673148314017</v>
      </c>
      <c r="AM225" s="41">
        <f t="shared" ca="1" si="56"/>
        <v>186.95009705507439</v>
      </c>
    </row>
    <row r="226" spans="3:39" ht="11.45" customHeight="1">
      <c r="J226" s="41"/>
      <c r="K226" s="41"/>
      <c r="L226" s="41"/>
      <c r="M226" s="41"/>
      <c r="N226" s="41"/>
      <c r="O226" s="41"/>
      <c r="P226" s="41"/>
      <c r="Q226" s="41"/>
      <c r="R226" s="41"/>
      <c r="S226" s="41"/>
      <c r="T226" s="41"/>
      <c r="U226" s="41"/>
      <c r="V226" s="41"/>
      <c r="W226" s="41"/>
      <c r="X226" s="41"/>
      <c r="Y226" s="41"/>
      <c r="Z226" s="41"/>
      <c r="AA226" s="41"/>
      <c r="AB226" s="41"/>
      <c r="AC226" s="41"/>
      <c r="AD226" s="41"/>
      <c r="AE226" s="41"/>
      <c r="AF226" s="41"/>
      <c r="AG226" s="41"/>
      <c r="AH226" s="41"/>
      <c r="AI226" s="41"/>
      <c r="AJ226" s="41"/>
      <c r="AK226" s="41"/>
      <c r="AL226" s="41"/>
      <c r="AM226" s="41"/>
    </row>
    <row r="227" spans="3:39" ht="11.45" customHeight="1">
      <c r="C227" s="586" t="s">
        <v>1492</v>
      </c>
      <c r="J227" s="41"/>
      <c r="K227" s="41"/>
      <c r="L227" s="41"/>
      <c r="M227" s="41"/>
      <c r="N227" s="41"/>
      <c r="O227" s="41"/>
      <c r="P227" s="41"/>
      <c r="Q227" s="41"/>
      <c r="R227" s="41"/>
      <c r="S227" s="41"/>
      <c r="T227" s="41"/>
      <c r="U227" s="41"/>
      <c r="V227" s="41"/>
      <c r="W227" s="41"/>
      <c r="X227" s="41"/>
      <c r="Y227" s="41"/>
      <c r="Z227" s="41"/>
      <c r="AA227" s="41"/>
      <c r="AB227" s="41"/>
      <c r="AC227" s="41"/>
      <c r="AD227" s="41"/>
      <c r="AE227" s="41"/>
      <c r="AF227" s="41"/>
      <c r="AG227" s="41"/>
      <c r="AH227" s="41"/>
      <c r="AI227" s="41"/>
      <c r="AJ227" s="41"/>
      <c r="AK227" s="41"/>
      <c r="AL227" s="41"/>
      <c r="AM227" s="41"/>
    </row>
    <row r="228" spans="3:39" ht="11.45" customHeight="1">
      <c r="C228" s="2" t="s">
        <v>867</v>
      </c>
      <c r="J228" s="41">
        <f ca="1">'Assumption '!M189</f>
        <v>0</v>
      </c>
      <c r="K228" s="41">
        <f ca="1">'Assumption '!N189</f>
        <v>594417.86548501404</v>
      </c>
      <c r="L228" s="41">
        <f ca="1">'Assumption '!O189*L27</f>
        <v>1140623.0493963489</v>
      </c>
      <c r="M228" s="41">
        <f ca="1">'Assumption '!P189*M27</f>
        <v>1334529.0754158266</v>
      </c>
      <c r="N228" s="41">
        <f ca="1">'Assumption '!Q189*N27</f>
        <v>1416539.2420614918</v>
      </c>
      <c r="O228" s="41">
        <f ca="1">'Assumption '!R189*O27</f>
        <v>1416539.2420614918</v>
      </c>
      <c r="P228" s="41">
        <f ca="1">'Assumption '!S189*P27</f>
        <v>1416539.2420614918</v>
      </c>
      <c r="Q228" s="41">
        <f ca="1">'Assumption '!T189*Q27</f>
        <v>1416539.2420614918</v>
      </c>
      <c r="R228" s="41">
        <f ca="1">'Assumption '!U189*R27</f>
        <v>1416539.2420614918</v>
      </c>
      <c r="S228" s="41">
        <f ca="1">'Assumption '!V189*S27</f>
        <v>1416539.2420614918</v>
      </c>
      <c r="T228" s="41">
        <f ca="1">'Assumption '!W189*T27</f>
        <v>1416539.2420614918</v>
      </c>
      <c r="U228" s="41">
        <f ca="1">'Assumption '!X189*U27</f>
        <v>1416539.2420614918</v>
      </c>
      <c r="V228" s="41">
        <f ca="1">'Assumption '!Y189*V27</f>
        <v>1416539.2420614918</v>
      </c>
      <c r="W228" s="41">
        <f ca="1">'Assumption '!Z189*W27</f>
        <v>1416539.2420614918</v>
      </c>
      <c r="X228" s="41">
        <f ca="1">'Assumption '!AA189*X27</f>
        <v>1416539.2420614918</v>
      </c>
      <c r="Y228" s="41">
        <f ca="1">'Assumption '!AB189*Y27</f>
        <v>1416539.2420614918</v>
      </c>
      <c r="Z228" s="41">
        <f ca="1">'Assumption '!AC189*Z27</f>
        <v>1416539.2420614918</v>
      </c>
      <c r="AA228" s="41">
        <f ca="1">'Assumption '!AD189*AA27</f>
        <v>1416539.2420614918</v>
      </c>
      <c r="AB228" s="41">
        <f ca="1">'Assumption '!AE189*AB27</f>
        <v>1416539.2420614918</v>
      </c>
      <c r="AC228" s="41">
        <f ca="1">'Assumption '!AF189*AC27</f>
        <v>1416539.2420614918</v>
      </c>
      <c r="AD228" s="41">
        <f ca="1">'Assumption '!AG189*AD27</f>
        <v>1416539.2420614918</v>
      </c>
      <c r="AE228" s="41">
        <f ca="1">'Assumption '!AH189*AE27</f>
        <v>1416539.2420614918</v>
      </c>
      <c r="AF228" s="41">
        <f ca="1">'Assumption '!AI189*AF27</f>
        <v>1416539.2420614918</v>
      </c>
      <c r="AG228" s="41">
        <f ca="1">'Assumption '!AJ189*AG27</f>
        <v>1416539.2420614918</v>
      </c>
      <c r="AH228" s="41">
        <f ca="1">'Assumption '!AK189*AH27</f>
        <v>1416539.2420614918</v>
      </c>
      <c r="AI228" s="41">
        <f ca="1">'Assumption '!AL189*AI27</f>
        <v>1416539.2420614918</v>
      </c>
      <c r="AJ228" s="41">
        <f ca="1">'Assumption '!AM189*AJ27</f>
        <v>1416539.2420614918</v>
      </c>
      <c r="AK228" s="41">
        <f ca="1">'Assumption '!AN189*AK27</f>
        <v>1416539.2420614918</v>
      </c>
      <c r="AL228" s="41">
        <f ca="1">'Assumption '!AO189*AL27</f>
        <v>1416539.2420614918</v>
      </c>
      <c r="AM228" s="41">
        <f ca="1">'Assumption '!AP189*AM27</f>
        <v>1416539.2420614918</v>
      </c>
    </row>
    <row r="229" spans="3:39" ht="11.45" customHeight="1">
      <c r="C229" s="2" t="s">
        <v>892</v>
      </c>
      <c r="J229" s="41">
        <f ca="1">'Assumption '!M204</f>
        <v>0</v>
      </c>
      <c r="K229" s="41">
        <f ca="1">'Assumption '!N204</f>
        <v>500442.81400045543</v>
      </c>
      <c r="L229" s="41">
        <f ca="1">'Assumption '!O204*L20</f>
        <v>626274.34271569422</v>
      </c>
      <c r="M229" s="41">
        <f ca="1">'Assumption '!P204*M20</f>
        <v>715665.951</v>
      </c>
      <c r="N229" s="41">
        <f ca="1">'Assumption '!Q204*N20</f>
        <v>715665.951</v>
      </c>
      <c r="O229" s="41">
        <f ca="1">'Assumption '!R204*O20</f>
        <v>715665.951</v>
      </c>
      <c r="P229" s="41">
        <f ca="1">'Assumption '!S204*P20</f>
        <v>715665.951</v>
      </c>
      <c r="Q229" s="41">
        <f ca="1">'Assumption '!T204*Q20</f>
        <v>715665.951</v>
      </c>
      <c r="R229" s="41">
        <f ca="1">'Assumption '!U204*R20</f>
        <v>715665.951</v>
      </c>
      <c r="S229" s="41">
        <f ca="1">'Assumption '!V204*S20</f>
        <v>715665.951</v>
      </c>
      <c r="T229" s="41">
        <f ca="1">'Assumption '!W204*T20</f>
        <v>715665.951</v>
      </c>
      <c r="U229" s="41">
        <f ca="1">'Assumption '!X204*U20</f>
        <v>715665.951</v>
      </c>
      <c r="V229" s="41">
        <f ca="1">'Assumption '!Y204*V20</f>
        <v>715665.951</v>
      </c>
      <c r="W229" s="41">
        <f ca="1">'Assumption '!Z204*W20</f>
        <v>715665.951</v>
      </c>
      <c r="X229" s="41">
        <f ca="1">'Assumption '!AA204*X20</f>
        <v>715665.951</v>
      </c>
      <c r="Y229" s="41">
        <f ca="1">'Assumption '!AB204*Y20</f>
        <v>715665.951</v>
      </c>
      <c r="Z229" s="41">
        <f ca="1">'Assumption '!AC204*Z20</f>
        <v>715665.951</v>
      </c>
      <c r="AA229" s="41">
        <f ca="1">'Assumption '!AD204*AA20</f>
        <v>715665.951</v>
      </c>
      <c r="AB229" s="41">
        <f ca="1">'Assumption '!AE204*AB20</f>
        <v>715665.951</v>
      </c>
      <c r="AC229" s="41">
        <f ca="1">'Assumption '!AF204*AC20</f>
        <v>715665.951</v>
      </c>
      <c r="AD229" s="41">
        <f ca="1">'Assumption '!AG204*AD20</f>
        <v>715665.951</v>
      </c>
      <c r="AE229" s="41">
        <f ca="1">'Assumption '!AH204*AE20</f>
        <v>715665.951</v>
      </c>
      <c r="AF229" s="41">
        <f ca="1">'Assumption '!AI204*AF20</f>
        <v>715665.951</v>
      </c>
      <c r="AG229" s="41">
        <f ca="1">'Assumption '!AJ204*AG20</f>
        <v>715665.951</v>
      </c>
      <c r="AH229" s="41">
        <f ca="1">'Assumption '!AK204*AH20</f>
        <v>715665.951</v>
      </c>
      <c r="AI229" s="41">
        <f ca="1">'Assumption '!AL204*AI20</f>
        <v>715665.951</v>
      </c>
      <c r="AJ229" s="41">
        <f ca="1">'Assumption '!AM204*AJ20</f>
        <v>715665.951</v>
      </c>
      <c r="AK229" s="41">
        <f ca="1">'Assumption '!AN204*AK20</f>
        <v>715665.951</v>
      </c>
      <c r="AL229" s="41">
        <f ca="1">'Assumption '!AO204*AL20</f>
        <v>715665.951</v>
      </c>
      <c r="AM229" s="41">
        <f ca="1">'Assumption '!AP204*AM20</f>
        <v>715665.951</v>
      </c>
    </row>
    <row r="230" spans="3:39" ht="11.45" customHeight="1">
      <c r="C230" s="489" t="s">
        <v>2378</v>
      </c>
      <c r="J230" s="41">
        <f ca="1">J209</f>
        <v>0</v>
      </c>
      <c r="K230" s="41">
        <f t="shared" ref="K230:AM230" ca="1" si="57">K209</f>
        <v>648078.26800692617</v>
      </c>
      <c r="L230" s="41">
        <f t="shared" ca="1" si="57"/>
        <v>1069956.548183739</v>
      </c>
      <c r="M230" s="41">
        <f t="shared" ca="1" si="57"/>
        <v>1257291.6666666665</v>
      </c>
      <c r="N230" s="41">
        <f t="shared" ca="1" si="57"/>
        <v>1311527.7777777778</v>
      </c>
      <c r="O230" s="41">
        <f t="shared" ca="1" si="57"/>
        <v>1311527.7777777778</v>
      </c>
      <c r="P230" s="41">
        <f t="shared" ca="1" si="57"/>
        <v>1311527.7777777778</v>
      </c>
      <c r="Q230" s="41">
        <f t="shared" ca="1" si="57"/>
        <v>1311527.7777777778</v>
      </c>
      <c r="R230" s="41">
        <f t="shared" ca="1" si="57"/>
        <v>1311527.7777777778</v>
      </c>
      <c r="S230" s="41">
        <f t="shared" ca="1" si="57"/>
        <v>1311527.7777777778</v>
      </c>
      <c r="T230" s="41">
        <f t="shared" ca="1" si="57"/>
        <v>1311527.7777777778</v>
      </c>
      <c r="U230" s="41">
        <f t="shared" ca="1" si="57"/>
        <v>1311527.7777777778</v>
      </c>
      <c r="V230" s="41">
        <f t="shared" ca="1" si="57"/>
        <v>1311527.7777777778</v>
      </c>
      <c r="W230" s="41">
        <f t="shared" ca="1" si="57"/>
        <v>1311527.7777777778</v>
      </c>
      <c r="X230" s="41">
        <f t="shared" ca="1" si="57"/>
        <v>1311527.7777777778</v>
      </c>
      <c r="Y230" s="41">
        <f t="shared" ca="1" si="57"/>
        <v>1311527.7777777778</v>
      </c>
      <c r="Z230" s="41">
        <f t="shared" ca="1" si="57"/>
        <v>1311527.7777777778</v>
      </c>
      <c r="AA230" s="41">
        <f t="shared" ca="1" si="57"/>
        <v>1311527.7777777778</v>
      </c>
      <c r="AB230" s="41">
        <f t="shared" ca="1" si="57"/>
        <v>1311527.7777777778</v>
      </c>
      <c r="AC230" s="41">
        <f t="shared" ca="1" si="57"/>
        <v>1311527.7777777778</v>
      </c>
      <c r="AD230" s="41">
        <f t="shared" ca="1" si="57"/>
        <v>1311527.7777777778</v>
      </c>
      <c r="AE230" s="41">
        <f t="shared" ca="1" si="57"/>
        <v>1311527.7777777778</v>
      </c>
      <c r="AF230" s="41">
        <f t="shared" ca="1" si="57"/>
        <v>1311527.7777777778</v>
      </c>
      <c r="AG230" s="41">
        <f t="shared" ca="1" si="57"/>
        <v>1311527.7777777778</v>
      </c>
      <c r="AH230" s="41">
        <f t="shared" ca="1" si="57"/>
        <v>1311527.7777777778</v>
      </c>
      <c r="AI230" s="41">
        <f t="shared" ca="1" si="57"/>
        <v>1311527.7777777778</v>
      </c>
      <c r="AJ230" s="41">
        <f t="shared" ca="1" si="57"/>
        <v>1311527.7777777778</v>
      </c>
      <c r="AK230" s="41">
        <f t="shared" ca="1" si="57"/>
        <v>1311527.7777777778</v>
      </c>
      <c r="AL230" s="41">
        <f t="shared" ca="1" si="57"/>
        <v>1311527.7777777778</v>
      </c>
      <c r="AM230" s="41">
        <f t="shared" ca="1" si="57"/>
        <v>1311527.7777777778</v>
      </c>
    </row>
    <row r="231" spans="3:39" ht="11.45" customHeight="1" thickBot="1">
      <c r="C231" s="486" t="s">
        <v>1494</v>
      </c>
      <c r="D231" s="486"/>
      <c r="E231" s="486"/>
      <c r="F231" s="486"/>
      <c r="G231" s="486"/>
      <c r="H231" s="486"/>
      <c r="I231" s="486"/>
      <c r="J231" s="997">
        <f ca="1">SUM(J228:J230)</f>
        <v>0</v>
      </c>
      <c r="K231" s="997">
        <f ca="1">SUM(K228:K230)</f>
        <v>1742938.9474923958</v>
      </c>
      <c r="L231" s="997">
        <f t="shared" ref="L231" ca="1" si="58">SUM(L228:L230)</f>
        <v>2836853.9402957819</v>
      </c>
      <c r="M231" s="997">
        <f t="shared" ref="M231" ca="1" si="59">SUM(M228:M230)</f>
        <v>3307486.6930824933</v>
      </c>
      <c r="N231" s="997">
        <f t="shared" ref="N231" ca="1" si="60">SUM(N228:N230)</f>
        <v>3443732.9708392695</v>
      </c>
      <c r="O231" s="997">
        <f t="shared" ref="O231" ca="1" si="61">SUM(O228:O230)</f>
        <v>3443732.9708392695</v>
      </c>
      <c r="P231" s="997">
        <f t="shared" ref="P231" ca="1" si="62">SUM(P228:P230)</f>
        <v>3443732.9708392695</v>
      </c>
      <c r="Q231" s="997">
        <f t="shared" ref="Q231" ca="1" si="63">SUM(Q228:Q230)</f>
        <v>3443732.9708392695</v>
      </c>
      <c r="R231" s="997">
        <f t="shared" ref="R231" ca="1" si="64">SUM(R228:R230)</f>
        <v>3443732.9708392695</v>
      </c>
      <c r="S231" s="997">
        <f t="shared" ref="S231" ca="1" si="65">SUM(S228:S230)</f>
        <v>3443732.9708392695</v>
      </c>
      <c r="T231" s="997">
        <f t="shared" ref="T231" ca="1" si="66">SUM(T228:T230)</f>
        <v>3443732.9708392695</v>
      </c>
      <c r="U231" s="997">
        <f t="shared" ref="U231" ca="1" si="67">SUM(U228:U230)</f>
        <v>3443732.9708392695</v>
      </c>
      <c r="V231" s="997">
        <f t="shared" ref="V231" ca="1" si="68">SUM(V228:V230)</f>
        <v>3443732.9708392695</v>
      </c>
      <c r="W231" s="997">
        <f t="shared" ref="W231" ca="1" si="69">SUM(W228:W230)</f>
        <v>3443732.9708392695</v>
      </c>
      <c r="X231" s="997">
        <f t="shared" ref="X231" ca="1" si="70">SUM(X228:X230)</f>
        <v>3443732.9708392695</v>
      </c>
      <c r="Y231" s="997">
        <f t="shared" ref="Y231" ca="1" si="71">SUM(Y228:Y230)</f>
        <v>3443732.9708392695</v>
      </c>
      <c r="Z231" s="997">
        <f t="shared" ref="Z231" ca="1" si="72">SUM(Z228:Z230)</f>
        <v>3443732.9708392695</v>
      </c>
      <c r="AA231" s="997">
        <f t="shared" ref="AA231" ca="1" si="73">SUM(AA228:AA230)</f>
        <v>3443732.9708392695</v>
      </c>
      <c r="AB231" s="997">
        <f t="shared" ref="AB231" ca="1" si="74">SUM(AB228:AB230)</f>
        <v>3443732.9708392695</v>
      </c>
      <c r="AC231" s="997">
        <f t="shared" ref="AC231" ca="1" si="75">SUM(AC228:AC230)</f>
        <v>3443732.9708392695</v>
      </c>
      <c r="AD231" s="997">
        <f t="shared" ref="AD231" ca="1" si="76">SUM(AD228:AD230)</f>
        <v>3443732.9708392695</v>
      </c>
      <c r="AE231" s="997">
        <f t="shared" ref="AE231" ca="1" si="77">SUM(AE228:AE230)</f>
        <v>3443732.9708392695</v>
      </c>
      <c r="AF231" s="997">
        <f t="shared" ref="AF231" ca="1" si="78">SUM(AF228:AF230)</f>
        <v>3443732.9708392695</v>
      </c>
      <c r="AG231" s="997">
        <f t="shared" ref="AG231" ca="1" si="79">SUM(AG228:AG230)</f>
        <v>3443732.9708392695</v>
      </c>
      <c r="AH231" s="997">
        <f t="shared" ref="AH231" ca="1" si="80">SUM(AH228:AH230)</f>
        <v>3443732.9708392695</v>
      </c>
      <c r="AI231" s="997">
        <f t="shared" ref="AI231" ca="1" si="81">SUM(AI228:AI230)</f>
        <v>3443732.9708392695</v>
      </c>
      <c r="AJ231" s="997">
        <f t="shared" ref="AJ231" ca="1" si="82">SUM(AJ228:AJ230)</f>
        <v>3443732.9708392695</v>
      </c>
      <c r="AK231" s="997">
        <f t="shared" ref="AK231" ca="1" si="83">SUM(AK228:AK230)</f>
        <v>3443732.9708392695</v>
      </c>
      <c r="AL231" s="997">
        <f t="shared" ref="AL231" ca="1" si="84">SUM(AL228:AL230)</f>
        <v>3443732.9708392695</v>
      </c>
      <c r="AM231" s="997">
        <f t="shared" ref="AM231" ca="1" si="85">SUM(AM228:AM230)</f>
        <v>3443732.9708392695</v>
      </c>
    </row>
    <row r="232" spans="3:39" ht="11.45" customHeight="1">
      <c r="C232" s="2" t="s">
        <v>1495</v>
      </c>
      <c r="J232" s="41"/>
      <c r="K232" s="1221"/>
      <c r="L232" s="1221">
        <f t="shared" ref="L232:AM232" ca="1" si="86">L228/L192</f>
        <v>0.93589583540213239</v>
      </c>
      <c r="M232" s="1221">
        <f t="shared" ca="1" si="86"/>
        <v>0.93651163187075548</v>
      </c>
      <c r="N232" s="1221">
        <f t="shared" ca="1" si="86"/>
        <v>0.99406262600806439</v>
      </c>
      <c r="O232" s="1221">
        <f t="shared" ca="1" si="86"/>
        <v>0.99406262600806439</v>
      </c>
      <c r="P232" s="1221">
        <f t="shared" ca="1" si="86"/>
        <v>0.99406262600806439</v>
      </c>
      <c r="Q232" s="1221">
        <f t="shared" ca="1" si="86"/>
        <v>0.99406262600806439</v>
      </c>
      <c r="R232" s="1221">
        <f t="shared" ca="1" si="86"/>
        <v>0.99406262600806439</v>
      </c>
      <c r="S232" s="1221">
        <f t="shared" ca="1" si="86"/>
        <v>0.99406262600806439</v>
      </c>
      <c r="T232" s="1221">
        <f t="shared" ca="1" si="86"/>
        <v>0.99406262600806439</v>
      </c>
      <c r="U232" s="1221">
        <f t="shared" ca="1" si="86"/>
        <v>0.99406262600806439</v>
      </c>
      <c r="V232" s="1221">
        <f t="shared" ca="1" si="86"/>
        <v>0.99406262600806439</v>
      </c>
      <c r="W232" s="1221">
        <f t="shared" ca="1" si="86"/>
        <v>0.99406262600806439</v>
      </c>
      <c r="X232" s="1221">
        <f t="shared" ca="1" si="86"/>
        <v>0.99406262600806439</v>
      </c>
      <c r="Y232" s="1221">
        <f t="shared" ca="1" si="86"/>
        <v>0.99406262600806439</v>
      </c>
      <c r="Z232" s="1221">
        <f t="shared" ca="1" si="86"/>
        <v>0.99406262600806439</v>
      </c>
      <c r="AA232" s="1221">
        <f t="shared" ca="1" si="86"/>
        <v>0.99406262600806439</v>
      </c>
      <c r="AB232" s="1221">
        <f t="shared" ca="1" si="86"/>
        <v>0.99406262600806439</v>
      </c>
      <c r="AC232" s="1221">
        <f t="shared" ca="1" si="86"/>
        <v>0.99406262600806439</v>
      </c>
      <c r="AD232" s="1221">
        <f t="shared" ca="1" si="86"/>
        <v>0.99406262600806439</v>
      </c>
      <c r="AE232" s="1221">
        <f t="shared" ca="1" si="86"/>
        <v>0.99406262600806439</v>
      </c>
      <c r="AF232" s="1221">
        <f t="shared" ca="1" si="86"/>
        <v>0.99406262600806439</v>
      </c>
      <c r="AG232" s="1221">
        <f t="shared" ca="1" si="86"/>
        <v>0.99406262600806439</v>
      </c>
      <c r="AH232" s="1221">
        <f t="shared" ca="1" si="86"/>
        <v>0.99406262600806439</v>
      </c>
      <c r="AI232" s="1221">
        <f t="shared" ca="1" si="86"/>
        <v>0.99406262600806439</v>
      </c>
      <c r="AJ232" s="1221">
        <f t="shared" ca="1" si="86"/>
        <v>0.99406262600806439</v>
      </c>
      <c r="AK232" s="1221">
        <f t="shared" ca="1" si="86"/>
        <v>0.99406262600806439</v>
      </c>
      <c r="AL232" s="1221">
        <f t="shared" ca="1" si="86"/>
        <v>0.99406262600806439</v>
      </c>
      <c r="AM232" s="1221">
        <f t="shared" ca="1" si="86"/>
        <v>0.99406262600806439</v>
      </c>
    </row>
    <row r="233" spans="3:39" ht="11.45" customHeight="1">
      <c r="C233" s="2" t="s">
        <v>1496</v>
      </c>
      <c r="J233" s="41" t="s">
        <v>1073</v>
      </c>
      <c r="K233" s="1221">
        <f ca="1">IFERROR(K229/K195,0)</f>
        <v>0</v>
      </c>
      <c r="L233" s="1221">
        <f ca="1">IFERROR(L229/L195,0)</f>
        <v>0.77079919103470063</v>
      </c>
      <c r="M233" s="1221">
        <f ca="1">IFERROR(M229/M195,0)</f>
        <v>0.75333258000000003</v>
      </c>
      <c r="N233" s="1221">
        <f t="shared" ref="N233:AM233" ca="1" si="87">IFERROR(N229/N195,0)</f>
        <v>0.75333258000000003</v>
      </c>
      <c r="O233" s="1221">
        <f t="shared" ca="1" si="87"/>
        <v>0.75333258000000003</v>
      </c>
      <c r="P233" s="1221">
        <f t="shared" ca="1" si="87"/>
        <v>0.75333258000000003</v>
      </c>
      <c r="Q233" s="1221">
        <f t="shared" ca="1" si="87"/>
        <v>0.75333258000000003</v>
      </c>
      <c r="R233" s="1221">
        <f t="shared" ca="1" si="87"/>
        <v>0.75333258000000003</v>
      </c>
      <c r="S233" s="1221">
        <f t="shared" ca="1" si="87"/>
        <v>0.75333258000000003</v>
      </c>
      <c r="T233" s="1221">
        <f t="shared" ca="1" si="87"/>
        <v>0.75333258000000003</v>
      </c>
      <c r="U233" s="1221">
        <f t="shared" ca="1" si="87"/>
        <v>0.75333258000000003</v>
      </c>
      <c r="V233" s="1221">
        <f t="shared" ca="1" si="87"/>
        <v>0.75333258000000003</v>
      </c>
      <c r="W233" s="1221">
        <f t="shared" ca="1" si="87"/>
        <v>0.75333258000000003</v>
      </c>
      <c r="X233" s="1221">
        <f t="shared" ca="1" si="87"/>
        <v>0.75333258000000003</v>
      </c>
      <c r="Y233" s="1221">
        <f t="shared" ca="1" si="87"/>
        <v>0.75333258000000003</v>
      </c>
      <c r="Z233" s="1221">
        <f t="shared" ca="1" si="87"/>
        <v>0.75333258000000003</v>
      </c>
      <c r="AA233" s="1221">
        <f t="shared" ca="1" si="87"/>
        <v>0.75333258000000003</v>
      </c>
      <c r="AB233" s="1221">
        <f t="shared" ca="1" si="87"/>
        <v>0.75333258000000003</v>
      </c>
      <c r="AC233" s="1221">
        <f t="shared" ca="1" si="87"/>
        <v>0.75333258000000003</v>
      </c>
      <c r="AD233" s="1221">
        <f t="shared" ca="1" si="87"/>
        <v>0.75333258000000003</v>
      </c>
      <c r="AE233" s="1221">
        <f t="shared" ca="1" si="87"/>
        <v>0.75333258000000003</v>
      </c>
      <c r="AF233" s="1221">
        <f t="shared" ca="1" si="87"/>
        <v>0.75333258000000003</v>
      </c>
      <c r="AG233" s="1221">
        <f t="shared" ca="1" si="87"/>
        <v>0.75333258000000003</v>
      </c>
      <c r="AH233" s="1221">
        <f t="shared" ca="1" si="87"/>
        <v>0.75333258000000003</v>
      </c>
      <c r="AI233" s="1221">
        <f t="shared" ca="1" si="87"/>
        <v>0.75333258000000003</v>
      </c>
      <c r="AJ233" s="1221">
        <f t="shared" ca="1" si="87"/>
        <v>0.75333258000000003</v>
      </c>
      <c r="AK233" s="1221">
        <f t="shared" ca="1" si="87"/>
        <v>0.75333258000000003</v>
      </c>
      <c r="AL233" s="1221">
        <f t="shared" ca="1" si="87"/>
        <v>0.75333258000000003</v>
      </c>
      <c r="AM233" s="1221">
        <f t="shared" ca="1" si="87"/>
        <v>0.75333258000000003</v>
      </c>
    </row>
    <row r="234" spans="3:39" ht="11.45" customHeight="1">
      <c r="C234" s="2" t="s">
        <v>2380</v>
      </c>
      <c r="J234" s="41"/>
      <c r="K234" s="1221">
        <f ca="1">IFERROR(K230/K196,0)</f>
        <v>0</v>
      </c>
      <c r="L234" s="1221">
        <f ca="1">IFERROR(L230/L196,0)</f>
        <v>0.52674783910584067</v>
      </c>
      <c r="M234" s="1221">
        <f t="shared" ref="M234:AM234" ca="1" si="88">IFERROR(M230/M196,0)</f>
        <v>0.39444444444444438</v>
      </c>
      <c r="N234" s="1221">
        <f t="shared" ca="1" si="88"/>
        <v>0.39444444444444443</v>
      </c>
      <c r="O234" s="1221">
        <f t="shared" ca="1" si="88"/>
        <v>0.39444444444444443</v>
      </c>
      <c r="P234" s="1221">
        <f t="shared" ca="1" si="88"/>
        <v>0.39444444444444443</v>
      </c>
      <c r="Q234" s="1221">
        <f t="shared" ca="1" si="88"/>
        <v>0.39444444444444443</v>
      </c>
      <c r="R234" s="1221">
        <f t="shared" ca="1" si="88"/>
        <v>0.39444444444444443</v>
      </c>
      <c r="S234" s="1221">
        <f t="shared" ca="1" si="88"/>
        <v>0.39444444444444443</v>
      </c>
      <c r="T234" s="1221">
        <f t="shared" ca="1" si="88"/>
        <v>0.39444444444444443</v>
      </c>
      <c r="U234" s="1221">
        <f t="shared" ca="1" si="88"/>
        <v>0.39444444444444443</v>
      </c>
      <c r="V234" s="1221">
        <f t="shared" ca="1" si="88"/>
        <v>0.39444444444444443</v>
      </c>
      <c r="W234" s="1221">
        <f t="shared" ca="1" si="88"/>
        <v>0.39444444444444443</v>
      </c>
      <c r="X234" s="1221">
        <f t="shared" ca="1" si="88"/>
        <v>0.39444444444444443</v>
      </c>
      <c r="Y234" s="1221">
        <f t="shared" ca="1" si="88"/>
        <v>0.39444444444444443</v>
      </c>
      <c r="Z234" s="1221">
        <f t="shared" ca="1" si="88"/>
        <v>0.39444444444444443</v>
      </c>
      <c r="AA234" s="1221">
        <f t="shared" ca="1" si="88"/>
        <v>0.39444444444444443</v>
      </c>
      <c r="AB234" s="1221">
        <f t="shared" ca="1" si="88"/>
        <v>0.39444444444444443</v>
      </c>
      <c r="AC234" s="1221">
        <f t="shared" ca="1" si="88"/>
        <v>0.39444444444444443</v>
      </c>
      <c r="AD234" s="1221">
        <f t="shared" ca="1" si="88"/>
        <v>0.39444444444444443</v>
      </c>
      <c r="AE234" s="1221">
        <f t="shared" ca="1" si="88"/>
        <v>0.39444444444444443</v>
      </c>
      <c r="AF234" s="1221">
        <f t="shared" ca="1" si="88"/>
        <v>0.39444444444444443</v>
      </c>
      <c r="AG234" s="1221">
        <f t="shared" ca="1" si="88"/>
        <v>0.39444444444444443</v>
      </c>
      <c r="AH234" s="1221">
        <f t="shared" ca="1" si="88"/>
        <v>0.39444444444444443</v>
      </c>
      <c r="AI234" s="1221">
        <f t="shared" ca="1" si="88"/>
        <v>0.39444444444444443</v>
      </c>
      <c r="AJ234" s="1221">
        <f t="shared" ca="1" si="88"/>
        <v>0.39444444444444443</v>
      </c>
      <c r="AK234" s="1221">
        <f t="shared" ca="1" si="88"/>
        <v>0.39444444444444443</v>
      </c>
      <c r="AL234" s="1221">
        <f t="shared" ca="1" si="88"/>
        <v>0.39444444444444443</v>
      </c>
      <c r="AM234" s="1221">
        <f t="shared" ca="1" si="88"/>
        <v>0.39444444444444443</v>
      </c>
    </row>
    <row r="235" spans="3:39" ht="11.45" customHeight="1">
      <c r="J235" s="41"/>
      <c r="K235" s="41"/>
      <c r="L235" s="41"/>
      <c r="M235" s="41"/>
      <c r="N235" s="41"/>
      <c r="O235" s="41"/>
      <c r="P235" s="41"/>
      <c r="Q235" s="41"/>
      <c r="R235" s="41"/>
      <c r="S235" s="41"/>
      <c r="T235" s="41"/>
      <c r="U235" s="41"/>
      <c r="V235" s="41"/>
      <c r="W235" s="41"/>
      <c r="X235" s="41"/>
      <c r="Y235" s="41"/>
      <c r="Z235" s="41"/>
      <c r="AA235" s="41"/>
      <c r="AB235" s="41"/>
      <c r="AC235" s="41"/>
      <c r="AD235" s="41"/>
      <c r="AE235" s="41"/>
      <c r="AF235" s="41"/>
      <c r="AG235" s="41"/>
      <c r="AH235" s="41"/>
      <c r="AI235" s="41"/>
      <c r="AJ235" s="41"/>
      <c r="AK235" s="41"/>
      <c r="AL235" s="41"/>
      <c r="AM235" s="41"/>
    </row>
    <row r="236" spans="3:39" ht="11.45" customHeight="1">
      <c r="C236" s="501" t="s">
        <v>1450</v>
      </c>
      <c r="J236" s="41"/>
      <c r="K236" s="41"/>
      <c r="L236" s="41"/>
      <c r="M236" s="41"/>
      <c r="N236" s="41"/>
      <c r="O236" s="41"/>
      <c r="P236" s="41"/>
      <c r="Q236" s="41"/>
      <c r="R236" s="41"/>
      <c r="S236" s="41"/>
      <c r="T236" s="41"/>
      <c r="U236" s="41"/>
      <c r="V236" s="41"/>
      <c r="W236" s="41"/>
      <c r="X236" s="41"/>
      <c r="Y236" s="41"/>
      <c r="Z236" s="41"/>
      <c r="AA236" s="41"/>
      <c r="AB236" s="41"/>
      <c r="AC236" s="41"/>
      <c r="AD236" s="41"/>
      <c r="AE236" s="41"/>
      <c r="AF236" s="41"/>
      <c r="AG236" s="41"/>
      <c r="AH236" s="41"/>
      <c r="AI236" s="41"/>
      <c r="AJ236" s="41"/>
      <c r="AK236" s="41"/>
      <c r="AL236" s="41"/>
      <c r="AM236" s="41"/>
    </row>
    <row r="237" spans="3:39" ht="11.45" customHeight="1">
      <c r="C237" s="2" t="s">
        <v>867</v>
      </c>
      <c r="J237" s="41">
        <f>'Assumption '!M226</f>
        <v>0</v>
      </c>
      <c r="K237" s="41">
        <f>'Assumption '!N226</f>
        <v>32135.967864000002</v>
      </c>
      <c r="L237" s="41">
        <f ca="1">'Assumption '!O226*L20</f>
        <v>61593.938406000008</v>
      </c>
      <c r="M237" s="41">
        <f ca="1">'Assumption '!P226*M20</f>
        <v>75960.364039560009</v>
      </c>
      <c r="N237" s="41">
        <f ca="1">'Assumption '!Q226*N20</f>
        <v>83047.168952748005</v>
      </c>
      <c r="O237" s="41">
        <f ca="1">'Assumption '!R226*O20</f>
        <v>85538.584021330462</v>
      </c>
      <c r="P237" s="41">
        <f ca="1">'Assumption '!S226*P20</f>
        <v>88104.741541970361</v>
      </c>
      <c r="Q237" s="41">
        <f ca="1">'Assumption '!T226*Q20</f>
        <v>90747.883788229476</v>
      </c>
      <c r="R237" s="41">
        <f ca="1">'Assumption '!U226*R20</f>
        <v>93470.320301876374</v>
      </c>
      <c r="S237" s="41">
        <f ca="1">'Assumption '!V226*S20</f>
        <v>96274.429910932668</v>
      </c>
      <c r="T237" s="41">
        <f ca="1">'Assumption '!W226*T20</f>
        <v>99162.662808260648</v>
      </c>
      <c r="U237" s="41">
        <f ca="1">'Assumption '!X226*U20</f>
        <v>102137.54269250848</v>
      </c>
      <c r="V237" s="41">
        <f ca="1">'Assumption '!Y226*V20</f>
        <v>105201.66897328373</v>
      </c>
      <c r="W237" s="41">
        <f ca="1">'Assumption '!Z226*W20</f>
        <v>108357.71904248225</v>
      </c>
      <c r="X237" s="41">
        <f ca="1">'Assumption '!AA226*X20</f>
        <v>111608.45061375671</v>
      </c>
      <c r="Y237" s="41">
        <f ca="1">'Assumption '!AB226*Y20</f>
        <v>114956.70413216943</v>
      </c>
      <c r="Z237" s="41">
        <f ca="1">'Assumption '!AC226*Z20</f>
        <v>118405.40525613452</v>
      </c>
      <c r="AA237" s="41">
        <f ca="1">'Assumption '!AD226*AA20</f>
        <v>121957.56741381856</v>
      </c>
      <c r="AB237" s="41">
        <f ca="1">'Assumption '!AE226*AB20</f>
        <v>125616.2944362331</v>
      </c>
      <c r="AC237" s="41">
        <f ca="1">'Assumption '!AF226*AC20</f>
        <v>129384.78326932011</v>
      </c>
      <c r="AD237" s="41">
        <f ca="1">'Assumption '!AG226*AD20</f>
        <v>133266.32676739973</v>
      </c>
      <c r="AE237" s="41">
        <f ca="1">'Assumption '!AH226*AE20</f>
        <v>137264.31657042171</v>
      </c>
      <c r="AF237" s="41">
        <f ca="1">'Assumption '!AI226*AF20</f>
        <v>141382.2460675344</v>
      </c>
      <c r="AG237" s="41">
        <f ca="1">'Assumption '!AJ226*AG20</f>
        <v>145623.71344956043</v>
      </c>
      <c r="AH237" s="41">
        <f ca="1">'Assumption '!AK226*AH20</f>
        <v>149992.42485304724</v>
      </c>
      <c r="AI237" s="41">
        <f ca="1">'Assumption '!AL226*AI20</f>
        <v>154492.19759863865</v>
      </c>
      <c r="AJ237" s="41">
        <f ca="1">'Assumption '!AM226*AJ20</f>
        <v>159126.96352659783</v>
      </c>
      <c r="AK237" s="41">
        <f ca="1">'Assumption '!AN226*AK20</f>
        <v>163900.77243239578</v>
      </c>
      <c r="AL237" s="41">
        <f ca="1">'Assumption '!AO226*AL20</f>
        <v>168817.79560536766</v>
      </c>
      <c r="AM237" s="41">
        <f ca="1">'Assumption '!AP226*AM20</f>
        <v>173882.32947352869</v>
      </c>
    </row>
    <row r="238" spans="3:39" ht="11.45" customHeight="1">
      <c r="C238" s="2" t="s">
        <v>1497</v>
      </c>
      <c r="J238" s="41"/>
      <c r="K238" s="41"/>
      <c r="L238" s="186">
        <f t="shared" ref="L238:AM238" ca="1" si="89">L237/L192</f>
        <v>5.0538616128000008E-2</v>
      </c>
      <c r="M238" s="186">
        <f t="shared" ca="1" si="89"/>
        <v>5.3305518624252639E-2</v>
      </c>
      <c r="N238" s="186">
        <f t="shared" ca="1" si="89"/>
        <v>5.8278715054560004E-2</v>
      </c>
      <c r="O238" s="186">
        <f t="shared" ca="1" si="89"/>
        <v>6.0027076506196812E-2</v>
      </c>
      <c r="P238" s="186">
        <f t="shared" ca="1" si="89"/>
        <v>6.1827888801382708E-2</v>
      </c>
      <c r="Q238" s="186">
        <f t="shared" ca="1" si="89"/>
        <v>6.3682725465424195E-2</v>
      </c>
      <c r="R238" s="186">
        <f t="shared" ca="1" si="89"/>
        <v>6.5593207229386927E-2</v>
      </c>
      <c r="S238" s="186">
        <f t="shared" ca="1" si="89"/>
        <v>6.7561003446268544E-2</v>
      </c>
      <c r="T238" s="186">
        <f t="shared" ca="1" si="89"/>
        <v>6.95878335496566E-2</v>
      </c>
      <c r="U238" s="186">
        <f t="shared" ca="1" si="89"/>
        <v>7.1675468556146302E-2</v>
      </c>
      <c r="V238" s="186">
        <f t="shared" ca="1" si="89"/>
        <v>7.382573261283068E-2</v>
      </c>
      <c r="W238" s="186">
        <f t="shared" ca="1" si="89"/>
        <v>7.6040504591215613E-2</v>
      </c>
      <c r="X238" s="186">
        <f t="shared" ca="1" si="89"/>
        <v>7.8321719728952077E-2</v>
      </c>
      <c r="Y238" s="186">
        <f t="shared" ca="1" si="89"/>
        <v>8.0671371320820653E-2</v>
      </c>
      <c r="Z238" s="186">
        <f t="shared" ca="1" si="89"/>
        <v>8.3091512460445272E-2</v>
      </c>
      <c r="AA238" s="186">
        <f t="shared" ca="1" si="89"/>
        <v>8.5584257834258631E-2</v>
      </c>
      <c r="AB238" s="186">
        <f t="shared" ca="1" si="89"/>
        <v>8.8151785569286392E-2</v>
      </c>
      <c r="AC238" s="186">
        <f t="shared" ca="1" si="89"/>
        <v>9.0796339136364992E-2</v>
      </c>
      <c r="AD238" s="186">
        <f t="shared" ca="1" si="89"/>
        <v>9.3520229310455949E-2</v>
      </c>
      <c r="AE238" s="186">
        <f t="shared" ca="1" si="89"/>
        <v>9.6325836189769615E-2</v>
      </c>
      <c r="AF238" s="186">
        <f t="shared" ca="1" si="89"/>
        <v>9.9215611275462745E-2</v>
      </c>
      <c r="AG238" s="186">
        <f t="shared" ca="1" si="89"/>
        <v>0.10219207961372662</v>
      </c>
      <c r="AH238" s="186">
        <f t="shared" ca="1" si="89"/>
        <v>0.10525784200213842</v>
      </c>
      <c r="AI238" s="186">
        <f t="shared" ca="1" si="89"/>
        <v>0.10841557726220256</v>
      </c>
      <c r="AJ238" s="186">
        <f t="shared" ca="1" si="89"/>
        <v>0.11166804458006865</v>
      </c>
      <c r="AK238" s="186">
        <f t="shared" ca="1" si="89"/>
        <v>0.11501808591747072</v>
      </c>
      <c r="AL238" s="186">
        <f t="shared" ca="1" si="89"/>
        <v>0.11846862849499484</v>
      </c>
      <c r="AM238" s="186">
        <f t="shared" ca="1" si="89"/>
        <v>0.1220226873498447</v>
      </c>
    </row>
    <row r="239" spans="3:39" ht="11.45" customHeight="1">
      <c r="J239" s="41"/>
      <c r="K239" s="41"/>
      <c r="L239" s="41"/>
      <c r="M239" s="186"/>
      <c r="N239" s="186"/>
      <c r="O239" s="186"/>
      <c r="P239" s="186"/>
      <c r="Q239" s="186"/>
      <c r="R239" s="186"/>
      <c r="S239" s="186"/>
      <c r="T239" s="186"/>
      <c r="U239" s="186"/>
      <c r="V239" s="186"/>
      <c r="W239" s="186"/>
      <c r="X239" s="186"/>
      <c r="Y239" s="186"/>
      <c r="Z239" s="186"/>
      <c r="AA239" s="186"/>
      <c r="AB239" s="186"/>
      <c r="AC239" s="186"/>
      <c r="AD239" s="186"/>
      <c r="AE239" s="186"/>
      <c r="AF239" s="186"/>
      <c r="AG239" s="186"/>
      <c r="AH239" s="186"/>
      <c r="AI239" s="186"/>
      <c r="AJ239" s="186"/>
      <c r="AK239" s="186"/>
      <c r="AL239" s="186"/>
      <c r="AM239" s="186"/>
    </row>
    <row r="240" spans="3:39" ht="11.45" customHeight="1">
      <c r="J240" s="41"/>
      <c r="K240" s="41"/>
      <c r="L240" s="41"/>
      <c r="M240" s="186"/>
      <c r="N240" s="186"/>
      <c r="O240" s="186"/>
      <c r="P240" s="186"/>
      <c r="Q240" s="186"/>
      <c r="R240" s="186"/>
      <c r="S240" s="186"/>
      <c r="T240" s="186"/>
      <c r="U240" s="186"/>
      <c r="V240" s="186"/>
      <c r="W240" s="186"/>
      <c r="X240" s="186"/>
      <c r="Y240" s="186"/>
      <c r="Z240" s="186"/>
      <c r="AA240" s="186"/>
      <c r="AB240" s="186"/>
      <c r="AC240" s="186"/>
      <c r="AD240" s="186"/>
      <c r="AE240" s="186"/>
      <c r="AF240" s="186"/>
      <c r="AG240" s="186"/>
      <c r="AH240" s="186"/>
      <c r="AI240" s="186"/>
      <c r="AJ240" s="186"/>
      <c r="AK240" s="186"/>
      <c r="AL240" s="186"/>
      <c r="AM240" s="186"/>
    </row>
    <row r="241" spans="3:41" ht="11.45" customHeight="1">
      <c r="C241" s="2" t="s">
        <v>1499</v>
      </c>
      <c r="E241" s="323"/>
      <c r="J241" s="41">
        <f ca="1">J218+J228+J237</f>
        <v>0</v>
      </c>
      <c r="K241" s="41">
        <f t="shared" ref="K241:AM241" ca="1" si="90">K218+K228+K237</f>
        <v>74426004.650824413</v>
      </c>
      <c r="L241" s="41">
        <f ca="1">L218+L228+L237</f>
        <v>146894632.80996835</v>
      </c>
      <c r="M241" s="41">
        <f t="shared" ca="1" si="90"/>
        <v>181084808.53733331</v>
      </c>
      <c r="N241" s="41">
        <f t="shared" ca="1" si="90"/>
        <v>197936816.84372208</v>
      </c>
      <c r="O241" s="41">
        <f t="shared" ca="1" si="90"/>
        <v>203832425.17177194</v>
      </c>
      <c r="P241" s="41">
        <f t="shared" ca="1" si="90"/>
        <v>209904901.74966326</v>
      </c>
      <c r="Q241" s="41">
        <f t="shared" ca="1" si="90"/>
        <v>216159552.62489131</v>
      </c>
      <c r="R241" s="41">
        <f t="shared" ca="1" si="90"/>
        <v>222601843.02637622</v>
      </c>
      <c r="S241" s="41">
        <f t="shared" ca="1" si="90"/>
        <v>229237402.13990566</v>
      </c>
      <c r="T241" s="41">
        <f t="shared" ca="1" si="90"/>
        <v>236072028.02684098</v>
      </c>
      <c r="U241" s="41">
        <f t="shared" ca="1" si="90"/>
        <v>243111692.69038436</v>
      </c>
      <c r="V241" s="41">
        <f t="shared" ca="1" si="90"/>
        <v>250362547.29383406</v>
      </c>
      <c r="W241" s="41">
        <f t="shared" ca="1" si="90"/>
        <v>257830927.53538728</v>
      </c>
      <c r="X241" s="41">
        <f t="shared" ca="1" si="90"/>
        <v>265523359.18418708</v>
      </c>
      <c r="Y241" s="41">
        <f t="shared" ca="1" si="90"/>
        <v>273446563.7824508</v>
      </c>
      <c r="Z241" s="41">
        <f t="shared" ca="1" si="90"/>
        <v>281607464.51866257</v>
      </c>
      <c r="AA241" s="41">
        <f t="shared" ca="1" si="90"/>
        <v>290013192.27696049</v>
      </c>
      <c r="AB241" s="41">
        <f t="shared" ca="1" si="90"/>
        <v>298671091.8680076</v>
      </c>
      <c r="AC241" s="41">
        <f t="shared" ca="1" si="90"/>
        <v>307588728.44678599</v>
      </c>
      <c r="AD241" s="41">
        <f t="shared" ca="1" si="90"/>
        <v>316773894.12292767</v>
      </c>
      <c r="AE241" s="41">
        <f t="shared" ca="1" si="90"/>
        <v>326234614.76935369</v>
      </c>
      <c r="AF241" s="41">
        <f t="shared" ca="1" si="90"/>
        <v>335979157.03517252</v>
      </c>
      <c r="AG241" s="41">
        <f t="shared" ca="1" si="90"/>
        <v>346016035.56896585</v>
      </c>
      <c r="AH241" s="41">
        <f t="shared" ca="1" si="90"/>
        <v>356354020.45877296</v>
      </c>
      <c r="AI241" s="41">
        <f t="shared" ca="1" si="90"/>
        <v>367002144.89527434</v>
      </c>
      <c r="AJ241" s="41">
        <f t="shared" ca="1" si="90"/>
        <v>377969713.06487077</v>
      </c>
      <c r="AK241" s="41">
        <f t="shared" ca="1" si="90"/>
        <v>389266308.27955496</v>
      </c>
      <c r="AL241" s="41">
        <f t="shared" ca="1" si="90"/>
        <v>400901801.35067981</v>
      </c>
      <c r="AM241" s="41">
        <f t="shared" ca="1" si="90"/>
        <v>412886359.21393842</v>
      </c>
    </row>
    <row r="242" spans="3:41" ht="9.6" customHeight="1">
      <c r="C242" s="2" t="s">
        <v>1500</v>
      </c>
      <c r="J242" s="42">
        <f ca="1">J222+J229</f>
        <v>0</v>
      </c>
      <c r="K242" s="42">
        <f ca="1">K222+K229</f>
        <v>69706554.15088658</v>
      </c>
      <c r="L242" s="42">
        <f ca="1">L222+L229</f>
        <v>89729142.688956589</v>
      </c>
      <c r="M242" s="42">
        <f ca="1">M222+M229</f>
        <v>108022935.70705751</v>
      </c>
      <c r="N242" s="42">
        <f t="shared" ref="N242:AM242" ca="1" si="91">N222+N229</f>
        <v>111242153.79973923</v>
      </c>
      <c r="O242" s="42">
        <f t="shared" ca="1" si="91"/>
        <v>114557948.43520142</v>
      </c>
      <c r="P242" s="42">
        <f t="shared" ca="1" si="91"/>
        <v>117973216.90972745</v>
      </c>
      <c r="Q242" s="42">
        <f t="shared" ca="1" si="91"/>
        <v>121490943.43848927</v>
      </c>
      <c r="R242" s="42">
        <f t="shared" ca="1" si="91"/>
        <v>125114201.76311396</v>
      </c>
      <c r="S242" s="42">
        <f t="shared" ca="1" si="91"/>
        <v>128846157.83747739</v>
      </c>
      <c r="T242" s="42">
        <f t="shared" ca="1" si="91"/>
        <v>132690072.5940717</v>
      </c>
      <c r="U242" s="42">
        <f t="shared" ca="1" si="91"/>
        <v>136649304.79336387</v>
      </c>
      <c r="V242" s="42">
        <f t="shared" ca="1" si="91"/>
        <v>140727313.95863476</v>
      </c>
      <c r="W242" s="42">
        <f t="shared" ca="1" si="91"/>
        <v>144927663.39886385</v>
      </c>
      <c r="X242" s="42">
        <f t="shared" ca="1" si="91"/>
        <v>149254023.32229975</v>
      </c>
      <c r="Y242" s="42">
        <f t="shared" ca="1" si="91"/>
        <v>153710174.04343876</v>
      </c>
      <c r="Z242" s="42">
        <f t="shared" ca="1" si="91"/>
        <v>158300009.28621194</v>
      </c>
      <c r="AA242" s="42">
        <f t="shared" ca="1" si="91"/>
        <v>159584691.12375587</v>
      </c>
      <c r="AB242" s="42">
        <f t="shared" ca="1" si="91"/>
        <v>160904697.32500657</v>
      </c>
      <c r="AC242" s="42">
        <f t="shared" ca="1" si="91"/>
        <v>162264303.71229476</v>
      </c>
      <c r="AD242" s="42">
        <f t="shared" ca="1" si="91"/>
        <v>163664698.29120159</v>
      </c>
      <c r="AE242" s="42">
        <f t="shared" ca="1" si="91"/>
        <v>165107104.70747563</v>
      </c>
      <c r="AF242" s="42">
        <f t="shared" ca="1" si="91"/>
        <v>166592783.31623793</v>
      </c>
      <c r="AG242" s="42">
        <f t="shared" ca="1" si="91"/>
        <v>168123032.28326306</v>
      </c>
      <c r="AH242" s="42">
        <f t="shared" ca="1" si="91"/>
        <v>169699188.71929896</v>
      </c>
      <c r="AI242" s="42">
        <f t="shared" ca="1" si="91"/>
        <v>171322629.84841591</v>
      </c>
      <c r="AJ242" s="42">
        <f t="shared" ca="1" si="91"/>
        <v>172994774.21140641</v>
      </c>
      <c r="AK242" s="42">
        <f t="shared" ca="1" si="91"/>
        <v>174717082.90528661</v>
      </c>
      <c r="AL242" s="42">
        <f t="shared" ca="1" si="91"/>
        <v>176491060.85998318</v>
      </c>
      <c r="AM242" s="42">
        <f t="shared" ca="1" si="91"/>
        <v>178318258.15332067</v>
      </c>
    </row>
    <row r="243" spans="3:41">
      <c r="C243" s="124" t="s">
        <v>1498</v>
      </c>
      <c r="D243" s="124"/>
      <c r="E243" s="132">
        <f>$E$151</f>
        <v>0</v>
      </c>
      <c r="F243" s="957">
        <f ca="1">SUM(J243:AM243)*Sens_GasPrice</f>
        <v>12245491202.22703</v>
      </c>
      <c r="G243" s="124"/>
      <c r="H243" s="124"/>
      <c r="I243" s="124"/>
      <c r="J243" s="957">
        <f ca="1">J223+J231+J237</f>
        <v>0</v>
      </c>
      <c r="K243" s="957">
        <f ca="1">K223+K231+K237</f>
        <v>144780637.06971791</v>
      </c>
      <c r="L243" s="957">
        <f t="shared" ref="L243:AM243" ca="1" si="92">L223+L231+L237</f>
        <v>237693732.04710868</v>
      </c>
      <c r="M243" s="957">
        <f t="shared" ca="1" si="92"/>
        <v>290365035.91105747</v>
      </c>
      <c r="N243" s="957">
        <f t="shared" ca="1" si="92"/>
        <v>310490498.42123908</v>
      </c>
      <c r="O243" s="957">
        <f t="shared" ca="1" si="92"/>
        <v>319701901.38475114</v>
      </c>
      <c r="P243" s="957">
        <f t="shared" ca="1" si="92"/>
        <v>329189646.43716848</v>
      </c>
      <c r="Q243" s="957">
        <f t="shared" ca="1" si="92"/>
        <v>338962023.84115833</v>
      </c>
      <c r="R243" s="957">
        <f t="shared" ca="1" si="92"/>
        <v>349027572.56726795</v>
      </c>
      <c r="S243" s="957">
        <f t="shared" ca="1" si="92"/>
        <v>359395087.75516087</v>
      </c>
      <c r="T243" s="957">
        <f t="shared" ca="1" si="92"/>
        <v>370073628.3986904</v>
      </c>
      <c r="U243" s="957">
        <f t="shared" ca="1" si="92"/>
        <v>381072525.26152593</v>
      </c>
      <c r="V243" s="957">
        <f t="shared" ca="1" si="92"/>
        <v>392401389.03024656</v>
      </c>
      <c r="W243" s="957">
        <f t="shared" ca="1" si="92"/>
        <v>404070118.71202892</v>
      </c>
      <c r="X243" s="957">
        <f t="shared" ca="1" si="92"/>
        <v>416088910.28426456</v>
      </c>
      <c r="Y243" s="957">
        <f t="shared" ca="1" si="92"/>
        <v>428468265.60366732</v>
      </c>
      <c r="Z243" s="957">
        <f t="shared" ca="1" si="92"/>
        <v>441219001.58265227</v>
      </c>
      <c r="AA243" s="957">
        <f t="shared" ca="1" si="92"/>
        <v>450909411.1784941</v>
      </c>
      <c r="AB243" s="957">
        <f t="shared" ca="1" si="92"/>
        <v>460887316.97079194</v>
      </c>
      <c r="AC243" s="957">
        <f t="shared" ca="1" si="92"/>
        <v>471164559.93685848</v>
      </c>
      <c r="AD243" s="957">
        <f t="shared" ca="1" si="92"/>
        <v>481750120.19190699</v>
      </c>
      <c r="AE243" s="957">
        <f t="shared" ca="1" si="92"/>
        <v>492653247.25460708</v>
      </c>
      <c r="AF243" s="957">
        <f t="shared" ca="1" si="92"/>
        <v>503883468.12918818</v>
      </c>
      <c r="AG243" s="957">
        <f t="shared" ca="1" si="92"/>
        <v>515450595.63000667</v>
      </c>
      <c r="AH243" s="957">
        <f t="shared" ca="1" si="92"/>
        <v>527364736.95584971</v>
      </c>
      <c r="AI243" s="957">
        <f t="shared" ca="1" si="92"/>
        <v>539636302.52146804</v>
      </c>
      <c r="AJ243" s="957">
        <f t="shared" ca="1" si="92"/>
        <v>552276015.05405498</v>
      </c>
      <c r="AK243" s="957">
        <f t="shared" ca="1" si="92"/>
        <v>565294918.96261942</v>
      </c>
      <c r="AL243" s="957">
        <f t="shared" ca="1" si="92"/>
        <v>578704389.98844075</v>
      </c>
      <c r="AM243" s="957">
        <f t="shared" ca="1" si="92"/>
        <v>592516145.14503682</v>
      </c>
    </row>
    <row r="244" spans="3:41">
      <c r="C244" s="489"/>
      <c r="D244" s="489"/>
      <c r="E244" s="577"/>
      <c r="F244" s="53"/>
      <c r="G244" s="489"/>
      <c r="H244" s="489"/>
      <c r="I244" s="489"/>
      <c r="J244" s="53"/>
      <c r="K244" s="53"/>
      <c r="L244" s="53"/>
      <c r="M244" s="53"/>
      <c r="N244" s="53"/>
      <c r="O244" s="53"/>
      <c r="P244" s="53"/>
      <c r="Q244" s="53"/>
      <c r="R244" s="53"/>
      <c r="S244" s="53"/>
      <c r="T244" s="53"/>
      <c r="U244" s="53"/>
      <c r="V244" s="53"/>
      <c r="W244" s="53"/>
      <c r="X244" s="53"/>
      <c r="Y244" s="53"/>
      <c r="Z244" s="53"/>
      <c r="AA244" s="53"/>
      <c r="AB244" s="53"/>
      <c r="AC244" s="53"/>
      <c r="AD244" s="53"/>
      <c r="AE244" s="53"/>
      <c r="AF244" s="53"/>
      <c r="AG244" s="53"/>
      <c r="AH244" s="53"/>
      <c r="AI244" s="53"/>
      <c r="AJ244" s="53"/>
      <c r="AK244" s="53"/>
      <c r="AL244" s="53"/>
      <c r="AM244" s="53"/>
    </row>
    <row r="245" spans="3:41">
      <c r="D245" s="489"/>
      <c r="E245" s="577"/>
      <c r="F245" s="53"/>
      <c r="G245" s="489"/>
      <c r="H245" s="489"/>
      <c r="I245" s="489"/>
      <c r="J245" s="53"/>
      <c r="K245" s="53"/>
      <c r="L245" s="53"/>
      <c r="M245" s="53"/>
      <c r="N245" s="53"/>
      <c r="O245" s="53"/>
      <c r="P245" s="53"/>
      <c r="Q245" s="53"/>
      <c r="R245" s="53"/>
      <c r="S245" s="53"/>
      <c r="T245" s="53"/>
      <c r="U245" s="53"/>
      <c r="V245" s="53"/>
      <c r="W245" s="53"/>
      <c r="X245" s="53"/>
      <c r="Y245" s="53"/>
      <c r="Z245" s="53"/>
      <c r="AA245" s="53"/>
      <c r="AB245" s="53"/>
      <c r="AC245" s="53"/>
      <c r="AD245" s="53"/>
      <c r="AE245" s="53"/>
      <c r="AF245" s="53"/>
      <c r="AG245" s="53"/>
      <c r="AH245" s="53"/>
      <c r="AI245" s="53"/>
      <c r="AJ245" s="53"/>
      <c r="AK245" s="53"/>
      <c r="AL245" s="53"/>
      <c r="AM245" s="53"/>
    </row>
    <row r="246" spans="3:41">
      <c r="C246" s="2" t="s">
        <v>1557</v>
      </c>
      <c r="D246" s="489"/>
      <c r="E246" s="1505">
        <f>'Sens WIP'!D15</f>
        <v>0</v>
      </c>
      <c r="F246" s="53"/>
      <c r="G246" s="489"/>
      <c r="H246" s="489"/>
      <c r="I246" s="489"/>
      <c r="J246" s="53"/>
      <c r="K246" s="53"/>
      <c r="L246" s="53"/>
      <c r="M246" s="53"/>
      <c r="N246" s="53"/>
      <c r="O246" s="53"/>
      <c r="P246" s="53"/>
      <c r="Q246" s="53"/>
      <c r="R246" s="53"/>
      <c r="S246" s="53"/>
      <c r="T246" s="53"/>
      <c r="U246" s="53"/>
      <c r="V246" s="53"/>
      <c r="W246" s="53"/>
      <c r="X246" s="53"/>
      <c r="Y246" s="53"/>
      <c r="Z246" s="53"/>
      <c r="AA246" s="53"/>
      <c r="AB246" s="53"/>
      <c r="AC246" s="53"/>
      <c r="AD246" s="53"/>
      <c r="AE246" s="53"/>
      <c r="AF246" s="53"/>
      <c r="AG246" s="53"/>
      <c r="AH246" s="53"/>
      <c r="AI246" s="53"/>
      <c r="AJ246" s="53"/>
      <c r="AK246" s="53"/>
      <c r="AL246" s="53"/>
      <c r="AM246" s="53"/>
    </row>
    <row r="247" spans="3:41">
      <c r="C247" s="2" t="s">
        <v>1558</v>
      </c>
      <c r="D247" s="489"/>
      <c r="E247" s="577"/>
      <c r="F247" s="53"/>
      <c r="G247" s="489"/>
      <c r="H247" s="489"/>
      <c r="I247" s="489"/>
      <c r="J247" s="53">
        <f ca="1">J243</f>
        <v>0</v>
      </c>
      <c r="K247" s="53">
        <f ca="1">K243</f>
        <v>144780637.06971791</v>
      </c>
      <c r="L247" s="53">
        <f ca="1">L243</f>
        <v>237693732.04710868</v>
      </c>
      <c r="M247" s="53">
        <f ca="1">M243</f>
        <v>290365035.91105747</v>
      </c>
      <c r="N247" s="53">
        <f t="shared" ref="N247:AM247" ca="1" si="93">N243</f>
        <v>310490498.42123908</v>
      </c>
      <c r="O247" s="53">
        <f t="shared" ca="1" si="93"/>
        <v>319701901.38475114</v>
      </c>
      <c r="P247" s="53">
        <f t="shared" ca="1" si="93"/>
        <v>329189646.43716848</v>
      </c>
      <c r="Q247" s="53">
        <f t="shared" ca="1" si="93"/>
        <v>338962023.84115833</v>
      </c>
      <c r="R247" s="53">
        <f t="shared" ca="1" si="93"/>
        <v>349027572.56726795</v>
      </c>
      <c r="S247" s="53">
        <f t="shared" ca="1" si="93"/>
        <v>359395087.75516087</v>
      </c>
      <c r="T247" s="53">
        <f t="shared" ca="1" si="93"/>
        <v>370073628.3986904</v>
      </c>
      <c r="U247" s="53">
        <f t="shared" ca="1" si="93"/>
        <v>381072525.26152593</v>
      </c>
      <c r="V247" s="53">
        <f t="shared" ca="1" si="93"/>
        <v>392401389.03024656</v>
      </c>
      <c r="W247" s="53">
        <f t="shared" ca="1" si="93"/>
        <v>404070118.71202892</v>
      </c>
      <c r="X247" s="53">
        <f t="shared" ca="1" si="93"/>
        <v>416088910.28426456</v>
      </c>
      <c r="Y247" s="53">
        <f t="shared" ca="1" si="93"/>
        <v>428468265.60366732</v>
      </c>
      <c r="Z247" s="53">
        <f t="shared" ca="1" si="93"/>
        <v>441219001.58265227</v>
      </c>
      <c r="AA247" s="53">
        <f t="shared" ca="1" si="93"/>
        <v>450909411.1784941</v>
      </c>
      <c r="AB247" s="53">
        <f t="shared" ca="1" si="93"/>
        <v>460887316.97079194</v>
      </c>
      <c r="AC247" s="53">
        <f t="shared" ca="1" si="93"/>
        <v>471164559.93685848</v>
      </c>
      <c r="AD247" s="53">
        <f t="shared" ca="1" si="93"/>
        <v>481750120.19190699</v>
      </c>
      <c r="AE247" s="53">
        <f t="shared" ca="1" si="93"/>
        <v>492653247.25460708</v>
      </c>
      <c r="AF247" s="53">
        <f t="shared" ca="1" si="93"/>
        <v>503883468.12918818</v>
      </c>
      <c r="AG247" s="53">
        <f t="shared" ca="1" si="93"/>
        <v>515450595.63000667</v>
      </c>
      <c r="AH247" s="53">
        <f t="shared" ca="1" si="93"/>
        <v>527364736.95584971</v>
      </c>
      <c r="AI247" s="53">
        <f t="shared" ca="1" si="93"/>
        <v>539636302.52146804</v>
      </c>
      <c r="AJ247" s="53">
        <f t="shared" ca="1" si="93"/>
        <v>552276015.05405498</v>
      </c>
      <c r="AK247" s="53">
        <f t="shared" ca="1" si="93"/>
        <v>565294918.96261942</v>
      </c>
      <c r="AL247" s="53">
        <f t="shared" ca="1" si="93"/>
        <v>578704389.98844075</v>
      </c>
      <c r="AM247" s="53">
        <f t="shared" ca="1" si="93"/>
        <v>592516145.14503682</v>
      </c>
    </row>
    <row r="248" spans="3:41">
      <c r="C248" s="2" t="s">
        <v>1559</v>
      </c>
      <c r="D248" s="489"/>
      <c r="E248" s="577"/>
      <c r="F248" s="53"/>
      <c r="G248" s="489"/>
      <c r="H248" s="489"/>
      <c r="I248" s="489"/>
      <c r="J248" s="53">
        <f t="shared" ref="J248:AM248" ca="1" si="94">J247*(1+$E$246)</f>
        <v>0</v>
      </c>
      <c r="K248" s="53">
        <f t="shared" ca="1" si="94"/>
        <v>144780637.06971791</v>
      </c>
      <c r="L248" s="53">
        <f t="shared" ca="1" si="94"/>
        <v>237693732.04710868</v>
      </c>
      <c r="M248" s="53">
        <f t="shared" ca="1" si="94"/>
        <v>290365035.91105747</v>
      </c>
      <c r="N248" s="53">
        <f t="shared" ca="1" si="94"/>
        <v>310490498.42123908</v>
      </c>
      <c r="O248" s="53">
        <f t="shared" ca="1" si="94"/>
        <v>319701901.38475114</v>
      </c>
      <c r="P248" s="53">
        <f t="shared" ca="1" si="94"/>
        <v>329189646.43716848</v>
      </c>
      <c r="Q248" s="53">
        <f t="shared" ca="1" si="94"/>
        <v>338962023.84115833</v>
      </c>
      <c r="R248" s="53">
        <f t="shared" ca="1" si="94"/>
        <v>349027572.56726795</v>
      </c>
      <c r="S248" s="53">
        <f t="shared" ca="1" si="94"/>
        <v>359395087.75516087</v>
      </c>
      <c r="T248" s="53">
        <f t="shared" ca="1" si="94"/>
        <v>370073628.3986904</v>
      </c>
      <c r="U248" s="53">
        <f t="shared" ca="1" si="94"/>
        <v>381072525.26152593</v>
      </c>
      <c r="V248" s="53">
        <f t="shared" ca="1" si="94"/>
        <v>392401389.03024656</v>
      </c>
      <c r="W248" s="53">
        <f t="shared" ca="1" si="94"/>
        <v>404070118.71202892</v>
      </c>
      <c r="X248" s="53">
        <f t="shared" ca="1" si="94"/>
        <v>416088910.28426456</v>
      </c>
      <c r="Y248" s="53">
        <f t="shared" ca="1" si="94"/>
        <v>428468265.60366732</v>
      </c>
      <c r="Z248" s="53">
        <f t="shared" ca="1" si="94"/>
        <v>441219001.58265227</v>
      </c>
      <c r="AA248" s="53">
        <f t="shared" ca="1" si="94"/>
        <v>450909411.1784941</v>
      </c>
      <c r="AB248" s="53">
        <f t="shared" ca="1" si="94"/>
        <v>460887316.97079194</v>
      </c>
      <c r="AC248" s="53">
        <f t="shared" ca="1" si="94"/>
        <v>471164559.93685848</v>
      </c>
      <c r="AD248" s="53">
        <f t="shared" ca="1" si="94"/>
        <v>481750120.19190699</v>
      </c>
      <c r="AE248" s="53">
        <f t="shared" ca="1" si="94"/>
        <v>492653247.25460708</v>
      </c>
      <c r="AF248" s="53">
        <f t="shared" ca="1" si="94"/>
        <v>503883468.12918818</v>
      </c>
      <c r="AG248" s="53">
        <f t="shared" ca="1" si="94"/>
        <v>515450595.63000667</v>
      </c>
      <c r="AH248" s="53">
        <f t="shared" ca="1" si="94"/>
        <v>527364736.95584971</v>
      </c>
      <c r="AI248" s="53">
        <f t="shared" ca="1" si="94"/>
        <v>539636302.52146804</v>
      </c>
      <c r="AJ248" s="53">
        <f t="shared" ca="1" si="94"/>
        <v>552276015.05405498</v>
      </c>
      <c r="AK248" s="53">
        <f t="shared" ca="1" si="94"/>
        <v>565294918.96261942</v>
      </c>
      <c r="AL248" s="53">
        <f t="shared" ca="1" si="94"/>
        <v>578704389.98844075</v>
      </c>
      <c r="AM248" s="53">
        <f t="shared" ca="1" si="94"/>
        <v>592516145.14503682</v>
      </c>
    </row>
    <row r="249" spans="3:41">
      <c r="C249" s="489"/>
      <c r="D249" s="489"/>
      <c r="E249" s="577"/>
      <c r="F249" s="53"/>
      <c r="G249" s="489"/>
      <c r="H249" s="489"/>
      <c r="I249" s="489"/>
      <c r="J249" s="53"/>
      <c r="K249" s="53"/>
      <c r="L249" s="53"/>
      <c r="M249" s="53"/>
      <c r="N249" s="53"/>
      <c r="O249" s="53"/>
      <c r="P249" s="53"/>
      <c r="Q249" s="53"/>
      <c r="R249" s="53"/>
      <c r="S249" s="53"/>
      <c r="T249" s="53"/>
      <c r="U249" s="53"/>
      <c r="V249" s="53"/>
      <c r="W249" s="53"/>
      <c r="X249" s="53"/>
      <c r="Y249" s="53"/>
      <c r="Z249" s="53"/>
      <c r="AA249" s="53"/>
      <c r="AB249" s="53"/>
      <c r="AC249" s="53"/>
      <c r="AD249" s="53"/>
      <c r="AE249" s="53"/>
      <c r="AF249" s="53"/>
      <c r="AG249" s="53"/>
      <c r="AH249" s="53"/>
      <c r="AI249" s="53"/>
      <c r="AJ249" s="53"/>
      <c r="AK249" s="53"/>
      <c r="AL249" s="53"/>
      <c r="AM249" s="53"/>
    </row>
    <row r="250" spans="3:41">
      <c r="C250" s="489"/>
      <c r="D250" s="489"/>
      <c r="E250" s="577"/>
      <c r="F250" s="53"/>
      <c r="G250" s="489"/>
      <c r="H250" s="489"/>
      <c r="I250" s="489"/>
      <c r="J250" s="53"/>
      <c r="K250" s="53"/>
      <c r="L250" s="53"/>
      <c r="M250" s="53"/>
      <c r="N250" s="53"/>
      <c r="O250" s="53"/>
      <c r="P250" s="53"/>
      <c r="Q250" s="53"/>
      <c r="R250" s="53"/>
      <c r="S250" s="53"/>
      <c r="T250" s="53"/>
      <c r="U250" s="53"/>
      <c r="V250" s="53"/>
      <c r="W250" s="53"/>
      <c r="X250" s="53"/>
      <c r="Y250" s="53"/>
      <c r="Z250" s="53"/>
      <c r="AA250" s="53"/>
      <c r="AB250" s="53"/>
      <c r="AC250" s="53"/>
      <c r="AD250" s="53"/>
      <c r="AE250" s="53"/>
      <c r="AF250" s="53"/>
      <c r="AG250" s="53"/>
      <c r="AH250" s="53"/>
      <c r="AI250" s="53"/>
      <c r="AJ250" s="53"/>
      <c r="AK250" s="53"/>
      <c r="AL250" s="53"/>
      <c r="AM250" s="53"/>
    </row>
    <row r="251" spans="3:41">
      <c r="C251" s="2" t="s">
        <v>1555</v>
      </c>
      <c r="E251" s="15"/>
      <c r="F251" s="41"/>
      <c r="J251" s="41"/>
      <c r="K251" s="41"/>
      <c r="L251" s="41">
        <f t="shared" ref="L251:AM251" ca="1" si="95">L241/L192</f>
        <v>120.52892948510224</v>
      </c>
      <c r="M251" s="41">
        <f t="shared" ca="1" si="95"/>
        <v>127.07705862269005</v>
      </c>
      <c r="N251" s="41">
        <f t="shared" ca="1" si="95"/>
        <v>138.90302936401548</v>
      </c>
      <c r="O251" s="41">
        <f t="shared" ca="1" si="95"/>
        <v>143.04029836615575</v>
      </c>
      <c r="P251" s="41">
        <f t="shared" ca="1" si="95"/>
        <v>147.30168543836018</v>
      </c>
      <c r="Q251" s="41">
        <f t="shared" ca="1" si="95"/>
        <v>151.69091412273073</v>
      </c>
      <c r="R251" s="41">
        <f t="shared" ca="1" si="95"/>
        <v>156.21181966763243</v>
      </c>
      <c r="S251" s="41">
        <f t="shared" ca="1" si="95"/>
        <v>160.86835237888116</v>
      </c>
      <c r="T251" s="41">
        <f t="shared" ca="1" si="95"/>
        <v>165.66458107146735</v>
      </c>
      <c r="U251" s="41">
        <f t="shared" ca="1" si="95"/>
        <v>170.60469662483112</v>
      </c>
      <c r="V251" s="41">
        <f t="shared" ca="1" si="95"/>
        <v>175.69301564479582</v>
      </c>
      <c r="W251" s="41">
        <f t="shared" ca="1" si="95"/>
        <v>180.9339842353595</v>
      </c>
      <c r="X251" s="41">
        <f t="shared" ca="1" si="95"/>
        <v>186.33218188364006</v>
      </c>
      <c r="Y251" s="41">
        <f t="shared" ca="1" si="95"/>
        <v>191.89232546136898</v>
      </c>
      <c r="Z251" s="41">
        <f t="shared" ca="1" si="95"/>
        <v>197.61927334642988</v>
      </c>
      <c r="AA251" s="41">
        <f t="shared" ca="1" si="95"/>
        <v>203.51802966804246</v>
      </c>
      <c r="AB251" s="41">
        <f t="shared" ca="1" si="95"/>
        <v>209.59374867930359</v>
      </c>
      <c r="AC251" s="41">
        <f t="shared" ca="1" si="95"/>
        <v>215.85173926090243</v>
      </c>
      <c r="AD251" s="41">
        <f t="shared" ca="1" si="95"/>
        <v>222.29746955994923</v>
      </c>
      <c r="AE251" s="41">
        <f t="shared" ca="1" si="95"/>
        <v>228.93657176796751</v>
      </c>
      <c r="AF251" s="41">
        <f t="shared" ca="1" si="95"/>
        <v>235.77484704222633</v>
      </c>
      <c r="AG251" s="41">
        <f t="shared" ca="1" si="95"/>
        <v>242.81827057471287</v>
      </c>
      <c r="AH251" s="41">
        <f t="shared" ca="1" si="95"/>
        <v>250.072996813174</v>
      </c>
      <c r="AI251" s="41">
        <f t="shared" ca="1" si="95"/>
        <v>257.545364838789</v>
      </c>
      <c r="AJ251" s="41">
        <f t="shared" ca="1" si="95"/>
        <v>265.24190390517248</v>
      </c>
      <c r="AK251" s="41">
        <f t="shared" ca="1" si="95"/>
        <v>273.16933914354735</v>
      </c>
      <c r="AL251" s="41">
        <f t="shared" ca="1" si="95"/>
        <v>281.33459743907355</v>
      </c>
      <c r="AM251" s="41">
        <f t="shared" ca="1" si="95"/>
        <v>289.74481348346558</v>
      </c>
    </row>
    <row r="252" spans="3:41">
      <c r="C252" s="2" t="s">
        <v>1556</v>
      </c>
      <c r="L252" s="188">
        <f ca="1">IFERROR(L242/L195,0)</f>
        <v>110.43586792486964</v>
      </c>
      <c r="M252" s="188">
        <f ca="1">IFERROR(M242/M195,0)</f>
        <v>113.70835337585001</v>
      </c>
      <c r="N252" s="188">
        <f t="shared" ref="N252:AM252" ca="1" si="96">IFERROR(N242/N195,0)</f>
        <v>117.0970039997255</v>
      </c>
      <c r="O252" s="188">
        <f t="shared" ca="1" si="96"/>
        <v>120.58731414231728</v>
      </c>
      <c r="P252" s="188">
        <f t="shared" ca="1" si="96"/>
        <v>124.1823335891868</v>
      </c>
      <c r="Q252" s="188">
        <f t="shared" ca="1" si="96"/>
        <v>127.88520361946239</v>
      </c>
      <c r="R252" s="188">
        <f t="shared" ca="1" si="96"/>
        <v>131.69915975064629</v>
      </c>
      <c r="S252" s="188">
        <f t="shared" ca="1" si="96"/>
        <v>135.62753456576567</v>
      </c>
      <c r="T252" s="188">
        <f t="shared" ca="1" si="96"/>
        <v>139.67376062533864</v>
      </c>
      <c r="U252" s="188">
        <f t="shared" ca="1" si="96"/>
        <v>143.8413734666988</v>
      </c>
      <c r="V252" s="188">
        <f t="shared" ca="1" si="96"/>
        <v>148.13401469329975</v>
      </c>
      <c r="W252" s="188">
        <f t="shared" ca="1" si="96"/>
        <v>152.55543515669879</v>
      </c>
      <c r="X252" s="188">
        <f t="shared" ca="1" si="96"/>
        <v>157.10949823399974</v>
      </c>
      <c r="Y252" s="188">
        <f t="shared" ca="1" si="96"/>
        <v>161.80018320361975</v>
      </c>
      <c r="Z252" s="188">
        <f t="shared" ca="1" si="96"/>
        <v>166.63158872232836</v>
      </c>
      <c r="AA252" s="188">
        <f t="shared" ca="1" si="96"/>
        <v>167.98388539342724</v>
      </c>
      <c r="AB252" s="188">
        <f t="shared" ca="1" si="96"/>
        <v>169.37336560527007</v>
      </c>
      <c r="AC252" s="188">
        <f t="shared" ca="1" si="96"/>
        <v>170.80453022346816</v>
      </c>
      <c r="AD252" s="188">
        <f t="shared" ca="1" si="96"/>
        <v>172.27862978021221</v>
      </c>
      <c r="AE252" s="188">
        <f t="shared" ca="1" si="96"/>
        <v>173.79695232365856</v>
      </c>
      <c r="AF252" s="188">
        <f t="shared" ca="1" si="96"/>
        <v>175.36082454340834</v>
      </c>
      <c r="AG252" s="188">
        <f t="shared" ca="1" si="96"/>
        <v>176.97161292975059</v>
      </c>
      <c r="AH252" s="188">
        <f t="shared" ca="1" si="96"/>
        <v>178.63072496768311</v>
      </c>
      <c r="AI252" s="188">
        <f t="shared" ca="1" si="96"/>
        <v>180.33961036675359</v>
      </c>
      <c r="AJ252" s="188">
        <f t="shared" ca="1" si="96"/>
        <v>182.09976232779621</v>
      </c>
      <c r="AK252" s="188">
        <f t="shared" ca="1" si="96"/>
        <v>183.91271884767011</v>
      </c>
      <c r="AL252" s="188">
        <f t="shared" ca="1" si="96"/>
        <v>185.78006406314017</v>
      </c>
      <c r="AM252" s="188">
        <f t="shared" ca="1" si="96"/>
        <v>187.7034296350744</v>
      </c>
      <c r="AO252" s="590"/>
    </row>
    <row r="253" spans="3:41">
      <c r="M253" s="216"/>
      <c r="N253" s="216"/>
      <c r="O253" s="216"/>
      <c r="P253" s="216"/>
      <c r="Q253" s="216"/>
      <c r="R253" s="216"/>
      <c r="S253" s="216"/>
      <c r="T253" s="216"/>
      <c r="U253" s="216"/>
      <c r="V253" s="216"/>
      <c r="W253" s="216"/>
      <c r="X253" s="216"/>
      <c r="Y253" s="216"/>
      <c r="Z253" s="216"/>
      <c r="AA253" s="216"/>
      <c r="AB253" s="216"/>
      <c r="AC253" s="216"/>
      <c r="AD253" s="216"/>
      <c r="AE253" s="216"/>
      <c r="AF253" s="216"/>
      <c r="AG253" s="216"/>
      <c r="AH253" s="216"/>
      <c r="AI253" s="216"/>
      <c r="AJ253" s="216"/>
      <c r="AK253" s="216"/>
      <c r="AL253" s="216"/>
      <c r="AM253" s="216"/>
      <c r="AO253" s="590"/>
    </row>
    <row r="254" spans="3:41">
      <c r="M254" s="216"/>
      <c r="N254" s="216"/>
      <c r="O254" s="216"/>
      <c r="P254" s="216"/>
      <c r="Q254" s="216"/>
      <c r="R254" s="216"/>
      <c r="S254" s="216"/>
      <c r="T254" s="216"/>
      <c r="U254" s="216"/>
      <c r="V254" s="216"/>
      <c r="W254" s="216"/>
      <c r="X254" s="216"/>
      <c r="Y254" s="216"/>
      <c r="Z254" s="216"/>
      <c r="AA254" s="216"/>
      <c r="AB254" s="216"/>
      <c r="AC254" s="216"/>
      <c r="AD254" s="216"/>
      <c r="AE254" s="216"/>
      <c r="AF254" s="216"/>
      <c r="AG254" s="216"/>
      <c r="AH254" s="216"/>
      <c r="AI254" s="216"/>
      <c r="AJ254" s="216"/>
      <c r="AK254" s="216"/>
      <c r="AL254" s="216"/>
      <c r="AM254" s="216"/>
      <c r="AO254" s="590"/>
    </row>
    <row r="255" spans="3:41">
      <c r="M255" s="216"/>
      <c r="N255" s="216"/>
      <c r="O255" s="216"/>
      <c r="P255" s="216"/>
      <c r="Q255" s="216"/>
      <c r="R255" s="216"/>
      <c r="S255" s="216"/>
      <c r="T255" s="216"/>
      <c r="U255" s="216"/>
      <c r="V255" s="216"/>
      <c r="W255" s="216"/>
      <c r="X255" s="216"/>
      <c r="Y255" s="216"/>
      <c r="Z255" s="216"/>
      <c r="AA255" s="216"/>
      <c r="AB255" s="216"/>
      <c r="AC255" s="216"/>
      <c r="AD255" s="216"/>
      <c r="AE255" s="216"/>
      <c r="AF255" s="216"/>
      <c r="AG255" s="216"/>
      <c r="AH255" s="216"/>
      <c r="AI255" s="216"/>
      <c r="AJ255" s="216"/>
      <c r="AK255" s="216"/>
      <c r="AL255" s="216"/>
      <c r="AM255" s="216"/>
      <c r="AO255" s="590"/>
    </row>
    <row r="256" spans="3:41">
      <c r="C256" s="2" t="s">
        <v>326</v>
      </c>
      <c r="M256" s="216"/>
      <c r="N256" s="216"/>
      <c r="O256" s="216"/>
      <c r="P256" s="216"/>
      <c r="Q256" s="216"/>
      <c r="R256" s="216"/>
      <c r="S256" s="216"/>
      <c r="T256" s="216"/>
      <c r="U256" s="216"/>
      <c r="V256" s="216"/>
      <c r="W256" s="216"/>
      <c r="X256" s="216"/>
      <c r="Y256" s="216"/>
      <c r="Z256" s="216"/>
      <c r="AA256" s="216"/>
      <c r="AB256" s="216"/>
      <c r="AC256" s="216"/>
      <c r="AD256" s="216"/>
      <c r="AE256" s="216"/>
      <c r="AF256" s="216"/>
      <c r="AG256" s="216"/>
      <c r="AH256" s="216"/>
      <c r="AI256" s="216"/>
      <c r="AJ256" s="216"/>
      <c r="AK256" s="216"/>
      <c r="AL256" s="216"/>
      <c r="AM256" s="216"/>
      <c r="AO256" s="590"/>
    </row>
    <row r="257" spans="2:41">
      <c r="M257" s="216"/>
      <c r="N257" s="216"/>
      <c r="O257" s="216"/>
      <c r="P257" s="216"/>
      <c r="Q257" s="216"/>
      <c r="R257" s="216"/>
      <c r="S257" s="216"/>
      <c r="T257" s="216"/>
      <c r="U257" s="216"/>
      <c r="V257" s="216"/>
      <c r="W257" s="216"/>
      <c r="X257" s="216"/>
      <c r="Y257" s="216"/>
      <c r="Z257" s="216"/>
      <c r="AA257" s="216"/>
      <c r="AB257" s="216"/>
      <c r="AC257" s="216"/>
      <c r="AD257" s="216"/>
      <c r="AE257" s="216"/>
      <c r="AF257" s="216"/>
      <c r="AG257" s="216"/>
      <c r="AH257" s="216"/>
      <c r="AI257" s="216"/>
      <c r="AJ257" s="216"/>
      <c r="AK257" s="216"/>
      <c r="AL257" s="216"/>
      <c r="AM257" s="216"/>
      <c r="AO257" s="590"/>
    </row>
    <row r="258" spans="2:41">
      <c r="C258" s="2" t="s">
        <v>327</v>
      </c>
      <c r="D258" s="15" t="s">
        <v>19</v>
      </c>
      <c r="E258" s="49">
        <f>'Assumption '!J635</f>
        <v>30</v>
      </c>
      <c r="M258" s="216"/>
      <c r="N258" s="216"/>
      <c r="O258" s="216"/>
      <c r="P258" s="216"/>
      <c r="Q258" s="216"/>
      <c r="R258" s="216"/>
      <c r="S258" s="216"/>
      <c r="T258" s="216"/>
      <c r="U258" s="216"/>
      <c r="V258" s="216"/>
      <c r="W258" s="216"/>
      <c r="X258" s="216"/>
      <c r="Y258" s="216"/>
      <c r="Z258" s="216"/>
      <c r="AA258" s="216"/>
      <c r="AB258" s="216"/>
      <c r="AC258" s="216"/>
      <c r="AD258" s="216"/>
      <c r="AE258" s="216"/>
      <c r="AF258" s="216"/>
      <c r="AG258" s="216"/>
      <c r="AH258" s="216"/>
      <c r="AI258" s="216"/>
      <c r="AJ258" s="216"/>
      <c r="AK258" s="216"/>
      <c r="AL258" s="216"/>
      <c r="AM258" s="216"/>
      <c r="AO258" s="590"/>
    </row>
    <row r="259" spans="2:41">
      <c r="M259" s="216"/>
      <c r="N259" s="216"/>
      <c r="O259" s="216"/>
      <c r="P259" s="216"/>
      <c r="Q259" s="216"/>
      <c r="R259" s="216"/>
      <c r="S259" s="216"/>
      <c r="T259" s="216"/>
      <c r="U259" s="216"/>
      <c r="V259" s="216"/>
      <c r="W259" s="216"/>
      <c r="X259" s="216"/>
      <c r="Y259" s="216"/>
      <c r="Z259" s="216"/>
      <c r="AA259" s="216"/>
      <c r="AB259" s="216"/>
      <c r="AC259" s="216"/>
      <c r="AD259" s="216"/>
      <c r="AE259" s="216"/>
      <c r="AF259" s="216"/>
      <c r="AG259" s="216"/>
      <c r="AH259" s="216"/>
      <c r="AI259" s="216"/>
      <c r="AJ259" s="216"/>
      <c r="AK259" s="216"/>
      <c r="AL259" s="216"/>
      <c r="AM259" s="216"/>
      <c r="AO259" s="590"/>
    </row>
    <row r="260" spans="2:41">
      <c r="C260" s="2" t="s">
        <v>263</v>
      </c>
      <c r="D260" s="15">
        <f>$D$35</f>
        <v>0</v>
      </c>
      <c r="J260" s="41">
        <f>I263</f>
        <v>0</v>
      </c>
      <c r="K260" s="41">
        <f t="shared" ref="K260:AM260" ca="1" si="97">J263</f>
        <v>0</v>
      </c>
      <c r="L260" s="41">
        <f t="shared" ca="1" si="97"/>
        <v>11867265.333583435</v>
      </c>
      <c r="M260" s="41">
        <f t="shared" ca="1" si="97"/>
        <v>19536471.127159618</v>
      </c>
      <c r="N260" s="41">
        <f t="shared" ca="1" si="97"/>
        <v>23865619.389949929</v>
      </c>
      <c r="O260" s="41">
        <f t="shared" ca="1" si="97"/>
        <v>25519766.9935265</v>
      </c>
      <c r="P260" s="41">
        <f t="shared" ca="1" si="97"/>
        <v>26205073.883995995</v>
      </c>
      <c r="Q260" s="41">
        <f t="shared" ca="1" si="97"/>
        <v>27056683.268808369</v>
      </c>
      <c r="R260" s="41">
        <f t="shared" ca="1" si="97"/>
        <v>27859892.370506167</v>
      </c>
      <c r="S260" s="41">
        <f t="shared" ca="1" si="97"/>
        <v>28687197.745254897</v>
      </c>
      <c r="T260" s="41">
        <f t="shared" ca="1" si="97"/>
        <v>29458613.750423018</v>
      </c>
      <c r="U260" s="41">
        <f t="shared" ca="1" si="97"/>
        <v>30417010.553317022</v>
      </c>
      <c r="V260" s="41">
        <f t="shared" ca="1" si="97"/>
        <v>31321029.473550074</v>
      </c>
      <c r="W260" s="41">
        <f t="shared" ca="1" si="97"/>
        <v>32252168.961390126</v>
      </c>
      <c r="X260" s="41">
        <f t="shared" ca="1" si="97"/>
        <v>33120501.533772863</v>
      </c>
      <c r="Y260" s="41">
        <f t="shared" ca="1" si="97"/>
        <v>34199088.516514897</v>
      </c>
      <c r="Z260" s="41">
        <f t="shared" ca="1" si="97"/>
        <v>35216569.775643893</v>
      </c>
      <c r="AA260" s="41">
        <f t="shared" ca="1" si="97"/>
        <v>36264575.472546764</v>
      </c>
      <c r="AB260" s="41">
        <f t="shared" ca="1" si="97"/>
        <v>36959787.801515907</v>
      </c>
      <c r="AC260" s="41">
        <f t="shared" ca="1" si="97"/>
        <v>37881149.340065092</v>
      </c>
      <c r="AD260" s="41">
        <f t="shared" ca="1" si="97"/>
        <v>38725854.241385631</v>
      </c>
      <c r="AE260" s="41">
        <f t="shared" ca="1" si="97"/>
        <v>39595900.289745778</v>
      </c>
      <c r="AF260" s="41">
        <f t="shared" ca="1" si="97"/>
        <v>40381413.709394023</v>
      </c>
      <c r="AG260" s="41">
        <f t="shared" ca="1" si="97"/>
        <v>41415079.572262041</v>
      </c>
      <c r="AH260" s="41">
        <f t="shared" ca="1" si="97"/>
        <v>42365802.380548492</v>
      </c>
      <c r="AI260" s="41">
        <f t="shared" ca="1" si="97"/>
        <v>43345046.873083539</v>
      </c>
      <c r="AJ260" s="41">
        <f t="shared" ca="1" si="97"/>
        <v>44232483.813235082</v>
      </c>
      <c r="AK260" s="41">
        <f t="shared" ca="1" si="97"/>
        <v>45392549.182525069</v>
      </c>
      <c r="AL260" s="41">
        <f t="shared" ca="1" si="97"/>
        <v>46462596.079119399</v>
      </c>
      <c r="AM260" s="41">
        <f t="shared" ca="1" si="97"/>
        <v>47564744.382611565</v>
      </c>
      <c r="AO260" s="590"/>
    </row>
    <row r="261" spans="2:41">
      <c r="C261" s="2" t="s">
        <v>328</v>
      </c>
      <c r="D261" s="15">
        <f>$D$35</f>
        <v>0</v>
      </c>
      <c r="E261" s="41">
        <f ca="1">SUM(J261:AM261)</f>
        <v>12245491202.22703</v>
      </c>
      <c r="J261" s="41">
        <f ca="1">J248</f>
        <v>0</v>
      </c>
      <c r="K261" s="41">
        <f ca="1">K248</f>
        <v>144780637.06971791</v>
      </c>
      <c r="L261" s="41">
        <f ca="1">L248</f>
        <v>237693732.04710868</v>
      </c>
      <c r="M261" s="41">
        <f ca="1">M248</f>
        <v>290365035.91105747</v>
      </c>
      <c r="N261" s="41">
        <f t="shared" ref="N261:AM261" ca="1" si="98">N248</f>
        <v>310490498.42123908</v>
      </c>
      <c r="O261" s="41">
        <f t="shared" ca="1" si="98"/>
        <v>319701901.38475114</v>
      </c>
      <c r="P261" s="41">
        <f t="shared" ca="1" si="98"/>
        <v>329189646.43716848</v>
      </c>
      <c r="Q261" s="41">
        <f t="shared" ca="1" si="98"/>
        <v>338962023.84115833</v>
      </c>
      <c r="R261" s="41">
        <f t="shared" ca="1" si="98"/>
        <v>349027572.56726795</v>
      </c>
      <c r="S261" s="41">
        <f t="shared" ca="1" si="98"/>
        <v>359395087.75516087</v>
      </c>
      <c r="T261" s="41">
        <f t="shared" ca="1" si="98"/>
        <v>370073628.3986904</v>
      </c>
      <c r="U261" s="41">
        <f t="shared" ca="1" si="98"/>
        <v>381072525.26152593</v>
      </c>
      <c r="V261" s="41">
        <f t="shared" ca="1" si="98"/>
        <v>392401389.03024656</v>
      </c>
      <c r="W261" s="41">
        <f t="shared" ca="1" si="98"/>
        <v>404070118.71202892</v>
      </c>
      <c r="X261" s="41">
        <f t="shared" ca="1" si="98"/>
        <v>416088910.28426456</v>
      </c>
      <c r="Y261" s="41">
        <f t="shared" ca="1" si="98"/>
        <v>428468265.60366732</v>
      </c>
      <c r="Z261" s="41">
        <f t="shared" ca="1" si="98"/>
        <v>441219001.58265227</v>
      </c>
      <c r="AA261" s="41">
        <f t="shared" ca="1" si="98"/>
        <v>450909411.1784941</v>
      </c>
      <c r="AB261" s="41">
        <f t="shared" ca="1" si="98"/>
        <v>460887316.97079194</v>
      </c>
      <c r="AC261" s="41">
        <f t="shared" ca="1" si="98"/>
        <v>471164559.93685848</v>
      </c>
      <c r="AD261" s="41">
        <f t="shared" ca="1" si="98"/>
        <v>481750120.19190699</v>
      </c>
      <c r="AE261" s="41">
        <f t="shared" ca="1" si="98"/>
        <v>492653247.25460708</v>
      </c>
      <c r="AF261" s="41">
        <f t="shared" ca="1" si="98"/>
        <v>503883468.12918818</v>
      </c>
      <c r="AG261" s="41">
        <f t="shared" ca="1" si="98"/>
        <v>515450595.63000667</v>
      </c>
      <c r="AH261" s="41">
        <f t="shared" ca="1" si="98"/>
        <v>527364736.95584971</v>
      </c>
      <c r="AI261" s="41">
        <f t="shared" ca="1" si="98"/>
        <v>539636302.52146804</v>
      </c>
      <c r="AJ261" s="41">
        <f t="shared" ca="1" si="98"/>
        <v>552276015.05405498</v>
      </c>
      <c r="AK261" s="41">
        <f t="shared" ca="1" si="98"/>
        <v>565294918.96261942</v>
      </c>
      <c r="AL261" s="41">
        <f t="shared" ca="1" si="98"/>
        <v>578704389.98844075</v>
      </c>
      <c r="AM261" s="41">
        <f t="shared" ca="1" si="98"/>
        <v>592516145.14503682</v>
      </c>
      <c r="AO261" s="590"/>
    </row>
    <row r="262" spans="2:41">
      <c r="C262" s="489" t="s">
        <v>329</v>
      </c>
      <c r="D262" s="577">
        <f>$D$35</f>
        <v>0</v>
      </c>
      <c r="E262" s="53">
        <f ca="1">SUM(J262:AM262)</f>
        <v>-12245491202.227028</v>
      </c>
      <c r="J262" s="41">
        <f t="shared" ref="J262:AM262" ca="1" si="99">J263-SUM(J260:J261)</f>
        <v>0</v>
      </c>
      <c r="K262" s="41">
        <f t="shared" ca="1" si="99"/>
        <v>-132913371.73613448</v>
      </c>
      <c r="L262" s="41">
        <f t="shared" ca="1" si="99"/>
        <v>-230024526.2535325</v>
      </c>
      <c r="M262" s="41">
        <f t="shared" ca="1" si="99"/>
        <v>-286035887.64826715</v>
      </c>
      <c r="N262" s="41">
        <f t="shared" ca="1" si="99"/>
        <v>-308836350.81766248</v>
      </c>
      <c r="O262" s="41">
        <f t="shared" ca="1" si="99"/>
        <v>-319016594.49428165</v>
      </c>
      <c r="P262" s="41">
        <f t="shared" ca="1" si="99"/>
        <v>-328338037.05235612</v>
      </c>
      <c r="Q262" s="41">
        <f t="shared" ca="1" si="99"/>
        <v>-338158814.73946053</v>
      </c>
      <c r="R262" s="41">
        <f t="shared" ca="1" si="99"/>
        <v>-348200267.19251925</v>
      </c>
      <c r="S262" s="41">
        <f t="shared" ca="1" si="99"/>
        <v>-358623671.74999273</v>
      </c>
      <c r="T262" s="41">
        <f t="shared" ca="1" si="99"/>
        <v>-369115231.59579641</v>
      </c>
      <c r="U262" s="41">
        <f t="shared" ca="1" si="99"/>
        <v>-380168506.34129286</v>
      </c>
      <c r="V262" s="41">
        <f t="shared" ca="1" si="99"/>
        <v>-391470249.5424065</v>
      </c>
      <c r="W262" s="41">
        <f t="shared" ca="1" si="99"/>
        <v>-403201786.13964617</v>
      </c>
      <c r="X262" s="41">
        <f t="shared" ca="1" si="99"/>
        <v>-415010323.30152255</v>
      </c>
      <c r="Y262" s="41">
        <f t="shared" ca="1" si="99"/>
        <v>-427450784.34453833</v>
      </c>
      <c r="Z262" s="41">
        <f t="shared" ca="1" si="99"/>
        <v>-440170995.8857494</v>
      </c>
      <c r="AA262" s="41">
        <f t="shared" ca="1" si="99"/>
        <v>-450214198.84952497</v>
      </c>
      <c r="AB262" s="41">
        <f t="shared" ca="1" si="99"/>
        <v>-459965955.43224275</v>
      </c>
      <c r="AC262" s="41">
        <f t="shared" ca="1" si="99"/>
        <v>-470319855.0355379</v>
      </c>
      <c r="AD262" s="41">
        <f t="shared" ca="1" si="99"/>
        <v>-480880074.14354682</v>
      </c>
      <c r="AE262" s="41">
        <f t="shared" ca="1" si="99"/>
        <v>-491867733.83495885</v>
      </c>
      <c r="AF262" s="41">
        <f t="shared" ca="1" si="99"/>
        <v>-502849802.26632011</v>
      </c>
      <c r="AG262" s="41">
        <f t="shared" ca="1" si="99"/>
        <v>-514499872.82172024</v>
      </c>
      <c r="AH262" s="41">
        <f t="shared" ca="1" si="99"/>
        <v>-526385492.46331471</v>
      </c>
      <c r="AI262" s="41">
        <f t="shared" ca="1" si="99"/>
        <v>-538748865.58131659</v>
      </c>
      <c r="AJ262" s="41">
        <f t="shared" ca="1" si="99"/>
        <v>-551115949.68476498</v>
      </c>
      <c r="AK262" s="41">
        <f t="shared" ca="1" si="99"/>
        <v>-564224872.06602502</v>
      </c>
      <c r="AL262" s="41">
        <f t="shared" ca="1" si="99"/>
        <v>-577602241.68494868</v>
      </c>
      <c r="AM262" s="41">
        <f t="shared" ca="1" si="99"/>
        <v>-640080889.52764833</v>
      </c>
      <c r="AO262" s="590"/>
    </row>
    <row r="263" spans="2:41">
      <c r="C263" s="124" t="s">
        <v>266</v>
      </c>
      <c r="D263" s="132">
        <f>$D$35</f>
        <v>0</v>
      </c>
      <c r="E263" s="471">
        <f ca="1">SUM(E261:E262)</f>
        <v>0</v>
      </c>
      <c r="F263" s="124"/>
      <c r="G263" s="124"/>
      <c r="H263" s="124"/>
      <c r="I263" s="1358"/>
      <c r="J263" s="1359">
        <f ca="1">IF('Fixed Assets'!I18=1,0,J261*$E$258/'Fixed Assets'!I5)</f>
        <v>0</v>
      </c>
      <c r="K263" s="1359">
        <f ca="1">IF('Fixed Assets'!J18=1,0,K261*$E$258/'Fixed Assets'!J5)</f>
        <v>11867265.333583435</v>
      </c>
      <c r="L263" s="1359">
        <f ca="1">IF('Fixed Assets'!K18=1,0,L261*$E$258/'Fixed Assets'!K5)</f>
        <v>19536471.127159618</v>
      </c>
      <c r="M263" s="957">
        <f ca="1">IF('Fixed Assets'!L18=1,0,M261*$E$258/'Fixed Assets'!L5)</f>
        <v>23865619.389949929</v>
      </c>
      <c r="N263" s="957">
        <f ca="1">IF('Fixed Assets'!M18=1,0,N261*$E$258/'Fixed Assets'!M5)</f>
        <v>25519766.9935265</v>
      </c>
      <c r="O263" s="957">
        <f ca="1">IF('Fixed Assets'!N18=1,0,O261*$E$258/'Fixed Assets'!N5)</f>
        <v>26205073.883995995</v>
      </c>
      <c r="P263" s="957">
        <f ca="1">IF('Fixed Assets'!O18=1,0,P261*$E$258/'Fixed Assets'!O5)</f>
        <v>27056683.268808369</v>
      </c>
      <c r="Q263" s="957">
        <f ca="1">IF('Fixed Assets'!P18=1,0,Q261*$E$258/'Fixed Assets'!P5)</f>
        <v>27859892.370506167</v>
      </c>
      <c r="R263" s="957">
        <f ca="1">IF('Fixed Assets'!Q18=1,0,R261*$E$258/'Fixed Assets'!Q5)</f>
        <v>28687197.745254897</v>
      </c>
      <c r="S263" s="957">
        <f ca="1">IF('Fixed Assets'!R18=1,0,S261*$E$258/'Fixed Assets'!R5)</f>
        <v>29458613.750423018</v>
      </c>
      <c r="T263" s="957">
        <f ca="1">IF('Fixed Assets'!S18=1,0,T261*$E$258/'Fixed Assets'!S5)</f>
        <v>30417010.553317022</v>
      </c>
      <c r="U263" s="957">
        <f ca="1">IF('Fixed Assets'!T18=1,0,U261*$E$258/'Fixed Assets'!T5)</f>
        <v>31321029.473550074</v>
      </c>
      <c r="V263" s="957">
        <f ca="1">IF('Fixed Assets'!U18=1,0,V261*$E$258/'Fixed Assets'!U5)</f>
        <v>32252168.961390126</v>
      </c>
      <c r="W263" s="957">
        <f ca="1">IF('Fixed Assets'!V18=1,0,W261*$E$258/'Fixed Assets'!V5)</f>
        <v>33120501.533772863</v>
      </c>
      <c r="X263" s="957">
        <f ca="1">IF('Fixed Assets'!W18=1,0,X261*$E$258/'Fixed Assets'!W5)</f>
        <v>34199088.516514897</v>
      </c>
      <c r="Y263" s="957">
        <f ca="1">IF('Fixed Assets'!X18=1,0,Y261*$E$258/'Fixed Assets'!X5)</f>
        <v>35216569.775643893</v>
      </c>
      <c r="Z263" s="957">
        <f ca="1">IF('Fixed Assets'!Y18=1,0,Z261*$E$258/'Fixed Assets'!Y5)</f>
        <v>36264575.472546764</v>
      </c>
      <c r="AA263" s="957">
        <f ca="1">IF('Fixed Assets'!Z18=1,0,AA261*$E$258/'Fixed Assets'!Z5)</f>
        <v>36959787.801515907</v>
      </c>
      <c r="AB263" s="957">
        <f ca="1">IF('Fixed Assets'!AA18=1,0,AB261*$E$258/'Fixed Assets'!AA5)</f>
        <v>37881149.340065092</v>
      </c>
      <c r="AC263" s="957">
        <f ca="1">IF('Fixed Assets'!AB18=1,0,AC261*$E$258/'Fixed Assets'!AB5)</f>
        <v>38725854.241385631</v>
      </c>
      <c r="AD263" s="957">
        <f ca="1">IF('Fixed Assets'!AC18=1,0,AD261*$E$258/'Fixed Assets'!AC5)</f>
        <v>39595900.289745778</v>
      </c>
      <c r="AE263" s="957">
        <f ca="1">IF('Fixed Assets'!AD18=1,0,AE261*$E$258/'Fixed Assets'!AD5)</f>
        <v>40381413.709394023</v>
      </c>
      <c r="AF263" s="957">
        <f ca="1">IF('Fixed Assets'!AE18=1,0,AF261*$E$258/'Fixed Assets'!AE5)</f>
        <v>41415079.572262041</v>
      </c>
      <c r="AG263" s="957">
        <f ca="1">IF('Fixed Assets'!AF18=1,0,AG261*$E$258/'Fixed Assets'!AF5)</f>
        <v>42365802.380548492</v>
      </c>
      <c r="AH263" s="957">
        <f ca="1">IF('Fixed Assets'!AG18=1,0,AH261*$E$258/'Fixed Assets'!AG5)</f>
        <v>43345046.873083539</v>
      </c>
      <c r="AI263" s="957">
        <f ca="1">IF('Fixed Assets'!AH18=1,0,AI261*$E$258/'Fixed Assets'!AH5)</f>
        <v>44232483.813235082</v>
      </c>
      <c r="AJ263" s="957">
        <f ca="1">IF('Fixed Assets'!AI18=1,0,AJ261*$E$258/'Fixed Assets'!AI5)</f>
        <v>45392549.182525069</v>
      </c>
      <c r="AK263" s="957">
        <f ca="1">IF('Fixed Assets'!AJ18=1,0,AK261*$E$258/'Fixed Assets'!AJ5)</f>
        <v>46462596.079119399</v>
      </c>
      <c r="AL263" s="957">
        <f ca="1">IF('Fixed Assets'!AK18=1,0,AL261*$E$258/'Fixed Assets'!AK5)</f>
        <v>47564744.382611565</v>
      </c>
      <c r="AM263" s="957">
        <f>IF('Fixed Assets'!AL18=1,0,AM261*$E$258/'Fixed Assets'!AL5)</f>
        <v>0</v>
      </c>
      <c r="AO263" s="590"/>
    </row>
    <row r="264" spans="2:41">
      <c r="C264" s="489"/>
      <c r="D264" s="489"/>
      <c r="E264" s="489"/>
      <c r="F264" s="489"/>
      <c r="G264" s="489"/>
      <c r="H264" s="489"/>
      <c r="I264" s="489"/>
      <c r="J264" s="489"/>
      <c r="K264" s="489"/>
      <c r="L264" s="489"/>
      <c r="M264" s="1357"/>
      <c r="N264" s="1357"/>
      <c r="O264" s="1357"/>
      <c r="P264" s="1357"/>
      <c r="Q264" s="1357"/>
      <c r="R264" s="1357"/>
      <c r="S264" s="1357"/>
      <c r="T264" s="1357"/>
      <c r="U264" s="1357"/>
      <c r="V264" s="1357"/>
      <c r="W264" s="1357"/>
      <c r="X264" s="1357"/>
      <c r="Y264" s="1357"/>
      <c r="Z264" s="1357"/>
      <c r="AA264" s="1357"/>
      <c r="AB264" s="1357"/>
      <c r="AC264" s="1357"/>
      <c r="AD264" s="1357"/>
      <c r="AE264" s="1357"/>
      <c r="AF264" s="1357"/>
      <c r="AG264" s="1357"/>
      <c r="AH264" s="1357"/>
      <c r="AI264" s="1357"/>
      <c r="AJ264" s="1357"/>
      <c r="AK264" s="1357"/>
      <c r="AL264" s="1357"/>
      <c r="AM264" s="1357"/>
      <c r="AO264" s="590"/>
    </row>
    <row r="265" spans="2:41">
      <c r="B265" s="40" t="s">
        <v>373</v>
      </c>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O265" s="590"/>
    </row>
  </sheetData>
  <sheetProtection formatCells="0" formatColumns="0" formatRows="0" insertColumns="0" insertRows="0" insertHyperlinks="0" deleteColumns="0" deleteRows="0" sort="0" autoFilter="0" pivotTables="0"/>
  <phoneticPr fontId="47" type="noConversion"/>
  <pageMargins left="0.7" right="0.7" top="0.75" bottom="0.75" header="0.3" footer="0.3"/>
  <pageSetup paperSize="9" orientation="portrait" r:id="rId1"/>
  <ignoredErrors>
    <ignoredError sqref="M242 J126" formula="1"/>
  </ignoredError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5BE07-D999-4CE1-86EB-CE0D69094D93}">
  <sheetPr codeName="Sheet41">
    <tabColor theme="9" tint="0.39997558519241921"/>
  </sheetPr>
  <dimension ref="A1:BC156"/>
  <sheetViews>
    <sheetView zoomScale="95" zoomScaleNormal="95" workbookViewId="0">
      <pane xSplit="3" ySplit="7" topLeftCell="D68" activePane="bottomRight" state="frozen"/>
      <selection pane="bottomLeft" activeCell="A8" sqref="A8"/>
      <selection pane="topRight" activeCell="D1" sqref="D1"/>
      <selection pane="bottomRight" activeCell="F70" sqref="F70"/>
    </sheetView>
  </sheetViews>
  <sheetFormatPr defaultColWidth="9.14453125" defaultRowHeight="10.5"/>
  <cols>
    <col min="1" max="1" width="3.49609375" style="2" customWidth="1"/>
    <col min="2" max="2" width="29.99609375" style="2" customWidth="1"/>
    <col min="3" max="3" width="11.8359375" style="2" customWidth="1"/>
    <col min="4" max="4" width="14.52734375" style="2" customWidth="1"/>
    <col min="5" max="5" width="9.14453125" style="2"/>
    <col min="6" max="6" width="11.56640625" style="2" bestFit="1" customWidth="1"/>
    <col min="7" max="7" width="10.76171875" style="2" bestFit="1" customWidth="1"/>
    <col min="8" max="8" width="12.375" style="2" customWidth="1"/>
    <col min="9" max="9" width="12.64453125" style="2" customWidth="1"/>
    <col min="10" max="10" width="12.5078125" style="2" customWidth="1"/>
    <col min="11" max="11" width="12.10546875" style="2" customWidth="1"/>
    <col min="12" max="17" width="12.10546875" style="2" bestFit="1" customWidth="1"/>
    <col min="18" max="21" width="10.76171875" style="2" bestFit="1" customWidth="1"/>
    <col min="22" max="35" width="11.56640625" style="2" bestFit="1" customWidth="1"/>
    <col min="36" max="49" width="12.10546875" style="2" customWidth="1"/>
    <col min="50" max="52" width="9.28125" style="2" bestFit="1" customWidth="1"/>
    <col min="53" max="16384" width="9.14453125" style="2"/>
  </cols>
  <sheetData>
    <row r="1" spans="1:49" s="3265" customFormat="1" ht="16.149999999999999" customHeight="1">
      <c r="A1" s="3259" t="s">
        <v>672</v>
      </c>
      <c r="B1" s="3260"/>
      <c r="C1" s="3260"/>
      <c r="D1" s="3260"/>
      <c r="E1" s="3260"/>
      <c r="F1" s="3260"/>
      <c r="G1" s="3260"/>
      <c r="H1" s="3260"/>
      <c r="I1" s="3260"/>
      <c r="J1" s="3260"/>
      <c r="K1" s="3260"/>
      <c r="L1" s="3260"/>
      <c r="M1" s="3260"/>
      <c r="N1" s="3260"/>
      <c r="O1" s="3260"/>
      <c r="P1" s="3260"/>
      <c r="Q1" s="3260"/>
      <c r="R1" s="3260"/>
      <c r="S1" s="3260"/>
      <c r="T1" s="3260"/>
      <c r="U1" s="3260"/>
      <c r="V1" s="3260"/>
      <c r="W1" s="3260"/>
      <c r="X1" s="3260"/>
      <c r="Y1" s="3260"/>
      <c r="Z1" s="3260"/>
      <c r="AA1" s="3260"/>
      <c r="AB1" s="3260"/>
      <c r="AC1" s="3260"/>
      <c r="AD1" s="3260"/>
      <c r="AE1" s="3260"/>
      <c r="AF1" s="3260"/>
      <c r="AG1" s="3260"/>
      <c r="AH1" s="3260"/>
      <c r="AI1" s="3260"/>
      <c r="AJ1" s="3260"/>
      <c r="AK1" s="3260"/>
      <c r="AL1" s="3260"/>
      <c r="AM1" s="3260"/>
      <c r="AN1" s="3260"/>
      <c r="AO1" s="3260"/>
      <c r="AP1" s="3260"/>
      <c r="AQ1" s="3260"/>
      <c r="AR1" s="3260"/>
      <c r="AS1" s="3260"/>
      <c r="AT1" s="3260"/>
      <c r="AU1" s="3260"/>
      <c r="AV1" s="3260"/>
      <c r="AW1" s="3260"/>
    </row>
    <row r="2" spans="1:49" s="135" customFormat="1" ht="11.25">
      <c r="A2" s="2711" t="s">
        <v>2397</v>
      </c>
      <c r="B2" s="2711"/>
      <c r="C2" s="2704"/>
      <c r="D2" s="2704"/>
      <c r="E2" s="2704"/>
      <c r="F2" s="2704"/>
      <c r="G2" s="2704"/>
      <c r="H2" s="2704" t="s">
        <v>0</v>
      </c>
      <c r="I2" s="2714">
        <f>'Timing &amp; Flags'!I2</f>
        <v>1</v>
      </c>
      <c r="J2" s="2714">
        <f>'Timing &amp; Flags'!J2</f>
        <v>2</v>
      </c>
      <c r="K2" s="2714">
        <f>'Timing &amp; Flags'!K2</f>
        <v>3</v>
      </c>
      <c r="L2" s="2714">
        <f>'Timing &amp; Flags'!L2</f>
        <v>4</v>
      </c>
      <c r="M2" s="2714">
        <f>'Timing &amp; Flags'!M2</f>
        <v>5</v>
      </c>
      <c r="N2" s="2714">
        <f>'Timing &amp; Flags'!N2</f>
        <v>6</v>
      </c>
      <c r="O2" s="2714">
        <f>'Timing &amp; Flags'!O2</f>
        <v>7</v>
      </c>
      <c r="P2" s="2714">
        <f>'Timing &amp; Flags'!P2</f>
        <v>8</v>
      </c>
      <c r="Q2" s="2714">
        <f>'Timing &amp; Flags'!Q2</f>
        <v>9</v>
      </c>
      <c r="R2" s="2714">
        <f>'Timing &amp; Flags'!R2</f>
        <v>10</v>
      </c>
      <c r="S2" s="2714">
        <f>'Timing &amp; Flags'!S2</f>
        <v>11</v>
      </c>
      <c r="T2" s="2714">
        <f>'Timing &amp; Flags'!T2</f>
        <v>12</v>
      </c>
      <c r="U2" s="2714">
        <f>'Timing &amp; Flags'!U2</f>
        <v>13</v>
      </c>
      <c r="V2" s="2714">
        <f>'Timing &amp; Flags'!V2</f>
        <v>14</v>
      </c>
      <c r="W2" s="2714">
        <f>'Timing &amp; Flags'!W2</f>
        <v>15</v>
      </c>
      <c r="X2" s="2714">
        <f>'Timing &amp; Flags'!X2</f>
        <v>16</v>
      </c>
      <c r="Y2" s="2714">
        <f>'Timing &amp; Flags'!Y2</f>
        <v>17</v>
      </c>
      <c r="Z2" s="2714">
        <f>'Timing &amp; Flags'!Z2</f>
        <v>18</v>
      </c>
      <c r="AA2" s="2714">
        <f>'Timing &amp; Flags'!AA2</f>
        <v>19</v>
      </c>
      <c r="AB2" s="2714">
        <f>'Timing &amp; Flags'!AB2</f>
        <v>20</v>
      </c>
      <c r="AC2" s="2714">
        <f>'Timing &amp; Flags'!AC2</f>
        <v>21</v>
      </c>
      <c r="AD2" s="2714">
        <f>'Timing &amp; Flags'!AD2</f>
        <v>22</v>
      </c>
      <c r="AE2" s="2714">
        <f>'Timing &amp; Flags'!AE2</f>
        <v>23</v>
      </c>
      <c r="AF2" s="2714">
        <f>'Timing &amp; Flags'!AF2</f>
        <v>24</v>
      </c>
      <c r="AG2" s="2714">
        <f>'Timing &amp; Flags'!AG2</f>
        <v>25</v>
      </c>
      <c r="AH2" s="2714">
        <f>'Timing &amp; Flags'!AH2</f>
        <v>26</v>
      </c>
      <c r="AI2" s="2714">
        <f>'Timing &amp; Flags'!AI2</f>
        <v>27</v>
      </c>
      <c r="AJ2" s="2714">
        <f>'Timing &amp; Flags'!AJ2</f>
        <v>28</v>
      </c>
      <c r="AK2" s="2714">
        <f>'Timing &amp; Flags'!AK2</f>
        <v>29</v>
      </c>
      <c r="AL2" s="2714">
        <f>'Timing &amp; Flags'!AL2</f>
        <v>30</v>
      </c>
      <c r="AM2" s="2714">
        <f>'Timing &amp; Flags'!AM2</f>
        <v>31</v>
      </c>
      <c r="AN2" s="2714">
        <f>'Timing &amp; Flags'!AN2</f>
        <v>32</v>
      </c>
      <c r="AO2" s="2714">
        <f>'Timing &amp; Flags'!AO2</f>
        <v>33</v>
      </c>
      <c r="AP2" s="2714">
        <f>'Timing &amp; Flags'!AP2</f>
        <v>34</v>
      </c>
      <c r="AQ2" s="2714">
        <f>'Timing &amp; Flags'!AQ2</f>
        <v>35</v>
      </c>
      <c r="AR2" s="2714">
        <f>'Timing &amp; Flags'!AR2</f>
        <v>36</v>
      </c>
      <c r="AS2" s="2714">
        <f>'Timing &amp; Flags'!AS2</f>
        <v>37</v>
      </c>
      <c r="AT2" s="2714">
        <f>'Timing &amp; Flags'!AT2</f>
        <v>38</v>
      </c>
      <c r="AU2" s="2714">
        <f>'Timing &amp; Flags'!AU2</f>
        <v>39</v>
      </c>
      <c r="AV2" s="2714">
        <f>'Timing &amp; Flags'!AV2</f>
        <v>40</v>
      </c>
      <c r="AW2" s="2714">
        <f>'Timing &amp; Flags'!AW2</f>
        <v>41</v>
      </c>
    </row>
    <row r="3" spans="1:49" s="135" customFormat="1" ht="11.25">
      <c r="A3" s="2711" t="s">
        <v>2395</v>
      </c>
      <c r="B3" s="2704"/>
      <c r="C3" s="2704"/>
      <c r="D3" s="2704"/>
      <c r="E3" s="2704"/>
      <c r="F3" s="2704"/>
      <c r="G3" s="2704"/>
      <c r="H3" s="2704" t="s">
        <v>1</v>
      </c>
      <c r="I3" s="2719">
        <f>'Timing &amp; Flags'!I3</f>
        <v>46023</v>
      </c>
      <c r="J3" s="2719">
        <f>'Timing &amp; Flags'!J3</f>
        <v>46388</v>
      </c>
      <c r="K3" s="2719">
        <f>'Timing &amp; Flags'!K3</f>
        <v>46753</v>
      </c>
      <c r="L3" s="2719">
        <f>'Timing &amp; Flags'!L3</f>
        <v>47119</v>
      </c>
      <c r="M3" s="2719">
        <f>'Timing &amp; Flags'!M3</f>
        <v>47484</v>
      </c>
      <c r="N3" s="2719">
        <f>'Timing &amp; Flags'!N3</f>
        <v>47849</v>
      </c>
      <c r="O3" s="2719">
        <f>'Timing &amp; Flags'!O3</f>
        <v>48214</v>
      </c>
      <c r="P3" s="2719">
        <f>'Timing &amp; Flags'!P3</f>
        <v>48580</v>
      </c>
      <c r="Q3" s="2719">
        <f>'Timing &amp; Flags'!Q3</f>
        <v>48945</v>
      </c>
      <c r="R3" s="2719">
        <f>'Timing &amp; Flags'!R3</f>
        <v>49310</v>
      </c>
      <c r="S3" s="2719">
        <f>'Timing &amp; Flags'!S3</f>
        <v>49675</v>
      </c>
      <c r="T3" s="2719">
        <f>'Timing &amp; Flags'!T3</f>
        <v>50041</v>
      </c>
      <c r="U3" s="2719">
        <f>'Timing &amp; Flags'!U3</f>
        <v>50406</v>
      </c>
      <c r="V3" s="2719">
        <f>'Timing &amp; Flags'!V3</f>
        <v>50771</v>
      </c>
      <c r="W3" s="2719">
        <f>'Timing &amp; Flags'!W3</f>
        <v>51136</v>
      </c>
      <c r="X3" s="2719">
        <f>'Timing &amp; Flags'!X3</f>
        <v>51502</v>
      </c>
      <c r="Y3" s="2719">
        <f>'Timing &amp; Flags'!Y3</f>
        <v>51867</v>
      </c>
      <c r="Z3" s="2719">
        <f>'Timing &amp; Flags'!Z3</f>
        <v>52232</v>
      </c>
      <c r="AA3" s="2719">
        <f>'Timing &amp; Flags'!AA3</f>
        <v>52597</v>
      </c>
      <c r="AB3" s="2719">
        <f>'Timing &amp; Flags'!AB3</f>
        <v>52963</v>
      </c>
      <c r="AC3" s="2719">
        <f>'Timing &amp; Flags'!AC3</f>
        <v>53328</v>
      </c>
      <c r="AD3" s="2719">
        <f>'Timing &amp; Flags'!AD3</f>
        <v>53693</v>
      </c>
      <c r="AE3" s="2719">
        <f>'Timing &amp; Flags'!AE3</f>
        <v>54058</v>
      </c>
      <c r="AF3" s="2719">
        <f>'Timing &amp; Flags'!AF3</f>
        <v>54424</v>
      </c>
      <c r="AG3" s="2719">
        <f>'Timing &amp; Flags'!AG3</f>
        <v>54789</v>
      </c>
      <c r="AH3" s="2719">
        <f>'Timing &amp; Flags'!AH3</f>
        <v>55154</v>
      </c>
      <c r="AI3" s="2719">
        <f>'Timing &amp; Flags'!AI3</f>
        <v>55519</v>
      </c>
      <c r="AJ3" s="2719">
        <f>'Timing &amp; Flags'!AJ3</f>
        <v>55885</v>
      </c>
      <c r="AK3" s="2719">
        <f>'Timing &amp; Flags'!AK3</f>
        <v>56250</v>
      </c>
      <c r="AL3" s="2719">
        <f>'Timing &amp; Flags'!AL3</f>
        <v>56615</v>
      </c>
      <c r="AM3" s="2719">
        <f>'Timing &amp; Flags'!AM3</f>
        <v>56980</v>
      </c>
      <c r="AN3" s="2719">
        <f>'Timing &amp; Flags'!AN3</f>
        <v>57346</v>
      </c>
      <c r="AO3" s="2719">
        <f>'Timing &amp; Flags'!AO3</f>
        <v>57711</v>
      </c>
      <c r="AP3" s="2719">
        <f>'Timing &amp; Flags'!AP3</f>
        <v>58076</v>
      </c>
      <c r="AQ3" s="2719">
        <f>'Timing &amp; Flags'!AQ3</f>
        <v>58441</v>
      </c>
      <c r="AR3" s="2719">
        <f>'Timing &amp; Flags'!AR3</f>
        <v>58807</v>
      </c>
      <c r="AS3" s="2719">
        <f>'Timing &amp; Flags'!AS3</f>
        <v>59172</v>
      </c>
      <c r="AT3" s="2719">
        <f>'Timing &amp; Flags'!AT3</f>
        <v>59537</v>
      </c>
      <c r="AU3" s="2719">
        <f>'Timing &amp; Flags'!AU3</f>
        <v>59902</v>
      </c>
      <c r="AV3" s="2719">
        <f>'Timing &amp; Flags'!AV3</f>
        <v>60268</v>
      </c>
      <c r="AW3" s="2719">
        <f>'Timing &amp; Flags'!AW3</f>
        <v>60633</v>
      </c>
    </row>
    <row r="4" spans="1:49" s="135" customFormat="1" ht="11.25">
      <c r="A4" s="2704" t="s">
        <v>849</v>
      </c>
      <c r="B4" s="2704"/>
      <c r="C4" s="2704"/>
      <c r="D4" s="2704"/>
      <c r="E4" s="2704"/>
      <c r="F4" s="2704"/>
      <c r="G4" s="2704"/>
      <c r="H4" s="2704" t="s">
        <v>2</v>
      </c>
      <c r="I4" s="2722">
        <f>'Timing &amp; Flags'!I4</f>
        <v>46387</v>
      </c>
      <c r="J4" s="2722">
        <f>'Timing &amp; Flags'!J4</f>
        <v>46752</v>
      </c>
      <c r="K4" s="2722">
        <f>'Timing &amp; Flags'!K4</f>
        <v>47118</v>
      </c>
      <c r="L4" s="2722">
        <f>'Timing &amp; Flags'!L4</f>
        <v>47483</v>
      </c>
      <c r="M4" s="2722">
        <f>'Timing &amp; Flags'!M4</f>
        <v>47848</v>
      </c>
      <c r="N4" s="2722">
        <f>'Timing &amp; Flags'!N4</f>
        <v>48213</v>
      </c>
      <c r="O4" s="2722">
        <f>'Timing &amp; Flags'!O4</f>
        <v>48579</v>
      </c>
      <c r="P4" s="2722">
        <f>'Timing &amp; Flags'!P4</f>
        <v>48944</v>
      </c>
      <c r="Q4" s="2722">
        <f>'Timing &amp; Flags'!Q4</f>
        <v>49309</v>
      </c>
      <c r="R4" s="2722">
        <f>'Timing &amp; Flags'!R4</f>
        <v>49674</v>
      </c>
      <c r="S4" s="2722">
        <f>'Timing &amp; Flags'!S4</f>
        <v>50040</v>
      </c>
      <c r="T4" s="2722">
        <f>'Timing &amp; Flags'!T4</f>
        <v>50405</v>
      </c>
      <c r="U4" s="2722">
        <f>'Timing &amp; Flags'!U4</f>
        <v>50770</v>
      </c>
      <c r="V4" s="2722">
        <f>'Timing &amp; Flags'!V4</f>
        <v>51135</v>
      </c>
      <c r="W4" s="2722">
        <f>'Timing &amp; Flags'!W4</f>
        <v>51501</v>
      </c>
      <c r="X4" s="2722">
        <f>'Timing &amp; Flags'!X4</f>
        <v>51866</v>
      </c>
      <c r="Y4" s="2722">
        <f>'Timing &amp; Flags'!Y4</f>
        <v>52231</v>
      </c>
      <c r="Z4" s="2722">
        <f>'Timing &amp; Flags'!Z4</f>
        <v>52596</v>
      </c>
      <c r="AA4" s="2722">
        <f>'Timing &amp; Flags'!AA4</f>
        <v>52962</v>
      </c>
      <c r="AB4" s="2722">
        <f>'Timing &amp; Flags'!AB4</f>
        <v>53327</v>
      </c>
      <c r="AC4" s="2722">
        <f>'Timing &amp; Flags'!AC4</f>
        <v>53692</v>
      </c>
      <c r="AD4" s="2722">
        <f>'Timing &amp; Flags'!AD4</f>
        <v>54057</v>
      </c>
      <c r="AE4" s="2722">
        <f>'Timing &amp; Flags'!AE4</f>
        <v>54423</v>
      </c>
      <c r="AF4" s="2722">
        <f>'Timing &amp; Flags'!AF4</f>
        <v>54788</v>
      </c>
      <c r="AG4" s="2722">
        <f>'Timing &amp; Flags'!AG4</f>
        <v>55153</v>
      </c>
      <c r="AH4" s="2722">
        <f>'Timing &amp; Flags'!AH4</f>
        <v>55518</v>
      </c>
      <c r="AI4" s="2722">
        <f>'Timing &amp; Flags'!AI4</f>
        <v>55884</v>
      </c>
      <c r="AJ4" s="2722">
        <f>'Timing &amp; Flags'!AJ4</f>
        <v>56249</v>
      </c>
      <c r="AK4" s="2722">
        <f>'Timing &amp; Flags'!AK4</f>
        <v>56614</v>
      </c>
      <c r="AL4" s="2722">
        <f>'Timing &amp; Flags'!AL4</f>
        <v>56979</v>
      </c>
      <c r="AM4" s="2722">
        <f>'Timing &amp; Flags'!AM4</f>
        <v>57345</v>
      </c>
      <c r="AN4" s="2722">
        <f>'Timing &amp; Flags'!AN4</f>
        <v>57710</v>
      </c>
      <c r="AO4" s="2722">
        <f>'Timing &amp; Flags'!AO4</f>
        <v>58075</v>
      </c>
      <c r="AP4" s="2722">
        <f>'Timing &amp; Flags'!AP4</f>
        <v>58440</v>
      </c>
      <c r="AQ4" s="2722">
        <f>'Timing &amp; Flags'!AQ4</f>
        <v>58806</v>
      </c>
      <c r="AR4" s="2722">
        <f>'Timing &amp; Flags'!AR4</f>
        <v>59171</v>
      </c>
      <c r="AS4" s="2722">
        <f>'Timing &amp; Flags'!AS4</f>
        <v>59536</v>
      </c>
      <c r="AT4" s="2722">
        <f>'Timing &amp; Flags'!AT4</f>
        <v>59901</v>
      </c>
      <c r="AU4" s="2722">
        <f>'Timing &amp; Flags'!AU4</f>
        <v>60267</v>
      </c>
      <c r="AV4" s="2722">
        <f>'Timing &amp; Flags'!AV4</f>
        <v>60632</v>
      </c>
      <c r="AW4" s="2722">
        <f>'Timing &amp; Flags'!AW4</f>
        <v>60997</v>
      </c>
    </row>
    <row r="5" spans="1:49" s="135" customFormat="1" ht="11.25">
      <c r="A5" s="2704" t="s">
        <v>640</v>
      </c>
      <c r="B5" s="2704"/>
      <c r="C5" s="2704"/>
      <c r="D5" s="2704"/>
      <c r="E5" s="2704"/>
      <c r="F5" s="2704"/>
      <c r="G5" s="2704"/>
      <c r="H5" s="2704" t="s">
        <v>3</v>
      </c>
      <c r="I5" s="2723">
        <f ca="1">'Timing &amp; Flags'!I5</f>
        <v>365</v>
      </c>
      <c r="J5" s="2723">
        <f ca="1">'Timing &amp; Flags'!J5</f>
        <v>366</v>
      </c>
      <c r="K5" s="2723">
        <f ca="1">'Timing &amp; Flags'!K5</f>
        <v>365</v>
      </c>
      <c r="L5" s="2723">
        <f ca="1">'Timing &amp; Flags'!L5</f>
        <v>365</v>
      </c>
      <c r="M5" s="2723">
        <f ca="1">'Timing &amp; Flags'!M5</f>
        <v>365</v>
      </c>
      <c r="N5" s="2723">
        <f ca="1">'Timing &amp; Flags'!N5</f>
        <v>366</v>
      </c>
      <c r="O5" s="2723">
        <f ca="1">'Timing &amp; Flags'!O5</f>
        <v>365</v>
      </c>
      <c r="P5" s="2723">
        <f ca="1">'Timing &amp; Flags'!P5</f>
        <v>365</v>
      </c>
      <c r="Q5" s="2723">
        <f ca="1">'Timing &amp; Flags'!Q5</f>
        <v>365</v>
      </c>
      <c r="R5" s="2723">
        <f ca="1">'Timing &amp; Flags'!R5</f>
        <v>366</v>
      </c>
      <c r="S5" s="2723">
        <f ca="1">'Timing &amp; Flags'!S5</f>
        <v>365</v>
      </c>
      <c r="T5" s="2723">
        <f ca="1">'Timing &amp; Flags'!T5</f>
        <v>365</v>
      </c>
      <c r="U5" s="2723">
        <f ca="1">'Timing &amp; Flags'!U5</f>
        <v>365</v>
      </c>
      <c r="V5" s="2723">
        <f ca="1">'Timing &amp; Flags'!V5</f>
        <v>366</v>
      </c>
      <c r="W5" s="2723">
        <f ca="1">'Timing &amp; Flags'!W5</f>
        <v>365</v>
      </c>
      <c r="X5" s="2723">
        <f ca="1">'Timing &amp; Flags'!X5</f>
        <v>365</v>
      </c>
      <c r="Y5" s="2723">
        <f ca="1">'Timing &amp; Flags'!Y5</f>
        <v>365</v>
      </c>
      <c r="Z5" s="2723">
        <f ca="1">'Timing &amp; Flags'!Z5</f>
        <v>366</v>
      </c>
      <c r="AA5" s="2723">
        <f ca="1">'Timing &amp; Flags'!AA5</f>
        <v>365</v>
      </c>
      <c r="AB5" s="2723">
        <f ca="1">'Timing &amp; Flags'!AB5</f>
        <v>365</v>
      </c>
      <c r="AC5" s="2723">
        <f ca="1">'Timing &amp; Flags'!AC5</f>
        <v>365</v>
      </c>
      <c r="AD5" s="2723">
        <f ca="1">'Timing &amp; Flags'!AD5</f>
        <v>366</v>
      </c>
      <c r="AE5" s="2723">
        <f ca="1">'Timing &amp; Flags'!AE5</f>
        <v>365</v>
      </c>
      <c r="AF5" s="2723">
        <f ca="1">'Timing &amp; Flags'!AF5</f>
        <v>365</v>
      </c>
      <c r="AG5" s="2723">
        <f ca="1">'Timing &amp; Flags'!AG5</f>
        <v>365</v>
      </c>
      <c r="AH5" s="2723">
        <f ca="1">'Timing &amp; Flags'!AH5</f>
        <v>366</v>
      </c>
      <c r="AI5" s="2723">
        <f ca="1">'Timing &amp; Flags'!AI5</f>
        <v>365</v>
      </c>
      <c r="AJ5" s="2723">
        <f ca="1">'Timing &amp; Flags'!AJ5</f>
        <v>365</v>
      </c>
      <c r="AK5" s="2723">
        <f ca="1">'Timing &amp; Flags'!AK5</f>
        <v>365</v>
      </c>
      <c r="AL5" s="2723">
        <f ca="1">'Timing &amp; Flags'!AL5</f>
        <v>365</v>
      </c>
      <c r="AM5" s="2723">
        <f ca="1">'Timing &amp; Flags'!AM5</f>
        <v>365</v>
      </c>
      <c r="AN5" s="2723">
        <f ca="1">'Timing &amp; Flags'!AN5</f>
        <v>365</v>
      </c>
      <c r="AO5" s="2723">
        <f ca="1">'Timing &amp; Flags'!AO5</f>
        <v>365</v>
      </c>
      <c r="AP5" s="2723">
        <f ca="1">'Timing &amp; Flags'!AP5</f>
        <v>365</v>
      </c>
      <c r="AQ5" s="2723">
        <f ca="1">'Timing &amp; Flags'!AQ5</f>
        <v>365</v>
      </c>
      <c r="AR5" s="2723">
        <f ca="1">'Timing &amp; Flags'!AR5</f>
        <v>365</v>
      </c>
      <c r="AS5" s="2723">
        <f ca="1">'Timing &amp; Flags'!AS5</f>
        <v>365</v>
      </c>
      <c r="AT5" s="2723">
        <f ca="1">'Timing &amp; Flags'!AT5</f>
        <v>365</v>
      </c>
      <c r="AU5" s="2723">
        <f ca="1">'Timing &amp; Flags'!AU5</f>
        <v>365</v>
      </c>
      <c r="AV5" s="2723">
        <f ca="1">'Timing &amp; Flags'!AV5</f>
        <v>365</v>
      </c>
      <c r="AW5" s="2723">
        <f ca="1">'Timing &amp; Flags'!AW5</f>
        <v>365</v>
      </c>
    </row>
    <row r="7" spans="1:49">
      <c r="A7" s="6" t="s">
        <v>258</v>
      </c>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10" spans="1:49">
      <c r="B10" s="10" t="s">
        <v>210</v>
      </c>
      <c r="D10" s="137"/>
      <c r="F10" s="13"/>
    </row>
    <row r="11" spans="1:49">
      <c r="B11" s="50" t="s">
        <v>58</v>
      </c>
    </row>
    <row r="12" spans="1:49">
      <c r="B12" s="2" t="s">
        <v>59</v>
      </c>
      <c r="C12" s="15" t="s">
        <v>60</v>
      </c>
      <c r="D12" s="37">
        <f>SUM(I12:AI12)</f>
        <v>1</v>
      </c>
      <c r="I12" s="41">
        <f>'Timing &amp; Flags'!I36</f>
        <v>1</v>
      </c>
      <c r="J12" s="41">
        <f>'Timing &amp; Flags'!J36</f>
        <v>0</v>
      </c>
      <c r="K12" s="41">
        <f>'Timing &amp; Flags'!K36</f>
        <v>0</v>
      </c>
      <c r="L12" s="41">
        <f>'Timing &amp; Flags'!L36</f>
        <v>0</v>
      </c>
      <c r="M12" s="41">
        <f>'Timing &amp; Flags'!M36</f>
        <v>0</v>
      </c>
      <c r="N12" s="41">
        <f>'Timing &amp; Flags'!N36</f>
        <v>0</v>
      </c>
      <c r="O12" s="41">
        <f>'Timing &amp; Flags'!O36</f>
        <v>0</v>
      </c>
      <c r="P12" s="41">
        <f>'Timing &amp; Flags'!P36</f>
        <v>0</v>
      </c>
      <c r="Q12" s="41">
        <f>'Timing &amp; Flags'!Q36</f>
        <v>0</v>
      </c>
      <c r="R12" s="41">
        <f>'Timing &amp; Flags'!R36</f>
        <v>0</v>
      </c>
      <c r="S12" s="41">
        <f>'Timing &amp; Flags'!S36</f>
        <v>0</v>
      </c>
      <c r="T12" s="41">
        <f>'Timing &amp; Flags'!T36</f>
        <v>0</v>
      </c>
      <c r="U12" s="41">
        <f>'Timing &amp; Flags'!U36</f>
        <v>0</v>
      </c>
      <c r="V12" s="41">
        <f>'Timing &amp; Flags'!V36</f>
        <v>0</v>
      </c>
      <c r="W12" s="41">
        <f>'Timing &amp; Flags'!W36</f>
        <v>0</v>
      </c>
      <c r="X12" s="41">
        <f>'Timing &amp; Flags'!X36</f>
        <v>0</v>
      </c>
      <c r="Y12" s="41">
        <f>'Timing &amp; Flags'!Y36</f>
        <v>0</v>
      </c>
      <c r="Z12" s="41">
        <f>'Timing &amp; Flags'!Z36</f>
        <v>0</v>
      </c>
      <c r="AA12" s="41">
        <f>'Timing &amp; Flags'!AA36</f>
        <v>0</v>
      </c>
      <c r="AB12" s="41">
        <f>'Timing &amp; Flags'!AB36</f>
        <v>0</v>
      </c>
      <c r="AC12" s="41">
        <f>'Timing &amp; Flags'!AC36</f>
        <v>0</v>
      </c>
      <c r="AD12" s="41">
        <f>'Timing &amp; Flags'!AD36</f>
        <v>0</v>
      </c>
      <c r="AE12" s="41">
        <f>'Timing &amp; Flags'!AE36</f>
        <v>0</v>
      </c>
      <c r="AF12" s="41">
        <f>'Timing &amp; Flags'!AF36</f>
        <v>0</v>
      </c>
      <c r="AG12" s="41">
        <f>'Timing &amp; Flags'!AG36</f>
        <v>0</v>
      </c>
      <c r="AH12" s="41">
        <f>'Timing &amp; Flags'!AH36</f>
        <v>0</v>
      </c>
      <c r="AI12" s="41">
        <f>'Timing &amp; Flags'!AI36</f>
        <v>0</v>
      </c>
      <c r="AJ12" s="41">
        <f>'Timing &amp; Flags'!AJ36</f>
        <v>0</v>
      </c>
      <c r="AK12" s="41">
        <f>'Timing &amp; Flags'!AK36</f>
        <v>0</v>
      </c>
      <c r="AL12" s="41">
        <f>'Timing &amp; Flags'!AL36</f>
        <v>0</v>
      </c>
      <c r="AM12" s="41">
        <f>'Timing &amp; Flags'!AM36</f>
        <v>0</v>
      </c>
      <c r="AN12" s="41">
        <f>'Timing &amp; Flags'!AN36</f>
        <v>0</v>
      </c>
      <c r="AO12" s="41">
        <f>'Timing &amp; Flags'!AO36</f>
        <v>0</v>
      </c>
      <c r="AP12" s="41">
        <f>'Timing &amp; Flags'!AP36</f>
        <v>0</v>
      </c>
      <c r="AQ12" s="41">
        <f>'Timing &amp; Flags'!AQ36</f>
        <v>0</v>
      </c>
      <c r="AR12" s="41">
        <f>'Timing &amp; Flags'!AR36</f>
        <v>0</v>
      </c>
      <c r="AS12" s="41">
        <f>'Timing &amp; Flags'!AS36</f>
        <v>0</v>
      </c>
      <c r="AT12" s="41">
        <f>'Timing &amp; Flags'!AT36</f>
        <v>0</v>
      </c>
      <c r="AU12" s="41">
        <f>'Timing &amp; Flags'!AU36</f>
        <v>0</v>
      </c>
      <c r="AV12" s="41">
        <f>'Timing &amp; Flags'!AV36</f>
        <v>0</v>
      </c>
      <c r="AW12" s="41">
        <f>'Timing &amp; Flags'!AW36</f>
        <v>0</v>
      </c>
    </row>
    <row r="13" spans="1:49">
      <c r="B13" s="2" t="s">
        <v>61</v>
      </c>
      <c r="C13" s="15" t="s">
        <v>60</v>
      </c>
      <c r="D13" s="37">
        <f>SUM(I13:AI13)</f>
        <v>3</v>
      </c>
      <c r="I13" s="41">
        <f>'Timing &amp; Flags'!I37</f>
        <v>1</v>
      </c>
      <c r="J13" s="41">
        <f>'Timing &amp; Flags'!J37</f>
        <v>1</v>
      </c>
      <c r="K13" s="41">
        <f>'Timing &amp; Flags'!K37</f>
        <v>1</v>
      </c>
      <c r="L13" s="41">
        <f>'Timing &amp; Flags'!L37</f>
        <v>0</v>
      </c>
      <c r="M13" s="41">
        <f>'Timing &amp; Flags'!M37</f>
        <v>0</v>
      </c>
      <c r="N13" s="41">
        <f>'Timing &amp; Flags'!N37</f>
        <v>0</v>
      </c>
      <c r="O13" s="41">
        <f>'Timing &amp; Flags'!O37</f>
        <v>0</v>
      </c>
      <c r="P13" s="41">
        <f>'Timing &amp; Flags'!P37</f>
        <v>0</v>
      </c>
      <c r="Q13" s="41">
        <f>'Timing &amp; Flags'!Q37</f>
        <v>0</v>
      </c>
      <c r="R13" s="41">
        <f>'Timing &amp; Flags'!R37</f>
        <v>0</v>
      </c>
      <c r="S13" s="41">
        <f>'Timing &amp; Flags'!S37</f>
        <v>0</v>
      </c>
      <c r="T13" s="41">
        <f>'Timing &amp; Flags'!T37</f>
        <v>0</v>
      </c>
      <c r="U13" s="41">
        <f>'Timing &amp; Flags'!U37</f>
        <v>0</v>
      </c>
      <c r="V13" s="41">
        <f>'Timing &amp; Flags'!V37</f>
        <v>0</v>
      </c>
      <c r="W13" s="41">
        <f>'Timing &amp; Flags'!W37</f>
        <v>0</v>
      </c>
      <c r="X13" s="41">
        <f>'Timing &amp; Flags'!X37</f>
        <v>0</v>
      </c>
      <c r="Y13" s="41">
        <f>'Timing &amp; Flags'!Y37</f>
        <v>0</v>
      </c>
      <c r="Z13" s="41">
        <f>'Timing &amp; Flags'!Z37</f>
        <v>0</v>
      </c>
      <c r="AA13" s="41">
        <f>'Timing &amp; Flags'!AA37</f>
        <v>0</v>
      </c>
      <c r="AB13" s="41">
        <f>'Timing &amp; Flags'!AB37</f>
        <v>0</v>
      </c>
      <c r="AC13" s="41">
        <f>'Timing &amp; Flags'!AC37</f>
        <v>0</v>
      </c>
      <c r="AD13" s="41">
        <f>'Timing &amp; Flags'!AD37</f>
        <v>0</v>
      </c>
      <c r="AE13" s="41">
        <f>'Timing &amp; Flags'!AE37</f>
        <v>0</v>
      </c>
      <c r="AF13" s="41">
        <f>'Timing &amp; Flags'!AF37</f>
        <v>0</v>
      </c>
      <c r="AG13" s="41">
        <f>'Timing &amp; Flags'!AG37</f>
        <v>0</v>
      </c>
      <c r="AH13" s="41">
        <f>'Timing &amp; Flags'!AH37</f>
        <v>0</v>
      </c>
      <c r="AI13" s="41">
        <f>'Timing &amp; Flags'!AI37</f>
        <v>0</v>
      </c>
      <c r="AJ13" s="41">
        <f>'Timing &amp; Flags'!AJ37</f>
        <v>0</v>
      </c>
      <c r="AK13" s="41">
        <f>'Timing &amp; Flags'!AK37</f>
        <v>0</v>
      </c>
      <c r="AL13" s="41">
        <f>'Timing &amp; Flags'!AL37</f>
        <v>0</v>
      </c>
      <c r="AM13" s="41">
        <f>'Timing &amp; Flags'!AM37</f>
        <v>0</v>
      </c>
      <c r="AN13" s="41">
        <f>'Timing &amp; Flags'!AN37</f>
        <v>0</v>
      </c>
      <c r="AO13" s="41">
        <f>'Timing &amp; Flags'!AO37</f>
        <v>0</v>
      </c>
      <c r="AP13" s="41">
        <f>'Timing &amp; Flags'!AP37</f>
        <v>0</v>
      </c>
      <c r="AQ13" s="41">
        <f>'Timing &amp; Flags'!AQ37</f>
        <v>0</v>
      </c>
      <c r="AR13" s="41">
        <f>'Timing &amp; Flags'!AR37</f>
        <v>0</v>
      </c>
      <c r="AS13" s="41">
        <f>'Timing &amp; Flags'!AS37</f>
        <v>0</v>
      </c>
      <c r="AT13" s="41">
        <f>'Timing &amp; Flags'!AT37</f>
        <v>0</v>
      </c>
      <c r="AU13" s="41">
        <f>'Timing &amp; Flags'!AU37</f>
        <v>0</v>
      </c>
      <c r="AV13" s="41">
        <f>'Timing &amp; Flags'!AV37</f>
        <v>0</v>
      </c>
      <c r="AW13" s="41">
        <f>'Timing &amp; Flags'!AW37</f>
        <v>0</v>
      </c>
    </row>
    <row r="14" spans="1:49">
      <c r="B14" s="2" t="s">
        <v>62</v>
      </c>
      <c r="C14" s="15" t="s">
        <v>60</v>
      </c>
      <c r="D14" s="37">
        <f>SUM(I14:AI14)</f>
        <v>1</v>
      </c>
      <c r="F14" s="14"/>
      <c r="I14" s="41">
        <f>'Timing &amp; Flags'!I38</f>
        <v>0</v>
      </c>
      <c r="J14" s="41">
        <f>'Timing &amp; Flags'!J38</f>
        <v>0</v>
      </c>
      <c r="K14" s="41">
        <f>'Timing &amp; Flags'!K38</f>
        <v>1</v>
      </c>
      <c r="L14" s="41">
        <f>'Timing &amp; Flags'!L38</f>
        <v>0</v>
      </c>
      <c r="M14" s="41">
        <f>'Timing &amp; Flags'!M38</f>
        <v>0</v>
      </c>
      <c r="N14" s="41">
        <f>'Timing &amp; Flags'!N38</f>
        <v>0</v>
      </c>
      <c r="O14" s="41">
        <f>'Timing &amp; Flags'!O38</f>
        <v>0</v>
      </c>
      <c r="P14" s="41">
        <f>'Timing &amp; Flags'!P38</f>
        <v>0</v>
      </c>
      <c r="Q14" s="41">
        <f>'Timing &amp; Flags'!Q38</f>
        <v>0</v>
      </c>
      <c r="R14" s="41">
        <f>'Timing &amp; Flags'!R38</f>
        <v>0</v>
      </c>
      <c r="S14" s="41">
        <f>'Timing &amp; Flags'!S38</f>
        <v>0</v>
      </c>
      <c r="T14" s="41">
        <f>'Timing &amp; Flags'!T38</f>
        <v>0</v>
      </c>
      <c r="U14" s="41">
        <f>'Timing &amp; Flags'!U38</f>
        <v>0</v>
      </c>
      <c r="V14" s="41">
        <f>'Timing &amp; Flags'!V38</f>
        <v>0</v>
      </c>
      <c r="W14" s="41">
        <f>'Timing &amp; Flags'!W38</f>
        <v>0</v>
      </c>
      <c r="X14" s="41">
        <f>'Timing &amp; Flags'!X38</f>
        <v>0</v>
      </c>
      <c r="Y14" s="41">
        <f>'Timing &amp; Flags'!Y38</f>
        <v>0</v>
      </c>
      <c r="Z14" s="41">
        <f>'Timing &amp; Flags'!Z38</f>
        <v>0</v>
      </c>
      <c r="AA14" s="41">
        <f>'Timing &amp; Flags'!AA38</f>
        <v>0</v>
      </c>
      <c r="AB14" s="41">
        <f>'Timing &amp; Flags'!AB38</f>
        <v>0</v>
      </c>
      <c r="AC14" s="41">
        <f>'Timing &amp; Flags'!AC38</f>
        <v>0</v>
      </c>
      <c r="AD14" s="41">
        <f>'Timing &amp; Flags'!AD38</f>
        <v>0</v>
      </c>
      <c r="AE14" s="41">
        <f>'Timing &amp; Flags'!AE38</f>
        <v>0</v>
      </c>
      <c r="AF14" s="41">
        <f>'Timing &amp; Flags'!AF38</f>
        <v>0</v>
      </c>
      <c r="AG14" s="41">
        <f>'Timing &amp; Flags'!AG38</f>
        <v>0</v>
      </c>
      <c r="AH14" s="41">
        <f>'Timing &amp; Flags'!AH38</f>
        <v>0</v>
      </c>
      <c r="AI14" s="41">
        <f>'Timing &amp; Flags'!AI38</f>
        <v>0</v>
      </c>
      <c r="AJ14" s="41">
        <f>'Timing &amp; Flags'!AJ38</f>
        <v>0</v>
      </c>
      <c r="AK14" s="41">
        <f>'Timing &amp; Flags'!AK38</f>
        <v>0</v>
      </c>
      <c r="AL14" s="41">
        <f>'Timing &amp; Flags'!AL38</f>
        <v>0</v>
      </c>
      <c r="AM14" s="41">
        <f>'Timing &amp; Flags'!AM38</f>
        <v>0</v>
      </c>
      <c r="AN14" s="41">
        <f>'Timing &amp; Flags'!AN38</f>
        <v>0</v>
      </c>
      <c r="AO14" s="41">
        <f>'Timing &amp; Flags'!AO38</f>
        <v>0</v>
      </c>
      <c r="AP14" s="41">
        <f>'Timing &amp; Flags'!AP38</f>
        <v>0</v>
      </c>
      <c r="AQ14" s="41">
        <f>'Timing &amp; Flags'!AQ38</f>
        <v>0</v>
      </c>
      <c r="AR14" s="41">
        <f>'Timing &amp; Flags'!AR38</f>
        <v>0</v>
      </c>
      <c r="AS14" s="41">
        <f>'Timing &amp; Flags'!AS38</f>
        <v>0</v>
      </c>
      <c r="AT14" s="41">
        <f>'Timing &amp; Flags'!AT38</f>
        <v>0</v>
      </c>
      <c r="AU14" s="41">
        <f>'Timing &amp; Flags'!AU38</f>
        <v>0</v>
      </c>
      <c r="AV14" s="41">
        <f>'Timing &amp; Flags'!AV38</f>
        <v>0</v>
      </c>
      <c r="AW14" s="41">
        <f>'Timing &amp; Flags'!AW38</f>
        <v>0</v>
      </c>
    </row>
    <row r="16" spans="1:49" ht="11.25">
      <c r="B16" s="50" t="s">
        <v>64</v>
      </c>
      <c r="D16" s="138"/>
    </row>
    <row r="17" spans="1:51">
      <c r="B17" s="2" t="s">
        <v>65</v>
      </c>
      <c r="C17" s="15" t="s">
        <v>60</v>
      </c>
      <c r="D17" s="37">
        <f>SUM(I17:AI17)</f>
        <v>1</v>
      </c>
      <c r="I17" s="41">
        <f>'Timing &amp; Flags'!I42</f>
        <v>0</v>
      </c>
      <c r="J17" s="41">
        <f>'Timing &amp; Flags'!J42</f>
        <v>0</v>
      </c>
      <c r="K17" s="41">
        <f>'Timing &amp; Flags'!K42</f>
        <v>0</v>
      </c>
      <c r="L17" s="41">
        <f>'Timing &amp; Flags'!L42</f>
        <v>1</v>
      </c>
      <c r="M17" s="41">
        <f>'Timing &amp; Flags'!M42</f>
        <v>0</v>
      </c>
      <c r="N17" s="41">
        <f>'Timing &amp; Flags'!N42</f>
        <v>0</v>
      </c>
      <c r="O17" s="41">
        <f>'Timing &amp; Flags'!O42</f>
        <v>0</v>
      </c>
      <c r="P17" s="41">
        <f>'Timing &amp; Flags'!P42</f>
        <v>0</v>
      </c>
      <c r="Q17" s="41">
        <f>'Timing &amp; Flags'!Q42</f>
        <v>0</v>
      </c>
      <c r="R17" s="41">
        <f>'Timing &amp; Flags'!R42</f>
        <v>0</v>
      </c>
      <c r="S17" s="41">
        <f>'Timing &amp; Flags'!S42</f>
        <v>0</v>
      </c>
      <c r="T17" s="41">
        <f>'Timing &amp; Flags'!T42</f>
        <v>0</v>
      </c>
      <c r="U17" s="41">
        <f>'Timing &amp; Flags'!U42</f>
        <v>0</v>
      </c>
      <c r="V17" s="41">
        <f>'Timing &amp; Flags'!V42</f>
        <v>0</v>
      </c>
      <c r="W17" s="41">
        <f>'Timing &amp; Flags'!W42</f>
        <v>0</v>
      </c>
      <c r="X17" s="41">
        <f>'Timing &amp; Flags'!X42</f>
        <v>0</v>
      </c>
      <c r="Y17" s="41">
        <f>'Timing &amp; Flags'!Y42</f>
        <v>0</v>
      </c>
      <c r="Z17" s="41">
        <f>'Timing &amp; Flags'!Z42</f>
        <v>0</v>
      </c>
      <c r="AA17" s="41">
        <f>'Timing &amp; Flags'!AA42</f>
        <v>0</v>
      </c>
      <c r="AB17" s="41">
        <f>'Timing &amp; Flags'!AB42</f>
        <v>0</v>
      </c>
      <c r="AC17" s="41">
        <f>'Timing &amp; Flags'!AC42</f>
        <v>0</v>
      </c>
      <c r="AD17" s="41">
        <f>'Timing &amp; Flags'!AD42</f>
        <v>0</v>
      </c>
      <c r="AE17" s="41">
        <f>'Timing &amp; Flags'!AE42</f>
        <v>0</v>
      </c>
      <c r="AF17" s="41">
        <f>'Timing &amp; Flags'!AF42</f>
        <v>0</v>
      </c>
      <c r="AG17" s="41">
        <f>'Timing &amp; Flags'!AG42</f>
        <v>0</v>
      </c>
      <c r="AH17" s="41">
        <f>'Timing &amp; Flags'!AH42</f>
        <v>0</v>
      </c>
      <c r="AI17" s="41">
        <f>'Timing &amp; Flags'!AI42</f>
        <v>0</v>
      </c>
      <c r="AJ17" s="41">
        <f>'Timing &amp; Flags'!AJ42</f>
        <v>0</v>
      </c>
      <c r="AK17" s="41">
        <f>'Timing &amp; Flags'!AK42</f>
        <v>0</v>
      </c>
      <c r="AL17" s="41">
        <f>'Timing &amp; Flags'!AL42</f>
        <v>0</v>
      </c>
      <c r="AM17" s="41">
        <f>'Timing &amp; Flags'!AM42</f>
        <v>0</v>
      </c>
      <c r="AN17" s="41">
        <f>'Timing &amp; Flags'!AN42</f>
        <v>0</v>
      </c>
      <c r="AO17" s="41">
        <f>'Timing &amp; Flags'!AO42</f>
        <v>0</v>
      </c>
      <c r="AP17" s="41">
        <f>'Timing &amp; Flags'!AP42</f>
        <v>0</v>
      </c>
      <c r="AQ17" s="41">
        <f>'Timing &amp; Flags'!AQ42</f>
        <v>0</v>
      </c>
      <c r="AR17" s="41">
        <f>'Timing &amp; Flags'!AR42</f>
        <v>0</v>
      </c>
      <c r="AS17" s="41">
        <f>'Timing &amp; Flags'!AS42</f>
        <v>0</v>
      </c>
      <c r="AT17" s="41">
        <f>'Timing &amp; Flags'!AT42</f>
        <v>0</v>
      </c>
      <c r="AU17" s="41">
        <f>'Timing &amp; Flags'!AU42</f>
        <v>0</v>
      </c>
      <c r="AV17" s="41">
        <f>'Timing &amp; Flags'!AV42</f>
        <v>0</v>
      </c>
      <c r="AW17" s="41">
        <f>'Timing &amp; Flags'!AW42</f>
        <v>0</v>
      </c>
    </row>
    <row r="18" spans="1:51">
      <c r="B18" s="2" t="s">
        <v>66</v>
      </c>
      <c r="C18" s="15" t="s">
        <v>60</v>
      </c>
      <c r="D18" s="37">
        <f>SUM(I18:AW18)</f>
        <v>27</v>
      </c>
      <c r="I18" s="41">
        <f>'Timing &amp; Flags'!I43</f>
        <v>0</v>
      </c>
      <c r="J18" s="41">
        <f>'Timing &amp; Flags'!J43</f>
        <v>0</v>
      </c>
      <c r="K18" s="41">
        <f>'Timing &amp; Flags'!K43</f>
        <v>0</v>
      </c>
      <c r="L18" s="41">
        <f>'Timing &amp; Flags'!L43</f>
        <v>1</v>
      </c>
      <c r="M18" s="41">
        <f>'Timing &amp; Flags'!M43</f>
        <v>1</v>
      </c>
      <c r="N18" s="41">
        <f>'Timing &amp; Flags'!N43</f>
        <v>1</v>
      </c>
      <c r="O18" s="41">
        <f>'Timing &amp; Flags'!O43</f>
        <v>1</v>
      </c>
      <c r="P18" s="41">
        <f>'Timing &amp; Flags'!P43</f>
        <v>1</v>
      </c>
      <c r="Q18" s="41">
        <f>'Timing &amp; Flags'!Q43</f>
        <v>1</v>
      </c>
      <c r="R18" s="41">
        <f>'Timing &amp; Flags'!R43</f>
        <v>1</v>
      </c>
      <c r="S18" s="41">
        <f>'Timing &amp; Flags'!S43</f>
        <v>1</v>
      </c>
      <c r="T18" s="41">
        <f>'Timing &amp; Flags'!T43</f>
        <v>1</v>
      </c>
      <c r="U18" s="41">
        <f>'Timing &amp; Flags'!U43</f>
        <v>1</v>
      </c>
      <c r="V18" s="41">
        <f>'Timing &amp; Flags'!V43</f>
        <v>1</v>
      </c>
      <c r="W18" s="41">
        <f>'Timing &amp; Flags'!W43</f>
        <v>1</v>
      </c>
      <c r="X18" s="41">
        <f>'Timing &amp; Flags'!X43</f>
        <v>1</v>
      </c>
      <c r="Y18" s="41">
        <f>'Timing &amp; Flags'!Y43</f>
        <v>1</v>
      </c>
      <c r="Z18" s="41">
        <f>'Timing &amp; Flags'!Z43</f>
        <v>1</v>
      </c>
      <c r="AA18" s="41">
        <f>'Timing &amp; Flags'!AA43</f>
        <v>1</v>
      </c>
      <c r="AB18" s="41">
        <f>'Timing &amp; Flags'!AB43</f>
        <v>1</v>
      </c>
      <c r="AC18" s="41">
        <f>'Timing &amp; Flags'!AC43</f>
        <v>1</v>
      </c>
      <c r="AD18" s="41">
        <f>'Timing &amp; Flags'!AD43</f>
        <v>1</v>
      </c>
      <c r="AE18" s="41">
        <f>'Timing &amp; Flags'!AE43</f>
        <v>1</v>
      </c>
      <c r="AF18" s="41">
        <f>'Timing &amp; Flags'!AF43</f>
        <v>1</v>
      </c>
      <c r="AG18" s="41">
        <f>'Timing &amp; Flags'!AG43</f>
        <v>1</v>
      </c>
      <c r="AH18" s="41">
        <f>'Timing &amp; Flags'!AH43</f>
        <v>1</v>
      </c>
      <c r="AI18" s="41">
        <f>'Timing &amp; Flags'!AI43</f>
        <v>1</v>
      </c>
      <c r="AJ18" s="41">
        <f>'Timing &amp; Flags'!AJ43</f>
        <v>1</v>
      </c>
      <c r="AK18" s="41">
        <f>'Timing &amp; Flags'!AK43</f>
        <v>1</v>
      </c>
      <c r="AL18" s="41">
        <f>'Timing &amp; Flags'!AL43</f>
        <v>1</v>
      </c>
      <c r="AM18" s="41">
        <f>'Timing &amp; Flags'!AM43</f>
        <v>0</v>
      </c>
      <c r="AN18" s="41">
        <f>'Timing &amp; Flags'!AN43</f>
        <v>0</v>
      </c>
      <c r="AO18" s="41">
        <f>'Timing &amp; Flags'!AO43</f>
        <v>0</v>
      </c>
      <c r="AP18" s="41">
        <f>'Timing &amp; Flags'!AP43</f>
        <v>0</v>
      </c>
      <c r="AQ18" s="41">
        <f>'Timing &amp; Flags'!AQ43</f>
        <v>0</v>
      </c>
      <c r="AR18" s="41">
        <f>'Timing &amp; Flags'!AR43</f>
        <v>0</v>
      </c>
      <c r="AS18" s="41">
        <f>'Timing &amp; Flags'!AS43</f>
        <v>0</v>
      </c>
      <c r="AT18" s="41">
        <f>'Timing &amp; Flags'!AT43</f>
        <v>0</v>
      </c>
      <c r="AU18" s="41">
        <f>'Timing &amp; Flags'!AU43</f>
        <v>0</v>
      </c>
      <c r="AV18" s="41">
        <f>'Timing &amp; Flags'!AV43</f>
        <v>0</v>
      </c>
      <c r="AW18" s="41">
        <f>'Timing &amp; Flags'!AW43</f>
        <v>0</v>
      </c>
    </row>
    <row r="19" spans="1:51">
      <c r="B19" s="2" t="s">
        <v>67</v>
      </c>
      <c r="C19" s="15" t="s">
        <v>60</v>
      </c>
      <c r="D19" s="37">
        <f>SUM(I19:AW19)</f>
        <v>1</v>
      </c>
      <c r="I19" s="41">
        <f>'Timing &amp; Flags'!I44</f>
        <v>0</v>
      </c>
      <c r="J19" s="41">
        <f>'Timing &amp; Flags'!J44</f>
        <v>0</v>
      </c>
      <c r="K19" s="41">
        <f>'Timing &amp; Flags'!K44</f>
        <v>0</v>
      </c>
      <c r="L19" s="41">
        <f>'Timing &amp; Flags'!L44</f>
        <v>0</v>
      </c>
      <c r="M19" s="41">
        <f>'Timing &amp; Flags'!M44</f>
        <v>0</v>
      </c>
      <c r="N19" s="41">
        <f>'Timing &amp; Flags'!N44</f>
        <v>0</v>
      </c>
      <c r="O19" s="41">
        <f>'Timing &amp; Flags'!O44</f>
        <v>0</v>
      </c>
      <c r="P19" s="41">
        <f>'Timing &amp; Flags'!P44</f>
        <v>0</v>
      </c>
      <c r="Q19" s="41">
        <f>'Timing &amp; Flags'!Q44</f>
        <v>0</v>
      </c>
      <c r="R19" s="41">
        <f>'Timing &amp; Flags'!R44</f>
        <v>0</v>
      </c>
      <c r="S19" s="41">
        <f>'Timing &amp; Flags'!S44</f>
        <v>0</v>
      </c>
      <c r="T19" s="41">
        <f>'Timing &amp; Flags'!T44</f>
        <v>0</v>
      </c>
      <c r="U19" s="41">
        <f>'Timing &amp; Flags'!U44</f>
        <v>0</v>
      </c>
      <c r="V19" s="41">
        <f>'Timing &amp; Flags'!V44</f>
        <v>0</v>
      </c>
      <c r="W19" s="41">
        <f>'Timing &amp; Flags'!W44</f>
        <v>0</v>
      </c>
      <c r="X19" s="41">
        <f>'Timing &amp; Flags'!X44</f>
        <v>0</v>
      </c>
      <c r="Y19" s="41">
        <f>'Timing &amp; Flags'!Y44</f>
        <v>0</v>
      </c>
      <c r="Z19" s="41">
        <f>'Timing &amp; Flags'!Z44</f>
        <v>0</v>
      </c>
      <c r="AA19" s="41">
        <f>'Timing &amp; Flags'!AA44</f>
        <v>0</v>
      </c>
      <c r="AB19" s="41">
        <f>'Timing &amp; Flags'!AB44</f>
        <v>0</v>
      </c>
      <c r="AC19" s="41">
        <f>'Timing &amp; Flags'!AC44</f>
        <v>0</v>
      </c>
      <c r="AD19" s="41">
        <f>'Timing &amp; Flags'!AD44</f>
        <v>0</v>
      </c>
      <c r="AE19" s="41">
        <f>'Timing &amp; Flags'!AE44</f>
        <v>0</v>
      </c>
      <c r="AF19" s="41">
        <f>'Timing &amp; Flags'!AF44</f>
        <v>0</v>
      </c>
      <c r="AG19" s="41">
        <f>'Timing &amp; Flags'!AG44</f>
        <v>0</v>
      </c>
      <c r="AH19" s="41">
        <f>'Timing &amp; Flags'!AH44</f>
        <v>0</v>
      </c>
      <c r="AI19" s="41">
        <f>'Timing &amp; Flags'!AI44</f>
        <v>0</v>
      </c>
      <c r="AJ19" s="41">
        <f>'Timing &amp; Flags'!AJ44</f>
        <v>0</v>
      </c>
      <c r="AK19" s="41">
        <f>'Timing &amp; Flags'!AK44</f>
        <v>0</v>
      </c>
      <c r="AL19" s="41">
        <f>'Timing &amp; Flags'!AL44</f>
        <v>1</v>
      </c>
      <c r="AM19" s="41">
        <f>'Timing &amp; Flags'!AM44</f>
        <v>0</v>
      </c>
      <c r="AN19" s="41">
        <f>'Timing &amp; Flags'!AN44</f>
        <v>0</v>
      </c>
      <c r="AO19" s="41">
        <f>'Timing &amp; Flags'!AO44</f>
        <v>0</v>
      </c>
      <c r="AP19" s="41">
        <f>'Timing &amp; Flags'!AP44</f>
        <v>0</v>
      </c>
      <c r="AQ19" s="41">
        <f>'Timing &amp; Flags'!AQ44</f>
        <v>0</v>
      </c>
      <c r="AR19" s="41">
        <f>'Timing &amp; Flags'!AR44</f>
        <v>0</v>
      </c>
      <c r="AS19" s="41">
        <f>'Timing &amp; Flags'!AS44</f>
        <v>0</v>
      </c>
      <c r="AT19" s="41">
        <f>'Timing &amp; Flags'!AT44</f>
        <v>0</v>
      </c>
      <c r="AU19" s="41">
        <f>'Timing &amp; Flags'!AU44</f>
        <v>0</v>
      </c>
      <c r="AV19" s="41">
        <f>'Timing &amp; Flags'!AV44</f>
        <v>0</v>
      </c>
      <c r="AW19" s="41">
        <f>'Timing &amp; Flags'!AW44</f>
        <v>0</v>
      </c>
    </row>
    <row r="21" spans="1:51">
      <c r="B21" s="2" t="s">
        <v>538</v>
      </c>
      <c r="C21" s="15" t="s">
        <v>60</v>
      </c>
      <c r="D21" s="37">
        <f>SUM(I21:AW21)</f>
        <v>30</v>
      </c>
      <c r="I21" s="2">
        <f>'Timing &amp; Flags'!I49</f>
        <v>1</v>
      </c>
      <c r="J21" s="2">
        <f>'Timing &amp; Flags'!J49</f>
        <v>1</v>
      </c>
      <c r="K21" s="2">
        <f>'Timing &amp; Flags'!K49</f>
        <v>1</v>
      </c>
      <c r="L21" s="2">
        <f>'Timing &amp; Flags'!L49</f>
        <v>1</v>
      </c>
      <c r="M21" s="2">
        <f>'Timing &amp; Flags'!M49</f>
        <v>1</v>
      </c>
      <c r="N21" s="2">
        <f>'Timing &amp; Flags'!N49</f>
        <v>1</v>
      </c>
      <c r="O21" s="2">
        <f>'Timing &amp; Flags'!O49</f>
        <v>1</v>
      </c>
      <c r="P21" s="2">
        <f>'Timing &amp; Flags'!P49</f>
        <v>1</v>
      </c>
      <c r="Q21" s="2">
        <f>'Timing &amp; Flags'!Q49</f>
        <v>1</v>
      </c>
      <c r="R21" s="2">
        <f>'Timing &amp; Flags'!R49</f>
        <v>1</v>
      </c>
      <c r="S21" s="2">
        <f>'Timing &amp; Flags'!S49</f>
        <v>1</v>
      </c>
      <c r="T21" s="2">
        <f>'Timing &amp; Flags'!T49</f>
        <v>1</v>
      </c>
      <c r="U21" s="2">
        <f>'Timing &amp; Flags'!U49</f>
        <v>1</v>
      </c>
      <c r="V21" s="2">
        <f>'Timing &amp; Flags'!V49</f>
        <v>1</v>
      </c>
      <c r="W21" s="2">
        <f>'Timing &amp; Flags'!W49</f>
        <v>1</v>
      </c>
      <c r="X21" s="2">
        <f>'Timing &amp; Flags'!X49</f>
        <v>1</v>
      </c>
      <c r="Y21" s="2">
        <f>'Timing &amp; Flags'!Y49</f>
        <v>1</v>
      </c>
      <c r="Z21" s="2">
        <f>'Timing &amp; Flags'!Z49</f>
        <v>1</v>
      </c>
      <c r="AA21" s="2">
        <f>'Timing &amp; Flags'!AA49</f>
        <v>1</v>
      </c>
      <c r="AB21" s="2">
        <f>'Timing &amp; Flags'!AB49</f>
        <v>1</v>
      </c>
      <c r="AC21" s="2">
        <f>'Timing &amp; Flags'!AC49</f>
        <v>1</v>
      </c>
      <c r="AD21" s="2">
        <f>'Timing &amp; Flags'!AD49</f>
        <v>1</v>
      </c>
      <c r="AE21" s="2">
        <f>'Timing &amp; Flags'!AE49</f>
        <v>1</v>
      </c>
      <c r="AF21" s="2">
        <f>'Timing &amp; Flags'!AF49</f>
        <v>1</v>
      </c>
      <c r="AG21" s="2">
        <f>'Timing &amp; Flags'!AG49</f>
        <v>1</v>
      </c>
      <c r="AH21" s="2">
        <f>'Timing &amp; Flags'!AH49</f>
        <v>1</v>
      </c>
      <c r="AI21" s="2">
        <f>'Timing &amp; Flags'!AI49</f>
        <v>1</v>
      </c>
      <c r="AJ21" s="2">
        <f>'Timing &amp; Flags'!AJ49</f>
        <v>1</v>
      </c>
      <c r="AK21" s="2">
        <f>'Timing &amp; Flags'!AK49</f>
        <v>1</v>
      </c>
      <c r="AL21" s="2">
        <f>'Timing &amp; Flags'!AL49</f>
        <v>1</v>
      </c>
      <c r="AM21" s="2">
        <f>'Timing &amp; Flags'!AM49</f>
        <v>0</v>
      </c>
      <c r="AN21" s="2">
        <f>'Timing &amp; Flags'!AN49</f>
        <v>0</v>
      </c>
      <c r="AO21" s="2">
        <f>'Timing &amp; Flags'!AO49</f>
        <v>0</v>
      </c>
      <c r="AP21" s="2">
        <f>'Timing &amp; Flags'!AP49</f>
        <v>0</v>
      </c>
      <c r="AQ21" s="2">
        <f>'Timing &amp; Flags'!AQ49</f>
        <v>0</v>
      </c>
      <c r="AR21" s="2">
        <f>'Timing &amp; Flags'!AR49</f>
        <v>0</v>
      </c>
      <c r="AS21" s="2">
        <f>'Timing &amp; Flags'!AS49</f>
        <v>0</v>
      </c>
      <c r="AT21" s="2">
        <f>'Timing &amp; Flags'!AT49</f>
        <v>0</v>
      </c>
      <c r="AU21" s="2">
        <f>'Timing &amp; Flags'!AU49</f>
        <v>0</v>
      </c>
      <c r="AV21" s="2">
        <f>'Timing &amp; Flags'!AV49</f>
        <v>0</v>
      </c>
      <c r="AW21" s="2">
        <f>'Timing &amp; Flags'!AW49</f>
        <v>0</v>
      </c>
    </row>
    <row r="23" spans="1:51">
      <c r="B23" s="50" t="s">
        <v>69</v>
      </c>
    </row>
    <row r="24" spans="1:51">
      <c r="B24" s="2" t="s">
        <v>56</v>
      </c>
      <c r="C24" s="15" t="s">
        <v>72</v>
      </c>
      <c r="D24" s="139">
        <f ca="1">SUM(I24:AL24)</f>
        <v>3.0000074855902388</v>
      </c>
      <c r="I24" s="17">
        <f ca="1">'Timing &amp; Flags'!I54</f>
        <v>1</v>
      </c>
      <c r="J24" s="17">
        <f ca="1">'Timing &amp; Flags'!J54</f>
        <v>0.99726775956284153</v>
      </c>
      <c r="K24" s="17">
        <f ca="1">'Timing &amp; Flags'!K54</f>
        <v>1.0027397260273974</v>
      </c>
      <c r="L24" s="17">
        <f>'Timing &amp; Flags'!L54</f>
        <v>0</v>
      </c>
      <c r="M24" s="17">
        <f>'Timing &amp; Flags'!M54</f>
        <v>0</v>
      </c>
      <c r="N24" s="17">
        <f>'Timing &amp; Flags'!N54</f>
        <v>0</v>
      </c>
      <c r="O24" s="17">
        <f>'Timing &amp; Flags'!O54</f>
        <v>0</v>
      </c>
      <c r="P24" s="17">
        <f>'Timing &amp; Flags'!P54</f>
        <v>0</v>
      </c>
      <c r="Q24" s="17">
        <f>'Timing &amp; Flags'!Q54</f>
        <v>0</v>
      </c>
      <c r="R24" s="17">
        <f>'Timing &amp; Flags'!R54</f>
        <v>0</v>
      </c>
      <c r="S24" s="17">
        <f>'Timing &amp; Flags'!S54</f>
        <v>0</v>
      </c>
      <c r="T24" s="17">
        <f>'Timing &amp; Flags'!T54</f>
        <v>0</v>
      </c>
      <c r="U24" s="17">
        <f>'Timing &amp; Flags'!U54</f>
        <v>0</v>
      </c>
      <c r="V24" s="17">
        <f>'Timing &amp; Flags'!V54</f>
        <v>0</v>
      </c>
      <c r="W24" s="17">
        <f>'Timing &amp; Flags'!W54</f>
        <v>0</v>
      </c>
      <c r="X24" s="17">
        <f>'Timing &amp; Flags'!X54</f>
        <v>0</v>
      </c>
      <c r="Y24" s="17">
        <f>'Timing &amp; Flags'!Y54</f>
        <v>0</v>
      </c>
      <c r="Z24" s="17">
        <f>'Timing &amp; Flags'!Z54</f>
        <v>0</v>
      </c>
      <c r="AA24" s="17">
        <f>'Timing &amp; Flags'!AA54</f>
        <v>0</v>
      </c>
      <c r="AB24" s="17">
        <f>'Timing &amp; Flags'!AB54</f>
        <v>0</v>
      </c>
      <c r="AC24" s="17">
        <f>'Timing &amp; Flags'!AC54</f>
        <v>0</v>
      </c>
      <c r="AD24" s="17">
        <f>'Timing &amp; Flags'!AD54</f>
        <v>0</v>
      </c>
      <c r="AE24" s="17">
        <f>'Timing &amp; Flags'!AE54</f>
        <v>0</v>
      </c>
      <c r="AF24" s="17">
        <f>'Timing &amp; Flags'!AF54</f>
        <v>0</v>
      </c>
      <c r="AG24" s="17">
        <f>'Timing &amp; Flags'!AG54</f>
        <v>0</v>
      </c>
      <c r="AH24" s="17">
        <f>'Timing &amp; Flags'!AH54</f>
        <v>0</v>
      </c>
      <c r="AI24" s="17">
        <f>'Timing &amp; Flags'!AI54</f>
        <v>0</v>
      </c>
      <c r="AJ24" s="17">
        <f>'Timing &amp; Flags'!AJ54</f>
        <v>0</v>
      </c>
      <c r="AK24" s="17">
        <f>'Timing &amp; Flags'!AK54</f>
        <v>0</v>
      </c>
      <c r="AL24" s="17">
        <f>'Timing &amp; Flags'!AL54</f>
        <v>0</v>
      </c>
      <c r="AM24" s="17">
        <f>'Timing &amp; Flags'!AM54</f>
        <v>0</v>
      </c>
      <c r="AN24" s="17">
        <f>'Timing &amp; Flags'!AN54</f>
        <v>0</v>
      </c>
      <c r="AO24" s="17">
        <f>'Timing &amp; Flags'!AO54</f>
        <v>0</v>
      </c>
      <c r="AP24" s="17">
        <f>'Timing &amp; Flags'!AP54</f>
        <v>0</v>
      </c>
      <c r="AQ24" s="17">
        <f>'Timing &amp; Flags'!AQ54</f>
        <v>0</v>
      </c>
      <c r="AR24" s="17">
        <f>'Timing &amp; Flags'!AR54</f>
        <v>0</v>
      </c>
      <c r="AS24" s="17">
        <f>'Timing &amp; Flags'!AS54</f>
        <v>0</v>
      </c>
      <c r="AT24" s="17">
        <f>'Timing &amp; Flags'!AT54</f>
        <v>0</v>
      </c>
      <c r="AU24" s="17">
        <f>'Timing &amp; Flags'!AU54</f>
        <v>0</v>
      </c>
      <c r="AV24" s="17">
        <f>'Timing &amp; Flags'!AV54</f>
        <v>0</v>
      </c>
      <c r="AW24" s="17">
        <f>'Timing &amp; Flags'!AW54</f>
        <v>0</v>
      </c>
      <c r="AX24" s="17">
        <f>'Timing &amp; Flags'!AX54</f>
        <v>0</v>
      </c>
      <c r="AY24" s="17">
        <f>'Timing &amp; Flags'!AY54</f>
        <v>0</v>
      </c>
    </row>
    <row r="25" spans="1:51">
      <c r="B25" s="27" t="s">
        <v>57</v>
      </c>
      <c r="C25" s="15" t="s">
        <v>1073</v>
      </c>
      <c r="D25" s="139">
        <f ca="1">SUM(I25:AW25)</f>
        <v>27.00004491354143</v>
      </c>
      <c r="E25" s="27"/>
      <c r="F25" s="27"/>
      <c r="G25" s="27"/>
      <c r="H25" s="27"/>
      <c r="I25" s="116">
        <f>'Timing &amp; Flags'!I55</f>
        <v>0</v>
      </c>
      <c r="J25" s="116">
        <f>'Timing &amp; Flags'!J55</f>
        <v>0</v>
      </c>
      <c r="K25" s="116">
        <f>'Timing &amp; Flags'!K55</f>
        <v>0</v>
      </c>
      <c r="L25" s="116">
        <f ca="1">'Timing &amp; Flags'!L55</f>
        <v>1</v>
      </c>
      <c r="M25" s="116">
        <f ca="1">'Timing &amp; Flags'!M55</f>
        <v>1</v>
      </c>
      <c r="N25" s="116">
        <f ca="1">'Timing &amp; Flags'!N55</f>
        <v>0.99726775956284153</v>
      </c>
      <c r="O25" s="116">
        <f ca="1">'Timing &amp; Flags'!O55</f>
        <v>1.0027397260273974</v>
      </c>
      <c r="P25" s="116">
        <f ca="1">'Timing &amp; Flags'!P55</f>
        <v>1</v>
      </c>
      <c r="Q25" s="116">
        <f ca="1">'Timing &amp; Flags'!Q55</f>
        <v>1</v>
      </c>
      <c r="R25" s="116">
        <f ca="1">'Timing &amp; Flags'!R55</f>
        <v>0.99726775956284153</v>
      </c>
      <c r="S25" s="116">
        <f ca="1">'Timing &amp; Flags'!S55</f>
        <v>1.0027397260273974</v>
      </c>
      <c r="T25" s="116">
        <f ca="1">'Timing &amp; Flags'!T55</f>
        <v>1</v>
      </c>
      <c r="U25" s="116">
        <f ca="1">'Timing &amp; Flags'!U55</f>
        <v>1</v>
      </c>
      <c r="V25" s="116">
        <f ca="1">'Timing &amp; Flags'!V55</f>
        <v>0.99726775956284153</v>
      </c>
      <c r="W25" s="116">
        <f ca="1">'Timing &amp; Flags'!W55</f>
        <v>1.0027397260273974</v>
      </c>
      <c r="X25" s="116">
        <f ca="1">'Timing &amp; Flags'!X55</f>
        <v>1</v>
      </c>
      <c r="Y25" s="116">
        <f ca="1">'Timing &amp; Flags'!Y55</f>
        <v>1</v>
      </c>
      <c r="Z25" s="116">
        <f ca="1">'Timing &amp; Flags'!Z55</f>
        <v>0.99726775956284153</v>
      </c>
      <c r="AA25" s="116">
        <f ca="1">'Timing &amp; Flags'!AA55</f>
        <v>1.0027397260273974</v>
      </c>
      <c r="AB25" s="116">
        <f ca="1">'Timing &amp; Flags'!AB55</f>
        <v>1</v>
      </c>
      <c r="AC25" s="116">
        <f ca="1">'Timing &amp; Flags'!AC55</f>
        <v>1</v>
      </c>
      <c r="AD25" s="116">
        <f ca="1">'Timing &amp; Flags'!AD55</f>
        <v>0.99726775956284153</v>
      </c>
      <c r="AE25" s="116">
        <f ca="1">'Timing &amp; Flags'!AE55</f>
        <v>1.0027397260273974</v>
      </c>
      <c r="AF25" s="116">
        <f ca="1">'Timing &amp; Flags'!AF55</f>
        <v>1</v>
      </c>
      <c r="AG25" s="116">
        <f ca="1">'Timing &amp; Flags'!AG55</f>
        <v>1</v>
      </c>
      <c r="AH25" s="116">
        <f ca="1">'Timing &amp; Flags'!AH55</f>
        <v>0.99726775956284153</v>
      </c>
      <c r="AI25" s="116">
        <f ca="1">'Timing &amp; Flags'!AI55</f>
        <v>1.0027397260273974</v>
      </c>
      <c r="AJ25" s="116">
        <f ca="1">'Timing &amp; Flags'!AJ55</f>
        <v>1</v>
      </c>
      <c r="AK25" s="116">
        <f ca="1">'Timing &amp; Flags'!AK55</f>
        <v>1</v>
      </c>
      <c r="AL25" s="116">
        <f ca="1">'Timing &amp; Flags'!AL55</f>
        <v>1</v>
      </c>
      <c r="AM25" s="116">
        <f>'Timing &amp; Flags'!AM55</f>
        <v>0</v>
      </c>
      <c r="AN25" s="116">
        <f>'Timing &amp; Flags'!AN55</f>
        <v>0</v>
      </c>
      <c r="AO25" s="116">
        <f>'Timing &amp; Flags'!AO55</f>
        <v>0</v>
      </c>
      <c r="AP25" s="116">
        <f>'Timing &amp; Flags'!AP55</f>
        <v>0</v>
      </c>
      <c r="AQ25" s="116">
        <f>'Timing &amp; Flags'!AQ55</f>
        <v>0</v>
      </c>
      <c r="AR25" s="116">
        <f>'Timing &amp; Flags'!AR55</f>
        <v>0</v>
      </c>
      <c r="AS25" s="116">
        <f>'Timing &amp; Flags'!AS55</f>
        <v>0</v>
      </c>
      <c r="AT25" s="116">
        <f>'Timing &amp; Flags'!AT55</f>
        <v>0</v>
      </c>
      <c r="AU25" s="116">
        <f>'Timing &amp; Flags'!AU55</f>
        <v>0</v>
      </c>
      <c r="AV25" s="116">
        <f>'Timing &amp; Flags'!AV55</f>
        <v>0</v>
      </c>
      <c r="AW25" s="116">
        <f>'Timing &amp; Flags'!AW55</f>
        <v>0</v>
      </c>
      <c r="AX25" s="116">
        <f>'Timing &amp; Flags'!AX55</f>
        <v>0</v>
      </c>
    </row>
    <row r="26" spans="1:51">
      <c r="B26" s="2" t="s">
        <v>71</v>
      </c>
      <c r="C26" s="132" t="s">
        <v>72</v>
      </c>
      <c r="D26" s="140">
        <f ca="1">SUM(D24:D25)</f>
        <v>30.000052399131668</v>
      </c>
      <c r="I26" s="17">
        <f ca="1">SUM(I24:I25)</f>
        <v>1</v>
      </c>
      <c r="J26" s="17">
        <f t="shared" ref="J26:AX26" ca="1" si="0">SUM(J24:J25)</f>
        <v>0.99726775956284153</v>
      </c>
      <c r="K26" s="17">
        <f t="shared" ca="1" si="0"/>
        <v>1.0027397260273974</v>
      </c>
      <c r="L26" s="17">
        <f t="shared" ca="1" si="0"/>
        <v>1</v>
      </c>
      <c r="M26" s="17">
        <f t="shared" ca="1" si="0"/>
        <v>1</v>
      </c>
      <c r="N26" s="17">
        <f t="shared" ca="1" si="0"/>
        <v>0.99726775956284153</v>
      </c>
      <c r="O26" s="17">
        <f t="shared" ca="1" si="0"/>
        <v>1.0027397260273974</v>
      </c>
      <c r="P26" s="17">
        <f t="shared" ca="1" si="0"/>
        <v>1</v>
      </c>
      <c r="Q26" s="17">
        <f t="shared" ca="1" si="0"/>
        <v>1</v>
      </c>
      <c r="R26" s="17">
        <f t="shared" ca="1" si="0"/>
        <v>0.99726775956284153</v>
      </c>
      <c r="S26" s="17">
        <f t="shared" ca="1" si="0"/>
        <v>1.0027397260273974</v>
      </c>
      <c r="T26" s="17">
        <f t="shared" ca="1" si="0"/>
        <v>1</v>
      </c>
      <c r="U26" s="17">
        <f t="shared" ca="1" si="0"/>
        <v>1</v>
      </c>
      <c r="V26" s="17">
        <f t="shared" ca="1" si="0"/>
        <v>0.99726775956284153</v>
      </c>
      <c r="W26" s="17">
        <f t="shared" ca="1" si="0"/>
        <v>1.0027397260273974</v>
      </c>
      <c r="X26" s="17">
        <f t="shared" ca="1" si="0"/>
        <v>1</v>
      </c>
      <c r="Y26" s="17">
        <f t="shared" ca="1" si="0"/>
        <v>1</v>
      </c>
      <c r="Z26" s="17">
        <f t="shared" ca="1" si="0"/>
        <v>0.99726775956284153</v>
      </c>
      <c r="AA26" s="17">
        <f t="shared" ca="1" si="0"/>
        <v>1.0027397260273974</v>
      </c>
      <c r="AB26" s="17">
        <f t="shared" ca="1" si="0"/>
        <v>1</v>
      </c>
      <c r="AC26" s="17">
        <f t="shared" ca="1" si="0"/>
        <v>1</v>
      </c>
      <c r="AD26" s="17">
        <f t="shared" ca="1" si="0"/>
        <v>0.99726775956284153</v>
      </c>
      <c r="AE26" s="17">
        <f t="shared" ca="1" si="0"/>
        <v>1.0027397260273974</v>
      </c>
      <c r="AF26" s="17">
        <f t="shared" ca="1" si="0"/>
        <v>1</v>
      </c>
      <c r="AG26" s="17">
        <f t="shared" ca="1" si="0"/>
        <v>1</v>
      </c>
      <c r="AH26" s="17">
        <f t="shared" ca="1" si="0"/>
        <v>0.99726775956284153</v>
      </c>
      <c r="AI26" s="17">
        <f t="shared" ca="1" si="0"/>
        <v>1.0027397260273974</v>
      </c>
      <c r="AJ26" s="17">
        <f t="shared" ca="1" si="0"/>
        <v>1</v>
      </c>
      <c r="AK26" s="17">
        <f t="shared" ca="1" si="0"/>
        <v>1</v>
      </c>
      <c r="AL26" s="17">
        <f t="shared" ca="1" si="0"/>
        <v>1</v>
      </c>
      <c r="AM26" s="17">
        <f t="shared" si="0"/>
        <v>0</v>
      </c>
      <c r="AN26" s="17">
        <f t="shared" si="0"/>
        <v>0</v>
      </c>
      <c r="AO26" s="17">
        <f t="shared" si="0"/>
        <v>0</v>
      </c>
      <c r="AP26" s="17">
        <f t="shared" si="0"/>
        <v>0</v>
      </c>
      <c r="AQ26" s="17">
        <f t="shared" si="0"/>
        <v>0</v>
      </c>
      <c r="AR26" s="17">
        <f t="shared" si="0"/>
        <v>0</v>
      </c>
      <c r="AS26" s="17">
        <f t="shared" si="0"/>
        <v>0</v>
      </c>
      <c r="AT26" s="17">
        <f t="shared" si="0"/>
        <v>0</v>
      </c>
      <c r="AU26" s="17">
        <f t="shared" si="0"/>
        <v>0</v>
      </c>
      <c r="AV26" s="17">
        <f t="shared" si="0"/>
        <v>0</v>
      </c>
      <c r="AW26" s="17">
        <f t="shared" si="0"/>
        <v>0</v>
      </c>
      <c r="AX26" s="17">
        <f t="shared" si="0"/>
        <v>0</v>
      </c>
    </row>
    <row r="27" spans="1:51">
      <c r="B27" s="5"/>
    </row>
    <row r="28" spans="1:51">
      <c r="B28" s="8"/>
    </row>
    <row r="29" spans="1:51">
      <c r="A29" s="6" t="s">
        <v>1384</v>
      </c>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row>
    <row r="30" spans="1:51">
      <c r="B30" s="5"/>
    </row>
    <row r="31" spans="1:51">
      <c r="B31" s="586" t="s">
        <v>866</v>
      </c>
    </row>
    <row r="32" spans="1:5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row>
    <row r="33" spans="2:53">
      <c r="B33" s="2" t="s">
        <v>1409</v>
      </c>
      <c r="I33" s="41">
        <f>'Assumption '!M161</f>
        <v>21.489978510000004</v>
      </c>
      <c r="J33" s="41">
        <f>'Assumption '!N161</f>
        <v>21.489978510000004</v>
      </c>
      <c r="K33" s="41">
        <f>'Assumption '!O161</f>
        <v>21.489978510000004</v>
      </c>
      <c r="L33" s="41">
        <f>'Assumption '!P161</f>
        <v>21.489978510000004</v>
      </c>
      <c r="M33" s="41">
        <f>'Assumption '!Q161</f>
        <v>21.489978510000004</v>
      </c>
      <c r="N33" s="41">
        <f>'Assumption '!R161</f>
        <v>21.489978510000004</v>
      </c>
      <c r="O33" s="41">
        <f>'Assumption '!S161</f>
        <v>21.489978510000004</v>
      </c>
      <c r="P33" s="41">
        <f>'Assumption '!T161</f>
        <v>21.489978510000004</v>
      </c>
      <c r="Q33" s="41">
        <f>'Assumption '!U161</f>
        <v>21.489978510000004</v>
      </c>
      <c r="R33" s="41">
        <f>'Assumption '!V161</f>
        <v>21.489978510000004</v>
      </c>
      <c r="S33" s="41">
        <f>'Assumption '!W161</f>
        <v>21.489978510000004</v>
      </c>
      <c r="T33" s="41">
        <f>'Assumption '!X161</f>
        <v>21.489978510000004</v>
      </c>
      <c r="U33" s="41">
        <f>'Assumption '!Y161</f>
        <v>21.489978510000004</v>
      </c>
      <c r="V33" s="41">
        <f>'Assumption '!Z161</f>
        <v>21.489978510000004</v>
      </c>
      <c r="W33" s="41">
        <f>'Assumption '!AA161</f>
        <v>21.489978510000004</v>
      </c>
      <c r="X33" s="41">
        <f>'Assumption '!AB161</f>
        <v>21.489978510000004</v>
      </c>
      <c r="Y33" s="41">
        <f>'Assumption '!AC161</f>
        <v>21.489978510000004</v>
      </c>
      <c r="Z33" s="41">
        <f>'Assumption '!AD161</f>
        <v>21.489978510000004</v>
      </c>
      <c r="AA33" s="41">
        <f>'Assumption '!AE161</f>
        <v>21.489978510000004</v>
      </c>
      <c r="AB33" s="41">
        <f>'Assumption '!AF161</f>
        <v>21.489978510000004</v>
      </c>
      <c r="AC33" s="41">
        <f>'Assumption '!AG161</f>
        <v>21.489978510000004</v>
      </c>
      <c r="AD33" s="41">
        <f>'Assumption '!AH161</f>
        <v>21.489978510000004</v>
      </c>
      <c r="AE33" s="41">
        <f>'Assumption '!AI161</f>
        <v>21.489978510000004</v>
      </c>
      <c r="AF33" s="41">
        <f>'Assumption '!AJ161</f>
        <v>21.489978510000004</v>
      </c>
      <c r="AG33" s="41">
        <f>'Assumption '!AK161</f>
        <v>21.489978510000004</v>
      </c>
      <c r="AH33" s="41">
        <f>'Assumption '!AL161</f>
        <v>21.489978510000004</v>
      </c>
      <c r="AI33" s="41">
        <f>'Assumption '!AM161</f>
        <v>21.489978510000004</v>
      </c>
      <c r="AJ33" s="41">
        <f>'Assumption '!AN161</f>
        <v>21.489978510000004</v>
      </c>
      <c r="AK33" s="41">
        <f>'Assumption '!AO161</f>
        <v>21.489978510000004</v>
      </c>
      <c r="AL33" s="41">
        <f>'Assumption '!AP161</f>
        <v>21.489978510000004</v>
      </c>
      <c r="AM33" s="41">
        <f>'Assumption '!AQ161</f>
        <v>0</v>
      </c>
      <c r="AN33" s="41">
        <f>'Assumption '!AR161</f>
        <v>0</v>
      </c>
      <c r="AO33" s="41">
        <f>'Assumption '!AS161</f>
        <v>0</v>
      </c>
      <c r="AP33" s="41">
        <f>'Assumption '!AT161</f>
        <v>0</v>
      </c>
      <c r="AQ33" s="41">
        <f>'Assumption '!AU161</f>
        <v>0</v>
      </c>
      <c r="AR33" s="41">
        <f>'Assumption '!AV161</f>
        <v>0</v>
      </c>
      <c r="AS33" s="41">
        <f>'Assumption '!AW161</f>
        <v>0</v>
      </c>
      <c r="AT33" s="41">
        <f>'Assumption '!AX161</f>
        <v>0</v>
      </c>
      <c r="AU33" s="41">
        <f>'Assumption '!AY161</f>
        <v>0</v>
      </c>
      <c r="AV33" s="41">
        <f>'Assumption '!AZ161</f>
        <v>0</v>
      </c>
      <c r="AW33" s="41">
        <f>'Assumption '!BA161</f>
        <v>0</v>
      </c>
      <c r="AX33" s="41">
        <f>'Assumption '!BB161</f>
        <v>0</v>
      </c>
      <c r="AY33" s="2">
        <f>'Assumption '!BC161</f>
        <v>0</v>
      </c>
    </row>
    <row r="34" spans="2:53">
      <c r="B34" s="2" t="s">
        <v>2146</v>
      </c>
      <c r="I34" s="188">
        <f>'Assumption '!M162</f>
        <v>0</v>
      </c>
      <c r="J34" s="188">
        <f>'Assumption '!N162</f>
        <v>20952729.047250003</v>
      </c>
      <c r="K34" s="41">
        <f ca="1">'Assumption '!O162</f>
        <v>40159397.340562508</v>
      </c>
      <c r="L34" s="41">
        <f ca="1">'Assumption '!P162</f>
        <v>48083826.916125007</v>
      </c>
      <c r="M34" s="41">
        <f ca="1">'Assumption '!Q162</f>
        <v>51038698.961250007</v>
      </c>
      <c r="N34" s="41">
        <f ca="1">'Assumption '!R162</f>
        <v>51038698.961250007</v>
      </c>
      <c r="O34" s="41">
        <f ca="1">'Assumption '!S162</f>
        <v>51038698.961250007</v>
      </c>
      <c r="P34" s="41">
        <f ca="1">'Assumption '!T162</f>
        <v>51038698.961250007</v>
      </c>
      <c r="Q34" s="41">
        <f ca="1">'Assumption '!U162</f>
        <v>51038698.961250007</v>
      </c>
      <c r="R34" s="41">
        <f ca="1">'Assumption '!V162</f>
        <v>51038698.961250007</v>
      </c>
      <c r="S34" s="41">
        <f ca="1">'Assumption '!W162</f>
        <v>51038698.961250007</v>
      </c>
      <c r="T34" s="41">
        <f ca="1">'Assumption '!X162</f>
        <v>51038698.961250007</v>
      </c>
      <c r="U34" s="41">
        <f ca="1">'Assumption '!Y162</f>
        <v>51038698.961250007</v>
      </c>
      <c r="V34" s="41">
        <f ca="1">'Assumption '!Z162</f>
        <v>51038698.961250007</v>
      </c>
      <c r="W34" s="41">
        <f ca="1">'Assumption '!AA162</f>
        <v>51038698.961250007</v>
      </c>
      <c r="X34" s="41">
        <f ca="1">'Assumption '!AB162</f>
        <v>51038698.961250007</v>
      </c>
      <c r="Y34" s="41">
        <f ca="1">'Assumption '!AC162</f>
        <v>51038698.961250007</v>
      </c>
      <c r="Z34" s="41">
        <f ca="1">'Assumption '!AD162</f>
        <v>51038698.961250007</v>
      </c>
      <c r="AA34" s="41">
        <f ca="1">'Assumption '!AE162</f>
        <v>51038698.961250007</v>
      </c>
      <c r="AB34" s="41">
        <f ca="1">'Assumption '!AF162</f>
        <v>51038698.961250007</v>
      </c>
      <c r="AC34" s="41">
        <f ca="1">'Assumption '!AG162</f>
        <v>51038698.961250007</v>
      </c>
      <c r="AD34" s="41">
        <f ca="1">'Assumption '!AH162</f>
        <v>51038698.961250007</v>
      </c>
      <c r="AE34" s="41">
        <f ca="1">'Assumption '!AI162</f>
        <v>51038698.961250007</v>
      </c>
      <c r="AF34" s="41">
        <f ca="1">'Assumption '!AJ162</f>
        <v>51038698.961250007</v>
      </c>
      <c r="AG34" s="41">
        <f ca="1">'Assumption '!AK162</f>
        <v>51038698.961250007</v>
      </c>
      <c r="AH34" s="41">
        <f ca="1">'Assumption '!AL162</f>
        <v>51038698.961250007</v>
      </c>
      <c r="AI34" s="41">
        <f ca="1">'Assumption '!AM162</f>
        <v>51038698.961250007</v>
      </c>
      <c r="AJ34" s="41">
        <f ca="1">'Assumption '!AN162</f>
        <v>51038698.961250007</v>
      </c>
      <c r="AK34" s="41">
        <f ca="1">'Assumption '!AO162</f>
        <v>51038698.961250007</v>
      </c>
      <c r="AL34" s="41">
        <f ca="1">'Assumption '!AP162</f>
        <v>51038698.961250007</v>
      </c>
      <c r="AM34" s="41">
        <f>'Assumption '!AQ162</f>
        <v>0</v>
      </c>
      <c r="AN34" s="41">
        <f>'Assumption '!AR162</f>
        <v>0</v>
      </c>
      <c r="AO34" s="41">
        <f>'Assumption '!AS162</f>
        <v>0</v>
      </c>
      <c r="AP34" s="41">
        <f>'Assumption '!AT162</f>
        <v>0</v>
      </c>
      <c r="AQ34" s="41">
        <f>'Assumption '!AU162</f>
        <v>0</v>
      </c>
      <c r="AR34" s="41">
        <f>'Assumption '!AV162</f>
        <v>0</v>
      </c>
      <c r="AS34" s="41">
        <f>'Assumption '!AW162</f>
        <v>0</v>
      </c>
      <c r="AT34" s="41">
        <f>'Assumption '!AX162</f>
        <v>0</v>
      </c>
      <c r="AU34" s="41">
        <f>'Assumption '!AY162</f>
        <v>0</v>
      </c>
      <c r="AV34" s="41">
        <f>'Assumption '!AZ162</f>
        <v>0</v>
      </c>
      <c r="AW34" s="41">
        <f>'Assumption '!BA162</f>
        <v>0</v>
      </c>
      <c r="AX34" s="41">
        <f>'Assumption '!BB162</f>
        <v>0</v>
      </c>
      <c r="AY34" s="188">
        <f>'Assumption '!BC162</f>
        <v>0</v>
      </c>
    </row>
    <row r="35" spans="2:53">
      <c r="I35" s="188"/>
      <c r="J35" s="188"/>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188"/>
    </row>
    <row r="36" spans="2:53">
      <c r="B36" s="2" t="s">
        <v>2145</v>
      </c>
      <c r="I36" s="188">
        <f>'Assumption '!M167</f>
        <v>0</v>
      </c>
      <c r="J36" s="188">
        <f>'Assumption '!N167</f>
        <v>0</v>
      </c>
      <c r="K36" s="188">
        <f>'Assumption '!O167</f>
        <v>0</v>
      </c>
      <c r="L36" s="188">
        <f>'Assumption '!P167</f>
        <v>0</v>
      </c>
      <c r="M36" s="188">
        <f>'Assumption '!Q167</f>
        <v>0</v>
      </c>
      <c r="N36" s="188">
        <f>'Assumption '!R167</f>
        <v>0</v>
      </c>
      <c r="O36" s="188">
        <f>'Assumption '!S167</f>
        <v>0</v>
      </c>
      <c r="P36" s="188">
        <f>'Assumption '!T167</f>
        <v>0</v>
      </c>
      <c r="Q36" s="188">
        <f>'Assumption '!U167</f>
        <v>0</v>
      </c>
      <c r="R36" s="188">
        <f>'Assumption '!V167</f>
        <v>0</v>
      </c>
      <c r="S36" s="188">
        <f>'Assumption '!W167</f>
        <v>0</v>
      </c>
      <c r="T36" s="188">
        <f>'Assumption '!X167</f>
        <v>0</v>
      </c>
      <c r="U36" s="188">
        <f>'Assumption '!Y167</f>
        <v>0</v>
      </c>
      <c r="V36" s="188">
        <f>'Assumption '!Z167</f>
        <v>0</v>
      </c>
      <c r="W36" s="188">
        <f>'Assumption '!AA167</f>
        <v>0</v>
      </c>
      <c r="X36" s="188">
        <f>'Assumption '!AB167</f>
        <v>0</v>
      </c>
      <c r="Y36" s="188">
        <f>'Assumption '!AC167</f>
        <v>0</v>
      </c>
      <c r="Z36" s="188">
        <f>'Assumption '!AD167</f>
        <v>0</v>
      </c>
      <c r="AA36" s="188">
        <f>'Assumption '!AE167</f>
        <v>0</v>
      </c>
      <c r="AB36" s="188">
        <f>'Assumption '!AF167</f>
        <v>0</v>
      </c>
      <c r="AC36" s="188">
        <f>'Assumption '!AG167</f>
        <v>0</v>
      </c>
      <c r="AD36" s="188">
        <f>'Assumption '!AH167</f>
        <v>0</v>
      </c>
      <c r="AE36" s="188">
        <f>'Assumption '!AI167</f>
        <v>0</v>
      </c>
      <c r="AF36" s="188">
        <f>'Assumption '!AJ167</f>
        <v>0</v>
      </c>
      <c r="AG36" s="188">
        <f>'Assumption '!AK167</f>
        <v>0</v>
      </c>
      <c r="AH36" s="188">
        <f>'Assumption '!AL167</f>
        <v>0</v>
      </c>
      <c r="AI36" s="188">
        <f>'Assumption '!AM167</f>
        <v>0</v>
      </c>
      <c r="AJ36" s="188">
        <f>'Assumption '!AN167</f>
        <v>0</v>
      </c>
      <c r="AK36" s="188">
        <f>'Assumption '!AO167</f>
        <v>0</v>
      </c>
      <c r="AL36" s="188">
        <f>'Assumption '!AP167</f>
        <v>0</v>
      </c>
      <c r="AM36" s="188">
        <f>'Assumption '!AQ167</f>
        <v>0</v>
      </c>
      <c r="AN36" s="188">
        <f>'Assumption '!AR167</f>
        <v>0</v>
      </c>
      <c r="AO36" s="188">
        <f>'Assumption '!AS167</f>
        <v>0</v>
      </c>
      <c r="AP36" s="188">
        <f>'Assumption '!AT167</f>
        <v>0</v>
      </c>
      <c r="AQ36" s="188">
        <f>'Assumption '!AU167</f>
        <v>0</v>
      </c>
      <c r="AR36" s="188">
        <f>'Assumption '!AV167</f>
        <v>0</v>
      </c>
      <c r="AS36" s="188">
        <f>'Assumption '!AW167</f>
        <v>0</v>
      </c>
      <c r="AT36" s="188">
        <f>'Assumption '!AX167</f>
        <v>0</v>
      </c>
      <c r="AU36" s="188">
        <f>'Assumption '!AY167</f>
        <v>0</v>
      </c>
      <c r="AV36" s="188">
        <f>'Assumption '!AZ167</f>
        <v>0</v>
      </c>
      <c r="AW36" s="188">
        <f>'Assumption '!BA167</f>
        <v>0</v>
      </c>
      <c r="AX36" s="41"/>
      <c r="AY36" s="188"/>
    </row>
    <row r="37" spans="2:53">
      <c r="B37" s="2" t="s">
        <v>1385</v>
      </c>
      <c r="I37" s="188">
        <f>'Assumption '!M168</f>
        <v>0</v>
      </c>
      <c r="J37" s="188">
        <f>'Assumption '!N168</f>
        <v>0</v>
      </c>
      <c r="K37" s="188">
        <f>'Assumption '!O168</f>
        <v>0</v>
      </c>
      <c r="L37" s="188">
        <f>'Assumption '!P168</f>
        <v>0</v>
      </c>
      <c r="M37" s="188">
        <f>'Assumption '!Q168</f>
        <v>0</v>
      </c>
      <c r="N37" s="188">
        <f>'Assumption '!R168</f>
        <v>0</v>
      </c>
      <c r="O37" s="188">
        <f>'Assumption '!S168</f>
        <v>0</v>
      </c>
      <c r="P37" s="188">
        <f>'Assumption '!T168</f>
        <v>0</v>
      </c>
      <c r="Q37" s="188">
        <f>'Assumption '!U168</f>
        <v>0</v>
      </c>
      <c r="R37" s="188">
        <f>'Assumption '!V168</f>
        <v>0</v>
      </c>
      <c r="S37" s="188">
        <f>'Assumption '!W168</f>
        <v>0</v>
      </c>
      <c r="T37" s="188">
        <f>'Assumption '!X168</f>
        <v>0</v>
      </c>
      <c r="U37" s="188">
        <f>'Assumption '!Y168</f>
        <v>0</v>
      </c>
      <c r="V37" s="188">
        <f>'Assumption '!Z168</f>
        <v>0</v>
      </c>
      <c r="W37" s="188">
        <f>'Assumption '!AA168</f>
        <v>0</v>
      </c>
      <c r="X37" s="188">
        <f>'Assumption '!AB168</f>
        <v>0</v>
      </c>
      <c r="Y37" s="188">
        <f>'Assumption '!AC168</f>
        <v>0</v>
      </c>
      <c r="Z37" s="188">
        <f>'Assumption '!AD168</f>
        <v>0</v>
      </c>
      <c r="AA37" s="188">
        <f>'Assumption '!AE168</f>
        <v>0</v>
      </c>
      <c r="AB37" s="188">
        <f>'Assumption '!AF168</f>
        <v>0</v>
      </c>
      <c r="AC37" s="188">
        <f>'Assumption '!AG168</f>
        <v>0</v>
      </c>
      <c r="AD37" s="188">
        <f>'Assumption '!AH168</f>
        <v>0</v>
      </c>
      <c r="AE37" s="188">
        <f>'Assumption '!AI168</f>
        <v>0</v>
      </c>
      <c r="AF37" s="188">
        <f>'Assumption '!AJ168</f>
        <v>0</v>
      </c>
      <c r="AG37" s="188">
        <f>'Assumption '!AK168</f>
        <v>0</v>
      </c>
      <c r="AH37" s="188">
        <f>'Assumption '!AL168</f>
        <v>0</v>
      </c>
      <c r="AI37" s="188">
        <f>'Assumption '!AM168</f>
        <v>0</v>
      </c>
      <c r="AJ37" s="188">
        <f>'Assumption '!AN168</f>
        <v>0</v>
      </c>
      <c r="AK37" s="188">
        <f>'Assumption '!AO168</f>
        <v>0</v>
      </c>
      <c r="AL37" s="188">
        <f>'Assumption '!AP168</f>
        <v>0</v>
      </c>
      <c r="AM37" s="188">
        <f>'Assumption '!AQ168</f>
        <v>0</v>
      </c>
      <c r="AN37" s="188">
        <f>'Assumption '!AR168</f>
        <v>0</v>
      </c>
      <c r="AO37" s="188">
        <f>'Assumption '!AS168</f>
        <v>0</v>
      </c>
      <c r="AP37" s="188">
        <f>'Assumption '!AT168</f>
        <v>0</v>
      </c>
      <c r="AQ37" s="188">
        <f>'Assumption '!AU168</f>
        <v>0</v>
      </c>
      <c r="AR37" s="188">
        <f>'Assumption '!AV168</f>
        <v>0</v>
      </c>
      <c r="AS37" s="188">
        <f>'Assumption '!AW168</f>
        <v>0</v>
      </c>
      <c r="AT37" s="188">
        <f>'Assumption '!AX168</f>
        <v>0</v>
      </c>
      <c r="AU37" s="188">
        <f>'Assumption '!AY168</f>
        <v>0</v>
      </c>
      <c r="AV37" s="188">
        <f>'Assumption '!AZ168</f>
        <v>0</v>
      </c>
      <c r="AW37" s="188">
        <f>'Assumption '!BA168</f>
        <v>0</v>
      </c>
    </row>
    <row r="40" spans="2:53">
      <c r="B40" s="2" t="s">
        <v>2147</v>
      </c>
      <c r="I40" s="1221">
        <f>'Assumption '!M171</f>
        <v>3.4196</v>
      </c>
      <c r="J40" s="1221">
        <f>'Assumption '!N171</f>
        <v>3.5221879999999999</v>
      </c>
      <c r="K40" s="1221">
        <f>'Assumption '!O171</f>
        <v>3.6278536400000001</v>
      </c>
      <c r="L40" s="1221">
        <f>'Assumption '!P171</f>
        <v>3.7366892492000003</v>
      </c>
      <c r="M40" s="1221">
        <f>'Assumption '!Q171</f>
        <v>3.848789926676</v>
      </c>
      <c r="N40" s="1221">
        <f>'Assumption '!R171</f>
        <v>3.9642536244762807</v>
      </c>
      <c r="O40" s="1221">
        <f>'Assumption '!S171</f>
        <v>4.0831812332105688</v>
      </c>
      <c r="P40" s="1221">
        <f>'Assumption '!T171</f>
        <v>4.205676670206886</v>
      </c>
      <c r="Q40" s="1221">
        <f>'Assumption '!U171</f>
        <v>4.3318469703130926</v>
      </c>
      <c r="R40" s="1221">
        <f>'Assumption '!V171</f>
        <v>4.4618023794224859</v>
      </c>
      <c r="S40" s="1221">
        <f>'Assumption '!W171</f>
        <v>4.5956564508051603</v>
      </c>
      <c r="T40" s="1221">
        <f>'Assumption '!X171</f>
        <v>4.7335261443293151</v>
      </c>
      <c r="U40" s="1221">
        <f>'Assumption '!Y171</f>
        <v>4.8755319286591945</v>
      </c>
      <c r="V40" s="1221">
        <f>'Assumption '!Z171</f>
        <v>5.0217978865189714</v>
      </c>
      <c r="W40" s="1221">
        <f>'Assumption '!AA171</f>
        <v>5.1724518231145407</v>
      </c>
      <c r="X40" s="1221">
        <f>'Assumption '!AB171</f>
        <v>5.3276253778079772</v>
      </c>
      <c r="Y40" s="1221">
        <f>'Assumption '!AC171</f>
        <v>5.4874541391422165</v>
      </c>
      <c r="Z40" s="1221">
        <f>'Assumption '!AD171</f>
        <v>5.6520777633164823</v>
      </c>
      <c r="AA40" s="1221">
        <f>'Assumption '!AE171</f>
        <v>5.8216400962159787</v>
      </c>
      <c r="AB40" s="1221">
        <f>'Assumption '!AF171</f>
        <v>5.9962892991024574</v>
      </c>
      <c r="AC40" s="1221">
        <f>'Assumption '!AG171</f>
        <v>6.1761779780755317</v>
      </c>
      <c r="AD40" s="1221">
        <f>'Assumption '!AH171</f>
        <v>6.3614633174177975</v>
      </c>
      <c r="AE40" s="1221">
        <f>'Assumption '!AI171</f>
        <v>6.5523072169403331</v>
      </c>
      <c r="AF40" s="1221">
        <f>'Assumption '!AJ171</f>
        <v>6.7488764334485429</v>
      </c>
      <c r="AG40" s="1221">
        <f>'Assumption '!AK171</f>
        <v>6.9513427264519985</v>
      </c>
      <c r="AH40" s="1221">
        <f>'Assumption '!AL171</f>
        <v>7.1598830082455596</v>
      </c>
      <c r="AI40" s="1221">
        <f>'Assumption '!AM171</f>
        <v>7.3746794984929265</v>
      </c>
      <c r="AJ40" s="1221">
        <f>'Assumption '!AN171</f>
        <v>7.5959198834477135</v>
      </c>
      <c r="AK40" s="1221">
        <f>'Assumption '!AO171</f>
        <v>7.8237974799511454</v>
      </c>
      <c r="AL40" s="1221">
        <f>'Assumption '!AP171</f>
        <v>8.0585114043496802</v>
      </c>
      <c r="AM40" s="1221">
        <f>'Assumption '!AQ171</f>
        <v>0</v>
      </c>
      <c r="AN40" s="1221">
        <f>'Assumption '!AR171</f>
        <v>0</v>
      </c>
      <c r="AO40" s="1221">
        <f>'Assumption '!AS171</f>
        <v>0</v>
      </c>
      <c r="AP40" s="1221">
        <f>'Assumption '!AT171</f>
        <v>0</v>
      </c>
      <c r="AQ40" s="1221">
        <f>'Assumption '!AU171</f>
        <v>0</v>
      </c>
      <c r="AR40" s="1221">
        <f>'Assumption '!AV171</f>
        <v>0</v>
      </c>
      <c r="AS40" s="1221">
        <f>'Assumption '!AW171</f>
        <v>0</v>
      </c>
      <c r="AT40" s="1221">
        <f>'Assumption '!AX171</f>
        <v>0</v>
      </c>
      <c r="AU40" s="1221">
        <f>'Assumption '!AY171</f>
        <v>0</v>
      </c>
      <c r="AV40" s="1221">
        <f>'Assumption '!AZ171</f>
        <v>0</v>
      </c>
      <c r="AW40" s="1221">
        <f>'Assumption '!BA171</f>
        <v>0</v>
      </c>
      <c r="AX40" s="1221">
        <f>'Assumption '!BB171</f>
        <v>0</v>
      </c>
      <c r="AY40" s="1221">
        <f>'Assumption '!BC171</f>
        <v>0</v>
      </c>
    </row>
    <row r="41" spans="2:53">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row>
    <row r="42" spans="2:53" ht="11.25" thickBot="1">
      <c r="B42" s="486" t="s">
        <v>1410</v>
      </c>
      <c r="C42" s="486"/>
      <c r="D42" s="486"/>
      <c r="E42" s="486"/>
      <c r="F42" s="486"/>
      <c r="G42" s="486"/>
      <c r="H42" s="486"/>
      <c r="I42" s="997">
        <f>I34*I40</f>
        <v>0</v>
      </c>
      <c r="J42" s="997">
        <f t="shared" ref="J42:AY42" si="1">J34*J40</f>
        <v>73799450.817475393</v>
      </c>
      <c r="K42" s="997">
        <f ca="1">K34*K40</f>
        <v>145692415.82216603</v>
      </c>
      <c r="L42" s="997">
        <f ca="1">L34*L40</f>
        <v>179674319.09787792</v>
      </c>
      <c r="M42" s="997">
        <f t="shared" ca="1" si="1"/>
        <v>196437230.43270785</v>
      </c>
      <c r="N42" s="997">
        <f t="shared" ca="1" si="1"/>
        <v>202330347.34568912</v>
      </c>
      <c r="O42" s="997">
        <f t="shared" ca="1" si="1"/>
        <v>208400257.76605979</v>
      </c>
      <c r="P42" s="997">
        <f t="shared" ca="1" si="1"/>
        <v>214652265.49904159</v>
      </c>
      <c r="Q42" s="997">
        <f t="shared" ca="1" si="1"/>
        <v>221091833.46401283</v>
      </c>
      <c r="R42" s="997">
        <f t="shared" ca="1" si="1"/>
        <v>227724588.46793324</v>
      </c>
      <c r="S42" s="997">
        <f t="shared" ca="1" si="1"/>
        <v>234556326.12197122</v>
      </c>
      <c r="T42" s="997">
        <f t="shared" ca="1" si="1"/>
        <v>241593015.90563035</v>
      </c>
      <c r="U42" s="997">
        <f t="shared" ca="1" si="1"/>
        <v>248840806.38279927</v>
      </c>
      <c r="V42" s="997">
        <f t="shared" ca="1" si="1"/>
        <v>256306030.5742833</v>
      </c>
      <c r="W42" s="997">
        <f t="shared" ca="1" si="1"/>
        <v>263995211.49151182</v>
      </c>
      <c r="X42" s="997">
        <f t="shared" ca="1" si="1"/>
        <v>271915067.83625716</v>
      </c>
      <c r="Y42" s="997">
        <f t="shared" ca="1" si="1"/>
        <v>280072519.87134492</v>
      </c>
      <c r="Z42" s="997">
        <f t="shared" ca="1" si="1"/>
        <v>288474695.46748519</v>
      </c>
      <c r="AA42" s="997">
        <f t="shared" ca="1" si="1"/>
        <v>297128936.33150989</v>
      </c>
      <c r="AB42" s="997">
        <f t="shared" ca="1" si="1"/>
        <v>306042804.42145514</v>
      </c>
      <c r="AC42" s="997">
        <f t="shared" ca="1" si="1"/>
        <v>315224088.55409878</v>
      </c>
      <c r="AD42" s="997">
        <f t="shared" ca="1" si="1"/>
        <v>324680811.21072179</v>
      </c>
      <c r="AE42" s="997">
        <f t="shared" ca="1" si="1"/>
        <v>334421235.5470435</v>
      </c>
      <c r="AF42" s="997">
        <f t="shared" ca="1" si="1"/>
        <v>344453872.61345482</v>
      </c>
      <c r="AG42" s="997">
        <f t="shared" ca="1" si="1"/>
        <v>354787488.79185843</v>
      </c>
      <c r="AH42" s="997">
        <f t="shared" ca="1" si="1"/>
        <v>365431113.45561421</v>
      </c>
      <c r="AI42" s="997">
        <f t="shared" ca="1" si="1"/>
        <v>376394046.85928267</v>
      </c>
      <c r="AJ42" s="997">
        <f t="shared" ca="1" si="1"/>
        <v>387685868.26506108</v>
      </c>
      <c r="AK42" s="997">
        <f t="shared" ca="1" si="1"/>
        <v>399316444.31301296</v>
      </c>
      <c r="AL42" s="997">
        <f t="shared" ca="1" si="1"/>
        <v>411295937.64240336</v>
      </c>
      <c r="AM42" s="997">
        <f t="shared" si="1"/>
        <v>0</v>
      </c>
      <c r="AN42" s="997">
        <f t="shared" si="1"/>
        <v>0</v>
      </c>
      <c r="AO42" s="997">
        <f t="shared" si="1"/>
        <v>0</v>
      </c>
      <c r="AP42" s="997">
        <f t="shared" si="1"/>
        <v>0</v>
      </c>
      <c r="AQ42" s="997">
        <f t="shared" si="1"/>
        <v>0</v>
      </c>
      <c r="AR42" s="997">
        <f t="shared" si="1"/>
        <v>0</v>
      </c>
      <c r="AS42" s="997">
        <f t="shared" si="1"/>
        <v>0</v>
      </c>
      <c r="AT42" s="997">
        <f t="shared" si="1"/>
        <v>0</v>
      </c>
      <c r="AU42" s="997">
        <f t="shared" si="1"/>
        <v>0</v>
      </c>
      <c r="AV42" s="997">
        <f t="shared" si="1"/>
        <v>0</v>
      </c>
      <c r="AW42" s="997">
        <f t="shared" si="1"/>
        <v>0</v>
      </c>
      <c r="AX42" s="997">
        <f t="shared" si="1"/>
        <v>0</v>
      </c>
      <c r="AY42" s="997">
        <f t="shared" si="1"/>
        <v>0</v>
      </c>
      <c r="AZ42" s="486"/>
      <c r="BA42" s="486"/>
    </row>
    <row r="43" spans="2:53" ht="11.25" thickBot="1">
      <c r="B43" s="580" t="s">
        <v>2153</v>
      </c>
      <c r="C43" s="580"/>
      <c r="D43" s="580"/>
      <c r="E43" s="580"/>
      <c r="F43" s="580"/>
      <c r="G43" s="580"/>
      <c r="H43" s="580"/>
      <c r="I43" s="1280">
        <f>I40*I37</f>
        <v>0</v>
      </c>
      <c r="J43" s="1280">
        <f t="shared" ref="J43:BA43" si="2">J40*J37</f>
        <v>0</v>
      </c>
      <c r="K43" s="1280">
        <f t="shared" si="2"/>
        <v>0</v>
      </c>
      <c r="L43" s="1280">
        <f t="shared" si="2"/>
        <v>0</v>
      </c>
      <c r="M43" s="1280">
        <f t="shared" si="2"/>
        <v>0</v>
      </c>
      <c r="N43" s="1280">
        <f t="shared" si="2"/>
        <v>0</v>
      </c>
      <c r="O43" s="1280">
        <f t="shared" si="2"/>
        <v>0</v>
      </c>
      <c r="P43" s="1280">
        <f t="shared" si="2"/>
        <v>0</v>
      </c>
      <c r="Q43" s="1280">
        <f t="shared" si="2"/>
        <v>0</v>
      </c>
      <c r="R43" s="1280">
        <f t="shared" si="2"/>
        <v>0</v>
      </c>
      <c r="S43" s="1280">
        <f t="shared" si="2"/>
        <v>0</v>
      </c>
      <c r="T43" s="1280">
        <f t="shared" si="2"/>
        <v>0</v>
      </c>
      <c r="U43" s="1280">
        <f t="shared" si="2"/>
        <v>0</v>
      </c>
      <c r="V43" s="1280">
        <f t="shared" si="2"/>
        <v>0</v>
      </c>
      <c r="W43" s="1280">
        <f t="shared" si="2"/>
        <v>0</v>
      </c>
      <c r="X43" s="1280">
        <f t="shared" si="2"/>
        <v>0</v>
      </c>
      <c r="Y43" s="1280">
        <f t="shared" si="2"/>
        <v>0</v>
      </c>
      <c r="Z43" s="1280">
        <f t="shared" si="2"/>
        <v>0</v>
      </c>
      <c r="AA43" s="1280">
        <f t="shared" si="2"/>
        <v>0</v>
      </c>
      <c r="AB43" s="1280">
        <f t="shared" si="2"/>
        <v>0</v>
      </c>
      <c r="AC43" s="1280">
        <f t="shared" si="2"/>
        <v>0</v>
      </c>
      <c r="AD43" s="1280">
        <f t="shared" si="2"/>
        <v>0</v>
      </c>
      <c r="AE43" s="1280">
        <f t="shared" si="2"/>
        <v>0</v>
      </c>
      <c r="AF43" s="1280">
        <f t="shared" si="2"/>
        <v>0</v>
      </c>
      <c r="AG43" s="1280">
        <f t="shared" si="2"/>
        <v>0</v>
      </c>
      <c r="AH43" s="1280">
        <f t="shared" si="2"/>
        <v>0</v>
      </c>
      <c r="AI43" s="1280">
        <f t="shared" si="2"/>
        <v>0</v>
      </c>
      <c r="AJ43" s="1280">
        <f t="shared" si="2"/>
        <v>0</v>
      </c>
      <c r="AK43" s="1280">
        <f t="shared" si="2"/>
        <v>0</v>
      </c>
      <c r="AL43" s="1280">
        <f t="shared" si="2"/>
        <v>0</v>
      </c>
      <c r="AM43" s="1280">
        <f t="shared" si="2"/>
        <v>0</v>
      </c>
      <c r="AN43" s="1280">
        <f t="shared" si="2"/>
        <v>0</v>
      </c>
      <c r="AO43" s="1280">
        <f t="shared" si="2"/>
        <v>0</v>
      </c>
      <c r="AP43" s="1280">
        <f t="shared" si="2"/>
        <v>0</v>
      </c>
      <c r="AQ43" s="1280">
        <f t="shared" si="2"/>
        <v>0</v>
      </c>
      <c r="AR43" s="1280">
        <f t="shared" si="2"/>
        <v>0</v>
      </c>
      <c r="AS43" s="1280">
        <f t="shared" si="2"/>
        <v>0</v>
      </c>
      <c r="AT43" s="1280">
        <f t="shared" si="2"/>
        <v>0</v>
      </c>
      <c r="AU43" s="1280">
        <f t="shared" si="2"/>
        <v>0</v>
      </c>
      <c r="AV43" s="1280">
        <f t="shared" si="2"/>
        <v>0</v>
      </c>
      <c r="AW43" s="1280">
        <f t="shared" si="2"/>
        <v>0</v>
      </c>
      <c r="AX43" s="1280">
        <f t="shared" si="2"/>
        <v>0</v>
      </c>
      <c r="AY43" s="1280">
        <f t="shared" si="2"/>
        <v>0</v>
      </c>
      <c r="AZ43" s="1280">
        <f t="shared" si="2"/>
        <v>0</v>
      </c>
      <c r="BA43" s="1280">
        <f t="shared" si="2"/>
        <v>0</v>
      </c>
    </row>
    <row r="44" spans="2:53" ht="12.6" customHeight="1" thickBot="1">
      <c r="B44" s="580" t="s">
        <v>2154</v>
      </c>
      <c r="C44" s="580"/>
      <c r="D44" s="580"/>
      <c r="E44" s="580"/>
      <c r="F44" s="580"/>
      <c r="G44" s="580"/>
      <c r="H44" s="580"/>
      <c r="I44" s="1280">
        <f>I42+I43</f>
        <v>0</v>
      </c>
      <c r="J44" s="1280">
        <f t="shared" ref="J44:BA44" si="3">J42+J43</f>
        <v>73799450.817475393</v>
      </c>
      <c r="K44" s="1280">
        <f t="shared" ca="1" si="3"/>
        <v>145692415.82216603</v>
      </c>
      <c r="L44" s="1280">
        <f t="shared" ca="1" si="3"/>
        <v>179674319.09787792</v>
      </c>
      <c r="M44" s="1280">
        <f t="shared" ca="1" si="3"/>
        <v>196437230.43270785</v>
      </c>
      <c r="N44" s="1280">
        <f t="shared" ca="1" si="3"/>
        <v>202330347.34568912</v>
      </c>
      <c r="O44" s="1280">
        <f t="shared" ca="1" si="3"/>
        <v>208400257.76605979</v>
      </c>
      <c r="P44" s="1280">
        <f t="shared" ca="1" si="3"/>
        <v>214652265.49904159</v>
      </c>
      <c r="Q44" s="1280">
        <f t="shared" ca="1" si="3"/>
        <v>221091833.46401283</v>
      </c>
      <c r="R44" s="1280">
        <f t="shared" ca="1" si="3"/>
        <v>227724588.46793324</v>
      </c>
      <c r="S44" s="1280">
        <f t="shared" ca="1" si="3"/>
        <v>234556326.12197122</v>
      </c>
      <c r="T44" s="1280">
        <f t="shared" ca="1" si="3"/>
        <v>241593015.90563035</v>
      </c>
      <c r="U44" s="1280">
        <f t="shared" ca="1" si="3"/>
        <v>248840806.38279927</v>
      </c>
      <c r="V44" s="1280">
        <f t="shared" ca="1" si="3"/>
        <v>256306030.5742833</v>
      </c>
      <c r="W44" s="1280">
        <f t="shared" ca="1" si="3"/>
        <v>263995211.49151182</v>
      </c>
      <c r="X44" s="1280">
        <f t="shared" ca="1" si="3"/>
        <v>271915067.83625716</v>
      </c>
      <c r="Y44" s="1280">
        <f t="shared" ca="1" si="3"/>
        <v>280072519.87134492</v>
      </c>
      <c r="Z44" s="1280">
        <f t="shared" ca="1" si="3"/>
        <v>288474695.46748519</v>
      </c>
      <c r="AA44" s="1280">
        <f t="shared" ca="1" si="3"/>
        <v>297128936.33150989</v>
      </c>
      <c r="AB44" s="1280">
        <f t="shared" ca="1" si="3"/>
        <v>306042804.42145514</v>
      </c>
      <c r="AC44" s="1280">
        <f t="shared" ca="1" si="3"/>
        <v>315224088.55409878</v>
      </c>
      <c r="AD44" s="1280">
        <f t="shared" ca="1" si="3"/>
        <v>324680811.21072179</v>
      </c>
      <c r="AE44" s="1280">
        <f t="shared" ca="1" si="3"/>
        <v>334421235.5470435</v>
      </c>
      <c r="AF44" s="1280">
        <f t="shared" ca="1" si="3"/>
        <v>344453872.61345482</v>
      </c>
      <c r="AG44" s="1280">
        <f t="shared" ca="1" si="3"/>
        <v>354787488.79185843</v>
      </c>
      <c r="AH44" s="1280">
        <f t="shared" ca="1" si="3"/>
        <v>365431113.45561421</v>
      </c>
      <c r="AI44" s="1280">
        <f t="shared" ca="1" si="3"/>
        <v>376394046.85928267</v>
      </c>
      <c r="AJ44" s="1280">
        <f t="shared" ca="1" si="3"/>
        <v>387685868.26506108</v>
      </c>
      <c r="AK44" s="1280">
        <f t="shared" ca="1" si="3"/>
        <v>399316444.31301296</v>
      </c>
      <c r="AL44" s="1280">
        <f t="shared" ca="1" si="3"/>
        <v>411295937.64240336</v>
      </c>
      <c r="AM44" s="1280">
        <f t="shared" si="3"/>
        <v>0</v>
      </c>
      <c r="AN44" s="1280">
        <f t="shared" si="3"/>
        <v>0</v>
      </c>
      <c r="AO44" s="1280">
        <f t="shared" si="3"/>
        <v>0</v>
      </c>
      <c r="AP44" s="1280">
        <f t="shared" si="3"/>
        <v>0</v>
      </c>
      <c r="AQ44" s="1280">
        <f t="shared" si="3"/>
        <v>0</v>
      </c>
      <c r="AR44" s="1280">
        <f t="shared" si="3"/>
        <v>0</v>
      </c>
      <c r="AS44" s="1280">
        <f t="shared" si="3"/>
        <v>0</v>
      </c>
      <c r="AT44" s="1280">
        <f t="shared" si="3"/>
        <v>0</v>
      </c>
      <c r="AU44" s="1280">
        <f t="shared" si="3"/>
        <v>0</v>
      </c>
      <c r="AV44" s="1280">
        <f t="shared" si="3"/>
        <v>0</v>
      </c>
      <c r="AW44" s="1280">
        <f t="shared" si="3"/>
        <v>0</v>
      </c>
      <c r="AX44" s="1280">
        <f t="shared" si="3"/>
        <v>0</v>
      </c>
      <c r="AY44" s="1280">
        <f t="shared" si="3"/>
        <v>0</v>
      </c>
      <c r="AZ44" s="1280">
        <f t="shared" si="3"/>
        <v>0</v>
      </c>
      <c r="BA44" s="1280">
        <f t="shared" si="3"/>
        <v>0</v>
      </c>
    </row>
    <row r="47" spans="2:53">
      <c r="B47" s="586" t="s">
        <v>1339</v>
      </c>
    </row>
    <row r="48" spans="2:53">
      <c r="C48" s="15"/>
      <c r="D48" s="42"/>
      <c r="I48" s="41"/>
      <c r="J48" s="41"/>
      <c r="K48" s="41"/>
      <c r="L48" s="41"/>
      <c r="M48" s="41"/>
      <c r="N48" s="41"/>
      <c r="O48" s="41"/>
      <c r="P48" s="41"/>
      <c r="Q48" s="41"/>
      <c r="R48" s="41"/>
      <c r="S48" s="41"/>
      <c r="T48" s="41"/>
      <c r="U48" s="41"/>
      <c r="V48" s="41"/>
      <c r="W48" s="41"/>
      <c r="X48" s="41"/>
      <c r="Y48" s="41"/>
      <c r="Z48" s="41"/>
      <c r="AA48" s="41"/>
      <c r="AB48" s="41"/>
      <c r="AC48" s="41"/>
      <c r="AD48" s="41"/>
      <c r="AE48" s="41"/>
      <c r="AF48" s="41"/>
      <c r="AG48" s="41"/>
      <c r="AH48" s="41"/>
      <c r="AI48" s="41"/>
      <c r="AJ48" s="41"/>
      <c r="AK48" s="41"/>
      <c r="AL48" s="41"/>
      <c r="AM48" s="41"/>
      <c r="AN48" s="41"/>
      <c r="AO48" s="41"/>
      <c r="AP48" s="41"/>
      <c r="AQ48" s="41"/>
      <c r="AR48" s="41"/>
      <c r="AS48" s="41"/>
      <c r="AT48" s="41"/>
      <c r="AU48" s="41"/>
      <c r="AV48" s="41"/>
      <c r="AW48" s="41"/>
      <c r="AX48" s="41"/>
      <c r="AY48" s="41"/>
    </row>
    <row r="49" spans="1:55" ht="12">
      <c r="B49" s="2" t="s">
        <v>1387</v>
      </c>
      <c r="C49" s="15"/>
      <c r="D49" s="42"/>
      <c r="I49" s="186">
        <f ca="1">'Assumption '!M185</f>
        <v>5.2499947500000008</v>
      </c>
      <c r="J49" s="186">
        <f ca="1">'Assumption '!N185</f>
        <v>5.2372801129114892</v>
      </c>
      <c r="K49" s="186">
        <f ca="1">'Assumption '!O185</f>
        <v>5.2627442217106726</v>
      </c>
      <c r="L49" s="186">
        <f ca="1">'Assumption '!P185</f>
        <v>5.2627442217106726</v>
      </c>
      <c r="M49" s="186">
        <f>'Assumption '!Q185</f>
        <v>0.59643757560483868</v>
      </c>
      <c r="N49" s="186">
        <f>'Assumption '!R185</f>
        <v>0.59643757560483868</v>
      </c>
      <c r="O49" s="186">
        <f>'Assumption '!S185</f>
        <v>0.59643757560483868</v>
      </c>
      <c r="P49" s="186">
        <f>'Assumption '!T185</f>
        <v>0.59643757560483868</v>
      </c>
      <c r="Q49" s="186">
        <f>'Assumption '!U185</f>
        <v>0.59643757560483868</v>
      </c>
      <c r="R49" s="186">
        <f>'Assumption '!V185</f>
        <v>0.59643757560483868</v>
      </c>
      <c r="S49" s="186">
        <f>'Assumption '!W185</f>
        <v>0.59643757560483868</v>
      </c>
      <c r="T49" s="186">
        <f>'Assumption '!X185</f>
        <v>0.59643757560483868</v>
      </c>
      <c r="U49" s="186">
        <f>'Assumption '!Y185</f>
        <v>0.59643757560483868</v>
      </c>
      <c r="V49" s="186">
        <f>'Assumption '!Z185</f>
        <v>0.59643757560483868</v>
      </c>
      <c r="W49" s="186">
        <f>'Assumption '!AA185</f>
        <v>0.59643757560483868</v>
      </c>
      <c r="X49" s="186">
        <f>'Assumption '!AB185</f>
        <v>0.59643757560483868</v>
      </c>
      <c r="Y49" s="186">
        <f>'Assumption '!AC185</f>
        <v>0.59643757560483868</v>
      </c>
      <c r="Z49" s="186">
        <f>'Assumption '!AD185</f>
        <v>0.59643757560483868</v>
      </c>
      <c r="AA49" s="186">
        <f>'Assumption '!AE185</f>
        <v>0.59643757560483868</v>
      </c>
      <c r="AB49" s="186">
        <f>'Assumption '!AF185</f>
        <v>0.59643757560483868</v>
      </c>
      <c r="AC49" s="186">
        <f>'Assumption '!AG185</f>
        <v>0.59643757560483868</v>
      </c>
      <c r="AD49" s="186">
        <f>'Assumption '!AH185</f>
        <v>0.59643757560483868</v>
      </c>
      <c r="AE49" s="186">
        <f>'Assumption '!AI185</f>
        <v>0.59643757560483868</v>
      </c>
      <c r="AF49" s="186">
        <f>'Assumption '!AJ185</f>
        <v>0.59643757560483868</v>
      </c>
      <c r="AG49" s="186">
        <f>'Assumption '!AK185</f>
        <v>0.59643757560483868</v>
      </c>
      <c r="AH49" s="186">
        <f>'Assumption '!AL185</f>
        <v>0.59643757560483868</v>
      </c>
      <c r="AI49" s="186">
        <f>'Assumption '!AM185</f>
        <v>0.59643757560483868</v>
      </c>
      <c r="AJ49" s="186">
        <f>'Assumption '!AN185</f>
        <v>0.59643757560483868</v>
      </c>
      <c r="AK49" s="186">
        <f>'Assumption '!AO185</f>
        <v>0.59643757560483868</v>
      </c>
      <c r="AL49" s="186">
        <f>'Assumption '!AP185</f>
        <v>0.59643757560483868</v>
      </c>
      <c r="AM49" s="186">
        <f>'Assumption '!AQ185</f>
        <v>0</v>
      </c>
      <c r="AN49" s="186">
        <f>'Assumption '!AR185</f>
        <v>0</v>
      </c>
      <c r="AO49" s="186">
        <f>'Assumption '!AS185</f>
        <v>0</v>
      </c>
      <c r="AP49" s="186">
        <f>'Assumption '!AT185</f>
        <v>0</v>
      </c>
      <c r="AQ49" s="186">
        <f>'Assumption '!AU185</f>
        <v>0</v>
      </c>
      <c r="AR49" s="186">
        <f>'Assumption '!AV185</f>
        <v>0</v>
      </c>
      <c r="AS49" s="186">
        <f>'Assumption '!AW185</f>
        <v>0</v>
      </c>
      <c r="AT49" s="186">
        <f>'Assumption '!AX185</f>
        <v>0</v>
      </c>
      <c r="AU49" s="186">
        <f>'Assumption '!AY185</f>
        <v>0</v>
      </c>
      <c r="AV49" s="186">
        <f>'Assumption '!AZ185</f>
        <v>0</v>
      </c>
      <c r="AW49" s="186">
        <f>'Assumption '!BA185</f>
        <v>0</v>
      </c>
      <c r="AX49" s="186">
        <f>'Assumption '!BB185</f>
        <v>0</v>
      </c>
      <c r="AY49" s="186">
        <f>'Assumption '!BC185</f>
        <v>0</v>
      </c>
    </row>
    <row r="50" spans="1:55">
      <c r="B50" s="2" t="s">
        <v>1955</v>
      </c>
      <c r="C50" s="15"/>
      <c r="D50" s="42"/>
      <c r="I50" s="41">
        <f ca="1">'Assumption '!M189</f>
        <v>0</v>
      </c>
      <c r="J50" s="41">
        <f ca="1">'Assumption '!N189</f>
        <v>594417.86548501404</v>
      </c>
      <c r="K50" s="41">
        <f ca="1">'Assumption '!O189</f>
        <v>1140623.0493963489</v>
      </c>
      <c r="L50" s="41">
        <f ca="1">'Assumption '!P189</f>
        <v>1334529.0754158266</v>
      </c>
      <c r="M50" s="41">
        <f ca="1">'Assumption '!Q189</f>
        <v>1416539.2420614918</v>
      </c>
      <c r="N50" s="41">
        <f ca="1">'Assumption '!R189</f>
        <v>1416539.2420614918</v>
      </c>
      <c r="O50" s="41">
        <f ca="1">'Assumption '!S189</f>
        <v>1416539.2420614918</v>
      </c>
      <c r="P50" s="41">
        <f ca="1">'Assumption '!T189</f>
        <v>1416539.2420614918</v>
      </c>
      <c r="Q50" s="41">
        <f ca="1">'Assumption '!U189</f>
        <v>1416539.2420614918</v>
      </c>
      <c r="R50" s="41">
        <f ca="1">'Assumption '!V189</f>
        <v>1416539.2420614918</v>
      </c>
      <c r="S50" s="41">
        <f ca="1">'Assumption '!W189</f>
        <v>1416539.2420614918</v>
      </c>
      <c r="T50" s="41">
        <f ca="1">'Assumption '!X189</f>
        <v>1416539.2420614918</v>
      </c>
      <c r="U50" s="41">
        <f ca="1">'Assumption '!Y189</f>
        <v>1416539.2420614918</v>
      </c>
      <c r="V50" s="41">
        <f ca="1">'Assumption '!Z189</f>
        <v>1416539.2420614918</v>
      </c>
      <c r="W50" s="41">
        <f ca="1">'Assumption '!AA189</f>
        <v>1416539.2420614918</v>
      </c>
      <c r="X50" s="41">
        <f ca="1">'Assumption '!AB189</f>
        <v>1416539.2420614918</v>
      </c>
      <c r="Y50" s="41">
        <f ca="1">'Assumption '!AC189</f>
        <v>1416539.2420614918</v>
      </c>
      <c r="Z50" s="41">
        <f ca="1">'Assumption '!AD189</f>
        <v>1416539.2420614918</v>
      </c>
      <c r="AA50" s="41">
        <f ca="1">'Assumption '!AE189</f>
        <v>1416539.2420614918</v>
      </c>
      <c r="AB50" s="41">
        <f ca="1">'Assumption '!AF189</f>
        <v>1416539.2420614918</v>
      </c>
      <c r="AC50" s="41">
        <f ca="1">'Assumption '!AG189</f>
        <v>1416539.2420614918</v>
      </c>
      <c r="AD50" s="41">
        <f ca="1">'Assumption '!AH189</f>
        <v>1416539.2420614918</v>
      </c>
      <c r="AE50" s="41">
        <f ca="1">'Assumption '!AI189</f>
        <v>1416539.2420614918</v>
      </c>
      <c r="AF50" s="41">
        <f ca="1">'Assumption '!AJ189</f>
        <v>1416539.2420614918</v>
      </c>
      <c r="AG50" s="41">
        <f ca="1">'Assumption '!AK189</f>
        <v>1416539.2420614918</v>
      </c>
      <c r="AH50" s="41">
        <f ca="1">'Assumption '!AL189</f>
        <v>1416539.2420614918</v>
      </c>
      <c r="AI50" s="41">
        <f ca="1">'Assumption '!AM189</f>
        <v>1416539.2420614918</v>
      </c>
      <c r="AJ50" s="41">
        <f ca="1">'Assumption '!AN189</f>
        <v>1416539.2420614918</v>
      </c>
      <c r="AK50" s="41">
        <f ca="1">'Assumption '!AO189</f>
        <v>1416539.2420614918</v>
      </c>
      <c r="AL50" s="41">
        <f ca="1">'Assumption '!AP189</f>
        <v>1416539.2420614918</v>
      </c>
      <c r="AM50" s="41">
        <f>'Assumption '!AQ189</f>
        <v>0</v>
      </c>
      <c r="AN50" s="41">
        <f>'Assumption '!AR189</f>
        <v>0</v>
      </c>
      <c r="AO50" s="41">
        <f>'Assumption '!AS189</f>
        <v>0</v>
      </c>
      <c r="AP50" s="41">
        <f>'Assumption '!AT189</f>
        <v>0</v>
      </c>
      <c r="AQ50" s="41">
        <f>'Assumption '!AU189</f>
        <v>0</v>
      </c>
      <c r="AR50" s="41">
        <f>'Assumption '!AV189</f>
        <v>0</v>
      </c>
      <c r="AS50" s="41">
        <f>'Assumption '!AW189</f>
        <v>0</v>
      </c>
      <c r="AT50" s="41">
        <f>'Assumption '!AX189</f>
        <v>0</v>
      </c>
      <c r="AU50" s="41">
        <f>'Assumption '!AY189</f>
        <v>0</v>
      </c>
      <c r="AV50" s="41">
        <f>'Assumption '!AZ189</f>
        <v>0</v>
      </c>
      <c r="AW50" s="41">
        <f>'Assumption '!BA189</f>
        <v>0</v>
      </c>
      <c r="AX50" s="41">
        <f>'Assumption '!BB189</f>
        <v>0</v>
      </c>
      <c r="AY50" s="41">
        <f>'Assumption '!BC204</f>
        <v>0</v>
      </c>
    </row>
    <row r="51" spans="1:55">
      <c r="C51" s="15"/>
      <c r="D51" s="42"/>
      <c r="I51" s="41"/>
      <c r="J51" s="41"/>
      <c r="K51" s="41"/>
      <c r="L51" s="41"/>
      <c r="M51" s="41"/>
      <c r="N51" s="41"/>
      <c r="O51" s="41"/>
      <c r="P51" s="41"/>
      <c r="Q51" s="41"/>
      <c r="R51" s="41"/>
      <c r="S51" s="41"/>
      <c r="T51" s="41"/>
      <c r="U51" s="41"/>
      <c r="V51" s="41"/>
      <c r="W51" s="41"/>
      <c r="X51" s="41"/>
      <c r="Y51" s="41"/>
      <c r="Z51" s="41"/>
      <c r="AA51" s="41"/>
      <c r="AB51" s="41"/>
      <c r="AC51" s="41"/>
      <c r="AD51" s="41"/>
      <c r="AE51" s="41"/>
      <c r="AF51" s="41"/>
      <c r="AG51" s="41"/>
      <c r="AH51" s="41"/>
      <c r="AI51" s="41"/>
      <c r="AJ51" s="41"/>
      <c r="AK51" s="41"/>
      <c r="AL51" s="41"/>
      <c r="AM51" s="41"/>
      <c r="AN51" s="41"/>
      <c r="AO51" s="41"/>
      <c r="AP51" s="41"/>
      <c r="AQ51" s="41"/>
      <c r="AR51" s="41"/>
      <c r="AS51" s="41"/>
      <c r="AT51" s="41"/>
      <c r="AU51" s="41"/>
      <c r="AV51" s="41"/>
      <c r="AW51" s="41"/>
      <c r="AX51" s="41"/>
      <c r="AY51" s="41"/>
    </row>
    <row r="52" spans="1:55">
      <c r="B52" s="2" t="s">
        <v>1388</v>
      </c>
      <c r="C52" s="15"/>
      <c r="D52" s="42"/>
      <c r="I52" s="186">
        <f>'Assumption '!M217</f>
        <v>1.0229999999999999</v>
      </c>
      <c r="J52" s="186">
        <f>'Assumption '!N217</f>
        <v>1.0465289999999998</v>
      </c>
      <c r="K52" s="186">
        <f>'Assumption '!O217</f>
        <v>1.0705991669999997</v>
      </c>
      <c r="L52" s="186">
        <f>'Assumption '!P217</f>
        <v>1.0952229478409996</v>
      </c>
      <c r="M52" s="186">
        <f>'Assumption '!Q217</f>
        <v>1.1204130756413424</v>
      </c>
      <c r="N52" s="186">
        <f>'Assumption '!R217</f>
        <v>1.1473029894567346</v>
      </c>
      <c r="O52" s="186">
        <f>'Assumption '!S217</f>
        <v>1.1748382612036963</v>
      </c>
      <c r="P52" s="186">
        <f>'Assumption '!T217</f>
        <v>1.2030343794725851</v>
      </c>
      <c r="Q52" s="186">
        <f>'Assumption '!U217</f>
        <v>1.2319072045799271</v>
      </c>
      <c r="R52" s="186">
        <f>'Assumption '!V217</f>
        <v>1.2614729774898454</v>
      </c>
      <c r="S52" s="186">
        <f>'Assumption '!W217</f>
        <v>1.2917483289496017</v>
      </c>
      <c r="T52" s="186">
        <f>'Assumption '!X217</f>
        <v>1.3227502888443921</v>
      </c>
      <c r="U52" s="186">
        <f>'Assumption '!Y217</f>
        <v>1.3544962957766575</v>
      </c>
      <c r="V52" s="186">
        <f>'Assumption '!Z217</f>
        <v>1.3870042068752972</v>
      </c>
      <c r="W52" s="186">
        <f>'Assumption '!AA217</f>
        <v>1.4202923078403045</v>
      </c>
      <c r="X52" s="186">
        <f>'Assumption '!AB217</f>
        <v>1.4543793232284719</v>
      </c>
      <c r="Y52" s="186">
        <f>'Assumption '!AC217</f>
        <v>1.4892844269859553</v>
      </c>
      <c r="Z52" s="186">
        <f>'Assumption '!AD217</f>
        <v>1.5250272532336182</v>
      </c>
      <c r="AA52" s="186">
        <f>'Assumption '!AE217</f>
        <v>1.5616279073112251</v>
      </c>
      <c r="AB52" s="186">
        <f>'Assumption '!AF217</f>
        <v>1.5991069770866946</v>
      </c>
      <c r="AC52" s="186">
        <f>'Assumption '!AG217</f>
        <v>1.6374855445367753</v>
      </c>
      <c r="AD52" s="186">
        <f>'Assumption '!AH217</f>
        <v>1.676785197605658</v>
      </c>
      <c r="AE52" s="186">
        <f>'Assumption '!AI217</f>
        <v>1.7170280423481938</v>
      </c>
      <c r="AF52" s="186">
        <f>'Assumption '!AJ217</f>
        <v>1.7582367153645506</v>
      </c>
      <c r="AG52" s="186">
        <f>'Assumption '!AK217</f>
        <v>1.8004343965332998</v>
      </c>
      <c r="AH52" s="186">
        <f>'Assumption '!AL217</f>
        <v>1.8436448220500992</v>
      </c>
      <c r="AI52" s="186">
        <f>'Assumption '!AM217</f>
        <v>1.8878922977793016</v>
      </c>
      <c r="AJ52" s="186">
        <f>'Assumption '!AN217</f>
        <v>1.9332017129260048</v>
      </c>
      <c r="AK52" s="186">
        <f>'Assumption '!AO217</f>
        <v>1.9795985540362291</v>
      </c>
      <c r="AL52" s="186">
        <f>'Assumption '!AP217</f>
        <v>2.0271089193330987</v>
      </c>
      <c r="AM52" s="186">
        <f>'Assumption '!AQ217</f>
        <v>0</v>
      </c>
      <c r="AN52" s="186">
        <f>'Assumption '!AR217</f>
        <v>0</v>
      </c>
      <c r="AO52" s="186">
        <f>'Assumption '!AS217</f>
        <v>0</v>
      </c>
      <c r="AP52" s="186">
        <f>'Assumption '!AT217</f>
        <v>0</v>
      </c>
      <c r="AQ52" s="186">
        <f>'Assumption '!AU217</f>
        <v>0</v>
      </c>
      <c r="AR52" s="186">
        <f>'Assumption '!AV217</f>
        <v>0</v>
      </c>
      <c r="AS52" s="186">
        <f>'Assumption '!AW217</f>
        <v>0</v>
      </c>
      <c r="AT52" s="186">
        <f>'Assumption '!AX217</f>
        <v>0</v>
      </c>
      <c r="AU52" s="186">
        <f>'Assumption '!AY217</f>
        <v>0</v>
      </c>
      <c r="AV52" s="186">
        <f>'Assumption '!AZ217</f>
        <v>0</v>
      </c>
      <c r="AW52" s="186">
        <f>'Assumption '!BA217</f>
        <v>0</v>
      </c>
      <c r="AX52" s="186">
        <f>'Assumption '!BB217</f>
        <v>0</v>
      </c>
      <c r="AY52" s="186">
        <f>'Assumption '!BC217</f>
        <v>0</v>
      </c>
    </row>
    <row r="53" spans="1:55">
      <c r="A53" s="12"/>
    </row>
    <row r="54" spans="1:55" ht="11.25" thickBot="1">
      <c r="B54" s="486" t="s">
        <v>1389</v>
      </c>
      <c r="C54" s="1040"/>
      <c r="D54" s="587"/>
      <c r="E54" s="486"/>
      <c r="F54" s="486"/>
      <c r="G54" s="486"/>
      <c r="H54" s="486"/>
      <c r="I54" s="997">
        <f ca="1">I50*I52</f>
        <v>0</v>
      </c>
      <c r="J54" s="997">
        <f t="shared" ref="J54:AX54" ca="1" si="4">J50*J52</f>
        <v>622075.5343481662</v>
      </c>
      <c r="K54" s="997">
        <f ca="1">K50*K52</f>
        <v>1221150.0865447307</v>
      </c>
      <c r="L54" s="997">
        <f ca="1">L50*L52</f>
        <v>1461606.8679564453</v>
      </c>
      <c r="M54" s="997">
        <f t="shared" ca="1" si="4"/>
        <v>1587109.0889647722</v>
      </c>
      <c r="N54" s="997">
        <f t="shared" ca="1" si="4"/>
        <v>1625199.7070999267</v>
      </c>
      <c r="O54" s="997">
        <f t="shared" ca="1" si="4"/>
        <v>1664204.5000703249</v>
      </c>
      <c r="P54" s="997">
        <f t="shared" ca="1" si="4"/>
        <v>1704145.4080720127</v>
      </c>
      <c r="Q54" s="997">
        <f t="shared" ca="1" si="4"/>
        <v>1745044.897865741</v>
      </c>
      <c r="R54" s="997">
        <f t="shared" ca="1" si="4"/>
        <v>1786925.975414519</v>
      </c>
      <c r="S54" s="997">
        <f t="shared" ca="1" si="4"/>
        <v>1829812.1988244674</v>
      </c>
      <c r="T54" s="997">
        <f t="shared" ca="1" si="4"/>
        <v>1873727.6915962545</v>
      </c>
      <c r="U54" s="997">
        <f t="shared" ca="1" si="4"/>
        <v>1918697.1561945647</v>
      </c>
      <c r="V54" s="997">
        <f t="shared" ca="1" si="4"/>
        <v>1964745.8879432341</v>
      </c>
      <c r="W54" s="997">
        <f t="shared" ca="1" si="4"/>
        <v>2011899.7892538719</v>
      </c>
      <c r="X54" s="997">
        <f t="shared" ca="1" si="4"/>
        <v>2060185.384195965</v>
      </c>
      <c r="Y54" s="997">
        <f t="shared" ca="1" si="4"/>
        <v>2109629.8334166682</v>
      </c>
      <c r="Z54" s="997">
        <f t="shared" ca="1" si="4"/>
        <v>2160260.9494186682</v>
      </c>
      <c r="AA54" s="997">
        <f t="shared" ca="1" si="4"/>
        <v>2212107.2122047166</v>
      </c>
      <c r="AB54" s="997">
        <f t="shared" ca="1" si="4"/>
        <v>2265197.7852976299</v>
      </c>
      <c r="AC54" s="997">
        <f t="shared" ca="1" si="4"/>
        <v>2319562.5321447728</v>
      </c>
      <c r="AD54" s="997">
        <f t="shared" ca="1" si="4"/>
        <v>2375232.0329162478</v>
      </c>
      <c r="AE54" s="997">
        <f t="shared" ca="1" si="4"/>
        <v>2432237.6017062375</v>
      </c>
      <c r="AF54" s="997">
        <f t="shared" ca="1" si="4"/>
        <v>2490611.3041471876</v>
      </c>
      <c r="AG54" s="997">
        <f t="shared" ca="1" si="4"/>
        <v>2550385.9754467201</v>
      </c>
      <c r="AH54" s="997">
        <f t="shared" ca="1" si="4"/>
        <v>2611595.2388574416</v>
      </c>
      <c r="AI54" s="997">
        <f t="shared" ca="1" si="4"/>
        <v>2674273.5245900201</v>
      </c>
      <c r="AJ54" s="997">
        <f t="shared" ca="1" si="4"/>
        <v>2738456.0891801808</v>
      </c>
      <c r="AK54" s="997">
        <f t="shared" ca="1" si="4"/>
        <v>2804179.035320505</v>
      </c>
      <c r="AL54" s="997">
        <f t="shared" ca="1" si="4"/>
        <v>2871479.3321681973</v>
      </c>
      <c r="AM54" s="997">
        <f t="shared" si="4"/>
        <v>0</v>
      </c>
      <c r="AN54" s="997">
        <f t="shared" si="4"/>
        <v>0</v>
      </c>
      <c r="AO54" s="997">
        <f t="shared" si="4"/>
        <v>0</v>
      </c>
      <c r="AP54" s="997">
        <f t="shared" si="4"/>
        <v>0</v>
      </c>
      <c r="AQ54" s="997">
        <f t="shared" si="4"/>
        <v>0</v>
      </c>
      <c r="AR54" s="997">
        <f t="shared" si="4"/>
        <v>0</v>
      </c>
      <c r="AS54" s="997">
        <f t="shared" si="4"/>
        <v>0</v>
      </c>
      <c r="AT54" s="997">
        <f t="shared" si="4"/>
        <v>0</v>
      </c>
      <c r="AU54" s="997">
        <f t="shared" si="4"/>
        <v>0</v>
      </c>
      <c r="AV54" s="997">
        <f t="shared" si="4"/>
        <v>0</v>
      </c>
      <c r="AW54" s="997">
        <f t="shared" si="4"/>
        <v>0</v>
      </c>
      <c r="AX54" s="997">
        <f t="shared" si="4"/>
        <v>0</v>
      </c>
      <c r="AY54" s="997"/>
      <c r="AZ54" s="486"/>
      <c r="BA54" s="486"/>
    </row>
    <row r="55" spans="1:55">
      <c r="C55" s="15"/>
      <c r="D55" s="42"/>
      <c r="I55" s="41"/>
      <c r="J55" s="41"/>
      <c r="K55" s="41"/>
      <c r="L55" s="41"/>
      <c r="M55" s="41"/>
      <c r="N55" s="41"/>
      <c r="O55" s="41"/>
      <c r="P55" s="41"/>
      <c r="Q55" s="41"/>
      <c r="R55" s="41"/>
      <c r="S55" s="41"/>
      <c r="T55" s="41"/>
      <c r="U55" s="41"/>
      <c r="V55" s="41"/>
      <c r="W55" s="41"/>
      <c r="X55" s="41"/>
      <c r="Y55" s="41"/>
      <c r="Z55" s="41"/>
      <c r="AA55" s="41"/>
      <c r="AB55" s="41"/>
      <c r="AC55" s="41"/>
      <c r="AD55" s="41"/>
      <c r="AE55" s="41"/>
      <c r="AF55" s="41"/>
      <c r="AG55" s="41"/>
      <c r="AH55" s="41"/>
      <c r="AI55" s="41"/>
    </row>
    <row r="57" spans="1:55">
      <c r="B57" s="586" t="s">
        <v>1450</v>
      </c>
    </row>
    <row r="58" spans="1:55">
      <c r="C58" s="15"/>
      <c r="D58" s="42"/>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row>
    <row r="59" spans="1:55">
      <c r="B59" s="42" t="s">
        <v>1472</v>
      </c>
      <c r="C59" s="42"/>
      <c r="D59" s="42"/>
      <c r="E59" s="42"/>
      <c r="F59" s="42"/>
      <c r="G59" s="42"/>
      <c r="H59" s="42"/>
      <c r="I59" s="1350">
        <f>'Assumption '!M223</f>
        <v>1.3333320000000001E-5</v>
      </c>
      <c r="J59" s="1350">
        <f>'Assumption '!N223</f>
        <v>1.3333320000000001E-5</v>
      </c>
      <c r="K59" s="1350">
        <f>'Assumption '!O223</f>
        <v>1.3333320000000001E-5</v>
      </c>
      <c r="L59" s="1350">
        <f>'Assumption '!P223</f>
        <v>1.3333320000000001E-5</v>
      </c>
      <c r="M59" s="1350">
        <f>'Assumption '!Q223</f>
        <v>1.3333320000000001E-5</v>
      </c>
      <c r="N59" s="1350">
        <f>'Assumption '!R223</f>
        <v>1.3333320000000001E-5</v>
      </c>
      <c r="O59" s="1350">
        <f>'Assumption '!S223</f>
        <v>1.3333320000000001E-5</v>
      </c>
      <c r="P59" s="1350">
        <f>'Assumption '!T223</f>
        <v>1.3333320000000001E-5</v>
      </c>
      <c r="Q59" s="1350">
        <f>'Assumption '!U223</f>
        <v>1.3333320000000001E-5</v>
      </c>
      <c r="R59" s="1350">
        <f>'Assumption '!V223</f>
        <v>1.3333320000000001E-5</v>
      </c>
      <c r="S59" s="1350">
        <f>'Assumption '!W223</f>
        <v>1.3333320000000001E-5</v>
      </c>
      <c r="T59" s="1350">
        <f>'Assumption '!X223</f>
        <v>1.3333320000000001E-5</v>
      </c>
      <c r="U59" s="1350">
        <f>'Assumption '!Y223</f>
        <v>1.3333320000000001E-5</v>
      </c>
      <c r="V59" s="1350">
        <f>'Assumption '!Z223</f>
        <v>1.3333320000000001E-5</v>
      </c>
      <c r="W59" s="1350">
        <f>'Assumption '!AA223</f>
        <v>1.3333320000000001E-5</v>
      </c>
      <c r="X59" s="1350">
        <f>'Assumption '!AB223</f>
        <v>1.3333320000000001E-5</v>
      </c>
      <c r="Y59" s="1350">
        <f>'Assumption '!AC223</f>
        <v>1.3333320000000001E-5</v>
      </c>
      <c r="Z59" s="1350">
        <f>'Assumption '!AD223</f>
        <v>1.3333320000000001E-5</v>
      </c>
      <c r="AA59" s="1350">
        <f>'Assumption '!AE223</f>
        <v>1.3333320000000001E-5</v>
      </c>
      <c r="AB59" s="1350">
        <f>'Assumption '!AF223</f>
        <v>1.3333320000000001E-5</v>
      </c>
      <c r="AC59" s="1350">
        <f>'Assumption '!AG223</f>
        <v>1.3333320000000001E-5</v>
      </c>
      <c r="AD59" s="1350">
        <f>'Assumption '!AH223</f>
        <v>1.3333320000000001E-5</v>
      </c>
      <c r="AE59" s="1350">
        <f>'Assumption '!AI223</f>
        <v>1.3333320000000001E-5</v>
      </c>
      <c r="AF59" s="1350">
        <f>'Assumption '!AJ223</f>
        <v>1.3333320000000001E-5</v>
      </c>
      <c r="AG59" s="1350">
        <f>'Assumption '!AK223</f>
        <v>1.3333320000000001E-5</v>
      </c>
      <c r="AH59" s="1350">
        <f>'Assumption '!AL223</f>
        <v>1.3333320000000001E-5</v>
      </c>
      <c r="AI59" s="1350">
        <f>'Assumption '!AM223</f>
        <v>1.3333320000000001E-5</v>
      </c>
      <c r="AJ59" s="1350">
        <f>'Assumption '!AN223</f>
        <v>1.3333320000000001E-5</v>
      </c>
      <c r="AK59" s="1350">
        <f>'Assumption '!AO223</f>
        <v>1.3333320000000001E-5</v>
      </c>
      <c r="AL59" s="1350">
        <f>'Assumption '!AP223</f>
        <v>1.3333320000000001E-5</v>
      </c>
      <c r="AM59" s="1350">
        <f>'Assumption '!AQ223</f>
        <v>0</v>
      </c>
      <c r="AN59" s="1350">
        <f>'Assumption '!AR223</f>
        <v>0</v>
      </c>
      <c r="AO59" s="1350">
        <f>'Assumption '!AS223</f>
        <v>0</v>
      </c>
      <c r="AP59" s="1350">
        <f>'Assumption '!AT223</f>
        <v>0</v>
      </c>
      <c r="AQ59" s="1350">
        <f>'Assumption '!AU223</f>
        <v>0</v>
      </c>
      <c r="AR59" s="1350">
        <f>'Assumption '!AV223</f>
        <v>0</v>
      </c>
      <c r="AS59" s="1350">
        <f>'Assumption '!AW223</f>
        <v>0</v>
      </c>
      <c r="AT59" s="1350">
        <f>'Assumption '!AX223</f>
        <v>0</v>
      </c>
      <c r="AU59" s="1350">
        <f>'Assumption '!AY223</f>
        <v>0</v>
      </c>
      <c r="AV59" s="1350">
        <f>'Assumption '!AZ223</f>
        <v>0</v>
      </c>
      <c r="AW59" s="1350">
        <f>'Assumption '!BA223</f>
        <v>0</v>
      </c>
      <c r="AX59" s="1350">
        <f>'Assumption '!BB223</f>
        <v>0</v>
      </c>
      <c r="AY59" s="1350">
        <f>'Assumption '!BC223</f>
        <v>0</v>
      </c>
      <c r="AZ59" s="1350">
        <f>'Assumption '!BD223</f>
        <v>0</v>
      </c>
      <c r="BA59" s="1350">
        <f>'Assumption '!BE223</f>
        <v>0</v>
      </c>
      <c r="BB59" s="42"/>
      <c r="BC59" s="42"/>
    </row>
    <row r="60" spans="1:55">
      <c r="B60" s="42" t="s">
        <v>1473</v>
      </c>
      <c r="C60" s="42"/>
      <c r="D60" s="42"/>
      <c r="E60" s="42"/>
      <c r="F60" s="42"/>
      <c r="G60" s="42"/>
      <c r="H60" s="42"/>
      <c r="I60" s="42">
        <f>'Assumption '!M224</f>
        <v>0</v>
      </c>
      <c r="J60" s="42">
        <f>'Assumption '!N224</f>
        <v>12.999987000000001</v>
      </c>
      <c r="K60" s="42">
        <f ca="1">'Assumption '!O224</f>
        <v>24.916641750000004</v>
      </c>
      <c r="L60" s="42">
        <f ca="1">'Assumption '!P224</f>
        <v>29.833303500000003</v>
      </c>
      <c r="M60" s="42">
        <f ca="1">'Assumption '!Q224</f>
        <v>31.666635000000003</v>
      </c>
      <c r="N60" s="42">
        <f ca="1">'Assumption '!R224</f>
        <v>31.666635000000003</v>
      </c>
      <c r="O60" s="42">
        <f ca="1">'Assumption '!S224</f>
        <v>31.666635000000003</v>
      </c>
      <c r="P60" s="42">
        <f ca="1">'Assumption '!T224</f>
        <v>31.666635000000003</v>
      </c>
      <c r="Q60" s="42">
        <f ca="1">'Assumption '!U224</f>
        <v>31.666635000000003</v>
      </c>
      <c r="R60" s="42">
        <f ca="1">'Assumption '!V224</f>
        <v>31.666635000000003</v>
      </c>
      <c r="S60" s="42">
        <f ca="1">'Assumption '!W224</f>
        <v>31.666635000000003</v>
      </c>
      <c r="T60" s="42">
        <f ca="1">'Assumption '!X224</f>
        <v>31.666635000000003</v>
      </c>
      <c r="U60" s="42">
        <f ca="1">'Assumption '!Y224</f>
        <v>31.666635000000003</v>
      </c>
      <c r="V60" s="42">
        <f ca="1">'Assumption '!Z224</f>
        <v>31.666635000000003</v>
      </c>
      <c r="W60" s="42">
        <f ca="1">'Assumption '!AA224</f>
        <v>31.666635000000003</v>
      </c>
      <c r="X60" s="42">
        <f ca="1">'Assumption '!AB224</f>
        <v>31.666635000000003</v>
      </c>
      <c r="Y60" s="42">
        <f ca="1">'Assumption '!AC224</f>
        <v>31.666635000000003</v>
      </c>
      <c r="Z60" s="42">
        <f ca="1">'Assumption '!AD224</f>
        <v>31.666635000000003</v>
      </c>
      <c r="AA60" s="42">
        <f ca="1">'Assumption '!AE224</f>
        <v>31.666635000000003</v>
      </c>
      <c r="AB60" s="42">
        <f ca="1">'Assumption '!AF224</f>
        <v>31.666635000000003</v>
      </c>
      <c r="AC60" s="42">
        <f ca="1">'Assumption '!AG224</f>
        <v>31.666635000000003</v>
      </c>
      <c r="AD60" s="42">
        <f ca="1">'Assumption '!AH224</f>
        <v>31.666635000000003</v>
      </c>
      <c r="AE60" s="42">
        <f ca="1">'Assumption '!AI224</f>
        <v>31.666635000000003</v>
      </c>
      <c r="AF60" s="42">
        <f ca="1">'Assumption '!AJ224</f>
        <v>31.666635000000003</v>
      </c>
      <c r="AG60" s="42">
        <f ca="1">'Assumption '!AK224</f>
        <v>31.666635000000003</v>
      </c>
      <c r="AH60" s="42">
        <f ca="1">'Assumption '!AL224</f>
        <v>31.666635000000003</v>
      </c>
      <c r="AI60" s="42">
        <f ca="1">'Assumption '!AM224</f>
        <v>31.666635000000003</v>
      </c>
      <c r="AJ60" s="42">
        <f ca="1">'Assumption '!AN224</f>
        <v>31.666635000000003</v>
      </c>
      <c r="AK60" s="42">
        <f ca="1">'Assumption '!AO224</f>
        <v>31.666635000000003</v>
      </c>
      <c r="AL60" s="42">
        <f ca="1">'Assumption '!AP224</f>
        <v>31.666635000000003</v>
      </c>
      <c r="AM60" s="42">
        <f>'Assumption '!AQ224</f>
        <v>0</v>
      </c>
      <c r="AN60" s="42">
        <f>'Assumption '!AR224</f>
        <v>0</v>
      </c>
      <c r="AO60" s="42">
        <f>'Assumption '!AS224</f>
        <v>0</v>
      </c>
      <c r="AP60" s="42">
        <f>'Assumption '!AT224</f>
        <v>0</v>
      </c>
      <c r="AQ60" s="42">
        <f>'Assumption '!AU224</f>
        <v>0</v>
      </c>
      <c r="AR60" s="42">
        <f>'Assumption '!AV224</f>
        <v>0</v>
      </c>
      <c r="AS60" s="42">
        <f>'Assumption '!AW224</f>
        <v>0</v>
      </c>
      <c r="AT60" s="42">
        <f>'Assumption '!AX224</f>
        <v>0</v>
      </c>
      <c r="AU60" s="42">
        <f>'Assumption '!AY224</f>
        <v>0</v>
      </c>
      <c r="AV60" s="42">
        <f>'Assumption '!AZ224</f>
        <v>0</v>
      </c>
      <c r="AW60" s="42">
        <f>'Assumption '!BA224</f>
        <v>0</v>
      </c>
      <c r="AX60" s="42">
        <f>'Assumption '!BB224</f>
        <v>0</v>
      </c>
      <c r="AY60" s="42">
        <f>'Assumption '!BC224</f>
        <v>0</v>
      </c>
      <c r="AZ60" s="42">
        <f>'Assumption '!BD224</f>
        <v>0</v>
      </c>
      <c r="BA60" s="42">
        <f>'Assumption '!BE224</f>
        <v>0</v>
      </c>
      <c r="BB60" s="42"/>
      <c r="BC60" s="42"/>
    </row>
    <row r="61" spans="1:55">
      <c r="B61" s="42"/>
      <c r="C61" s="42"/>
      <c r="D61" s="42"/>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row>
    <row r="62" spans="1:55">
      <c r="B62" s="42" t="s">
        <v>1470</v>
      </c>
      <c r="C62" s="42"/>
      <c r="D62" s="42"/>
      <c r="E62" s="42"/>
      <c r="F62" s="42"/>
      <c r="G62" s="42"/>
      <c r="H62" s="42"/>
      <c r="I62" s="42">
        <f>'Assumption '!M225</f>
        <v>2472</v>
      </c>
      <c r="J62" s="42">
        <f>'Assumption '!N225</f>
        <v>2472</v>
      </c>
      <c r="K62" s="42">
        <f>'Assumption '!O225</f>
        <v>2472</v>
      </c>
      <c r="L62" s="42">
        <f>'Assumption '!P225</f>
        <v>2546.16</v>
      </c>
      <c r="M62" s="42">
        <f>'Assumption '!Q225</f>
        <v>2622.5448000000001</v>
      </c>
      <c r="N62" s="42">
        <f>'Assumption '!R225</f>
        <v>2701.2211440000005</v>
      </c>
      <c r="O62" s="42">
        <f>'Assumption '!S225</f>
        <v>2782.2577783199999</v>
      </c>
      <c r="P62" s="42">
        <f>'Assumption '!T225</f>
        <v>2865.7255116696001</v>
      </c>
      <c r="Q62" s="42">
        <f>'Assumption '!U225</f>
        <v>2951.6972770196885</v>
      </c>
      <c r="R62" s="42">
        <f>'Assumption '!V225</f>
        <v>3040.2481953302795</v>
      </c>
      <c r="S62" s="42">
        <f>'Assumption '!W225</f>
        <v>3131.4556411901876</v>
      </c>
      <c r="T62" s="42">
        <f>'Assumption '!X225</f>
        <v>3225.3993104258934</v>
      </c>
      <c r="U62" s="42">
        <f>'Assumption '!Y225</f>
        <v>3322.1612897386703</v>
      </c>
      <c r="V62" s="42">
        <f>'Assumption '!Z225</f>
        <v>3421.8261284308305</v>
      </c>
      <c r="W62" s="42">
        <f>'Assumption '!AA225</f>
        <v>3524.4809122837555</v>
      </c>
      <c r="X62" s="42">
        <f>'Assumption '!AB225</f>
        <v>3630.2153396522685</v>
      </c>
      <c r="Y62" s="42">
        <f>'Assumption '!AC225</f>
        <v>3739.1217998418369</v>
      </c>
      <c r="Z62" s="42">
        <f>'Assumption '!AD225</f>
        <v>3851.2954538370923</v>
      </c>
      <c r="AA62" s="42">
        <f>'Assumption '!AE225</f>
        <v>3966.8343174522047</v>
      </c>
      <c r="AB62" s="42">
        <f>'Assumption '!AF225</f>
        <v>4085.8393469757712</v>
      </c>
      <c r="AC62" s="42">
        <f>'Assumption '!AG225</f>
        <v>4208.4145273850445</v>
      </c>
      <c r="AD62" s="42">
        <f>'Assumption '!AH225</f>
        <v>4334.6669632065959</v>
      </c>
      <c r="AE62" s="42">
        <f>'Assumption '!AI225</f>
        <v>4464.7069721027947</v>
      </c>
      <c r="AF62" s="42">
        <f>'Assumption '!AJ225</f>
        <v>4598.6481812658785</v>
      </c>
      <c r="AG62" s="42">
        <f>'Assumption '!AK225</f>
        <v>4736.6076267038552</v>
      </c>
      <c r="AH62" s="42">
        <f>'Assumption '!AL225</f>
        <v>4878.7058555049707</v>
      </c>
      <c r="AI62" s="42">
        <f>'Assumption '!AM225</f>
        <v>5025.0670311701197</v>
      </c>
      <c r="AJ62" s="42">
        <f>'Assumption '!AN225</f>
        <v>5175.8190421052241</v>
      </c>
      <c r="AK62" s="42">
        <f>'Assumption '!AO225</f>
        <v>5331.0936133683808</v>
      </c>
      <c r="AL62" s="42">
        <f>'Assumption '!AP225</f>
        <v>5491.0264217694321</v>
      </c>
      <c r="AM62" s="42">
        <f>'Assumption '!AQ225</f>
        <v>0</v>
      </c>
      <c r="AN62" s="42">
        <f>'Assumption '!AR225</f>
        <v>0</v>
      </c>
      <c r="AO62" s="42">
        <f>'Assumption '!AS225</f>
        <v>0</v>
      </c>
      <c r="AP62" s="42">
        <f>'Assumption '!AT225</f>
        <v>0</v>
      </c>
      <c r="AQ62" s="42">
        <f>'Assumption '!AU225</f>
        <v>0</v>
      </c>
      <c r="AR62" s="42">
        <f>'Assumption '!AV225</f>
        <v>0</v>
      </c>
      <c r="AS62" s="42">
        <f>'Assumption '!AW225</f>
        <v>0</v>
      </c>
      <c r="AT62" s="42">
        <f>'Assumption '!AX225</f>
        <v>0</v>
      </c>
      <c r="AU62" s="42">
        <f>'Assumption '!AY225</f>
        <v>0</v>
      </c>
      <c r="AV62" s="42">
        <f>'Assumption '!AZ225</f>
        <v>0</v>
      </c>
      <c r="AW62" s="42">
        <f>'Assumption '!BA225</f>
        <v>0</v>
      </c>
      <c r="AX62" s="42">
        <f>'Assumption '!BB225</f>
        <v>0</v>
      </c>
      <c r="AY62" s="42">
        <f>'Assumption '!BC225</f>
        <v>0</v>
      </c>
      <c r="AZ62" s="42">
        <f>'Assumption '!BD225</f>
        <v>0</v>
      </c>
      <c r="BA62" s="42">
        <f>'Assumption '!BE225</f>
        <v>0</v>
      </c>
      <c r="BB62" s="42"/>
      <c r="BC62" s="42"/>
    </row>
    <row r="63" spans="1:55">
      <c r="C63" s="42"/>
      <c r="D63" s="42"/>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row>
    <row r="64" spans="1:55" ht="11.25" thickBot="1">
      <c r="B64" s="587" t="s">
        <v>1471</v>
      </c>
      <c r="C64" s="587"/>
      <c r="D64" s="587"/>
      <c r="E64" s="587"/>
      <c r="F64" s="587"/>
      <c r="G64" s="587"/>
      <c r="H64" s="587"/>
      <c r="I64" s="587">
        <f>I62*I60</f>
        <v>0</v>
      </c>
      <c r="J64" s="587">
        <f t="shared" ref="J64:BA64" si="5">J62*J60</f>
        <v>32135.967864000002</v>
      </c>
      <c r="K64" s="587">
        <f t="shared" ca="1" si="5"/>
        <v>61593.938406000008</v>
      </c>
      <c r="L64" s="587">
        <f t="shared" ca="1" si="5"/>
        <v>75960.364039560009</v>
      </c>
      <c r="M64" s="587">
        <f t="shared" ca="1" si="5"/>
        <v>83047.168952748005</v>
      </c>
      <c r="N64" s="587">
        <f t="shared" ca="1" si="5"/>
        <v>85538.584021330462</v>
      </c>
      <c r="O64" s="587">
        <f t="shared" ca="1" si="5"/>
        <v>88104.741541970361</v>
      </c>
      <c r="P64" s="587">
        <f t="shared" ca="1" si="5"/>
        <v>90747.883788229476</v>
      </c>
      <c r="Q64" s="587">
        <f t="shared" ca="1" si="5"/>
        <v>93470.320301876374</v>
      </c>
      <c r="R64" s="587">
        <f t="shared" ca="1" si="5"/>
        <v>96274.429910932668</v>
      </c>
      <c r="S64" s="587">
        <f t="shared" ca="1" si="5"/>
        <v>99162.662808260648</v>
      </c>
      <c r="T64" s="587">
        <f t="shared" ca="1" si="5"/>
        <v>102137.54269250848</v>
      </c>
      <c r="U64" s="587">
        <f t="shared" ca="1" si="5"/>
        <v>105201.66897328373</v>
      </c>
      <c r="V64" s="587">
        <f t="shared" ca="1" si="5"/>
        <v>108357.71904248225</v>
      </c>
      <c r="W64" s="587">
        <f t="shared" ca="1" si="5"/>
        <v>111608.45061375671</v>
      </c>
      <c r="X64" s="587">
        <f t="shared" ca="1" si="5"/>
        <v>114956.70413216943</v>
      </c>
      <c r="Y64" s="587">
        <f t="shared" ca="1" si="5"/>
        <v>118405.40525613452</v>
      </c>
      <c r="Z64" s="587">
        <f t="shared" ca="1" si="5"/>
        <v>121957.56741381856</v>
      </c>
      <c r="AA64" s="587">
        <f t="shared" ca="1" si="5"/>
        <v>125616.2944362331</v>
      </c>
      <c r="AB64" s="587">
        <f t="shared" ca="1" si="5"/>
        <v>129384.78326932011</v>
      </c>
      <c r="AC64" s="587">
        <f t="shared" ca="1" si="5"/>
        <v>133266.32676739973</v>
      </c>
      <c r="AD64" s="587">
        <f t="shared" ca="1" si="5"/>
        <v>137264.31657042171</v>
      </c>
      <c r="AE64" s="587">
        <f t="shared" ca="1" si="5"/>
        <v>141382.2460675344</v>
      </c>
      <c r="AF64" s="587">
        <f t="shared" ca="1" si="5"/>
        <v>145623.71344956043</v>
      </c>
      <c r="AG64" s="587">
        <f t="shared" ca="1" si="5"/>
        <v>149992.42485304724</v>
      </c>
      <c r="AH64" s="587">
        <f t="shared" ca="1" si="5"/>
        <v>154492.19759863865</v>
      </c>
      <c r="AI64" s="587">
        <f t="shared" ca="1" si="5"/>
        <v>159126.96352659783</v>
      </c>
      <c r="AJ64" s="587">
        <f t="shared" ca="1" si="5"/>
        <v>163900.77243239578</v>
      </c>
      <c r="AK64" s="587">
        <f t="shared" ca="1" si="5"/>
        <v>168817.79560536766</v>
      </c>
      <c r="AL64" s="587">
        <f t="shared" ca="1" si="5"/>
        <v>173882.32947352869</v>
      </c>
      <c r="AM64" s="587">
        <f t="shared" si="5"/>
        <v>0</v>
      </c>
      <c r="AN64" s="587">
        <f t="shared" si="5"/>
        <v>0</v>
      </c>
      <c r="AO64" s="587">
        <f t="shared" si="5"/>
        <v>0</v>
      </c>
      <c r="AP64" s="587">
        <f t="shared" si="5"/>
        <v>0</v>
      </c>
      <c r="AQ64" s="587">
        <f t="shared" si="5"/>
        <v>0</v>
      </c>
      <c r="AR64" s="587">
        <f t="shared" si="5"/>
        <v>0</v>
      </c>
      <c r="AS64" s="587">
        <f t="shared" si="5"/>
        <v>0</v>
      </c>
      <c r="AT64" s="587">
        <f t="shared" si="5"/>
        <v>0</v>
      </c>
      <c r="AU64" s="587">
        <f t="shared" si="5"/>
        <v>0</v>
      </c>
      <c r="AV64" s="587">
        <f t="shared" si="5"/>
        <v>0</v>
      </c>
      <c r="AW64" s="587">
        <f t="shared" si="5"/>
        <v>0</v>
      </c>
      <c r="AX64" s="587">
        <f t="shared" si="5"/>
        <v>0</v>
      </c>
      <c r="AY64" s="587">
        <f t="shared" si="5"/>
        <v>0</v>
      </c>
      <c r="AZ64" s="587">
        <f t="shared" si="5"/>
        <v>0</v>
      </c>
      <c r="BA64" s="587">
        <f t="shared" si="5"/>
        <v>0</v>
      </c>
      <c r="BB64" s="42"/>
      <c r="BC64" s="42"/>
    </row>
    <row r="65" spans="1:55">
      <c r="A65" s="12"/>
      <c r="B65" s="42"/>
      <c r="C65" s="42"/>
      <c r="D65" s="42"/>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row>
    <row r="66" spans="1:55">
      <c r="B66" s="42"/>
      <c r="C66" s="42"/>
      <c r="D66" s="42"/>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row>
    <row r="67" spans="1:55" ht="12.75">
      <c r="B67" s="1351" t="s">
        <v>1701</v>
      </c>
      <c r="C67" s="42"/>
      <c r="D67" s="42"/>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row>
    <row r="68" spans="1:55">
      <c r="B68" s="42" t="s">
        <v>1474</v>
      </c>
      <c r="C68" s="42"/>
      <c r="D68" s="42"/>
      <c r="E68" s="42"/>
      <c r="F68" s="42"/>
      <c r="G68" s="42"/>
      <c r="H68" s="42"/>
      <c r="I68" s="42">
        <f>I44</f>
        <v>0</v>
      </c>
      <c r="J68" s="42">
        <f t="shared" ref="J68:AW68" si="6">J44</f>
        <v>73799450.817475393</v>
      </c>
      <c r="K68" s="42">
        <f t="shared" ca="1" si="6"/>
        <v>145692415.82216603</v>
      </c>
      <c r="L68" s="42">
        <f t="shared" ca="1" si="6"/>
        <v>179674319.09787792</v>
      </c>
      <c r="M68" s="42">
        <f t="shared" ca="1" si="6"/>
        <v>196437230.43270785</v>
      </c>
      <c r="N68" s="42">
        <f t="shared" ca="1" si="6"/>
        <v>202330347.34568912</v>
      </c>
      <c r="O68" s="42">
        <f t="shared" ca="1" si="6"/>
        <v>208400257.76605979</v>
      </c>
      <c r="P68" s="42">
        <f t="shared" ca="1" si="6"/>
        <v>214652265.49904159</v>
      </c>
      <c r="Q68" s="42">
        <f t="shared" ca="1" si="6"/>
        <v>221091833.46401283</v>
      </c>
      <c r="R68" s="42">
        <f t="shared" ca="1" si="6"/>
        <v>227724588.46793324</v>
      </c>
      <c r="S68" s="42">
        <f t="shared" ca="1" si="6"/>
        <v>234556326.12197122</v>
      </c>
      <c r="T68" s="42">
        <f t="shared" ca="1" si="6"/>
        <v>241593015.90563035</v>
      </c>
      <c r="U68" s="42">
        <f t="shared" ca="1" si="6"/>
        <v>248840806.38279927</v>
      </c>
      <c r="V68" s="42">
        <f t="shared" ca="1" si="6"/>
        <v>256306030.5742833</v>
      </c>
      <c r="W68" s="42">
        <f t="shared" ca="1" si="6"/>
        <v>263995211.49151182</v>
      </c>
      <c r="X68" s="42">
        <f t="shared" ca="1" si="6"/>
        <v>271915067.83625716</v>
      </c>
      <c r="Y68" s="42">
        <f t="shared" ca="1" si="6"/>
        <v>280072519.87134492</v>
      </c>
      <c r="Z68" s="42">
        <f t="shared" ca="1" si="6"/>
        <v>288474695.46748519</v>
      </c>
      <c r="AA68" s="42">
        <f t="shared" ca="1" si="6"/>
        <v>297128936.33150989</v>
      </c>
      <c r="AB68" s="42">
        <f t="shared" ca="1" si="6"/>
        <v>306042804.42145514</v>
      </c>
      <c r="AC68" s="42">
        <f t="shared" ca="1" si="6"/>
        <v>315224088.55409878</v>
      </c>
      <c r="AD68" s="42">
        <f t="shared" ca="1" si="6"/>
        <v>324680811.21072179</v>
      </c>
      <c r="AE68" s="42">
        <f t="shared" ca="1" si="6"/>
        <v>334421235.5470435</v>
      </c>
      <c r="AF68" s="42">
        <f t="shared" ca="1" si="6"/>
        <v>344453872.61345482</v>
      </c>
      <c r="AG68" s="42">
        <f t="shared" ca="1" si="6"/>
        <v>354787488.79185843</v>
      </c>
      <c r="AH68" s="42">
        <f t="shared" ca="1" si="6"/>
        <v>365431113.45561421</v>
      </c>
      <c r="AI68" s="42">
        <f t="shared" ca="1" si="6"/>
        <v>376394046.85928267</v>
      </c>
      <c r="AJ68" s="42">
        <f t="shared" ca="1" si="6"/>
        <v>387685868.26506108</v>
      </c>
      <c r="AK68" s="42">
        <f t="shared" ca="1" si="6"/>
        <v>399316444.31301296</v>
      </c>
      <c r="AL68" s="42">
        <f t="shared" ca="1" si="6"/>
        <v>411295937.64240336</v>
      </c>
      <c r="AM68" s="42">
        <f t="shared" si="6"/>
        <v>0</v>
      </c>
      <c r="AN68" s="42">
        <f t="shared" si="6"/>
        <v>0</v>
      </c>
      <c r="AO68" s="42">
        <f t="shared" si="6"/>
        <v>0</v>
      </c>
      <c r="AP68" s="42">
        <f t="shared" si="6"/>
        <v>0</v>
      </c>
      <c r="AQ68" s="42">
        <f t="shared" si="6"/>
        <v>0</v>
      </c>
      <c r="AR68" s="42">
        <f t="shared" si="6"/>
        <v>0</v>
      </c>
      <c r="AS68" s="42">
        <f t="shared" si="6"/>
        <v>0</v>
      </c>
      <c r="AT68" s="42">
        <f t="shared" si="6"/>
        <v>0</v>
      </c>
      <c r="AU68" s="42">
        <f t="shared" si="6"/>
        <v>0</v>
      </c>
      <c r="AV68" s="42">
        <f t="shared" si="6"/>
        <v>0</v>
      </c>
      <c r="AW68" s="42">
        <f t="shared" si="6"/>
        <v>0</v>
      </c>
      <c r="AX68" s="42">
        <f>AX42</f>
        <v>0</v>
      </c>
      <c r="AY68" s="42">
        <f>AY42</f>
        <v>0</v>
      </c>
      <c r="AZ68" s="42">
        <f>AZ42</f>
        <v>0</v>
      </c>
      <c r="BA68" s="42">
        <f>BA42</f>
        <v>0</v>
      </c>
      <c r="BB68" s="42"/>
      <c r="BC68" s="42"/>
    </row>
    <row r="69" spans="1:55">
      <c r="B69" s="42" t="s">
        <v>1431</v>
      </c>
      <c r="C69" s="42"/>
      <c r="D69" s="42"/>
      <c r="E69" s="42"/>
      <c r="F69" s="42"/>
      <c r="G69" s="42"/>
      <c r="H69" s="42"/>
      <c r="I69" s="42">
        <f ca="1">I54</f>
        <v>0</v>
      </c>
      <c r="J69" s="42">
        <f t="shared" ref="J69:BA69" ca="1" si="7">J54</f>
        <v>622075.5343481662</v>
      </c>
      <c r="K69" s="42">
        <f t="shared" ca="1" si="7"/>
        <v>1221150.0865447307</v>
      </c>
      <c r="L69" s="42">
        <f t="shared" ca="1" si="7"/>
        <v>1461606.8679564453</v>
      </c>
      <c r="M69" s="42">
        <f t="shared" ca="1" si="7"/>
        <v>1587109.0889647722</v>
      </c>
      <c r="N69" s="42">
        <f t="shared" ca="1" si="7"/>
        <v>1625199.7070999267</v>
      </c>
      <c r="O69" s="42">
        <f t="shared" ca="1" si="7"/>
        <v>1664204.5000703249</v>
      </c>
      <c r="P69" s="42">
        <f t="shared" ca="1" si="7"/>
        <v>1704145.4080720127</v>
      </c>
      <c r="Q69" s="42">
        <f t="shared" ca="1" si="7"/>
        <v>1745044.897865741</v>
      </c>
      <c r="R69" s="42">
        <f t="shared" ca="1" si="7"/>
        <v>1786925.975414519</v>
      </c>
      <c r="S69" s="42">
        <f t="shared" ca="1" si="7"/>
        <v>1829812.1988244674</v>
      </c>
      <c r="T69" s="42">
        <f t="shared" ca="1" si="7"/>
        <v>1873727.6915962545</v>
      </c>
      <c r="U69" s="42">
        <f t="shared" ca="1" si="7"/>
        <v>1918697.1561945647</v>
      </c>
      <c r="V69" s="42">
        <f t="shared" ca="1" si="7"/>
        <v>1964745.8879432341</v>
      </c>
      <c r="W69" s="42">
        <f t="shared" ca="1" si="7"/>
        <v>2011899.7892538719</v>
      </c>
      <c r="X69" s="42">
        <f t="shared" ca="1" si="7"/>
        <v>2060185.384195965</v>
      </c>
      <c r="Y69" s="42">
        <f t="shared" ca="1" si="7"/>
        <v>2109629.8334166682</v>
      </c>
      <c r="Z69" s="42">
        <f t="shared" ca="1" si="7"/>
        <v>2160260.9494186682</v>
      </c>
      <c r="AA69" s="42">
        <f t="shared" ca="1" si="7"/>
        <v>2212107.2122047166</v>
      </c>
      <c r="AB69" s="42">
        <f t="shared" ca="1" si="7"/>
        <v>2265197.7852976299</v>
      </c>
      <c r="AC69" s="42">
        <f t="shared" ca="1" si="7"/>
        <v>2319562.5321447728</v>
      </c>
      <c r="AD69" s="42">
        <f t="shared" ca="1" si="7"/>
        <v>2375232.0329162478</v>
      </c>
      <c r="AE69" s="42">
        <f t="shared" ca="1" si="7"/>
        <v>2432237.6017062375</v>
      </c>
      <c r="AF69" s="42">
        <f t="shared" ca="1" si="7"/>
        <v>2490611.3041471876</v>
      </c>
      <c r="AG69" s="42">
        <f t="shared" ca="1" si="7"/>
        <v>2550385.9754467201</v>
      </c>
      <c r="AH69" s="42">
        <f t="shared" ca="1" si="7"/>
        <v>2611595.2388574416</v>
      </c>
      <c r="AI69" s="42">
        <f t="shared" ca="1" si="7"/>
        <v>2674273.5245900201</v>
      </c>
      <c r="AJ69" s="42">
        <f t="shared" ca="1" si="7"/>
        <v>2738456.0891801808</v>
      </c>
      <c r="AK69" s="42">
        <f t="shared" ca="1" si="7"/>
        <v>2804179.035320505</v>
      </c>
      <c r="AL69" s="42">
        <f t="shared" ca="1" si="7"/>
        <v>2871479.3321681973</v>
      </c>
      <c r="AM69" s="42">
        <f t="shared" si="7"/>
        <v>0</v>
      </c>
      <c r="AN69" s="42">
        <f t="shared" si="7"/>
        <v>0</v>
      </c>
      <c r="AO69" s="42">
        <f t="shared" si="7"/>
        <v>0</v>
      </c>
      <c r="AP69" s="42">
        <f t="shared" si="7"/>
        <v>0</v>
      </c>
      <c r="AQ69" s="42">
        <f t="shared" si="7"/>
        <v>0</v>
      </c>
      <c r="AR69" s="42">
        <f t="shared" si="7"/>
        <v>0</v>
      </c>
      <c r="AS69" s="42">
        <f t="shared" si="7"/>
        <v>0</v>
      </c>
      <c r="AT69" s="42">
        <f t="shared" si="7"/>
        <v>0</v>
      </c>
      <c r="AU69" s="42">
        <f t="shared" si="7"/>
        <v>0</v>
      </c>
      <c r="AV69" s="42">
        <f t="shared" si="7"/>
        <v>0</v>
      </c>
      <c r="AW69" s="42">
        <f t="shared" si="7"/>
        <v>0</v>
      </c>
      <c r="AX69" s="42">
        <f t="shared" si="7"/>
        <v>0</v>
      </c>
      <c r="AY69" s="42">
        <f t="shared" si="7"/>
        <v>0</v>
      </c>
      <c r="AZ69" s="42">
        <f t="shared" si="7"/>
        <v>0</v>
      </c>
      <c r="BA69" s="42">
        <f t="shared" si="7"/>
        <v>0</v>
      </c>
      <c r="BB69" s="42"/>
      <c r="BC69" s="42"/>
    </row>
    <row r="70" spans="1:55">
      <c r="B70" s="42" t="s">
        <v>1475</v>
      </c>
      <c r="C70" s="42"/>
      <c r="D70" s="42"/>
      <c r="E70" s="42"/>
      <c r="F70" s="42"/>
      <c r="G70" s="42"/>
      <c r="H70" s="42"/>
      <c r="I70" s="42">
        <f>I64</f>
        <v>0</v>
      </c>
      <c r="J70" s="42">
        <f t="shared" ref="J70:BA70" si="8">J64</f>
        <v>32135.967864000002</v>
      </c>
      <c r="K70" s="42">
        <f t="shared" ca="1" si="8"/>
        <v>61593.938406000008</v>
      </c>
      <c r="L70" s="42">
        <f t="shared" ca="1" si="8"/>
        <v>75960.364039560009</v>
      </c>
      <c r="M70" s="42">
        <f t="shared" ca="1" si="8"/>
        <v>83047.168952748005</v>
      </c>
      <c r="N70" s="42">
        <f t="shared" ca="1" si="8"/>
        <v>85538.584021330462</v>
      </c>
      <c r="O70" s="42">
        <f t="shared" ca="1" si="8"/>
        <v>88104.741541970361</v>
      </c>
      <c r="P70" s="42">
        <f t="shared" ca="1" si="8"/>
        <v>90747.883788229476</v>
      </c>
      <c r="Q70" s="42">
        <f t="shared" ca="1" si="8"/>
        <v>93470.320301876374</v>
      </c>
      <c r="R70" s="42">
        <f t="shared" ca="1" si="8"/>
        <v>96274.429910932668</v>
      </c>
      <c r="S70" s="42">
        <f t="shared" ca="1" si="8"/>
        <v>99162.662808260648</v>
      </c>
      <c r="T70" s="42">
        <f t="shared" ca="1" si="8"/>
        <v>102137.54269250848</v>
      </c>
      <c r="U70" s="42">
        <f t="shared" ca="1" si="8"/>
        <v>105201.66897328373</v>
      </c>
      <c r="V70" s="42">
        <f t="shared" ca="1" si="8"/>
        <v>108357.71904248225</v>
      </c>
      <c r="W70" s="42">
        <f t="shared" ca="1" si="8"/>
        <v>111608.45061375671</v>
      </c>
      <c r="X70" s="42">
        <f t="shared" ca="1" si="8"/>
        <v>114956.70413216943</v>
      </c>
      <c r="Y70" s="42">
        <f t="shared" ca="1" si="8"/>
        <v>118405.40525613452</v>
      </c>
      <c r="Z70" s="42">
        <f t="shared" ca="1" si="8"/>
        <v>121957.56741381856</v>
      </c>
      <c r="AA70" s="42">
        <f t="shared" ca="1" si="8"/>
        <v>125616.2944362331</v>
      </c>
      <c r="AB70" s="42">
        <f t="shared" ca="1" si="8"/>
        <v>129384.78326932011</v>
      </c>
      <c r="AC70" s="42">
        <f t="shared" ca="1" si="8"/>
        <v>133266.32676739973</v>
      </c>
      <c r="AD70" s="42">
        <f t="shared" ca="1" si="8"/>
        <v>137264.31657042171</v>
      </c>
      <c r="AE70" s="42">
        <f t="shared" ca="1" si="8"/>
        <v>141382.2460675344</v>
      </c>
      <c r="AF70" s="42">
        <f t="shared" ca="1" si="8"/>
        <v>145623.71344956043</v>
      </c>
      <c r="AG70" s="42">
        <f t="shared" ca="1" si="8"/>
        <v>149992.42485304724</v>
      </c>
      <c r="AH70" s="42">
        <f t="shared" ca="1" si="8"/>
        <v>154492.19759863865</v>
      </c>
      <c r="AI70" s="42">
        <f t="shared" ca="1" si="8"/>
        <v>159126.96352659783</v>
      </c>
      <c r="AJ70" s="42">
        <f t="shared" ca="1" si="8"/>
        <v>163900.77243239578</v>
      </c>
      <c r="AK70" s="42">
        <f t="shared" ca="1" si="8"/>
        <v>168817.79560536766</v>
      </c>
      <c r="AL70" s="42">
        <f t="shared" ca="1" si="8"/>
        <v>173882.32947352869</v>
      </c>
      <c r="AM70" s="42">
        <f t="shared" si="8"/>
        <v>0</v>
      </c>
      <c r="AN70" s="42">
        <f t="shared" si="8"/>
        <v>0</v>
      </c>
      <c r="AO70" s="42">
        <f t="shared" si="8"/>
        <v>0</v>
      </c>
      <c r="AP70" s="42">
        <f t="shared" si="8"/>
        <v>0</v>
      </c>
      <c r="AQ70" s="42">
        <f t="shared" si="8"/>
        <v>0</v>
      </c>
      <c r="AR70" s="42">
        <f t="shared" si="8"/>
        <v>0</v>
      </c>
      <c r="AS70" s="42">
        <f t="shared" si="8"/>
        <v>0</v>
      </c>
      <c r="AT70" s="42">
        <f t="shared" si="8"/>
        <v>0</v>
      </c>
      <c r="AU70" s="42">
        <f t="shared" si="8"/>
        <v>0</v>
      </c>
      <c r="AV70" s="42">
        <f t="shared" si="8"/>
        <v>0</v>
      </c>
      <c r="AW70" s="42">
        <f t="shared" si="8"/>
        <v>0</v>
      </c>
      <c r="AX70" s="42">
        <f t="shared" si="8"/>
        <v>0</v>
      </c>
      <c r="AY70" s="42">
        <f t="shared" si="8"/>
        <v>0</v>
      </c>
      <c r="AZ70" s="42">
        <f t="shared" si="8"/>
        <v>0</v>
      </c>
      <c r="BA70" s="42">
        <f t="shared" si="8"/>
        <v>0</v>
      </c>
      <c r="BB70" s="42"/>
      <c r="BC70" s="42"/>
    </row>
    <row r="71" spans="1:55" ht="11.25" thickBot="1">
      <c r="B71" s="587" t="s">
        <v>1476</v>
      </c>
      <c r="C71" s="587"/>
      <c r="D71" s="587"/>
      <c r="E71" s="587"/>
      <c r="F71" s="587"/>
      <c r="G71" s="587"/>
      <c r="H71" s="587"/>
      <c r="I71" s="587">
        <f ca="1">SUM(I68:I70)</f>
        <v>0</v>
      </c>
      <c r="J71" s="587">
        <f t="shared" ref="J71:BA71" ca="1" si="9">SUM(J68:J70)</f>
        <v>74453662.31968756</v>
      </c>
      <c r="K71" s="587">
        <f t="shared" ca="1" si="9"/>
        <v>146975159.84711674</v>
      </c>
      <c r="L71" s="587">
        <f t="shared" ca="1" si="9"/>
        <v>181211886.32987395</v>
      </c>
      <c r="M71" s="587">
        <f t="shared" ca="1" si="9"/>
        <v>198107386.69062534</v>
      </c>
      <c r="N71" s="587">
        <f t="shared" ca="1" si="9"/>
        <v>204041085.63681036</v>
      </c>
      <c r="O71" s="587">
        <f t="shared" ca="1" si="9"/>
        <v>210152567.0076721</v>
      </c>
      <c r="P71" s="587">
        <f t="shared" ca="1" si="9"/>
        <v>216447158.79090184</v>
      </c>
      <c r="Q71" s="587">
        <f t="shared" ca="1" si="9"/>
        <v>222930348.68218046</v>
      </c>
      <c r="R71" s="587">
        <f t="shared" ca="1" si="9"/>
        <v>229607788.87325868</v>
      </c>
      <c r="S71" s="587">
        <f t="shared" ca="1" si="9"/>
        <v>236485300.98360395</v>
      </c>
      <c r="T71" s="587">
        <f t="shared" ca="1" si="9"/>
        <v>243568881.1399191</v>
      </c>
      <c r="U71" s="587">
        <f t="shared" ca="1" si="9"/>
        <v>250864705.20796713</v>
      </c>
      <c r="V71" s="587">
        <f t="shared" ca="1" si="9"/>
        <v>258379134.18126902</v>
      </c>
      <c r="W71" s="587">
        <f t="shared" ca="1" si="9"/>
        <v>266118719.73137945</v>
      </c>
      <c r="X71" s="587">
        <f t="shared" ca="1" si="9"/>
        <v>274090209.92458528</v>
      </c>
      <c r="Y71" s="587">
        <f t="shared" ca="1" si="9"/>
        <v>282300555.11001772</v>
      </c>
      <c r="Z71" s="587">
        <f t="shared" ca="1" si="9"/>
        <v>290756913.98431766</v>
      </c>
      <c r="AA71" s="587">
        <f t="shared" ca="1" si="9"/>
        <v>299466659.8381508</v>
      </c>
      <c r="AB71" s="587">
        <f t="shared" ca="1" si="9"/>
        <v>308437386.99002212</v>
      </c>
      <c r="AC71" s="587">
        <f t="shared" ca="1" si="9"/>
        <v>317676917.41301095</v>
      </c>
      <c r="AD71" s="587">
        <f t="shared" ca="1" si="9"/>
        <v>327193307.56020844</v>
      </c>
      <c r="AE71" s="587">
        <f t="shared" ca="1" si="9"/>
        <v>336994855.39481729</v>
      </c>
      <c r="AF71" s="587">
        <f t="shared" ca="1" si="9"/>
        <v>347090107.63105154</v>
      </c>
      <c r="AG71" s="587">
        <f t="shared" ca="1" si="9"/>
        <v>357487867.19215816</v>
      </c>
      <c r="AH71" s="587">
        <f t="shared" ca="1" si="9"/>
        <v>368197200.89207029</v>
      </c>
      <c r="AI71" s="587">
        <f t="shared" ca="1" si="9"/>
        <v>379227447.34739929</v>
      </c>
      <c r="AJ71" s="587">
        <f t="shared" ca="1" si="9"/>
        <v>390588225.12667364</v>
      </c>
      <c r="AK71" s="587">
        <f t="shared" ca="1" si="9"/>
        <v>402289441.14393884</v>
      </c>
      <c r="AL71" s="587">
        <f t="shared" ca="1" si="9"/>
        <v>414341299.30404514</v>
      </c>
      <c r="AM71" s="587">
        <f t="shared" si="9"/>
        <v>0</v>
      </c>
      <c r="AN71" s="587">
        <f t="shared" si="9"/>
        <v>0</v>
      </c>
      <c r="AO71" s="587">
        <f t="shared" si="9"/>
        <v>0</v>
      </c>
      <c r="AP71" s="587">
        <f t="shared" si="9"/>
        <v>0</v>
      </c>
      <c r="AQ71" s="587">
        <f t="shared" si="9"/>
        <v>0</v>
      </c>
      <c r="AR71" s="587">
        <f t="shared" si="9"/>
        <v>0</v>
      </c>
      <c r="AS71" s="587">
        <f t="shared" si="9"/>
        <v>0</v>
      </c>
      <c r="AT71" s="587">
        <f t="shared" si="9"/>
        <v>0</v>
      </c>
      <c r="AU71" s="587">
        <f t="shared" si="9"/>
        <v>0</v>
      </c>
      <c r="AV71" s="587">
        <f t="shared" si="9"/>
        <v>0</v>
      </c>
      <c r="AW71" s="587">
        <f t="shared" si="9"/>
        <v>0</v>
      </c>
      <c r="AX71" s="587">
        <f t="shared" si="9"/>
        <v>0</v>
      </c>
      <c r="AY71" s="587">
        <f t="shared" si="9"/>
        <v>0</v>
      </c>
      <c r="AZ71" s="587">
        <f t="shared" si="9"/>
        <v>0</v>
      </c>
      <c r="BA71" s="587">
        <f t="shared" si="9"/>
        <v>0</v>
      </c>
      <c r="BB71" s="42"/>
      <c r="BC71" s="42"/>
    </row>
    <row r="72" spans="1:55">
      <c r="A72" s="12"/>
      <c r="B72" s="42"/>
      <c r="C72" s="42"/>
      <c r="D72" s="42"/>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row>
    <row r="73" spans="1:55">
      <c r="B73" s="42"/>
      <c r="C73" s="42"/>
      <c r="D73" s="42"/>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row>
    <row r="74" spans="1:55">
      <c r="B74" s="42"/>
      <c r="C74" s="42"/>
      <c r="D74" s="42"/>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row>
    <row r="75" spans="1:55">
      <c r="B75" s="42"/>
      <c r="C75" s="42"/>
      <c r="D75" s="42"/>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row>
    <row r="76" spans="1:55">
      <c r="B76" s="42"/>
      <c r="C76" s="42"/>
      <c r="D76" s="42"/>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row>
    <row r="77" spans="1:55">
      <c r="B77" s="42"/>
      <c r="C77" s="42"/>
      <c r="D77" s="42"/>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row>
    <row r="78" spans="1:55">
      <c r="B78" s="42"/>
      <c r="C78" s="42"/>
      <c r="D78" s="42"/>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row>
    <row r="79" spans="1:55">
      <c r="B79" s="10"/>
    </row>
    <row r="80" spans="1:55">
      <c r="B80" s="10"/>
    </row>
    <row r="81" spans="1:53">
      <c r="C81" s="15"/>
      <c r="D81" s="42"/>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row>
    <row r="82" spans="1:53">
      <c r="C82" s="15"/>
      <c r="D82" s="42"/>
      <c r="I82" s="41"/>
      <c r="J82" s="41"/>
      <c r="K82" s="41"/>
      <c r="L82" s="41"/>
      <c r="M82" s="41"/>
      <c r="N82" s="41"/>
      <c r="O82" s="41"/>
      <c r="P82" s="41"/>
      <c r="Q82" s="41"/>
      <c r="R82" s="41"/>
      <c r="S82" s="41"/>
      <c r="T82" s="41"/>
      <c r="U82" s="41"/>
      <c r="V82" s="41"/>
      <c r="W82" s="41"/>
      <c r="X82" s="41"/>
      <c r="Y82" s="41"/>
      <c r="Z82" s="41"/>
      <c r="AA82" s="41"/>
      <c r="AB82" s="41"/>
      <c r="AC82" s="41"/>
      <c r="AD82" s="41"/>
      <c r="AE82" s="41"/>
      <c r="AF82" s="41"/>
      <c r="AG82" s="41"/>
      <c r="AH82" s="41"/>
      <c r="AI82" s="41"/>
      <c r="AJ82" s="41"/>
      <c r="AK82" s="41"/>
      <c r="AL82" s="41"/>
      <c r="AM82" s="41"/>
      <c r="AN82" s="41"/>
      <c r="AO82" s="41"/>
      <c r="AP82" s="41"/>
      <c r="AQ82" s="41"/>
      <c r="AR82" s="41"/>
      <c r="AS82" s="41"/>
      <c r="AT82" s="41"/>
      <c r="AU82" s="41"/>
      <c r="AV82" s="41"/>
      <c r="AW82" s="41"/>
      <c r="AX82" s="41"/>
      <c r="AY82" s="41"/>
    </row>
    <row r="83" spans="1:53">
      <c r="B83" s="27"/>
      <c r="C83" s="28"/>
      <c r="D83" s="108"/>
      <c r="E83" s="27"/>
      <c r="F83" s="27"/>
      <c r="G83" s="27"/>
      <c r="H83" s="27"/>
      <c r="I83" s="43"/>
      <c r="J83" s="43"/>
      <c r="K83" s="43"/>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row>
    <row r="84" spans="1:53">
      <c r="C84" s="15"/>
      <c r="D84" s="42"/>
      <c r="I84" s="42"/>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row>
    <row r="86" spans="1:53">
      <c r="A86" s="6"/>
      <c r="B86" s="6" t="s">
        <v>1477</v>
      </c>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row>
    <row r="88" spans="1:53">
      <c r="B88" s="10"/>
    </row>
    <row r="89" spans="1:53">
      <c r="B89" s="586" t="s">
        <v>866</v>
      </c>
      <c r="I89" s="1087"/>
    </row>
    <row r="90" spans="1:53">
      <c r="C90" s="15"/>
      <c r="D90" s="15"/>
    </row>
    <row r="91" spans="1:53">
      <c r="B91" s="2" t="s">
        <v>1411</v>
      </c>
      <c r="C91" s="15"/>
      <c r="D91" s="42"/>
      <c r="I91" s="186">
        <f>'Assumption '!M164</f>
        <v>30.228636438000002</v>
      </c>
      <c r="J91" s="186">
        <f>'Assumption '!N164</f>
        <v>30.228636438000002</v>
      </c>
      <c r="K91" s="186">
        <f>'Assumption '!O164</f>
        <v>30.228636438000002</v>
      </c>
      <c r="L91" s="186">
        <f>'Assumption '!P164</f>
        <v>30.228636438000002</v>
      </c>
      <c r="M91" s="186">
        <f>'Assumption '!Q164</f>
        <v>30.228636438000002</v>
      </c>
      <c r="N91" s="186">
        <f>'Assumption '!R164</f>
        <v>30.228636438000002</v>
      </c>
      <c r="O91" s="186">
        <f>'Assumption '!S164</f>
        <v>30.228636438000002</v>
      </c>
      <c r="P91" s="186">
        <f>'Assumption '!T164</f>
        <v>30.228636438000002</v>
      </c>
      <c r="Q91" s="186">
        <f>'Assumption '!U164</f>
        <v>30.228636438000002</v>
      </c>
      <c r="R91" s="186">
        <f>'Assumption '!V164</f>
        <v>30.228636438000002</v>
      </c>
      <c r="S91" s="186">
        <f>'Assumption '!W164</f>
        <v>30.228636438000002</v>
      </c>
      <c r="T91" s="186">
        <f>'Assumption '!X164</f>
        <v>30.228636438000002</v>
      </c>
      <c r="U91" s="186">
        <f>'Assumption '!Y164</f>
        <v>30.228636438000002</v>
      </c>
      <c r="V91" s="186">
        <f>'Assumption '!Z164</f>
        <v>30.228636438000002</v>
      </c>
      <c r="W91" s="186">
        <f>'Assumption '!AA164</f>
        <v>30.228636438000002</v>
      </c>
      <c r="X91" s="186">
        <f>'Assumption '!AB164</f>
        <v>30.228636438000002</v>
      </c>
      <c r="Y91" s="186">
        <f>'Assumption '!AC164</f>
        <v>30.228636438000002</v>
      </c>
      <c r="Z91" s="186">
        <f>'Assumption '!AD164</f>
        <v>30.228636438000002</v>
      </c>
      <c r="AA91" s="186">
        <f>'Assumption '!AE164</f>
        <v>30.228636438000002</v>
      </c>
      <c r="AB91" s="186">
        <f>'Assumption '!AF164</f>
        <v>30.228636438000002</v>
      </c>
      <c r="AC91" s="186">
        <f>'Assumption '!AG164</f>
        <v>30.228636438000002</v>
      </c>
      <c r="AD91" s="186">
        <f>'Assumption '!AH164</f>
        <v>30.228636438000002</v>
      </c>
      <c r="AE91" s="186">
        <f>'Assumption '!AI164</f>
        <v>30.228636438000002</v>
      </c>
      <c r="AF91" s="186">
        <f>'Assumption '!AJ164</f>
        <v>30.228636438000002</v>
      </c>
      <c r="AG91" s="186">
        <f>'Assumption '!AK164</f>
        <v>30.228636438000002</v>
      </c>
      <c r="AH91" s="186">
        <f>'Assumption '!AL164</f>
        <v>30.228636438000002</v>
      </c>
      <c r="AI91" s="186">
        <f>'Assumption '!AM164</f>
        <v>30.228636438000002</v>
      </c>
      <c r="AJ91" s="186">
        <f>'Assumption '!AN164</f>
        <v>30.228636438000002</v>
      </c>
      <c r="AK91" s="186">
        <f>'Assumption '!AO164</f>
        <v>30.228636438000002</v>
      </c>
      <c r="AL91" s="186">
        <f>'Assumption '!AP164</f>
        <v>30.228636438000002</v>
      </c>
      <c r="AM91" s="186">
        <f>'Assumption '!AQ164</f>
        <v>0</v>
      </c>
      <c r="AN91" s="186">
        <f>'Assumption '!AR164</f>
        <v>0</v>
      </c>
      <c r="AO91" s="186">
        <f>'Assumption '!AS164</f>
        <v>0</v>
      </c>
      <c r="AP91" s="186">
        <f>'Assumption '!AT164</f>
        <v>0</v>
      </c>
      <c r="AQ91" s="186">
        <f>'Assumption '!AU164</f>
        <v>0</v>
      </c>
      <c r="AR91" s="186">
        <f>'Assumption '!AV164</f>
        <v>0</v>
      </c>
      <c r="AS91" s="186">
        <f>'Assumption '!AW164</f>
        <v>0</v>
      </c>
      <c r="AT91" s="186">
        <f>'Assumption '!AX164</f>
        <v>0</v>
      </c>
      <c r="AU91" s="186">
        <f>'Assumption '!AY164</f>
        <v>0</v>
      </c>
      <c r="AV91" s="186">
        <f>'Assumption '!AZ164</f>
        <v>0</v>
      </c>
      <c r="AW91" s="186">
        <f>'Assumption '!BA164</f>
        <v>0</v>
      </c>
      <c r="AX91" s="186">
        <f>'Assumption '!BB164</f>
        <v>0</v>
      </c>
      <c r="AY91" s="186">
        <f>'Assumption '!BC164</f>
        <v>0</v>
      </c>
      <c r="AZ91" s="186">
        <f>'Assumption '!BD164</f>
        <v>0</v>
      </c>
    </row>
    <row r="92" spans="1:53">
      <c r="B92" s="2" t="s">
        <v>1385</v>
      </c>
      <c r="C92" s="15"/>
      <c r="D92" s="42"/>
      <c r="I92" s="41">
        <f>'Assumption '!M165</f>
        <v>0</v>
      </c>
      <c r="J92" s="41">
        <f>'Assumption '!N165</f>
        <v>19648613.684700001</v>
      </c>
      <c r="K92" s="41">
        <f ca="1">'Assumption '!O165</f>
        <v>24560767.105875</v>
      </c>
      <c r="L92" s="41">
        <f ca="1">'Assumption '!P165</f>
        <v>28717204.616100002</v>
      </c>
      <c r="M92" s="41">
        <f ca="1">'Assumption '!Q165</f>
        <v>28717204.616100002</v>
      </c>
      <c r="N92" s="41">
        <f ca="1">'Assumption '!R165</f>
        <v>28717204.616100002</v>
      </c>
      <c r="O92" s="41">
        <f ca="1">'Assumption '!S165</f>
        <v>28717204.616100002</v>
      </c>
      <c r="P92" s="41">
        <f ca="1">'Assumption '!T165</f>
        <v>28717204.616100002</v>
      </c>
      <c r="Q92" s="41">
        <f ca="1">'Assumption '!U165</f>
        <v>28717204.616100002</v>
      </c>
      <c r="R92" s="41">
        <f ca="1">'Assumption '!V165</f>
        <v>28717204.616100002</v>
      </c>
      <c r="S92" s="41">
        <f ca="1">'Assumption '!W165</f>
        <v>28717204.616100002</v>
      </c>
      <c r="T92" s="41">
        <f ca="1">'Assumption '!X165</f>
        <v>28717204.616100002</v>
      </c>
      <c r="U92" s="41">
        <f ca="1">'Assumption '!Y165</f>
        <v>28717204.616100002</v>
      </c>
      <c r="V92" s="41">
        <f ca="1">'Assumption '!Z165</f>
        <v>28717204.616100002</v>
      </c>
      <c r="W92" s="41">
        <f ca="1">'Assumption '!AA165</f>
        <v>28717204.616100002</v>
      </c>
      <c r="X92" s="41">
        <f ca="1">'Assumption '!AB165</f>
        <v>28717204.616100002</v>
      </c>
      <c r="Y92" s="41">
        <f ca="1">'Assumption '!AC165</f>
        <v>28717204.616100002</v>
      </c>
      <c r="Z92" s="41">
        <f ca="1">'Assumption '!AD165</f>
        <v>28717204.616100002</v>
      </c>
      <c r="AA92" s="41">
        <f ca="1">'Assumption '!AE165</f>
        <v>28717204.616100002</v>
      </c>
      <c r="AB92" s="41">
        <f ca="1">'Assumption '!AF165</f>
        <v>28717204.616100002</v>
      </c>
      <c r="AC92" s="41">
        <f ca="1">'Assumption '!AG165</f>
        <v>28717204.616100002</v>
      </c>
      <c r="AD92" s="41">
        <f ca="1">'Assumption '!AH165</f>
        <v>28717204.616100002</v>
      </c>
      <c r="AE92" s="41">
        <f ca="1">'Assumption '!AI165</f>
        <v>28717204.616100002</v>
      </c>
      <c r="AF92" s="41">
        <f ca="1">'Assumption '!AJ165</f>
        <v>28717204.616100002</v>
      </c>
      <c r="AG92" s="41">
        <f ca="1">'Assumption '!AK165</f>
        <v>28717204.616100002</v>
      </c>
      <c r="AH92" s="41">
        <f ca="1">'Assumption '!AL165</f>
        <v>28717204.616100002</v>
      </c>
      <c r="AI92" s="41">
        <f ca="1">'Assumption '!AM165</f>
        <v>28717204.616100002</v>
      </c>
      <c r="AJ92" s="41">
        <f ca="1">'Assumption '!AN165</f>
        <v>28717204.616100002</v>
      </c>
      <c r="AK92" s="41">
        <f ca="1">'Assumption '!AO165</f>
        <v>28717204.616100002</v>
      </c>
      <c r="AL92" s="41">
        <f ca="1">'Assumption '!AP165</f>
        <v>28717204.616100002</v>
      </c>
      <c r="AM92" s="41">
        <f>'Assumption '!AQ165</f>
        <v>0</v>
      </c>
      <c r="AN92" s="41">
        <f>'Assumption '!AR165</f>
        <v>0</v>
      </c>
      <c r="AO92" s="41">
        <f>'Assumption '!AS165</f>
        <v>0</v>
      </c>
      <c r="AP92" s="41">
        <f>'Assumption '!AT165</f>
        <v>0</v>
      </c>
      <c r="AQ92" s="41">
        <f>'Assumption '!AU165</f>
        <v>0</v>
      </c>
      <c r="AR92" s="41">
        <f>'Assumption '!AV165</f>
        <v>0</v>
      </c>
      <c r="AS92" s="41">
        <f>'Assumption '!AW165</f>
        <v>0</v>
      </c>
      <c r="AT92" s="41">
        <f>'Assumption '!AX165</f>
        <v>0</v>
      </c>
      <c r="AU92" s="41">
        <f>'Assumption '!AY165</f>
        <v>0</v>
      </c>
      <c r="AV92" s="41">
        <f>'Assumption '!AZ165</f>
        <v>0</v>
      </c>
      <c r="AW92" s="41">
        <f>'Assumption '!BA165</f>
        <v>0</v>
      </c>
      <c r="AX92" s="41">
        <f>'Assumption '!BB165</f>
        <v>0</v>
      </c>
      <c r="AY92" s="41">
        <f>'Assumption '!BC165</f>
        <v>0</v>
      </c>
      <c r="AZ92" s="41">
        <f>'Assumption '!BD165</f>
        <v>0</v>
      </c>
    </row>
    <row r="93" spans="1:53">
      <c r="C93" s="15"/>
      <c r="D93" s="42"/>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row>
    <row r="94" spans="1:53">
      <c r="B94" s="2" t="s">
        <v>1386</v>
      </c>
      <c r="C94" s="15"/>
      <c r="D94" s="17"/>
      <c r="I94" s="1221">
        <f>'Assumption '!M174</f>
        <v>3.4196</v>
      </c>
      <c r="J94" s="1221">
        <f>'Assumption '!N174</f>
        <v>3.5221879999999999</v>
      </c>
      <c r="K94" s="1221">
        <f>'Assumption '!O174</f>
        <v>3.6278536400000001</v>
      </c>
      <c r="L94" s="1221">
        <f>'Assumption '!P174</f>
        <v>3.7366892492000003</v>
      </c>
      <c r="M94" s="1221">
        <f>'Assumption '!Q174</f>
        <v>3.848789926676</v>
      </c>
      <c r="N94" s="1221">
        <f>'Assumption '!R174</f>
        <v>3.9642536244762807</v>
      </c>
      <c r="O94" s="1221">
        <f>'Assumption '!S174</f>
        <v>4.0831812332105688</v>
      </c>
      <c r="P94" s="1221">
        <f>'Assumption '!T174</f>
        <v>4.205676670206886</v>
      </c>
      <c r="Q94" s="1221">
        <f>'Assumption '!U174</f>
        <v>4.3318469703130926</v>
      </c>
      <c r="R94" s="1221">
        <f>'Assumption '!V174</f>
        <v>4.4618023794224859</v>
      </c>
      <c r="S94" s="1221">
        <f>'Assumption '!W174</f>
        <v>4.5956564508051603</v>
      </c>
      <c r="T94" s="1221">
        <f>'Assumption '!X174</f>
        <v>4.7335261443293151</v>
      </c>
      <c r="U94" s="1221">
        <f>'Assumption '!Y174</f>
        <v>4.8755319286591945</v>
      </c>
      <c r="V94" s="1221">
        <f>'Assumption '!Z174</f>
        <v>5.0217978865189714</v>
      </c>
      <c r="W94" s="1221">
        <f>'Assumption '!AA174</f>
        <v>5.1724518231145407</v>
      </c>
      <c r="X94" s="1221">
        <f>'Assumption '!AB174</f>
        <v>5.3276253778079772</v>
      </c>
      <c r="Y94" s="1221">
        <f>'Assumption '!AC174</f>
        <v>5.4874541391422165</v>
      </c>
      <c r="Z94" s="1221">
        <f>'Assumption '!AD174</f>
        <v>5.5321897551159136</v>
      </c>
      <c r="AA94" s="1221">
        <f>'Assumption '!AE174</f>
        <v>5.578155447769392</v>
      </c>
      <c r="AB94" s="1221">
        <f>'Assumption '!AF174</f>
        <v>5.6255001112024736</v>
      </c>
      <c r="AC94" s="1221">
        <f>'Assumption '!AG174</f>
        <v>5.6742651145385476</v>
      </c>
      <c r="AD94" s="1221">
        <f>'Assumption '!AH174</f>
        <v>5.7244930679747039</v>
      </c>
      <c r="AE94" s="1221">
        <f>'Assumption '!AI174</f>
        <v>5.7762278600139458</v>
      </c>
      <c r="AF94" s="1221">
        <f>'Assumption '!AJ174</f>
        <v>5.829514695814364</v>
      </c>
      <c r="AG94" s="1221">
        <f>'Assumption '!AK174</f>
        <v>5.8844001366887948</v>
      </c>
      <c r="AH94" s="1221">
        <f>'Assumption '!AL174</f>
        <v>5.9409321407894584</v>
      </c>
      <c r="AI94" s="1221">
        <f>'Assumption '!AM174</f>
        <v>5.9991601050131429</v>
      </c>
      <c r="AJ94" s="1221">
        <f>'Assumption '!AN174</f>
        <v>6.0591349081635375</v>
      </c>
      <c r="AK94" s="1221">
        <f>'Assumption '!AO174</f>
        <v>6.120908955408443</v>
      </c>
      <c r="AL94" s="1221">
        <f>'Assumption '!AP174</f>
        <v>6.1845362240706958</v>
      </c>
      <c r="AM94" s="1221">
        <f>'Assumption '!AQ174</f>
        <v>0</v>
      </c>
      <c r="AN94" s="1221">
        <f>'Assumption '!AR174</f>
        <v>0</v>
      </c>
      <c r="AO94" s="1221">
        <f>'Assumption '!AS174</f>
        <v>0</v>
      </c>
      <c r="AP94" s="1221">
        <f>'Assumption '!AT174</f>
        <v>0</v>
      </c>
      <c r="AQ94" s="1221">
        <f>'Assumption '!AU174</f>
        <v>0</v>
      </c>
      <c r="AR94" s="1221">
        <f>'Assumption '!AV174</f>
        <v>0</v>
      </c>
      <c r="AS94" s="1221">
        <f>'Assumption '!AW174</f>
        <v>0</v>
      </c>
      <c r="AT94" s="1221">
        <f>'Assumption '!AX174</f>
        <v>0</v>
      </c>
      <c r="AU94" s="1221">
        <f>'Assumption '!AY174</f>
        <v>0</v>
      </c>
      <c r="AV94" s="1221">
        <f>'Assumption '!AZ174</f>
        <v>0</v>
      </c>
      <c r="AW94" s="1221">
        <f>'Assumption '!BA174</f>
        <v>0</v>
      </c>
      <c r="AX94" s="1221">
        <f>'Assumption '!BB174</f>
        <v>0</v>
      </c>
      <c r="AY94" s="1221">
        <f>'Assumption '!BC174</f>
        <v>0</v>
      </c>
      <c r="AZ94" s="1221">
        <f>'Assumption '!BD174</f>
        <v>0</v>
      </c>
      <c r="BA94" s="1221">
        <f>'Assumption '!BE171</f>
        <v>0</v>
      </c>
    </row>
    <row r="95" spans="1:53" ht="11.25" thickBot="1"/>
    <row r="96" spans="1:53" s="41" customFormat="1" ht="11.25" thickBot="1">
      <c r="B96" s="1186" t="s">
        <v>1412</v>
      </c>
      <c r="C96" s="1280"/>
      <c r="D96" s="1280"/>
      <c r="E96" s="1280"/>
      <c r="F96" s="1280"/>
      <c r="G96" s="1280"/>
      <c r="H96" s="1280"/>
      <c r="I96" s="1280">
        <f>I92*I94</f>
        <v>0</v>
      </c>
      <c r="J96" s="1280">
        <f t="shared" ref="J96:AZ96" si="10">J92*J94</f>
        <v>69206111.336886123</v>
      </c>
      <c r="K96" s="1280">
        <f t="shared" ca="1" si="10"/>
        <v>89102868.346240893</v>
      </c>
      <c r="L96" s="1280">
        <f ca="1">L92*L94</f>
        <v>107307269.7560575</v>
      </c>
      <c r="M96" s="1280">
        <f t="shared" ca="1" si="10"/>
        <v>110526487.84873922</v>
      </c>
      <c r="N96" s="1280">
        <f t="shared" ca="1" si="10"/>
        <v>113842282.48420142</v>
      </c>
      <c r="O96" s="1280">
        <f t="shared" ca="1" si="10"/>
        <v>117257550.95872745</v>
      </c>
      <c r="P96" s="1280">
        <f t="shared" ca="1" si="10"/>
        <v>120775277.48748927</v>
      </c>
      <c r="Q96" s="1280">
        <f t="shared" ca="1" si="10"/>
        <v>124398535.81211396</v>
      </c>
      <c r="R96" s="1280">
        <f t="shared" ca="1" si="10"/>
        <v>128130491.88647738</v>
      </c>
      <c r="S96" s="1280">
        <f t="shared" ca="1" si="10"/>
        <v>131974406.6430717</v>
      </c>
      <c r="T96" s="1280">
        <f t="shared" ca="1" si="10"/>
        <v>135933638.84236386</v>
      </c>
      <c r="U96" s="1280">
        <f t="shared" ca="1" si="10"/>
        <v>140011648.00763476</v>
      </c>
      <c r="V96" s="1280">
        <f t="shared" ca="1" si="10"/>
        <v>144211997.44786385</v>
      </c>
      <c r="W96" s="1280">
        <f t="shared" ca="1" si="10"/>
        <v>148538357.37129974</v>
      </c>
      <c r="X96" s="1280">
        <f t="shared" ca="1" si="10"/>
        <v>152994508.09243876</v>
      </c>
      <c r="Y96" s="1280">
        <f t="shared" ca="1" si="10"/>
        <v>157584343.33521193</v>
      </c>
      <c r="Z96" s="1280">
        <f t="shared" ca="1" si="10"/>
        <v>158869025.17275587</v>
      </c>
      <c r="AA96" s="1280">
        <f t="shared" ca="1" si="10"/>
        <v>160189031.37400657</v>
      </c>
      <c r="AB96" s="1280">
        <f t="shared" ca="1" si="10"/>
        <v>161548637.76129475</v>
      </c>
      <c r="AC96" s="1280">
        <f t="shared" ca="1" si="10"/>
        <v>162949032.34020159</v>
      </c>
      <c r="AD96" s="1280">
        <f t="shared" ca="1" si="10"/>
        <v>164391438.75647563</v>
      </c>
      <c r="AE96" s="1280">
        <f t="shared" ca="1" si="10"/>
        <v>165877117.36523792</v>
      </c>
      <c r="AF96" s="1280">
        <f t="shared" ca="1" si="10"/>
        <v>167407366.33226305</v>
      </c>
      <c r="AG96" s="1280">
        <f t="shared" ca="1" si="10"/>
        <v>168983522.76829895</v>
      </c>
      <c r="AH96" s="1280">
        <f t="shared" ca="1" si="10"/>
        <v>170606963.89741591</v>
      </c>
      <c r="AI96" s="1280">
        <f t="shared" ca="1" si="10"/>
        <v>172279108.2604064</v>
      </c>
      <c r="AJ96" s="1280">
        <f t="shared" ca="1" si="10"/>
        <v>174001416.95428661</v>
      </c>
      <c r="AK96" s="1280">
        <f t="shared" ca="1" si="10"/>
        <v>175775394.90898317</v>
      </c>
      <c r="AL96" s="1280">
        <f t="shared" ca="1" si="10"/>
        <v>177602592.20232067</v>
      </c>
      <c r="AM96" s="1280">
        <f t="shared" si="10"/>
        <v>0</v>
      </c>
      <c r="AN96" s="1280">
        <f t="shared" si="10"/>
        <v>0</v>
      </c>
      <c r="AO96" s="1280">
        <f t="shared" si="10"/>
        <v>0</v>
      </c>
      <c r="AP96" s="1280">
        <f t="shared" si="10"/>
        <v>0</v>
      </c>
      <c r="AQ96" s="1280">
        <f t="shared" si="10"/>
        <v>0</v>
      </c>
      <c r="AR96" s="1280">
        <f t="shared" si="10"/>
        <v>0</v>
      </c>
      <c r="AS96" s="1280">
        <f t="shared" si="10"/>
        <v>0</v>
      </c>
      <c r="AT96" s="1280">
        <f t="shared" si="10"/>
        <v>0</v>
      </c>
      <c r="AU96" s="1280">
        <f t="shared" si="10"/>
        <v>0</v>
      </c>
      <c r="AV96" s="1280">
        <f t="shared" si="10"/>
        <v>0</v>
      </c>
      <c r="AW96" s="1280">
        <f t="shared" si="10"/>
        <v>0</v>
      </c>
      <c r="AX96" s="1280">
        <f t="shared" si="10"/>
        <v>0</v>
      </c>
      <c r="AY96" s="1280">
        <f t="shared" si="10"/>
        <v>0</v>
      </c>
      <c r="AZ96" s="1280">
        <f t="shared" si="10"/>
        <v>0</v>
      </c>
    </row>
    <row r="97" spans="2:52">
      <c r="C97" s="15"/>
      <c r="D97" s="42"/>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row>
    <row r="98" spans="2:52">
      <c r="C98" s="15"/>
      <c r="D98" s="42"/>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row>
    <row r="99" spans="2:52">
      <c r="B99" s="586" t="s">
        <v>1339</v>
      </c>
      <c r="C99" s="15"/>
      <c r="D99" s="42"/>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row>
    <row r="101" spans="2:52" ht="12">
      <c r="B101" s="2" t="s">
        <v>1387</v>
      </c>
      <c r="C101" s="15"/>
      <c r="D101" s="42"/>
      <c r="I101" s="188">
        <f ca="1">'Assumption '!M195</f>
        <v>6.5886600780000011</v>
      </c>
      <c r="J101" s="188">
        <f ca="1">'Assumption '!N195</f>
        <v>6.5727165602459028</v>
      </c>
      <c r="K101" s="188">
        <f ca="1">'Assumption '!O195</f>
        <v>6.6046472766246591</v>
      </c>
      <c r="L101" s="188">
        <f ca="1">'Assumption '!P195</f>
        <v>6.6046472766246591</v>
      </c>
      <c r="M101" s="188">
        <f>'Assumption '!Q195</f>
        <v>0.75333258000000003</v>
      </c>
      <c r="N101" s="188">
        <f>'Assumption '!R195</f>
        <v>0.75333258000000003</v>
      </c>
      <c r="O101" s="188">
        <f>'Assumption '!S195</f>
        <v>0.75333258000000003</v>
      </c>
      <c r="P101" s="188">
        <f>'Assumption '!T195</f>
        <v>0.75333258000000003</v>
      </c>
      <c r="Q101" s="188">
        <f>'Assumption '!U195</f>
        <v>0.75333258000000003</v>
      </c>
      <c r="R101" s="188">
        <f>'Assumption '!V195</f>
        <v>0.75333258000000003</v>
      </c>
      <c r="S101" s="188">
        <f>'Assumption '!W195</f>
        <v>0.75333258000000003</v>
      </c>
      <c r="T101" s="188">
        <f>'Assumption '!X195</f>
        <v>0.75333258000000003</v>
      </c>
      <c r="U101" s="188">
        <f>'Assumption '!Y195</f>
        <v>0.75333258000000003</v>
      </c>
      <c r="V101" s="188">
        <f>'Assumption '!Z195</f>
        <v>0.75333258000000003</v>
      </c>
      <c r="W101" s="188">
        <f>'Assumption '!AA195</f>
        <v>0.75333258000000003</v>
      </c>
      <c r="X101" s="188">
        <f>'Assumption '!AB195</f>
        <v>0.75333258000000003</v>
      </c>
      <c r="Y101" s="188">
        <f>'Assumption '!AC195</f>
        <v>0.75333258000000003</v>
      </c>
      <c r="Z101" s="188">
        <f>'Assumption '!AD195</f>
        <v>0.75333258000000003</v>
      </c>
      <c r="AA101" s="188">
        <f>'Assumption '!AE195</f>
        <v>0.75333258000000003</v>
      </c>
      <c r="AB101" s="188">
        <f>'Assumption '!AF195</f>
        <v>0.75333258000000003</v>
      </c>
      <c r="AC101" s="188">
        <f>'Assumption '!AG195</f>
        <v>0.75333258000000003</v>
      </c>
      <c r="AD101" s="188">
        <f>'Assumption '!AH195</f>
        <v>0.75333258000000003</v>
      </c>
      <c r="AE101" s="188">
        <f>'Assumption '!AI195</f>
        <v>0.75333258000000003</v>
      </c>
      <c r="AF101" s="188">
        <f>'Assumption '!AJ195</f>
        <v>0.75333258000000003</v>
      </c>
      <c r="AG101" s="188">
        <f>'Assumption '!AK195</f>
        <v>0.75333258000000003</v>
      </c>
      <c r="AH101" s="188">
        <f>'Assumption '!AL195</f>
        <v>0.75333258000000003</v>
      </c>
      <c r="AI101" s="188">
        <f>'Assumption '!AM195</f>
        <v>0.75333258000000003</v>
      </c>
      <c r="AJ101" s="188">
        <f>'Assumption '!AN195</f>
        <v>0.75333258000000003</v>
      </c>
      <c r="AK101" s="188">
        <f>'Assumption '!AO195</f>
        <v>0.75333258000000003</v>
      </c>
      <c r="AL101" s="188">
        <f>'Assumption '!AP195</f>
        <v>0.75333258000000003</v>
      </c>
      <c r="AM101" s="188">
        <f>'Assumption '!AQ195</f>
        <v>0</v>
      </c>
      <c r="AN101" s="188">
        <f>'Assumption '!AR195</f>
        <v>0</v>
      </c>
      <c r="AO101" s="188">
        <f>'Assumption '!AS195</f>
        <v>0</v>
      </c>
      <c r="AP101" s="188">
        <f>'Assumption '!AT195</f>
        <v>0</v>
      </c>
      <c r="AQ101" s="188">
        <f>'Assumption '!AU195</f>
        <v>0</v>
      </c>
      <c r="AR101" s="188">
        <f>'Assumption '!AV195</f>
        <v>0</v>
      </c>
      <c r="AS101" s="188">
        <f>'Assumption '!AW195</f>
        <v>0</v>
      </c>
      <c r="AT101" s="188">
        <f>'Assumption '!AX195</f>
        <v>0</v>
      </c>
      <c r="AU101" s="188">
        <f>'Assumption '!AY195</f>
        <v>0</v>
      </c>
      <c r="AV101" s="188">
        <f>'Assumption '!AZ195</f>
        <v>0</v>
      </c>
      <c r="AW101" s="188">
        <f>'Assumption '!BA195</f>
        <v>0</v>
      </c>
      <c r="AX101" s="188">
        <f>'Assumption '!BB195</f>
        <v>0</v>
      </c>
      <c r="AY101" s="188">
        <f>'Assumption '!BC195</f>
        <v>0</v>
      </c>
      <c r="AZ101" s="188">
        <f>'Assumption '!BD195</f>
        <v>0</v>
      </c>
    </row>
    <row r="102" spans="2:52">
      <c r="B102" s="2" t="s">
        <v>1954</v>
      </c>
      <c r="C102" s="15"/>
      <c r="D102" s="42"/>
      <c r="I102" s="41">
        <f ca="1">'Assumption '!M204</f>
        <v>0</v>
      </c>
      <c r="J102" s="41">
        <f ca="1">'Assumption '!N204</f>
        <v>500442.81400045543</v>
      </c>
      <c r="K102" s="41">
        <f ca="1">'Assumption '!O204</f>
        <v>626274.34271569422</v>
      </c>
      <c r="L102" s="41">
        <f ca="1">'Assumption '!P204</f>
        <v>715665.951</v>
      </c>
      <c r="M102" s="41">
        <f ca="1">'Assumption '!Q204</f>
        <v>715665.951</v>
      </c>
      <c r="N102" s="41">
        <f ca="1">'Assumption '!R204</f>
        <v>715665.951</v>
      </c>
      <c r="O102" s="41">
        <f ca="1">'Assumption '!S204</f>
        <v>715665.951</v>
      </c>
      <c r="P102" s="41">
        <f ca="1">'Assumption '!T204</f>
        <v>715665.951</v>
      </c>
      <c r="Q102" s="41">
        <f ca="1">'Assumption '!U204</f>
        <v>715665.951</v>
      </c>
      <c r="R102" s="41">
        <f ca="1">'Assumption '!V204</f>
        <v>715665.951</v>
      </c>
      <c r="S102" s="41">
        <f ca="1">'Assumption '!W204</f>
        <v>715665.951</v>
      </c>
      <c r="T102" s="41">
        <f ca="1">'Assumption '!X204</f>
        <v>715665.951</v>
      </c>
      <c r="U102" s="41">
        <f ca="1">'Assumption '!Y204</f>
        <v>715665.951</v>
      </c>
      <c r="V102" s="41">
        <f ca="1">'Assumption '!Z204</f>
        <v>715665.951</v>
      </c>
      <c r="W102" s="41">
        <f ca="1">'Assumption '!AA204</f>
        <v>715665.951</v>
      </c>
      <c r="X102" s="41">
        <f ca="1">'Assumption '!AB204</f>
        <v>715665.951</v>
      </c>
      <c r="Y102" s="41">
        <f ca="1">'Assumption '!AC204</f>
        <v>715665.951</v>
      </c>
      <c r="Z102" s="41">
        <f ca="1">'Assumption '!AD204</f>
        <v>715665.951</v>
      </c>
      <c r="AA102" s="41">
        <f ca="1">'Assumption '!AE204</f>
        <v>715665.951</v>
      </c>
      <c r="AB102" s="41">
        <f ca="1">'Assumption '!AF204</f>
        <v>715665.951</v>
      </c>
      <c r="AC102" s="41">
        <f ca="1">'Assumption '!AG204</f>
        <v>715665.951</v>
      </c>
      <c r="AD102" s="41">
        <f ca="1">'Assumption '!AH204</f>
        <v>715665.951</v>
      </c>
      <c r="AE102" s="41">
        <f ca="1">'Assumption '!AI204</f>
        <v>715665.951</v>
      </c>
      <c r="AF102" s="41">
        <f ca="1">'Assumption '!AJ204</f>
        <v>715665.951</v>
      </c>
      <c r="AG102" s="41">
        <f ca="1">'Assumption '!AK204</f>
        <v>715665.951</v>
      </c>
      <c r="AH102" s="41">
        <f ca="1">'Assumption '!AL204</f>
        <v>715665.951</v>
      </c>
      <c r="AI102" s="41">
        <f ca="1">'Assumption '!AM204</f>
        <v>715665.951</v>
      </c>
      <c r="AJ102" s="41">
        <f ca="1">'Assumption '!AN204</f>
        <v>715665.951</v>
      </c>
      <c r="AK102" s="41">
        <f ca="1">'Assumption '!AO204</f>
        <v>715665.951</v>
      </c>
      <c r="AL102" s="41">
        <f ca="1">'Assumption '!AP204</f>
        <v>715665.951</v>
      </c>
      <c r="AM102" s="41">
        <f>'Assumption '!AQ204</f>
        <v>0</v>
      </c>
      <c r="AN102" s="41">
        <f>'Assumption '!AR204</f>
        <v>0</v>
      </c>
      <c r="AO102" s="41">
        <f>'Assumption '!AS204</f>
        <v>0</v>
      </c>
      <c r="AP102" s="41">
        <f>'Assumption '!AT204</f>
        <v>0</v>
      </c>
      <c r="AQ102" s="41">
        <f>'Assumption '!AU204</f>
        <v>0</v>
      </c>
      <c r="AR102" s="41">
        <f>'Assumption '!AV204</f>
        <v>0</v>
      </c>
      <c r="AS102" s="41">
        <f>'Assumption '!AW204</f>
        <v>0</v>
      </c>
      <c r="AT102" s="41">
        <f>'Assumption '!AX204</f>
        <v>0</v>
      </c>
      <c r="AU102" s="41">
        <f>'Assumption '!AY204</f>
        <v>0</v>
      </c>
      <c r="AV102" s="41">
        <f>'Assumption '!AZ204</f>
        <v>0</v>
      </c>
      <c r="AW102" s="41">
        <f>'Assumption '!BA204</f>
        <v>0</v>
      </c>
      <c r="AX102" s="41">
        <f>'Assumption '!BB204</f>
        <v>0</v>
      </c>
      <c r="AY102" s="41">
        <f>'Assumption '!BC204</f>
        <v>0</v>
      </c>
      <c r="AZ102" s="41">
        <f>'Assumption '!BD204</f>
        <v>0</v>
      </c>
    </row>
    <row r="104" spans="2:52">
      <c r="B104" s="2" t="s">
        <v>1388</v>
      </c>
      <c r="I104" s="2">
        <f>'Assumption '!M217</f>
        <v>1.0229999999999999</v>
      </c>
      <c r="J104" s="2">
        <f>'Assumption '!N217</f>
        <v>1.0465289999999998</v>
      </c>
      <c r="K104" s="2">
        <f>'Assumption '!O217</f>
        <v>1.0705991669999997</v>
      </c>
      <c r="L104" s="2">
        <f>'Assumption '!P217</f>
        <v>1.0952229478409996</v>
      </c>
      <c r="M104" s="2">
        <f>'Assumption '!Q217</f>
        <v>1.1204130756413424</v>
      </c>
      <c r="N104" s="2">
        <f>'Assumption '!R217</f>
        <v>1.1473029894567346</v>
      </c>
      <c r="O104" s="2">
        <f>'Assumption '!S217</f>
        <v>1.1748382612036963</v>
      </c>
      <c r="P104" s="2">
        <f>'Assumption '!T217</f>
        <v>1.2030343794725851</v>
      </c>
      <c r="Q104" s="2">
        <f>'Assumption '!U217</f>
        <v>1.2319072045799271</v>
      </c>
      <c r="R104" s="2">
        <f>'Assumption '!V217</f>
        <v>1.2614729774898454</v>
      </c>
      <c r="S104" s="2">
        <f>'Assumption '!W217</f>
        <v>1.2917483289496017</v>
      </c>
      <c r="T104" s="2">
        <f>'Assumption '!X217</f>
        <v>1.3227502888443921</v>
      </c>
      <c r="U104" s="2">
        <f>'Assumption '!Y217</f>
        <v>1.3544962957766575</v>
      </c>
      <c r="V104" s="2">
        <f>'Assumption '!Z217</f>
        <v>1.3870042068752972</v>
      </c>
      <c r="W104" s="2">
        <f>'Assumption '!AA217</f>
        <v>1.4202923078403045</v>
      </c>
      <c r="X104" s="2">
        <f>'Assumption '!AB217</f>
        <v>1.4543793232284719</v>
      </c>
      <c r="Y104" s="2">
        <f>'Assumption '!AC217</f>
        <v>1.4892844269859553</v>
      </c>
      <c r="Z104" s="2">
        <f>'Assumption '!AD217</f>
        <v>1.5250272532336182</v>
      </c>
      <c r="AA104" s="2">
        <f>'Assumption '!AE217</f>
        <v>1.5616279073112251</v>
      </c>
      <c r="AB104" s="2">
        <f>'Assumption '!AF217</f>
        <v>1.5991069770866946</v>
      </c>
      <c r="AC104" s="2">
        <f>'Assumption '!AG217</f>
        <v>1.6374855445367753</v>
      </c>
      <c r="AD104" s="2">
        <f>'Assumption '!AH217</f>
        <v>1.676785197605658</v>
      </c>
      <c r="AE104" s="2">
        <f>'Assumption '!AI217</f>
        <v>1.7170280423481938</v>
      </c>
      <c r="AF104" s="2">
        <f>'Assumption '!AJ217</f>
        <v>1.7582367153645506</v>
      </c>
      <c r="AG104" s="2">
        <f>'Assumption '!AK217</f>
        <v>1.8004343965332998</v>
      </c>
      <c r="AH104" s="2">
        <f>'Assumption '!AL217</f>
        <v>1.8436448220500992</v>
      </c>
      <c r="AI104" s="2">
        <f>'Assumption '!AM217</f>
        <v>1.8878922977793016</v>
      </c>
      <c r="AJ104" s="2">
        <f>'Assumption '!AN217</f>
        <v>1.9332017129260048</v>
      </c>
      <c r="AK104" s="2">
        <f>'Assumption '!AO217</f>
        <v>1.9795985540362291</v>
      </c>
      <c r="AL104" s="2">
        <f>'Assumption '!AP217</f>
        <v>2.0271089193330987</v>
      </c>
      <c r="AM104" s="2">
        <f>'Assumption '!AQ217</f>
        <v>0</v>
      </c>
      <c r="AN104" s="2">
        <f>'Assumption '!AR217</f>
        <v>0</v>
      </c>
      <c r="AO104" s="2">
        <f>'Assumption '!AS217</f>
        <v>0</v>
      </c>
      <c r="AP104" s="2">
        <f>'Assumption '!AT217</f>
        <v>0</v>
      </c>
      <c r="AQ104" s="2">
        <f>'Assumption '!AU217</f>
        <v>0</v>
      </c>
      <c r="AR104" s="2">
        <f>'Assumption '!AV217</f>
        <v>0</v>
      </c>
      <c r="AS104" s="2">
        <f>'Assumption '!AW217</f>
        <v>0</v>
      </c>
      <c r="AT104" s="2">
        <f>'Assumption '!AX217</f>
        <v>0</v>
      </c>
      <c r="AU104" s="2">
        <f>'Assumption '!AY217</f>
        <v>0</v>
      </c>
      <c r="AV104" s="2">
        <f>'Assumption '!AZ217</f>
        <v>0</v>
      </c>
      <c r="AW104" s="2">
        <f>'Assumption '!BA217</f>
        <v>0</v>
      </c>
      <c r="AX104" s="2">
        <f>'Assumption '!BB217</f>
        <v>0</v>
      </c>
      <c r="AY104" s="2">
        <f>'Assumption '!BC217</f>
        <v>0</v>
      </c>
      <c r="AZ104" s="2">
        <f>'Assumption '!BD217</f>
        <v>0</v>
      </c>
    </row>
    <row r="105" spans="2:52">
      <c r="C105" s="15"/>
      <c r="D105" s="42"/>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row>
    <row r="106" spans="2:52" ht="11.25" thickBot="1">
      <c r="B106" s="486" t="s">
        <v>1449</v>
      </c>
      <c r="C106" s="1040"/>
      <c r="D106" s="587"/>
      <c r="E106" s="486"/>
      <c r="F106" s="486"/>
      <c r="G106" s="486"/>
      <c r="H106" s="486"/>
      <c r="I106" s="997">
        <f ca="1">I104*I102</f>
        <v>0</v>
      </c>
      <c r="J106" s="997">
        <f t="shared" ref="J106:AZ106" ca="1" si="11">J104*J102</f>
        <v>523727.91769308253</v>
      </c>
      <c r="K106" s="997">
        <f t="shared" ca="1" si="11"/>
        <v>670488.7896248945</v>
      </c>
      <c r="L106" s="997">
        <f t="shared" ca="1" si="11"/>
        <v>783813.77252365241</v>
      </c>
      <c r="M106" s="997">
        <f t="shared" ca="1" si="11"/>
        <v>801841.48929169623</v>
      </c>
      <c r="N106" s="997">
        <f t="shared" ca="1" si="11"/>
        <v>821085.68503469694</v>
      </c>
      <c r="O106" s="997">
        <f t="shared" ca="1" si="11"/>
        <v>840791.74147552974</v>
      </c>
      <c r="P106" s="997">
        <f t="shared" ca="1" si="11"/>
        <v>860970.74327094248</v>
      </c>
      <c r="Q106" s="997">
        <f t="shared" ca="1" si="11"/>
        <v>881634.04110944504</v>
      </c>
      <c r="R106" s="997">
        <f t="shared" ca="1" si="11"/>
        <v>902793.25809607178</v>
      </c>
      <c r="S106" s="997">
        <f t="shared" ca="1" si="11"/>
        <v>924460.2962903775</v>
      </c>
      <c r="T106" s="997">
        <f t="shared" ca="1" si="11"/>
        <v>946647.34340134659</v>
      </c>
      <c r="U106" s="997">
        <f t="shared" ca="1" si="11"/>
        <v>969366.87964297889</v>
      </c>
      <c r="V106" s="997">
        <f t="shared" ca="1" si="11"/>
        <v>992631.68475441029</v>
      </c>
      <c r="W106" s="997">
        <f t="shared" ca="1" si="11"/>
        <v>1016454.8451885163</v>
      </c>
      <c r="X106" s="997">
        <f t="shared" ca="1" si="11"/>
        <v>1040849.7614730407</v>
      </c>
      <c r="Y106" s="997">
        <f t="shared" ca="1" si="11"/>
        <v>1065830.1557483939</v>
      </c>
      <c r="Z106" s="997">
        <f t="shared" ca="1" si="11"/>
        <v>1091410.0794863552</v>
      </c>
      <c r="AA106" s="997">
        <f t="shared" ca="1" si="11"/>
        <v>1117603.9213940278</v>
      </c>
      <c r="AB106" s="997">
        <f t="shared" ca="1" si="11"/>
        <v>1144426.4155074845</v>
      </c>
      <c r="AC106" s="997">
        <f t="shared" ca="1" si="11"/>
        <v>1171892.6494796642</v>
      </c>
      <c r="AD106" s="997">
        <f t="shared" ca="1" si="11"/>
        <v>1200018.0730671762</v>
      </c>
      <c r="AE106" s="997">
        <f t="shared" ca="1" si="11"/>
        <v>1228818.5068207884</v>
      </c>
      <c r="AF106" s="997">
        <f t="shared" ca="1" si="11"/>
        <v>1258310.1509844875</v>
      </c>
      <c r="AG106" s="997">
        <f t="shared" ca="1" si="11"/>
        <v>1288509.594608115</v>
      </c>
      <c r="AH106" s="997">
        <f t="shared" ca="1" si="11"/>
        <v>1319433.8248787101</v>
      </c>
      <c r="AI106" s="997">
        <f t="shared" ca="1" si="11"/>
        <v>1351100.2366757991</v>
      </c>
      <c r="AJ106" s="997">
        <f t="shared" ca="1" si="11"/>
        <v>1383526.6423560183</v>
      </c>
      <c r="AK106" s="997">
        <f t="shared" ca="1" si="11"/>
        <v>1416731.2817725628</v>
      </c>
      <c r="AL106" s="997">
        <f t="shared" ca="1" si="11"/>
        <v>1450732.8325351044</v>
      </c>
      <c r="AM106" s="997">
        <f t="shared" si="11"/>
        <v>0</v>
      </c>
      <c r="AN106" s="997">
        <f t="shared" si="11"/>
        <v>0</v>
      </c>
      <c r="AO106" s="997">
        <f t="shared" si="11"/>
        <v>0</v>
      </c>
      <c r="AP106" s="997">
        <f t="shared" si="11"/>
        <v>0</v>
      </c>
      <c r="AQ106" s="997">
        <f t="shared" si="11"/>
        <v>0</v>
      </c>
      <c r="AR106" s="997">
        <f t="shared" si="11"/>
        <v>0</v>
      </c>
      <c r="AS106" s="997">
        <f t="shared" si="11"/>
        <v>0</v>
      </c>
      <c r="AT106" s="997">
        <f t="shared" si="11"/>
        <v>0</v>
      </c>
      <c r="AU106" s="997">
        <f t="shared" si="11"/>
        <v>0</v>
      </c>
      <c r="AV106" s="997">
        <f t="shared" si="11"/>
        <v>0</v>
      </c>
      <c r="AW106" s="997">
        <f t="shared" si="11"/>
        <v>0</v>
      </c>
      <c r="AX106" s="997">
        <f t="shared" si="11"/>
        <v>0</v>
      </c>
      <c r="AY106" s="997">
        <f t="shared" si="11"/>
        <v>0</v>
      </c>
      <c r="AZ106" s="997">
        <f t="shared" si="11"/>
        <v>0</v>
      </c>
    </row>
    <row r="107" spans="2:52">
      <c r="AY107" s="41"/>
    </row>
    <row r="108" spans="2:52">
      <c r="AY108" s="1314"/>
    </row>
    <row r="109" spans="2:52">
      <c r="B109" s="586"/>
      <c r="AY109" s="489"/>
    </row>
    <row r="110" spans="2:52">
      <c r="B110" s="501" t="s">
        <v>1700</v>
      </c>
    </row>
    <row r="112" spans="2:52">
      <c r="B112" s="2" t="s">
        <v>1479</v>
      </c>
      <c r="I112" s="42">
        <f>I96</f>
        <v>0</v>
      </c>
      <c r="J112" s="42">
        <f t="shared" ref="J112:AZ112" si="12">J96</f>
        <v>69206111.336886123</v>
      </c>
      <c r="K112" s="42">
        <f t="shared" ca="1" si="12"/>
        <v>89102868.346240893</v>
      </c>
      <c r="L112" s="42">
        <f ca="1">L96</f>
        <v>107307269.7560575</v>
      </c>
      <c r="M112" s="42">
        <f t="shared" ca="1" si="12"/>
        <v>110526487.84873922</v>
      </c>
      <c r="N112" s="42">
        <f t="shared" ca="1" si="12"/>
        <v>113842282.48420142</v>
      </c>
      <c r="O112" s="42">
        <f t="shared" ca="1" si="12"/>
        <v>117257550.95872745</v>
      </c>
      <c r="P112" s="42">
        <f t="shared" ca="1" si="12"/>
        <v>120775277.48748927</v>
      </c>
      <c r="Q112" s="42">
        <f t="shared" ca="1" si="12"/>
        <v>124398535.81211396</v>
      </c>
      <c r="R112" s="42">
        <f t="shared" ca="1" si="12"/>
        <v>128130491.88647738</v>
      </c>
      <c r="S112" s="42">
        <f t="shared" ca="1" si="12"/>
        <v>131974406.6430717</v>
      </c>
      <c r="T112" s="42">
        <f t="shared" ca="1" si="12"/>
        <v>135933638.84236386</v>
      </c>
      <c r="U112" s="42">
        <f t="shared" ca="1" si="12"/>
        <v>140011648.00763476</v>
      </c>
      <c r="V112" s="42">
        <f t="shared" ca="1" si="12"/>
        <v>144211997.44786385</v>
      </c>
      <c r="W112" s="42">
        <f t="shared" ca="1" si="12"/>
        <v>148538357.37129974</v>
      </c>
      <c r="X112" s="42">
        <f t="shared" ca="1" si="12"/>
        <v>152994508.09243876</v>
      </c>
      <c r="Y112" s="42">
        <f t="shared" ca="1" si="12"/>
        <v>157584343.33521193</v>
      </c>
      <c r="Z112" s="42">
        <f t="shared" ca="1" si="12"/>
        <v>158869025.17275587</v>
      </c>
      <c r="AA112" s="42">
        <f t="shared" ca="1" si="12"/>
        <v>160189031.37400657</v>
      </c>
      <c r="AB112" s="42">
        <f t="shared" ca="1" si="12"/>
        <v>161548637.76129475</v>
      </c>
      <c r="AC112" s="42">
        <f t="shared" ca="1" si="12"/>
        <v>162949032.34020159</v>
      </c>
      <c r="AD112" s="42">
        <f t="shared" ca="1" si="12"/>
        <v>164391438.75647563</v>
      </c>
      <c r="AE112" s="42">
        <f t="shared" ca="1" si="12"/>
        <v>165877117.36523792</v>
      </c>
      <c r="AF112" s="42">
        <f t="shared" ca="1" si="12"/>
        <v>167407366.33226305</v>
      </c>
      <c r="AG112" s="42">
        <f t="shared" ca="1" si="12"/>
        <v>168983522.76829895</v>
      </c>
      <c r="AH112" s="42">
        <f t="shared" ca="1" si="12"/>
        <v>170606963.89741591</v>
      </c>
      <c r="AI112" s="42">
        <f t="shared" ca="1" si="12"/>
        <v>172279108.2604064</v>
      </c>
      <c r="AJ112" s="42">
        <f t="shared" ca="1" si="12"/>
        <v>174001416.95428661</v>
      </c>
      <c r="AK112" s="42">
        <f t="shared" ca="1" si="12"/>
        <v>175775394.90898317</v>
      </c>
      <c r="AL112" s="42">
        <f t="shared" ca="1" si="12"/>
        <v>177602592.20232067</v>
      </c>
      <c r="AM112" s="42">
        <f t="shared" si="12"/>
        <v>0</v>
      </c>
      <c r="AN112" s="42">
        <f t="shared" si="12"/>
        <v>0</v>
      </c>
      <c r="AO112" s="42">
        <f t="shared" si="12"/>
        <v>0</v>
      </c>
      <c r="AP112" s="42">
        <f t="shared" si="12"/>
        <v>0</v>
      </c>
      <c r="AQ112" s="42">
        <f t="shared" si="12"/>
        <v>0</v>
      </c>
      <c r="AR112" s="42">
        <f t="shared" si="12"/>
        <v>0</v>
      </c>
      <c r="AS112" s="42">
        <f t="shared" si="12"/>
        <v>0</v>
      </c>
      <c r="AT112" s="42">
        <f t="shared" si="12"/>
        <v>0</v>
      </c>
      <c r="AU112" s="42">
        <f t="shared" si="12"/>
        <v>0</v>
      </c>
      <c r="AV112" s="42">
        <f t="shared" si="12"/>
        <v>0</v>
      </c>
      <c r="AW112" s="42">
        <f t="shared" si="12"/>
        <v>0</v>
      </c>
      <c r="AX112" s="42">
        <f t="shared" si="12"/>
        <v>0</v>
      </c>
      <c r="AY112" s="42">
        <f t="shared" si="12"/>
        <v>0</v>
      </c>
      <c r="AZ112" s="42">
        <f t="shared" si="12"/>
        <v>0</v>
      </c>
    </row>
    <row r="113" spans="1:52">
      <c r="B113" s="2" t="s">
        <v>1480</v>
      </c>
      <c r="I113" s="42">
        <f ca="1">I106</f>
        <v>0</v>
      </c>
      <c r="J113" s="42">
        <f t="shared" ref="J113:AZ113" ca="1" si="13">J106</f>
        <v>523727.91769308253</v>
      </c>
      <c r="K113" s="42">
        <f t="shared" ca="1" si="13"/>
        <v>670488.7896248945</v>
      </c>
      <c r="L113" s="42">
        <f t="shared" ca="1" si="13"/>
        <v>783813.77252365241</v>
      </c>
      <c r="M113" s="42">
        <f t="shared" ca="1" si="13"/>
        <v>801841.48929169623</v>
      </c>
      <c r="N113" s="42">
        <f t="shared" ca="1" si="13"/>
        <v>821085.68503469694</v>
      </c>
      <c r="O113" s="42">
        <f t="shared" ca="1" si="13"/>
        <v>840791.74147552974</v>
      </c>
      <c r="P113" s="42">
        <f t="shared" ca="1" si="13"/>
        <v>860970.74327094248</v>
      </c>
      <c r="Q113" s="42">
        <f t="shared" ca="1" si="13"/>
        <v>881634.04110944504</v>
      </c>
      <c r="R113" s="42">
        <f t="shared" ca="1" si="13"/>
        <v>902793.25809607178</v>
      </c>
      <c r="S113" s="42">
        <f t="shared" ca="1" si="13"/>
        <v>924460.2962903775</v>
      </c>
      <c r="T113" s="42">
        <f t="shared" ca="1" si="13"/>
        <v>946647.34340134659</v>
      </c>
      <c r="U113" s="42">
        <f t="shared" ca="1" si="13"/>
        <v>969366.87964297889</v>
      </c>
      <c r="V113" s="42">
        <f t="shared" ca="1" si="13"/>
        <v>992631.68475441029</v>
      </c>
      <c r="W113" s="42">
        <f t="shared" ca="1" si="13"/>
        <v>1016454.8451885163</v>
      </c>
      <c r="X113" s="42">
        <f t="shared" ca="1" si="13"/>
        <v>1040849.7614730407</v>
      </c>
      <c r="Y113" s="42">
        <f t="shared" ca="1" si="13"/>
        <v>1065830.1557483939</v>
      </c>
      <c r="Z113" s="42">
        <f t="shared" ca="1" si="13"/>
        <v>1091410.0794863552</v>
      </c>
      <c r="AA113" s="42">
        <f t="shared" ca="1" si="13"/>
        <v>1117603.9213940278</v>
      </c>
      <c r="AB113" s="42">
        <f t="shared" ca="1" si="13"/>
        <v>1144426.4155074845</v>
      </c>
      <c r="AC113" s="42">
        <f t="shared" ca="1" si="13"/>
        <v>1171892.6494796642</v>
      </c>
      <c r="AD113" s="42">
        <f t="shared" ca="1" si="13"/>
        <v>1200018.0730671762</v>
      </c>
      <c r="AE113" s="42">
        <f t="shared" ca="1" si="13"/>
        <v>1228818.5068207884</v>
      </c>
      <c r="AF113" s="42">
        <f t="shared" ca="1" si="13"/>
        <v>1258310.1509844875</v>
      </c>
      <c r="AG113" s="42">
        <f t="shared" ca="1" si="13"/>
        <v>1288509.594608115</v>
      </c>
      <c r="AH113" s="42">
        <f t="shared" ca="1" si="13"/>
        <v>1319433.8248787101</v>
      </c>
      <c r="AI113" s="42">
        <f t="shared" ca="1" si="13"/>
        <v>1351100.2366757991</v>
      </c>
      <c r="AJ113" s="42">
        <f t="shared" ca="1" si="13"/>
        <v>1383526.6423560183</v>
      </c>
      <c r="AK113" s="42">
        <f t="shared" ca="1" si="13"/>
        <v>1416731.2817725628</v>
      </c>
      <c r="AL113" s="42">
        <f t="shared" ca="1" si="13"/>
        <v>1450732.8325351044</v>
      </c>
      <c r="AM113" s="42">
        <f t="shared" si="13"/>
        <v>0</v>
      </c>
      <c r="AN113" s="42">
        <f t="shared" si="13"/>
        <v>0</v>
      </c>
      <c r="AO113" s="42">
        <f t="shared" si="13"/>
        <v>0</v>
      </c>
      <c r="AP113" s="42">
        <f t="shared" si="13"/>
        <v>0</v>
      </c>
      <c r="AQ113" s="42">
        <f t="shared" si="13"/>
        <v>0</v>
      </c>
      <c r="AR113" s="42">
        <f t="shared" si="13"/>
        <v>0</v>
      </c>
      <c r="AS113" s="42">
        <f t="shared" si="13"/>
        <v>0</v>
      </c>
      <c r="AT113" s="42">
        <f t="shared" si="13"/>
        <v>0</v>
      </c>
      <c r="AU113" s="42">
        <f t="shared" si="13"/>
        <v>0</v>
      </c>
      <c r="AV113" s="42">
        <f t="shared" si="13"/>
        <v>0</v>
      </c>
      <c r="AW113" s="42">
        <f t="shared" si="13"/>
        <v>0</v>
      </c>
      <c r="AX113" s="42">
        <f t="shared" si="13"/>
        <v>0</v>
      </c>
      <c r="AY113" s="42">
        <f t="shared" si="13"/>
        <v>0</v>
      </c>
      <c r="AZ113" s="42">
        <f t="shared" si="13"/>
        <v>0</v>
      </c>
    </row>
    <row r="114" spans="1:52" ht="11.25" thickBot="1">
      <c r="B114" s="486" t="s">
        <v>1482</v>
      </c>
      <c r="C114" s="486"/>
      <c r="D114" s="486"/>
      <c r="E114" s="486"/>
      <c r="F114" s="486"/>
      <c r="G114" s="486"/>
      <c r="H114" s="486"/>
      <c r="I114" s="587">
        <f ca="1">SUM(I112:I113)</f>
        <v>0</v>
      </c>
      <c r="J114" s="587">
        <f t="shared" ref="J114:AZ114" ca="1" si="14">SUM(J112:J113)</f>
        <v>69729839.254579201</v>
      </c>
      <c r="K114" s="587">
        <f t="shared" ca="1" si="14"/>
        <v>89773357.135865793</v>
      </c>
      <c r="L114" s="587">
        <f t="shared" ca="1" si="14"/>
        <v>108091083.52858116</v>
      </c>
      <c r="M114" s="587">
        <f t="shared" ca="1" si="14"/>
        <v>111328329.33803092</v>
      </c>
      <c r="N114" s="587">
        <f t="shared" ca="1" si="14"/>
        <v>114663368.16923611</v>
      </c>
      <c r="O114" s="587">
        <f t="shared" ca="1" si="14"/>
        <v>118098342.70020297</v>
      </c>
      <c r="P114" s="587">
        <f t="shared" ca="1" si="14"/>
        <v>121636248.23076022</v>
      </c>
      <c r="Q114" s="587">
        <f t="shared" ca="1" si="14"/>
        <v>125280169.8532234</v>
      </c>
      <c r="R114" s="587">
        <f t="shared" ca="1" si="14"/>
        <v>129033285.14457345</v>
      </c>
      <c r="S114" s="587">
        <f t="shared" ca="1" si="14"/>
        <v>132898866.93936208</v>
      </c>
      <c r="T114" s="587">
        <f t="shared" ca="1" si="14"/>
        <v>136880286.18576521</v>
      </c>
      <c r="U114" s="587">
        <f t="shared" ca="1" si="14"/>
        <v>140981014.88727775</v>
      </c>
      <c r="V114" s="587">
        <f t="shared" ca="1" si="14"/>
        <v>145204629.13261825</v>
      </c>
      <c r="W114" s="587">
        <f t="shared" ca="1" si="14"/>
        <v>149554812.21648827</v>
      </c>
      <c r="X114" s="587">
        <f t="shared" ca="1" si="14"/>
        <v>154035357.85391179</v>
      </c>
      <c r="Y114" s="587">
        <f t="shared" ca="1" si="14"/>
        <v>158650173.49096033</v>
      </c>
      <c r="Z114" s="587">
        <f t="shared" ca="1" si="14"/>
        <v>159960435.25224221</v>
      </c>
      <c r="AA114" s="587">
        <f t="shared" ca="1" si="14"/>
        <v>161306635.29540059</v>
      </c>
      <c r="AB114" s="587">
        <f t="shared" ca="1" si="14"/>
        <v>162693064.17680225</v>
      </c>
      <c r="AC114" s="587">
        <f t="shared" ca="1" si="14"/>
        <v>164120924.98968124</v>
      </c>
      <c r="AD114" s="587">
        <f t="shared" ca="1" si="14"/>
        <v>165591456.82954282</v>
      </c>
      <c r="AE114" s="587">
        <f t="shared" ca="1" si="14"/>
        <v>167105935.87205872</v>
      </c>
      <c r="AF114" s="587">
        <f t="shared" ca="1" si="14"/>
        <v>168665676.48324755</v>
      </c>
      <c r="AG114" s="587">
        <f t="shared" ca="1" si="14"/>
        <v>170272032.36290708</v>
      </c>
      <c r="AH114" s="587">
        <f t="shared" ca="1" si="14"/>
        <v>171926397.72229463</v>
      </c>
      <c r="AI114" s="587">
        <f t="shared" ca="1" si="14"/>
        <v>173630208.4970822</v>
      </c>
      <c r="AJ114" s="587">
        <f t="shared" ca="1" si="14"/>
        <v>175384943.59664261</v>
      </c>
      <c r="AK114" s="587">
        <f t="shared" ca="1" si="14"/>
        <v>177192126.19075572</v>
      </c>
      <c r="AL114" s="587">
        <f t="shared" ca="1" si="14"/>
        <v>179053325.03485578</v>
      </c>
      <c r="AM114" s="587">
        <f t="shared" si="14"/>
        <v>0</v>
      </c>
      <c r="AN114" s="587">
        <f t="shared" si="14"/>
        <v>0</v>
      </c>
      <c r="AO114" s="587">
        <f t="shared" si="14"/>
        <v>0</v>
      </c>
      <c r="AP114" s="587">
        <f t="shared" si="14"/>
        <v>0</v>
      </c>
      <c r="AQ114" s="587">
        <f t="shared" si="14"/>
        <v>0</v>
      </c>
      <c r="AR114" s="587">
        <f t="shared" si="14"/>
        <v>0</v>
      </c>
      <c r="AS114" s="587">
        <f t="shared" si="14"/>
        <v>0</v>
      </c>
      <c r="AT114" s="587">
        <f t="shared" si="14"/>
        <v>0</v>
      </c>
      <c r="AU114" s="587">
        <f t="shared" si="14"/>
        <v>0</v>
      </c>
      <c r="AV114" s="587">
        <f t="shared" si="14"/>
        <v>0</v>
      </c>
      <c r="AW114" s="587">
        <f t="shared" si="14"/>
        <v>0</v>
      </c>
      <c r="AX114" s="587">
        <f t="shared" si="14"/>
        <v>0</v>
      </c>
      <c r="AY114" s="587">
        <f t="shared" si="14"/>
        <v>0</v>
      </c>
      <c r="AZ114" s="587">
        <f t="shared" si="14"/>
        <v>0</v>
      </c>
    </row>
    <row r="117" spans="1:52">
      <c r="A117" s="6"/>
      <c r="B117" s="6" t="s">
        <v>1484</v>
      </c>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row>
    <row r="119" spans="1:52">
      <c r="B119" s="10" t="s">
        <v>1702</v>
      </c>
    </row>
    <row r="121" spans="1:52">
      <c r="B121" s="2" t="s">
        <v>1481</v>
      </c>
      <c r="I121" s="42">
        <f ca="1">I71</f>
        <v>0</v>
      </c>
      <c r="J121" s="42">
        <f t="shared" ref="J121:AZ121" ca="1" si="15">J71</f>
        <v>74453662.31968756</v>
      </c>
      <c r="K121" s="42">
        <f ca="1">K71</f>
        <v>146975159.84711674</v>
      </c>
      <c r="L121" s="42">
        <f t="shared" ca="1" si="15"/>
        <v>181211886.32987395</v>
      </c>
      <c r="M121" s="42">
        <f t="shared" ca="1" si="15"/>
        <v>198107386.69062534</v>
      </c>
      <c r="N121" s="42">
        <f t="shared" ca="1" si="15"/>
        <v>204041085.63681036</v>
      </c>
      <c r="O121" s="42">
        <f t="shared" ca="1" si="15"/>
        <v>210152567.0076721</v>
      </c>
      <c r="P121" s="42">
        <f t="shared" ca="1" si="15"/>
        <v>216447158.79090184</v>
      </c>
      <c r="Q121" s="42">
        <f t="shared" ca="1" si="15"/>
        <v>222930348.68218046</v>
      </c>
      <c r="R121" s="42">
        <f t="shared" ca="1" si="15"/>
        <v>229607788.87325868</v>
      </c>
      <c r="S121" s="42">
        <f t="shared" ca="1" si="15"/>
        <v>236485300.98360395</v>
      </c>
      <c r="T121" s="42">
        <f t="shared" ca="1" si="15"/>
        <v>243568881.1399191</v>
      </c>
      <c r="U121" s="42">
        <f t="shared" ca="1" si="15"/>
        <v>250864705.20796713</v>
      </c>
      <c r="V121" s="42">
        <f t="shared" ca="1" si="15"/>
        <v>258379134.18126902</v>
      </c>
      <c r="W121" s="42">
        <f t="shared" ca="1" si="15"/>
        <v>266118719.73137945</v>
      </c>
      <c r="X121" s="42">
        <f t="shared" ca="1" si="15"/>
        <v>274090209.92458528</v>
      </c>
      <c r="Y121" s="42">
        <f t="shared" ca="1" si="15"/>
        <v>282300555.11001772</v>
      </c>
      <c r="Z121" s="42">
        <f t="shared" ca="1" si="15"/>
        <v>290756913.98431766</v>
      </c>
      <c r="AA121" s="42">
        <f t="shared" ca="1" si="15"/>
        <v>299466659.8381508</v>
      </c>
      <c r="AB121" s="42">
        <f t="shared" ca="1" si="15"/>
        <v>308437386.99002212</v>
      </c>
      <c r="AC121" s="42">
        <f t="shared" ca="1" si="15"/>
        <v>317676917.41301095</v>
      </c>
      <c r="AD121" s="42">
        <f t="shared" ca="1" si="15"/>
        <v>327193307.56020844</v>
      </c>
      <c r="AE121" s="42">
        <f t="shared" ca="1" si="15"/>
        <v>336994855.39481729</v>
      </c>
      <c r="AF121" s="42">
        <f t="shared" ca="1" si="15"/>
        <v>347090107.63105154</v>
      </c>
      <c r="AG121" s="42">
        <f t="shared" ca="1" si="15"/>
        <v>357487867.19215816</v>
      </c>
      <c r="AH121" s="42">
        <f t="shared" ca="1" si="15"/>
        <v>368197200.89207029</v>
      </c>
      <c r="AI121" s="42">
        <f t="shared" ca="1" si="15"/>
        <v>379227447.34739929</v>
      </c>
      <c r="AJ121" s="42">
        <f t="shared" ca="1" si="15"/>
        <v>390588225.12667364</v>
      </c>
      <c r="AK121" s="42">
        <f t="shared" ca="1" si="15"/>
        <v>402289441.14393884</v>
      </c>
      <c r="AL121" s="42">
        <f t="shared" ca="1" si="15"/>
        <v>414341299.30404514</v>
      </c>
      <c r="AM121" s="42">
        <f t="shared" si="15"/>
        <v>0</v>
      </c>
      <c r="AN121" s="42">
        <f t="shared" si="15"/>
        <v>0</v>
      </c>
      <c r="AO121" s="42">
        <f t="shared" si="15"/>
        <v>0</v>
      </c>
      <c r="AP121" s="42">
        <f t="shared" si="15"/>
        <v>0</v>
      </c>
      <c r="AQ121" s="42">
        <f t="shared" si="15"/>
        <v>0</v>
      </c>
      <c r="AR121" s="42">
        <f t="shared" si="15"/>
        <v>0</v>
      </c>
      <c r="AS121" s="42">
        <f t="shared" si="15"/>
        <v>0</v>
      </c>
      <c r="AT121" s="42">
        <f t="shared" si="15"/>
        <v>0</v>
      </c>
      <c r="AU121" s="42">
        <f t="shared" si="15"/>
        <v>0</v>
      </c>
      <c r="AV121" s="42">
        <f t="shared" si="15"/>
        <v>0</v>
      </c>
      <c r="AW121" s="42">
        <f t="shared" si="15"/>
        <v>0</v>
      </c>
      <c r="AX121" s="42">
        <f t="shared" si="15"/>
        <v>0</v>
      </c>
      <c r="AY121" s="42">
        <f t="shared" si="15"/>
        <v>0</v>
      </c>
      <c r="AZ121" s="42">
        <f t="shared" si="15"/>
        <v>0</v>
      </c>
    </row>
    <row r="122" spans="1:52">
      <c r="B122" s="2" t="s">
        <v>1483</v>
      </c>
      <c r="I122" s="42">
        <f t="shared" ref="I122:AZ122" ca="1" si="16">I106</f>
        <v>0</v>
      </c>
      <c r="J122" s="42">
        <f t="shared" ca="1" si="16"/>
        <v>523727.91769308253</v>
      </c>
      <c r="K122" s="42">
        <f t="shared" ca="1" si="16"/>
        <v>670488.7896248945</v>
      </c>
      <c r="L122" s="42">
        <f t="shared" ca="1" si="16"/>
        <v>783813.77252365241</v>
      </c>
      <c r="M122" s="42">
        <f t="shared" ca="1" si="16"/>
        <v>801841.48929169623</v>
      </c>
      <c r="N122" s="42">
        <f t="shared" ca="1" si="16"/>
        <v>821085.68503469694</v>
      </c>
      <c r="O122" s="42">
        <f t="shared" ca="1" si="16"/>
        <v>840791.74147552974</v>
      </c>
      <c r="P122" s="42">
        <f t="shared" ca="1" si="16"/>
        <v>860970.74327094248</v>
      </c>
      <c r="Q122" s="42">
        <f t="shared" ca="1" si="16"/>
        <v>881634.04110944504</v>
      </c>
      <c r="R122" s="42">
        <f t="shared" ca="1" si="16"/>
        <v>902793.25809607178</v>
      </c>
      <c r="S122" s="42">
        <f t="shared" ca="1" si="16"/>
        <v>924460.2962903775</v>
      </c>
      <c r="T122" s="42">
        <f t="shared" ca="1" si="16"/>
        <v>946647.34340134659</v>
      </c>
      <c r="U122" s="42">
        <f t="shared" ca="1" si="16"/>
        <v>969366.87964297889</v>
      </c>
      <c r="V122" s="42">
        <f t="shared" ca="1" si="16"/>
        <v>992631.68475441029</v>
      </c>
      <c r="W122" s="42">
        <f t="shared" ca="1" si="16"/>
        <v>1016454.8451885163</v>
      </c>
      <c r="X122" s="42">
        <f t="shared" ca="1" si="16"/>
        <v>1040849.7614730407</v>
      </c>
      <c r="Y122" s="42">
        <f t="shared" ca="1" si="16"/>
        <v>1065830.1557483939</v>
      </c>
      <c r="Z122" s="42">
        <f t="shared" ca="1" si="16"/>
        <v>1091410.0794863552</v>
      </c>
      <c r="AA122" s="42">
        <f t="shared" ca="1" si="16"/>
        <v>1117603.9213940278</v>
      </c>
      <c r="AB122" s="42">
        <f t="shared" ca="1" si="16"/>
        <v>1144426.4155074845</v>
      </c>
      <c r="AC122" s="42">
        <f t="shared" ca="1" si="16"/>
        <v>1171892.6494796642</v>
      </c>
      <c r="AD122" s="42">
        <f t="shared" ca="1" si="16"/>
        <v>1200018.0730671762</v>
      </c>
      <c r="AE122" s="42">
        <f t="shared" ca="1" si="16"/>
        <v>1228818.5068207884</v>
      </c>
      <c r="AF122" s="42">
        <f t="shared" ca="1" si="16"/>
        <v>1258310.1509844875</v>
      </c>
      <c r="AG122" s="42">
        <f t="shared" ca="1" si="16"/>
        <v>1288509.594608115</v>
      </c>
      <c r="AH122" s="42">
        <f t="shared" ca="1" si="16"/>
        <v>1319433.8248787101</v>
      </c>
      <c r="AI122" s="42">
        <f t="shared" ca="1" si="16"/>
        <v>1351100.2366757991</v>
      </c>
      <c r="AJ122" s="42">
        <f t="shared" ca="1" si="16"/>
        <v>1383526.6423560183</v>
      </c>
      <c r="AK122" s="42">
        <f t="shared" ca="1" si="16"/>
        <v>1416731.2817725628</v>
      </c>
      <c r="AL122" s="42">
        <f t="shared" ca="1" si="16"/>
        <v>1450732.8325351044</v>
      </c>
      <c r="AM122" s="42">
        <f t="shared" si="16"/>
        <v>0</v>
      </c>
      <c r="AN122" s="42">
        <f t="shared" si="16"/>
        <v>0</v>
      </c>
      <c r="AO122" s="42">
        <f t="shared" si="16"/>
        <v>0</v>
      </c>
      <c r="AP122" s="42">
        <f t="shared" si="16"/>
        <v>0</v>
      </c>
      <c r="AQ122" s="42">
        <f t="shared" si="16"/>
        <v>0</v>
      </c>
      <c r="AR122" s="42">
        <f t="shared" si="16"/>
        <v>0</v>
      </c>
      <c r="AS122" s="42">
        <f t="shared" si="16"/>
        <v>0</v>
      </c>
      <c r="AT122" s="42">
        <f t="shared" si="16"/>
        <v>0</v>
      </c>
      <c r="AU122" s="42">
        <f t="shared" si="16"/>
        <v>0</v>
      </c>
      <c r="AV122" s="42">
        <f t="shared" si="16"/>
        <v>0</v>
      </c>
      <c r="AW122" s="42">
        <f t="shared" si="16"/>
        <v>0</v>
      </c>
      <c r="AX122" s="42">
        <f t="shared" si="16"/>
        <v>0</v>
      </c>
      <c r="AY122" s="42">
        <f t="shared" si="16"/>
        <v>0</v>
      </c>
      <c r="AZ122" s="42">
        <f t="shared" si="16"/>
        <v>0</v>
      </c>
    </row>
    <row r="123" spans="1:52" ht="11.25" thickBot="1">
      <c r="B123" s="486" t="s">
        <v>714</v>
      </c>
      <c r="C123" s="486"/>
      <c r="D123" s="486"/>
      <c r="E123" s="486"/>
      <c r="F123" s="486"/>
      <c r="G123" s="486"/>
      <c r="H123" s="486"/>
      <c r="I123" s="587">
        <f t="shared" ref="I123:AZ123" ca="1" si="17">SUM(I121:I122)</f>
        <v>0</v>
      </c>
      <c r="J123" s="587">
        <f t="shared" ca="1" si="17"/>
        <v>74977390.237380639</v>
      </c>
      <c r="K123" s="587">
        <f t="shared" ca="1" si="17"/>
        <v>147645648.63674164</v>
      </c>
      <c r="L123" s="587">
        <f t="shared" ca="1" si="17"/>
        <v>181995700.10239759</v>
      </c>
      <c r="M123" s="587">
        <f t="shared" ca="1" si="17"/>
        <v>198909228.17991704</v>
      </c>
      <c r="N123" s="587">
        <f t="shared" ca="1" si="17"/>
        <v>204862171.32184505</v>
      </c>
      <c r="O123" s="587">
        <f t="shared" ca="1" si="17"/>
        <v>210993358.74914762</v>
      </c>
      <c r="P123" s="587">
        <f t="shared" ca="1" si="17"/>
        <v>217308129.53417277</v>
      </c>
      <c r="Q123" s="587">
        <f t="shared" ca="1" si="17"/>
        <v>223811982.72328991</v>
      </c>
      <c r="R123" s="587">
        <f t="shared" ca="1" si="17"/>
        <v>230510582.13135475</v>
      </c>
      <c r="S123" s="587">
        <f t="shared" ca="1" si="17"/>
        <v>237409761.27989432</v>
      </c>
      <c r="T123" s="587">
        <f t="shared" ca="1" si="17"/>
        <v>244515528.48332044</v>
      </c>
      <c r="U123" s="587">
        <f t="shared" ca="1" si="17"/>
        <v>251834072.08761013</v>
      </c>
      <c r="V123" s="587">
        <f t="shared" ca="1" si="17"/>
        <v>259371765.86602342</v>
      </c>
      <c r="W123" s="587">
        <f t="shared" ca="1" si="17"/>
        <v>267135174.57656798</v>
      </c>
      <c r="X123" s="587">
        <f t="shared" ca="1" si="17"/>
        <v>275131059.68605834</v>
      </c>
      <c r="Y123" s="587">
        <f t="shared" ca="1" si="17"/>
        <v>283366385.26576608</v>
      </c>
      <c r="Z123" s="587">
        <f t="shared" ca="1" si="17"/>
        <v>291848324.06380403</v>
      </c>
      <c r="AA123" s="587">
        <f t="shared" ca="1" si="17"/>
        <v>300584263.75954485</v>
      </c>
      <c r="AB123" s="587">
        <f t="shared" ca="1" si="17"/>
        <v>309581813.40552962</v>
      </c>
      <c r="AC123" s="587">
        <f t="shared" ca="1" si="17"/>
        <v>318848810.06249064</v>
      </c>
      <c r="AD123" s="587">
        <f t="shared" ca="1" si="17"/>
        <v>328393325.63327563</v>
      </c>
      <c r="AE123" s="587">
        <f t="shared" ca="1" si="17"/>
        <v>338223673.90163809</v>
      </c>
      <c r="AF123" s="587">
        <f t="shared" ca="1" si="17"/>
        <v>348348417.78203601</v>
      </c>
      <c r="AG123" s="587">
        <f t="shared" ca="1" si="17"/>
        <v>358776376.78676629</v>
      </c>
      <c r="AH123" s="587">
        <f t="shared" ca="1" si="17"/>
        <v>369516634.71694899</v>
      </c>
      <c r="AI123" s="587">
        <f t="shared" ca="1" si="17"/>
        <v>380578547.58407509</v>
      </c>
      <c r="AJ123" s="587">
        <f t="shared" ca="1" si="17"/>
        <v>391971751.76902968</v>
      </c>
      <c r="AK123" s="587">
        <f t="shared" ca="1" si="17"/>
        <v>403706172.42571139</v>
      </c>
      <c r="AL123" s="587">
        <f t="shared" ca="1" si="17"/>
        <v>415792032.13658023</v>
      </c>
      <c r="AM123" s="587">
        <f t="shared" si="17"/>
        <v>0</v>
      </c>
      <c r="AN123" s="587">
        <f t="shared" si="17"/>
        <v>0</v>
      </c>
      <c r="AO123" s="587">
        <f t="shared" si="17"/>
        <v>0</v>
      </c>
      <c r="AP123" s="587">
        <f t="shared" si="17"/>
        <v>0</v>
      </c>
      <c r="AQ123" s="587">
        <f t="shared" si="17"/>
        <v>0</v>
      </c>
      <c r="AR123" s="587">
        <f t="shared" si="17"/>
        <v>0</v>
      </c>
      <c r="AS123" s="587">
        <f t="shared" si="17"/>
        <v>0</v>
      </c>
      <c r="AT123" s="587">
        <f t="shared" si="17"/>
        <v>0</v>
      </c>
      <c r="AU123" s="587">
        <f t="shared" si="17"/>
        <v>0</v>
      </c>
      <c r="AV123" s="587">
        <f t="shared" si="17"/>
        <v>0</v>
      </c>
      <c r="AW123" s="587">
        <f t="shared" si="17"/>
        <v>0</v>
      </c>
      <c r="AX123" s="587">
        <f t="shared" si="17"/>
        <v>0</v>
      </c>
      <c r="AY123" s="587">
        <f t="shared" si="17"/>
        <v>0</v>
      </c>
      <c r="AZ123" s="587">
        <f t="shared" si="17"/>
        <v>0</v>
      </c>
    </row>
    <row r="125" spans="1:52">
      <c r="AY125" s="41"/>
    </row>
    <row r="126" spans="1:52">
      <c r="AY126" s="41"/>
    </row>
    <row r="127" spans="1:52">
      <c r="AY127" s="53"/>
    </row>
    <row r="128" spans="1:52">
      <c r="AY128" s="489"/>
    </row>
    <row r="131" spans="1:51">
      <c r="AY131" s="41"/>
    </row>
    <row r="132" spans="1:51">
      <c r="AY132" s="41"/>
    </row>
    <row r="133" spans="1:51">
      <c r="AY133" s="53"/>
    </row>
    <row r="134" spans="1:51">
      <c r="C134" s="15"/>
      <c r="D134" s="42"/>
      <c r="I134" s="41"/>
      <c r="J134" s="41"/>
      <c r="K134" s="41"/>
      <c r="L134" s="41"/>
      <c r="M134" s="41"/>
      <c r="N134" s="41"/>
      <c r="O134" s="41"/>
      <c r="P134" s="41"/>
      <c r="Q134" s="41"/>
      <c r="R134" s="41"/>
      <c r="S134" s="41"/>
      <c r="T134" s="41"/>
      <c r="U134" s="41"/>
      <c r="V134" s="41"/>
      <c r="W134" s="41"/>
      <c r="X134" s="41"/>
      <c r="Y134" s="41"/>
      <c r="Z134" s="41"/>
      <c r="AA134" s="41"/>
      <c r="AB134" s="41"/>
      <c r="AC134" s="41"/>
      <c r="AD134" s="41"/>
      <c r="AE134" s="41"/>
      <c r="AF134" s="41"/>
      <c r="AG134" s="41"/>
      <c r="AH134" s="41"/>
      <c r="AI134" s="41"/>
      <c r="AJ134" s="41"/>
      <c r="AK134" s="41"/>
      <c r="AL134" s="41"/>
      <c r="AM134" s="41"/>
      <c r="AN134" s="41"/>
      <c r="AO134" s="41"/>
      <c r="AP134" s="41"/>
      <c r="AQ134" s="41"/>
      <c r="AR134" s="41"/>
      <c r="AS134" s="41"/>
      <c r="AT134" s="41"/>
      <c r="AU134" s="41"/>
      <c r="AV134" s="41"/>
      <c r="AW134" s="41"/>
      <c r="AX134" s="41"/>
      <c r="AY134" s="53"/>
    </row>
    <row r="136" spans="1:51">
      <c r="A136" s="130" t="s">
        <v>109</v>
      </c>
      <c r="B136" s="9"/>
      <c r="C136" s="9"/>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row>
    <row r="140" spans="1:51">
      <c r="D140" s="41"/>
    </row>
    <row r="141" spans="1:51">
      <c r="D141" s="41"/>
    </row>
    <row r="142" spans="1:51">
      <c r="D142" s="42"/>
    </row>
    <row r="143" spans="1:51">
      <c r="H143" s="42"/>
    </row>
    <row r="144" spans="1:51">
      <c r="D144" s="42"/>
    </row>
    <row r="145" spans="4:7">
      <c r="F145" s="188"/>
    </row>
    <row r="149" spans="4:7">
      <c r="G149" s="107"/>
    </row>
    <row r="151" spans="4:7">
      <c r="D151" s="107"/>
    </row>
    <row r="156" spans="4:7">
      <c r="F156" s="107"/>
    </row>
  </sheetData>
  <sheetProtection formatCells="0" formatColumns="0" formatRows="0" insertColumns="0" insertRows="0" insertHyperlinks="0" deleteColumns="0" deleteRows="0" sort="0" autoFilter="0" pivotTables="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F5303-D80C-4BD1-9E02-147523B10C8C}">
  <sheetPr codeName="Sheet55"/>
  <dimension ref="C1:V521"/>
  <sheetViews>
    <sheetView workbookViewId="0">
      <selection activeCell="C2" sqref="C2:V34"/>
    </sheetView>
  </sheetViews>
  <sheetFormatPr defaultColWidth="8.875" defaultRowHeight="15"/>
  <cols>
    <col min="1" max="2" width="8.875" style="1720"/>
    <col min="3" max="3" width="30.1328125" style="1720" customWidth="1"/>
    <col min="4" max="4" width="27.7109375" style="1720" customWidth="1"/>
    <col min="5" max="8" width="0" style="1720" hidden="1" customWidth="1"/>
    <col min="9" max="9" width="2.5546875" style="1720" customWidth="1"/>
    <col min="10" max="15" width="8.875" style="1720"/>
    <col min="16" max="16" width="3.2265625" style="1720" customWidth="1"/>
    <col min="17" max="16384" width="8.875" style="1720"/>
  </cols>
  <sheetData>
    <row r="1" spans="3:22" ht="15.75" thickBot="1">
      <c r="C1" s="1721"/>
      <c r="D1" s="1722"/>
      <c r="E1" s="1722"/>
      <c r="F1" s="1722"/>
      <c r="G1" s="1722"/>
      <c r="H1" s="1722"/>
      <c r="I1" s="1722"/>
      <c r="J1" s="1722"/>
      <c r="K1" s="1722"/>
      <c r="L1" s="1722"/>
      <c r="M1" s="1722"/>
      <c r="N1" s="1722"/>
      <c r="O1" s="1722"/>
      <c r="P1" s="1722"/>
      <c r="Q1" s="1722"/>
      <c r="R1" s="1722"/>
      <c r="S1" s="1722"/>
      <c r="T1" s="1722"/>
      <c r="U1" s="1722"/>
      <c r="V1" s="1723"/>
    </row>
    <row r="2" spans="3:22" ht="14.45" customHeight="1">
      <c r="C2" s="3413" t="s">
        <v>1797</v>
      </c>
      <c r="D2" s="3414"/>
      <c r="E2" s="3414"/>
      <c r="F2" s="3414"/>
      <c r="G2" s="3414"/>
      <c r="H2" s="3414"/>
      <c r="I2" s="3414"/>
      <c r="J2" s="3414"/>
      <c r="K2" s="3414"/>
      <c r="L2" s="3414"/>
      <c r="M2" s="3414"/>
      <c r="N2" s="3414"/>
      <c r="O2" s="3414"/>
      <c r="P2" s="3414"/>
      <c r="Q2" s="3414"/>
      <c r="R2" s="3414"/>
      <c r="S2" s="3414"/>
      <c r="T2" s="3414"/>
      <c r="U2" s="3414"/>
      <c r="V2" s="3415"/>
    </row>
    <row r="3" spans="3:22" ht="15" customHeight="1" thickBot="1">
      <c r="C3" s="3416"/>
      <c r="D3" s="3417"/>
      <c r="E3" s="3417"/>
      <c r="F3" s="3417"/>
      <c r="G3" s="3417"/>
      <c r="H3" s="3417"/>
      <c r="I3" s="3417"/>
      <c r="J3" s="3417"/>
      <c r="K3" s="3417"/>
      <c r="L3" s="3417"/>
      <c r="M3" s="3417"/>
      <c r="N3" s="3417"/>
      <c r="O3" s="3417"/>
      <c r="P3" s="3417"/>
      <c r="Q3" s="3417"/>
      <c r="R3" s="3417"/>
      <c r="S3" s="3417"/>
      <c r="T3" s="3417"/>
      <c r="U3" s="3417"/>
      <c r="V3" s="3418"/>
    </row>
    <row r="4" spans="3:22" ht="15.75" hidden="1" thickBot="1">
      <c r="C4" s="1727"/>
      <c r="D4" s="1728"/>
      <c r="E4" s="1728"/>
      <c r="F4" s="1728"/>
      <c r="G4" s="1728"/>
      <c r="H4" s="1728"/>
      <c r="I4" s="1728"/>
      <c r="J4" s="1728"/>
      <c r="K4" s="1728"/>
      <c r="L4" s="1728"/>
      <c r="M4" s="1728"/>
      <c r="N4" s="1728"/>
      <c r="O4" s="1728"/>
      <c r="P4" s="1728"/>
      <c r="Q4" s="1728"/>
      <c r="R4" s="1728"/>
      <c r="S4" s="1728"/>
      <c r="T4" s="1728"/>
      <c r="U4" s="1728"/>
      <c r="V4" s="1729"/>
    </row>
    <row r="5" spans="3:22" ht="14.45" customHeight="1">
      <c r="C5" s="3407" t="s">
        <v>1798</v>
      </c>
      <c r="D5" s="3408"/>
      <c r="E5" s="1728"/>
      <c r="F5" s="1728"/>
      <c r="G5" s="1728"/>
      <c r="H5" s="1728"/>
      <c r="I5" s="1728"/>
      <c r="J5" s="3407" t="s">
        <v>1544</v>
      </c>
      <c r="K5" s="3419"/>
      <c r="L5" s="3419"/>
      <c r="M5" s="3419"/>
      <c r="N5" s="3419"/>
      <c r="O5" s="3420"/>
      <c r="P5" s="1728"/>
      <c r="Q5" s="3407" t="s">
        <v>1799</v>
      </c>
      <c r="R5" s="3419"/>
      <c r="S5" s="3419"/>
      <c r="T5" s="3419"/>
      <c r="U5" s="3419"/>
      <c r="V5" s="3420"/>
    </row>
    <row r="6" spans="3:22" ht="14.45" customHeight="1">
      <c r="C6" s="3409"/>
      <c r="D6" s="3410"/>
      <c r="E6" s="1728"/>
      <c r="F6" s="1728"/>
      <c r="G6" s="1728"/>
      <c r="H6" s="1728"/>
      <c r="I6" s="1728"/>
      <c r="J6" s="3421"/>
      <c r="K6" s="3422"/>
      <c r="L6" s="3422"/>
      <c r="M6" s="3422"/>
      <c r="N6" s="3422"/>
      <c r="O6" s="3423"/>
      <c r="P6" s="1728"/>
      <c r="Q6" s="3421"/>
      <c r="R6" s="3422"/>
      <c r="S6" s="3422"/>
      <c r="T6" s="3422"/>
      <c r="U6" s="3422"/>
      <c r="V6" s="3423"/>
    </row>
    <row r="7" spans="3:22" ht="15" customHeight="1" thickBot="1">
      <c r="C7" s="3411"/>
      <c r="D7" s="3412"/>
      <c r="E7" s="1728"/>
      <c r="F7" s="1728"/>
      <c r="G7" s="1728"/>
      <c r="H7" s="1728"/>
      <c r="I7" s="1728"/>
      <c r="J7" s="3424"/>
      <c r="K7" s="3425"/>
      <c r="L7" s="3425"/>
      <c r="M7" s="3425"/>
      <c r="N7" s="3425"/>
      <c r="O7" s="3426"/>
      <c r="P7" s="1728"/>
      <c r="Q7" s="3424"/>
      <c r="R7" s="3425"/>
      <c r="S7" s="3425"/>
      <c r="T7" s="3425"/>
      <c r="U7" s="3425"/>
      <c r="V7" s="3426"/>
    </row>
    <row r="8" spans="3:22">
      <c r="C8" s="1727"/>
      <c r="D8" s="1728"/>
      <c r="E8" s="1728"/>
      <c r="F8" s="1728"/>
      <c r="G8" s="1728"/>
      <c r="H8" s="1728"/>
      <c r="I8" s="1728"/>
      <c r="J8" s="1728"/>
      <c r="K8" s="1728"/>
      <c r="L8" s="1728"/>
      <c r="M8" s="1728"/>
      <c r="N8" s="1728"/>
      <c r="O8" s="1728"/>
      <c r="P8" s="1728"/>
      <c r="Q8" s="1728"/>
      <c r="R8" s="1728"/>
      <c r="S8" s="1728"/>
      <c r="T8" s="1728"/>
      <c r="U8" s="1728"/>
      <c r="V8" s="1729"/>
    </row>
    <row r="9" spans="3:22">
      <c r="C9" s="1727"/>
      <c r="D9" s="1728"/>
      <c r="E9" s="1728"/>
      <c r="F9" s="1728"/>
      <c r="G9" s="1728"/>
      <c r="H9" s="1728"/>
      <c r="I9" s="1728"/>
      <c r="J9" s="1728"/>
      <c r="K9" s="1728"/>
      <c r="L9" s="1728"/>
      <c r="M9" s="1728"/>
      <c r="N9" s="1728"/>
      <c r="O9" s="1728"/>
      <c r="P9" s="1728"/>
      <c r="Q9" s="1728"/>
      <c r="R9" s="1728"/>
      <c r="S9" s="1728"/>
      <c r="T9" s="1728"/>
      <c r="U9" s="1728"/>
      <c r="V9" s="1729"/>
    </row>
    <row r="10" spans="3:22">
      <c r="C10" s="1727"/>
      <c r="D10" s="1728"/>
      <c r="E10" s="1728"/>
      <c r="F10" s="1728"/>
      <c r="G10" s="1728"/>
      <c r="H10" s="1728"/>
      <c r="I10" s="1728"/>
      <c r="J10" s="1728"/>
      <c r="K10" s="1728"/>
      <c r="L10" s="1728"/>
      <c r="M10" s="1728"/>
      <c r="N10" s="1728"/>
      <c r="O10" s="1728"/>
      <c r="P10" s="1728"/>
      <c r="Q10" s="1728"/>
      <c r="R10" s="1728"/>
      <c r="S10" s="1728"/>
      <c r="T10" s="1728"/>
      <c r="U10" s="1728"/>
      <c r="V10" s="1729"/>
    </row>
    <row r="11" spans="3:22">
      <c r="C11" s="1727"/>
      <c r="D11" s="1728"/>
      <c r="E11" s="1728"/>
      <c r="F11" s="1728"/>
      <c r="G11" s="1728"/>
      <c r="H11" s="1728"/>
      <c r="I11" s="1728"/>
      <c r="J11" s="1728"/>
      <c r="K11" s="1728"/>
      <c r="L11" s="1728"/>
      <c r="M11" s="1728"/>
      <c r="N11" s="1728"/>
      <c r="O11" s="1728"/>
      <c r="P11" s="1728"/>
      <c r="Q11" s="1728"/>
      <c r="R11" s="1728"/>
      <c r="S11" s="1728"/>
      <c r="T11" s="1728"/>
      <c r="U11" s="1728"/>
      <c r="V11" s="1729"/>
    </row>
    <row r="12" spans="3:22">
      <c r="C12" s="1727"/>
      <c r="D12" s="1728"/>
      <c r="E12" s="1728"/>
      <c r="F12" s="1728"/>
      <c r="G12" s="1728"/>
      <c r="H12" s="1728"/>
      <c r="I12" s="1728"/>
      <c r="J12" s="1728"/>
      <c r="K12" s="1728"/>
      <c r="L12" s="1728"/>
      <c r="M12" s="1728"/>
      <c r="N12" s="1728"/>
      <c r="O12" s="1728"/>
      <c r="P12" s="1728"/>
      <c r="Q12" s="1728"/>
      <c r="R12" s="1728"/>
      <c r="S12" s="1728"/>
      <c r="T12" s="1728"/>
      <c r="U12" s="1728"/>
      <c r="V12" s="1729"/>
    </row>
    <row r="13" spans="3:22">
      <c r="C13" s="1727"/>
      <c r="D13" s="1728"/>
      <c r="E13" s="1728"/>
      <c r="F13" s="1728"/>
      <c r="G13" s="1728"/>
      <c r="H13" s="1728"/>
      <c r="I13" s="1728"/>
      <c r="J13" s="1728"/>
      <c r="K13" s="1728"/>
      <c r="L13" s="1728"/>
      <c r="M13" s="1728"/>
      <c r="N13" s="1728"/>
      <c r="O13" s="1728"/>
      <c r="P13" s="1728"/>
      <c r="Q13" s="1728"/>
      <c r="R13" s="1728"/>
      <c r="S13" s="1728"/>
      <c r="T13" s="1728"/>
      <c r="U13" s="1728"/>
      <c r="V13" s="1729"/>
    </row>
    <row r="14" spans="3:22">
      <c r="C14" s="1727"/>
      <c r="D14" s="1728"/>
      <c r="E14" s="1728"/>
      <c r="F14" s="1728"/>
      <c r="G14" s="1728"/>
      <c r="H14" s="1728"/>
      <c r="I14" s="1728"/>
      <c r="J14" s="1728"/>
      <c r="K14" s="1728"/>
      <c r="L14" s="1728"/>
      <c r="M14" s="1728"/>
      <c r="N14" s="1728"/>
      <c r="O14" s="1728"/>
      <c r="P14" s="1728"/>
      <c r="Q14" s="1728"/>
      <c r="R14" s="1728"/>
      <c r="S14" s="1728"/>
      <c r="T14" s="1728"/>
      <c r="U14" s="1728"/>
      <c r="V14" s="1729"/>
    </row>
    <row r="15" spans="3:22">
      <c r="C15" s="1727"/>
      <c r="D15" s="1728"/>
      <c r="E15" s="1728"/>
      <c r="F15" s="1728"/>
      <c r="G15" s="1728"/>
      <c r="H15" s="1728"/>
      <c r="I15" s="1728"/>
      <c r="J15" s="1728"/>
      <c r="K15" s="1728"/>
      <c r="L15" s="1728"/>
      <c r="M15" s="1728"/>
      <c r="N15" s="1728"/>
      <c r="O15" s="1728"/>
      <c r="P15" s="1728"/>
      <c r="Q15" s="1728"/>
      <c r="R15" s="1728"/>
      <c r="S15" s="1728"/>
      <c r="T15" s="1728"/>
      <c r="U15" s="1728"/>
      <c r="V15" s="1729"/>
    </row>
    <row r="16" spans="3:22">
      <c r="C16" s="1727"/>
      <c r="D16" s="1728"/>
      <c r="E16" s="1728"/>
      <c r="F16" s="1728"/>
      <c r="G16" s="1728"/>
      <c r="H16" s="1728"/>
      <c r="I16" s="1728"/>
      <c r="J16" s="1728"/>
      <c r="K16" s="1728"/>
      <c r="L16" s="1728"/>
      <c r="M16" s="1728"/>
      <c r="N16" s="1728"/>
      <c r="O16" s="1728"/>
      <c r="P16" s="1728"/>
      <c r="Q16" s="1728"/>
      <c r="R16" s="1728"/>
      <c r="S16" s="1728"/>
      <c r="T16" s="1728"/>
      <c r="U16" s="1728"/>
      <c r="V16" s="1729"/>
    </row>
    <row r="17" spans="3:22">
      <c r="C17" s="1727"/>
      <c r="D17" s="1728"/>
      <c r="E17" s="1728"/>
      <c r="F17" s="1728"/>
      <c r="G17" s="1728"/>
      <c r="H17" s="1728"/>
      <c r="I17" s="1728"/>
      <c r="J17" s="1728"/>
      <c r="K17" s="1728"/>
      <c r="L17" s="1728"/>
      <c r="M17" s="1728"/>
      <c r="N17" s="1728"/>
      <c r="O17" s="1728"/>
      <c r="P17" s="1728"/>
      <c r="Q17" s="1728"/>
      <c r="R17" s="1728"/>
      <c r="S17" s="1728"/>
      <c r="T17" s="1728"/>
      <c r="U17" s="1728"/>
      <c r="V17" s="1729"/>
    </row>
    <row r="18" spans="3:22">
      <c r="C18" s="1727"/>
      <c r="D18" s="1728"/>
      <c r="E18" s="1728"/>
      <c r="F18" s="1728"/>
      <c r="G18" s="1728"/>
      <c r="H18" s="1728"/>
      <c r="I18" s="1728"/>
      <c r="J18" s="1728"/>
      <c r="K18" s="1728"/>
      <c r="L18" s="1728"/>
      <c r="M18" s="1728"/>
      <c r="N18" s="1728"/>
      <c r="O18" s="1728"/>
      <c r="P18" s="1728"/>
      <c r="Q18" s="1728"/>
      <c r="R18" s="1728"/>
      <c r="S18" s="1728"/>
      <c r="T18" s="1728"/>
      <c r="U18" s="1728"/>
      <c r="V18" s="1729"/>
    </row>
    <row r="19" spans="3:22">
      <c r="C19" s="1727"/>
      <c r="D19" s="1728"/>
      <c r="E19" s="1728"/>
      <c r="F19" s="1728"/>
      <c r="G19" s="1728"/>
      <c r="H19" s="1728"/>
      <c r="I19" s="1728"/>
      <c r="J19" s="1728"/>
      <c r="K19" s="1728"/>
      <c r="L19" s="1728"/>
      <c r="M19" s="1728"/>
      <c r="N19" s="1728"/>
      <c r="O19" s="1728"/>
      <c r="P19" s="1728"/>
      <c r="Q19" s="1728"/>
      <c r="R19" s="1728"/>
      <c r="S19" s="1728"/>
      <c r="T19" s="1728"/>
      <c r="U19" s="1728"/>
      <c r="V19" s="1729"/>
    </row>
    <row r="20" spans="3:22">
      <c r="C20" s="1727"/>
      <c r="D20" s="1728"/>
      <c r="E20" s="1728"/>
      <c r="F20" s="1728"/>
      <c r="G20" s="1728"/>
      <c r="H20" s="1728"/>
      <c r="I20" s="1728"/>
      <c r="J20" s="1728"/>
      <c r="K20" s="1728"/>
      <c r="L20" s="1728"/>
      <c r="M20" s="1728"/>
      <c r="N20" s="1728"/>
      <c r="O20" s="1728"/>
      <c r="P20" s="1728"/>
      <c r="Q20" s="1728"/>
      <c r="R20" s="1728"/>
      <c r="S20" s="1728"/>
      <c r="T20" s="1728"/>
      <c r="U20" s="1728"/>
      <c r="V20" s="1729"/>
    </row>
    <row r="21" spans="3:22">
      <c r="C21" s="1727"/>
      <c r="D21" s="1728"/>
      <c r="E21" s="1728"/>
      <c r="F21" s="1728"/>
      <c r="G21" s="1728"/>
      <c r="H21" s="1728"/>
      <c r="I21" s="1728"/>
      <c r="J21" s="1728"/>
      <c r="K21" s="1728"/>
      <c r="L21" s="1728"/>
      <c r="M21" s="1728"/>
      <c r="N21" s="1728"/>
      <c r="O21" s="1728"/>
      <c r="P21" s="1728"/>
      <c r="Q21" s="1728"/>
      <c r="R21" s="1728"/>
      <c r="S21" s="1728"/>
      <c r="T21" s="1728"/>
      <c r="U21" s="1728"/>
      <c r="V21" s="1729"/>
    </row>
    <row r="22" spans="3:22">
      <c r="C22" s="1727"/>
      <c r="D22" s="1728"/>
      <c r="E22" s="1728"/>
      <c r="F22" s="1728"/>
      <c r="G22" s="1728"/>
      <c r="H22" s="1728"/>
      <c r="I22" s="1728"/>
      <c r="J22" s="1728"/>
      <c r="K22" s="1728"/>
      <c r="L22" s="1728"/>
      <c r="M22" s="1728"/>
      <c r="N22" s="1728"/>
      <c r="O22" s="1728"/>
      <c r="P22" s="1728"/>
      <c r="Q22" s="1728"/>
      <c r="R22" s="1728"/>
      <c r="S22" s="1728"/>
      <c r="T22" s="1728"/>
      <c r="U22" s="1728"/>
      <c r="V22" s="1729"/>
    </row>
    <row r="23" spans="3:22">
      <c r="C23" s="1727"/>
      <c r="D23" s="1728"/>
      <c r="E23" s="1728"/>
      <c r="F23" s="1728"/>
      <c r="G23" s="1728"/>
      <c r="H23" s="1728"/>
      <c r="I23" s="1728"/>
      <c r="J23" s="1728"/>
      <c r="K23" s="1728"/>
      <c r="L23" s="1728"/>
      <c r="M23" s="1728"/>
      <c r="N23" s="1728"/>
      <c r="O23" s="1728"/>
      <c r="P23" s="1728"/>
      <c r="Q23" s="1728"/>
      <c r="R23" s="1728"/>
      <c r="S23" s="1728"/>
      <c r="T23" s="1728"/>
      <c r="U23" s="1728"/>
      <c r="V23" s="1729"/>
    </row>
    <row r="24" spans="3:22">
      <c r="C24" s="1727"/>
      <c r="D24" s="1728"/>
      <c r="E24" s="1728"/>
      <c r="F24" s="1728"/>
      <c r="G24" s="1728"/>
      <c r="H24" s="1728"/>
      <c r="I24" s="1728"/>
      <c r="J24" s="1728"/>
      <c r="K24" s="1728"/>
      <c r="L24" s="1728"/>
      <c r="M24" s="1728"/>
      <c r="N24" s="1728"/>
      <c r="O24" s="1728"/>
      <c r="P24" s="1728"/>
      <c r="Q24" s="1728"/>
      <c r="R24" s="1728"/>
      <c r="S24" s="1728"/>
      <c r="T24" s="1728"/>
      <c r="U24" s="1728"/>
      <c r="V24" s="1729"/>
    </row>
    <row r="25" spans="3:22">
      <c r="C25" s="1727"/>
      <c r="D25" s="1728"/>
      <c r="E25" s="1728"/>
      <c r="F25" s="1728"/>
      <c r="G25" s="1728"/>
      <c r="H25" s="1728"/>
      <c r="I25" s="1728"/>
      <c r="J25" s="1728"/>
      <c r="K25" s="1728"/>
      <c r="L25" s="1728"/>
      <c r="M25" s="1728"/>
      <c r="N25" s="1728"/>
      <c r="O25" s="1728"/>
      <c r="P25" s="1728"/>
      <c r="Q25" s="1728"/>
      <c r="R25" s="1728"/>
      <c r="S25" s="1728"/>
      <c r="T25" s="1728"/>
      <c r="U25" s="1728"/>
      <c r="V25" s="1729"/>
    </row>
    <row r="26" spans="3:22">
      <c r="C26" s="1727"/>
      <c r="D26" s="1728"/>
      <c r="E26" s="1728"/>
      <c r="F26" s="1728"/>
      <c r="G26" s="1728"/>
      <c r="H26" s="1728"/>
      <c r="I26" s="1728"/>
      <c r="J26" s="1728"/>
      <c r="K26" s="1728"/>
      <c r="L26" s="1728"/>
      <c r="M26" s="1728"/>
      <c r="N26" s="1728"/>
      <c r="O26" s="1728"/>
      <c r="P26" s="1728"/>
      <c r="Q26" s="1728"/>
      <c r="R26" s="1728"/>
      <c r="S26" s="1728"/>
      <c r="T26" s="1728"/>
      <c r="U26" s="1728"/>
      <c r="V26" s="1729"/>
    </row>
    <row r="27" spans="3:22">
      <c r="C27" s="1727"/>
      <c r="D27" s="1728"/>
      <c r="E27" s="1728"/>
      <c r="F27" s="1728"/>
      <c r="G27" s="1728"/>
      <c r="H27" s="1728"/>
      <c r="I27" s="1728"/>
      <c r="J27" s="1728"/>
      <c r="K27" s="1728"/>
      <c r="L27" s="1728"/>
      <c r="M27" s="1728"/>
      <c r="N27" s="1728"/>
      <c r="O27" s="1728"/>
      <c r="P27" s="1728"/>
      <c r="Q27" s="1728"/>
      <c r="R27" s="1728"/>
      <c r="S27" s="1728"/>
      <c r="T27" s="1728"/>
      <c r="U27" s="1728"/>
      <c r="V27" s="1729"/>
    </row>
    <row r="28" spans="3:22">
      <c r="C28" s="1727"/>
      <c r="D28" s="1728"/>
      <c r="E28" s="1728"/>
      <c r="F28" s="1728"/>
      <c r="G28" s="1728"/>
      <c r="H28" s="1728"/>
      <c r="I28" s="1728"/>
      <c r="J28" s="1728"/>
      <c r="K28" s="1728"/>
      <c r="L28" s="1728"/>
      <c r="M28" s="1728"/>
      <c r="N28" s="1728"/>
      <c r="O28" s="1728"/>
      <c r="P28" s="1728"/>
      <c r="Q28" s="1728"/>
      <c r="R28" s="1728"/>
      <c r="S28" s="1728"/>
      <c r="T28" s="1728"/>
      <c r="U28" s="1728"/>
      <c r="V28" s="1729"/>
    </row>
    <row r="29" spans="3:22">
      <c r="C29" s="1727"/>
      <c r="D29" s="1728"/>
      <c r="E29" s="1728"/>
      <c r="F29" s="1728"/>
      <c r="G29" s="1728"/>
      <c r="H29" s="1728"/>
      <c r="I29" s="1728"/>
      <c r="J29" s="1728"/>
      <c r="K29" s="1728"/>
      <c r="L29" s="1728"/>
      <c r="M29" s="1728"/>
      <c r="N29" s="1728"/>
      <c r="O29" s="1728"/>
      <c r="P29" s="1728"/>
      <c r="Q29" s="1728"/>
      <c r="R29" s="1728"/>
      <c r="S29" s="1728"/>
      <c r="T29" s="1728"/>
      <c r="U29" s="1728"/>
      <c r="V29" s="1729"/>
    </row>
    <row r="30" spans="3:22">
      <c r="C30" s="1727"/>
      <c r="D30" s="1728"/>
      <c r="E30" s="1728"/>
      <c r="F30" s="1728"/>
      <c r="G30" s="1728"/>
      <c r="H30" s="1728"/>
      <c r="I30" s="1728"/>
      <c r="J30" s="1728"/>
      <c r="K30" s="1728"/>
      <c r="L30" s="1728"/>
      <c r="M30" s="1728"/>
      <c r="N30" s="1728"/>
      <c r="O30" s="1728"/>
      <c r="P30" s="1728"/>
      <c r="Q30" s="1728"/>
      <c r="R30" s="1728"/>
      <c r="S30" s="1728"/>
      <c r="T30" s="1728"/>
      <c r="U30" s="1728"/>
      <c r="V30" s="1729"/>
    </row>
    <row r="31" spans="3:22">
      <c r="C31" s="1727"/>
      <c r="D31" s="1728"/>
      <c r="E31" s="1728"/>
      <c r="F31" s="1728"/>
      <c r="G31" s="1728"/>
      <c r="H31" s="1728"/>
      <c r="I31" s="1728"/>
      <c r="J31" s="1728"/>
      <c r="K31" s="1728"/>
      <c r="L31" s="1728"/>
      <c r="M31" s="1728"/>
      <c r="N31" s="1728"/>
      <c r="O31" s="1728"/>
      <c r="P31" s="1728"/>
      <c r="Q31" s="1728"/>
      <c r="R31" s="1728"/>
      <c r="S31" s="1728"/>
      <c r="T31" s="1728"/>
      <c r="U31" s="1728"/>
      <c r="V31" s="1729"/>
    </row>
    <row r="32" spans="3:22">
      <c r="C32" s="1727"/>
      <c r="D32" s="1728"/>
      <c r="E32" s="1728"/>
      <c r="F32" s="1728"/>
      <c r="G32" s="1728"/>
      <c r="H32" s="1728"/>
      <c r="I32" s="1728"/>
      <c r="J32" s="1728"/>
      <c r="K32" s="1728"/>
      <c r="L32" s="1728"/>
      <c r="M32" s="1728"/>
      <c r="N32" s="1728"/>
      <c r="O32" s="1728"/>
      <c r="P32" s="1728"/>
      <c r="Q32" s="1728"/>
      <c r="R32" s="1728"/>
      <c r="S32" s="1728"/>
      <c r="T32" s="1728"/>
      <c r="U32" s="1728"/>
      <c r="V32" s="1729"/>
    </row>
    <row r="33" spans="3:22">
      <c r="C33" s="1727"/>
      <c r="D33" s="1728"/>
      <c r="E33" s="1728"/>
      <c r="F33" s="1728"/>
      <c r="G33" s="1728"/>
      <c r="H33" s="1728"/>
      <c r="I33" s="1728"/>
      <c r="J33" s="1728"/>
      <c r="K33" s="1728"/>
      <c r="L33" s="1728"/>
      <c r="M33" s="1728"/>
      <c r="N33" s="1728"/>
      <c r="O33" s="1728"/>
      <c r="P33" s="1728"/>
      <c r="Q33" s="1728"/>
      <c r="R33" s="1728"/>
      <c r="S33" s="1728"/>
      <c r="T33" s="1728"/>
      <c r="U33" s="1728"/>
      <c r="V33" s="1729"/>
    </row>
    <row r="34" spans="3:22" ht="15.75" thickBot="1">
      <c r="C34" s="1724"/>
      <c r="D34" s="1725"/>
      <c r="E34" s="1725"/>
      <c r="F34" s="1725"/>
      <c r="G34" s="1725"/>
      <c r="H34" s="1725"/>
      <c r="I34" s="1725"/>
      <c r="J34" s="1725"/>
      <c r="K34" s="1725"/>
      <c r="L34" s="1725"/>
      <c r="M34" s="1725"/>
      <c r="N34" s="1725"/>
      <c r="O34" s="1725"/>
      <c r="P34" s="1725"/>
      <c r="Q34" s="1725"/>
      <c r="R34" s="1725"/>
      <c r="S34" s="1725"/>
      <c r="T34" s="1725"/>
      <c r="U34" s="1725"/>
      <c r="V34" s="1726"/>
    </row>
    <row r="35" spans="3:22">
      <c r="E35" s="1728"/>
      <c r="F35" s="1728"/>
      <c r="G35" s="1728"/>
      <c r="H35" s="1728"/>
      <c r="I35" s="1728"/>
      <c r="J35" s="1728"/>
      <c r="K35" s="1728"/>
      <c r="L35" s="1728"/>
      <c r="M35" s="1728"/>
      <c r="N35" s="1728"/>
      <c r="O35" s="1728"/>
      <c r="P35" s="1728"/>
      <c r="Q35" s="1728"/>
      <c r="R35" s="1728"/>
      <c r="S35" s="1728"/>
      <c r="T35" s="1728"/>
      <c r="U35" s="1728"/>
      <c r="V35" s="1728"/>
    </row>
    <row r="36" spans="3:22">
      <c r="E36" s="1728"/>
      <c r="F36" s="1728"/>
      <c r="G36" s="1728"/>
      <c r="H36" s="1728"/>
      <c r="I36" s="1728"/>
      <c r="J36" s="1728"/>
      <c r="K36" s="1728"/>
      <c r="L36" s="1728"/>
      <c r="M36" s="1728"/>
      <c r="N36" s="1728"/>
      <c r="O36" s="1728"/>
      <c r="P36" s="1728"/>
      <c r="Q36" s="1728"/>
      <c r="R36" s="1728"/>
      <c r="S36" s="1728"/>
      <c r="T36" s="1728"/>
      <c r="U36" s="1728"/>
      <c r="V36" s="1728"/>
    </row>
    <row r="37" spans="3:22">
      <c r="E37" s="1728"/>
      <c r="F37" s="1728"/>
      <c r="G37" s="1728"/>
      <c r="H37" s="1728"/>
      <c r="I37" s="1728"/>
      <c r="J37" s="1728"/>
      <c r="K37" s="1728"/>
      <c r="L37" s="1728"/>
      <c r="M37" s="1728"/>
      <c r="N37" s="1728"/>
      <c r="O37" s="1728"/>
      <c r="P37" s="1728"/>
      <c r="Q37" s="1728"/>
      <c r="R37" s="1728"/>
      <c r="S37" s="1728"/>
      <c r="T37" s="1728"/>
      <c r="U37" s="1728"/>
      <c r="V37" s="1728"/>
    </row>
    <row r="38" spans="3:22">
      <c r="E38" s="1728"/>
      <c r="F38" s="1728"/>
      <c r="G38" s="1728"/>
      <c r="H38" s="1728"/>
      <c r="I38" s="1728"/>
      <c r="J38" s="1728"/>
      <c r="K38" s="1728"/>
      <c r="L38" s="1728"/>
      <c r="M38" s="1728"/>
      <c r="N38" s="1728"/>
      <c r="O38" s="1728"/>
      <c r="P38" s="1728"/>
      <c r="Q38" s="1728"/>
      <c r="R38" s="1728"/>
      <c r="S38" s="1728"/>
      <c r="T38" s="1728"/>
      <c r="U38" s="1728"/>
      <c r="V38" s="1728"/>
    </row>
    <row r="39" spans="3:22">
      <c r="E39" s="1728"/>
      <c r="F39" s="1728"/>
      <c r="G39" s="1728"/>
      <c r="H39" s="1728"/>
      <c r="I39" s="1728"/>
      <c r="J39" s="1728"/>
      <c r="K39" s="1728"/>
      <c r="L39" s="1728"/>
      <c r="M39" s="1728"/>
      <c r="N39" s="1728"/>
      <c r="O39" s="1728"/>
      <c r="P39" s="1728"/>
      <c r="Q39" s="1728"/>
      <c r="R39" s="1728"/>
      <c r="S39" s="1728"/>
      <c r="T39" s="1728"/>
      <c r="U39" s="1728"/>
      <c r="V39" s="1728"/>
    </row>
    <row r="40" spans="3:22">
      <c r="E40" s="1728"/>
      <c r="F40" s="1728"/>
      <c r="G40" s="1728"/>
      <c r="H40" s="1728"/>
      <c r="I40" s="1728"/>
      <c r="J40" s="1728"/>
      <c r="K40" s="1728"/>
      <c r="L40" s="1728"/>
      <c r="M40" s="1728"/>
      <c r="N40" s="1728"/>
      <c r="O40" s="1728"/>
      <c r="P40" s="1728"/>
      <c r="Q40" s="1728"/>
      <c r="R40" s="1728"/>
      <c r="S40" s="1728"/>
      <c r="T40" s="1728"/>
      <c r="U40" s="1728"/>
      <c r="V40" s="1728"/>
    </row>
    <row r="41" spans="3:22">
      <c r="E41" s="1728"/>
      <c r="F41" s="1728"/>
      <c r="G41" s="1728"/>
      <c r="H41" s="1728"/>
      <c r="I41" s="1728"/>
      <c r="J41" s="1728"/>
      <c r="K41" s="1728"/>
      <c r="L41" s="1728"/>
      <c r="M41" s="1728"/>
      <c r="N41" s="1728"/>
      <c r="O41" s="1728"/>
      <c r="P41" s="1728"/>
      <c r="Q41" s="1728"/>
      <c r="R41" s="1728"/>
      <c r="S41" s="1728"/>
      <c r="T41" s="1728"/>
      <c r="U41" s="1728"/>
      <c r="V41" s="1728"/>
    </row>
    <row r="488" spans="10:10">
      <c r="J488" s="1720">
        <f>SUM(J481:J487)</f>
        <v>0</v>
      </c>
    </row>
    <row r="497" spans="10:10">
      <c r="J497" s="1720">
        <f>SUM(J491:J496)</f>
        <v>0</v>
      </c>
    </row>
    <row r="521" spans="10:10">
      <c r="J521" s="1720">
        <f>SUM(J514:J520)</f>
        <v>0</v>
      </c>
    </row>
  </sheetData>
  <mergeCells count="4">
    <mergeCell ref="C5:D7"/>
    <mergeCell ref="C2:V3"/>
    <mergeCell ref="J5:O7"/>
    <mergeCell ref="Q5:V7"/>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DBF46-642A-46AF-9E48-3ED655941FE5}">
  <sheetPr codeName="Sheet56"/>
  <dimension ref="C1:V40"/>
  <sheetViews>
    <sheetView workbookViewId="0">
      <selection activeCell="Q5" sqref="Q5:V7"/>
    </sheetView>
  </sheetViews>
  <sheetFormatPr defaultColWidth="8.875" defaultRowHeight="15"/>
  <cols>
    <col min="1" max="8" width="8.875" style="1720"/>
    <col min="9" max="9" width="2.5546875" style="1720" customWidth="1"/>
    <col min="10" max="15" width="8.875" style="1720"/>
    <col min="16" max="16" width="3.2265625" style="1720" customWidth="1"/>
    <col min="17" max="16384" width="8.875" style="1720"/>
  </cols>
  <sheetData>
    <row r="1" spans="3:22" ht="15.75" thickBot="1">
      <c r="C1" s="1721"/>
      <c r="D1" s="1722"/>
      <c r="E1" s="1722"/>
      <c r="F1" s="1722"/>
      <c r="G1" s="1722"/>
      <c r="H1" s="1722"/>
      <c r="I1" s="1722"/>
      <c r="J1" s="1722"/>
      <c r="K1" s="1722"/>
      <c r="L1" s="1722"/>
      <c r="M1" s="1722"/>
      <c r="N1" s="1722"/>
      <c r="O1" s="1722"/>
      <c r="P1" s="1722"/>
      <c r="Q1" s="1722"/>
      <c r="R1" s="1722"/>
      <c r="S1" s="1722"/>
      <c r="T1" s="1722"/>
      <c r="U1" s="1722"/>
      <c r="V1" s="1723"/>
    </row>
    <row r="2" spans="3:22">
      <c r="C2" s="3413" t="s">
        <v>1795</v>
      </c>
      <c r="D2" s="3414"/>
      <c r="E2" s="3414"/>
      <c r="F2" s="3414"/>
      <c r="G2" s="3414"/>
      <c r="H2" s="3414"/>
      <c r="I2" s="3414"/>
      <c r="J2" s="3414"/>
      <c r="K2" s="3414"/>
      <c r="L2" s="3414"/>
      <c r="M2" s="3414"/>
      <c r="N2" s="3414"/>
      <c r="O2" s="3414"/>
      <c r="P2" s="3414"/>
      <c r="Q2" s="3414"/>
      <c r="R2" s="3414"/>
      <c r="S2" s="3414"/>
      <c r="T2" s="3414"/>
      <c r="U2" s="3414"/>
      <c r="V2" s="3415"/>
    </row>
    <row r="3" spans="3:22" ht="15.75" thickBot="1">
      <c r="C3" s="3416"/>
      <c r="D3" s="3417"/>
      <c r="E3" s="3417"/>
      <c r="F3" s="3417"/>
      <c r="G3" s="3417"/>
      <c r="H3" s="3417"/>
      <c r="I3" s="3417"/>
      <c r="J3" s="3417"/>
      <c r="K3" s="3417"/>
      <c r="L3" s="3417"/>
      <c r="M3" s="3417"/>
      <c r="N3" s="3417"/>
      <c r="O3" s="3417"/>
      <c r="P3" s="3417"/>
      <c r="Q3" s="3417"/>
      <c r="R3" s="3417"/>
      <c r="S3" s="3417"/>
      <c r="T3" s="3417"/>
      <c r="U3" s="3417"/>
      <c r="V3" s="3418"/>
    </row>
    <row r="4" spans="3:22" ht="15.75" hidden="1" thickBot="1">
      <c r="C4" s="1727"/>
      <c r="D4" s="1728"/>
      <c r="E4" s="1728"/>
      <c r="F4" s="1728"/>
      <c r="G4" s="1728"/>
      <c r="H4" s="1728"/>
      <c r="I4" s="1728"/>
      <c r="J4" s="1728"/>
      <c r="K4" s="1728"/>
      <c r="L4" s="1728"/>
      <c r="M4" s="1728"/>
      <c r="N4" s="1728"/>
      <c r="O4" s="1728"/>
      <c r="P4" s="1728"/>
      <c r="Q4" s="1728"/>
      <c r="R4" s="1728"/>
      <c r="S4" s="1728"/>
      <c r="T4" s="1728"/>
      <c r="U4" s="1728"/>
      <c r="V4" s="1729"/>
    </row>
    <row r="5" spans="3:22">
      <c r="C5" s="3407" t="s">
        <v>1796</v>
      </c>
      <c r="D5" s="3419"/>
      <c r="E5" s="3419"/>
      <c r="F5" s="3419"/>
      <c r="G5" s="3419"/>
      <c r="H5" s="3420"/>
      <c r="I5" s="1728"/>
      <c r="J5" s="3407" t="s">
        <v>2064</v>
      </c>
      <c r="K5" s="3419"/>
      <c r="L5" s="3419"/>
      <c r="M5" s="3419"/>
      <c r="N5" s="3419"/>
      <c r="O5" s="3420"/>
      <c r="P5" s="1728"/>
      <c r="Q5" s="3407" t="s">
        <v>2065</v>
      </c>
      <c r="R5" s="3419"/>
      <c r="S5" s="3419"/>
      <c r="T5" s="3419"/>
      <c r="U5" s="3419"/>
      <c r="V5" s="3420"/>
    </row>
    <row r="6" spans="3:22">
      <c r="C6" s="3421"/>
      <c r="D6" s="3422"/>
      <c r="E6" s="3422"/>
      <c r="F6" s="3422"/>
      <c r="G6" s="3422"/>
      <c r="H6" s="3423"/>
      <c r="I6" s="1728"/>
      <c r="J6" s="3421"/>
      <c r="K6" s="3422"/>
      <c r="L6" s="3422"/>
      <c r="M6" s="3422"/>
      <c r="N6" s="3422"/>
      <c r="O6" s="3423"/>
      <c r="P6" s="1728"/>
      <c r="Q6" s="3421"/>
      <c r="R6" s="3422"/>
      <c r="S6" s="3422"/>
      <c r="T6" s="3422"/>
      <c r="U6" s="3422"/>
      <c r="V6" s="3423"/>
    </row>
    <row r="7" spans="3:22" ht="15.75" thickBot="1">
      <c r="C7" s="3424"/>
      <c r="D7" s="3425"/>
      <c r="E7" s="3425"/>
      <c r="F7" s="3425"/>
      <c r="G7" s="3425"/>
      <c r="H7" s="3426"/>
      <c r="I7" s="1728"/>
      <c r="J7" s="3424"/>
      <c r="K7" s="3425"/>
      <c r="L7" s="3425"/>
      <c r="M7" s="3425"/>
      <c r="N7" s="3425"/>
      <c r="O7" s="3426"/>
      <c r="P7" s="1728"/>
      <c r="Q7" s="3424"/>
      <c r="R7" s="3425"/>
      <c r="S7" s="3425"/>
      <c r="T7" s="3425"/>
      <c r="U7" s="3425"/>
      <c r="V7" s="3426"/>
    </row>
    <row r="8" spans="3:22">
      <c r="C8" s="1727"/>
      <c r="D8" s="1728"/>
      <c r="E8" s="1728"/>
      <c r="F8" s="1728"/>
      <c r="G8" s="1728"/>
      <c r="H8" s="1728"/>
      <c r="I8" s="1728"/>
      <c r="J8" s="1728"/>
      <c r="K8" s="1728"/>
      <c r="L8" s="1728"/>
      <c r="M8" s="1728"/>
      <c r="N8" s="1728"/>
      <c r="O8" s="1728"/>
      <c r="P8" s="1728"/>
      <c r="Q8" s="1728"/>
      <c r="R8" s="1728"/>
      <c r="S8" s="1728"/>
      <c r="T8" s="1728"/>
      <c r="U8" s="1728"/>
      <c r="V8" s="1729"/>
    </row>
    <row r="9" spans="3:22">
      <c r="C9" s="1727"/>
      <c r="D9" s="1728"/>
      <c r="E9" s="1728"/>
      <c r="F9" s="1728"/>
      <c r="G9" s="1728"/>
      <c r="H9" s="1728"/>
      <c r="I9" s="1728"/>
      <c r="J9" s="1728"/>
      <c r="K9" s="1728"/>
      <c r="L9" s="1728"/>
      <c r="M9" s="1728"/>
      <c r="N9" s="1728"/>
      <c r="O9" s="1728"/>
      <c r="P9" s="1728"/>
      <c r="Q9" s="1728"/>
      <c r="R9" s="1728"/>
      <c r="S9" s="1728"/>
      <c r="T9" s="1728"/>
      <c r="U9" s="1728"/>
      <c r="V9" s="1729"/>
    </row>
    <row r="10" spans="3:22">
      <c r="C10" s="1727"/>
      <c r="D10" s="1728"/>
      <c r="E10" s="1728"/>
      <c r="F10" s="1728"/>
      <c r="G10" s="1728"/>
      <c r="H10" s="1728"/>
      <c r="I10" s="1728"/>
      <c r="J10" s="1728"/>
      <c r="K10" s="1728"/>
      <c r="L10" s="1728"/>
      <c r="M10" s="1728"/>
      <c r="N10" s="1728"/>
      <c r="O10" s="1728"/>
      <c r="P10" s="1728"/>
      <c r="Q10" s="1728"/>
      <c r="R10" s="1728"/>
      <c r="S10" s="1728"/>
      <c r="T10" s="1728"/>
      <c r="U10" s="1728"/>
      <c r="V10" s="1729"/>
    </row>
    <row r="11" spans="3:22">
      <c r="C11" s="1727"/>
      <c r="D11" s="1728"/>
      <c r="E11" s="1728"/>
      <c r="F11" s="1728"/>
      <c r="G11" s="1728"/>
      <c r="H11" s="1728"/>
      <c r="I11" s="1728"/>
      <c r="J11" s="1728"/>
      <c r="K11" s="1728"/>
      <c r="L11" s="1728"/>
      <c r="M11" s="1728"/>
      <c r="N11" s="1728"/>
      <c r="O11" s="1728"/>
      <c r="P11" s="1728"/>
      <c r="Q11" s="1728"/>
      <c r="R11" s="1728"/>
      <c r="S11" s="1728"/>
      <c r="T11" s="1728"/>
      <c r="U11" s="1728"/>
      <c r="V11" s="1729"/>
    </row>
    <row r="12" spans="3:22">
      <c r="C12" s="1727"/>
      <c r="D12" s="1728"/>
      <c r="E12" s="1728"/>
      <c r="F12" s="1728"/>
      <c r="G12" s="1728"/>
      <c r="H12" s="1728"/>
      <c r="I12" s="1728"/>
      <c r="J12" s="1728"/>
      <c r="K12" s="1728"/>
      <c r="L12" s="1728"/>
      <c r="M12" s="1728"/>
      <c r="N12" s="1728"/>
      <c r="O12" s="1728"/>
      <c r="P12" s="1728"/>
      <c r="Q12" s="1728"/>
      <c r="R12" s="1728"/>
      <c r="S12" s="1728"/>
      <c r="T12" s="1728"/>
      <c r="U12" s="1728"/>
      <c r="V12" s="1729"/>
    </row>
    <row r="13" spans="3:22">
      <c r="C13" s="1727"/>
      <c r="D13" s="1728"/>
      <c r="E13" s="1728"/>
      <c r="F13" s="1728"/>
      <c r="G13" s="1728"/>
      <c r="H13" s="1728"/>
      <c r="I13" s="1728"/>
      <c r="J13" s="1728"/>
      <c r="K13" s="1728"/>
      <c r="L13" s="1728"/>
      <c r="M13" s="1728"/>
      <c r="N13" s="1728"/>
      <c r="O13" s="1728"/>
      <c r="P13" s="1728"/>
      <c r="Q13" s="1728"/>
      <c r="R13" s="1728"/>
      <c r="S13" s="1728"/>
      <c r="T13" s="1728"/>
      <c r="U13" s="1728"/>
      <c r="V13" s="1729"/>
    </row>
    <row r="14" spans="3:22">
      <c r="C14" s="1727"/>
      <c r="D14" s="1728"/>
      <c r="E14" s="1728"/>
      <c r="F14" s="1728"/>
      <c r="G14" s="1728"/>
      <c r="H14" s="1728"/>
      <c r="I14" s="1728"/>
      <c r="J14" s="1728"/>
      <c r="K14" s="1728"/>
      <c r="L14" s="1728"/>
      <c r="M14" s="1728"/>
      <c r="N14" s="1728"/>
      <c r="O14" s="1728"/>
      <c r="P14" s="1728"/>
      <c r="Q14" s="1728"/>
      <c r="R14" s="1728"/>
      <c r="S14" s="1728"/>
      <c r="T14" s="1728"/>
      <c r="U14" s="1728"/>
      <c r="V14" s="1729"/>
    </row>
    <row r="15" spans="3:22">
      <c r="C15" s="1727"/>
      <c r="D15" s="1728"/>
      <c r="E15" s="1728"/>
      <c r="F15" s="1728"/>
      <c r="G15" s="1728"/>
      <c r="H15" s="1728"/>
      <c r="I15" s="1728"/>
      <c r="J15" s="1728"/>
      <c r="K15" s="1728"/>
      <c r="L15" s="1728"/>
      <c r="M15" s="1728"/>
      <c r="N15" s="1728"/>
      <c r="O15" s="1728"/>
      <c r="P15" s="1728"/>
      <c r="Q15" s="1728"/>
      <c r="R15" s="1728"/>
      <c r="S15" s="1728"/>
      <c r="T15" s="1728"/>
      <c r="U15" s="1728"/>
      <c r="V15" s="1729"/>
    </row>
    <row r="16" spans="3:22">
      <c r="C16" s="1727"/>
      <c r="D16" s="1728"/>
      <c r="E16" s="1728"/>
      <c r="F16" s="1728"/>
      <c r="G16" s="1728"/>
      <c r="H16" s="1728"/>
      <c r="I16" s="1728"/>
      <c r="J16" s="1728"/>
      <c r="K16" s="1728"/>
      <c r="L16" s="1728"/>
      <c r="M16" s="1728"/>
      <c r="N16" s="1728"/>
      <c r="O16" s="1728"/>
      <c r="P16" s="1728"/>
      <c r="Q16" s="1728"/>
      <c r="R16" s="1728"/>
      <c r="S16" s="1728"/>
      <c r="T16" s="1728"/>
      <c r="U16" s="1728"/>
      <c r="V16" s="1729"/>
    </row>
    <row r="17" spans="3:22">
      <c r="C17" s="1727"/>
      <c r="D17" s="1728"/>
      <c r="E17" s="1728"/>
      <c r="F17" s="1728"/>
      <c r="G17" s="1728"/>
      <c r="H17" s="1728"/>
      <c r="I17" s="1728"/>
      <c r="J17" s="1728"/>
      <c r="K17" s="1728"/>
      <c r="L17" s="1728"/>
      <c r="M17" s="1728"/>
      <c r="N17" s="1728"/>
      <c r="O17" s="1728"/>
      <c r="P17" s="1728"/>
      <c r="Q17" s="1728"/>
      <c r="R17" s="1728"/>
      <c r="S17" s="1728"/>
      <c r="T17" s="1728"/>
      <c r="U17" s="1728"/>
      <c r="V17" s="1729"/>
    </row>
    <row r="18" spans="3:22">
      <c r="C18" s="1727"/>
      <c r="D18" s="1728"/>
      <c r="E18" s="1728"/>
      <c r="F18" s="1728"/>
      <c r="G18" s="1728"/>
      <c r="H18" s="1728"/>
      <c r="I18" s="1728"/>
      <c r="J18" s="1728"/>
      <c r="K18" s="1728"/>
      <c r="L18" s="1728"/>
      <c r="M18" s="1728"/>
      <c r="N18" s="1728"/>
      <c r="O18" s="1728"/>
      <c r="P18" s="1728"/>
      <c r="Q18" s="1728"/>
      <c r="R18" s="1728"/>
      <c r="S18" s="1728"/>
      <c r="T18" s="1728"/>
      <c r="U18" s="1728"/>
      <c r="V18" s="1729"/>
    </row>
    <row r="19" spans="3:22">
      <c r="C19" s="1727"/>
      <c r="D19" s="1728"/>
      <c r="E19" s="1728"/>
      <c r="F19" s="1728"/>
      <c r="G19" s="1728"/>
      <c r="H19" s="1728"/>
      <c r="I19" s="1728"/>
      <c r="J19" s="1728"/>
      <c r="K19" s="1728"/>
      <c r="L19" s="1728"/>
      <c r="M19" s="1728"/>
      <c r="N19" s="1728"/>
      <c r="O19" s="1728"/>
      <c r="P19" s="1728"/>
      <c r="Q19" s="1728"/>
      <c r="R19" s="1728"/>
      <c r="S19" s="1728"/>
      <c r="T19" s="1728"/>
      <c r="U19" s="1728"/>
      <c r="V19" s="1729"/>
    </row>
    <row r="20" spans="3:22">
      <c r="C20" s="1727"/>
      <c r="D20" s="1728"/>
      <c r="E20" s="1728"/>
      <c r="F20" s="1728"/>
      <c r="G20" s="1728"/>
      <c r="H20" s="1728"/>
      <c r="I20" s="1728"/>
      <c r="J20" s="1728"/>
      <c r="K20" s="1728"/>
      <c r="L20" s="1728"/>
      <c r="M20" s="1728"/>
      <c r="N20" s="1728"/>
      <c r="O20" s="1728"/>
      <c r="P20" s="1728"/>
      <c r="Q20" s="1728"/>
      <c r="R20" s="1728"/>
      <c r="S20" s="1728"/>
      <c r="T20" s="1728"/>
      <c r="U20" s="1728"/>
      <c r="V20" s="1729"/>
    </row>
    <row r="21" spans="3:22">
      <c r="C21" s="1727"/>
      <c r="D21" s="1728"/>
      <c r="E21" s="1728"/>
      <c r="F21" s="1728"/>
      <c r="G21" s="1728"/>
      <c r="H21" s="1728"/>
      <c r="I21" s="1728"/>
      <c r="J21" s="1728"/>
      <c r="K21" s="1728"/>
      <c r="L21" s="1728"/>
      <c r="M21" s="1728"/>
      <c r="N21" s="1728"/>
      <c r="O21" s="1728"/>
      <c r="P21" s="1728"/>
      <c r="Q21" s="1728"/>
      <c r="R21" s="1728"/>
      <c r="S21" s="1728"/>
      <c r="T21" s="1728"/>
      <c r="U21" s="1728"/>
      <c r="V21" s="1729"/>
    </row>
    <row r="22" spans="3:22">
      <c r="C22" s="1727"/>
      <c r="D22" s="1728"/>
      <c r="E22" s="1728"/>
      <c r="F22" s="1728"/>
      <c r="G22" s="1728"/>
      <c r="H22" s="1728"/>
      <c r="I22" s="1728"/>
      <c r="J22" s="1728"/>
      <c r="K22" s="1728"/>
      <c r="L22" s="1728"/>
      <c r="M22" s="1728"/>
      <c r="N22" s="1728"/>
      <c r="O22" s="1728"/>
      <c r="P22" s="1728"/>
      <c r="Q22" s="1728"/>
      <c r="R22" s="1728"/>
      <c r="S22" s="1728"/>
      <c r="T22" s="1728"/>
      <c r="U22" s="1728"/>
      <c r="V22" s="1729"/>
    </row>
    <row r="23" spans="3:22">
      <c r="C23" s="1727"/>
      <c r="D23" s="1728"/>
      <c r="E23" s="1728"/>
      <c r="F23" s="1728"/>
      <c r="G23" s="1728"/>
      <c r="H23" s="1728"/>
      <c r="I23" s="1728"/>
      <c r="J23" s="1728"/>
      <c r="K23" s="1728"/>
      <c r="L23" s="1728"/>
      <c r="M23" s="1728"/>
      <c r="N23" s="1728"/>
      <c r="O23" s="1728"/>
      <c r="P23" s="1728"/>
      <c r="Q23" s="1728"/>
      <c r="R23" s="1728"/>
      <c r="S23" s="1728"/>
      <c r="T23" s="1728"/>
      <c r="U23" s="1728"/>
      <c r="V23" s="1729"/>
    </row>
    <row r="24" spans="3:22">
      <c r="C24" s="1727"/>
      <c r="D24" s="1728"/>
      <c r="E24" s="1728"/>
      <c r="F24" s="1728"/>
      <c r="G24" s="1728"/>
      <c r="H24" s="1728"/>
      <c r="I24" s="1728"/>
      <c r="J24" s="1728"/>
      <c r="K24" s="1728"/>
      <c r="L24" s="1728"/>
      <c r="M24" s="1728"/>
      <c r="N24" s="1728"/>
      <c r="O24" s="1728"/>
      <c r="P24" s="1728"/>
      <c r="Q24" s="1728"/>
      <c r="R24" s="1728"/>
      <c r="S24" s="1728"/>
      <c r="T24" s="1728"/>
      <c r="U24" s="1728"/>
      <c r="V24" s="1729"/>
    </row>
    <row r="25" spans="3:22">
      <c r="C25" s="1727"/>
      <c r="D25" s="1728"/>
      <c r="E25" s="1728"/>
      <c r="F25" s="1728"/>
      <c r="G25" s="1728"/>
      <c r="H25" s="1728"/>
      <c r="I25" s="1728"/>
      <c r="J25" s="1728"/>
      <c r="K25" s="1728"/>
      <c r="L25" s="1728"/>
      <c r="M25" s="1728"/>
      <c r="N25" s="1728"/>
      <c r="O25" s="1728"/>
      <c r="P25" s="1728"/>
      <c r="Q25" s="1728"/>
      <c r="R25" s="1728"/>
      <c r="S25" s="1728"/>
      <c r="T25" s="1728"/>
      <c r="U25" s="1728"/>
      <c r="V25" s="1729"/>
    </row>
    <row r="26" spans="3:22">
      <c r="C26" s="1727"/>
      <c r="D26" s="1728"/>
      <c r="E26" s="1728"/>
      <c r="F26" s="1728"/>
      <c r="G26" s="1728"/>
      <c r="H26" s="1728"/>
      <c r="I26" s="1728"/>
      <c r="J26" s="1728"/>
      <c r="K26" s="1728"/>
      <c r="L26" s="1728"/>
      <c r="M26" s="1728"/>
      <c r="N26" s="1728"/>
      <c r="O26" s="1728"/>
      <c r="P26" s="1728"/>
      <c r="Q26" s="1728"/>
      <c r="R26" s="1728"/>
      <c r="S26" s="1728"/>
      <c r="T26" s="1728"/>
      <c r="U26" s="1728"/>
      <c r="V26" s="1729"/>
    </row>
    <row r="27" spans="3:22">
      <c r="C27" s="1727"/>
      <c r="D27" s="1728"/>
      <c r="E27" s="1728"/>
      <c r="F27" s="1728"/>
      <c r="G27" s="1728"/>
      <c r="H27" s="1728"/>
      <c r="I27" s="1728"/>
      <c r="J27" s="1728"/>
      <c r="K27" s="1728"/>
      <c r="L27" s="1728"/>
      <c r="M27" s="1728"/>
      <c r="N27" s="1728"/>
      <c r="O27" s="1728"/>
      <c r="P27" s="1728"/>
      <c r="Q27" s="1728"/>
      <c r="R27" s="1728"/>
      <c r="S27" s="1728"/>
      <c r="T27" s="1728"/>
      <c r="U27" s="1728"/>
      <c r="V27" s="1729"/>
    </row>
    <row r="28" spans="3:22">
      <c r="C28" s="1727"/>
      <c r="D28" s="1728"/>
      <c r="E28" s="1728"/>
      <c r="F28" s="1728"/>
      <c r="G28" s="1728"/>
      <c r="H28" s="1728"/>
      <c r="I28" s="1728"/>
      <c r="J28" s="1728"/>
      <c r="K28" s="1728"/>
      <c r="L28" s="1728"/>
      <c r="M28" s="1728"/>
      <c r="N28" s="1728"/>
      <c r="O28" s="1728"/>
      <c r="P28" s="1728"/>
      <c r="Q28" s="1728"/>
      <c r="R28" s="1728"/>
      <c r="S28" s="1728"/>
      <c r="T28" s="1728"/>
      <c r="U28" s="1728"/>
      <c r="V28" s="1729"/>
    </row>
    <row r="29" spans="3:22">
      <c r="C29" s="1727"/>
      <c r="D29" s="1728"/>
      <c r="E29" s="1728"/>
      <c r="F29" s="1728"/>
      <c r="G29" s="1728"/>
      <c r="H29" s="1728"/>
      <c r="I29" s="1728"/>
      <c r="J29" s="1728"/>
      <c r="K29" s="1728"/>
      <c r="L29" s="1728"/>
      <c r="M29" s="1728"/>
      <c r="N29" s="1728"/>
      <c r="O29" s="1728"/>
      <c r="P29" s="1728"/>
      <c r="Q29" s="1728"/>
      <c r="R29" s="1728"/>
      <c r="S29" s="1728"/>
      <c r="T29" s="1728"/>
      <c r="U29" s="1728"/>
      <c r="V29" s="1729"/>
    </row>
    <row r="30" spans="3:22">
      <c r="C30" s="1727"/>
      <c r="D30" s="1728"/>
      <c r="E30" s="1728"/>
      <c r="F30" s="1728"/>
      <c r="G30" s="1728"/>
      <c r="H30" s="1728"/>
      <c r="I30" s="1728"/>
      <c r="J30" s="1728"/>
      <c r="K30" s="1728"/>
      <c r="L30" s="1728"/>
      <c r="M30" s="1728"/>
      <c r="N30" s="1728"/>
      <c r="O30" s="1728"/>
      <c r="P30" s="1728"/>
      <c r="Q30" s="1728"/>
      <c r="R30" s="1728"/>
      <c r="S30" s="1728"/>
      <c r="T30" s="1728"/>
      <c r="U30" s="1728"/>
      <c r="V30" s="1729"/>
    </row>
    <row r="31" spans="3:22">
      <c r="C31" s="1727"/>
      <c r="D31" s="1728"/>
      <c r="E31" s="1728"/>
      <c r="F31" s="1728"/>
      <c r="G31" s="1728"/>
      <c r="H31" s="1728"/>
      <c r="I31" s="1728"/>
      <c r="J31" s="1728"/>
      <c r="K31" s="1728"/>
      <c r="L31" s="1728"/>
      <c r="M31" s="1728"/>
      <c r="N31" s="1728"/>
      <c r="O31" s="1728"/>
      <c r="P31" s="1728"/>
      <c r="Q31" s="1728"/>
      <c r="R31" s="1728"/>
      <c r="S31" s="1728"/>
      <c r="T31" s="1728"/>
      <c r="U31" s="1728"/>
      <c r="V31" s="1729"/>
    </row>
    <row r="32" spans="3:22">
      <c r="C32" s="1727"/>
      <c r="D32" s="1728"/>
      <c r="E32" s="1728"/>
      <c r="F32" s="1728"/>
      <c r="G32" s="1728"/>
      <c r="H32" s="1728"/>
      <c r="I32" s="1728"/>
      <c r="J32" s="1728"/>
      <c r="K32" s="1728"/>
      <c r="L32" s="1728"/>
      <c r="M32" s="1728"/>
      <c r="N32" s="1728"/>
      <c r="O32" s="1728"/>
      <c r="P32" s="1728"/>
      <c r="Q32" s="1728"/>
      <c r="R32" s="1728"/>
      <c r="S32" s="1728"/>
      <c r="T32" s="1728"/>
      <c r="U32" s="1728"/>
      <c r="V32" s="1729"/>
    </row>
    <row r="33" spans="3:22">
      <c r="C33" s="1727"/>
      <c r="D33" s="1728"/>
      <c r="E33" s="1728"/>
      <c r="F33" s="1728"/>
      <c r="G33" s="1728"/>
      <c r="H33" s="1728"/>
      <c r="I33" s="1728"/>
      <c r="J33" s="1728"/>
      <c r="K33" s="1728"/>
      <c r="L33" s="1728"/>
      <c r="M33" s="1728"/>
      <c r="N33" s="1728"/>
      <c r="O33" s="1728"/>
      <c r="P33" s="1728"/>
      <c r="Q33" s="1728"/>
      <c r="R33" s="1728"/>
      <c r="S33" s="1728"/>
      <c r="T33" s="1728"/>
      <c r="U33" s="1728"/>
      <c r="V33" s="1729"/>
    </row>
    <row r="34" spans="3:22">
      <c r="C34" s="1727"/>
      <c r="D34" s="1728"/>
      <c r="E34" s="1728"/>
      <c r="F34" s="1728"/>
      <c r="G34" s="1728"/>
      <c r="H34" s="1728"/>
      <c r="I34" s="1728"/>
      <c r="J34" s="1728"/>
      <c r="K34" s="1728"/>
      <c r="L34" s="1728"/>
      <c r="M34" s="1728"/>
      <c r="N34" s="1728"/>
      <c r="O34" s="1728"/>
      <c r="P34" s="1728"/>
      <c r="Q34" s="1728"/>
      <c r="R34" s="1728"/>
      <c r="S34" s="1728"/>
      <c r="T34" s="1728"/>
      <c r="U34" s="1728"/>
      <c r="V34" s="1729"/>
    </row>
    <row r="35" spans="3:22">
      <c r="C35" s="1727"/>
      <c r="D35" s="1728"/>
      <c r="E35" s="1728"/>
      <c r="F35" s="1728"/>
      <c r="G35" s="1728"/>
      <c r="H35" s="1728"/>
      <c r="I35" s="1728"/>
      <c r="J35" s="1728"/>
      <c r="K35" s="1728"/>
      <c r="L35" s="1728"/>
      <c r="M35" s="1728"/>
      <c r="N35" s="1728"/>
      <c r="O35" s="1728"/>
      <c r="P35" s="1728"/>
      <c r="Q35" s="1728"/>
      <c r="R35" s="1728"/>
      <c r="S35" s="1728"/>
      <c r="T35" s="1728"/>
      <c r="U35" s="1728"/>
      <c r="V35" s="1729"/>
    </row>
    <row r="36" spans="3:22">
      <c r="C36" s="1727"/>
      <c r="D36" s="1728"/>
      <c r="E36" s="1728"/>
      <c r="F36" s="1728"/>
      <c r="G36" s="1728"/>
      <c r="H36" s="1728"/>
      <c r="I36" s="1728"/>
      <c r="J36" s="1728"/>
      <c r="K36" s="1728"/>
      <c r="L36" s="1728"/>
      <c r="M36" s="1728"/>
      <c r="N36" s="1728"/>
      <c r="O36" s="1728"/>
      <c r="P36" s="1728"/>
      <c r="Q36" s="1728"/>
      <c r="R36" s="1728"/>
      <c r="S36" s="1728"/>
      <c r="T36" s="1728"/>
      <c r="U36" s="1728"/>
      <c r="V36" s="1729"/>
    </row>
    <row r="37" spans="3:22">
      <c r="C37" s="1727"/>
      <c r="D37" s="1728"/>
      <c r="E37" s="1728"/>
      <c r="F37" s="1728"/>
      <c r="G37" s="1728"/>
      <c r="H37" s="1728"/>
      <c r="I37" s="1728"/>
      <c r="J37" s="1728"/>
      <c r="K37" s="1728"/>
      <c r="L37" s="1728"/>
      <c r="M37" s="1728"/>
      <c r="N37" s="1728"/>
      <c r="O37" s="1728"/>
      <c r="P37" s="1728"/>
      <c r="Q37" s="1728"/>
      <c r="R37" s="1728"/>
      <c r="S37" s="1728"/>
      <c r="T37" s="1728"/>
      <c r="U37" s="1728"/>
      <c r="V37" s="1729"/>
    </row>
    <row r="38" spans="3:22">
      <c r="C38" s="1727"/>
      <c r="D38" s="1728"/>
      <c r="E38" s="1728"/>
      <c r="F38" s="1728"/>
      <c r="G38" s="1728"/>
      <c r="H38" s="1728"/>
      <c r="I38" s="1728"/>
      <c r="J38" s="1728"/>
      <c r="K38" s="1728"/>
      <c r="L38" s="1728"/>
      <c r="M38" s="1728"/>
      <c r="N38" s="1728"/>
      <c r="O38" s="1728"/>
      <c r="P38" s="1728"/>
      <c r="Q38" s="1728"/>
      <c r="R38" s="1728"/>
      <c r="S38" s="1728"/>
      <c r="T38" s="1728"/>
      <c r="U38" s="1728"/>
      <c r="V38" s="1729"/>
    </row>
    <row r="39" spans="3:22">
      <c r="C39" s="1727"/>
      <c r="D39" s="1728"/>
      <c r="E39" s="1728"/>
      <c r="F39" s="1728"/>
      <c r="G39" s="1728"/>
      <c r="H39" s="1728"/>
      <c r="I39" s="1728"/>
      <c r="J39" s="1728"/>
      <c r="K39" s="1728"/>
      <c r="L39" s="1728"/>
      <c r="M39" s="1728"/>
      <c r="N39" s="1728"/>
      <c r="O39" s="1728"/>
      <c r="P39" s="1728"/>
      <c r="Q39" s="1728"/>
      <c r="R39" s="1728"/>
      <c r="S39" s="1728"/>
      <c r="T39" s="1728"/>
      <c r="U39" s="1728"/>
      <c r="V39" s="1729"/>
    </row>
    <row r="40" spans="3:22" ht="15.75" thickBot="1">
      <c r="C40" s="1724"/>
      <c r="D40" s="1725"/>
      <c r="E40" s="1725"/>
      <c r="F40" s="1725"/>
      <c r="G40" s="1725"/>
      <c r="H40" s="1725"/>
      <c r="I40" s="1725"/>
      <c r="J40" s="1725"/>
      <c r="K40" s="1725"/>
      <c r="L40" s="1725"/>
      <c r="M40" s="1725"/>
      <c r="N40" s="1725"/>
      <c r="O40" s="1725"/>
      <c r="P40" s="1725"/>
      <c r="Q40" s="1725"/>
      <c r="R40" s="1725"/>
      <c r="S40" s="1725"/>
      <c r="T40" s="1725"/>
      <c r="U40" s="1725"/>
      <c r="V40" s="1726"/>
    </row>
  </sheetData>
  <mergeCells count="4">
    <mergeCell ref="C2:V3"/>
    <mergeCell ref="C5:H7"/>
    <mergeCell ref="J5:O7"/>
    <mergeCell ref="Q5:V7"/>
  </mergeCells>
  <pageMargins left="0.7" right="0.7" top="0.75" bottom="0.75" header="0.3" footer="0.3"/>
  <drawing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D7D52-C8CF-4B13-9486-D2F559521450}">
  <sheetPr codeName="Sheet45">
    <tabColor theme="9" tint="0.39997558519241921"/>
  </sheetPr>
  <dimension ref="A1:AX521"/>
  <sheetViews>
    <sheetView zoomScale="96" zoomScaleNormal="96" workbookViewId="0">
      <selection activeCell="O42" sqref="O42"/>
    </sheetView>
  </sheetViews>
  <sheetFormatPr defaultColWidth="9.14453125" defaultRowHeight="10.5"/>
  <cols>
    <col min="1" max="1" width="2.95703125" style="2" customWidth="1"/>
    <col min="2" max="2" width="26.5" style="2" bestFit="1" customWidth="1"/>
    <col min="3" max="3" width="9.14453125" style="2"/>
    <col min="4" max="4" width="16.0078125" style="2" bestFit="1" customWidth="1"/>
    <col min="5" max="5" width="2.28515625" style="2" customWidth="1"/>
    <col min="6" max="6" width="1.8828125" style="2" customWidth="1"/>
    <col min="7" max="7" width="2.28515625" style="2" customWidth="1"/>
    <col min="8" max="8" width="14.9296875" style="2" customWidth="1"/>
    <col min="9" max="9" width="8.875" style="2" customWidth="1"/>
    <col min="10" max="10" width="12.9140625" style="2" bestFit="1" customWidth="1"/>
    <col min="11" max="27" width="13.85546875" style="2" bestFit="1" customWidth="1"/>
    <col min="28" max="35" width="15.06640625" style="2" bestFit="1" customWidth="1"/>
    <col min="36" max="49" width="14.390625" style="2" customWidth="1"/>
    <col min="50" max="16384" width="9.14453125" style="2"/>
  </cols>
  <sheetData>
    <row r="1" spans="1:49" s="3265" customFormat="1" ht="14.25">
      <c r="A1" s="3259" t="s">
        <v>672</v>
      </c>
      <c r="B1" s="3260"/>
      <c r="C1" s="3260"/>
      <c r="D1" s="3260"/>
      <c r="E1" s="3260"/>
      <c r="F1" s="3260"/>
      <c r="G1" s="3260"/>
      <c r="H1" s="3260"/>
      <c r="I1" s="3260"/>
      <c r="J1" s="3260"/>
      <c r="K1" s="3260"/>
      <c r="L1" s="3260"/>
      <c r="M1" s="3260"/>
      <c r="N1" s="3260"/>
      <c r="O1" s="3260"/>
      <c r="P1" s="3260"/>
      <c r="Q1" s="3260"/>
      <c r="R1" s="3260"/>
      <c r="S1" s="3260"/>
      <c r="T1" s="3260"/>
      <c r="U1" s="3260"/>
      <c r="V1" s="3260"/>
      <c r="W1" s="3260"/>
      <c r="X1" s="3260"/>
      <c r="Y1" s="3260"/>
      <c r="Z1" s="3260"/>
      <c r="AA1" s="3260"/>
      <c r="AB1" s="3260"/>
      <c r="AC1" s="3260"/>
      <c r="AD1" s="3260"/>
      <c r="AE1" s="3260"/>
      <c r="AF1" s="3260"/>
      <c r="AG1" s="3260"/>
      <c r="AH1" s="3260"/>
      <c r="AI1" s="3260"/>
      <c r="AJ1" s="3260"/>
      <c r="AK1" s="3260"/>
      <c r="AL1" s="3260"/>
      <c r="AM1" s="3260"/>
      <c r="AN1" s="3260"/>
      <c r="AO1" s="3260"/>
      <c r="AP1" s="3260"/>
      <c r="AQ1" s="3260"/>
      <c r="AR1" s="3260"/>
      <c r="AS1" s="3260"/>
      <c r="AT1" s="3260"/>
      <c r="AU1" s="3260"/>
      <c r="AV1" s="3260"/>
      <c r="AW1" s="3260"/>
    </row>
    <row r="2" spans="1:49" s="135" customFormat="1" ht="11.25">
      <c r="A2" s="2711" t="s">
        <v>2398</v>
      </c>
      <c r="B2" s="2711"/>
      <c r="C2" s="2704"/>
      <c r="D2" s="2704"/>
      <c r="E2" s="2704"/>
      <c r="F2" s="2704"/>
      <c r="G2" s="2704"/>
      <c r="H2" s="2704" t="s">
        <v>0</v>
      </c>
      <c r="I2" s="2714">
        <f>'Timing &amp; Flags'!I2</f>
        <v>1</v>
      </c>
      <c r="J2" s="2714">
        <f>'Timing &amp; Flags'!J2</f>
        <v>2</v>
      </c>
      <c r="K2" s="2714">
        <f>'Timing &amp; Flags'!K2</f>
        <v>3</v>
      </c>
      <c r="L2" s="2714">
        <f>'Timing &amp; Flags'!L2</f>
        <v>4</v>
      </c>
      <c r="M2" s="2714">
        <f>'Timing &amp; Flags'!M2</f>
        <v>5</v>
      </c>
      <c r="N2" s="2714">
        <f>'Timing &amp; Flags'!N2</f>
        <v>6</v>
      </c>
      <c r="O2" s="2714">
        <f>'Timing &amp; Flags'!O2</f>
        <v>7</v>
      </c>
      <c r="P2" s="2714">
        <f>'Timing &amp; Flags'!P2</f>
        <v>8</v>
      </c>
      <c r="Q2" s="2714">
        <f>'Timing &amp; Flags'!Q2</f>
        <v>9</v>
      </c>
      <c r="R2" s="2714">
        <f>'Timing &amp; Flags'!R2</f>
        <v>10</v>
      </c>
      <c r="S2" s="2714">
        <f>'Timing &amp; Flags'!S2</f>
        <v>11</v>
      </c>
      <c r="T2" s="2714">
        <f>'Timing &amp; Flags'!T2</f>
        <v>12</v>
      </c>
      <c r="U2" s="2714">
        <f>'Timing &amp; Flags'!U2</f>
        <v>13</v>
      </c>
      <c r="V2" s="2714">
        <f>'Timing &amp; Flags'!V2</f>
        <v>14</v>
      </c>
      <c r="W2" s="2714">
        <f>'Timing &amp; Flags'!W2</f>
        <v>15</v>
      </c>
      <c r="X2" s="2714">
        <f>'Timing &amp; Flags'!X2</f>
        <v>16</v>
      </c>
      <c r="Y2" s="2714">
        <f>'Timing &amp; Flags'!Y2</f>
        <v>17</v>
      </c>
      <c r="Z2" s="2714">
        <f>'Timing &amp; Flags'!Z2</f>
        <v>18</v>
      </c>
      <c r="AA2" s="2714">
        <f>'Timing &amp; Flags'!AA2</f>
        <v>19</v>
      </c>
      <c r="AB2" s="2714">
        <f>'Timing &amp; Flags'!AB2</f>
        <v>20</v>
      </c>
      <c r="AC2" s="2714">
        <f>'Timing &amp; Flags'!AC2</f>
        <v>21</v>
      </c>
      <c r="AD2" s="2714">
        <f>'Timing &amp; Flags'!AD2</f>
        <v>22</v>
      </c>
      <c r="AE2" s="2714">
        <f>'Timing &amp; Flags'!AE2</f>
        <v>23</v>
      </c>
      <c r="AF2" s="2714">
        <f>'Timing &amp; Flags'!AF2</f>
        <v>24</v>
      </c>
      <c r="AG2" s="2714">
        <f>'Timing &amp; Flags'!AG2</f>
        <v>25</v>
      </c>
      <c r="AH2" s="2714">
        <f>'Timing &amp; Flags'!AH2</f>
        <v>26</v>
      </c>
      <c r="AI2" s="2714">
        <f>'Timing &amp; Flags'!AI2</f>
        <v>27</v>
      </c>
      <c r="AJ2" s="2714">
        <f>'Timing &amp; Flags'!AJ2</f>
        <v>28</v>
      </c>
      <c r="AK2" s="2714">
        <f>'Timing &amp; Flags'!AK2</f>
        <v>29</v>
      </c>
      <c r="AL2" s="2714">
        <f>'Timing &amp; Flags'!AL2</f>
        <v>30</v>
      </c>
      <c r="AM2" s="2714"/>
      <c r="AN2" s="2714"/>
      <c r="AO2" s="2714"/>
      <c r="AP2" s="2714"/>
      <c r="AQ2" s="2714"/>
      <c r="AR2" s="2714"/>
      <c r="AS2" s="2714"/>
      <c r="AT2" s="2714"/>
      <c r="AU2" s="2714"/>
      <c r="AV2" s="2714"/>
      <c r="AW2" s="2714"/>
    </row>
    <row r="3" spans="1:49" s="135" customFormat="1" ht="11.25">
      <c r="A3" s="2711" t="s">
        <v>673</v>
      </c>
      <c r="B3" s="2704"/>
      <c r="C3" s="2704"/>
      <c r="D3" s="2704"/>
      <c r="E3" s="2704"/>
      <c r="F3" s="2704"/>
      <c r="G3" s="2704"/>
      <c r="H3" s="2704" t="s">
        <v>1</v>
      </c>
      <c r="I3" s="2719">
        <f>'Timing &amp; Flags'!I3</f>
        <v>46023</v>
      </c>
      <c r="J3" s="2719">
        <f>'Timing &amp; Flags'!J3</f>
        <v>46388</v>
      </c>
      <c r="K3" s="2719">
        <f>'Timing &amp; Flags'!K3</f>
        <v>46753</v>
      </c>
      <c r="L3" s="2719">
        <f>'Timing &amp; Flags'!L3</f>
        <v>47119</v>
      </c>
      <c r="M3" s="2719">
        <f>'Timing &amp; Flags'!M3</f>
        <v>47484</v>
      </c>
      <c r="N3" s="2719">
        <f>'Timing &amp; Flags'!N3</f>
        <v>47849</v>
      </c>
      <c r="O3" s="2719">
        <f>'Timing &amp; Flags'!O3</f>
        <v>48214</v>
      </c>
      <c r="P3" s="2719">
        <f>'Timing &amp; Flags'!P3</f>
        <v>48580</v>
      </c>
      <c r="Q3" s="2719">
        <f>'Timing &amp; Flags'!Q3</f>
        <v>48945</v>
      </c>
      <c r="R3" s="2719">
        <f>'Timing &amp; Flags'!R3</f>
        <v>49310</v>
      </c>
      <c r="S3" s="2719">
        <f>'Timing &amp; Flags'!S3</f>
        <v>49675</v>
      </c>
      <c r="T3" s="2719">
        <f>'Timing &amp; Flags'!T3</f>
        <v>50041</v>
      </c>
      <c r="U3" s="2719">
        <f>'Timing &amp; Flags'!U3</f>
        <v>50406</v>
      </c>
      <c r="V3" s="2719">
        <f>'Timing &amp; Flags'!V3</f>
        <v>50771</v>
      </c>
      <c r="W3" s="2719">
        <f>'Timing &amp; Flags'!W3</f>
        <v>51136</v>
      </c>
      <c r="X3" s="2719">
        <f>'Timing &amp; Flags'!X3</f>
        <v>51502</v>
      </c>
      <c r="Y3" s="2719">
        <f>'Timing &amp; Flags'!Y3</f>
        <v>51867</v>
      </c>
      <c r="Z3" s="2719">
        <f>'Timing &amp; Flags'!Z3</f>
        <v>52232</v>
      </c>
      <c r="AA3" s="2719">
        <f>'Timing &amp; Flags'!AA3</f>
        <v>52597</v>
      </c>
      <c r="AB3" s="2719">
        <f>'Timing &amp; Flags'!AB3</f>
        <v>52963</v>
      </c>
      <c r="AC3" s="2719">
        <f>'Timing &amp; Flags'!AC3</f>
        <v>53328</v>
      </c>
      <c r="AD3" s="2719">
        <f>'Timing &amp; Flags'!AD3</f>
        <v>53693</v>
      </c>
      <c r="AE3" s="2719">
        <f>'Timing &amp; Flags'!AE3</f>
        <v>54058</v>
      </c>
      <c r="AF3" s="2719">
        <f>'Timing &amp; Flags'!AF3</f>
        <v>54424</v>
      </c>
      <c r="AG3" s="2719">
        <f>'Timing &amp; Flags'!AG3</f>
        <v>54789</v>
      </c>
      <c r="AH3" s="2719">
        <f>'Timing &amp; Flags'!AH3</f>
        <v>55154</v>
      </c>
      <c r="AI3" s="2719">
        <f>'Timing &amp; Flags'!AI3</f>
        <v>55519</v>
      </c>
      <c r="AJ3" s="2719">
        <f>'Timing &amp; Flags'!AJ3</f>
        <v>55885</v>
      </c>
      <c r="AK3" s="2719">
        <f>'Timing &amp; Flags'!AK3</f>
        <v>56250</v>
      </c>
      <c r="AL3" s="2719">
        <f>'Timing &amp; Flags'!AL3</f>
        <v>56615</v>
      </c>
      <c r="AM3" s="2719"/>
      <c r="AN3" s="2719"/>
      <c r="AO3" s="2719"/>
      <c r="AP3" s="2719"/>
      <c r="AQ3" s="2719"/>
      <c r="AR3" s="2719"/>
      <c r="AS3" s="2719"/>
      <c r="AT3" s="2719"/>
      <c r="AU3" s="2719"/>
      <c r="AV3" s="2719"/>
      <c r="AW3" s="2719"/>
    </row>
    <row r="4" spans="1:49" s="135" customFormat="1" ht="11.25">
      <c r="A4" s="2704" t="s">
        <v>849</v>
      </c>
      <c r="B4" s="2704"/>
      <c r="C4" s="2704"/>
      <c r="D4" s="2704"/>
      <c r="E4" s="2704"/>
      <c r="F4" s="2704"/>
      <c r="G4" s="2704"/>
      <c r="H4" s="2704" t="s">
        <v>2</v>
      </c>
      <c r="I4" s="2722">
        <f>'Timing &amp; Flags'!I4</f>
        <v>46387</v>
      </c>
      <c r="J4" s="2722">
        <f>'Timing &amp; Flags'!J4</f>
        <v>46752</v>
      </c>
      <c r="K4" s="2722">
        <f>'Timing &amp; Flags'!K4</f>
        <v>47118</v>
      </c>
      <c r="L4" s="2722">
        <f>'Timing &amp; Flags'!L4</f>
        <v>47483</v>
      </c>
      <c r="M4" s="2722">
        <f>'Timing &amp; Flags'!M4</f>
        <v>47848</v>
      </c>
      <c r="N4" s="2722">
        <f>'Timing &amp; Flags'!N4</f>
        <v>48213</v>
      </c>
      <c r="O4" s="2722">
        <f>'Timing &amp; Flags'!O4</f>
        <v>48579</v>
      </c>
      <c r="P4" s="2722">
        <f>'Timing &amp; Flags'!P4</f>
        <v>48944</v>
      </c>
      <c r="Q4" s="2722">
        <f>'Timing &amp; Flags'!Q4</f>
        <v>49309</v>
      </c>
      <c r="R4" s="2722">
        <f>'Timing &amp; Flags'!R4</f>
        <v>49674</v>
      </c>
      <c r="S4" s="2722">
        <f>'Timing &amp; Flags'!S4</f>
        <v>50040</v>
      </c>
      <c r="T4" s="2722">
        <f>'Timing &amp; Flags'!T4</f>
        <v>50405</v>
      </c>
      <c r="U4" s="2722">
        <f>'Timing &amp; Flags'!U4</f>
        <v>50770</v>
      </c>
      <c r="V4" s="2722">
        <f>'Timing &amp; Flags'!V4</f>
        <v>51135</v>
      </c>
      <c r="W4" s="2722">
        <f>'Timing &amp; Flags'!W4</f>
        <v>51501</v>
      </c>
      <c r="X4" s="2722">
        <f>'Timing &amp; Flags'!X4</f>
        <v>51866</v>
      </c>
      <c r="Y4" s="2722">
        <f>'Timing &amp; Flags'!Y4</f>
        <v>52231</v>
      </c>
      <c r="Z4" s="2722">
        <f>'Timing &amp; Flags'!Z4</f>
        <v>52596</v>
      </c>
      <c r="AA4" s="2722">
        <f>'Timing &amp; Flags'!AA4</f>
        <v>52962</v>
      </c>
      <c r="AB4" s="2722">
        <f>'Timing &amp; Flags'!AB4</f>
        <v>53327</v>
      </c>
      <c r="AC4" s="2722">
        <f>'Timing &amp; Flags'!AC4</f>
        <v>53692</v>
      </c>
      <c r="AD4" s="2722">
        <f>'Timing &amp; Flags'!AD4</f>
        <v>54057</v>
      </c>
      <c r="AE4" s="2722">
        <f>'Timing &amp; Flags'!AE4</f>
        <v>54423</v>
      </c>
      <c r="AF4" s="2722">
        <f>'Timing &amp; Flags'!AF4</f>
        <v>54788</v>
      </c>
      <c r="AG4" s="2722">
        <f>'Timing &amp; Flags'!AG4</f>
        <v>55153</v>
      </c>
      <c r="AH4" s="2722">
        <f>'Timing &amp; Flags'!AH4</f>
        <v>55518</v>
      </c>
      <c r="AI4" s="2722">
        <f>'Timing &amp; Flags'!AI4</f>
        <v>55884</v>
      </c>
      <c r="AJ4" s="2722">
        <f>'Timing &amp; Flags'!AJ4</f>
        <v>56249</v>
      </c>
      <c r="AK4" s="2722">
        <f>'Timing &amp; Flags'!AK4</f>
        <v>56614</v>
      </c>
      <c r="AL4" s="2722">
        <f>'Timing &amp; Flags'!AL4</f>
        <v>56979</v>
      </c>
      <c r="AM4" s="2722"/>
      <c r="AN4" s="2722"/>
      <c r="AO4" s="2722"/>
      <c r="AP4" s="2722"/>
      <c r="AQ4" s="2722"/>
      <c r="AR4" s="2722"/>
      <c r="AS4" s="2722"/>
      <c r="AT4" s="2722"/>
      <c r="AU4" s="2722"/>
      <c r="AV4" s="2722"/>
      <c r="AW4" s="2722"/>
    </row>
    <row r="5" spans="1:49" s="135" customFormat="1" ht="11.25">
      <c r="A5" s="2704" t="s">
        <v>640</v>
      </c>
      <c r="B5" s="2704"/>
      <c r="C5" s="2704"/>
      <c r="D5" s="2704"/>
      <c r="E5" s="2704"/>
      <c r="F5" s="2704"/>
      <c r="G5" s="2704"/>
      <c r="H5" s="2704" t="s">
        <v>3</v>
      </c>
      <c r="I5" s="2723">
        <f ca="1">'Timing &amp; Flags'!I5</f>
        <v>365</v>
      </c>
      <c r="J5" s="2723">
        <f ca="1">'Timing &amp; Flags'!J5</f>
        <v>366</v>
      </c>
      <c r="K5" s="2723">
        <f ca="1">'Timing &amp; Flags'!K5</f>
        <v>365</v>
      </c>
      <c r="L5" s="2723">
        <f ca="1">'Timing &amp; Flags'!L5</f>
        <v>365</v>
      </c>
      <c r="M5" s="2723">
        <f ca="1">'Timing &amp; Flags'!M5</f>
        <v>365</v>
      </c>
      <c r="N5" s="2723">
        <f ca="1">'Timing &amp; Flags'!N5</f>
        <v>366</v>
      </c>
      <c r="O5" s="2723">
        <f ca="1">'Timing &amp; Flags'!O5</f>
        <v>365</v>
      </c>
      <c r="P5" s="2723">
        <f ca="1">'Timing &amp; Flags'!P5</f>
        <v>365</v>
      </c>
      <c r="Q5" s="2723">
        <f ca="1">'Timing &amp; Flags'!Q5</f>
        <v>365</v>
      </c>
      <c r="R5" s="2723">
        <f ca="1">'Timing &amp; Flags'!R5</f>
        <v>366</v>
      </c>
      <c r="S5" s="2723">
        <f ca="1">'Timing &amp; Flags'!S5</f>
        <v>365</v>
      </c>
      <c r="T5" s="2723">
        <f ca="1">'Timing &amp; Flags'!T5</f>
        <v>365</v>
      </c>
      <c r="U5" s="2723">
        <f ca="1">'Timing &amp; Flags'!U5</f>
        <v>365</v>
      </c>
      <c r="V5" s="2723">
        <f ca="1">'Timing &amp; Flags'!V5</f>
        <v>366</v>
      </c>
      <c r="W5" s="2723">
        <f ca="1">'Timing &amp; Flags'!W5</f>
        <v>365</v>
      </c>
      <c r="X5" s="2723">
        <f ca="1">'Timing &amp; Flags'!X5</f>
        <v>365</v>
      </c>
      <c r="Y5" s="2723">
        <f ca="1">'Timing &amp; Flags'!Y5</f>
        <v>365</v>
      </c>
      <c r="Z5" s="2723">
        <f ca="1">'Timing &amp; Flags'!Z5</f>
        <v>366</v>
      </c>
      <c r="AA5" s="2723">
        <f ca="1">'Timing &amp; Flags'!AA5</f>
        <v>365</v>
      </c>
      <c r="AB5" s="2723">
        <f ca="1">'Timing &amp; Flags'!AB5</f>
        <v>365</v>
      </c>
      <c r="AC5" s="2723">
        <f ca="1">'Timing &amp; Flags'!AC5</f>
        <v>365</v>
      </c>
      <c r="AD5" s="2723">
        <f ca="1">'Timing &amp; Flags'!AD5</f>
        <v>366</v>
      </c>
      <c r="AE5" s="2723">
        <f ca="1">'Timing &amp; Flags'!AE5</f>
        <v>365</v>
      </c>
      <c r="AF5" s="2723">
        <f ca="1">'Timing &amp; Flags'!AF5</f>
        <v>365</v>
      </c>
      <c r="AG5" s="2723">
        <f ca="1">'Timing &amp; Flags'!AG5</f>
        <v>365</v>
      </c>
      <c r="AH5" s="2723">
        <f ca="1">'Timing &amp; Flags'!AH5</f>
        <v>366</v>
      </c>
      <c r="AI5" s="2723">
        <f ca="1">'Timing &amp; Flags'!AI5</f>
        <v>365</v>
      </c>
      <c r="AJ5" s="2723">
        <f ca="1">'Timing &amp; Flags'!AJ5</f>
        <v>365</v>
      </c>
      <c r="AK5" s="2723">
        <f ca="1">'Timing &amp; Flags'!AK5</f>
        <v>365</v>
      </c>
      <c r="AL5" s="2723">
        <f ca="1">'Timing &amp; Flags'!AL5</f>
        <v>365</v>
      </c>
      <c r="AM5" s="2723"/>
      <c r="AN5" s="2723"/>
      <c r="AO5" s="2723"/>
      <c r="AP5" s="2723"/>
      <c r="AQ5" s="2723"/>
      <c r="AR5" s="2723"/>
      <c r="AS5" s="2723"/>
      <c r="AT5" s="2723"/>
      <c r="AU5" s="2723"/>
      <c r="AV5" s="2723"/>
      <c r="AW5" s="2723"/>
    </row>
    <row r="6" spans="1:49">
      <c r="A6" s="53"/>
      <c r="B6" s="53"/>
      <c r="C6" s="191"/>
      <c r="D6" s="191"/>
      <c r="E6" s="191"/>
      <c r="F6" s="191"/>
      <c r="G6" s="191"/>
      <c r="H6" s="191"/>
      <c r="I6" s="191"/>
      <c r="J6" s="191"/>
      <c r="K6" s="191"/>
      <c r="L6" s="191"/>
      <c r="M6" s="191"/>
      <c r="N6" s="191"/>
      <c r="O6" s="191"/>
      <c r="P6" s="191"/>
      <c r="Q6" s="191"/>
      <c r="R6" s="191"/>
      <c r="S6" s="191"/>
      <c r="T6" s="191"/>
      <c r="U6" s="191"/>
      <c r="V6" s="191"/>
      <c r="W6" s="191"/>
      <c r="X6" s="191"/>
      <c r="Y6" s="191"/>
      <c r="Z6" s="191"/>
      <c r="AA6" s="191"/>
      <c r="AB6" s="191"/>
      <c r="AC6" s="191"/>
      <c r="AD6" s="191"/>
      <c r="AE6" s="191"/>
      <c r="AF6" s="191"/>
      <c r="AG6" s="191"/>
      <c r="AH6" s="191"/>
      <c r="AI6" s="191"/>
      <c r="AJ6" s="191"/>
    </row>
    <row r="7" spans="1:49">
      <c r="A7" s="53"/>
      <c r="B7" s="1553" t="s">
        <v>1684</v>
      </c>
      <c r="C7" s="194" t="s">
        <v>929</v>
      </c>
      <c r="D7" s="191"/>
      <c r="E7" s="191"/>
      <c r="F7" s="191"/>
      <c r="G7" s="191"/>
      <c r="H7" s="191"/>
      <c r="I7" s="191">
        <f>'Assumption '!M145</f>
        <v>0</v>
      </c>
      <c r="J7" s="191">
        <f>'Assumption '!N145</f>
        <v>975000</v>
      </c>
      <c r="K7" s="191">
        <f ca="1">'Assumption '!O145</f>
        <v>1868750</v>
      </c>
      <c r="L7" s="191">
        <f ca="1">'Assumption '!P145</f>
        <v>2237500</v>
      </c>
      <c r="M7" s="191">
        <f ca="1">'Assumption '!Q145</f>
        <v>2375000</v>
      </c>
      <c r="N7" s="191">
        <f ca="1">'Assumption '!R145</f>
        <v>2375000</v>
      </c>
      <c r="O7" s="191">
        <f ca="1">'Assumption '!S145</f>
        <v>2375000</v>
      </c>
      <c r="P7" s="191">
        <f ca="1">'Assumption '!T145</f>
        <v>2375000</v>
      </c>
      <c r="Q7" s="191">
        <f ca="1">'Assumption '!U145</f>
        <v>2375000</v>
      </c>
      <c r="R7" s="191">
        <f ca="1">'Assumption '!V145</f>
        <v>2375000</v>
      </c>
      <c r="S7" s="191">
        <f ca="1">'Assumption '!W145</f>
        <v>2375000</v>
      </c>
      <c r="T7" s="191">
        <f ca="1">'Assumption '!X145</f>
        <v>2375000</v>
      </c>
      <c r="U7" s="191">
        <f ca="1">'Assumption '!Y145</f>
        <v>2375000</v>
      </c>
      <c r="V7" s="191">
        <f ca="1">'Assumption '!Z145</f>
        <v>2375000</v>
      </c>
      <c r="W7" s="191">
        <f ca="1">'Assumption '!AA145</f>
        <v>2375000</v>
      </c>
      <c r="X7" s="191">
        <f ca="1">'Assumption '!AB145</f>
        <v>2375000</v>
      </c>
      <c r="Y7" s="191">
        <f ca="1">'Assumption '!AC145</f>
        <v>2375000</v>
      </c>
      <c r="Z7" s="191">
        <f ca="1">'Assumption '!AD145</f>
        <v>2375000</v>
      </c>
      <c r="AA7" s="191">
        <f ca="1">'Assumption '!AE145</f>
        <v>2375000</v>
      </c>
      <c r="AB7" s="191">
        <f ca="1">'Assumption '!AF145</f>
        <v>2375000</v>
      </c>
      <c r="AC7" s="191">
        <f ca="1">'Assumption '!AG145</f>
        <v>2375000</v>
      </c>
      <c r="AD7" s="191">
        <f ca="1">'Assumption '!AH145</f>
        <v>2375000</v>
      </c>
      <c r="AE7" s="191">
        <f ca="1">'Assumption '!AI145</f>
        <v>2375000</v>
      </c>
      <c r="AF7" s="191">
        <f ca="1">'Assumption '!AJ145</f>
        <v>2375000</v>
      </c>
      <c r="AG7" s="191">
        <f ca="1">'Assumption '!AK145</f>
        <v>2375000</v>
      </c>
      <c r="AH7" s="191">
        <f ca="1">'Assumption '!AL145</f>
        <v>2375000</v>
      </c>
      <c r="AI7" s="191">
        <f ca="1">'Assumption '!AM145</f>
        <v>2375000</v>
      </c>
      <c r="AJ7" s="191">
        <f ca="1">'Assumption '!AN145</f>
        <v>2375000</v>
      </c>
      <c r="AK7" s="191">
        <f ca="1">'Assumption '!AO145</f>
        <v>2375000</v>
      </c>
      <c r="AL7" s="191">
        <f ca="1">'Assumption '!AP145</f>
        <v>2375000</v>
      </c>
      <c r="AM7" s="191"/>
      <c r="AN7" s="191"/>
      <c r="AO7" s="191"/>
      <c r="AP7" s="191"/>
      <c r="AQ7" s="191"/>
      <c r="AR7" s="191"/>
      <c r="AS7" s="191"/>
      <c r="AT7" s="191"/>
      <c r="AU7" s="191"/>
      <c r="AV7" s="191"/>
      <c r="AW7" s="191"/>
    </row>
    <row r="8" spans="1:49">
      <c r="A8" s="53"/>
      <c r="B8" s="1536"/>
      <c r="C8" s="194"/>
      <c r="D8" s="191"/>
      <c r="E8" s="191"/>
      <c r="F8" s="191"/>
      <c r="G8" s="191"/>
      <c r="H8" s="191"/>
      <c r="I8" s="191"/>
      <c r="J8" s="191"/>
      <c r="K8" s="191"/>
      <c r="L8" s="191"/>
      <c r="M8" s="191"/>
      <c r="N8" s="191"/>
      <c r="O8" s="191"/>
      <c r="P8" s="191"/>
      <c r="Q8" s="191"/>
      <c r="R8" s="191"/>
      <c r="S8" s="191"/>
      <c r="T8" s="191"/>
      <c r="U8" s="191"/>
      <c r="V8" s="191"/>
      <c r="W8" s="191"/>
      <c r="X8" s="191"/>
      <c r="Y8" s="191"/>
      <c r="Z8" s="191"/>
      <c r="AA8" s="191"/>
      <c r="AB8" s="191"/>
      <c r="AC8" s="191"/>
      <c r="AD8" s="191"/>
      <c r="AE8" s="191"/>
      <c r="AF8" s="191"/>
      <c r="AG8" s="191"/>
      <c r="AH8" s="191"/>
      <c r="AI8" s="191"/>
      <c r="AJ8" s="191"/>
      <c r="AK8" s="191"/>
      <c r="AL8" s="191"/>
      <c r="AM8" s="191"/>
      <c r="AN8" s="191"/>
      <c r="AO8" s="191"/>
      <c r="AP8" s="191"/>
      <c r="AQ8" s="191"/>
      <c r="AR8" s="191"/>
      <c r="AS8" s="191"/>
      <c r="AT8" s="191"/>
      <c r="AU8" s="191"/>
      <c r="AV8" s="191"/>
      <c r="AW8" s="191"/>
    </row>
    <row r="9" spans="1:49">
      <c r="A9" s="190"/>
      <c r="B9" s="2" t="s">
        <v>124</v>
      </c>
      <c r="C9" s="194" t="str">
        <f>IF('Input '!$F$9=1,"US$","=N=")</f>
        <v>US$</v>
      </c>
      <c r="D9" s="191">
        <f>SUM(I9:AW9)</f>
        <v>0</v>
      </c>
      <c r="E9" s="191"/>
      <c r="F9" s="191"/>
      <c r="G9" s="191"/>
      <c r="H9" s="191"/>
      <c r="I9" s="191">
        <f>'Rev &amp; Receivables'!J143</f>
        <v>0</v>
      </c>
      <c r="J9" s="191">
        <f>'Rev &amp; Receivables'!K143</f>
        <v>0</v>
      </c>
      <c r="K9" s="191">
        <f>'Rev &amp; Receivables'!L143</f>
        <v>0</v>
      </c>
      <c r="L9" s="1531">
        <f>'Rev &amp; Receivables'!M143</f>
        <v>0</v>
      </c>
      <c r="M9" s="191">
        <f>'Rev &amp; Receivables'!N143</f>
        <v>0</v>
      </c>
      <c r="N9" s="191">
        <f>'Rev &amp; Receivables'!O143</f>
        <v>0</v>
      </c>
      <c r="O9" s="191">
        <f>'Rev &amp; Receivables'!P143</f>
        <v>0</v>
      </c>
      <c r="P9" s="191">
        <f>'Rev &amp; Receivables'!Q143</f>
        <v>0</v>
      </c>
      <c r="Q9" s="191">
        <f>'Rev &amp; Receivables'!R143</f>
        <v>0</v>
      </c>
      <c r="R9" s="191">
        <f>'Rev &amp; Receivables'!S143</f>
        <v>0</v>
      </c>
      <c r="S9" s="191">
        <f>'Rev &amp; Receivables'!T143</f>
        <v>0</v>
      </c>
      <c r="T9" s="191">
        <f>'Rev &amp; Receivables'!U143</f>
        <v>0</v>
      </c>
      <c r="U9" s="191">
        <f>'Rev &amp; Receivables'!V143</f>
        <v>0</v>
      </c>
      <c r="V9" s="191">
        <f>'Rev &amp; Receivables'!W143</f>
        <v>0</v>
      </c>
      <c r="W9" s="191">
        <f>'Rev &amp; Receivables'!X143</f>
        <v>0</v>
      </c>
      <c r="X9" s="191">
        <f>'Rev &amp; Receivables'!Y143</f>
        <v>0</v>
      </c>
      <c r="Y9" s="191">
        <f>'Rev &amp; Receivables'!Z143</f>
        <v>0</v>
      </c>
      <c r="Z9" s="191">
        <f>'Rev &amp; Receivables'!AA143</f>
        <v>0</v>
      </c>
      <c r="AA9" s="191">
        <f>'Rev &amp; Receivables'!AB143</f>
        <v>0</v>
      </c>
      <c r="AB9" s="191">
        <f>'Rev &amp; Receivables'!AC143</f>
        <v>0</v>
      </c>
      <c r="AC9" s="191">
        <f>'Rev &amp; Receivables'!AD143</f>
        <v>0</v>
      </c>
      <c r="AD9" s="191">
        <f>'Rev &amp; Receivables'!AE143</f>
        <v>0</v>
      </c>
      <c r="AE9" s="191">
        <f>'Rev &amp; Receivables'!AF143</f>
        <v>0</v>
      </c>
      <c r="AF9" s="191">
        <f>'Rev &amp; Receivables'!AG143</f>
        <v>0</v>
      </c>
      <c r="AG9" s="191">
        <f>'Rev &amp; Receivables'!AH143</f>
        <v>0</v>
      </c>
      <c r="AH9" s="191">
        <f>'Rev &amp; Receivables'!AI143</f>
        <v>0</v>
      </c>
      <c r="AI9" s="191">
        <f>'Rev &amp; Receivables'!AJ143</f>
        <v>0</v>
      </c>
      <c r="AJ9" s="191">
        <f>'Rev &amp; Receivables'!AK143</f>
        <v>0</v>
      </c>
      <c r="AK9" s="191">
        <f>'Rev &amp; Receivables'!AL143</f>
        <v>0</v>
      </c>
      <c r="AL9" s="191">
        <f>'Rev &amp; Receivables'!AM143</f>
        <v>0</v>
      </c>
      <c r="AM9" s="191"/>
      <c r="AN9" s="191"/>
      <c r="AO9" s="191"/>
      <c r="AP9" s="191"/>
      <c r="AQ9" s="191"/>
      <c r="AR9" s="191"/>
      <c r="AS9" s="191"/>
      <c r="AT9" s="191"/>
      <c r="AU9" s="191"/>
      <c r="AV9" s="191"/>
      <c r="AW9" s="191"/>
    </row>
    <row r="10" spans="1:49">
      <c r="A10" s="190"/>
      <c r="B10" s="2" t="s">
        <v>1687</v>
      </c>
      <c r="C10" s="194" t="s">
        <v>1688</v>
      </c>
      <c r="D10" s="191"/>
      <c r="E10" s="191"/>
      <c r="F10" s="191"/>
      <c r="G10" s="191"/>
      <c r="H10" s="191"/>
      <c r="I10" s="191"/>
      <c r="J10" s="191"/>
      <c r="K10" s="191"/>
      <c r="L10" s="1547">
        <f ca="1">L9/L7</f>
        <v>0</v>
      </c>
      <c r="M10" s="1547">
        <f t="shared" ref="M10:AL10" ca="1" si="0">M9/M7</f>
        <v>0</v>
      </c>
      <c r="N10" s="1547">
        <f t="shared" ca="1" si="0"/>
        <v>0</v>
      </c>
      <c r="O10" s="1547">
        <f t="shared" ca="1" si="0"/>
        <v>0</v>
      </c>
      <c r="P10" s="1547">
        <f t="shared" ca="1" si="0"/>
        <v>0</v>
      </c>
      <c r="Q10" s="1547">
        <f t="shared" ca="1" si="0"/>
        <v>0</v>
      </c>
      <c r="R10" s="1547">
        <f t="shared" ca="1" si="0"/>
        <v>0</v>
      </c>
      <c r="S10" s="1547">
        <f t="shared" ca="1" si="0"/>
        <v>0</v>
      </c>
      <c r="T10" s="1547">
        <f t="shared" ca="1" si="0"/>
        <v>0</v>
      </c>
      <c r="U10" s="1547">
        <f t="shared" ca="1" si="0"/>
        <v>0</v>
      </c>
      <c r="V10" s="1547">
        <f t="shared" ca="1" si="0"/>
        <v>0</v>
      </c>
      <c r="W10" s="1547">
        <f t="shared" ca="1" si="0"/>
        <v>0</v>
      </c>
      <c r="X10" s="1547">
        <f t="shared" ca="1" si="0"/>
        <v>0</v>
      </c>
      <c r="Y10" s="1547">
        <f t="shared" ca="1" si="0"/>
        <v>0</v>
      </c>
      <c r="Z10" s="1547">
        <f t="shared" ca="1" si="0"/>
        <v>0</v>
      </c>
      <c r="AA10" s="1547">
        <f t="shared" ca="1" si="0"/>
        <v>0</v>
      </c>
      <c r="AB10" s="1547">
        <f t="shared" ca="1" si="0"/>
        <v>0</v>
      </c>
      <c r="AC10" s="1547">
        <f t="shared" ca="1" si="0"/>
        <v>0</v>
      </c>
      <c r="AD10" s="1547">
        <f t="shared" ca="1" si="0"/>
        <v>0</v>
      </c>
      <c r="AE10" s="1547">
        <f t="shared" ca="1" si="0"/>
        <v>0</v>
      </c>
      <c r="AF10" s="1547">
        <f t="shared" ca="1" si="0"/>
        <v>0</v>
      </c>
      <c r="AG10" s="1547">
        <f t="shared" ca="1" si="0"/>
        <v>0</v>
      </c>
      <c r="AH10" s="1547">
        <f t="shared" ca="1" si="0"/>
        <v>0</v>
      </c>
      <c r="AI10" s="1547">
        <f t="shared" ca="1" si="0"/>
        <v>0</v>
      </c>
      <c r="AJ10" s="1547">
        <f t="shared" ca="1" si="0"/>
        <v>0</v>
      </c>
      <c r="AK10" s="1547">
        <f t="shared" ca="1" si="0"/>
        <v>0</v>
      </c>
      <c r="AL10" s="1547">
        <f t="shared" ca="1" si="0"/>
        <v>0</v>
      </c>
      <c r="AM10" s="1547"/>
      <c r="AN10" s="1547"/>
      <c r="AO10" s="1547"/>
      <c r="AP10" s="1547"/>
      <c r="AQ10" s="1547"/>
      <c r="AR10" s="1547"/>
      <c r="AS10" s="1547"/>
      <c r="AT10" s="1547"/>
      <c r="AU10" s="1547"/>
      <c r="AV10" s="1547"/>
      <c r="AW10" s="1547"/>
    </row>
    <row r="11" spans="1:49">
      <c r="A11" s="190"/>
      <c r="C11" s="194"/>
      <c r="D11" s="191"/>
      <c r="E11" s="191"/>
      <c r="F11" s="191"/>
      <c r="G11" s="191"/>
      <c r="H11" s="191"/>
      <c r="I11" s="191"/>
      <c r="J11" s="191"/>
      <c r="K11" s="191"/>
      <c r="L11" s="1531"/>
      <c r="M11" s="191"/>
      <c r="N11" s="19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c r="AR11" s="191"/>
      <c r="AS11" s="191"/>
      <c r="AT11" s="191"/>
      <c r="AU11" s="191"/>
      <c r="AV11" s="191"/>
      <c r="AW11" s="191"/>
    </row>
    <row r="12" spans="1:49">
      <c r="A12" s="190"/>
      <c r="B12" s="2" t="s">
        <v>1501</v>
      </c>
      <c r="C12" s="194" t="str">
        <f>IF('Input '!$F$9=1,"US$","=N=")</f>
        <v>US$</v>
      </c>
      <c r="D12" s="1531">
        <f ca="1">SUM(I12:AW12)</f>
        <v>-8035482180.2747335</v>
      </c>
      <c r="E12" s="191"/>
      <c r="F12" s="191"/>
      <c r="G12" s="191"/>
      <c r="H12" s="191"/>
      <c r="I12" s="191">
        <f ca="1">-'Raw Material '!I121</f>
        <v>0</v>
      </c>
      <c r="J12" s="191">
        <f ca="1">-'Raw Material '!J121</f>
        <v>-74453662.31968756</v>
      </c>
      <c r="K12" s="191">
        <f ca="1">-'Raw Material '!K121</f>
        <v>-146975159.84711674</v>
      </c>
      <c r="L12" s="1531">
        <f ca="1">-'Raw Material '!L121</f>
        <v>-181211886.32987395</v>
      </c>
      <c r="M12" s="1531">
        <f ca="1">-'Raw Material '!M121</f>
        <v>-198107386.69062534</v>
      </c>
      <c r="N12" s="1531">
        <f ca="1">-'Raw Material '!N121</f>
        <v>-204041085.63681036</v>
      </c>
      <c r="O12" s="1531">
        <f ca="1">-'Raw Material '!O121</f>
        <v>-210152567.0076721</v>
      </c>
      <c r="P12" s="1531">
        <f ca="1">-'Raw Material '!P121</f>
        <v>-216447158.79090184</v>
      </c>
      <c r="Q12" s="1531">
        <f ca="1">-'Raw Material '!Q121</f>
        <v>-222930348.68218046</v>
      </c>
      <c r="R12" s="1531">
        <f ca="1">-'Raw Material '!R121</f>
        <v>-229607788.87325868</v>
      </c>
      <c r="S12" s="1531">
        <f ca="1">-'Raw Material '!S121</f>
        <v>-236485300.98360395</v>
      </c>
      <c r="T12" s="1531">
        <f ca="1">-'Raw Material '!T121</f>
        <v>-243568881.1399191</v>
      </c>
      <c r="U12" s="1531">
        <f ca="1">-'Raw Material '!U121</f>
        <v>-250864705.20796713</v>
      </c>
      <c r="V12" s="1531">
        <f ca="1">-'Raw Material '!V121</f>
        <v>-258379134.18126902</v>
      </c>
      <c r="W12" s="1531">
        <f ca="1">-'Raw Material '!W121</f>
        <v>-266118719.73137945</v>
      </c>
      <c r="X12" s="1531">
        <f ca="1">-'Raw Material '!X121</f>
        <v>-274090209.92458528</v>
      </c>
      <c r="Y12" s="1531">
        <f ca="1">-'Raw Material '!Y121</f>
        <v>-282300555.11001772</v>
      </c>
      <c r="Z12" s="1531">
        <f ca="1">-'Raw Material '!Z121</f>
        <v>-290756913.98431766</v>
      </c>
      <c r="AA12" s="1531">
        <f ca="1">-'Raw Material '!AA121</f>
        <v>-299466659.8381508</v>
      </c>
      <c r="AB12" s="1531">
        <f ca="1">-'Raw Material '!AB121</f>
        <v>-308437386.99002212</v>
      </c>
      <c r="AC12" s="1531">
        <f ca="1">-'Raw Material '!AC121</f>
        <v>-317676917.41301095</v>
      </c>
      <c r="AD12" s="1531">
        <f ca="1">-'Raw Material '!AD121</f>
        <v>-327193307.56020844</v>
      </c>
      <c r="AE12" s="1531">
        <f ca="1">-'Raw Material '!AE121</f>
        <v>-336994855.39481729</v>
      </c>
      <c r="AF12" s="1531">
        <f ca="1">-'Raw Material '!AF121</f>
        <v>-347090107.63105154</v>
      </c>
      <c r="AG12" s="1531">
        <f ca="1">-'Raw Material '!AG121</f>
        <v>-357487867.19215816</v>
      </c>
      <c r="AH12" s="1531">
        <f ca="1">-'Raw Material '!AH121</f>
        <v>-368197200.89207029</v>
      </c>
      <c r="AI12" s="1531">
        <f ca="1">-'Raw Material '!AI121</f>
        <v>-379227447.34739929</v>
      </c>
      <c r="AJ12" s="1531">
        <f ca="1">-'Raw Material '!AJ121</f>
        <v>-390588225.12667364</v>
      </c>
      <c r="AK12" s="1531">
        <f ca="1">-'Raw Material '!AK121</f>
        <v>-402289441.14393884</v>
      </c>
      <c r="AL12" s="1531">
        <f ca="1">-'Raw Material '!AL121</f>
        <v>-414341299.30404514</v>
      </c>
      <c r="AM12" s="1531"/>
      <c r="AN12" s="1531"/>
      <c r="AO12" s="1531"/>
      <c r="AP12" s="1531"/>
      <c r="AQ12" s="1531"/>
      <c r="AR12" s="1531"/>
      <c r="AS12" s="1531"/>
      <c r="AT12" s="1531"/>
      <c r="AU12" s="1531"/>
      <c r="AV12" s="1531"/>
      <c r="AW12" s="1531"/>
    </row>
    <row r="13" spans="1:49">
      <c r="A13" s="190"/>
      <c r="B13" s="2" t="s">
        <v>1662</v>
      </c>
      <c r="C13" s="194" t="str">
        <f>IF('Input '!$F$9=1,"US$","=N=")</f>
        <v>US$</v>
      </c>
      <c r="D13" s="1531">
        <f ca="1">SUM(I13:AW13)</f>
        <v>-117667375.27799183</v>
      </c>
      <c r="E13" s="191"/>
      <c r="F13" s="191"/>
      <c r="G13" s="191"/>
      <c r="H13" s="190"/>
      <c r="I13" s="191">
        <f>-'O&amp;M Costs'!I373</f>
        <v>0</v>
      </c>
      <c r="J13" s="191">
        <f>-'O&amp;M Costs'!J373</f>
        <v>0</v>
      </c>
      <c r="K13" s="191">
        <f ca="1">-'O&amp;M Costs'!K373</f>
        <v>-1710282.1692824995</v>
      </c>
      <c r="L13" s="1531">
        <f ca="1">-'O&amp;M Costs'!L373</f>
        <v>-3104957.0571292341</v>
      </c>
      <c r="M13" s="1531">
        <f ca="1">-'O&amp;M Costs'!M373</f>
        <v>-3176371.0694432058</v>
      </c>
      <c r="N13" s="1531">
        <f ca="1">-'O&amp;M Costs'!N373</f>
        <v>-3243717.0790029848</v>
      </c>
      <c r="O13" s="1531">
        <f ca="1">-'O&amp;M Costs'!O373</f>
        <v>-3339791.5841303216</v>
      </c>
      <c r="P13" s="1531">
        <f ca="1">-'O&amp;M Costs'!P373</f>
        <v>-3410602.465804779</v>
      </c>
      <c r="Q13" s="1531">
        <f ca="1">-'O&amp;M Costs'!Q373</f>
        <v>-3492456.9249840933</v>
      </c>
      <c r="R13" s="1531">
        <f ca="1">-'O&amp;M Costs'!R373</f>
        <v>-3566504.6455793846</v>
      </c>
      <c r="S13" s="1531">
        <f ca="1">-'O&amp;M Costs'!S373</f>
        <v>-3672139.6810997156</v>
      </c>
      <c r="T13" s="1531">
        <f ca="1">-'O&amp;M Costs'!T373</f>
        <v>-3749997.0688738516</v>
      </c>
      <c r="U13" s="1531">
        <f ca="1">-'O&amp;M Costs'!U373</f>
        <v>-3839996.9985268237</v>
      </c>
      <c r="V13" s="1531">
        <f ca="1">-'O&amp;M Costs'!V373</f>
        <v>-3921413.3283316549</v>
      </c>
      <c r="W13" s="1531">
        <f ca="1">-'O&amp;M Costs'!W373</f>
        <v>-4037560.2781867906</v>
      </c>
      <c r="X13" s="1531">
        <f ca="1">-'O&amp;M Costs'!X373</f>
        <v>-4123165.381352718</v>
      </c>
      <c r="Y13" s="1531">
        <f ca="1">-'O&amp;M Costs'!Y373</f>
        <v>-4222121.3505051835</v>
      </c>
      <c r="Z13" s="1531">
        <f ca="1">-'O&amp;M Costs'!Z373</f>
        <v>-4311639.5518164411</v>
      </c>
      <c r="AA13" s="1531">
        <f ca="1">-'O&amp;M Costs'!AA373</f>
        <v>-4439344.4737128783</v>
      </c>
      <c r="AB13" s="1531">
        <f ca="1">-'O&amp;M Costs'!AB373</f>
        <v>-4533468.2800407792</v>
      </c>
      <c r="AC13" s="1531">
        <f ca="1">-'O&amp;M Costs'!AC373</f>
        <v>-4642271.5187617578</v>
      </c>
      <c r="AD13" s="1531">
        <f ca="1">-'O&amp;M Costs'!AD373</f>
        <v>-4740697.8220010791</v>
      </c>
      <c r="AE13" s="1531">
        <f ca="1">-'O&amp;M Costs'!AE373</f>
        <v>-4881110.8685504366</v>
      </c>
      <c r="AF13" s="1531">
        <f ca="1">-'O&amp;M Costs'!AF373</f>
        <v>-4984601.0880585015</v>
      </c>
      <c r="AG13" s="1531">
        <f ca="1">-'O&amp;M Costs'!AG373</f>
        <v>-5104231.5141719058</v>
      </c>
      <c r="AH13" s="1531">
        <f ca="1">-'O&amp;M Costs'!AH373</f>
        <v>-5212452.3790625446</v>
      </c>
      <c r="AI13" s="1531">
        <f ca="1">-'O&amp;M Costs'!AI373</f>
        <v>-5366838.1564350175</v>
      </c>
      <c r="AJ13" s="1531">
        <f ca="1">-'O&amp;M Costs'!AJ373</f>
        <v>-5480626.8561452236</v>
      </c>
      <c r="AK13" s="1531">
        <f ca="1">-'O&amp;M Costs'!AK373</f>
        <v>-5612161.9006927088</v>
      </c>
      <c r="AL13" s="1531">
        <f ca="1">-'O&amp;M Costs'!AL373</f>
        <v>-5746853.7863093354</v>
      </c>
      <c r="AM13" s="1531"/>
      <c r="AN13" s="1531"/>
      <c r="AO13" s="1531"/>
      <c r="AP13" s="1531"/>
      <c r="AQ13" s="1531"/>
      <c r="AR13" s="1531"/>
      <c r="AS13" s="1531"/>
      <c r="AT13" s="1531"/>
      <c r="AU13" s="1531"/>
      <c r="AV13" s="1531"/>
      <c r="AW13" s="1531"/>
    </row>
    <row r="14" spans="1:49">
      <c r="A14" s="190"/>
      <c r="B14" s="27" t="s">
        <v>1663</v>
      </c>
      <c r="C14" s="195" t="str">
        <f>IF('Input '!$F$9=1,"US$","=N=")</f>
        <v>US$</v>
      </c>
      <c r="D14" s="1532">
        <f ca="1">SUM(I14:AW14)</f>
        <v>-1534715854.5093539</v>
      </c>
      <c r="E14" s="192"/>
      <c r="F14" s="192"/>
      <c r="G14" s="192"/>
      <c r="H14" s="192"/>
      <c r="I14" s="1538">
        <f>-'O&amp;M Costs'!I382</f>
        <v>0</v>
      </c>
      <c r="J14" s="1538">
        <f>-'O&amp;M Costs'!J382</f>
        <v>0</v>
      </c>
      <c r="K14" s="1538">
        <f>-'O&amp;M Costs'!K382</f>
        <v>0</v>
      </c>
      <c r="L14" s="1532">
        <f ca="1">-'O&amp;M Costs'!L382</f>
        <v>-41094741.98943188</v>
      </c>
      <c r="M14" s="1532">
        <f ca="1">-'O&amp;M Costs'!M382</f>
        <v>-42039921.055188805</v>
      </c>
      <c r="N14" s="1532">
        <f ca="1">-'O&amp;M Costs'!N382</f>
        <v>-42931259.272096626</v>
      </c>
      <c r="O14" s="1532">
        <f ca="1">-'O&amp;M Costs'!O382</f>
        <v>-44202825.006284483</v>
      </c>
      <c r="P14" s="1532">
        <f ca="1">-'O&amp;M Costs'!P382</f>
        <v>-45140021.514614433</v>
      </c>
      <c r="Q14" s="1532">
        <f ca="1">-'O&amp;M Costs'!Q382</f>
        <v>-46223382.030965179</v>
      </c>
      <c r="R14" s="1532">
        <f ca="1">-'O&amp;M Costs'!R382</f>
        <v>-47203418.764736459</v>
      </c>
      <c r="S14" s="1532">
        <f ca="1">-'O&amp;M Costs'!S382</f>
        <v>-48601520.074957527</v>
      </c>
      <c r="T14" s="1532">
        <f ca="1">-'O&amp;M Costs'!T382</f>
        <v>-49631978.533377372</v>
      </c>
      <c r="U14" s="1532">
        <f ca="1">-'O&amp;M Costs'!U382</f>
        <v>-50823146.018178441</v>
      </c>
      <c r="V14" s="1532">
        <f ca="1">-'O&amp;M Costs'!V382</f>
        <v>-51900707.802607566</v>
      </c>
      <c r="W14" s="1532">
        <f ca="1">-'O&amp;M Costs'!W382</f>
        <v>-53437936.450004488</v>
      </c>
      <c r="X14" s="1532">
        <f ca="1">-'O&amp;M Costs'!X382</f>
        <v>-54570937.506977253</v>
      </c>
      <c r="Y14" s="1532">
        <f ca="1">-'O&amp;M Costs'!Y382</f>
        <v>-55880640.007144719</v>
      </c>
      <c r="Z14" s="1532">
        <f ca="1">-'O&amp;M Costs'!Z382</f>
        <v>-57065431.718771607</v>
      </c>
      <c r="AA14" s="1532">
        <f ca="1">-'O&amp;M Costs'!AA382</f>
        <v>-58755632.491134889</v>
      </c>
      <c r="AB14" s="1532">
        <f ca="1">-'O&amp;M Costs'!AB382</f>
        <v>-60001380.327558935</v>
      </c>
      <c r="AC14" s="1532">
        <f ca="1">-'O&amp;M Costs'!AC382</f>
        <v>-61441413.45542036</v>
      </c>
      <c r="AD14" s="1532">
        <f ca="1">-'O&amp;M Costs'!AD382</f>
        <v>-62744105.718846761</v>
      </c>
      <c r="AE14" s="1532">
        <f ca="1">-'O&amp;M Costs'!AE382</f>
        <v>-64602501.121336155</v>
      </c>
      <c r="AF14" s="1532">
        <f ca="1">-'O&amp;M Costs'!AF382</f>
        <v>-65972215.352761216</v>
      </c>
      <c r="AG14" s="1532">
        <f ca="1">-'O&amp;M Costs'!AG382</f>
        <v>-67555548.521227479</v>
      </c>
      <c r="AH14" s="1532">
        <f ca="1">-'O&amp;M Costs'!AH382</f>
        <v>-68987873.812278643</v>
      </c>
      <c r="AI14" s="1532">
        <f ca="1">-'O&amp;M Costs'!AI382</f>
        <v>-71031201.166321188</v>
      </c>
      <c r="AJ14" s="1532">
        <f ca="1">-'O&amp;M Costs'!AJ382</f>
        <v>-72537217.890503302</v>
      </c>
      <c r="AK14" s="1532">
        <f ca="1">-'O&amp;M Costs'!AK382</f>
        <v>-74278111.119875401</v>
      </c>
      <c r="AL14" s="1532">
        <f ca="1">-'O&amp;M Costs'!AL382</f>
        <v>-76060785.786752403</v>
      </c>
      <c r="AM14" s="1532"/>
      <c r="AN14" s="1532"/>
      <c r="AO14" s="1532"/>
      <c r="AP14" s="1532"/>
      <c r="AQ14" s="1532"/>
      <c r="AR14" s="1532"/>
      <c r="AS14" s="1532"/>
      <c r="AT14" s="1532"/>
      <c r="AU14" s="1532"/>
      <c r="AV14" s="1532"/>
      <c r="AW14" s="1532"/>
    </row>
    <row r="15" spans="1:49">
      <c r="A15" s="190"/>
      <c r="B15" s="2" t="s">
        <v>1344</v>
      </c>
      <c r="C15" s="194"/>
      <c r="D15" s="1531"/>
      <c r="E15" s="191"/>
      <c r="F15" s="191"/>
      <c r="G15" s="191"/>
      <c r="H15" s="191"/>
      <c r="I15" s="188">
        <f>-'O&amp;M Costs'!I384</f>
        <v>0</v>
      </c>
      <c r="J15" s="191">
        <f>'O&amp;M Costs'!I381</f>
        <v>0</v>
      </c>
      <c r="K15" s="191">
        <f>'O&amp;M Costs'!J381</f>
        <v>0</v>
      </c>
      <c r="L15" s="1539">
        <f ca="1">SUM(L12:L14)</f>
        <v>-225411585.37643507</v>
      </c>
      <c r="M15" s="1539">
        <f t="shared" ref="M15:AL15" ca="1" si="1">SUM(M12:M14)</f>
        <v>-243323678.81525734</v>
      </c>
      <c r="N15" s="1539">
        <f t="shared" ca="1" si="1"/>
        <v>-250216061.98790997</v>
      </c>
      <c r="O15" s="1539">
        <f t="shared" ca="1" si="1"/>
        <v>-257695183.59808689</v>
      </c>
      <c r="P15" s="1539">
        <f t="shared" ca="1" si="1"/>
        <v>-264997782.77132106</v>
      </c>
      <c r="Q15" s="1539">
        <f t="shared" ca="1" si="1"/>
        <v>-272646187.63812971</v>
      </c>
      <c r="R15" s="1539">
        <f t="shared" ca="1" si="1"/>
        <v>-280377712.28357452</v>
      </c>
      <c r="S15" s="1539">
        <f t="shared" ca="1" si="1"/>
        <v>-288758960.73966122</v>
      </c>
      <c r="T15" s="1539">
        <f t="shared" ca="1" si="1"/>
        <v>-296950856.74217033</v>
      </c>
      <c r="U15" s="1539">
        <f t="shared" ca="1" si="1"/>
        <v>-305527848.22467238</v>
      </c>
      <c r="V15" s="1539">
        <f t="shared" ca="1" si="1"/>
        <v>-314201255.31220824</v>
      </c>
      <c r="W15" s="1539">
        <f t="shared" ca="1" si="1"/>
        <v>-323594216.45957077</v>
      </c>
      <c r="X15" s="1539">
        <f t="shared" ca="1" si="1"/>
        <v>-332784312.81291527</v>
      </c>
      <c r="Y15" s="1539">
        <f t="shared" ca="1" si="1"/>
        <v>-342403316.46766758</v>
      </c>
      <c r="Z15" s="1539">
        <f t="shared" ca="1" si="1"/>
        <v>-352133985.2549057</v>
      </c>
      <c r="AA15" s="1539">
        <f t="shared" ca="1" si="1"/>
        <v>-362661636.80299854</v>
      </c>
      <c r="AB15" s="1539">
        <f t="shared" ca="1" si="1"/>
        <v>-372972235.59762186</v>
      </c>
      <c r="AC15" s="1539">
        <f t="shared" ca="1" si="1"/>
        <v>-383760602.38719308</v>
      </c>
      <c r="AD15" s="1539">
        <f t="shared" ca="1" si="1"/>
        <v>-394678111.10105628</v>
      </c>
      <c r="AE15" s="1539">
        <f t="shared" ca="1" si="1"/>
        <v>-406478467.38470387</v>
      </c>
      <c r="AF15" s="1539">
        <f t="shared" ca="1" si="1"/>
        <v>-418046924.07187122</v>
      </c>
      <c r="AG15" s="1539">
        <f t="shared" ca="1" si="1"/>
        <v>-430147647.22755754</v>
      </c>
      <c r="AH15" s="1539">
        <f t="shared" ca="1" si="1"/>
        <v>-442397527.08341146</v>
      </c>
      <c r="AI15" s="1539">
        <f t="shared" ca="1" si="1"/>
        <v>-455625486.67015553</v>
      </c>
      <c r="AJ15" s="1539">
        <f t="shared" ca="1" si="1"/>
        <v>-468606069.87332213</v>
      </c>
      <c r="AK15" s="1539">
        <f t="shared" ca="1" si="1"/>
        <v>-482179714.16450691</v>
      </c>
      <c r="AL15" s="1539">
        <f t="shared" ca="1" si="1"/>
        <v>-496148938.8771069</v>
      </c>
      <c r="AM15" s="1539"/>
      <c r="AN15" s="1539"/>
      <c r="AO15" s="1539"/>
      <c r="AP15" s="1539"/>
      <c r="AQ15" s="1539"/>
      <c r="AR15" s="1539"/>
      <c r="AS15" s="1539"/>
      <c r="AT15" s="1539"/>
      <c r="AU15" s="1539"/>
      <c r="AV15" s="1539"/>
      <c r="AW15" s="1539"/>
    </row>
    <row r="16" spans="1:49">
      <c r="A16" s="190"/>
      <c r="C16" s="194"/>
      <c r="D16" s="1531"/>
      <c r="E16" s="191"/>
      <c r="F16" s="191"/>
      <c r="G16" s="191"/>
      <c r="H16" s="191"/>
      <c r="I16" s="188"/>
      <c r="J16" s="191"/>
      <c r="K16" s="191"/>
      <c r="L16" s="1531"/>
      <c r="M16" s="1531"/>
      <c r="N16" s="1531"/>
      <c r="O16" s="1531"/>
      <c r="P16" s="1531"/>
      <c r="Q16" s="1531"/>
      <c r="R16" s="1531"/>
      <c r="S16" s="1531"/>
      <c r="T16" s="1531"/>
      <c r="U16" s="1531"/>
      <c r="V16" s="1531"/>
      <c r="W16" s="1531"/>
      <c r="X16" s="1531"/>
      <c r="Y16" s="1531"/>
      <c r="Z16" s="1531"/>
      <c r="AA16" s="1531"/>
      <c r="AB16" s="1531"/>
      <c r="AC16" s="1531"/>
      <c r="AD16" s="1531"/>
      <c r="AE16" s="1531"/>
      <c r="AF16" s="1531"/>
      <c r="AG16" s="1531"/>
      <c r="AH16" s="1531"/>
      <c r="AI16" s="1531"/>
      <c r="AJ16" s="1531"/>
      <c r="AK16" s="1531"/>
      <c r="AL16" s="1531"/>
      <c r="AM16" s="1531"/>
      <c r="AN16" s="1531"/>
      <c r="AO16" s="1531"/>
      <c r="AP16" s="1531"/>
      <c r="AQ16" s="1531"/>
      <c r="AR16" s="1531"/>
      <c r="AS16" s="1531"/>
      <c r="AT16" s="1531"/>
      <c r="AU16" s="1531"/>
      <c r="AV16" s="1531"/>
      <c r="AW16" s="1531"/>
    </row>
    <row r="17" spans="1:49" ht="11.25" thickBot="1">
      <c r="A17" s="190"/>
      <c r="B17" s="1518" t="s">
        <v>1669</v>
      </c>
      <c r="C17" s="1540"/>
      <c r="D17" s="1541"/>
      <c r="E17" s="1542"/>
      <c r="F17" s="1542"/>
      <c r="G17" s="1542"/>
      <c r="H17" s="1542"/>
      <c r="I17" s="1543">
        <f>I9+I15</f>
        <v>0</v>
      </c>
      <c r="J17" s="1543">
        <f t="shared" ref="J17:AL17" si="2">J9+J15</f>
        <v>0</v>
      </c>
      <c r="K17" s="1543">
        <f t="shared" si="2"/>
        <v>0</v>
      </c>
      <c r="L17" s="1543">
        <f t="shared" ca="1" si="2"/>
        <v>-225411585.37643507</v>
      </c>
      <c r="M17" s="1543">
        <f t="shared" ca="1" si="2"/>
        <v>-243323678.81525734</v>
      </c>
      <c r="N17" s="1543">
        <f t="shared" ca="1" si="2"/>
        <v>-250216061.98790997</v>
      </c>
      <c r="O17" s="1543">
        <f t="shared" ca="1" si="2"/>
        <v>-257695183.59808689</v>
      </c>
      <c r="P17" s="1543">
        <f t="shared" ca="1" si="2"/>
        <v>-264997782.77132106</v>
      </c>
      <c r="Q17" s="1543">
        <f t="shared" ca="1" si="2"/>
        <v>-272646187.63812971</v>
      </c>
      <c r="R17" s="1543">
        <f t="shared" ca="1" si="2"/>
        <v>-280377712.28357452</v>
      </c>
      <c r="S17" s="1543">
        <f t="shared" ca="1" si="2"/>
        <v>-288758960.73966122</v>
      </c>
      <c r="T17" s="1543">
        <f t="shared" ca="1" si="2"/>
        <v>-296950856.74217033</v>
      </c>
      <c r="U17" s="1543">
        <f t="shared" ca="1" si="2"/>
        <v>-305527848.22467238</v>
      </c>
      <c r="V17" s="1543">
        <f t="shared" ca="1" si="2"/>
        <v>-314201255.31220824</v>
      </c>
      <c r="W17" s="1543">
        <f t="shared" ca="1" si="2"/>
        <v>-323594216.45957077</v>
      </c>
      <c r="X17" s="1543">
        <f t="shared" ca="1" si="2"/>
        <v>-332784312.81291527</v>
      </c>
      <c r="Y17" s="1543">
        <f t="shared" ca="1" si="2"/>
        <v>-342403316.46766758</v>
      </c>
      <c r="Z17" s="1543">
        <f t="shared" ca="1" si="2"/>
        <v>-352133985.2549057</v>
      </c>
      <c r="AA17" s="1543">
        <f t="shared" ca="1" si="2"/>
        <v>-362661636.80299854</v>
      </c>
      <c r="AB17" s="1543">
        <f t="shared" ca="1" si="2"/>
        <v>-372972235.59762186</v>
      </c>
      <c r="AC17" s="1543">
        <f t="shared" ca="1" si="2"/>
        <v>-383760602.38719308</v>
      </c>
      <c r="AD17" s="1543">
        <f t="shared" ca="1" si="2"/>
        <v>-394678111.10105628</v>
      </c>
      <c r="AE17" s="1543">
        <f t="shared" ca="1" si="2"/>
        <v>-406478467.38470387</v>
      </c>
      <c r="AF17" s="1543">
        <f t="shared" ca="1" si="2"/>
        <v>-418046924.07187122</v>
      </c>
      <c r="AG17" s="1543">
        <f t="shared" ca="1" si="2"/>
        <v>-430147647.22755754</v>
      </c>
      <c r="AH17" s="1543">
        <f t="shared" ca="1" si="2"/>
        <v>-442397527.08341146</v>
      </c>
      <c r="AI17" s="1543">
        <f t="shared" ca="1" si="2"/>
        <v>-455625486.67015553</v>
      </c>
      <c r="AJ17" s="1543">
        <f t="shared" ca="1" si="2"/>
        <v>-468606069.87332213</v>
      </c>
      <c r="AK17" s="1543">
        <f t="shared" ca="1" si="2"/>
        <v>-482179714.16450691</v>
      </c>
      <c r="AL17" s="1543">
        <f t="shared" ca="1" si="2"/>
        <v>-496148938.8771069</v>
      </c>
      <c r="AM17" s="1543"/>
      <c r="AN17" s="1543"/>
      <c r="AO17" s="1543"/>
      <c r="AP17" s="1543"/>
      <c r="AQ17" s="1543"/>
      <c r="AR17" s="1543"/>
      <c r="AS17" s="1543"/>
      <c r="AT17" s="1543"/>
      <c r="AU17" s="1543"/>
      <c r="AV17" s="1543"/>
      <c r="AW17" s="1543"/>
    </row>
    <row r="18" spans="1:49" ht="11.25" thickTop="1">
      <c r="A18" s="190"/>
      <c r="B18" s="1544" t="s">
        <v>1670</v>
      </c>
      <c r="C18" s="194"/>
      <c r="D18" s="1531"/>
      <c r="E18" s="191"/>
      <c r="F18" s="191"/>
      <c r="G18" s="191"/>
      <c r="H18" s="191"/>
      <c r="I18" s="188"/>
      <c r="J18" s="191"/>
      <c r="K18" s="191"/>
      <c r="L18" s="1545" t="e">
        <f ca="1">L17/L9</f>
        <v>#DIV/0!</v>
      </c>
      <c r="M18" s="1545" t="e">
        <f t="shared" ref="M18:AL18" ca="1" si="3">M17/M9</f>
        <v>#DIV/0!</v>
      </c>
      <c r="N18" s="1545" t="e">
        <f t="shared" ca="1" si="3"/>
        <v>#DIV/0!</v>
      </c>
      <c r="O18" s="1545" t="e">
        <f t="shared" ca="1" si="3"/>
        <v>#DIV/0!</v>
      </c>
      <c r="P18" s="1545" t="e">
        <f t="shared" ca="1" si="3"/>
        <v>#DIV/0!</v>
      </c>
      <c r="Q18" s="1545" t="e">
        <f t="shared" ca="1" si="3"/>
        <v>#DIV/0!</v>
      </c>
      <c r="R18" s="1545" t="e">
        <f t="shared" ca="1" si="3"/>
        <v>#DIV/0!</v>
      </c>
      <c r="S18" s="1545" t="e">
        <f t="shared" ca="1" si="3"/>
        <v>#DIV/0!</v>
      </c>
      <c r="T18" s="1545" t="e">
        <f t="shared" ca="1" si="3"/>
        <v>#DIV/0!</v>
      </c>
      <c r="U18" s="1545" t="e">
        <f t="shared" ca="1" si="3"/>
        <v>#DIV/0!</v>
      </c>
      <c r="V18" s="1545" t="e">
        <f t="shared" ca="1" si="3"/>
        <v>#DIV/0!</v>
      </c>
      <c r="W18" s="1545" t="e">
        <f t="shared" ca="1" si="3"/>
        <v>#DIV/0!</v>
      </c>
      <c r="X18" s="1545" t="e">
        <f t="shared" ca="1" si="3"/>
        <v>#DIV/0!</v>
      </c>
      <c r="Y18" s="1545" t="e">
        <f t="shared" ca="1" si="3"/>
        <v>#DIV/0!</v>
      </c>
      <c r="Z18" s="1545" t="e">
        <f t="shared" ca="1" si="3"/>
        <v>#DIV/0!</v>
      </c>
      <c r="AA18" s="1545" t="e">
        <f t="shared" ca="1" si="3"/>
        <v>#DIV/0!</v>
      </c>
      <c r="AB18" s="1545" t="e">
        <f t="shared" ca="1" si="3"/>
        <v>#DIV/0!</v>
      </c>
      <c r="AC18" s="1545" t="e">
        <f t="shared" ca="1" si="3"/>
        <v>#DIV/0!</v>
      </c>
      <c r="AD18" s="1545" t="e">
        <f t="shared" ca="1" si="3"/>
        <v>#DIV/0!</v>
      </c>
      <c r="AE18" s="1545" t="e">
        <f t="shared" ca="1" si="3"/>
        <v>#DIV/0!</v>
      </c>
      <c r="AF18" s="1545" t="e">
        <f t="shared" ca="1" si="3"/>
        <v>#DIV/0!</v>
      </c>
      <c r="AG18" s="1545" t="e">
        <f t="shared" ca="1" si="3"/>
        <v>#DIV/0!</v>
      </c>
      <c r="AH18" s="1545" t="e">
        <f t="shared" ca="1" si="3"/>
        <v>#DIV/0!</v>
      </c>
      <c r="AI18" s="1545" t="e">
        <f t="shared" ca="1" si="3"/>
        <v>#DIV/0!</v>
      </c>
      <c r="AJ18" s="1545" t="e">
        <f t="shared" ca="1" si="3"/>
        <v>#DIV/0!</v>
      </c>
      <c r="AK18" s="1545" t="e">
        <f t="shared" ca="1" si="3"/>
        <v>#DIV/0!</v>
      </c>
      <c r="AL18" s="1545" t="e">
        <f t="shared" ca="1" si="3"/>
        <v>#DIV/0!</v>
      </c>
      <c r="AM18" s="1545"/>
      <c r="AN18" s="1545"/>
      <c r="AO18" s="1545"/>
      <c r="AP18" s="1545"/>
      <c r="AQ18" s="1545"/>
      <c r="AR18" s="1545"/>
      <c r="AS18" s="1545"/>
      <c r="AT18" s="1545"/>
      <c r="AU18" s="1545"/>
      <c r="AV18" s="1545"/>
      <c r="AW18" s="1545"/>
    </row>
    <row r="19" spans="1:49">
      <c r="A19" s="190"/>
      <c r="B19" s="1544"/>
      <c r="C19" s="194"/>
      <c r="D19" s="1531"/>
      <c r="E19" s="191"/>
      <c r="F19" s="191"/>
      <c r="G19" s="191"/>
      <c r="H19" s="191"/>
      <c r="I19" s="188"/>
      <c r="J19" s="191"/>
      <c r="K19" s="191"/>
      <c r="L19" s="1545"/>
      <c r="M19" s="1545"/>
      <c r="N19" s="1545"/>
      <c r="O19" s="1545"/>
      <c r="P19" s="1545"/>
      <c r="Q19" s="1545"/>
      <c r="R19" s="1545"/>
      <c r="S19" s="1545"/>
      <c r="T19" s="1545"/>
      <c r="U19" s="1545"/>
      <c r="V19" s="1545"/>
      <c r="W19" s="1545"/>
      <c r="X19" s="1545"/>
      <c r="Y19" s="1545"/>
      <c r="Z19" s="1545"/>
      <c r="AA19" s="1545"/>
      <c r="AB19" s="1545"/>
      <c r="AC19" s="1545"/>
      <c r="AD19" s="1545"/>
      <c r="AE19" s="1545"/>
      <c r="AF19" s="1545"/>
      <c r="AG19" s="1545"/>
      <c r="AH19" s="1545"/>
      <c r="AI19" s="1545"/>
      <c r="AJ19" s="1545"/>
      <c r="AK19" s="1545"/>
      <c r="AL19" s="1545"/>
      <c r="AM19" s="1545"/>
      <c r="AN19" s="1545"/>
      <c r="AO19" s="1545"/>
      <c r="AP19" s="1545"/>
      <c r="AQ19" s="1545"/>
      <c r="AR19" s="1545"/>
      <c r="AS19" s="1545"/>
      <c r="AT19" s="1545"/>
      <c r="AU19" s="1545"/>
      <c r="AV19" s="1545"/>
      <c r="AW19" s="1545"/>
    </row>
    <row r="20" spans="1:49">
      <c r="A20" s="190"/>
      <c r="B20" s="1544" t="s">
        <v>1672</v>
      </c>
      <c r="C20" s="194"/>
      <c r="D20" s="1531"/>
      <c r="E20" s="191"/>
      <c r="F20" s="191"/>
      <c r="G20" s="191"/>
      <c r="H20" s="191"/>
      <c r="I20" s="188"/>
      <c r="J20" s="191"/>
      <c r="K20" s="191"/>
      <c r="L20" s="1547">
        <f t="shared" ref="L20:AL20" ca="1" si="4">L15/L7</f>
        <v>-100.74260798946818</v>
      </c>
      <c r="M20" s="1547">
        <f t="shared" ca="1" si="4"/>
        <v>-102.45207529063467</v>
      </c>
      <c r="N20" s="1547">
        <f t="shared" ca="1" si="4"/>
        <v>-105.35413136333051</v>
      </c>
      <c r="O20" s="1547">
        <f t="shared" ca="1" si="4"/>
        <v>-108.50323519919448</v>
      </c>
      <c r="P20" s="1547">
        <f t="shared" ca="1" si="4"/>
        <v>-111.57801379845097</v>
      </c>
      <c r="Q20" s="1547">
        <f t="shared" ca="1" si="4"/>
        <v>-114.79839479500198</v>
      </c>
      <c r="R20" s="1547">
        <f t="shared" ca="1" si="4"/>
        <v>-118.053773593084</v>
      </c>
      <c r="S20" s="1547">
        <f t="shared" ca="1" si="4"/>
        <v>-121.5827203114363</v>
      </c>
      <c r="T20" s="1547">
        <f t="shared" ca="1" si="4"/>
        <v>-125.03193968091382</v>
      </c>
      <c r="U20" s="1547">
        <f t="shared" ca="1" si="4"/>
        <v>-128.64330451565152</v>
      </c>
      <c r="V20" s="1547">
        <f t="shared" ca="1" si="4"/>
        <v>-132.29526539461401</v>
      </c>
      <c r="W20" s="1547">
        <f t="shared" ca="1" si="4"/>
        <v>-136.25019640402979</v>
      </c>
      <c r="X20" s="1547">
        <f t="shared" ca="1" si="4"/>
        <v>-140.11971065806958</v>
      </c>
      <c r="Y20" s="1547">
        <f t="shared" ca="1" si="4"/>
        <v>-144.16981746007056</v>
      </c>
      <c r="Z20" s="1547">
        <f t="shared" ca="1" si="4"/>
        <v>-148.26694115996028</v>
      </c>
      <c r="AA20" s="1547">
        <f t="shared" ca="1" si="4"/>
        <v>-152.69963654863096</v>
      </c>
      <c r="AB20" s="1547">
        <f t="shared" ca="1" si="4"/>
        <v>-157.04094130426182</v>
      </c>
      <c r="AC20" s="1547">
        <f t="shared" ca="1" si="4"/>
        <v>-161.58341153144971</v>
      </c>
      <c r="AD20" s="1547">
        <f t="shared" ca="1" si="4"/>
        <v>-166.1802573057079</v>
      </c>
      <c r="AE20" s="1547">
        <f t="shared" ca="1" si="4"/>
        <v>-171.1488283725069</v>
      </c>
      <c r="AF20" s="1547">
        <f t="shared" ca="1" si="4"/>
        <v>-176.01975750394578</v>
      </c>
      <c r="AG20" s="1547">
        <f t="shared" ca="1" si="4"/>
        <v>-181.11479883265579</v>
      </c>
      <c r="AH20" s="1547">
        <f t="shared" ca="1" si="4"/>
        <v>-186.27264298248903</v>
      </c>
      <c r="AI20" s="1547">
        <f t="shared" ca="1" si="4"/>
        <v>-191.8423101769076</v>
      </c>
      <c r="AJ20" s="1547">
        <f t="shared" ca="1" si="4"/>
        <v>-197.30781889403036</v>
      </c>
      <c r="AK20" s="1547">
        <f t="shared" ca="1" si="4"/>
        <v>-203.02303754295028</v>
      </c>
      <c r="AL20" s="1547">
        <f t="shared" ca="1" si="4"/>
        <v>-208.90481636930818</v>
      </c>
      <c r="AM20" s="1547"/>
      <c r="AN20" s="1547"/>
      <c r="AO20" s="1547"/>
      <c r="AP20" s="1547"/>
      <c r="AQ20" s="1547"/>
      <c r="AR20" s="1547"/>
      <c r="AS20" s="1547"/>
      <c r="AT20" s="1547"/>
      <c r="AU20" s="1547"/>
      <c r="AV20" s="1547"/>
      <c r="AW20" s="1547"/>
    </row>
    <row r="21" spans="1:49">
      <c r="A21" s="190"/>
      <c r="B21" s="1544"/>
      <c r="C21" s="194"/>
      <c r="D21" s="1531"/>
      <c r="E21" s="191"/>
      <c r="F21" s="191"/>
      <c r="G21" s="191"/>
      <c r="H21" s="191"/>
      <c r="I21" s="188"/>
      <c r="J21" s="191"/>
      <c r="K21" s="191"/>
      <c r="L21" s="1547"/>
      <c r="M21" s="1545"/>
      <c r="N21" s="1545"/>
      <c r="O21" s="1545"/>
      <c r="P21" s="1545"/>
      <c r="Q21" s="1545"/>
      <c r="R21" s="1545"/>
      <c r="S21" s="1545"/>
      <c r="T21" s="1545"/>
      <c r="U21" s="1545"/>
      <c r="V21" s="1545"/>
      <c r="W21" s="1545"/>
      <c r="X21" s="1545"/>
      <c r="Y21" s="1545"/>
      <c r="Z21" s="1545"/>
      <c r="AA21" s="1545"/>
      <c r="AB21" s="1545"/>
      <c r="AC21" s="1545"/>
      <c r="AD21" s="1545"/>
      <c r="AE21" s="1545"/>
      <c r="AF21" s="1545"/>
      <c r="AG21" s="1545"/>
      <c r="AH21" s="1545"/>
      <c r="AI21" s="1545"/>
      <c r="AJ21" s="1545"/>
      <c r="AK21" s="1545"/>
      <c r="AL21" s="1545"/>
      <c r="AM21" s="1545"/>
      <c r="AN21" s="1545"/>
      <c r="AO21" s="1545"/>
      <c r="AP21" s="1545"/>
      <c r="AQ21" s="1545"/>
      <c r="AR21" s="1545"/>
      <c r="AS21" s="1545"/>
      <c r="AT21" s="1545"/>
      <c r="AU21" s="1545"/>
      <c r="AV21" s="1545"/>
      <c r="AW21" s="1545"/>
    </row>
    <row r="22" spans="1:49" s="1550" customFormat="1">
      <c r="A22" s="1548"/>
      <c r="B22" s="1550" t="s">
        <v>1671</v>
      </c>
      <c r="C22" s="1549"/>
      <c r="D22" s="1548"/>
      <c r="E22" s="1548"/>
      <c r="F22" s="1548"/>
      <c r="G22" s="1548"/>
      <c r="H22" s="1548"/>
      <c r="I22" s="1551"/>
      <c r="J22" s="1548"/>
      <c r="K22" s="1548"/>
      <c r="L22" s="1548">
        <f t="shared" ref="L22:AL22" ca="1" si="5">L17/L7</f>
        <v>-100.74260798946818</v>
      </c>
      <c r="M22" s="1548">
        <f t="shared" ca="1" si="5"/>
        <v>-102.45207529063467</v>
      </c>
      <c r="N22" s="1548">
        <f t="shared" ca="1" si="5"/>
        <v>-105.35413136333051</v>
      </c>
      <c r="O22" s="1548">
        <f t="shared" ca="1" si="5"/>
        <v>-108.50323519919448</v>
      </c>
      <c r="P22" s="1548">
        <f t="shared" ca="1" si="5"/>
        <v>-111.57801379845097</v>
      </c>
      <c r="Q22" s="1548">
        <f t="shared" ca="1" si="5"/>
        <v>-114.79839479500198</v>
      </c>
      <c r="R22" s="1548">
        <f t="shared" ca="1" si="5"/>
        <v>-118.053773593084</v>
      </c>
      <c r="S22" s="1548">
        <f t="shared" ca="1" si="5"/>
        <v>-121.5827203114363</v>
      </c>
      <c r="T22" s="1548">
        <f t="shared" ca="1" si="5"/>
        <v>-125.03193968091382</v>
      </c>
      <c r="U22" s="1548">
        <f t="shared" ca="1" si="5"/>
        <v>-128.64330451565152</v>
      </c>
      <c r="V22" s="1548">
        <f t="shared" ca="1" si="5"/>
        <v>-132.29526539461401</v>
      </c>
      <c r="W22" s="1548">
        <f t="shared" ca="1" si="5"/>
        <v>-136.25019640402979</v>
      </c>
      <c r="X22" s="1548">
        <f t="shared" ca="1" si="5"/>
        <v>-140.11971065806958</v>
      </c>
      <c r="Y22" s="1548">
        <f t="shared" ca="1" si="5"/>
        <v>-144.16981746007056</v>
      </c>
      <c r="Z22" s="1548">
        <f t="shared" ca="1" si="5"/>
        <v>-148.26694115996028</v>
      </c>
      <c r="AA22" s="1548">
        <f t="shared" ca="1" si="5"/>
        <v>-152.69963654863096</v>
      </c>
      <c r="AB22" s="1548">
        <f t="shared" ca="1" si="5"/>
        <v>-157.04094130426182</v>
      </c>
      <c r="AC22" s="1548">
        <f t="shared" ca="1" si="5"/>
        <v>-161.58341153144971</v>
      </c>
      <c r="AD22" s="1548">
        <f t="shared" ca="1" si="5"/>
        <v>-166.1802573057079</v>
      </c>
      <c r="AE22" s="1548">
        <f t="shared" ca="1" si="5"/>
        <v>-171.1488283725069</v>
      </c>
      <c r="AF22" s="1548">
        <f t="shared" ca="1" si="5"/>
        <v>-176.01975750394578</v>
      </c>
      <c r="AG22" s="1548">
        <f t="shared" ca="1" si="5"/>
        <v>-181.11479883265579</v>
      </c>
      <c r="AH22" s="1548">
        <f t="shared" ca="1" si="5"/>
        <v>-186.27264298248903</v>
      </c>
      <c r="AI22" s="1548">
        <f t="shared" ca="1" si="5"/>
        <v>-191.8423101769076</v>
      </c>
      <c r="AJ22" s="1548">
        <f t="shared" ca="1" si="5"/>
        <v>-197.30781889403036</v>
      </c>
      <c r="AK22" s="1548">
        <f t="shared" ca="1" si="5"/>
        <v>-203.02303754295028</v>
      </c>
      <c r="AL22" s="1548">
        <f t="shared" ca="1" si="5"/>
        <v>-208.90481636930818</v>
      </c>
      <c r="AM22" s="1548"/>
      <c r="AN22" s="1548"/>
      <c r="AO22" s="1548"/>
      <c r="AP22" s="1548"/>
      <c r="AQ22" s="1548"/>
      <c r="AR22" s="1548"/>
      <c r="AS22" s="1548"/>
      <c r="AT22" s="1548"/>
      <c r="AU22" s="1548"/>
      <c r="AV22" s="1548"/>
      <c r="AW22" s="1548"/>
    </row>
    <row r="23" spans="1:49" s="1550" customFormat="1">
      <c r="A23" s="1548"/>
      <c r="C23" s="1549"/>
      <c r="D23" s="1548"/>
      <c r="E23" s="1548"/>
      <c r="F23" s="1548"/>
      <c r="G23" s="1548"/>
      <c r="H23" s="1548"/>
      <c r="I23" s="1551"/>
      <c r="J23" s="1548"/>
      <c r="K23" s="1548"/>
      <c r="L23" s="1548"/>
      <c r="M23" s="1548"/>
      <c r="N23" s="1548"/>
      <c r="O23" s="1548"/>
      <c r="P23" s="1548"/>
      <c r="Q23" s="1548"/>
      <c r="R23" s="1548"/>
      <c r="S23" s="1548"/>
      <c r="T23" s="1548"/>
      <c r="U23" s="1548"/>
      <c r="V23" s="1548"/>
      <c r="W23" s="1548"/>
      <c r="X23" s="1548"/>
      <c r="Y23" s="1548"/>
      <c r="Z23" s="1548"/>
      <c r="AA23" s="1548"/>
      <c r="AB23" s="1548"/>
      <c r="AC23" s="1548"/>
      <c r="AD23" s="1548"/>
      <c r="AE23" s="1548"/>
      <c r="AF23" s="1548"/>
      <c r="AG23" s="1548"/>
      <c r="AH23" s="1548"/>
      <c r="AI23" s="1548"/>
      <c r="AJ23" s="1548"/>
      <c r="AK23" s="1548"/>
      <c r="AL23" s="1548"/>
      <c r="AM23" s="1548"/>
      <c r="AN23" s="1548"/>
      <c r="AO23" s="1548"/>
      <c r="AP23" s="1548"/>
      <c r="AQ23" s="1548"/>
      <c r="AR23" s="1548"/>
      <c r="AS23" s="1548"/>
      <c r="AT23" s="1548"/>
      <c r="AU23" s="1548"/>
      <c r="AV23" s="1548"/>
      <c r="AW23" s="1548"/>
    </row>
    <row r="24" spans="1:49">
      <c r="A24" s="53"/>
      <c r="B24" s="2" t="s">
        <v>446</v>
      </c>
      <c r="C24" s="194" t="str">
        <f>$C$9</f>
        <v>US$</v>
      </c>
      <c r="D24" s="1531">
        <f ca="1">SUM(I24:AW24)</f>
        <v>-358661539.87112331</v>
      </c>
      <c r="E24" s="191"/>
      <c r="F24" s="191"/>
      <c r="G24" s="191"/>
      <c r="H24" s="191"/>
      <c r="I24" s="1529">
        <f>-'O&amp;M Costs'!I388</f>
        <v>0</v>
      </c>
      <c r="J24" s="1529">
        <f>-'O&amp;M Costs'!J388</f>
        <v>0</v>
      </c>
      <c r="K24" s="1529">
        <f>-'O&amp;M Costs'!K388</f>
        <v>0</v>
      </c>
      <c r="L24" s="1531">
        <f ca="1">-'O&amp;M Costs'!L388</f>
        <v>-9448335.0346973613</v>
      </c>
      <c r="M24" s="1531">
        <f ca="1">-'O&amp;M Costs'!M388</f>
        <v>-9677683.9633286987</v>
      </c>
      <c r="N24" s="1531">
        <f ca="1">-'O&amp;M Costs'!N388</f>
        <v>-9893470.1289934479</v>
      </c>
      <c r="O24" s="1531">
        <f ca="1">-'O&amp;M Costs'!O388</f>
        <v>-10197629.856370891</v>
      </c>
      <c r="P24" s="1531">
        <f ca="1">-'O&amp;M Costs'!P388</f>
        <v>-10425117.153775867</v>
      </c>
      <c r="Q24" s="1531">
        <f ca="1">-'O&amp;M Costs'!Q388</f>
        <v>-10686933.477651533</v>
      </c>
      <c r="R24" s="1531">
        <f ca="1">-'O&amp;M Costs'!R388</f>
        <v>-10925449.061510943</v>
      </c>
      <c r="S24" s="1531">
        <f ca="1">-'O&amp;M Costs'!S388</f>
        <v>-11261572.35167513</v>
      </c>
      <c r="T24" s="1531">
        <f ca="1">-'O&amp;M Costs'!T388</f>
        <v>-11513033.727067156</v>
      </c>
      <c r="U24" s="1531">
        <f ca="1">-'O&amp;M Costs'!U388</f>
        <v>-11802418.705376925</v>
      </c>
      <c r="V24" s="1531">
        <f ca="1">-'O&amp;M Costs'!V388</f>
        <v>-12066083.325695781</v>
      </c>
      <c r="W24" s="1531">
        <f ca="1">-'O&amp;M Costs'!W388</f>
        <v>-12437563.959074007</v>
      </c>
      <c r="X24" s="1531">
        <f ca="1">-'O&amp;M Costs'!X388</f>
        <v>-12715552.969634131</v>
      </c>
      <c r="Y24" s="1531">
        <f ca="1">-'O&amp;M Costs'!Y388</f>
        <v>-13035440.273661826</v>
      </c>
      <c r="Z24" s="1531">
        <f ca="1">-'O&amp;M Costs'!Z388</f>
        <v>-13326934.145624699</v>
      </c>
      <c r="AA24" s="1531">
        <f ca="1">-'O&amp;M Costs'!AA388</f>
        <v>-13737530.380354211</v>
      </c>
      <c r="AB24" s="1531">
        <f ca="1">-'O&amp;M Costs'!AB388</f>
        <v>-14044875.774810214</v>
      </c>
      <c r="AC24" s="1531">
        <f ca="1">-'O&amp;M Costs'!AC388</f>
        <v>-14398514.908099452</v>
      </c>
      <c r="AD24" s="1531">
        <f ca="1">-'O&amp;M Costs'!AD388</f>
        <v>-14720807.265219627</v>
      </c>
      <c r="AE24" s="1531">
        <f ca="1">-'O&amp;M Costs'!AE388</f>
        <v>-15174681.467607941</v>
      </c>
      <c r="AF24" s="1531">
        <f ca="1">-'O&amp;M Costs'!AF388</f>
        <v>-15514517.219006401</v>
      </c>
      <c r="AG24" s="1531">
        <f ca="1">-'O&amp;M Costs'!AG388</f>
        <v>-15905507.94791254</v>
      </c>
      <c r="AH24" s="1531">
        <f ca="1">-'O&amp;M Costs'!AH388</f>
        <v>-16261888.604318043</v>
      </c>
      <c r="AI24" s="1531">
        <f ca="1">-'O&amp;M Costs'!AI388</f>
        <v>-16763651.245097453</v>
      </c>
      <c r="AJ24" s="1531">
        <f ca="1">-'O&amp;M Costs'!AJ388</f>
        <v>-17139449.904776216</v>
      </c>
      <c r="AK24" s="1531">
        <f ca="1">-'O&amp;M Costs'!AK388</f>
        <v>-17571780.492255561</v>
      </c>
      <c r="AL24" s="1531">
        <f ca="1">-'O&amp;M Costs'!AL388</f>
        <v>-18015116.527527355</v>
      </c>
      <c r="AM24" s="1531"/>
      <c r="AN24" s="1531"/>
      <c r="AO24" s="1531"/>
      <c r="AP24" s="1531"/>
      <c r="AQ24" s="1531"/>
      <c r="AR24" s="1531"/>
      <c r="AS24" s="1531"/>
      <c r="AT24" s="1531"/>
      <c r="AU24" s="1531"/>
      <c r="AV24" s="1531"/>
      <c r="AW24" s="1531"/>
    </row>
    <row r="25" spans="1:49">
      <c r="A25" s="53"/>
      <c r="B25" s="1544" t="s">
        <v>1676</v>
      </c>
      <c r="C25" s="194"/>
      <c r="D25" s="1531"/>
      <c r="E25" s="191"/>
      <c r="F25" s="191"/>
      <c r="G25" s="191"/>
      <c r="H25" s="191"/>
      <c r="I25" s="1529"/>
      <c r="J25" s="1529"/>
      <c r="K25" s="1529"/>
      <c r="L25" s="1547">
        <f t="shared" ref="L25:AL25" ca="1" si="6">L24/L7</f>
        <v>-4.2227195685798264</v>
      </c>
      <c r="M25" s="1547">
        <f t="shared" ca="1" si="6"/>
        <v>-4.0748143003489261</v>
      </c>
      <c r="N25" s="1547">
        <f t="shared" ca="1" si="6"/>
        <v>-4.1656716332603994</v>
      </c>
      <c r="O25" s="1547">
        <f t="shared" ca="1" si="6"/>
        <v>-4.2937388868930064</v>
      </c>
      <c r="P25" s="1547">
        <f t="shared" ca="1" si="6"/>
        <v>-4.3895230121161548</v>
      </c>
      <c r="Q25" s="1547">
        <f t="shared" ca="1" si="6"/>
        <v>-4.4997614642743295</v>
      </c>
      <c r="R25" s="1547">
        <f t="shared" ca="1" si="6"/>
        <v>-4.6001890785309234</v>
      </c>
      <c r="S25" s="1547">
        <f t="shared" ca="1" si="6"/>
        <v>-4.7417146743895282</v>
      </c>
      <c r="T25" s="1547">
        <f t="shared" ca="1" si="6"/>
        <v>-4.8475931482388024</v>
      </c>
      <c r="U25" s="1547">
        <f t="shared" ca="1" si="6"/>
        <v>-4.9694394548955474</v>
      </c>
      <c r="V25" s="1547">
        <f t="shared" ca="1" si="6"/>
        <v>-5.0804561371350658</v>
      </c>
      <c r="W25" s="1547">
        <f t="shared" ca="1" si="6"/>
        <v>-5.2368690353995824</v>
      </c>
      <c r="X25" s="1547">
        <f t="shared" ca="1" si="6"/>
        <v>-5.3539170398459497</v>
      </c>
      <c r="Y25" s="1547">
        <f t="shared" ca="1" si="6"/>
        <v>-5.4886064310155058</v>
      </c>
      <c r="Z25" s="1547">
        <f t="shared" ca="1" si="6"/>
        <v>-5.6113406928946103</v>
      </c>
      <c r="AA25" s="1547">
        <f t="shared" ca="1" si="6"/>
        <v>-5.7842233180438782</v>
      </c>
      <c r="AB25" s="1547">
        <f t="shared" ca="1" si="6"/>
        <v>-5.913631905183248</v>
      </c>
      <c r="AC25" s="1547">
        <f t="shared" ca="1" si="6"/>
        <v>-6.0625325928839802</v>
      </c>
      <c r="AD25" s="1547">
        <f t="shared" ca="1" si="6"/>
        <v>-6.1982346379872117</v>
      </c>
      <c r="AE25" s="1547">
        <f t="shared" ca="1" si="6"/>
        <v>-6.3893395653086067</v>
      </c>
      <c r="AF25" s="1547">
        <f t="shared" ca="1" si="6"/>
        <v>-6.5324283027395369</v>
      </c>
      <c r="AG25" s="1547">
        <f t="shared" ca="1" si="6"/>
        <v>-6.6970559780684384</v>
      </c>
      <c r="AH25" s="1547">
        <f t="shared" ca="1" si="6"/>
        <v>-6.8471109912918076</v>
      </c>
      <c r="AI25" s="1547">
        <f t="shared" ca="1" si="6"/>
        <v>-7.0583794716199799</v>
      </c>
      <c r="AJ25" s="1547">
        <f t="shared" ca="1" si="6"/>
        <v>-7.2166104862215645</v>
      </c>
      <c r="AK25" s="1547">
        <f t="shared" ca="1" si="6"/>
        <v>-7.3986444177918154</v>
      </c>
      <c r="AL25" s="1547">
        <f t="shared" ca="1" si="6"/>
        <v>-7.585312222116781</v>
      </c>
      <c r="AM25" s="1547"/>
      <c r="AN25" s="1547"/>
      <c r="AO25" s="1547"/>
      <c r="AP25" s="1547"/>
      <c r="AQ25" s="1547"/>
      <c r="AR25" s="1547"/>
      <c r="AS25" s="1547"/>
      <c r="AT25" s="1547"/>
      <c r="AU25" s="1547"/>
      <c r="AV25" s="1547"/>
      <c r="AW25" s="1547"/>
    </row>
    <row r="26" spans="1:49">
      <c r="A26" s="53"/>
      <c r="B26" s="1544" t="s">
        <v>1678</v>
      </c>
      <c r="C26" s="194"/>
      <c r="D26" s="1531"/>
      <c r="E26" s="191"/>
      <c r="F26" s="191"/>
      <c r="G26" s="191"/>
      <c r="H26" s="191"/>
      <c r="I26" s="1529"/>
      <c r="J26" s="1529"/>
      <c r="K26" s="1529"/>
      <c r="L26" s="1548">
        <f ca="1">(L17+L24)</f>
        <v>-234859920.41113243</v>
      </c>
      <c r="M26" s="1548">
        <f t="shared" ref="M26:AL26" ca="1" si="7">M17+M24</f>
        <v>-253001362.77858603</v>
      </c>
      <c r="N26" s="1548">
        <f t="shared" ca="1" si="7"/>
        <v>-260109532.11690342</v>
      </c>
      <c r="O26" s="1548">
        <f t="shared" ca="1" si="7"/>
        <v>-267892813.45445779</v>
      </c>
      <c r="P26" s="1548">
        <f t="shared" ca="1" si="7"/>
        <v>-275422899.92509693</v>
      </c>
      <c r="Q26" s="1548">
        <f t="shared" ca="1" si="7"/>
        <v>-283333121.11578125</v>
      </c>
      <c r="R26" s="1548">
        <f t="shared" ca="1" si="7"/>
        <v>-291303161.34508544</v>
      </c>
      <c r="S26" s="1548">
        <f t="shared" ca="1" si="7"/>
        <v>-300020533.09133637</v>
      </c>
      <c r="T26" s="1548">
        <f t="shared" ca="1" si="7"/>
        <v>-308463890.46923751</v>
      </c>
      <c r="U26" s="1548">
        <f t="shared" ca="1" si="7"/>
        <v>-317330266.9300493</v>
      </c>
      <c r="V26" s="1548">
        <f t="shared" ca="1" si="7"/>
        <v>-326267338.63790399</v>
      </c>
      <c r="W26" s="1548">
        <f t="shared" ca="1" si="7"/>
        <v>-336031780.41864479</v>
      </c>
      <c r="X26" s="1548">
        <f t="shared" ca="1" si="7"/>
        <v>-345499865.78254938</v>
      </c>
      <c r="Y26" s="1548">
        <f t="shared" ca="1" si="7"/>
        <v>-355438756.74132943</v>
      </c>
      <c r="Z26" s="1548">
        <f t="shared" ca="1" si="7"/>
        <v>-365460919.4005304</v>
      </c>
      <c r="AA26" s="1548">
        <f t="shared" ca="1" si="7"/>
        <v>-376399167.18335277</v>
      </c>
      <c r="AB26" s="1548">
        <f t="shared" ca="1" si="7"/>
        <v>-387017111.37243205</v>
      </c>
      <c r="AC26" s="1548">
        <f t="shared" ca="1" si="7"/>
        <v>-398159117.29529256</v>
      </c>
      <c r="AD26" s="1548">
        <f t="shared" ca="1" si="7"/>
        <v>-409398918.36627591</v>
      </c>
      <c r="AE26" s="1548">
        <f t="shared" ca="1" si="7"/>
        <v>-421653148.85231179</v>
      </c>
      <c r="AF26" s="1548">
        <f t="shared" ca="1" si="7"/>
        <v>-433561441.29087764</v>
      </c>
      <c r="AG26" s="1548">
        <f t="shared" ca="1" si="7"/>
        <v>-446053155.17547005</v>
      </c>
      <c r="AH26" s="1548">
        <f t="shared" ca="1" si="7"/>
        <v>-458659415.68772948</v>
      </c>
      <c r="AI26" s="1548">
        <f t="shared" ca="1" si="7"/>
        <v>-472389137.91525298</v>
      </c>
      <c r="AJ26" s="1548">
        <f t="shared" ca="1" si="7"/>
        <v>-485745519.77809834</v>
      </c>
      <c r="AK26" s="1548">
        <f t="shared" ca="1" si="7"/>
        <v>-499751494.65676248</v>
      </c>
      <c r="AL26" s="1548">
        <f t="shared" ca="1" si="7"/>
        <v>-514164055.40463424</v>
      </c>
      <c r="AM26" s="1548"/>
      <c r="AN26" s="1548"/>
      <c r="AO26" s="1548"/>
      <c r="AP26" s="1548"/>
      <c r="AQ26" s="1548"/>
      <c r="AR26" s="1548"/>
      <c r="AS26" s="1548"/>
      <c r="AT26" s="1548"/>
      <c r="AU26" s="1548"/>
      <c r="AV26" s="1548"/>
      <c r="AW26" s="1548"/>
    </row>
    <row r="27" spans="1:49">
      <c r="A27" s="53"/>
      <c r="B27" s="1544" t="s">
        <v>1677</v>
      </c>
      <c r="C27" s="194"/>
      <c r="D27" s="1531"/>
      <c r="E27" s="191"/>
      <c r="F27" s="191"/>
      <c r="G27" s="191"/>
      <c r="H27" s="191"/>
      <c r="I27" s="1529"/>
      <c r="J27" s="1529"/>
      <c r="K27" s="1529"/>
      <c r="L27" s="1546" t="e">
        <f ca="1">L26/L9</f>
        <v>#DIV/0!</v>
      </c>
      <c r="M27" s="1546" t="e">
        <f t="shared" ref="M27:AL27" ca="1" si="8">M26/M9</f>
        <v>#DIV/0!</v>
      </c>
      <c r="N27" s="1546" t="e">
        <f t="shared" ca="1" si="8"/>
        <v>#DIV/0!</v>
      </c>
      <c r="O27" s="1546" t="e">
        <f t="shared" ca="1" si="8"/>
        <v>#DIV/0!</v>
      </c>
      <c r="P27" s="1546" t="e">
        <f t="shared" ca="1" si="8"/>
        <v>#DIV/0!</v>
      </c>
      <c r="Q27" s="1546" t="e">
        <f t="shared" ca="1" si="8"/>
        <v>#DIV/0!</v>
      </c>
      <c r="R27" s="1546" t="e">
        <f t="shared" ca="1" si="8"/>
        <v>#DIV/0!</v>
      </c>
      <c r="S27" s="1546" t="e">
        <f t="shared" ca="1" si="8"/>
        <v>#DIV/0!</v>
      </c>
      <c r="T27" s="1546" t="e">
        <f t="shared" ca="1" si="8"/>
        <v>#DIV/0!</v>
      </c>
      <c r="U27" s="1546" t="e">
        <f t="shared" ca="1" si="8"/>
        <v>#DIV/0!</v>
      </c>
      <c r="V27" s="1546" t="e">
        <f t="shared" ca="1" si="8"/>
        <v>#DIV/0!</v>
      </c>
      <c r="W27" s="1546" t="e">
        <f t="shared" ca="1" si="8"/>
        <v>#DIV/0!</v>
      </c>
      <c r="X27" s="1546" t="e">
        <f t="shared" ca="1" si="8"/>
        <v>#DIV/0!</v>
      </c>
      <c r="Y27" s="1546" t="e">
        <f t="shared" ca="1" si="8"/>
        <v>#DIV/0!</v>
      </c>
      <c r="Z27" s="1546" t="e">
        <f t="shared" ca="1" si="8"/>
        <v>#DIV/0!</v>
      </c>
      <c r="AA27" s="1546" t="e">
        <f t="shared" ca="1" si="8"/>
        <v>#DIV/0!</v>
      </c>
      <c r="AB27" s="1546" t="e">
        <f t="shared" ca="1" si="8"/>
        <v>#DIV/0!</v>
      </c>
      <c r="AC27" s="1546" t="e">
        <f t="shared" ca="1" si="8"/>
        <v>#DIV/0!</v>
      </c>
      <c r="AD27" s="1546" t="e">
        <f t="shared" ca="1" si="8"/>
        <v>#DIV/0!</v>
      </c>
      <c r="AE27" s="1546" t="e">
        <f t="shared" ca="1" si="8"/>
        <v>#DIV/0!</v>
      </c>
      <c r="AF27" s="1546" t="e">
        <f t="shared" ca="1" si="8"/>
        <v>#DIV/0!</v>
      </c>
      <c r="AG27" s="1546" t="e">
        <f t="shared" ca="1" si="8"/>
        <v>#DIV/0!</v>
      </c>
      <c r="AH27" s="1546" t="e">
        <f t="shared" ca="1" si="8"/>
        <v>#DIV/0!</v>
      </c>
      <c r="AI27" s="1546" t="e">
        <f t="shared" ca="1" si="8"/>
        <v>#DIV/0!</v>
      </c>
      <c r="AJ27" s="1546" t="e">
        <f t="shared" ca="1" si="8"/>
        <v>#DIV/0!</v>
      </c>
      <c r="AK27" s="1546" t="e">
        <f t="shared" ca="1" si="8"/>
        <v>#DIV/0!</v>
      </c>
      <c r="AL27" s="1546" t="e">
        <f t="shared" ca="1" si="8"/>
        <v>#DIV/0!</v>
      </c>
      <c r="AM27" s="1546"/>
      <c r="AN27" s="1546"/>
      <c r="AO27" s="1546"/>
      <c r="AP27" s="1546"/>
      <c r="AQ27" s="1546"/>
      <c r="AR27" s="1546"/>
      <c r="AS27" s="1546"/>
      <c r="AT27" s="1546"/>
      <c r="AU27" s="1546"/>
      <c r="AV27" s="1546"/>
      <c r="AW27" s="1546"/>
    </row>
    <row r="28" spans="1:49">
      <c r="A28" s="53"/>
      <c r="C28" s="194"/>
      <c r="D28" s="1531"/>
      <c r="E28" s="191"/>
      <c r="F28" s="191"/>
      <c r="G28" s="191"/>
      <c r="H28" s="191"/>
      <c r="I28" s="1529"/>
      <c r="J28" s="1529"/>
      <c r="K28" s="1529"/>
      <c r="L28" s="1531"/>
      <c r="M28" s="1531"/>
      <c r="N28" s="1531"/>
      <c r="O28" s="1531"/>
      <c r="P28" s="1531"/>
      <c r="Q28" s="1531"/>
      <c r="R28" s="1531"/>
      <c r="S28" s="1531"/>
      <c r="T28" s="1531"/>
      <c r="U28" s="1531"/>
      <c r="V28" s="1531"/>
      <c r="W28" s="1531"/>
      <c r="X28" s="1531"/>
      <c r="Y28" s="1531"/>
      <c r="Z28" s="1531"/>
      <c r="AA28" s="1531"/>
      <c r="AB28" s="1531"/>
      <c r="AC28" s="1531"/>
      <c r="AD28" s="1531"/>
      <c r="AE28" s="1531"/>
      <c r="AF28" s="1531"/>
      <c r="AG28" s="1531"/>
      <c r="AH28" s="1531"/>
      <c r="AI28" s="1531"/>
      <c r="AJ28" s="1531"/>
      <c r="AK28" s="1531"/>
      <c r="AL28" s="1531"/>
      <c r="AM28" s="1531"/>
      <c r="AN28" s="1531"/>
      <c r="AO28" s="1531"/>
      <c r="AP28" s="1531"/>
      <c r="AQ28" s="1531"/>
      <c r="AR28" s="1531"/>
      <c r="AS28" s="1531"/>
      <c r="AT28" s="1531"/>
      <c r="AU28" s="1531"/>
      <c r="AV28" s="1531"/>
      <c r="AW28" s="1531"/>
    </row>
    <row r="29" spans="1:49">
      <c r="A29" s="53"/>
      <c r="B29" s="27" t="s">
        <v>338</v>
      </c>
      <c r="C29" s="195" t="str">
        <f>$C$24</f>
        <v>US$</v>
      </c>
      <c r="D29" s="192">
        <f ca="1">SUM(I29:AV29)</f>
        <v>-608452231.54245424</v>
      </c>
      <c r="E29" s="192"/>
      <c r="F29" s="193"/>
      <c r="G29" s="192"/>
      <c r="H29" s="192"/>
      <c r="I29" s="192">
        <f>-'O&amp;M Costs'!I391</f>
        <v>0</v>
      </c>
      <c r="J29" s="192">
        <f>-'O&amp;M Costs'!J391</f>
        <v>0</v>
      </c>
      <c r="K29" s="192">
        <f ca="1">-'O&amp;M Costs'!K391</f>
        <v>-9064495.497197248</v>
      </c>
      <c r="L29" s="1532">
        <f ca="1">-'O&amp;M Costs'!L391</f>
        <v>-16049670.883398969</v>
      </c>
      <c r="M29" s="1532">
        <f ca="1">-'O&amp;M Costs'!M391</f>
        <v>-16418813.313717142</v>
      </c>
      <c r="N29" s="1532">
        <f ca="1">-'O&amp;M Costs'!N391</f>
        <v>-16766928.044084478</v>
      </c>
      <c r="O29" s="1532">
        <f ca="1">-'O&amp;M Costs'!O391</f>
        <v>-17263541.736064114</v>
      </c>
      <c r="P29" s="1532">
        <f ca="1">-'O&amp;M Costs'!P391</f>
        <v>-17629566.55538613</v>
      </c>
      <c r="Q29" s="1532">
        <f ca="1">-'O&amp;M Costs'!Q391</f>
        <v>-18052676.152715396</v>
      </c>
      <c r="R29" s="1532">
        <f ca="1">-'O&amp;M Costs'!R391</f>
        <v>-18435432.346554391</v>
      </c>
      <c r="S29" s="1532">
        <f ca="1">-'O&amp;M Costs'!S391</f>
        <v>-18981464.87539877</v>
      </c>
      <c r="T29" s="1532">
        <f ca="1">-'O&amp;M Costs'!T391</f>
        <v>-19383913.420297932</v>
      </c>
      <c r="U29" s="1532">
        <f ca="1">-'O&amp;M Costs'!U391</f>
        <v>-19849127.342385083</v>
      </c>
      <c r="V29" s="1532">
        <f ca="1">-'O&amp;M Costs'!V391</f>
        <v>-20269972.22811434</v>
      </c>
      <c r="W29" s="1532">
        <f ca="1">-'O&amp;M Costs'!W391</f>
        <v>-20870341.342722669</v>
      </c>
      <c r="X29" s="1532">
        <f ca="1">-'O&amp;M Costs'!X391</f>
        <v>-21312838.197420835</v>
      </c>
      <c r="Y29" s="1532">
        <f ca="1">-'O&amp;M Costs'!Y391</f>
        <v>-21824346.314158935</v>
      </c>
      <c r="Z29" s="1532">
        <f ca="1">-'O&amp;M Costs'!Z391</f>
        <v>-22287070.159508318</v>
      </c>
      <c r="AA29" s="1532">
        <f ca="1">-'O&amp;M Costs'!AA391</f>
        <v>-22947182.981977757</v>
      </c>
      <c r="AB29" s="1532">
        <f ca="1">-'O&amp;M Costs'!AB391</f>
        <v>-23433713.418972693</v>
      </c>
      <c r="AC29" s="1532">
        <f ca="1">-'O&amp;M Costs'!AC391</f>
        <v>-23996122.541028038</v>
      </c>
      <c r="AD29" s="1532">
        <f ca="1">-'O&amp;M Costs'!AD391</f>
        <v>-24504892.789438911</v>
      </c>
      <c r="AE29" s="1532">
        <f ca="1">-'O&amp;M Costs'!AE391</f>
        <v>-25230694.513388097</v>
      </c>
      <c r="AF29" s="1532">
        <f ca="1">-'O&amp;M Costs'!AF391</f>
        <v>-25765640.386130966</v>
      </c>
      <c r="AG29" s="1532">
        <f ca="1">-'O&amp;M Costs'!AG391</f>
        <v>-26384015.75539811</v>
      </c>
      <c r="AH29" s="1532">
        <f ca="1">-'O&amp;M Costs'!AH391</f>
        <v>-26943414.559392344</v>
      </c>
      <c r="AI29" s="1532">
        <f ca="1">-'O&amp;M Costs'!AI391</f>
        <v>-27741441.99433434</v>
      </c>
      <c r="AJ29" s="1532">
        <f ca="1">-'O&amp;M Costs'!AJ391</f>
        <v>-28329621.201645907</v>
      </c>
      <c r="AK29" s="1532">
        <f ca="1">-'O&amp;M Costs'!AK391</f>
        <v>-29009532.110485408</v>
      </c>
      <c r="AL29" s="1532">
        <f ca="1">-'O&amp;M Costs'!AL391</f>
        <v>-29705760.881137066</v>
      </c>
      <c r="AM29" s="1532"/>
      <c r="AN29" s="1532"/>
      <c r="AO29" s="1532"/>
      <c r="AP29" s="1532"/>
      <c r="AQ29" s="1532"/>
      <c r="AR29" s="1532"/>
      <c r="AS29" s="1532"/>
      <c r="AT29" s="1532"/>
      <c r="AU29" s="1532"/>
      <c r="AV29" s="1532"/>
      <c r="AW29" s="1532"/>
    </row>
    <row r="30" spans="1:49">
      <c r="A30" s="53"/>
      <c r="B30" s="10" t="s">
        <v>1675</v>
      </c>
      <c r="C30" s="196" t="str">
        <f>$C$29</f>
        <v>US$</v>
      </c>
      <c r="D30" s="197">
        <f ca="1">SUM(D9:D29)</f>
        <v>-10654979181.475658</v>
      </c>
      <c r="E30" s="197"/>
      <c r="F30" s="197"/>
      <c r="G30" s="197"/>
      <c r="H30" s="197"/>
      <c r="I30" s="197">
        <f ca="1">SUM(I9:I29)</f>
        <v>0</v>
      </c>
      <c r="J30" s="197">
        <f ca="1">SUM(J9:J29)</f>
        <v>-74453662.31968756</v>
      </c>
      <c r="K30" s="197">
        <f ca="1">SUM(K9:K29)</f>
        <v>-157749937.51359648</v>
      </c>
      <c r="L30" s="197">
        <f t="shared" ref="L30:AL30" ca="1" si="9">L17+L24+L29</f>
        <v>-250909591.2945314</v>
      </c>
      <c r="M30" s="197">
        <f t="shared" ca="1" si="9"/>
        <v>-269420176.09230316</v>
      </c>
      <c r="N30" s="197">
        <f t="shared" ca="1" si="9"/>
        <v>-276876460.16098791</v>
      </c>
      <c r="O30" s="197">
        <f t="shared" ca="1" si="9"/>
        <v>-285156355.1905219</v>
      </c>
      <c r="P30" s="197">
        <f t="shared" ca="1" si="9"/>
        <v>-293052466.48048306</v>
      </c>
      <c r="Q30" s="197">
        <f t="shared" ca="1" si="9"/>
        <v>-301385797.26849663</v>
      </c>
      <c r="R30" s="197">
        <f t="shared" ca="1" si="9"/>
        <v>-309738593.69163984</v>
      </c>
      <c r="S30" s="197">
        <f t="shared" ca="1" si="9"/>
        <v>-319001997.96673512</v>
      </c>
      <c r="T30" s="197">
        <f t="shared" ca="1" si="9"/>
        <v>-327847803.88953543</v>
      </c>
      <c r="U30" s="197">
        <f t="shared" ca="1" si="9"/>
        <v>-337179394.27243435</v>
      </c>
      <c r="V30" s="197">
        <f t="shared" ca="1" si="9"/>
        <v>-346537310.86601835</v>
      </c>
      <c r="W30" s="197">
        <f t="shared" ca="1" si="9"/>
        <v>-356902121.76136744</v>
      </c>
      <c r="X30" s="197">
        <f t="shared" ca="1" si="9"/>
        <v>-366812703.97997022</v>
      </c>
      <c r="Y30" s="197">
        <f t="shared" ca="1" si="9"/>
        <v>-377263103.05548835</v>
      </c>
      <c r="Z30" s="197">
        <f t="shared" ca="1" si="9"/>
        <v>-387747989.56003869</v>
      </c>
      <c r="AA30" s="197">
        <f t="shared" ca="1" si="9"/>
        <v>-399346350.16533053</v>
      </c>
      <c r="AB30" s="197">
        <f t="shared" ca="1" si="9"/>
        <v>-410450824.79140472</v>
      </c>
      <c r="AC30" s="197">
        <f t="shared" ca="1" si="9"/>
        <v>-422155239.83632058</v>
      </c>
      <c r="AD30" s="197">
        <f t="shared" ca="1" si="9"/>
        <v>-433903811.15571481</v>
      </c>
      <c r="AE30" s="197">
        <f t="shared" ca="1" si="9"/>
        <v>-446883843.36569989</v>
      </c>
      <c r="AF30" s="197">
        <f t="shared" ca="1" si="9"/>
        <v>-459327081.67700863</v>
      </c>
      <c r="AG30" s="197">
        <f t="shared" ca="1" si="9"/>
        <v>-472437170.93086815</v>
      </c>
      <c r="AH30" s="197">
        <f t="shared" ca="1" si="9"/>
        <v>-485602830.24712181</v>
      </c>
      <c r="AI30" s="197">
        <f t="shared" ca="1" si="9"/>
        <v>-500130579.90958732</v>
      </c>
      <c r="AJ30" s="197">
        <f t="shared" ca="1" si="9"/>
        <v>-514075140.97974426</v>
      </c>
      <c r="AK30" s="197">
        <f t="shared" ca="1" si="9"/>
        <v>-528761026.76724792</v>
      </c>
      <c r="AL30" s="197">
        <f t="shared" ca="1" si="9"/>
        <v>-543869816.28577125</v>
      </c>
      <c r="AM30" s="197"/>
      <c r="AN30" s="197"/>
      <c r="AO30" s="197"/>
      <c r="AP30" s="197"/>
      <c r="AQ30" s="197"/>
      <c r="AR30" s="197"/>
      <c r="AS30" s="197"/>
      <c r="AT30" s="197"/>
      <c r="AU30" s="197"/>
      <c r="AV30" s="197"/>
      <c r="AW30" s="197"/>
    </row>
    <row r="31" spans="1:49" s="1544" customFormat="1">
      <c r="A31" s="1548"/>
      <c r="B31" s="1544" t="s">
        <v>1679</v>
      </c>
      <c r="C31" s="1549"/>
      <c r="D31" s="1548"/>
      <c r="E31" s="1548"/>
      <c r="F31" s="1548"/>
      <c r="G31" s="1548"/>
      <c r="H31" s="1548"/>
      <c r="I31" s="1548"/>
      <c r="J31" s="1548"/>
      <c r="K31" s="1548"/>
      <c r="L31" s="1545" t="e">
        <f ca="1">L30/L9</f>
        <v>#DIV/0!</v>
      </c>
      <c r="M31" s="1545" t="e">
        <f t="shared" ref="M31:AL31" ca="1" si="10">M30/M9</f>
        <v>#DIV/0!</v>
      </c>
      <c r="N31" s="1545" t="e">
        <f t="shared" ca="1" si="10"/>
        <v>#DIV/0!</v>
      </c>
      <c r="O31" s="1545" t="e">
        <f t="shared" ca="1" si="10"/>
        <v>#DIV/0!</v>
      </c>
      <c r="P31" s="1545" t="e">
        <f t="shared" ca="1" si="10"/>
        <v>#DIV/0!</v>
      </c>
      <c r="Q31" s="1545" t="e">
        <f t="shared" ca="1" si="10"/>
        <v>#DIV/0!</v>
      </c>
      <c r="R31" s="1545" t="e">
        <f t="shared" ca="1" si="10"/>
        <v>#DIV/0!</v>
      </c>
      <c r="S31" s="1545" t="e">
        <f t="shared" ca="1" si="10"/>
        <v>#DIV/0!</v>
      </c>
      <c r="T31" s="1545" t="e">
        <f t="shared" ca="1" si="10"/>
        <v>#DIV/0!</v>
      </c>
      <c r="U31" s="1545" t="e">
        <f t="shared" ca="1" si="10"/>
        <v>#DIV/0!</v>
      </c>
      <c r="V31" s="1545" t="e">
        <f t="shared" ca="1" si="10"/>
        <v>#DIV/0!</v>
      </c>
      <c r="W31" s="1545" t="e">
        <f t="shared" ca="1" si="10"/>
        <v>#DIV/0!</v>
      </c>
      <c r="X31" s="1545" t="e">
        <f t="shared" ca="1" si="10"/>
        <v>#DIV/0!</v>
      </c>
      <c r="Y31" s="1545" t="e">
        <f t="shared" ca="1" si="10"/>
        <v>#DIV/0!</v>
      </c>
      <c r="Z31" s="1545" t="e">
        <f t="shared" ca="1" si="10"/>
        <v>#DIV/0!</v>
      </c>
      <c r="AA31" s="1545" t="e">
        <f t="shared" ca="1" si="10"/>
        <v>#DIV/0!</v>
      </c>
      <c r="AB31" s="1545" t="e">
        <f t="shared" ca="1" si="10"/>
        <v>#DIV/0!</v>
      </c>
      <c r="AC31" s="1545" t="e">
        <f t="shared" ca="1" si="10"/>
        <v>#DIV/0!</v>
      </c>
      <c r="AD31" s="1545" t="e">
        <f t="shared" ca="1" si="10"/>
        <v>#DIV/0!</v>
      </c>
      <c r="AE31" s="1545" t="e">
        <f t="shared" ca="1" si="10"/>
        <v>#DIV/0!</v>
      </c>
      <c r="AF31" s="1545" t="e">
        <f t="shared" ca="1" si="10"/>
        <v>#DIV/0!</v>
      </c>
      <c r="AG31" s="1545" t="e">
        <f t="shared" ca="1" si="10"/>
        <v>#DIV/0!</v>
      </c>
      <c r="AH31" s="1545" t="e">
        <f t="shared" ca="1" si="10"/>
        <v>#DIV/0!</v>
      </c>
      <c r="AI31" s="1545" t="e">
        <f t="shared" ca="1" si="10"/>
        <v>#DIV/0!</v>
      </c>
      <c r="AJ31" s="1545" t="e">
        <f t="shared" ca="1" si="10"/>
        <v>#DIV/0!</v>
      </c>
      <c r="AK31" s="1545" t="e">
        <f t="shared" ca="1" si="10"/>
        <v>#DIV/0!</v>
      </c>
      <c r="AL31" s="1545" t="e">
        <f t="shared" ca="1" si="10"/>
        <v>#DIV/0!</v>
      </c>
      <c r="AM31" s="1545"/>
      <c r="AN31" s="1545"/>
      <c r="AO31" s="1545"/>
      <c r="AP31" s="1545"/>
      <c r="AQ31" s="1545"/>
      <c r="AR31" s="1545"/>
      <c r="AS31" s="1545"/>
      <c r="AT31" s="1545"/>
      <c r="AU31" s="1545"/>
      <c r="AV31" s="1545"/>
      <c r="AW31" s="1545"/>
    </row>
    <row r="32" spans="1:49">
      <c r="A32" s="53"/>
      <c r="B32" s="1544" t="s">
        <v>1680</v>
      </c>
      <c r="C32" s="196"/>
      <c r="D32" s="197"/>
      <c r="E32" s="197"/>
      <c r="F32" s="197"/>
      <c r="G32" s="197"/>
      <c r="H32" s="197"/>
      <c r="I32" s="197"/>
      <c r="J32" s="197"/>
      <c r="K32" s="197"/>
      <c r="L32" s="1548">
        <f t="shared" ref="L32:AL32" ca="1" si="11">L30/L7</f>
        <v>-112.13836482437158</v>
      </c>
      <c r="M32" s="1548">
        <f t="shared" ca="1" si="11"/>
        <v>-113.44007414412765</v>
      </c>
      <c r="N32" s="1548">
        <f t="shared" ca="1" si="11"/>
        <v>-116.57956217304755</v>
      </c>
      <c r="O32" s="1548">
        <f t="shared" ca="1" si="11"/>
        <v>-120.06583376443027</v>
      </c>
      <c r="P32" s="1548">
        <f t="shared" ca="1" si="11"/>
        <v>-123.39051220230866</v>
      </c>
      <c r="Q32" s="1548">
        <f t="shared" ca="1" si="11"/>
        <v>-126.89928306041963</v>
      </c>
      <c r="R32" s="1548">
        <f t="shared" ca="1" si="11"/>
        <v>-130.41624997542729</v>
      </c>
      <c r="S32" s="1548">
        <f t="shared" ca="1" si="11"/>
        <v>-134.31663072283584</v>
      </c>
      <c r="T32" s="1548">
        <f t="shared" ca="1" si="11"/>
        <v>-138.04118058506754</v>
      </c>
      <c r="U32" s="1548">
        <f t="shared" ca="1" si="11"/>
        <v>-141.97027127260395</v>
      </c>
      <c r="V32" s="1548">
        <f t="shared" ca="1" si="11"/>
        <v>-145.91044668042878</v>
      </c>
      <c r="W32" s="1548">
        <f t="shared" ca="1" si="11"/>
        <v>-150.27457758373365</v>
      </c>
      <c r="X32" s="1548">
        <f t="shared" ca="1" si="11"/>
        <v>-154.44745430735588</v>
      </c>
      <c r="Y32" s="1548">
        <f t="shared" ca="1" si="11"/>
        <v>-158.84762233915299</v>
      </c>
      <c r="Z32" s="1548">
        <f t="shared" ca="1" si="11"/>
        <v>-163.26231139370049</v>
      </c>
      <c r="AA32" s="1548">
        <f t="shared" ca="1" si="11"/>
        <v>-168.14583164856023</v>
      </c>
      <c r="AB32" s="1548">
        <f t="shared" ca="1" si="11"/>
        <v>-172.82139991217042</v>
      </c>
      <c r="AC32" s="1548">
        <f t="shared" ca="1" si="11"/>
        <v>-177.74957466792446</v>
      </c>
      <c r="AD32" s="1548">
        <f t="shared" ca="1" si="11"/>
        <v>-182.69634153924835</v>
      </c>
      <c r="AE32" s="1548">
        <f t="shared" ca="1" si="11"/>
        <v>-188.16161825924206</v>
      </c>
      <c r="AF32" s="1548">
        <f t="shared" ca="1" si="11"/>
        <v>-193.40087649558259</v>
      </c>
      <c r="AG32" s="1548">
        <f t="shared" ca="1" si="11"/>
        <v>-198.92091407615501</v>
      </c>
      <c r="AH32" s="1548">
        <f t="shared" ca="1" si="11"/>
        <v>-204.4643495777355</v>
      </c>
      <c r="AI32" s="1548">
        <f t="shared" ca="1" si="11"/>
        <v>-210.58129680403675</v>
      </c>
      <c r="AJ32" s="1548">
        <f t="shared" ca="1" si="11"/>
        <v>-216.45269093883968</v>
      </c>
      <c r="AK32" s="1548">
        <f t="shared" ca="1" si="11"/>
        <v>-222.63622179673595</v>
      </c>
      <c r="AL32" s="1548">
        <f t="shared" ca="1" si="11"/>
        <v>-228.99781738348264</v>
      </c>
      <c r="AM32" s="1548"/>
      <c r="AN32" s="1548"/>
      <c r="AO32" s="1548"/>
      <c r="AP32" s="1548"/>
      <c r="AQ32" s="1548"/>
      <c r="AR32" s="1548"/>
      <c r="AS32" s="1548"/>
      <c r="AT32" s="1548"/>
      <c r="AU32" s="1548"/>
      <c r="AV32" s="1548"/>
      <c r="AW32" s="1548"/>
    </row>
    <row r="33" spans="1:49">
      <c r="A33" s="53"/>
      <c r="B33" s="29"/>
      <c r="C33" s="194"/>
      <c r="D33" s="191"/>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191"/>
      <c r="AE33" s="191"/>
      <c r="AF33" s="191"/>
      <c r="AG33" s="191"/>
      <c r="AH33" s="191"/>
      <c r="AI33" s="191"/>
      <c r="AJ33" s="191"/>
    </row>
    <row r="34" spans="1:49">
      <c r="A34" s="53"/>
      <c r="B34" s="27" t="s">
        <v>269</v>
      </c>
      <c r="C34" s="195" t="str">
        <f>$C$24</f>
        <v>US$</v>
      </c>
      <c r="D34" s="1530">
        <f ca="1">SUM(I33:AW34)</f>
        <v>-2713466572.0060039</v>
      </c>
      <c r="E34" s="192"/>
      <c r="F34" s="192"/>
      <c r="G34" s="192"/>
      <c r="H34" s="192"/>
      <c r="I34" s="192">
        <f ca="1">'Fixed Assets'!I52</f>
        <v>0</v>
      </c>
      <c r="J34" s="192">
        <f ca="1">'Fixed Assets'!J52</f>
        <v>0</v>
      </c>
      <c r="K34" s="192">
        <f ca="1">'Fixed Assets'!K52</f>
        <v>-147873253.31429383</v>
      </c>
      <c r="L34" s="1532">
        <f ca="1">'Fixed Assets'!L52*'O&amp;M Costs'!L378</f>
        <v>-95021974.766359627</v>
      </c>
      <c r="M34" s="1532">
        <f ca="1">'Fixed Assets'!M52*'O&amp;M Costs'!M378</f>
        <v>-95021974.766359627</v>
      </c>
      <c r="N34" s="1532">
        <f ca="1">'Fixed Assets'!N52*'O&amp;M Costs'!N378</f>
        <v>-94762351.884484336</v>
      </c>
      <c r="O34" s="1532">
        <f ca="1">'Fixed Assets'!O52*'O&amp;M Costs'!O378</f>
        <v>-95282308.943801731</v>
      </c>
      <c r="P34" s="1532">
        <f ca="1">'Fixed Assets'!P52*'O&amp;M Costs'!P378</f>
        <v>-95021974.766359627</v>
      </c>
      <c r="Q34" s="1532">
        <f ca="1">'Fixed Assets'!Q52*'O&amp;M Costs'!Q378</f>
        <v>-95021974.766359627</v>
      </c>
      <c r="R34" s="1532">
        <f ca="1">'Fixed Assets'!R52*'O&amp;M Costs'!R378</f>
        <v>-94762351.884484336</v>
      </c>
      <c r="S34" s="1532">
        <f ca="1">'Fixed Assets'!S52*'O&amp;M Costs'!S378</f>
        <v>-95282308.943801731</v>
      </c>
      <c r="T34" s="1532">
        <f ca="1">'Fixed Assets'!T52*'O&amp;M Costs'!T378</f>
        <v>-95021974.766359627</v>
      </c>
      <c r="U34" s="1532">
        <f ca="1">'Fixed Assets'!U52*'O&amp;M Costs'!U378</f>
        <v>-95021974.766359627</v>
      </c>
      <c r="V34" s="1532">
        <f ca="1">'Fixed Assets'!V52*'O&amp;M Costs'!V378</f>
        <v>-94762351.884484336</v>
      </c>
      <c r="W34" s="1532">
        <f ca="1">'Fixed Assets'!W52*'O&amp;M Costs'!W378</f>
        <v>-95282308.943801731</v>
      </c>
      <c r="X34" s="1532">
        <f ca="1">'Fixed Assets'!X52*'O&amp;M Costs'!X378</f>
        <v>-95021974.766359627</v>
      </c>
      <c r="Y34" s="1532">
        <f ca="1">'Fixed Assets'!Y52*'O&amp;M Costs'!Y378</f>
        <v>-95021974.766359627</v>
      </c>
      <c r="Z34" s="1532">
        <f ca="1">'Fixed Assets'!Z52*'O&amp;M Costs'!Z378</f>
        <v>-94762351.884484336</v>
      </c>
      <c r="AA34" s="1532">
        <f ca="1">'Fixed Assets'!AA52*'O&amp;M Costs'!AA378</f>
        <v>-95282308.943801731</v>
      </c>
      <c r="AB34" s="1532">
        <f ca="1">'Fixed Assets'!AB52*'O&amp;M Costs'!AB378</f>
        <v>-95021974.766359627</v>
      </c>
      <c r="AC34" s="1532">
        <f ca="1">'Fixed Assets'!AC52*'O&amp;M Costs'!AC378</f>
        <v>-95021974.766359627</v>
      </c>
      <c r="AD34" s="1532">
        <f ca="1">'Fixed Assets'!AD52*'O&amp;M Costs'!AD378</f>
        <v>-94762351.884484336</v>
      </c>
      <c r="AE34" s="1532">
        <f ca="1">'Fixed Assets'!AE52*'O&amp;M Costs'!AE378</f>
        <v>-95282308.943801731</v>
      </c>
      <c r="AF34" s="1532">
        <f ca="1">'Fixed Assets'!AF52*'O&amp;M Costs'!AF378</f>
        <v>-95021974.766359627</v>
      </c>
      <c r="AG34" s="1532">
        <f ca="1">'Fixed Assets'!AG52*'O&amp;M Costs'!AG378</f>
        <v>-95021974.766359627</v>
      </c>
      <c r="AH34" s="1532">
        <f ca="1">'Fixed Assets'!AH52*'O&amp;M Costs'!AH378</f>
        <v>-94762351.884484336</v>
      </c>
      <c r="AI34" s="1532">
        <f ca="1">'Fixed Assets'!AI52*'O&amp;M Costs'!AI378</f>
        <v>-95282308.943801731</v>
      </c>
      <c r="AJ34" s="1532">
        <f ca="1">'Fixed Assets'!AJ52*'O&amp;M Costs'!AJ378</f>
        <v>-95021974.766359627</v>
      </c>
      <c r="AK34" s="1532">
        <f ca="1">'Fixed Assets'!AK52*'O&amp;M Costs'!AK378</f>
        <v>-95021974.766359627</v>
      </c>
      <c r="AL34" s="1532">
        <f ca="1">'Fixed Assets'!AL52*'O&amp;M Costs'!AL378</f>
        <v>-95017706.992959052</v>
      </c>
      <c r="AM34" s="1532"/>
      <c r="AN34" s="1532"/>
      <c r="AO34" s="1532"/>
      <c r="AP34" s="1532"/>
      <c r="AQ34" s="1532"/>
      <c r="AR34" s="1532"/>
      <c r="AS34" s="1532"/>
      <c r="AT34" s="1532"/>
      <c r="AU34" s="1532"/>
      <c r="AV34" s="1532"/>
      <c r="AW34" s="1532"/>
    </row>
    <row r="35" spans="1:49">
      <c r="A35" s="53"/>
      <c r="B35" s="10" t="s">
        <v>1364</v>
      </c>
      <c r="C35" s="196" t="str">
        <f>$C$29</f>
        <v>US$</v>
      </c>
      <c r="D35" s="197">
        <f ca="1">D34+D30</f>
        <v>-13368445753.481663</v>
      </c>
      <c r="E35" s="197"/>
      <c r="F35" s="197"/>
      <c r="G35" s="197"/>
      <c r="H35" s="197"/>
      <c r="I35" s="197">
        <f t="shared" ref="I35:AL35" ca="1" si="12">I34+I30</f>
        <v>0</v>
      </c>
      <c r="J35" s="197">
        <f t="shared" ca="1" si="12"/>
        <v>-74453662.31968756</v>
      </c>
      <c r="K35" s="197">
        <f t="shared" ca="1" si="12"/>
        <v>-305623190.82789028</v>
      </c>
      <c r="L35" s="197">
        <f t="shared" ca="1" si="12"/>
        <v>-345931566.06089103</v>
      </c>
      <c r="M35" s="197">
        <f t="shared" ca="1" si="12"/>
        <v>-364442150.85866278</v>
      </c>
      <c r="N35" s="197">
        <f t="shared" ca="1" si="12"/>
        <v>-371638812.04547226</v>
      </c>
      <c r="O35" s="197">
        <f t="shared" ca="1" si="12"/>
        <v>-380438664.1343236</v>
      </c>
      <c r="P35" s="197">
        <f t="shared" ca="1" si="12"/>
        <v>-388074441.24684268</v>
      </c>
      <c r="Q35" s="197">
        <f t="shared" ca="1" si="12"/>
        <v>-396407772.03485626</v>
      </c>
      <c r="R35" s="197">
        <f t="shared" ca="1" si="12"/>
        <v>-404500945.57612419</v>
      </c>
      <c r="S35" s="197">
        <f t="shared" ca="1" si="12"/>
        <v>-414284306.91053689</v>
      </c>
      <c r="T35" s="197">
        <f t="shared" ca="1" si="12"/>
        <v>-422869778.65589505</v>
      </c>
      <c r="U35" s="197">
        <f t="shared" ca="1" si="12"/>
        <v>-432201369.03879398</v>
      </c>
      <c r="V35" s="197">
        <f t="shared" ca="1" si="12"/>
        <v>-441299662.75050271</v>
      </c>
      <c r="W35" s="197">
        <f t="shared" ca="1" si="12"/>
        <v>-452184430.7051692</v>
      </c>
      <c r="X35" s="197">
        <f t="shared" ca="1" si="12"/>
        <v>-461834678.74632984</v>
      </c>
      <c r="Y35" s="197">
        <f t="shared" ca="1" si="12"/>
        <v>-472285077.82184798</v>
      </c>
      <c r="Z35" s="197">
        <f t="shared" ca="1" si="12"/>
        <v>-482510341.44452304</v>
      </c>
      <c r="AA35" s="197">
        <f t="shared" ca="1" si="12"/>
        <v>-494628659.10913229</v>
      </c>
      <c r="AB35" s="197">
        <f t="shared" ca="1" si="12"/>
        <v>-505472799.55776435</v>
      </c>
      <c r="AC35" s="197">
        <f t="shared" ca="1" si="12"/>
        <v>-517177214.60268021</v>
      </c>
      <c r="AD35" s="197">
        <f t="shared" ca="1" si="12"/>
        <v>-528666163.04019916</v>
      </c>
      <c r="AE35" s="197">
        <f t="shared" ca="1" si="12"/>
        <v>-542166152.30950165</v>
      </c>
      <c r="AF35" s="197">
        <f t="shared" ca="1" si="12"/>
        <v>-554349056.4433682</v>
      </c>
      <c r="AG35" s="197">
        <f t="shared" ca="1" si="12"/>
        <v>-567459145.69722772</v>
      </c>
      <c r="AH35" s="197">
        <f t="shared" ca="1" si="12"/>
        <v>-580365182.1316061</v>
      </c>
      <c r="AI35" s="197">
        <f t="shared" ca="1" si="12"/>
        <v>-595412888.85338902</v>
      </c>
      <c r="AJ35" s="197">
        <f t="shared" ca="1" si="12"/>
        <v>-609097115.74610388</v>
      </c>
      <c r="AK35" s="197">
        <f t="shared" ca="1" si="12"/>
        <v>-623783001.53360748</v>
      </c>
      <c r="AL35" s="197">
        <f t="shared" ca="1" si="12"/>
        <v>-638887523.27873027</v>
      </c>
      <c r="AM35" s="197"/>
      <c r="AN35" s="197"/>
      <c r="AO35" s="197"/>
      <c r="AP35" s="197"/>
      <c r="AQ35" s="197"/>
      <c r="AR35" s="197"/>
      <c r="AS35" s="197"/>
      <c r="AT35" s="197"/>
      <c r="AU35" s="197"/>
      <c r="AV35" s="197"/>
      <c r="AW35" s="197"/>
    </row>
    <row r="36" spans="1:49">
      <c r="A36" s="53"/>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c r="AG36" s="191"/>
      <c r="AH36" s="191"/>
      <c r="AI36" s="191"/>
      <c r="AJ36" s="191"/>
    </row>
    <row r="37" spans="1:49">
      <c r="A37" s="53"/>
      <c r="B37" s="2" t="s">
        <v>449</v>
      </c>
      <c r="C37" s="194" t="str">
        <f>$C$9</f>
        <v>US$</v>
      </c>
      <c r="D37" s="191">
        <f ca="1">SUM(I37:AW37)</f>
        <v>2153882244.9757738</v>
      </c>
      <c r="E37" s="191"/>
      <c r="F37" s="191"/>
      <c r="G37" s="191"/>
      <c r="H37" s="191"/>
      <c r="I37" s="1529">
        <f>'Rev &amp; Receivables'!J188</f>
        <v>0</v>
      </c>
      <c r="J37" s="1529">
        <f ca="1">'Rev &amp; Receivables'!K188</f>
        <v>0</v>
      </c>
      <c r="K37" s="1529">
        <f ca="1">'Rev &amp; Receivables'!L188</f>
        <v>0</v>
      </c>
      <c r="L37" s="1529">
        <f ca="1">'Rev &amp; Receivables'!M188*'O&amp;M Costs'!L378</f>
        <v>9355169.7507274374</v>
      </c>
      <c r="M37" s="1529">
        <f ca="1">'Rev &amp; Receivables'!N188*'O&amp;M Costs'!M378</f>
        <v>12983519.68454548</v>
      </c>
      <c r="N37" s="1529">
        <f ca="1">'Rev &amp; Receivables'!O188*'O&amp;M Costs'!N378</f>
        <v>18988515.299452115</v>
      </c>
      <c r="O37" s="1529">
        <f ca="1">'Rev &amp; Receivables'!P188*'O&amp;M Costs'!O378</f>
        <v>24274789.274317339</v>
      </c>
      <c r="P37" s="1529">
        <f ca="1">'Rev &amp; Receivables'!Q188*'O&amp;M Costs'!P378</f>
        <v>30161096.887512162</v>
      </c>
      <c r="Q37" s="1529">
        <f ca="1">'Rev &amp; Receivables'!R188*'O&amp;M Costs'!Q378</f>
        <v>36732899.367462017</v>
      </c>
      <c r="R37" s="1529">
        <f ca="1">'Rev &amp; Receivables'!S188*'O&amp;M Costs'!R378</f>
        <v>43716424.523764618</v>
      </c>
      <c r="S37" s="1529">
        <f ca="1">'Rev &amp; Receivables'!T188*'O&amp;M Costs'!S378</f>
        <v>48313789.168062508</v>
      </c>
      <c r="T37" s="1529">
        <f ca="1">'Rev &amp; Receivables'!U188*'O&amp;M Costs'!T378</f>
        <v>57045681.256104439</v>
      </c>
      <c r="U37" s="1529">
        <f ca="1">'Rev &amp; Receivables'!V188*'O&amp;M Costs'!U378</f>
        <v>65588185.44559285</v>
      </c>
      <c r="V37" s="1529">
        <f ca="1">'Rev &amp; Receivables'!W188*'O&amp;M Costs'!V378</f>
        <v>73666703.808000445</v>
      </c>
      <c r="W37" s="1529">
        <f ca="1">'Rev &amp; Receivables'!X188*'O&amp;M Costs'!W378</f>
        <v>82250475.822707847</v>
      </c>
      <c r="X37" s="1529">
        <f ca="1">'Rev &amp; Receivables'!Y188*'O&amp;M Costs'!X378</f>
        <v>89981612.317385778</v>
      </c>
      <c r="Y37" s="1529">
        <f ca="1">'Rev &amp; Receivables'!Z188*'O&amp;M Costs'!Y378</f>
        <v>92006103.913738236</v>
      </c>
      <c r="Z37" s="1529">
        <f ca="1">'Rev &amp; Receivables'!AA188*'O&amp;M Costs'!Z378</f>
        <v>92682920.185268447</v>
      </c>
      <c r="AA37" s="1529">
        <f ca="1">'Rev &amp; Receivables'!AB188*'O&amp;M Costs'!AA378</f>
        <v>94490618.618955836</v>
      </c>
      <c r="AB37" s="1529">
        <f ca="1">'Rev &amp; Receivables'!AC188*'O&amp;M Costs'!AB378</f>
        <v>95700396.015571713</v>
      </c>
      <c r="AC37" s="1529">
        <f ca="1">'Rev &amp; Receivables'!AD188*'O&amp;M Costs'!AC378</f>
        <v>97700344.913137078</v>
      </c>
      <c r="AD37" s="1529">
        <f ca="1">'Rev &amp; Receivables'!AE188*'O&amp;M Costs'!AD378</f>
        <v>99850073.089065671</v>
      </c>
      <c r="AE37" s="1529">
        <f ca="1">'Rev &amp; Receivables'!AF188*'O&amp;M Costs'!AE378</f>
        <v>103265363.6899814</v>
      </c>
      <c r="AF37" s="1529">
        <f ca="1">'Rev &amp; Receivables'!AG188*'O&amp;M Costs'!AF378</f>
        <v>106063024.56727558</v>
      </c>
      <c r="AG37" s="1529">
        <f ca="1">'Rev &amp; Receivables'!AH188*'O&amp;M Costs'!AG378</f>
        <v>109518017.58213228</v>
      </c>
      <c r="AH37" s="1529">
        <f ca="1">'Rev &amp; Receivables'!AI188*'O&amp;M Costs'!AH378</f>
        <v>112947179.17570014</v>
      </c>
      <c r="AI37" s="1529">
        <f ca="1">'Rev &amp; Receivables'!AJ188*'O&amp;M Costs'!AI378</f>
        <v>117639541.39239095</v>
      </c>
      <c r="AJ37" s="1529">
        <f ca="1">'Rev &amp; Receivables'!AK188*'O&amp;M Costs'!AJ378</f>
        <v>121487239.52201115</v>
      </c>
      <c r="AK37" s="1529">
        <f ca="1">'Rev &amp; Receivables'!AL188*'O&amp;M Costs'!AK378</f>
        <v>145952742.34652939</v>
      </c>
      <c r="AL37" s="1529">
        <f ca="1">'Rev &amp; Receivables'!AM188*'O&amp;M Costs'!AL378</f>
        <v>171519817.35838076</v>
      </c>
      <c r="AM37" s="1529"/>
      <c r="AN37" s="1529"/>
      <c r="AO37" s="1529"/>
      <c r="AP37" s="1529"/>
      <c r="AQ37" s="1529"/>
      <c r="AR37" s="1529"/>
      <c r="AS37" s="1529"/>
      <c r="AT37" s="1529"/>
      <c r="AU37" s="1529"/>
      <c r="AV37" s="1529"/>
      <c r="AW37" s="1529"/>
    </row>
    <row r="38" spans="1:49">
      <c r="A38" s="53"/>
      <c r="B38" s="2" t="s">
        <v>450</v>
      </c>
      <c r="C38" s="194" t="str">
        <f>$C$9</f>
        <v>US$</v>
      </c>
      <c r="D38" s="1529">
        <f ca="1">SUM(I38:AW38)</f>
        <v>0</v>
      </c>
      <c r="E38" s="191"/>
      <c r="F38" s="191"/>
      <c r="G38" s="191"/>
      <c r="H38" s="191"/>
      <c r="I38" s="1529">
        <f>'O&amp;M Costs'!I361</f>
        <v>0</v>
      </c>
      <c r="J38" s="1529">
        <f ca="1">'O&amp;M Costs'!J361</f>
        <v>0</v>
      </c>
      <c r="K38" s="1529">
        <f ca="1">'O&amp;M Costs'!K361</f>
        <v>0</v>
      </c>
      <c r="L38" s="1529">
        <f ca="1">'O&amp;M Costs'!L361*'O&amp;M Costs'!L378</f>
        <v>0</v>
      </c>
      <c r="M38" s="1529">
        <f ca="1">'O&amp;M Costs'!M361*'O&amp;M Costs'!M378</f>
        <v>0</v>
      </c>
      <c r="N38" s="1529">
        <f ca="1">'O&amp;M Costs'!N361*'O&amp;M Costs'!N378</f>
        <v>0</v>
      </c>
      <c r="O38" s="1529">
        <f ca="1">'O&amp;M Costs'!O361*'O&amp;M Costs'!O378</f>
        <v>0</v>
      </c>
      <c r="P38" s="1529">
        <f ca="1">'O&amp;M Costs'!P361*'O&amp;M Costs'!P378</f>
        <v>0</v>
      </c>
      <c r="Q38" s="1529">
        <f ca="1">'O&amp;M Costs'!Q361*'O&amp;M Costs'!Q378</f>
        <v>0</v>
      </c>
      <c r="R38" s="1529">
        <f ca="1">'O&amp;M Costs'!R361*'O&amp;M Costs'!R378</f>
        <v>0</v>
      </c>
      <c r="S38" s="1529">
        <f ca="1">'O&amp;M Costs'!S361*'O&amp;M Costs'!S378</f>
        <v>0</v>
      </c>
      <c r="T38" s="1529">
        <f ca="1">'O&amp;M Costs'!T361*'O&amp;M Costs'!T378</f>
        <v>0</v>
      </c>
      <c r="U38" s="1529">
        <f ca="1">'O&amp;M Costs'!U361*'O&amp;M Costs'!U378</f>
        <v>0</v>
      </c>
      <c r="V38" s="1529">
        <f ca="1">'O&amp;M Costs'!V361*'O&amp;M Costs'!V378</f>
        <v>0</v>
      </c>
      <c r="W38" s="1529">
        <f ca="1">'O&amp;M Costs'!W361*'O&amp;M Costs'!W378</f>
        <v>0</v>
      </c>
      <c r="X38" s="1529">
        <f ca="1">'O&amp;M Costs'!X361*'O&amp;M Costs'!X378</f>
        <v>0</v>
      </c>
      <c r="Y38" s="1529">
        <f ca="1">'O&amp;M Costs'!Y361*'O&amp;M Costs'!Y378</f>
        <v>0</v>
      </c>
      <c r="Z38" s="1529">
        <f ca="1">'O&amp;M Costs'!Z361*'O&amp;M Costs'!Z378</f>
        <v>0</v>
      </c>
      <c r="AA38" s="1529">
        <f ca="1">'O&amp;M Costs'!AA361*'O&amp;M Costs'!AA378</f>
        <v>0</v>
      </c>
      <c r="AB38" s="1529">
        <f ca="1">'O&amp;M Costs'!AB361*'O&amp;M Costs'!AB378</f>
        <v>0</v>
      </c>
      <c r="AC38" s="1529">
        <f ca="1">'O&amp;M Costs'!AC361*'O&amp;M Costs'!AC378</f>
        <v>0</v>
      </c>
      <c r="AD38" s="1529">
        <f ca="1">'O&amp;M Costs'!AD361*'O&amp;M Costs'!AD378</f>
        <v>0</v>
      </c>
      <c r="AE38" s="1529">
        <f ca="1">'O&amp;M Costs'!AE361*'O&amp;M Costs'!AE378</f>
        <v>0</v>
      </c>
      <c r="AF38" s="1529">
        <f ca="1">'O&amp;M Costs'!AF361*'O&amp;M Costs'!AF378</f>
        <v>0</v>
      </c>
      <c r="AG38" s="1529">
        <f ca="1">'O&amp;M Costs'!AG361*'O&amp;M Costs'!AG378</f>
        <v>0</v>
      </c>
      <c r="AH38" s="1529">
        <f ca="1">'O&amp;M Costs'!AH361*'O&amp;M Costs'!AH378</f>
        <v>0</v>
      </c>
      <c r="AI38" s="1529">
        <f ca="1">'O&amp;M Costs'!AI361*'O&amp;M Costs'!AI378</f>
        <v>0</v>
      </c>
      <c r="AJ38" s="1529">
        <f ca="1">'O&amp;M Costs'!AJ361*'O&amp;M Costs'!AJ378</f>
        <v>0</v>
      </c>
      <c r="AK38" s="1529">
        <f ca="1">'O&amp;M Costs'!AK361*'O&amp;M Costs'!AK378</f>
        <v>0</v>
      </c>
      <c r="AL38" s="1529">
        <f ca="1">'O&amp;M Costs'!AL361*'O&amp;M Costs'!AL378</f>
        <v>0</v>
      </c>
      <c r="AM38" s="1529"/>
      <c r="AN38" s="1529"/>
      <c r="AO38" s="1529"/>
      <c r="AP38" s="1529"/>
      <c r="AQ38" s="1529"/>
      <c r="AR38" s="1529"/>
      <c r="AS38" s="1529"/>
      <c r="AT38" s="1529"/>
      <c r="AU38" s="1529"/>
      <c r="AV38" s="1529"/>
      <c r="AW38" s="1529"/>
    </row>
    <row r="39" spans="1:49">
      <c r="A39" s="53"/>
      <c r="B39" s="2" t="s">
        <v>451</v>
      </c>
      <c r="C39" s="194" t="str">
        <f>$C$9</f>
        <v>US$</v>
      </c>
      <c r="D39" s="1529">
        <f ca="1">SUM(I39:AW39)</f>
        <v>-767917348.39561272</v>
      </c>
      <c r="E39" s="191"/>
      <c r="F39" s="191"/>
      <c r="G39" s="191"/>
      <c r="H39" s="191"/>
      <c r="I39" s="1529">
        <f>-SUM('Debt Schedule'!I73:I74,'Debt Schedule'!I51)</f>
        <v>0</v>
      </c>
      <c r="J39" s="1529">
        <f ca="1">-SUM('Debt Schedule'!J73:J74,'Debt Schedule'!J51)</f>
        <v>0</v>
      </c>
      <c r="K39" s="1529">
        <f ca="1">-SUM('Debt Schedule'!K73:K74,'Debt Schedule'!K51)</f>
        <v>0</v>
      </c>
      <c r="L39" s="1531">
        <f ca="1">(-SUM('Debt Schedule'!L73:L74,'Debt Schedule'!L51))*'O&amp;M Costs'!L378</f>
        <v>-192016605.72886887</v>
      </c>
      <c r="M39" s="1531">
        <f ca="1">(-SUM('Debt Schedule'!M73:M74,'Debt Schedule'!M51))*'O&amp;M Costs'!M378</f>
        <v>-164585662.05331615</v>
      </c>
      <c r="N39" s="1531">
        <f ca="1">(-SUM('Debt Schedule'!N73:N74,'Debt Schedule'!N51))*'O&amp;M Costs'!N378</f>
        <v>-136779978.71006465</v>
      </c>
      <c r="O39" s="1531">
        <f ca="1">(-SUM('Debt Schedule'!O73:O74,'Debt Schedule'!O51))*'O&amp;M Costs'!O378</f>
        <v>-110024387.78358668</v>
      </c>
      <c r="P39" s="1531">
        <f ca="1">(-SUM('Debt Schedule'!P73:P74,'Debt Schedule'!P51))*'O&amp;M Costs'!P378</f>
        <v>-82292831.026658073</v>
      </c>
      <c r="Q39" s="1531">
        <f ca="1">(-SUM('Debt Schedule'!Q73:Q74,'Debt Schedule'!Q51))*'O&amp;M Costs'!Q378</f>
        <v>-54861887.351105385</v>
      </c>
      <c r="R39" s="1531">
        <f ca="1">(-SUM('Debt Schedule'!R73:R74,'Debt Schedule'!R51))*'O&amp;M Costs'!R378</f>
        <v>-27355995.742012929</v>
      </c>
      <c r="S39" s="1531">
        <f ca="1">(-SUM('Debt Schedule'!S73:S74,'Debt Schedule'!S51))*'O&amp;M Costs'!S378</f>
        <v>0</v>
      </c>
      <c r="T39" s="1531">
        <f ca="1">(-SUM('Debt Schedule'!T73:T74,'Debt Schedule'!T51))*'O&amp;M Costs'!T378</f>
        <v>0</v>
      </c>
      <c r="U39" s="1531">
        <f ca="1">(-SUM('Debt Schedule'!U73:U74,'Debt Schedule'!U51))*'O&amp;M Costs'!U378</f>
        <v>0</v>
      </c>
      <c r="V39" s="1531">
        <f ca="1">(-SUM('Debt Schedule'!V73:V74,'Debt Schedule'!V51))*'O&amp;M Costs'!V378</f>
        <v>0</v>
      </c>
      <c r="W39" s="1531">
        <f ca="1">(-SUM('Debt Schedule'!W73:W74,'Debt Schedule'!W51))*'O&amp;M Costs'!W378</f>
        <v>0</v>
      </c>
      <c r="X39" s="1531">
        <f ca="1">(-SUM('Debt Schedule'!X73:X74,'Debt Schedule'!X51))*'O&amp;M Costs'!X378</f>
        <v>0</v>
      </c>
      <c r="Y39" s="1531">
        <f ca="1">(-SUM('Debt Schedule'!Y73:Y74,'Debt Schedule'!Y51))*'O&amp;M Costs'!Y378</f>
        <v>0</v>
      </c>
      <c r="Z39" s="1531">
        <f ca="1">(-SUM('Debt Schedule'!Z73:Z74,'Debt Schedule'!Z51))*'O&amp;M Costs'!Z378</f>
        <v>0</v>
      </c>
      <c r="AA39" s="1531">
        <f ca="1">(-SUM('Debt Schedule'!AA73:AA74,'Debt Schedule'!AA51))*'O&amp;M Costs'!AA378</f>
        <v>0</v>
      </c>
      <c r="AB39" s="1531">
        <f ca="1">(-SUM('Debt Schedule'!AB73:AB74,'Debt Schedule'!AB51))*'O&amp;M Costs'!AB378</f>
        <v>0</v>
      </c>
      <c r="AC39" s="1531">
        <f ca="1">(-SUM('Debt Schedule'!AC73:AC74,'Debt Schedule'!AC51))*'O&amp;M Costs'!AC378</f>
        <v>0</v>
      </c>
      <c r="AD39" s="1531">
        <f ca="1">(-SUM('Debt Schedule'!AD73:AD74,'Debt Schedule'!AD51))*'O&amp;M Costs'!AD378</f>
        <v>0</v>
      </c>
      <c r="AE39" s="1531">
        <f ca="1">(-SUM('Debt Schedule'!AE73:AE74,'Debt Schedule'!AE51))*'O&amp;M Costs'!AE378</f>
        <v>0</v>
      </c>
      <c r="AF39" s="1531">
        <f ca="1">(-SUM('Debt Schedule'!AF73:AF74,'Debt Schedule'!AF51))*'O&amp;M Costs'!AF378</f>
        <v>0</v>
      </c>
      <c r="AG39" s="1531">
        <f ca="1">(-SUM('Debt Schedule'!AG73:AG74,'Debt Schedule'!AG51))*'O&amp;M Costs'!AG378</f>
        <v>0</v>
      </c>
      <c r="AH39" s="1531">
        <f ca="1">(-SUM('Debt Schedule'!AH73:AH74,'Debt Schedule'!AH51))*'O&amp;M Costs'!AH378</f>
        <v>0</v>
      </c>
      <c r="AI39" s="1531">
        <f ca="1">(-SUM('Debt Schedule'!AI73:AI74,'Debt Schedule'!AI51))*'O&amp;M Costs'!AI378</f>
        <v>0</v>
      </c>
      <c r="AJ39" s="1531">
        <f ca="1">(-SUM('Debt Schedule'!AJ73:AJ74,'Debt Schedule'!AJ51))*'O&amp;M Costs'!AJ378</f>
        <v>0</v>
      </c>
      <c r="AK39" s="1531">
        <f ca="1">(-SUM('Debt Schedule'!AK73:AK74,'Debt Schedule'!AK51))*'O&amp;M Costs'!AK378</f>
        <v>0</v>
      </c>
      <c r="AL39" s="1531">
        <f ca="1">(-SUM('Debt Schedule'!AL73:AL74,'Debt Schedule'!AL51))*'O&amp;M Costs'!AL378</f>
        <v>0</v>
      </c>
      <c r="AM39" s="1531"/>
      <c r="AN39" s="1531"/>
      <c r="AO39" s="1531"/>
      <c r="AP39" s="1531"/>
      <c r="AQ39" s="1531"/>
      <c r="AR39" s="1531"/>
      <c r="AS39" s="1531"/>
      <c r="AT39" s="1531"/>
      <c r="AU39" s="1531"/>
      <c r="AV39" s="1531"/>
      <c r="AW39" s="1531"/>
    </row>
    <row r="40" spans="1:49">
      <c r="A40" s="53"/>
      <c r="B40" s="27" t="s">
        <v>452</v>
      </c>
      <c r="C40" s="195" t="str">
        <f>$C$24</f>
        <v>US$</v>
      </c>
      <c r="D40" s="192">
        <f ca="1">SUM(I40:AW40)</f>
        <v>0</v>
      </c>
      <c r="E40" s="192"/>
      <c r="F40" s="192"/>
      <c r="G40" s="192"/>
      <c r="H40" s="192"/>
      <c r="I40" s="192">
        <f ca="1">-SUM('Debt Schedule'!I119:I120,'Debt Schedule'!I98)</f>
        <v>0</v>
      </c>
      <c r="J40" s="192">
        <f ca="1">-SUM('Debt Schedule'!J119:J120,'Debt Schedule'!J98)</f>
        <v>0</v>
      </c>
      <c r="K40" s="192">
        <f ca="1">-SUM('Debt Schedule'!K119:K120,'Debt Schedule'!K98)</f>
        <v>0</v>
      </c>
      <c r="L40" s="192">
        <f ca="1">-SUM('Debt Schedule'!L119:L120,'Debt Schedule'!L98)</f>
        <v>0</v>
      </c>
      <c r="M40" s="192">
        <f ca="1">-SUM('Debt Schedule'!M119:M120,'Debt Schedule'!M98)</f>
        <v>0</v>
      </c>
      <c r="N40" s="192">
        <f ca="1">-SUM('Debt Schedule'!N119:N120,'Debt Schedule'!N98)</f>
        <v>0</v>
      </c>
      <c r="O40" s="192">
        <f ca="1">-SUM('Debt Schedule'!O119:O120,'Debt Schedule'!O98)</f>
        <v>0</v>
      </c>
      <c r="P40" s="192">
        <f ca="1">-SUM('Debt Schedule'!P119:P120,'Debt Schedule'!P98)</f>
        <v>0</v>
      </c>
      <c r="Q40" s="192">
        <f ca="1">-SUM('Debt Schedule'!Q119:Q120,'Debt Schedule'!Q98)</f>
        <v>0</v>
      </c>
      <c r="R40" s="192">
        <f ca="1">-SUM('Debt Schedule'!R119:R120,'Debt Schedule'!R98)</f>
        <v>0</v>
      </c>
      <c r="S40" s="192">
        <f ca="1">-SUM('Debt Schedule'!S119:S120,'Debt Schedule'!S98)</f>
        <v>0</v>
      </c>
      <c r="T40" s="192">
        <f ca="1">-SUM('Debt Schedule'!T119:T120,'Debt Schedule'!T98)</f>
        <v>0</v>
      </c>
      <c r="U40" s="192">
        <f ca="1">-SUM('Debt Schedule'!U119:U120,'Debt Schedule'!U98)</f>
        <v>0</v>
      </c>
      <c r="V40" s="192">
        <f ca="1">-SUM('Debt Schedule'!V119:V120,'Debt Schedule'!V98)</f>
        <v>0</v>
      </c>
      <c r="W40" s="192">
        <f ca="1">-SUM('Debt Schedule'!W119:W120,'Debt Schedule'!W98)</f>
        <v>0</v>
      </c>
      <c r="X40" s="192">
        <f ca="1">-SUM('Debt Schedule'!X119:X120,'Debt Schedule'!X98)</f>
        <v>0</v>
      </c>
      <c r="Y40" s="192">
        <f ca="1">-SUM('Debt Schedule'!Y119:Y120,'Debt Schedule'!Y98)</f>
        <v>0</v>
      </c>
      <c r="Z40" s="192">
        <f ca="1">-SUM('Debt Schedule'!Z119:Z120,'Debt Schedule'!Z98)</f>
        <v>0</v>
      </c>
      <c r="AA40" s="192">
        <f ca="1">-SUM('Debt Schedule'!AA119:AA120,'Debt Schedule'!AA98)</f>
        <v>0</v>
      </c>
      <c r="AB40" s="192">
        <f ca="1">-SUM('Debt Schedule'!AB119:AB120,'Debt Schedule'!AB98)</f>
        <v>0</v>
      </c>
      <c r="AC40" s="192">
        <f ca="1">-SUM('Debt Schedule'!AC119:AC120,'Debt Schedule'!AC98)</f>
        <v>0</v>
      </c>
      <c r="AD40" s="192">
        <f ca="1">-SUM('Debt Schedule'!AD119:AD120,'Debt Schedule'!AD98)</f>
        <v>0</v>
      </c>
      <c r="AE40" s="192">
        <f ca="1">-SUM('Debt Schedule'!AE119:AE120,'Debt Schedule'!AE98)</f>
        <v>0</v>
      </c>
      <c r="AF40" s="192">
        <f ca="1">-SUM('Debt Schedule'!AF119:AF120,'Debt Schedule'!AF98)</f>
        <v>0</v>
      </c>
      <c r="AG40" s="192">
        <f ca="1">-SUM('Debt Schedule'!AG119:AG120,'Debt Schedule'!AG98)</f>
        <v>0</v>
      </c>
      <c r="AH40" s="192">
        <f ca="1">-SUM('Debt Schedule'!AH119:AH120,'Debt Schedule'!AH98)</f>
        <v>0</v>
      </c>
      <c r="AI40" s="192">
        <f ca="1">-SUM('Debt Schedule'!AI119:AI120,'Debt Schedule'!AI98)</f>
        <v>0</v>
      </c>
      <c r="AJ40" s="192">
        <f ca="1">-SUM('Debt Schedule'!AJ119:AJ120,'Debt Schedule'!AJ98)</f>
        <v>0</v>
      </c>
      <c r="AK40" s="192">
        <f ca="1">-SUM('Debt Schedule'!AK119:AK120,'Debt Schedule'!AK98)</f>
        <v>0</v>
      </c>
      <c r="AL40" s="192">
        <f ca="1">-SUM('Debt Schedule'!AL119:AL120,'Debt Schedule'!AL98)</f>
        <v>0</v>
      </c>
      <c r="AM40" s="192"/>
      <c r="AN40" s="192"/>
      <c r="AO40" s="192"/>
      <c r="AP40" s="192"/>
      <c r="AQ40" s="192"/>
      <c r="AR40" s="192"/>
      <c r="AS40" s="192"/>
      <c r="AT40" s="192"/>
      <c r="AU40" s="192"/>
      <c r="AV40" s="192"/>
      <c r="AW40" s="192"/>
    </row>
    <row r="41" spans="1:49">
      <c r="A41" s="53"/>
      <c r="B41" s="10" t="s">
        <v>1681</v>
      </c>
      <c r="C41" s="196" t="str">
        <f>$C$29</f>
        <v>US$</v>
      </c>
      <c r="D41" s="191">
        <f ca="1">SUM(D37:D40)+D35</f>
        <v>-11982480856.901501</v>
      </c>
      <c r="E41" s="191"/>
      <c r="F41" s="191"/>
      <c r="G41" s="191"/>
      <c r="H41" s="191"/>
      <c r="I41" s="191">
        <f ca="1">SUM(I37:I40)+I35</f>
        <v>0</v>
      </c>
      <c r="J41" s="1529">
        <f t="shared" ref="J41:AL41" ca="1" si="13">SUM(J37:J40)+J35</f>
        <v>-74453662.31968756</v>
      </c>
      <c r="K41" s="1529">
        <f t="shared" ca="1" si="13"/>
        <v>-305623190.82789028</v>
      </c>
      <c r="L41" s="1531">
        <f t="shared" ca="1" si="13"/>
        <v>-528593002.03903246</v>
      </c>
      <c r="M41" s="1529">
        <f t="shared" ca="1" si="13"/>
        <v>-516044293.22743344</v>
      </c>
      <c r="N41" s="1529">
        <f t="shared" ca="1" si="13"/>
        <v>-489430275.45608479</v>
      </c>
      <c r="O41" s="1529">
        <f t="shared" ca="1" si="13"/>
        <v>-466188262.64359295</v>
      </c>
      <c r="P41" s="1529">
        <f t="shared" ca="1" si="13"/>
        <v>-440206175.38598859</v>
      </c>
      <c r="Q41" s="1529">
        <f t="shared" ca="1" si="13"/>
        <v>-414536760.01849961</v>
      </c>
      <c r="R41" s="1529">
        <f t="shared" ca="1" si="13"/>
        <v>-388140516.7943725</v>
      </c>
      <c r="S41" s="1529">
        <f t="shared" ca="1" si="13"/>
        <v>-365970517.74247438</v>
      </c>
      <c r="T41" s="1529">
        <f t="shared" ca="1" si="13"/>
        <v>-365824097.39979064</v>
      </c>
      <c r="U41" s="1529">
        <f t="shared" ca="1" si="13"/>
        <v>-366613183.59320116</v>
      </c>
      <c r="V41" s="1529">
        <f t="shared" ca="1" si="13"/>
        <v>-367632958.94250226</v>
      </c>
      <c r="W41" s="1529">
        <f t="shared" ca="1" si="13"/>
        <v>-369933954.88246137</v>
      </c>
      <c r="X41" s="1529">
        <f t="shared" ca="1" si="13"/>
        <v>-371853066.42894405</v>
      </c>
      <c r="Y41" s="1529">
        <f t="shared" ca="1" si="13"/>
        <v>-380278973.90810972</v>
      </c>
      <c r="Z41" s="1529">
        <f t="shared" ca="1" si="13"/>
        <v>-389827421.25925457</v>
      </c>
      <c r="AA41" s="1529">
        <f t="shared" ca="1" si="13"/>
        <v>-400138040.49017644</v>
      </c>
      <c r="AB41" s="1529">
        <f t="shared" ca="1" si="13"/>
        <v>-409772403.54219264</v>
      </c>
      <c r="AC41" s="1529">
        <f t="shared" ca="1" si="13"/>
        <v>-419476869.68954313</v>
      </c>
      <c r="AD41" s="1529">
        <f t="shared" ca="1" si="13"/>
        <v>-428816089.95113349</v>
      </c>
      <c r="AE41" s="1529">
        <f t="shared" ca="1" si="13"/>
        <v>-438900788.61952025</v>
      </c>
      <c r="AF41" s="1529">
        <f t="shared" ca="1" si="13"/>
        <v>-448286031.87609261</v>
      </c>
      <c r="AG41" s="1529">
        <f t="shared" ca="1" si="13"/>
        <v>-457941128.11509544</v>
      </c>
      <c r="AH41" s="1529">
        <f t="shared" ca="1" si="13"/>
        <v>-467418002.95590597</v>
      </c>
      <c r="AI41" s="1529">
        <f t="shared" ca="1" si="13"/>
        <v>-477773347.46099806</v>
      </c>
      <c r="AJ41" s="1529">
        <f t="shared" ca="1" si="13"/>
        <v>-487609876.22409272</v>
      </c>
      <c r="AK41" s="1529">
        <f t="shared" ca="1" si="13"/>
        <v>-477830259.18707812</v>
      </c>
      <c r="AL41" s="1529">
        <f t="shared" ca="1" si="13"/>
        <v>-467367705.92034948</v>
      </c>
      <c r="AM41" s="1529"/>
      <c r="AN41" s="1529"/>
      <c r="AO41" s="1529"/>
      <c r="AP41" s="1529"/>
      <c r="AQ41" s="1529"/>
      <c r="AR41" s="1529"/>
      <c r="AS41" s="1529"/>
      <c r="AT41" s="1529"/>
      <c r="AU41" s="1529"/>
      <c r="AV41" s="1529"/>
      <c r="AW41" s="1529"/>
    </row>
    <row r="42" spans="1:49" s="1544" customFormat="1">
      <c r="A42" s="1548"/>
      <c r="B42" s="1354" t="s">
        <v>1682</v>
      </c>
      <c r="C42" s="1552"/>
      <c r="D42" s="1548"/>
      <c r="E42" s="1548"/>
      <c r="F42" s="1548"/>
      <c r="G42" s="1548"/>
      <c r="H42" s="1548"/>
      <c r="I42" s="1548"/>
      <c r="J42" s="1545"/>
      <c r="K42" s="1545" t="e">
        <f ca="1">K41/K9</f>
        <v>#DIV/0!</v>
      </c>
      <c r="L42" s="1545" t="e">
        <f ca="1">L41/L9</f>
        <v>#DIV/0!</v>
      </c>
      <c r="M42" s="1545" t="e">
        <f t="shared" ref="M42:AL42" ca="1" si="14">M41/M9</f>
        <v>#DIV/0!</v>
      </c>
      <c r="N42" s="1545" t="e">
        <f t="shared" ca="1" si="14"/>
        <v>#DIV/0!</v>
      </c>
      <c r="O42" s="1545" t="e">
        <f t="shared" ca="1" si="14"/>
        <v>#DIV/0!</v>
      </c>
      <c r="P42" s="1545" t="e">
        <f t="shared" ca="1" si="14"/>
        <v>#DIV/0!</v>
      </c>
      <c r="Q42" s="1545" t="e">
        <f t="shared" ca="1" si="14"/>
        <v>#DIV/0!</v>
      </c>
      <c r="R42" s="1545" t="e">
        <f t="shared" ca="1" si="14"/>
        <v>#DIV/0!</v>
      </c>
      <c r="S42" s="1545" t="e">
        <f t="shared" ca="1" si="14"/>
        <v>#DIV/0!</v>
      </c>
      <c r="T42" s="1545" t="e">
        <f t="shared" ca="1" si="14"/>
        <v>#DIV/0!</v>
      </c>
      <c r="U42" s="1545" t="e">
        <f t="shared" ca="1" si="14"/>
        <v>#DIV/0!</v>
      </c>
      <c r="V42" s="1545" t="e">
        <f t="shared" ca="1" si="14"/>
        <v>#DIV/0!</v>
      </c>
      <c r="W42" s="1545" t="e">
        <f t="shared" ca="1" si="14"/>
        <v>#DIV/0!</v>
      </c>
      <c r="X42" s="1545" t="e">
        <f t="shared" ca="1" si="14"/>
        <v>#DIV/0!</v>
      </c>
      <c r="Y42" s="1545" t="e">
        <f t="shared" ca="1" si="14"/>
        <v>#DIV/0!</v>
      </c>
      <c r="Z42" s="1545" t="e">
        <f t="shared" ca="1" si="14"/>
        <v>#DIV/0!</v>
      </c>
      <c r="AA42" s="1545" t="e">
        <f t="shared" ca="1" si="14"/>
        <v>#DIV/0!</v>
      </c>
      <c r="AB42" s="1545" t="e">
        <f t="shared" ca="1" si="14"/>
        <v>#DIV/0!</v>
      </c>
      <c r="AC42" s="1545" t="e">
        <f t="shared" ca="1" si="14"/>
        <v>#DIV/0!</v>
      </c>
      <c r="AD42" s="1545" t="e">
        <f t="shared" ca="1" si="14"/>
        <v>#DIV/0!</v>
      </c>
      <c r="AE42" s="1545" t="e">
        <f t="shared" ca="1" si="14"/>
        <v>#DIV/0!</v>
      </c>
      <c r="AF42" s="1545" t="e">
        <f t="shared" ca="1" si="14"/>
        <v>#DIV/0!</v>
      </c>
      <c r="AG42" s="1545" t="e">
        <f t="shared" ca="1" si="14"/>
        <v>#DIV/0!</v>
      </c>
      <c r="AH42" s="1545" t="e">
        <f t="shared" ca="1" si="14"/>
        <v>#DIV/0!</v>
      </c>
      <c r="AI42" s="1545" t="e">
        <f t="shared" ca="1" si="14"/>
        <v>#DIV/0!</v>
      </c>
      <c r="AJ42" s="1545" t="e">
        <f t="shared" ca="1" si="14"/>
        <v>#DIV/0!</v>
      </c>
      <c r="AK42" s="1545" t="e">
        <f t="shared" ca="1" si="14"/>
        <v>#DIV/0!</v>
      </c>
      <c r="AL42" s="1545" t="e">
        <f t="shared" ca="1" si="14"/>
        <v>#DIV/0!</v>
      </c>
      <c r="AM42" s="1545"/>
      <c r="AN42" s="1545"/>
      <c r="AO42" s="1545"/>
      <c r="AP42" s="1545"/>
      <c r="AQ42" s="1545"/>
      <c r="AR42" s="1545"/>
      <c r="AS42" s="1545"/>
      <c r="AT42" s="1545"/>
      <c r="AU42" s="1545"/>
      <c r="AV42" s="1545"/>
      <c r="AW42" s="1545"/>
    </row>
    <row r="43" spans="1:49">
      <c r="A43" s="53"/>
      <c r="B43" s="10"/>
      <c r="C43" s="196"/>
      <c r="D43" s="191"/>
      <c r="E43" s="191"/>
      <c r="F43" s="191"/>
      <c r="G43" s="191"/>
      <c r="H43" s="191"/>
      <c r="I43" s="191"/>
      <c r="J43" s="1529"/>
      <c r="K43" s="1529"/>
      <c r="L43" s="1531"/>
      <c r="M43" s="1529"/>
      <c r="N43" s="1529"/>
      <c r="O43" s="1529"/>
      <c r="P43" s="1529"/>
      <c r="Q43" s="1529"/>
      <c r="R43" s="1529"/>
      <c r="S43" s="1529"/>
      <c r="T43" s="1529"/>
      <c r="U43" s="1529"/>
      <c r="V43" s="1529"/>
      <c r="W43" s="1529"/>
      <c r="X43" s="1529"/>
      <c r="Y43" s="1529"/>
      <c r="Z43" s="1529"/>
      <c r="AA43" s="1529"/>
      <c r="AB43" s="1529"/>
      <c r="AC43" s="1529"/>
      <c r="AD43" s="1529"/>
      <c r="AE43" s="1529"/>
      <c r="AF43" s="1529"/>
      <c r="AG43" s="1529"/>
      <c r="AH43" s="1529"/>
      <c r="AI43" s="1529"/>
      <c r="AJ43" s="1529"/>
      <c r="AK43" s="1529"/>
      <c r="AL43" s="1529"/>
      <c r="AM43" s="1529"/>
      <c r="AN43" s="1529"/>
      <c r="AO43" s="1529"/>
      <c r="AP43" s="1529"/>
      <c r="AQ43" s="1529"/>
      <c r="AR43" s="1529"/>
      <c r="AS43" s="1529"/>
      <c r="AT43" s="1529"/>
      <c r="AU43" s="1529"/>
      <c r="AV43" s="1529"/>
      <c r="AW43" s="1529"/>
    </row>
    <row r="44" spans="1:49">
      <c r="A44" s="53"/>
      <c r="B44" s="10"/>
      <c r="C44" s="196"/>
      <c r="D44" s="191"/>
      <c r="E44" s="191"/>
      <c r="F44" s="191"/>
      <c r="G44" s="191"/>
      <c r="H44" s="191"/>
      <c r="I44" s="191"/>
      <c r="J44" s="1529"/>
      <c r="K44" s="1529"/>
      <c r="L44" s="1531"/>
      <c r="M44" s="1529"/>
      <c r="N44" s="1529"/>
      <c r="O44" s="1529"/>
      <c r="P44" s="1529"/>
      <c r="Q44" s="1529"/>
      <c r="R44" s="1529"/>
      <c r="S44" s="1529"/>
      <c r="T44" s="1529"/>
      <c r="U44" s="1529"/>
      <c r="V44" s="1529"/>
      <c r="W44" s="1529"/>
      <c r="X44" s="1529"/>
      <c r="Y44" s="1529"/>
      <c r="Z44" s="1529"/>
      <c r="AA44" s="1529"/>
      <c r="AB44" s="1529"/>
      <c r="AC44" s="1529"/>
      <c r="AD44" s="1529"/>
      <c r="AE44" s="1529"/>
      <c r="AF44" s="1529"/>
      <c r="AG44" s="1529"/>
      <c r="AH44" s="1529"/>
      <c r="AI44" s="1529"/>
      <c r="AJ44" s="1529"/>
      <c r="AK44" s="1529"/>
      <c r="AL44" s="1529"/>
      <c r="AM44" s="1529"/>
      <c r="AN44" s="1529"/>
      <c r="AO44" s="1529"/>
      <c r="AP44" s="1529"/>
      <c r="AQ44" s="1529"/>
      <c r="AR44" s="1529"/>
      <c r="AS44" s="1529"/>
      <c r="AT44" s="1529"/>
      <c r="AU44" s="1529"/>
      <c r="AV44" s="1529"/>
      <c r="AW44" s="1529"/>
    </row>
    <row r="45" spans="1:49">
      <c r="A45" s="53"/>
      <c r="C45" s="194"/>
      <c r="D45" s="191"/>
      <c r="E45" s="191"/>
      <c r="F45" s="191"/>
      <c r="G45" s="191"/>
      <c r="H45" s="191"/>
      <c r="I45" s="191"/>
      <c r="J45" s="1529"/>
      <c r="K45" s="1529"/>
      <c r="L45" s="1529"/>
      <c r="M45" s="1529"/>
      <c r="N45" s="1529"/>
      <c r="O45" s="1529"/>
      <c r="P45" s="1529"/>
      <c r="Q45" s="1529"/>
      <c r="R45" s="1529"/>
      <c r="S45" s="1529"/>
      <c r="T45" s="1529"/>
      <c r="U45" s="1529"/>
      <c r="V45" s="1529"/>
      <c r="W45" s="1529"/>
      <c r="X45" s="1529"/>
      <c r="Y45" s="1529"/>
      <c r="Z45" s="1529"/>
      <c r="AA45" s="1529"/>
      <c r="AB45" s="1529"/>
      <c r="AC45" s="1529"/>
      <c r="AD45" s="1529"/>
      <c r="AE45" s="1529"/>
      <c r="AF45" s="1529"/>
      <c r="AG45" s="1529"/>
      <c r="AH45" s="1529"/>
      <c r="AI45" s="1529"/>
      <c r="AJ45" s="1529"/>
      <c r="AK45" s="1529"/>
      <c r="AL45" s="1529"/>
      <c r="AM45" s="1529"/>
      <c r="AN45" s="1529"/>
      <c r="AO45" s="1529"/>
      <c r="AP45" s="1529"/>
      <c r="AQ45" s="1529"/>
      <c r="AR45" s="1529"/>
      <c r="AS45" s="1529"/>
      <c r="AT45" s="1529"/>
      <c r="AU45" s="1529"/>
      <c r="AV45" s="1529"/>
      <c r="AW45" s="1529"/>
    </row>
    <row r="46" spans="1:49">
      <c r="A46" s="53"/>
      <c r="B46" s="191"/>
      <c r="C46" s="191"/>
      <c r="D46" s="191"/>
      <c r="E46" s="191"/>
      <c r="F46" s="191"/>
      <c r="G46" s="191"/>
      <c r="H46" s="191"/>
      <c r="I46" s="191"/>
      <c r="J46" s="191"/>
      <c r="K46" s="191"/>
      <c r="L46" s="191"/>
      <c r="M46" s="191"/>
      <c r="N46" s="191"/>
      <c r="O46" s="191"/>
      <c r="P46" s="191"/>
      <c r="Q46" s="191"/>
      <c r="R46" s="191"/>
      <c r="S46" s="191"/>
      <c r="T46" s="191"/>
      <c r="U46" s="191"/>
      <c r="V46" s="191"/>
      <c r="W46" s="191"/>
      <c r="X46" s="191"/>
      <c r="Y46" s="191"/>
      <c r="Z46" s="191"/>
      <c r="AA46" s="191"/>
      <c r="AB46" s="191"/>
      <c r="AC46" s="191"/>
      <c r="AD46" s="191"/>
      <c r="AE46" s="191"/>
      <c r="AF46" s="191"/>
      <c r="AG46" s="191"/>
      <c r="AH46" s="191"/>
      <c r="AI46" s="191"/>
      <c r="AJ46" s="191"/>
      <c r="AK46" s="104"/>
    </row>
    <row r="47" spans="1:49">
      <c r="A47" s="40" t="s">
        <v>1683</v>
      </c>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ht="11.25">
      <c r="A48" s="53"/>
      <c r="B48" s="191"/>
      <c r="C48" s="53"/>
      <c r="D48" s="53"/>
      <c r="E48" s="53"/>
      <c r="F48" s="53"/>
      <c r="G48" s="53"/>
      <c r="H48" s="319" t="s">
        <v>0</v>
      </c>
      <c r="I48" s="388">
        <f>I2</f>
        <v>1</v>
      </c>
      <c r="J48" s="388">
        <f t="shared" ref="J48:AL48" si="15">J2</f>
        <v>2</v>
      </c>
      <c r="K48" s="388">
        <f t="shared" si="15"/>
        <v>3</v>
      </c>
      <c r="L48" s="388">
        <f t="shared" si="15"/>
        <v>4</v>
      </c>
      <c r="M48" s="388">
        <f t="shared" si="15"/>
        <v>5</v>
      </c>
      <c r="N48" s="388">
        <f t="shared" si="15"/>
        <v>6</v>
      </c>
      <c r="O48" s="388">
        <f t="shared" si="15"/>
        <v>7</v>
      </c>
      <c r="P48" s="388">
        <f t="shared" si="15"/>
        <v>8</v>
      </c>
      <c r="Q48" s="388">
        <f t="shared" si="15"/>
        <v>9</v>
      </c>
      <c r="R48" s="388">
        <f t="shared" si="15"/>
        <v>10</v>
      </c>
      <c r="S48" s="388">
        <f t="shared" si="15"/>
        <v>11</v>
      </c>
      <c r="T48" s="388">
        <f t="shared" si="15"/>
        <v>12</v>
      </c>
      <c r="U48" s="388">
        <f t="shared" si="15"/>
        <v>13</v>
      </c>
      <c r="V48" s="388">
        <f t="shared" si="15"/>
        <v>14</v>
      </c>
      <c r="W48" s="388">
        <f t="shared" si="15"/>
        <v>15</v>
      </c>
      <c r="X48" s="388">
        <f t="shared" si="15"/>
        <v>16</v>
      </c>
      <c r="Y48" s="388">
        <f t="shared" si="15"/>
        <v>17</v>
      </c>
      <c r="Z48" s="388">
        <f t="shared" si="15"/>
        <v>18</v>
      </c>
      <c r="AA48" s="388">
        <f t="shared" si="15"/>
        <v>19</v>
      </c>
      <c r="AB48" s="388">
        <f t="shared" si="15"/>
        <v>20</v>
      </c>
      <c r="AC48" s="388">
        <f t="shared" si="15"/>
        <v>21</v>
      </c>
      <c r="AD48" s="388">
        <f t="shared" si="15"/>
        <v>22</v>
      </c>
      <c r="AE48" s="388">
        <f t="shared" si="15"/>
        <v>23</v>
      </c>
      <c r="AF48" s="388">
        <f t="shared" si="15"/>
        <v>24</v>
      </c>
      <c r="AG48" s="388">
        <f t="shared" si="15"/>
        <v>25</v>
      </c>
      <c r="AH48" s="388">
        <f t="shared" si="15"/>
        <v>26</v>
      </c>
      <c r="AI48" s="388">
        <f t="shared" si="15"/>
        <v>27</v>
      </c>
      <c r="AJ48" s="388">
        <f t="shared" si="15"/>
        <v>28</v>
      </c>
      <c r="AK48" s="388">
        <f t="shared" si="15"/>
        <v>29</v>
      </c>
      <c r="AL48" s="388">
        <f t="shared" si="15"/>
        <v>30</v>
      </c>
      <c r="AM48" s="388"/>
      <c r="AN48" s="388"/>
      <c r="AO48" s="388"/>
      <c r="AP48" s="388"/>
      <c r="AQ48" s="388"/>
      <c r="AR48" s="388"/>
      <c r="AS48" s="388"/>
      <c r="AT48" s="388"/>
      <c r="AU48" s="388"/>
      <c r="AV48" s="388"/>
      <c r="AW48" s="388"/>
    </row>
    <row r="49" spans="1:50" ht="11.25">
      <c r="A49" s="53"/>
      <c r="B49" s="191"/>
      <c r="C49" s="53"/>
      <c r="D49" s="53"/>
      <c r="E49" s="53"/>
      <c r="F49" s="53"/>
      <c r="G49" s="53"/>
      <c r="H49" s="319" t="s">
        <v>1</v>
      </c>
      <c r="I49" s="389">
        <f>I3</f>
        <v>46023</v>
      </c>
      <c r="J49" s="389">
        <f t="shared" ref="J49:AL49" si="16">J3</f>
        <v>46388</v>
      </c>
      <c r="K49" s="389">
        <f t="shared" si="16"/>
        <v>46753</v>
      </c>
      <c r="L49" s="389">
        <f t="shared" si="16"/>
        <v>47119</v>
      </c>
      <c r="M49" s="389">
        <f t="shared" si="16"/>
        <v>47484</v>
      </c>
      <c r="N49" s="389">
        <f t="shared" si="16"/>
        <v>47849</v>
      </c>
      <c r="O49" s="389">
        <f t="shared" si="16"/>
        <v>48214</v>
      </c>
      <c r="P49" s="389">
        <f t="shared" si="16"/>
        <v>48580</v>
      </c>
      <c r="Q49" s="389">
        <f t="shared" si="16"/>
        <v>48945</v>
      </c>
      <c r="R49" s="389">
        <f t="shared" si="16"/>
        <v>49310</v>
      </c>
      <c r="S49" s="389">
        <f t="shared" si="16"/>
        <v>49675</v>
      </c>
      <c r="T49" s="389">
        <f t="shared" si="16"/>
        <v>50041</v>
      </c>
      <c r="U49" s="389">
        <f t="shared" si="16"/>
        <v>50406</v>
      </c>
      <c r="V49" s="389">
        <f t="shared" si="16"/>
        <v>50771</v>
      </c>
      <c r="W49" s="389">
        <f t="shared" si="16"/>
        <v>51136</v>
      </c>
      <c r="X49" s="389">
        <f t="shared" si="16"/>
        <v>51502</v>
      </c>
      <c r="Y49" s="389">
        <f t="shared" si="16"/>
        <v>51867</v>
      </c>
      <c r="Z49" s="389">
        <f t="shared" si="16"/>
        <v>52232</v>
      </c>
      <c r="AA49" s="389">
        <f t="shared" si="16"/>
        <v>52597</v>
      </c>
      <c r="AB49" s="389">
        <f t="shared" si="16"/>
        <v>52963</v>
      </c>
      <c r="AC49" s="389">
        <f t="shared" si="16"/>
        <v>53328</v>
      </c>
      <c r="AD49" s="389">
        <f t="shared" si="16"/>
        <v>53693</v>
      </c>
      <c r="AE49" s="389">
        <f t="shared" si="16"/>
        <v>54058</v>
      </c>
      <c r="AF49" s="389">
        <f t="shared" si="16"/>
        <v>54424</v>
      </c>
      <c r="AG49" s="389">
        <f t="shared" si="16"/>
        <v>54789</v>
      </c>
      <c r="AH49" s="389">
        <f t="shared" si="16"/>
        <v>55154</v>
      </c>
      <c r="AI49" s="389">
        <f t="shared" si="16"/>
        <v>55519</v>
      </c>
      <c r="AJ49" s="389">
        <f t="shared" si="16"/>
        <v>55885</v>
      </c>
      <c r="AK49" s="389">
        <f t="shared" si="16"/>
        <v>56250</v>
      </c>
      <c r="AL49" s="389">
        <f t="shared" si="16"/>
        <v>56615</v>
      </c>
      <c r="AM49" s="389"/>
      <c r="AN49" s="389"/>
      <c r="AO49" s="389"/>
      <c r="AP49" s="389"/>
      <c r="AQ49" s="389"/>
      <c r="AR49" s="389"/>
      <c r="AS49" s="389"/>
      <c r="AT49" s="389"/>
      <c r="AU49" s="389"/>
      <c r="AV49" s="389"/>
      <c r="AW49" s="389"/>
    </row>
    <row r="50" spans="1:50" ht="11.25">
      <c r="A50" s="53"/>
      <c r="B50" s="191"/>
      <c r="C50" s="53"/>
      <c r="D50" s="53"/>
      <c r="E50" s="53"/>
      <c r="F50" s="53"/>
      <c r="G50" s="53"/>
      <c r="H50" s="319" t="s">
        <v>2</v>
      </c>
      <c r="I50" s="390">
        <f>I4</f>
        <v>46387</v>
      </c>
      <c r="J50" s="390">
        <f t="shared" ref="J50:AL50" si="17">J4</f>
        <v>46752</v>
      </c>
      <c r="K50" s="390">
        <f t="shared" si="17"/>
        <v>47118</v>
      </c>
      <c r="L50" s="390">
        <f t="shared" si="17"/>
        <v>47483</v>
      </c>
      <c r="M50" s="390">
        <f t="shared" si="17"/>
        <v>47848</v>
      </c>
      <c r="N50" s="390">
        <f t="shared" si="17"/>
        <v>48213</v>
      </c>
      <c r="O50" s="390">
        <f t="shared" si="17"/>
        <v>48579</v>
      </c>
      <c r="P50" s="390">
        <f t="shared" si="17"/>
        <v>48944</v>
      </c>
      <c r="Q50" s="390">
        <f t="shared" si="17"/>
        <v>49309</v>
      </c>
      <c r="R50" s="390">
        <f t="shared" si="17"/>
        <v>49674</v>
      </c>
      <c r="S50" s="390">
        <f t="shared" si="17"/>
        <v>50040</v>
      </c>
      <c r="T50" s="390">
        <f t="shared" si="17"/>
        <v>50405</v>
      </c>
      <c r="U50" s="390">
        <f t="shared" si="17"/>
        <v>50770</v>
      </c>
      <c r="V50" s="390">
        <f t="shared" si="17"/>
        <v>51135</v>
      </c>
      <c r="W50" s="390">
        <f t="shared" si="17"/>
        <v>51501</v>
      </c>
      <c r="X50" s="390">
        <f t="shared" si="17"/>
        <v>51866</v>
      </c>
      <c r="Y50" s="390">
        <f t="shared" si="17"/>
        <v>52231</v>
      </c>
      <c r="Z50" s="390">
        <f t="shared" si="17"/>
        <v>52596</v>
      </c>
      <c r="AA50" s="390">
        <f t="shared" si="17"/>
        <v>52962</v>
      </c>
      <c r="AB50" s="390">
        <f t="shared" si="17"/>
        <v>53327</v>
      </c>
      <c r="AC50" s="390">
        <f t="shared" si="17"/>
        <v>53692</v>
      </c>
      <c r="AD50" s="390">
        <f t="shared" si="17"/>
        <v>54057</v>
      </c>
      <c r="AE50" s="390">
        <f t="shared" si="17"/>
        <v>54423</v>
      </c>
      <c r="AF50" s="390">
        <f t="shared" si="17"/>
        <v>54788</v>
      </c>
      <c r="AG50" s="390">
        <f t="shared" si="17"/>
        <v>55153</v>
      </c>
      <c r="AH50" s="390">
        <f t="shared" si="17"/>
        <v>55518</v>
      </c>
      <c r="AI50" s="390">
        <f t="shared" si="17"/>
        <v>55884</v>
      </c>
      <c r="AJ50" s="390">
        <f t="shared" si="17"/>
        <v>56249</v>
      </c>
      <c r="AK50" s="390">
        <f t="shared" si="17"/>
        <v>56614</v>
      </c>
      <c r="AL50" s="390">
        <f t="shared" si="17"/>
        <v>56979</v>
      </c>
      <c r="AM50" s="390"/>
      <c r="AN50" s="390"/>
      <c r="AO50" s="390"/>
      <c r="AP50" s="390"/>
      <c r="AQ50" s="390"/>
      <c r="AR50" s="390"/>
      <c r="AS50" s="390"/>
      <c r="AT50" s="390"/>
      <c r="AU50" s="390"/>
      <c r="AV50" s="390"/>
      <c r="AW50" s="390"/>
    </row>
    <row r="51" spans="1:50" ht="11.25">
      <c r="A51" s="53"/>
      <c r="B51" s="191"/>
      <c r="C51" s="53"/>
      <c r="D51" s="53"/>
      <c r="E51" s="53"/>
      <c r="F51" s="53"/>
      <c r="G51" s="53"/>
      <c r="H51" s="319" t="s">
        <v>3</v>
      </c>
      <c r="I51" s="391">
        <f ca="1">I5</f>
        <v>365</v>
      </c>
      <c r="J51" s="391">
        <f t="shared" ref="J51:AL51" ca="1" si="18">J5</f>
        <v>366</v>
      </c>
      <c r="K51" s="391">
        <f t="shared" ca="1" si="18"/>
        <v>365</v>
      </c>
      <c r="L51" s="391">
        <f t="shared" ca="1" si="18"/>
        <v>365</v>
      </c>
      <c r="M51" s="391">
        <f t="shared" ca="1" si="18"/>
        <v>365</v>
      </c>
      <c r="N51" s="391">
        <f t="shared" ca="1" si="18"/>
        <v>366</v>
      </c>
      <c r="O51" s="391">
        <f t="shared" ca="1" si="18"/>
        <v>365</v>
      </c>
      <c r="P51" s="391">
        <f t="shared" ca="1" si="18"/>
        <v>365</v>
      </c>
      <c r="Q51" s="391">
        <f t="shared" ca="1" si="18"/>
        <v>365</v>
      </c>
      <c r="R51" s="391">
        <f t="shared" ca="1" si="18"/>
        <v>366</v>
      </c>
      <c r="S51" s="391">
        <f t="shared" ca="1" si="18"/>
        <v>365</v>
      </c>
      <c r="T51" s="391">
        <f t="shared" ca="1" si="18"/>
        <v>365</v>
      </c>
      <c r="U51" s="391">
        <f t="shared" ca="1" si="18"/>
        <v>365</v>
      </c>
      <c r="V51" s="391">
        <f t="shared" ca="1" si="18"/>
        <v>366</v>
      </c>
      <c r="W51" s="391">
        <f t="shared" ca="1" si="18"/>
        <v>365</v>
      </c>
      <c r="X51" s="391">
        <f t="shared" ca="1" si="18"/>
        <v>365</v>
      </c>
      <c r="Y51" s="391">
        <f t="shared" ca="1" si="18"/>
        <v>365</v>
      </c>
      <c r="Z51" s="391">
        <f t="shared" ca="1" si="18"/>
        <v>366</v>
      </c>
      <c r="AA51" s="391">
        <f t="shared" ca="1" si="18"/>
        <v>365</v>
      </c>
      <c r="AB51" s="391">
        <f t="shared" ca="1" si="18"/>
        <v>365</v>
      </c>
      <c r="AC51" s="391">
        <f t="shared" ca="1" si="18"/>
        <v>365</v>
      </c>
      <c r="AD51" s="391">
        <f t="shared" ca="1" si="18"/>
        <v>366</v>
      </c>
      <c r="AE51" s="391">
        <f t="shared" ca="1" si="18"/>
        <v>365</v>
      </c>
      <c r="AF51" s="391">
        <f t="shared" ca="1" si="18"/>
        <v>365</v>
      </c>
      <c r="AG51" s="391">
        <f t="shared" ca="1" si="18"/>
        <v>365</v>
      </c>
      <c r="AH51" s="391">
        <f t="shared" ca="1" si="18"/>
        <v>366</v>
      </c>
      <c r="AI51" s="391">
        <f t="shared" ca="1" si="18"/>
        <v>365</v>
      </c>
      <c r="AJ51" s="391">
        <f t="shared" ca="1" si="18"/>
        <v>365</v>
      </c>
      <c r="AK51" s="391">
        <f t="shared" ca="1" si="18"/>
        <v>365</v>
      </c>
      <c r="AL51" s="391">
        <f t="shared" ca="1" si="18"/>
        <v>365</v>
      </c>
      <c r="AM51" s="391"/>
      <c r="AN51" s="391"/>
      <c r="AO51" s="391"/>
      <c r="AP51" s="391"/>
      <c r="AQ51" s="391"/>
      <c r="AR51" s="391"/>
      <c r="AS51" s="391"/>
      <c r="AT51" s="391"/>
      <c r="AU51" s="391"/>
      <c r="AV51" s="391"/>
      <c r="AW51" s="391"/>
    </row>
    <row r="52" spans="1:50">
      <c r="A52" s="53"/>
      <c r="D52" s="53"/>
      <c r="E52" s="1531"/>
      <c r="F52" s="53"/>
      <c r="G52" s="53"/>
      <c r="H52" s="53"/>
      <c r="I52" s="53"/>
      <c r="J52" s="53"/>
      <c r="K52" s="53"/>
      <c r="L52" s="53"/>
      <c r="M52" s="53"/>
      <c r="N52" s="53"/>
      <c r="O52" s="53"/>
      <c r="P52" s="53"/>
      <c r="Q52" s="53"/>
      <c r="R52" s="53"/>
      <c r="S52" s="53"/>
      <c r="T52" s="53"/>
      <c r="U52" s="53"/>
      <c r="V52" s="53"/>
      <c r="W52" s="53"/>
      <c r="X52" s="53"/>
      <c r="Y52" s="53"/>
      <c r="Z52" s="53"/>
      <c r="AA52" s="53"/>
      <c r="AB52" s="53"/>
      <c r="AC52" s="53"/>
      <c r="AD52" s="53"/>
      <c r="AE52" s="53"/>
      <c r="AF52" s="53"/>
      <c r="AG52" s="53"/>
      <c r="AH52" s="53"/>
      <c r="AI52" s="53"/>
      <c r="AJ52" s="53"/>
    </row>
    <row r="53" spans="1:50">
      <c r="A53" s="53"/>
      <c r="B53" s="191" t="s">
        <v>1685</v>
      </c>
      <c r="C53" s="53" t="s">
        <v>915</v>
      </c>
      <c r="D53" s="53"/>
      <c r="E53" s="1531"/>
      <c r="F53" s="53"/>
      <c r="G53" s="53"/>
      <c r="H53" s="53"/>
      <c r="I53" s="53"/>
      <c r="J53" s="53"/>
      <c r="K53" s="53"/>
      <c r="L53" s="53"/>
      <c r="M53" s="53"/>
      <c r="N53" s="53"/>
      <c r="O53" s="53"/>
      <c r="P53" s="53"/>
      <c r="Q53" s="53"/>
      <c r="R53" s="53"/>
      <c r="S53" s="53"/>
      <c r="T53" s="53"/>
      <c r="U53" s="53"/>
      <c r="V53" s="53"/>
      <c r="W53" s="53"/>
      <c r="X53" s="53"/>
      <c r="Y53" s="53"/>
      <c r="Z53" s="53"/>
      <c r="AA53" s="53"/>
      <c r="AB53" s="53"/>
      <c r="AC53" s="53"/>
      <c r="AD53" s="53"/>
      <c r="AE53" s="53"/>
      <c r="AF53" s="53"/>
      <c r="AG53" s="53"/>
      <c r="AH53" s="53"/>
      <c r="AI53" s="53"/>
      <c r="AJ53" s="53"/>
    </row>
    <row r="54" spans="1:50">
      <c r="A54" s="53"/>
      <c r="B54" s="191"/>
      <c r="C54" s="53"/>
      <c r="D54" s="53"/>
      <c r="E54" s="1531"/>
      <c r="F54" s="53"/>
      <c r="G54" s="53"/>
      <c r="H54" s="53"/>
      <c r="I54" s="53">
        <f>'Assumption '!M147</f>
        <v>0</v>
      </c>
      <c r="J54" s="53">
        <f>'Assumption '!N147</f>
        <v>650000</v>
      </c>
      <c r="K54" s="53">
        <f ca="1">'Assumption '!O147</f>
        <v>812500</v>
      </c>
      <c r="L54" s="53">
        <f ca="1">'Assumption '!P147</f>
        <v>950000</v>
      </c>
      <c r="M54" s="53">
        <f ca="1">'Assumption '!Q147</f>
        <v>950000</v>
      </c>
      <c r="N54" s="53">
        <f ca="1">'Assumption '!R147</f>
        <v>950000</v>
      </c>
      <c r="O54" s="53">
        <f ca="1">'Assumption '!S147</f>
        <v>950000</v>
      </c>
      <c r="P54" s="53">
        <f ca="1">'Assumption '!T147</f>
        <v>950000</v>
      </c>
      <c r="Q54" s="53">
        <f ca="1">'Assumption '!U147</f>
        <v>950000</v>
      </c>
      <c r="R54" s="53">
        <f ca="1">'Assumption '!V147</f>
        <v>950000</v>
      </c>
      <c r="S54" s="53">
        <f ca="1">'Assumption '!W147</f>
        <v>950000</v>
      </c>
      <c r="T54" s="53">
        <f ca="1">'Assumption '!X147</f>
        <v>950000</v>
      </c>
      <c r="U54" s="53">
        <f ca="1">'Assumption '!Y147</f>
        <v>950000</v>
      </c>
      <c r="V54" s="53">
        <f ca="1">'Assumption '!Z147</f>
        <v>950000</v>
      </c>
      <c r="W54" s="53">
        <f ca="1">'Assumption '!AA147</f>
        <v>950000</v>
      </c>
      <c r="X54" s="53">
        <f ca="1">'Assumption '!AB147</f>
        <v>950000</v>
      </c>
      <c r="Y54" s="53">
        <f ca="1">'Assumption '!AC147</f>
        <v>950000</v>
      </c>
      <c r="Z54" s="53">
        <f ca="1">'Assumption '!AD147</f>
        <v>950000</v>
      </c>
      <c r="AA54" s="53">
        <f ca="1">'Assumption '!AE147</f>
        <v>950000</v>
      </c>
      <c r="AB54" s="53">
        <f ca="1">'Assumption '!AF147</f>
        <v>950000</v>
      </c>
      <c r="AC54" s="53">
        <f ca="1">'Assumption '!AG147</f>
        <v>950000</v>
      </c>
      <c r="AD54" s="53">
        <f ca="1">'Assumption '!AH147</f>
        <v>950000</v>
      </c>
      <c r="AE54" s="53">
        <f ca="1">'Assumption '!AI147</f>
        <v>950000</v>
      </c>
      <c r="AF54" s="53">
        <f ca="1">'Assumption '!AJ147</f>
        <v>950000</v>
      </c>
      <c r="AG54" s="53">
        <f ca="1">'Assumption '!AK147</f>
        <v>950000</v>
      </c>
      <c r="AH54" s="53">
        <f ca="1">'Assumption '!AL147</f>
        <v>950000</v>
      </c>
      <c r="AI54" s="53">
        <f ca="1">'Assumption '!AM147</f>
        <v>950000</v>
      </c>
      <c r="AJ54" s="53">
        <f ca="1">'Assumption '!AN147</f>
        <v>950000</v>
      </c>
      <c r="AK54" s="53">
        <f ca="1">'Assumption '!AO147</f>
        <v>950000</v>
      </c>
      <c r="AL54" s="53">
        <f ca="1">'Assumption '!AP147</f>
        <v>950000</v>
      </c>
      <c r="AM54" s="53"/>
      <c r="AN54" s="53"/>
      <c r="AO54" s="53"/>
      <c r="AP54" s="53"/>
      <c r="AQ54" s="53"/>
      <c r="AR54" s="53"/>
      <c r="AS54" s="53"/>
      <c r="AT54" s="53"/>
      <c r="AU54" s="53"/>
      <c r="AV54" s="53"/>
      <c r="AW54" s="53"/>
    </row>
    <row r="55" spans="1:50">
      <c r="A55" s="53"/>
      <c r="C55" s="53"/>
      <c r="D55" s="53"/>
      <c r="E55" s="53"/>
      <c r="F55" s="53"/>
      <c r="G55" s="53"/>
      <c r="H55" s="53"/>
      <c r="I55" s="53"/>
      <c r="J55" s="53"/>
      <c r="K55" s="53"/>
      <c r="L55" s="53"/>
      <c r="M55" s="53"/>
      <c r="N55" s="53"/>
      <c r="O55" s="53"/>
      <c r="P55" s="53"/>
      <c r="Q55" s="53"/>
      <c r="R55" s="53"/>
      <c r="S55" s="53"/>
      <c r="T55" s="53"/>
      <c r="U55" s="53"/>
      <c r="V55" s="53"/>
      <c r="W55" s="53"/>
      <c r="X55" s="53"/>
      <c r="Y55" s="53"/>
      <c r="Z55" s="53"/>
      <c r="AA55" s="53"/>
      <c r="AB55" s="53"/>
      <c r="AC55" s="53"/>
      <c r="AD55" s="53"/>
      <c r="AE55" s="53"/>
      <c r="AF55" s="53"/>
      <c r="AG55" s="53"/>
      <c r="AH55" s="53"/>
      <c r="AI55" s="53"/>
      <c r="AJ55" s="53"/>
    </row>
    <row r="56" spans="1:50">
      <c r="A56" s="53"/>
      <c r="C56" s="53"/>
      <c r="D56" s="53"/>
      <c r="E56" s="53"/>
      <c r="F56" s="53"/>
      <c r="G56" s="53"/>
      <c r="H56" s="53"/>
      <c r="I56" s="53"/>
      <c r="J56" s="53"/>
      <c r="K56" s="53"/>
      <c r="L56" s="53"/>
      <c r="M56" s="53"/>
      <c r="N56" s="53"/>
      <c r="O56" s="53"/>
      <c r="P56" s="53"/>
      <c r="Q56" s="53"/>
      <c r="R56" s="53"/>
      <c r="S56" s="53"/>
      <c r="T56" s="53"/>
      <c r="U56" s="53"/>
      <c r="V56" s="53"/>
      <c r="W56" s="53"/>
      <c r="X56" s="53"/>
      <c r="Y56" s="53"/>
      <c r="Z56" s="53"/>
      <c r="AA56" s="53"/>
      <c r="AB56" s="53"/>
      <c r="AC56" s="53"/>
      <c r="AD56" s="53"/>
      <c r="AE56" s="53"/>
      <c r="AF56" s="53"/>
      <c r="AG56" s="53"/>
      <c r="AH56" s="53"/>
      <c r="AI56" s="53"/>
      <c r="AJ56" s="53"/>
    </row>
    <row r="57" spans="1:50">
      <c r="A57" s="53"/>
      <c r="B57" s="2" t="s">
        <v>124</v>
      </c>
      <c r="C57" s="53"/>
      <c r="D57" s="53"/>
      <c r="E57" s="53"/>
      <c r="F57" s="53"/>
      <c r="G57" s="53"/>
      <c r="H57" s="53"/>
      <c r="I57" s="53">
        <f>'Rev &amp; Receivables'!J144</f>
        <v>0</v>
      </c>
      <c r="J57" s="53">
        <f>'Rev &amp; Receivables'!K144</f>
        <v>0</v>
      </c>
      <c r="K57" s="53">
        <f ca="1">'Rev &amp; Receivables'!L144</f>
        <v>468122502.66835201</v>
      </c>
      <c r="L57" s="53">
        <f ca="1">'Rev &amp; Receivables'!M144</f>
        <v>563763530.90582466</v>
      </c>
      <c r="M57" s="53">
        <f ca="1">'Rev &amp; Receivables'!N144</f>
        <v>580676436.83299935</v>
      </c>
      <c r="N57" s="53">
        <f ca="1">'Rev &amp; Receivables'!O144</f>
        <v>598096729.93798935</v>
      </c>
      <c r="O57" s="53">
        <f ca="1">'Rev &amp; Receivables'!P144</f>
        <v>616039631.83612907</v>
      </c>
      <c r="P57" s="53">
        <f ca="1">'Rev &amp; Receivables'!Q144</f>
        <v>634520820.79121304</v>
      </c>
      <c r="Q57" s="53">
        <f ca="1">'Rev &amp; Receivables'!R144</f>
        <v>653556445.41494942</v>
      </c>
      <c r="R57" s="53">
        <f ca="1">'Rev &amp; Receivables'!S144</f>
        <v>673163138.77739775</v>
      </c>
      <c r="S57" s="53">
        <f ca="1">'Rev &amp; Receivables'!T144</f>
        <v>693358032.94071972</v>
      </c>
      <c r="T57" s="53">
        <f ca="1">'Rev &amp; Receivables'!U144</f>
        <v>714158773.92894137</v>
      </c>
      <c r="U57" s="53">
        <f ca="1">'Rev &amp; Receivables'!V144</f>
        <v>735583537.1468097</v>
      </c>
      <c r="V57" s="53">
        <f ca="1">'Rev &amp; Receivables'!W144</f>
        <v>757651043.26121402</v>
      </c>
      <c r="W57" s="53">
        <f ca="1">'Rev &amp; Receivables'!X144</f>
        <v>780380574.55905044</v>
      </c>
      <c r="X57" s="53">
        <f ca="1">'Rev &amp; Receivables'!Y144</f>
        <v>803791991.79582202</v>
      </c>
      <c r="Y57" s="53">
        <f ca="1">'Rev &amp; Receivables'!Z144</f>
        <v>827905751.54969668</v>
      </c>
      <c r="Z57" s="53">
        <f ca="1">'Rev &amp; Receivables'!AA144</f>
        <v>852742924.09618759</v>
      </c>
      <c r="AA57" s="53">
        <f ca="1">'Rev &amp; Receivables'!AB144</f>
        <v>878325211.81907332</v>
      </c>
      <c r="AB57" s="53">
        <f ca="1">'Rev &amp; Receivables'!AC144</f>
        <v>904674968.17364562</v>
      </c>
      <c r="AC57" s="53">
        <f ca="1">'Rev &amp; Receivables'!AD144</f>
        <v>931815217.21885502</v>
      </c>
      <c r="AD57" s="53">
        <f ca="1">'Rev &amp; Receivables'!AE144</f>
        <v>959769673.73542082</v>
      </c>
      <c r="AE57" s="53">
        <f ca="1">'Rev &amp; Receivables'!AF144</f>
        <v>988562763.94748342</v>
      </c>
      <c r="AF57" s="53">
        <f ca="1">'Rev &amp; Receivables'!AG144</f>
        <v>1018219646.865908</v>
      </c>
      <c r="AG57" s="53">
        <f ca="1">'Rev &amp; Receivables'!AH144</f>
        <v>1048766236.2718852</v>
      </c>
      <c r="AH57" s="53">
        <f ca="1">'Rev &amp; Receivables'!AI144</f>
        <v>1080229223.3600419</v>
      </c>
      <c r="AI57" s="53">
        <f ca="1">'Rev &amp; Receivables'!AJ144</f>
        <v>1112636100.0608432</v>
      </c>
      <c r="AJ57" s="53">
        <f ca="1">'Rev &amp; Receivables'!AK144</f>
        <v>1146015183.0626683</v>
      </c>
      <c r="AK57" s="53">
        <f ca="1">'Rev &amp; Receivables'!AL144</f>
        <v>1180395638.5545483</v>
      </c>
      <c r="AL57" s="53">
        <f ca="1">'Rev &amp; Receivables'!AM144</f>
        <v>1215807507.711185</v>
      </c>
      <c r="AM57" s="53"/>
      <c r="AN57" s="53"/>
      <c r="AO57" s="53"/>
      <c r="AP57" s="53"/>
      <c r="AQ57" s="53"/>
      <c r="AR57" s="53"/>
      <c r="AS57" s="53"/>
      <c r="AT57" s="53"/>
      <c r="AU57" s="53"/>
      <c r="AV57" s="53"/>
      <c r="AW57" s="53"/>
    </row>
    <row r="58" spans="1:50">
      <c r="A58" s="53"/>
      <c r="B58" s="1544" t="s">
        <v>1686</v>
      </c>
      <c r="C58" s="53"/>
      <c r="D58" s="53"/>
      <c r="E58" s="53"/>
      <c r="F58" s="53"/>
      <c r="G58" s="53"/>
      <c r="H58" s="53"/>
      <c r="L58" s="1554">
        <f ca="1">L57/L54</f>
        <v>593.43529569034172</v>
      </c>
      <c r="M58" s="1554">
        <f t="shared" ref="M58:AL58" ca="1" si="19">M57/M54</f>
        <v>611.23835456105189</v>
      </c>
      <c r="N58" s="1554">
        <f t="shared" ca="1" si="19"/>
        <v>629.57550519788356</v>
      </c>
      <c r="O58" s="1554">
        <f t="shared" ca="1" si="19"/>
        <v>648.46277035382002</v>
      </c>
      <c r="P58" s="1554">
        <f t="shared" ca="1" si="19"/>
        <v>667.91665346443483</v>
      </c>
      <c r="Q58" s="1554">
        <f t="shared" ca="1" si="19"/>
        <v>687.95415306836776</v>
      </c>
      <c r="R58" s="1554">
        <f t="shared" ca="1" si="19"/>
        <v>708.59277766041873</v>
      </c>
      <c r="S58" s="1554">
        <f t="shared" ca="1" si="19"/>
        <v>729.85056099023132</v>
      </c>
      <c r="T58" s="1554">
        <f t="shared" ca="1" si="19"/>
        <v>751.74607781993825</v>
      </c>
      <c r="U58" s="1554">
        <f t="shared" ca="1" si="19"/>
        <v>774.29846015453654</v>
      </c>
      <c r="V58" s="1554">
        <f t="shared" ca="1" si="19"/>
        <v>797.52741395917269</v>
      </c>
      <c r="W58" s="1554">
        <f t="shared" ca="1" si="19"/>
        <v>821.45323637794786</v>
      </c>
      <c r="X58" s="1554">
        <f t="shared" ca="1" si="19"/>
        <v>846.09683346928637</v>
      </c>
      <c r="Y58" s="1554">
        <f t="shared" ca="1" si="19"/>
        <v>871.47973847336493</v>
      </c>
      <c r="Z58" s="1554">
        <f t="shared" ca="1" si="19"/>
        <v>897.62413062756593</v>
      </c>
      <c r="AA58" s="1554">
        <f t="shared" ca="1" si="19"/>
        <v>924.55285454639295</v>
      </c>
      <c r="AB58" s="1554">
        <f t="shared" ca="1" si="19"/>
        <v>952.28944018278492</v>
      </c>
      <c r="AC58" s="1554">
        <f t="shared" ca="1" si="19"/>
        <v>980.8581233882685</v>
      </c>
      <c r="AD58" s="1554">
        <f t="shared" ca="1" si="19"/>
        <v>1010.2838670899166</v>
      </c>
      <c r="AE58" s="1554">
        <f t="shared" ca="1" si="19"/>
        <v>1040.5923831026141</v>
      </c>
      <c r="AF58" s="1554">
        <f t="shared" ca="1" si="19"/>
        <v>1071.8101545956927</v>
      </c>
      <c r="AG58" s="1554">
        <f t="shared" ca="1" si="19"/>
        <v>1103.9644592335633</v>
      </c>
      <c r="AH58" s="1554">
        <f t="shared" ca="1" si="19"/>
        <v>1137.0833930105703</v>
      </c>
      <c r="AI58" s="1554">
        <f t="shared" ca="1" si="19"/>
        <v>1171.1958948008876</v>
      </c>
      <c r="AJ58" s="1554">
        <f t="shared" ca="1" si="19"/>
        <v>1206.3317716449139</v>
      </c>
      <c r="AK58" s="1554">
        <f t="shared" ca="1" si="19"/>
        <v>1242.5217247942612</v>
      </c>
      <c r="AL58" s="1554">
        <f t="shared" ca="1" si="19"/>
        <v>1279.7973765380893</v>
      </c>
      <c r="AM58" s="1554"/>
      <c r="AN58" s="1554"/>
      <c r="AO58" s="1554"/>
      <c r="AP58" s="1554"/>
      <c r="AQ58" s="1554"/>
      <c r="AR58" s="1554"/>
      <c r="AS58" s="1554"/>
      <c r="AT58" s="1554"/>
      <c r="AU58" s="1554"/>
      <c r="AV58" s="1554"/>
      <c r="AW58" s="1554"/>
    </row>
    <row r="59" spans="1:50">
      <c r="A59" s="53"/>
      <c r="C59" s="53"/>
      <c r="D59" s="53"/>
      <c r="E59" s="53"/>
      <c r="F59" s="53"/>
      <c r="G59" s="53"/>
      <c r="H59" s="53"/>
      <c r="I59" s="53"/>
      <c r="J59" s="53"/>
      <c r="K59" s="53"/>
      <c r="L59" s="53"/>
      <c r="M59" s="53"/>
      <c r="N59" s="53"/>
      <c r="O59" s="53"/>
      <c r="P59" s="53"/>
      <c r="Q59" s="53"/>
      <c r="R59" s="53"/>
      <c r="S59" s="53"/>
      <c r="T59" s="53"/>
      <c r="U59" s="53"/>
      <c r="V59" s="53"/>
      <c r="W59" s="53"/>
      <c r="X59" s="53"/>
      <c r="Y59" s="53"/>
      <c r="Z59" s="53"/>
      <c r="AA59" s="53"/>
      <c r="AB59" s="53"/>
      <c r="AC59" s="53"/>
      <c r="AD59" s="53"/>
      <c r="AE59" s="53"/>
      <c r="AF59" s="53"/>
      <c r="AG59" s="53"/>
      <c r="AH59" s="53"/>
      <c r="AI59" s="53"/>
      <c r="AJ59" s="53"/>
    </row>
    <row r="60" spans="1:50">
      <c r="A60" s="53"/>
      <c r="B60" s="2" t="s">
        <v>1501</v>
      </c>
      <c r="C60" s="53"/>
      <c r="D60" s="53"/>
      <c r="E60" s="53"/>
      <c r="F60" s="53"/>
      <c r="G60" s="53"/>
      <c r="H60" s="53"/>
      <c r="I60" s="53">
        <f ca="1">-'Raw Material '!I114</f>
        <v>0</v>
      </c>
      <c r="J60" s="53">
        <f ca="1">-'Raw Material '!J114</f>
        <v>-69729839.254579201</v>
      </c>
      <c r="K60" s="53">
        <f ca="1">-'Raw Material '!K114</f>
        <v>-89773357.135865793</v>
      </c>
      <c r="L60" s="53">
        <f ca="1">-'Raw Material '!L114</f>
        <v>-108091083.52858116</v>
      </c>
      <c r="M60" s="53">
        <f ca="1">-'Raw Material '!M114</f>
        <v>-111328329.33803092</v>
      </c>
      <c r="N60" s="53">
        <f ca="1">-'Raw Material '!N114</f>
        <v>-114663368.16923611</v>
      </c>
      <c r="O60" s="53">
        <f ca="1">-'Raw Material '!O114</f>
        <v>-118098342.70020297</v>
      </c>
      <c r="P60" s="53">
        <f ca="1">-'Raw Material '!P114</f>
        <v>-121636248.23076022</v>
      </c>
      <c r="Q60" s="53">
        <f ca="1">-'Raw Material '!Q114</f>
        <v>-125280169.8532234</v>
      </c>
      <c r="R60" s="53">
        <f ca="1">-'Raw Material '!R114</f>
        <v>-129033285.14457345</v>
      </c>
      <c r="S60" s="53">
        <f ca="1">-'Raw Material '!S114</f>
        <v>-132898866.93936208</v>
      </c>
      <c r="T60" s="53">
        <f ca="1">-'Raw Material '!T114</f>
        <v>-136880286.18576521</v>
      </c>
      <c r="U60" s="53">
        <f ca="1">-'Raw Material '!U114</f>
        <v>-140981014.88727775</v>
      </c>
      <c r="V60" s="53">
        <f ca="1">-'Raw Material '!V114</f>
        <v>-145204629.13261825</v>
      </c>
      <c r="W60" s="53">
        <f ca="1">-'Raw Material '!W114</f>
        <v>-149554812.21648827</v>
      </c>
      <c r="X60" s="53">
        <f ca="1">-'Raw Material '!X114</f>
        <v>-154035357.85391179</v>
      </c>
      <c r="Y60" s="53">
        <f ca="1">-'Raw Material '!Y114</f>
        <v>-158650173.49096033</v>
      </c>
      <c r="Z60" s="53">
        <f ca="1">-'Raw Material '!Z114</f>
        <v>-159960435.25224221</v>
      </c>
      <c r="AA60" s="53">
        <f ca="1">-'Raw Material '!AA114</f>
        <v>-161306635.29540059</v>
      </c>
      <c r="AB60" s="53">
        <f ca="1">-'Raw Material '!AB114</f>
        <v>-162693064.17680225</v>
      </c>
      <c r="AC60" s="53">
        <f ca="1">-'Raw Material '!AC114</f>
        <v>-164120924.98968124</v>
      </c>
      <c r="AD60" s="53">
        <f ca="1">-'Raw Material '!AD114</f>
        <v>-165591456.82954282</v>
      </c>
      <c r="AE60" s="53">
        <f ca="1">-'Raw Material '!AE114</f>
        <v>-167105935.87205872</v>
      </c>
      <c r="AF60" s="53">
        <f ca="1">-'Raw Material '!AF114</f>
        <v>-168665676.48324755</v>
      </c>
      <c r="AG60" s="53">
        <f ca="1">-'Raw Material '!AG114</f>
        <v>-170272032.36290708</v>
      </c>
      <c r="AH60" s="53">
        <f ca="1">-'Raw Material '!AH114</f>
        <v>-171926397.72229463</v>
      </c>
      <c r="AI60" s="53">
        <f ca="1">-'Raw Material '!AI114</f>
        <v>-173630208.4970822</v>
      </c>
      <c r="AJ60" s="53">
        <f ca="1">-'Raw Material '!AJ114</f>
        <v>-175384943.59664261</v>
      </c>
      <c r="AK60" s="53">
        <f ca="1">-'Raw Material '!AK114</f>
        <v>-177192126.19075572</v>
      </c>
      <c r="AL60" s="53">
        <f ca="1">-'Raw Material '!AL114</f>
        <v>-179053325.03485578</v>
      </c>
      <c r="AM60" s="53"/>
      <c r="AN60" s="53"/>
      <c r="AO60" s="53"/>
      <c r="AP60" s="53"/>
      <c r="AQ60" s="53"/>
      <c r="AR60" s="53"/>
      <c r="AS60" s="53"/>
      <c r="AT60" s="53"/>
      <c r="AU60" s="53"/>
      <c r="AV60" s="53"/>
      <c r="AW60" s="53"/>
    </row>
    <row r="61" spans="1:50">
      <c r="B61" s="2" t="s">
        <v>1662</v>
      </c>
      <c r="I61" s="188">
        <f>'O&amp;M Costs'!I398</f>
        <v>0</v>
      </c>
      <c r="J61" s="188">
        <f>'O&amp;M Costs'!J398</f>
        <v>0</v>
      </c>
      <c r="K61" s="188">
        <f ca="1">'O&amp;M Costs'!K398</f>
        <v>1327542.9670799996</v>
      </c>
      <c r="L61" s="1531">
        <f ca="1">-'O&amp;M Costs'!L398</f>
        <v>-1358076.4553228396</v>
      </c>
      <c r="M61" s="1531">
        <f ca="1">-'O&amp;M Costs'!M398</f>
        <v>-1389312.2137952645</v>
      </c>
      <c r="N61" s="1531">
        <f ca="1">-'O&amp;M Costs'!N398</f>
        <v>-1418768.6694757326</v>
      </c>
      <c r="O61" s="1531">
        <f ca="1">-'O&amp;M Costs'!O398</f>
        <v>-1460790.6752457139</v>
      </c>
      <c r="P61" s="1531">
        <f ca="1">-'O&amp;M Costs'!P398</f>
        <v>-1491762.6305460054</v>
      </c>
      <c r="Q61" s="1531">
        <f ca="1">-'O&amp;M Costs'!Q398</f>
        <v>-1527564.9336791097</v>
      </c>
      <c r="R61" s="1531">
        <f ca="1">-'O&amp;M Costs'!R398</f>
        <v>-1559952.6492128528</v>
      </c>
      <c r="S61" s="1531">
        <f ca="1">-'O&amp;M Costs'!S398</f>
        <v>-1606156.3331794173</v>
      </c>
      <c r="T61" s="1531">
        <f ca="1">-'O&amp;M Costs'!T398</f>
        <v>-1640210.3581670462</v>
      </c>
      <c r="U61" s="1531">
        <f ca="1">-'O&amp;M Costs'!U398</f>
        <v>-1679575.4067630554</v>
      </c>
      <c r="V61" s="1531">
        <f ca="1">-'O&amp;M Costs'!V398</f>
        <v>-1715186.0765895071</v>
      </c>
      <c r="W61" s="1531">
        <f ca="1">-'O&amp;M Costs'!W398</f>
        <v>-1765987.5643568325</v>
      </c>
      <c r="X61" s="1531">
        <f ca="1">-'O&amp;M Costs'!X398</f>
        <v>-1803430.3608033052</v>
      </c>
      <c r="Y61" s="1531">
        <f ca="1">-'O&amp;M Costs'!Y398</f>
        <v>-1846712.6894625847</v>
      </c>
      <c r="Z61" s="1531">
        <f ca="1">-'O&amp;M Costs'!Z398</f>
        <v>-1885867.0350096603</v>
      </c>
      <c r="AA61" s="1531">
        <f ca="1">-'O&amp;M Costs'!AA398</f>
        <v>-1941723.8615181549</v>
      </c>
      <c r="AB61" s="1531">
        <f ca="1">-'O&amp;M Costs'!AB398</f>
        <v>-1982892.6515875012</v>
      </c>
      <c r="AC61" s="1531">
        <f ca="1">-'O&amp;M Costs'!AC398</f>
        <v>-2030482.0752256014</v>
      </c>
      <c r="AD61" s="1531">
        <f ca="1">-'O&amp;M Costs'!AD398</f>
        <v>-2073532.7334325707</v>
      </c>
      <c r="AE61" s="1531">
        <f ca="1">-'O&amp;M Costs'!AE398</f>
        <v>-2134947.9636693271</v>
      </c>
      <c r="AF61" s="1531">
        <f ca="1">-'O&amp;M Costs'!AF398</f>
        <v>-2180213.5270520425</v>
      </c>
      <c r="AG61" s="1531">
        <f ca="1">-'O&amp;M Costs'!AG398</f>
        <v>-2232538.651701292</v>
      </c>
      <c r="AH61" s="1531">
        <f ca="1">-'O&amp;M Costs'!AH398</f>
        <v>-2279873.3509832649</v>
      </c>
      <c r="AI61" s="1531">
        <f ca="1">-'O&amp;M Costs'!AI398</f>
        <v>-2347400.1107511185</v>
      </c>
      <c r="AJ61" s="1531">
        <f ca="1">-'O&amp;M Costs'!AJ398</f>
        <v>-2397170.1240282459</v>
      </c>
      <c r="AK61" s="1531">
        <f ca="1">-'O&amp;M Costs'!AK398</f>
        <v>-2454702.2070049238</v>
      </c>
      <c r="AL61" s="1531">
        <f ca="1">-'O&amp;M Costs'!AL398</f>
        <v>-2513615.0599730425</v>
      </c>
      <c r="AM61" s="1531"/>
      <c r="AN61" s="1531"/>
      <c r="AO61" s="1531"/>
      <c r="AP61" s="1531"/>
      <c r="AQ61" s="1531"/>
      <c r="AR61" s="1531"/>
      <c r="AS61" s="1531"/>
      <c r="AT61" s="1531"/>
      <c r="AU61" s="1531"/>
      <c r="AV61" s="1531"/>
      <c r="AW61" s="1531"/>
    </row>
    <row r="62" spans="1:50">
      <c r="B62" s="489" t="s">
        <v>1663</v>
      </c>
      <c r="I62" s="1531">
        <f>-'O&amp;M Costs'!I405</f>
        <v>0</v>
      </c>
      <c r="J62" s="1531">
        <f>-'O&amp;M Costs'!J405</f>
        <v>0</v>
      </c>
      <c r="K62" s="1531">
        <f>-'O&amp;M Costs'!K405</f>
        <v>0</v>
      </c>
      <c r="L62" s="1531">
        <f ca="1">-'O&amp;M Costs'!L405</f>
        <v>-22856919.792282265</v>
      </c>
      <c r="M62" s="1531">
        <f ca="1">-'O&amp;M Costs'!M405</f>
        <v>-23382628.947504751</v>
      </c>
      <c r="N62" s="1531">
        <f ca="1">-'O&amp;M Costs'!N405</f>
        <v>-23878391.790763322</v>
      </c>
      <c r="O62" s="1531">
        <f ca="1">-'O&amp;M Costs'!O405</f>
        <v>-24585637.403947134</v>
      </c>
      <c r="P62" s="1531">
        <f ca="1">-'O&amp;M Costs'!P405</f>
        <v>-25106906.656008955</v>
      </c>
      <c r="Q62" s="1531">
        <f ca="1">-'O&amp;M Costs'!Q405</f>
        <v>-25709472.415753167</v>
      </c>
      <c r="R62" s="1531">
        <f ca="1">-'O&amp;M Costs'!R405</f>
        <v>-26254569.426535256</v>
      </c>
      <c r="S62" s="1531">
        <f ca="1">-'O&amp;M Costs'!S405</f>
        <v>-27032194.201924421</v>
      </c>
      <c r="T62" s="1531">
        <f ca="1">-'O&amp;M Costs'!T405</f>
        <v>-27605335.805768494</v>
      </c>
      <c r="U62" s="1531">
        <f ca="1">-'O&amp;M Costs'!U405</f>
        <v>-28267863.865106944</v>
      </c>
      <c r="V62" s="1531">
        <f ca="1">-'O&amp;M Costs'!V405</f>
        <v>-28867204.366727781</v>
      </c>
      <c r="W62" s="1531">
        <f ca="1">-'O&amp;M Costs'!W405</f>
        <v>-29722211.849314868</v>
      </c>
      <c r="X62" s="1531">
        <f ca="1">-'O&amp;M Costs'!X405</f>
        <v>-30352387.707103614</v>
      </c>
      <c r="Y62" s="1531">
        <f ca="1">-'O&amp;M Costs'!Y405</f>
        <v>-31080845.012074109</v>
      </c>
      <c r="Z62" s="1531">
        <f ca="1">-'O&amp;M Costs'!Z405</f>
        <v>-31739826.862603329</v>
      </c>
      <c r="AA62" s="1531">
        <f ca="1">-'O&amp;M Costs'!AA405</f>
        <v>-32679917.531543314</v>
      </c>
      <c r="AB62" s="1531">
        <f ca="1">-'O&amp;M Costs'!AB405</f>
        <v>-33372803.214725755</v>
      </c>
      <c r="AC62" s="1531">
        <f ca="1">-'O&amp;M Costs'!AC405</f>
        <v>-34173750.491879173</v>
      </c>
      <c r="AD62" s="1531">
        <f ca="1">-'O&amp;M Costs'!AD405</f>
        <v>-34898308.699029401</v>
      </c>
      <c r="AE62" s="1531">
        <f ca="1">-'O&amp;M Costs'!AE405</f>
        <v>-35931949.320692629</v>
      </c>
      <c r="AF62" s="1531">
        <f ca="1">-'O&amp;M Costs'!AF405</f>
        <v>-36693785.186071254</v>
      </c>
      <c r="AG62" s="1531">
        <f ca="1">-'O&amp;M Costs'!AG405</f>
        <v>-37574436.030536957</v>
      </c>
      <c r="AH62" s="1531">
        <f ca="1">-'O&amp;M Costs'!AH405</f>
        <v>-38371096.204299167</v>
      </c>
      <c r="AI62" s="1531">
        <f ca="1">-'O&amp;M Costs'!AI405</f>
        <v>-39507596.086759493</v>
      </c>
      <c r="AJ62" s="1531">
        <f ca="1">-'O&amp;M Costs'!AJ405</f>
        <v>-40345243.47920008</v>
      </c>
      <c r="AK62" s="1531">
        <f ca="1">-'O&amp;M Costs'!AK405</f>
        <v>-41313529.322700888</v>
      </c>
      <c r="AL62" s="1531">
        <f ca="1">-'O&amp;M Costs'!AL405</f>
        <v>-42305054.026445709</v>
      </c>
      <c r="AM62" s="1531"/>
      <c r="AN62" s="1531"/>
      <c r="AO62" s="1531"/>
      <c r="AP62" s="1531"/>
      <c r="AQ62" s="1531"/>
      <c r="AR62" s="1531"/>
      <c r="AS62" s="1531"/>
      <c r="AT62" s="1531"/>
      <c r="AU62" s="1531"/>
      <c r="AV62" s="1531"/>
      <c r="AW62" s="1531"/>
    </row>
    <row r="63" spans="1:50">
      <c r="B63" s="124" t="s">
        <v>1344</v>
      </c>
      <c r="C63" s="124"/>
      <c r="D63" s="124"/>
      <c r="E63" s="124"/>
      <c r="F63" s="124"/>
      <c r="G63" s="124"/>
      <c r="H63" s="124"/>
      <c r="I63" s="124"/>
      <c r="J63" s="124"/>
      <c r="K63" s="124"/>
      <c r="L63" s="1555">
        <f ca="1">SUM(L60:L62)</f>
        <v>-132306079.77618627</v>
      </c>
      <c r="M63" s="1555">
        <f t="shared" ref="M63:AL63" ca="1" si="20">SUM(M60:M62)</f>
        <v>-136100270.49933094</v>
      </c>
      <c r="N63" s="1555">
        <f t="shared" ca="1" si="20"/>
        <v>-139960528.62947518</v>
      </c>
      <c r="O63" s="1555">
        <f t="shared" ca="1" si="20"/>
        <v>-144144770.77939582</v>
      </c>
      <c r="P63" s="1555">
        <f t="shared" ca="1" si="20"/>
        <v>-148234917.51731518</v>
      </c>
      <c r="Q63" s="1555">
        <f t="shared" ca="1" si="20"/>
        <v>-152517207.20265567</v>
      </c>
      <c r="R63" s="1555">
        <f t="shared" ca="1" si="20"/>
        <v>-156847807.22032157</v>
      </c>
      <c r="S63" s="1555">
        <f t="shared" ca="1" si="20"/>
        <v>-161537217.47446591</v>
      </c>
      <c r="T63" s="1555">
        <f t="shared" ca="1" si="20"/>
        <v>-166125832.34970075</v>
      </c>
      <c r="U63" s="1555">
        <f t="shared" ca="1" si="20"/>
        <v>-170928454.15914774</v>
      </c>
      <c r="V63" s="1555">
        <f t="shared" ca="1" si="20"/>
        <v>-175787019.57593551</v>
      </c>
      <c r="W63" s="1555">
        <f t="shared" ca="1" si="20"/>
        <v>-181043011.63015997</v>
      </c>
      <c r="X63" s="1555">
        <f t="shared" ca="1" si="20"/>
        <v>-186191175.9218187</v>
      </c>
      <c r="Y63" s="1555">
        <f t="shared" ca="1" si="20"/>
        <v>-191577731.19249701</v>
      </c>
      <c r="Z63" s="1555">
        <f t="shared" ca="1" si="20"/>
        <v>-193586129.1498552</v>
      </c>
      <c r="AA63" s="1555">
        <f t="shared" ca="1" si="20"/>
        <v>-195928276.68846205</v>
      </c>
      <c r="AB63" s="1555">
        <f t="shared" ca="1" si="20"/>
        <v>-198048760.04311553</v>
      </c>
      <c r="AC63" s="1555">
        <f t="shared" ca="1" si="20"/>
        <v>-200325157.556786</v>
      </c>
      <c r="AD63" s="1555">
        <f t="shared" ca="1" si="20"/>
        <v>-202563298.26200479</v>
      </c>
      <c r="AE63" s="1555">
        <f t="shared" ca="1" si="20"/>
        <v>-205172833.15642068</v>
      </c>
      <c r="AF63" s="1555">
        <f t="shared" ca="1" si="20"/>
        <v>-207539675.19637084</v>
      </c>
      <c r="AG63" s="1555">
        <f t="shared" ca="1" si="20"/>
        <v>-210079007.04514533</v>
      </c>
      <c r="AH63" s="1555">
        <f t="shared" ca="1" si="20"/>
        <v>-212577367.27757704</v>
      </c>
      <c r="AI63" s="1555">
        <f t="shared" ca="1" si="20"/>
        <v>-215485204.69459283</v>
      </c>
      <c r="AJ63" s="1555">
        <f t="shared" ca="1" si="20"/>
        <v>-218127357.19987094</v>
      </c>
      <c r="AK63" s="1555">
        <f t="shared" ca="1" si="20"/>
        <v>-220960357.72046155</v>
      </c>
      <c r="AL63" s="1555">
        <f t="shared" ca="1" si="20"/>
        <v>-223871994.12127453</v>
      </c>
      <c r="AM63" s="1555"/>
      <c r="AN63" s="1555"/>
      <c r="AO63" s="1555"/>
      <c r="AP63" s="1555"/>
      <c r="AQ63" s="1555"/>
      <c r="AR63" s="1555"/>
      <c r="AS63" s="1555"/>
      <c r="AT63" s="1555"/>
      <c r="AU63" s="1555"/>
      <c r="AV63" s="1555"/>
      <c r="AW63" s="1555"/>
      <c r="AX63" s="124"/>
    </row>
    <row r="65" spans="1:49" ht="11.25" thickBot="1">
      <c r="B65" s="486" t="s">
        <v>1669</v>
      </c>
      <c r="C65" s="486"/>
      <c r="D65" s="486"/>
      <c r="E65" s="486"/>
      <c r="F65" s="486"/>
      <c r="G65" s="486"/>
      <c r="H65" s="486"/>
      <c r="I65" s="486"/>
      <c r="J65" s="486"/>
      <c r="K65" s="486"/>
      <c r="L65" s="587">
        <f ca="1">L57+L63</f>
        <v>431457451.12963837</v>
      </c>
      <c r="M65" s="587">
        <f t="shared" ref="M65:AL65" ca="1" si="21">M57+M63</f>
        <v>444576166.33366841</v>
      </c>
      <c r="N65" s="587">
        <f t="shared" ca="1" si="21"/>
        <v>458136201.30851418</v>
      </c>
      <c r="O65" s="587">
        <f t="shared" ca="1" si="21"/>
        <v>471894861.05673325</v>
      </c>
      <c r="P65" s="587">
        <f t="shared" ca="1" si="21"/>
        <v>486285903.27389789</v>
      </c>
      <c r="Q65" s="587">
        <f t="shared" ca="1" si="21"/>
        <v>501039238.21229374</v>
      </c>
      <c r="R65" s="587">
        <f t="shared" ca="1" si="21"/>
        <v>516315331.55707622</v>
      </c>
      <c r="S65" s="587">
        <f t="shared" ca="1" si="21"/>
        <v>531820815.46625382</v>
      </c>
      <c r="T65" s="587">
        <f t="shared" ca="1" si="21"/>
        <v>548032941.57924056</v>
      </c>
      <c r="U65" s="587">
        <f t="shared" ca="1" si="21"/>
        <v>564655082.98766196</v>
      </c>
      <c r="V65" s="587">
        <f t="shared" ca="1" si="21"/>
        <v>581864023.68527853</v>
      </c>
      <c r="W65" s="587">
        <f t="shared" ca="1" si="21"/>
        <v>599337562.92889047</v>
      </c>
      <c r="X65" s="587">
        <f t="shared" ca="1" si="21"/>
        <v>617600815.87400329</v>
      </c>
      <c r="Y65" s="587">
        <f t="shared" ca="1" si="21"/>
        <v>636328020.35719967</v>
      </c>
      <c r="Z65" s="587">
        <f t="shared" ca="1" si="21"/>
        <v>659156794.94633245</v>
      </c>
      <c r="AA65" s="587">
        <f t="shared" ca="1" si="21"/>
        <v>682396935.1306113</v>
      </c>
      <c r="AB65" s="587">
        <f t="shared" ca="1" si="21"/>
        <v>706626208.13053012</v>
      </c>
      <c r="AC65" s="587">
        <f t="shared" ca="1" si="21"/>
        <v>731490059.66206908</v>
      </c>
      <c r="AD65" s="587">
        <f t="shared" ca="1" si="21"/>
        <v>757206375.47341609</v>
      </c>
      <c r="AE65" s="587">
        <f t="shared" ca="1" si="21"/>
        <v>783389930.79106271</v>
      </c>
      <c r="AF65" s="587">
        <f t="shared" ca="1" si="21"/>
        <v>810679971.66953719</v>
      </c>
      <c r="AG65" s="587">
        <f t="shared" ca="1" si="21"/>
        <v>838687229.22673988</v>
      </c>
      <c r="AH65" s="587">
        <f t="shared" ca="1" si="21"/>
        <v>867651856.08246481</v>
      </c>
      <c r="AI65" s="587">
        <f t="shared" ca="1" si="21"/>
        <v>897150895.3662504</v>
      </c>
      <c r="AJ65" s="587">
        <f t="shared" ca="1" si="21"/>
        <v>927887825.86279738</v>
      </c>
      <c r="AK65" s="587">
        <f t="shared" ca="1" si="21"/>
        <v>959435280.83408666</v>
      </c>
      <c r="AL65" s="587">
        <f t="shared" ca="1" si="21"/>
        <v>991935513.58991051</v>
      </c>
      <c r="AM65" s="587"/>
      <c r="AN65" s="587"/>
      <c r="AO65" s="587"/>
      <c r="AP65" s="587"/>
      <c r="AQ65" s="587"/>
      <c r="AR65" s="587"/>
      <c r="AS65" s="587"/>
      <c r="AT65" s="587"/>
      <c r="AU65" s="587"/>
      <c r="AV65" s="587"/>
      <c r="AW65" s="587"/>
    </row>
    <row r="66" spans="1:49">
      <c r="A66" s="12"/>
      <c r="B66" s="1544" t="s">
        <v>1670</v>
      </c>
      <c r="C66" s="1544"/>
      <c r="L66" s="1557">
        <f ca="1">L65/L57</f>
        <v>0.76531635601968784</v>
      </c>
      <c r="M66" s="1557">
        <f t="shared" ref="M66:AL66" ca="1" si="22">M65/M57</f>
        <v>0.76561771433051462</v>
      </c>
      <c r="N66" s="1557">
        <f t="shared" ca="1" si="22"/>
        <v>0.76599014570103685</v>
      </c>
      <c r="O66" s="1557">
        <f t="shared" ca="1" si="22"/>
        <v>0.76601380279744835</v>
      </c>
      <c r="P66" s="1557">
        <f t="shared" ca="1" si="22"/>
        <v>0.76638289452428965</v>
      </c>
      <c r="Q66" s="1557">
        <f t="shared" ca="1" si="22"/>
        <v>0.76663498880219749</v>
      </c>
      <c r="R66" s="1557">
        <f t="shared" ca="1" si="22"/>
        <v>0.76699881769345046</v>
      </c>
      <c r="S66" s="1557">
        <f t="shared" ca="1" si="22"/>
        <v>0.76702192835447125</v>
      </c>
      <c r="T66" s="1557">
        <f t="shared" ca="1" si="22"/>
        <v>0.76738249474166609</v>
      </c>
      <c r="U66" s="1557">
        <f t="shared" ca="1" si="22"/>
        <v>0.76762876610568653</v>
      </c>
      <c r="V66" s="1557">
        <f t="shared" ca="1" si="22"/>
        <v>0.76798419121911021</v>
      </c>
      <c r="W66" s="1557">
        <f t="shared" ca="1" si="22"/>
        <v>0.76800676806639212</v>
      </c>
      <c r="X66" s="1557">
        <f t="shared" ca="1" si="22"/>
        <v>0.76835900603359741</v>
      </c>
      <c r="Y66" s="1557">
        <f t="shared" ca="1" si="22"/>
        <v>0.76859958898232494</v>
      </c>
      <c r="Z66" s="1557">
        <f t="shared" ca="1" si="22"/>
        <v>0.77298418587872209</v>
      </c>
      <c r="AA66" s="1557">
        <f t="shared" ca="1" si="22"/>
        <v>0.77692969067495998</v>
      </c>
      <c r="AB66" s="1557">
        <f t="shared" ca="1" si="22"/>
        <v>0.78108296679973854</v>
      </c>
      <c r="AC66" s="1557">
        <f t="shared" ca="1" si="22"/>
        <v>0.78501622010994088</v>
      </c>
      <c r="AD66" s="1557">
        <f t="shared" ca="1" si="22"/>
        <v>0.78894592754360637</v>
      </c>
      <c r="AE66" s="1557">
        <f t="shared" ca="1" si="22"/>
        <v>0.79245340747295201</v>
      </c>
      <c r="AF66" s="1557">
        <f t="shared" ca="1" si="22"/>
        <v>0.79617396321591283</v>
      </c>
      <c r="AG66" s="1557">
        <f t="shared" ca="1" si="22"/>
        <v>0.79968938760659736</v>
      </c>
      <c r="AH66" s="1557">
        <f t="shared" ca="1" si="22"/>
        <v>0.80321087165522398</v>
      </c>
      <c r="AI66" s="1557">
        <f t="shared" ca="1" si="22"/>
        <v>0.80632912712178828</v>
      </c>
      <c r="AJ66" s="1557">
        <f t="shared" ca="1" si="22"/>
        <v>0.80966451367866132</v>
      </c>
      <c r="AK66" s="1557">
        <f t="shared" ca="1" si="22"/>
        <v>0.81280822251170104</v>
      </c>
      <c r="AL66" s="1557">
        <f t="shared" ca="1" si="22"/>
        <v>0.81586559327740615</v>
      </c>
      <c r="AM66" s="1557"/>
      <c r="AN66" s="1557"/>
      <c r="AO66" s="1557"/>
      <c r="AP66" s="1557"/>
      <c r="AQ66" s="1557"/>
      <c r="AR66" s="1557"/>
      <c r="AS66" s="1557"/>
      <c r="AT66" s="1557"/>
      <c r="AU66" s="1557"/>
      <c r="AV66" s="1557"/>
      <c r="AW66" s="1557"/>
    </row>
    <row r="68" spans="1:49">
      <c r="B68" s="1544" t="s">
        <v>1672</v>
      </c>
      <c r="L68" s="1356">
        <f ca="1">L63/L54</f>
        <v>-139.26955765914346</v>
      </c>
      <c r="M68" s="1356">
        <f t="shared" ref="M68:AL68" ca="1" si="23">M63/M54</f>
        <v>-143.26344263087466</v>
      </c>
      <c r="N68" s="1356">
        <f t="shared" ca="1" si="23"/>
        <v>-147.32687224155282</v>
      </c>
      <c r="O68" s="1356">
        <f t="shared" ca="1" si="23"/>
        <v>-151.73133766252192</v>
      </c>
      <c r="P68" s="1356">
        <f t="shared" ca="1" si="23"/>
        <v>-156.03675528138439</v>
      </c>
      <c r="Q68" s="1356">
        <f t="shared" ca="1" si="23"/>
        <v>-160.54442863437438</v>
      </c>
      <c r="R68" s="1356">
        <f t="shared" ca="1" si="23"/>
        <v>-165.10295496875955</v>
      </c>
      <c r="S68" s="1356">
        <f t="shared" ca="1" si="23"/>
        <v>-170.03917628891148</v>
      </c>
      <c r="T68" s="1356">
        <f t="shared" ca="1" si="23"/>
        <v>-174.86929721021133</v>
      </c>
      <c r="U68" s="1356">
        <f t="shared" ca="1" si="23"/>
        <v>-179.92468858857657</v>
      </c>
      <c r="V68" s="1356">
        <f t="shared" ca="1" si="23"/>
        <v>-185.03896797466896</v>
      </c>
      <c r="W68" s="1356">
        <f t="shared" ca="1" si="23"/>
        <v>-190.57159118964208</v>
      </c>
      <c r="X68" s="1356">
        <f t="shared" ca="1" si="23"/>
        <v>-195.99071149665127</v>
      </c>
      <c r="Y68" s="1356">
        <f t="shared" ca="1" si="23"/>
        <v>-201.66076967631264</v>
      </c>
      <c r="Z68" s="1356">
        <f t="shared" ca="1" si="23"/>
        <v>-203.77487278932125</v>
      </c>
      <c r="AA68" s="1356">
        <f t="shared" ca="1" si="23"/>
        <v>-206.24029125101268</v>
      </c>
      <c r="AB68" s="1356">
        <f t="shared" ca="1" si="23"/>
        <v>-208.47237899275319</v>
      </c>
      <c r="AC68" s="1356">
        <f t="shared" ca="1" si="23"/>
        <v>-210.86858690188001</v>
      </c>
      <c r="AD68" s="1356">
        <f t="shared" ca="1" si="23"/>
        <v>-213.22452448632083</v>
      </c>
      <c r="AE68" s="1356">
        <f t="shared" ca="1" si="23"/>
        <v>-215.97140332254807</v>
      </c>
      <c r="AF68" s="1356">
        <f t="shared" ca="1" si="23"/>
        <v>-218.46281599617984</v>
      </c>
      <c r="AG68" s="1356">
        <f t="shared" ca="1" si="23"/>
        <v>-221.13579688962668</v>
      </c>
      <c r="AH68" s="1356">
        <f t="shared" ca="1" si="23"/>
        <v>-223.76564976587056</v>
      </c>
      <c r="AI68" s="1356">
        <f t="shared" ca="1" si="23"/>
        <v>-226.82653125746614</v>
      </c>
      <c r="AJ68" s="1356">
        <f t="shared" ca="1" si="23"/>
        <v>-229.60774442091679</v>
      </c>
      <c r="AK68" s="1356">
        <f t="shared" ca="1" si="23"/>
        <v>-232.58985023206478</v>
      </c>
      <c r="AL68" s="1356">
        <f t="shared" ca="1" si="23"/>
        <v>-235.65473065397319</v>
      </c>
      <c r="AM68" s="1356"/>
      <c r="AN68" s="1356"/>
      <c r="AO68" s="1356"/>
      <c r="AP68" s="1356"/>
      <c r="AQ68" s="1356"/>
      <c r="AR68" s="1356"/>
      <c r="AS68" s="1356"/>
      <c r="AT68" s="1356"/>
      <c r="AU68" s="1356"/>
      <c r="AV68" s="1356"/>
      <c r="AW68" s="1356"/>
    </row>
    <row r="69" spans="1:49">
      <c r="B69" s="1544"/>
    </row>
    <row r="70" spans="1:49">
      <c r="B70" s="1550" t="s">
        <v>1671</v>
      </c>
      <c r="L70" s="1554">
        <f ca="1">L65/L54</f>
        <v>454.16573803119832</v>
      </c>
      <c r="M70" s="1554">
        <f t="shared" ref="M70:AL70" ca="1" si="24">M65/M54</f>
        <v>467.97491193017726</v>
      </c>
      <c r="N70" s="1554">
        <f t="shared" ca="1" si="24"/>
        <v>482.24863295633071</v>
      </c>
      <c r="O70" s="1554">
        <f t="shared" ca="1" si="24"/>
        <v>496.73143269129815</v>
      </c>
      <c r="P70" s="1554">
        <f t="shared" ca="1" si="24"/>
        <v>511.87989818305039</v>
      </c>
      <c r="Q70" s="1554">
        <f t="shared" ca="1" si="24"/>
        <v>527.40972443399346</v>
      </c>
      <c r="R70" s="1554">
        <f t="shared" ca="1" si="24"/>
        <v>543.48982269165913</v>
      </c>
      <c r="S70" s="1554">
        <f t="shared" ca="1" si="24"/>
        <v>559.81138470131975</v>
      </c>
      <c r="T70" s="1554">
        <f t="shared" ca="1" si="24"/>
        <v>576.87678060972689</v>
      </c>
      <c r="U70" s="1554">
        <f t="shared" ca="1" si="24"/>
        <v>594.37377156595994</v>
      </c>
      <c r="V70" s="1554">
        <f t="shared" ca="1" si="24"/>
        <v>612.48844598450376</v>
      </c>
      <c r="W70" s="1554">
        <f t="shared" ca="1" si="24"/>
        <v>630.88164518830581</v>
      </c>
      <c r="X70" s="1554">
        <f t="shared" ca="1" si="24"/>
        <v>650.10612197263504</v>
      </c>
      <c r="Y70" s="1554">
        <f t="shared" ca="1" si="24"/>
        <v>669.81896879705232</v>
      </c>
      <c r="Z70" s="1554">
        <f t="shared" ca="1" si="24"/>
        <v>693.84925783824474</v>
      </c>
      <c r="AA70" s="1554">
        <f t="shared" ca="1" si="24"/>
        <v>718.3125632953803</v>
      </c>
      <c r="AB70" s="1554">
        <f t="shared" ca="1" si="24"/>
        <v>743.81706119003172</v>
      </c>
      <c r="AC70" s="1554">
        <f t="shared" ca="1" si="24"/>
        <v>769.98953648638849</v>
      </c>
      <c r="AD70" s="1554">
        <f t="shared" ca="1" si="24"/>
        <v>797.05934260359584</v>
      </c>
      <c r="AE70" s="1554">
        <f t="shared" ca="1" si="24"/>
        <v>824.62097978006602</v>
      </c>
      <c r="AF70" s="1554">
        <f t="shared" ca="1" si="24"/>
        <v>853.3473385995128</v>
      </c>
      <c r="AG70" s="1554">
        <f t="shared" ca="1" si="24"/>
        <v>882.82866234393668</v>
      </c>
      <c r="AH70" s="1554">
        <f t="shared" ca="1" si="24"/>
        <v>913.31774324469984</v>
      </c>
      <c r="AI70" s="1554">
        <f t="shared" ca="1" si="24"/>
        <v>944.36936354342151</v>
      </c>
      <c r="AJ70" s="1554">
        <f t="shared" ca="1" si="24"/>
        <v>976.72402722399727</v>
      </c>
      <c r="AK70" s="1554">
        <f t="shared" ca="1" si="24"/>
        <v>1009.9318745621965</v>
      </c>
      <c r="AL70" s="1554">
        <f t="shared" ca="1" si="24"/>
        <v>1044.1426458841163</v>
      </c>
      <c r="AM70" s="1554"/>
      <c r="AN70" s="1554"/>
      <c r="AO70" s="1554"/>
      <c r="AP70" s="1554"/>
      <c r="AQ70" s="1554"/>
      <c r="AR70" s="1554"/>
      <c r="AS70" s="1554"/>
      <c r="AT70" s="1554"/>
      <c r="AU70" s="1554"/>
      <c r="AV70" s="1554"/>
      <c r="AW70" s="1554"/>
    </row>
    <row r="71" spans="1:49">
      <c r="B71" s="1550"/>
    </row>
    <row r="72" spans="1:49">
      <c r="B72" s="2" t="s">
        <v>446</v>
      </c>
    </row>
    <row r="73" spans="1:49">
      <c r="B73" s="1544" t="s">
        <v>1676</v>
      </c>
      <c r="L73" s="1531">
        <f ca="1">-'O&amp;M Costs'!L412</f>
        <v>-4368419.7436322728</v>
      </c>
      <c r="M73" s="1531">
        <f ca="1">-'O&amp;M Costs'!M412</f>
        <v>-4480930.6205691136</v>
      </c>
      <c r="N73" s="1531">
        <f ca="1">-'O&amp;M Costs'!N412</f>
        <v>-4586534.2563436609</v>
      </c>
      <c r="O73" s="1531">
        <f ca="1">-'O&amp;M Costs'!O412</f>
        <v>-4733509.7332796147</v>
      </c>
      <c r="P73" s="1531">
        <f ca="1">-'O&amp;M Costs'!P412</f>
        <v>-4845145.7406430934</v>
      </c>
      <c r="Q73" s="1531">
        <f ca="1">-'O&amp;M Costs'!Q412</f>
        <v>-4973042.7506035734</v>
      </c>
      <c r="R73" s="1531">
        <f ca="1">-'O&amp;M Costs'!R412</f>
        <v>-5090411.3616709271</v>
      </c>
      <c r="S73" s="1531">
        <f ca="1">-'O&amp;M Costs'!S412</f>
        <v>-5253708.7407714427</v>
      </c>
      <c r="T73" s="1531">
        <f ca="1">-'O&amp;M Costs'!T412</f>
        <v>-5377790.275669992</v>
      </c>
      <c r="U73" s="1531">
        <f ca="1">-'O&amp;M Costs'!U412</f>
        <v>-5519929.4111462291</v>
      </c>
      <c r="V73" s="1531">
        <f ca="1">-'O&amp;M Costs'!V412</f>
        <v>-5650391.5262103584</v>
      </c>
      <c r="W73" s="1531">
        <f ca="1">-'O&amp;M Costs'!W412</f>
        <v>-5831848.0607930981</v>
      </c>
      <c r="X73" s="1531">
        <f ca="1">-'O&amp;M Costs'!X412</f>
        <v>-5969781.4555863924</v>
      </c>
      <c r="Y73" s="1531">
        <f ca="1">-'O&amp;M Costs'!Y412</f>
        <v>-6127770.2432769388</v>
      </c>
      <c r="Z73" s="1531">
        <f ca="1">-'O&amp;M Costs'!Z412</f>
        <v>-6272806.4118633475</v>
      </c>
      <c r="AA73" s="1531">
        <f ca="1">-'O&amp;M Costs'!AA412</f>
        <v>-6474468.9404095635</v>
      </c>
      <c r="AB73" s="1531">
        <f ca="1">-'O&amp;M Costs'!AB412</f>
        <v>-6627821.556794608</v>
      </c>
      <c r="AC73" s="1531">
        <f ca="1">-'O&amp;M Costs'!AC412</f>
        <v>-6803451.3888514731</v>
      </c>
      <c r="AD73" s="1531">
        <f ca="1">-'O&amp;M Costs'!AD412</f>
        <v>-6964711.7981318552</v>
      </c>
      <c r="AE73" s="1531">
        <f ca="1">-'O&amp;M Costs'!AE412</f>
        <v>-7188860.9611373041</v>
      </c>
      <c r="AF73" s="1531">
        <f ca="1">-'O&amp;M Costs'!AF412</f>
        <v>-7359379.8624532167</v>
      </c>
      <c r="AG73" s="1531">
        <f ca="1">-'O&amp;M Costs'!AG412</f>
        <v>-7554647.2948020799</v>
      </c>
      <c r="AH73" s="1531">
        <f ca="1">-'O&amp;M Costs'!AH412</f>
        <v>-7733971.4521143101</v>
      </c>
      <c r="AI73" s="1531">
        <f ca="1">-'O&amp;M Costs'!AI412</f>
        <v>-7983148.740900958</v>
      </c>
      <c r="AJ73" s="1531">
        <f ca="1">-'O&amp;M Costs'!AJ412</f>
        <v>-8172781.5551355574</v>
      </c>
      <c r="AK73" s="1531">
        <f ca="1">-'O&amp;M Costs'!AK412</f>
        <v>-8389912.1022235267</v>
      </c>
      <c r="AL73" s="1531">
        <f ca="1">-'O&amp;M Costs'!AL412</f>
        <v>-8612883.2961345501</v>
      </c>
      <c r="AM73" s="1531"/>
      <c r="AN73" s="1531"/>
      <c r="AO73" s="1531"/>
      <c r="AP73" s="1531"/>
      <c r="AQ73" s="1531"/>
      <c r="AR73" s="1531"/>
      <c r="AS73" s="1531"/>
      <c r="AT73" s="1531"/>
      <c r="AU73" s="1531"/>
      <c r="AV73" s="1531"/>
      <c r="AW73" s="1531"/>
    </row>
    <row r="74" spans="1:49">
      <c r="B74" s="1544" t="s">
        <v>1678</v>
      </c>
      <c r="L74" s="1356">
        <f ca="1">L73/L54</f>
        <v>-4.5983365722444978</v>
      </c>
    </row>
    <row r="75" spans="1:49" s="1544" customFormat="1">
      <c r="B75" s="1544" t="s">
        <v>1677</v>
      </c>
      <c r="L75" s="1550">
        <f ca="1">L65+L73</f>
        <v>427089031.38600612</v>
      </c>
      <c r="M75" s="1550">
        <f t="shared" ref="M75:AL75" ca="1" si="25">M65+M73</f>
        <v>440095235.7130993</v>
      </c>
      <c r="N75" s="1550">
        <f t="shared" ca="1" si="25"/>
        <v>453549667.05217052</v>
      </c>
      <c r="O75" s="1550">
        <f t="shared" ca="1" si="25"/>
        <v>467161351.32345366</v>
      </c>
      <c r="P75" s="1550">
        <f t="shared" ca="1" si="25"/>
        <v>481440757.5332548</v>
      </c>
      <c r="Q75" s="1550">
        <f t="shared" ca="1" si="25"/>
        <v>496066195.46169019</v>
      </c>
      <c r="R75" s="1550">
        <f t="shared" ca="1" si="25"/>
        <v>511224920.1954053</v>
      </c>
      <c r="S75" s="1550">
        <f t="shared" ca="1" si="25"/>
        <v>526567106.72548234</v>
      </c>
      <c r="T75" s="1550">
        <f t="shared" ca="1" si="25"/>
        <v>542655151.30357051</v>
      </c>
      <c r="U75" s="1550">
        <f t="shared" ca="1" si="25"/>
        <v>559135153.57651567</v>
      </c>
      <c r="V75" s="1550">
        <f t="shared" ca="1" si="25"/>
        <v>576213632.15906823</v>
      </c>
      <c r="W75" s="1550">
        <f t="shared" ca="1" si="25"/>
        <v>593505714.86809742</v>
      </c>
      <c r="X75" s="1550">
        <f t="shared" ca="1" si="25"/>
        <v>611631034.41841686</v>
      </c>
      <c r="Y75" s="1550">
        <f t="shared" ca="1" si="25"/>
        <v>630200250.11392272</v>
      </c>
      <c r="Z75" s="1550">
        <f t="shared" ca="1" si="25"/>
        <v>652883988.53446913</v>
      </c>
      <c r="AA75" s="1550">
        <f t="shared" ca="1" si="25"/>
        <v>675922466.19020176</v>
      </c>
      <c r="AB75" s="1550">
        <f t="shared" ca="1" si="25"/>
        <v>699998386.57373548</v>
      </c>
      <c r="AC75" s="1550">
        <f t="shared" ca="1" si="25"/>
        <v>724686608.27321756</v>
      </c>
      <c r="AD75" s="1550">
        <f t="shared" ca="1" si="25"/>
        <v>750241663.67528427</v>
      </c>
      <c r="AE75" s="1550">
        <f t="shared" ca="1" si="25"/>
        <v>776201069.82992542</v>
      </c>
      <c r="AF75" s="1550">
        <f t="shared" ca="1" si="25"/>
        <v>803320591.80708396</v>
      </c>
      <c r="AG75" s="1550">
        <f t="shared" ca="1" si="25"/>
        <v>831132581.93193781</v>
      </c>
      <c r="AH75" s="1550">
        <f t="shared" ca="1" si="25"/>
        <v>859917884.63035047</v>
      </c>
      <c r="AI75" s="1550">
        <f t="shared" ca="1" si="25"/>
        <v>889167746.6253494</v>
      </c>
      <c r="AJ75" s="1550">
        <f t="shared" ca="1" si="25"/>
        <v>919715044.30766177</v>
      </c>
      <c r="AK75" s="1550">
        <f t="shared" ca="1" si="25"/>
        <v>951045368.73186314</v>
      </c>
      <c r="AL75" s="1550">
        <f t="shared" ca="1" si="25"/>
        <v>983322630.29377592</v>
      </c>
      <c r="AM75" s="1550"/>
      <c r="AN75" s="1550"/>
      <c r="AO75" s="1550"/>
      <c r="AP75" s="1550"/>
      <c r="AQ75" s="1550"/>
      <c r="AR75" s="1550"/>
      <c r="AS75" s="1550"/>
      <c r="AT75" s="1550"/>
      <c r="AU75" s="1550"/>
      <c r="AV75" s="1550"/>
      <c r="AW75" s="1550"/>
    </row>
    <row r="76" spans="1:49">
      <c r="L76" s="1556">
        <f ca="1">L75/L57</f>
        <v>0.75756768214464432</v>
      </c>
      <c r="M76" s="1556">
        <f t="shared" ref="M76:AL76" ca="1" si="26">M75/M57</f>
        <v>0.75790097168979709</v>
      </c>
      <c r="N76" s="1556">
        <f t="shared" ca="1" si="26"/>
        <v>0.75832159640664565</v>
      </c>
      <c r="O76" s="1556">
        <f t="shared" ca="1" si="26"/>
        <v>0.75833002810397421</v>
      </c>
      <c r="P76" s="1556">
        <f t="shared" ca="1" si="26"/>
        <v>0.75874698159301424</v>
      </c>
      <c r="Q76" s="1556">
        <f t="shared" ca="1" si="26"/>
        <v>0.75902578720149083</v>
      </c>
      <c r="R76" s="1556">
        <f t="shared" ca="1" si="26"/>
        <v>0.75943688943499577</v>
      </c>
      <c r="S76" s="1556">
        <f t="shared" ca="1" si="26"/>
        <v>0.7594447337577791</v>
      </c>
      <c r="T76" s="1556">
        <f t="shared" ca="1" si="26"/>
        <v>0.7598522501070113</v>
      </c>
      <c r="U76" s="1556">
        <f t="shared" ca="1" si="26"/>
        <v>0.76012461581902158</v>
      </c>
      <c r="V76" s="1556">
        <f t="shared" ca="1" si="26"/>
        <v>0.76052641553666822</v>
      </c>
      <c r="W76" s="1556">
        <f t="shared" ca="1" si="26"/>
        <v>0.76053368602038107</v>
      </c>
      <c r="X76" s="1556">
        <f t="shared" ca="1" si="26"/>
        <v>0.76093198322605637</v>
      </c>
      <c r="Y76" s="1556">
        <f t="shared" ca="1" si="26"/>
        <v>0.76119805779135685</v>
      </c>
      <c r="Z76" s="1556">
        <f t="shared" ca="1" si="26"/>
        <v>0.76562815132878803</v>
      </c>
      <c r="AA76" s="1556">
        <f t="shared" ca="1" si="26"/>
        <v>0.76955831062883728</v>
      </c>
      <c r="AB76" s="1556">
        <f t="shared" ca="1" si="26"/>
        <v>0.77375677585828373</v>
      </c>
      <c r="AC76" s="1556">
        <f t="shared" ca="1" si="26"/>
        <v>0.7777149319756288</v>
      </c>
      <c r="AD76" s="1556">
        <f t="shared" ca="1" si="26"/>
        <v>0.78168927838212043</v>
      </c>
      <c r="AE76" s="1556">
        <f t="shared" ca="1" si="26"/>
        <v>0.78518137455474746</v>
      </c>
      <c r="AF76" s="1556">
        <f t="shared" ca="1" si="26"/>
        <v>0.78894626938275458</v>
      </c>
      <c r="AG76" s="1556">
        <f t="shared" ca="1" si="26"/>
        <v>0.79248602137156576</v>
      </c>
      <c r="AH76" s="1556">
        <f t="shared" ca="1" si="26"/>
        <v>0.79605130655101586</v>
      </c>
      <c r="AI76" s="1556">
        <f t="shared" ca="1" si="26"/>
        <v>0.79915414085227532</v>
      </c>
      <c r="AJ76" s="1556">
        <f t="shared" ca="1" si="26"/>
        <v>0.80253303612415439</v>
      </c>
      <c r="AK76" s="1556">
        <f t="shared" ca="1" si="26"/>
        <v>0.80570051063257431</v>
      </c>
      <c r="AL76" s="1556">
        <f t="shared" ca="1" si="26"/>
        <v>0.80878150863283216</v>
      </c>
      <c r="AM76" s="1556"/>
      <c r="AN76" s="1556"/>
      <c r="AO76" s="1556"/>
      <c r="AP76" s="1556"/>
      <c r="AQ76" s="1556"/>
      <c r="AR76" s="1556"/>
      <c r="AS76" s="1556"/>
      <c r="AT76" s="1556"/>
      <c r="AU76" s="1556"/>
      <c r="AV76" s="1556"/>
      <c r="AW76" s="1556"/>
    </row>
    <row r="77" spans="1:49">
      <c r="B77" s="27" t="s">
        <v>338</v>
      </c>
      <c r="C77" s="27"/>
      <c r="D77" s="27"/>
      <c r="E77" s="27"/>
      <c r="F77" s="27"/>
      <c r="G77" s="27"/>
      <c r="H77" s="27"/>
      <c r="I77" s="27"/>
      <c r="J77" s="27"/>
      <c r="K77" s="27"/>
      <c r="L77" s="1532">
        <f ca="1">-'O&amp;M Costs'!L414</f>
        <v>-7197805.2132110493</v>
      </c>
      <c r="M77" s="1532">
        <f ca="1">-'O&amp;M Costs'!M414</f>
        <v>-7363354.7331149019</v>
      </c>
      <c r="N77" s="1532">
        <f ca="1">-'O&amp;M Costs'!N414</f>
        <v>-7519473.9482213827</v>
      </c>
      <c r="O77" s="1532">
        <f ca="1">-'O&amp;M Costs'!O414</f>
        <v>-7742190.5788022839</v>
      </c>
      <c r="P77" s="1532">
        <f ca="1">-'O&amp;M Costs'!P414</f>
        <v>-7906341.941893829</v>
      </c>
      <c r="Q77" s="1532">
        <f ca="1">-'O&amp;M Costs'!Q414</f>
        <v>-8096094.1484992811</v>
      </c>
      <c r="R77" s="1532">
        <f ca="1">-'O&amp;M Costs'!R414</f>
        <v>-8267749.040828119</v>
      </c>
      <c r="S77" s="1532">
        <f ca="1">-'O&amp;M Costs'!S414</f>
        <v>-8512628.5658509117</v>
      </c>
      <c r="T77" s="1532">
        <f ca="1">-'O&amp;M Costs'!T414</f>
        <v>-8693114.8982853442</v>
      </c>
      <c r="U77" s="1532">
        <f ca="1">-'O&amp;M Costs'!U414</f>
        <v>-8901749.655844193</v>
      </c>
      <c r="V77" s="1532">
        <f ca="1">-'O&amp;M Costs'!V414</f>
        <v>-9090486.205924388</v>
      </c>
      <c r="W77" s="1532">
        <f ca="1">-'O&amp;M Costs'!W414</f>
        <v>-9359734.0910912119</v>
      </c>
      <c r="X77" s="1532">
        <f ca="1">-'O&amp;M Costs'!X414</f>
        <v>-9558180.9122575168</v>
      </c>
      <c r="Y77" s="1532">
        <f ca="1">-'O&amp;M Costs'!Y414</f>
        <v>-9787577.2541516982</v>
      </c>
      <c r="Z77" s="1532">
        <f ca="1">-'O&amp;M Costs'!Z414</f>
        <v>-9995095.2855511997</v>
      </c>
      <c r="AA77" s="1532">
        <f ca="1">-'O&amp;M Costs'!AA414</f>
        <v>-10291136.466046222</v>
      </c>
      <c r="AB77" s="1532">
        <f ca="1">-'O&amp;M Costs'!AB414</f>
        <v>-10509331.053413756</v>
      </c>
      <c r="AC77" s="1532">
        <f ca="1">-'O&amp;M Costs'!AC414</f>
        <v>-10761554.998695686</v>
      </c>
      <c r="AD77" s="1532">
        <f ca="1">-'O&amp;M Costs'!AD414</f>
        <v>-10989723.487192625</v>
      </c>
      <c r="AE77" s="1532">
        <f ca="1">-'O&amp;M Costs'!AE414</f>
        <v>-11315224.207447434</v>
      </c>
      <c r="AF77" s="1532">
        <f ca="1">-'O&amp;M Costs'!AF414</f>
        <v>-11555131.693375826</v>
      </c>
      <c r="AG77" s="1532">
        <f ca="1">-'O&amp;M Costs'!AG414</f>
        <v>-11832454.854016846</v>
      </c>
      <c r="AH77" s="1532">
        <f ca="1">-'O&amp;M Costs'!AH414</f>
        <v>-12083328.760211304</v>
      </c>
      <c r="AI77" s="1532">
        <f ca="1">-'O&amp;M Costs'!AI414</f>
        <v>-12441220.58698093</v>
      </c>
      <c r="AJ77" s="1532">
        <f ca="1">-'O&amp;M Costs'!AJ414</f>
        <v>-12705001.657349704</v>
      </c>
      <c r="AK77" s="1532">
        <f ca="1">-'O&amp;M Costs'!AK414</f>
        <v>-13009921.697126098</v>
      </c>
      <c r="AL77" s="1532">
        <f ca="1">-'O&amp;M Costs'!AL414</f>
        <v>-13322159.817857124</v>
      </c>
      <c r="AM77" s="1532"/>
      <c r="AN77" s="1532"/>
      <c r="AO77" s="1532"/>
      <c r="AP77" s="1532"/>
      <c r="AQ77" s="1532"/>
      <c r="AR77" s="1532"/>
      <c r="AS77" s="1532"/>
      <c r="AT77" s="1532"/>
      <c r="AU77" s="1532"/>
      <c r="AV77" s="1532"/>
      <c r="AW77" s="1532"/>
    </row>
    <row r="78" spans="1:49">
      <c r="A78" s="12"/>
      <c r="B78" s="10" t="s">
        <v>1675</v>
      </c>
      <c r="L78" s="42">
        <f ca="1">L65+L73+L77</f>
        <v>419891226.17279506</v>
      </c>
      <c r="M78" s="42">
        <f t="shared" ref="M78:AL78" ca="1" si="27">M65+M73+M77</f>
        <v>432731880.9799844</v>
      </c>
      <c r="N78" s="42">
        <f t="shared" ca="1" si="27"/>
        <v>446030193.10394913</v>
      </c>
      <c r="O78" s="42">
        <f t="shared" ca="1" si="27"/>
        <v>459419160.74465138</v>
      </c>
      <c r="P78" s="42">
        <f t="shared" ca="1" si="27"/>
        <v>473534415.59136099</v>
      </c>
      <c r="Q78" s="42">
        <f t="shared" ca="1" si="27"/>
        <v>487970101.31319088</v>
      </c>
      <c r="R78" s="42">
        <f t="shared" ca="1" si="27"/>
        <v>502957171.1545772</v>
      </c>
      <c r="S78" s="42">
        <f t="shared" ca="1" si="27"/>
        <v>518054478.15963143</v>
      </c>
      <c r="T78" s="42">
        <f t="shared" ca="1" si="27"/>
        <v>533962036.40528518</v>
      </c>
      <c r="U78" s="42">
        <f t="shared" ca="1" si="27"/>
        <v>550233403.92067146</v>
      </c>
      <c r="V78" s="42">
        <f t="shared" ca="1" si="27"/>
        <v>567123145.95314384</v>
      </c>
      <c r="W78" s="42">
        <f t="shared" ca="1" si="27"/>
        <v>584145980.77700627</v>
      </c>
      <c r="X78" s="42">
        <f t="shared" ca="1" si="27"/>
        <v>602072853.50615931</v>
      </c>
      <c r="Y78" s="42">
        <f t="shared" ca="1" si="27"/>
        <v>620412672.85977101</v>
      </c>
      <c r="Z78" s="42">
        <f t="shared" ca="1" si="27"/>
        <v>642888893.24891794</v>
      </c>
      <c r="AA78" s="42">
        <f t="shared" ca="1" si="27"/>
        <v>665631329.72415555</v>
      </c>
      <c r="AB78" s="42">
        <f t="shared" ca="1" si="27"/>
        <v>689489055.52032173</v>
      </c>
      <c r="AC78" s="42">
        <f t="shared" ca="1" si="27"/>
        <v>713925053.27452183</v>
      </c>
      <c r="AD78" s="42">
        <f t="shared" ca="1" si="27"/>
        <v>739251940.18809164</v>
      </c>
      <c r="AE78" s="42">
        <f t="shared" ca="1" si="27"/>
        <v>764885845.62247801</v>
      </c>
      <c r="AF78" s="42">
        <f t="shared" ca="1" si="27"/>
        <v>791765460.11370814</v>
      </c>
      <c r="AG78" s="42">
        <f t="shared" ca="1" si="27"/>
        <v>819300127.07792091</v>
      </c>
      <c r="AH78" s="42">
        <f t="shared" ca="1" si="27"/>
        <v>847834555.87013912</v>
      </c>
      <c r="AI78" s="42">
        <f t="shared" ca="1" si="27"/>
        <v>876726526.03836846</v>
      </c>
      <c r="AJ78" s="42">
        <f t="shared" ca="1" si="27"/>
        <v>907010042.65031207</v>
      </c>
      <c r="AK78" s="42">
        <f t="shared" ca="1" si="27"/>
        <v>938035447.03473699</v>
      </c>
      <c r="AL78" s="42">
        <f t="shared" ca="1" si="27"/>
        <v>970000470.47591877</v>
      </c>
      <c r="AM78" s="42"/>
      <c r="AN78" s="42"/>
      <c r="AO78" s="42"/>
      <c r="AP78" s="42"/>
      <c r="AQ78" s="42"/>
      <c r="AR78" s="42"/>
      <c r="AS78" s="42"/>
      <c r="AT78" s="42"/>
      <c r="AU78" s="42"/>
      <c r="AV78" s="42"/>
      <c r="AW78" s="42"/>
    </row>
    <row r="79" spans="1:49">
      <c r="B79" s="1544" t="s">
        <v>1679</v>
      </c>
      <c r="L79" s="1556">
        <f ca="1">L78/L57</f>
        <v>0.74480026314958081</v>
      </c>
      <c r="M79" s="1556">
        <f t="shared" ref="M79:AL79" ca="1" si="28">M78/M57</f>
        <v>0.74522032156169049</v>
      </c>
      <c r="N79" s="1556">
        <f t="shared" ca="1" si="28"/>
        <v>0.74574925890364507</v>
      </c>
      <c r="O79" s="1556">
        <f t="shared" ca="1" si="28"/>
        <v>0.74576234547659781</v>
      </c>
      <c r="P79" s="1556">
        <f t="shared" ca="1" si="28"/>
        <v>0.746286646671246</v>
      </c>
      <c r="Q79" s="1556">
        <f t="shared" ca="1" si="28"/>
        <v>0.74663803675499496</v>
      </c>
      <c r="R79" s="1556">
        <f t="shared" ca="1" si="28"/>
        <v>0.74715494979129504</v>
      </c>
      <c r="S79" s="1556">
        <f t="shared" ca="1" si="28"/>
        <v>0.74716734147064212</v>
      </c>
      <c r="T79" s="1556">
        <f t="shared" ca="1" si="28"/>
        <v>0.74767972599103605</v>
      </c>
      <c r="U79" s="1556">
        <f t="shared" ca="1" si="28"/>
        <v>0.74802299961051799</v>
      </c>
      <c r="V79" s="1556">
        <f t="shared" ca="1" si="28"/>
        <v>0.74852816609614015</v>
      </c>
      <c r="W79" s="1556">
        <f t="shared" ca="1" si="28"/>
        <v>0.74853987890084861</v>
      </c>
      <c r="X79" s="1556">
        <f t="shared" ca="1" si="28"/>
        <v>0.74904062201592192</v>
      </c>
      <c r="Y79" s="1556">
        <f t="shared" ca="1" si="28"/>
        <v>0.74937596664652417</v>
      </c>
      <c r="Z79" s="1556">
        <f t="shared" ca="1" si="28"/>
        <v>0.75390703936981762</v>
      </c>
      <c r="AA79" s="1556">
        <f t="shared" ca="1" si="28"/>
        <v>0.75784153838142276</v>
      </c>
      <c r="AB79" s="1556">
        <f t="shared" ca="1" si="28"/>
        <v>0.76214008320829263</v>
      </c>
      <c r="AC79" s="1556">
        <f t="shared" ca="1" si="28"/>
        <v>0.76616590937990936</v>
      </c>
      <c r="AD79" s="1556">
        <f t="shared" ca="1" si="28"/>
        <v>0.77023890253890315</v>
      </c>
      <c r="AE79" s="1556">
        <f t="shared" ca="1" si="28"/>
        <v>0.77373523818373557</v>
      </c>
      <c r="AF79" s="1556">
        <f t="shared" ca="1" si="28"/>
        <v>0.77759790095464321</v>
      </c>
      <c r="AG79" s="1556">
        <f t="shared" ca="1" si="28"/>
        <v>0.78120375994400648</v>
      </c>
      <c r="AH79" s="1556">
        <f t="shared" ca="1" si="28"/>
        <v>0.78486541331751647</v>
      </c>
      <c r="AI79" s="1556">
        <f t="shared" ca="1" si="28"/>
        <v>0.78797238916697532</v>
      </c>
      <c r="AJ79" s="1556">
        <f t="shared" ca="1" si="28"/>
        <v>0.79144679412219743</v>
      </c>
      <c r="AK79" s="1556">
        <f t="shared" ca="1" si="28"/>
        <v>0.79467884868111416</v>
      </c>
      <c r="AL79" s="1556">
        <f t="shared" ca="1" si="28"/>
        <v>0.79782405053740002</v>
      </c>
      <c r="AM79" s="1556"/>
      <c r="AN79" s="1556"/>
      <c r="AO79" s="1556"/>
      <c r="AP79" s="1556"/>
      <c r="AQ79" s="1556"/>
      <c r="AR79" s="1556"/>
      <c r="AS79" s="1556"/>
      <c r="AT79" s="1556"/>
      <c r="AU79" s="1556"/>
      <c r="AV79" s="1556"/>
      <c r="AW79" s="1556"/>
    </row>
    <row r="80" spans="1:49">
      <c r="B80" s="1544" t="s">
        <v>1680</v>
      </c>
      <c r="L80" s="1554">
        <f ca="1">L78/L54</f>
        <v>441.99076439241583</v>
      </c>
      <c r="M80" s="1554">
        <f t="shared" ref="M80:AL80" ca="1" si="29">M78/M54</f>
        <v>455.50724313682571</v>
      </c>
      <c r="N80" s="1554">
        <f t="shared" ca="1" si="29"/>
        <v>469.50546642520959</v>
      </c>
      <c r="O80" s="1554">
        <f t="shared" ca="1" si="29"/>
        <v>483.59911657331725</v>
      </c>
      <c r="P80" s="1554">
        <f t="shared" ca="1" si="29"/>
        <v>498.45727956985365</v>
      </c>
      <c r="Q80" s="1554">
        <f t="shared" ca="1" si="29"/>
        <v>513.65273822441145</v>
      </c>
      <c r="R80" s="1554">
        <f t="shared" ca="1" si="29"/>
        <v>529.42860121534443</v>
      </c>
      <c r="S80" s="1554">
        <f t="shared" ca="1" si="29"/>
        <v>545.3205033259278</v>
      </c>
      <c r="T80" s="1554">
        <f t="shared" ca="1" si="29"/>
        <v>562.06530147924752</v>
      </c>
      <c r="U80" s="1554">
        <f t="shared" ca="1" si="29"/>
        <v>579.19305675860153</v>
      </c>
      <c r="V80" s="1554">
        <f t="shared" ca="1" si="29"/>
        <v>596.97173258225666</v>
      </c>
      <c r="W80" s="1554">
        <f t="shared" ca="1" si="29"/>
        <v>614.89050608105924</v>
      </c>
      <c r="X80" s="1554">
        <f t="shared" ca="1" si="29"/>
        <v>633.76089842753606</v>
      </c>
      <c r="Y80" s="1554">
        <f t="shared" ca="1" si="29"/>
        <v>653.06597143133786</v>
      </c>
      <c r="Z80" s="1554">
        <f t="shared" ca="1" si="29"/>
        <v>676.72515078833464</v>
      </c>
      <c r="AA80" s="1554">
        <f t="shared" ca="1" si="29"/>
        <v>700.66455760437429</v>
      </c>
      <c r="AB80" s="1554">
        <f t="shared" ca="1" si="29"/>
        <v>725.77795317928599</v>
      </c>
      <c r="AC80" s="1554">
        <f t="shared" ca="1" si="29"/>
        <v>751.500056078444</v>
      </c>
      <c r="AD80" s="1554">
        <f t="shared" ca="1" si="29"/>
        <v>778.15993704009645</v>
      </c>
      <c r="AE80" s="1554">
        <f t="shared" ca="1" si="29"/>
        <v>805.14299539208207</v>
      </c>
      <c r="AF80" s="1554">
        <f t="shared" ca="1" si="29"/>
        <v>833.4373264354823</v>
      </c>
      <c r="AG80" s="1554">
        <f t="shared" ca="1" si="29"/>
        <v>862.42118639781154</v>
      </c>
      <c r="AH80" s="1554">
        <f t="shared" ca="1" si="29"/>
        <v>892.45742723172543</v>
      </c>
      <c r="AI80" s="1554">
        <f t="shared" ca="1" si="29"/>
        <v>922.87002740880894</v>
      </c>
      <c r="AJ80" s="1554">
        <f t="shared" ca="1" si="29"/>
        <v>954.74741331611801</v>
      </c>
      <c r="AK80" s="1554">
        <f t="shared" ca="1" si="29"/>
        <v>987.40573372077574</v>
      </c>
      <c r="AL80" s="1554">
        <f t="shared" ca="1" si="29"/>
        <v>1021.0531268167566</v>
      </c>
      <c r="AM80" s="1554"/>
      <c r="AN80" s="1554"/>
      <c r="AO80" s="1554"/>
      <c r="AP80" s="1554"/>
      <c r="AQ80" s="1554"/>
      <c r="AR80" s="1554"/>
      <c r="AS80" s="1554"/>
      <c r="AT80" s="1554"/>
      <c r="AU80" s="1554"/>
      <c r="AV80" s="1554"/>
      <c r="AW80" s="1554"/>
    </row>
    <row r="81" spans="1:49">
      <c r="B81" s="29"/>
    </row>
    <row r="82" spans="1:49">
      <c r="B82" s="27" t="s">
        <v>269</v>
      </c>
      <c r="C82" s="27"/>
      <c r="D82" s="27"/>
      <c r="E82" s="27"/>
      <c r="F82" s="27"/>
      <c r="G82" s="27"/>
      <c r="H82" s="27"/>
      <c r="I82" s="27"/>
      <c r="J82" s="27"/>
      <c r="K82" s="27"/>
      <c r="L82" s="1532">
        <f ca="1">IS!L13*'O&amp;M Costs'!L402</f>
        <v>-52851278.547934189</v>
      </c>
      <c r="M82" s="1532">
        <f ca="1">IS!M13*'O&amp;M Costs'!M402</f>
        <v>-52851278.547934189</v>
      </c>
      <c r="N82" s="1532">
        <f ca="1">IS!N13*'O&amp;M Costs'!N402</f>
        <v>-52706876.147529997</v>
      </c>
      <c r="O82" s="1532">
        <f ca="1">IS!O13*'O&amp;M Costs'!O402</f>
        <v>-52996076.571353197</v>
      </c>
      <c r="P82" s="1532">
        <f ca="1">IS!P13*'O&amp;M Costs'!P402</f>
        <v>-52851278.547934189</v>
      </c>
      <c r="Q82" s="1532">
        <f ca="1">IS!Q13*'O&amp;M Costs'!Q402</f>
        <v>-52851278.547934189</v>
      </c>
      <c r="R82" s="1532">
        <f ca="1">IS!R13*'O&amp;M Costs'!R402</f>
        <v>-52706876.147529997</v>
      </c>
      <c r="S82" s="1532">
        <f ca="1">IS!S13*'O&amp;M Costs'!S402</f>
        <v>-52996076.571353197</v>
      </c>
      <c r="T82" s="1532">
        <f ca="1">IS!T13*'O&amp;M Costs'!T402</f>
        <v>-52851278.547934189</v>
      </c>
      <c r="U82" s="1532">
        <f ca="1">IS!U13*'O&amp;M Costs'!U402</f>
        <v>-52851278.547934189</v>
      </c>
      <c r="V82" s="1532">
        <f ca="1">IS!V13*'O&amp;M Costs'!V402</f>
        <v>-52706876.147529997</v>
      </c>
      <c r="W82" s="1532">
        <f ca="1">IS!W13*'O&amp;M Costs'!W402</f>
        <v>-52996076.571353197</v>
      </c>
      <c r="X82" s="1532">
        <f ca="1">IS!X13*'O&amp;M Costs'!X402</f>
        <v>-52851278.547934189</v>
      </c>
      <c r="Y82" s="1532">
        <f ca="1">IS!Y13*'O&amp;M Costs'!Y402</f>
        <v>-52851278.547934189</v>
      </c>
      <c r="Z82" s="1532">
        <f ca="1">IS!Z13*'O&amp;M Costs'!Z402</f>
        <v>-52706876.147529997</v>
      </c>
      <c r="AA82" s="1532">
        <f ca="1">IS!AA13*'O&amp;M Costs'!AA402</f>
        <v>-52996076.571353197</v>
      </c>
      <c r="AB82" s="1532">
        <f ca="1">IS!AB13*'O&amp;M Costs'!AB402</f>
        <v>-52851278.547934189</v>
      </c>
      <c r="AC82" s="1532">
        <f ca="1">IS!AC13*'O&amp;M Costs'!AC402</f>
        <v>-52851278.547934189</v>
      </c>
      <c r="AD82" s="1532">
        <f ca="1">IS!AD13*'O&amp;M Costs'!AD402</f>
        <v>-52706876.147529997</v>
      </c>
      <c r="AE82" s="1532">
        <f ca="1">IS!AE13*'O&amp;M Costs'!AE402</f>
        <v>-52996076.571353197</v>
      </c>
      <c r="AF82" s="1532">
        <f ca="1">IS!AF13*'O&amp;M Costs'!AF402</f>
        <v>-52851278.547934189</v>
      </c>
      <c r="AG82" s="1532">
        <f ca="1">IS!AG13*'O&amp;M Costs'!AG402</f>
        <v>-52851278.547934189</v>
      </c>
      <c r="AH82" s="1532">
        <f ca="1">IS!AH13*'O&amp;M Costs'!AH402</f>
        <v>-52706876.147529997</v>
      </c>
      <c r="AI82" s="1532">
        <f ca="1">IS!AI13*'O&amp;M Costs'!AI402</f>
        <v>-52996076.571353197</v>
      </c>
      <c r="AJ82" s="1532">
        <f ca="1">IS!AJ13*'O&amp;M Costs'!AJ402</f>
        <v>-52851278.547934189</v>
      </c>
      <c r="AK82" s="1532">
        <f ca="1">IS!AK13*'O&amp;M Costs'!AK402</f>
        <v>-52851278.547934189</v>
      </c>
      <c r="AL82" s="1532">
        <f ca="1">IS!AL13*'O&amp;M Costs'!AL402</f>
        <v>-52848904.80984541</v>
      </c>
      <c r="AM82" s="1532"/>
      <c r="AN82" s="1532"/>
      <c r="AO82" s="1532"/>
      <c r="AP82" s="1532"/>
      <c r="AQ82" s="1532"/>
      <c r="AR82" s="1532"/>
      <c r="AS82" s="1532"/>
      <c r="AT82" s="1532"/>
      <c r="AU82" s="1532"/>
      <c r="AV82" s="1532"/>
      <c r="AW82" s="1532"/>
    </row>
    <row r="83" spans="1:49">
      <c r="B83" s="10" t="s">
        <v>1364</v>
      </c>
      <c r="L83" s="42">
        <f ca="1">L78+L82</f>
        <v>367039947.62486088</v>
      </c>
      <c r="M83" s="42">
        <f t="shared" ref="M83:AL83" ca="1" si="30">M78+M82</f>
        <v>379880602.43205023</v>
      </c>
      <c r="N83" s="42">
        <f t="shared" ca="1" si="30"/>
        <v>393323316.95641911</v>
      </c>
      <c r="O83" s="42">
        <f t="shared" ca="1" si="30"/>
        <v>406423084.17329818</v>
      </c>
      <c r="P83" s="42">
        <f t="shared" ca="1" si="30"/>
        <v>420683137.04342681</v>
      </c>
      <c r="Q83" s="42">
        <f t="shared" ca="1" si="30"/>
        <v>435118822.7652567</v>
      </c>
      <c r="R83" s="42">
        <f t="shared" ca="1" si="30"/>
        <v>450250295.00704718</v>
      </c>
      <c r="S83" s="42">
        <f t="shared" ca="1" si="30"/>
        <v>465058401.58827823</v>
      </c>
      <c r="T83" s="42">
        <f t="shared" ca="1" si="30"/>
        <v>481110757.85735101</v>
      </c>
      <c r="U83" s="42">
        <f t="shared" ca="1" si="30"/>
        <v>497382125.37273729</v>
      </c>
      <c r="V83" s="42">
        <f t="shared" ca="1" si="30"/>
        <v>514416269.80561382</v>
      </c>
      <c r="W83" s="42">
        <f t="shared" ca="1" si="30"/>
        <v>531149904.20565307</v>
      </c>
      <c r="X83" s="42">
        <f t="shared" ca="1" si="30"/>
        <v>549221574.95822513</v>
      </c>
      <c r="Y83" s="42">
        <f t="shared" ca="1" si="30"/>
        <v>567561394.31183684</v>
      </c>
      <c r="Z83" s="42">
        <f t="shared" ca="1" si="30"/>
        <v>590182017.10138798</v>
      </c>
      <c r="AA83" s="42">
        <f t="shared" ca="1" si="30"/>
        <v>612635253.15280235</v>
      </c>
      <c r="AB83" s="42">
        <f t="shared" ca="1" si="30"/>
        <v>636637776.97238755</v>
      </c>
      <c r="AC83" s="42">
        <f t="shared" ca="1" si="30"/>
        <v>661073774.72658765</v>
      </c>
      <c r="AD83" s="42">
        <f t="shared" ca="1" si="30"/>
        <v>686545064.04056168</v>
      </c>
      <c r="AE83" s="42">
        <f t="shared" ca="1" si="30"/>
        <v>711889769.05112481</v>
      </c>
      <c r="AF83" s="42">
        <f t="shared" ca="1" si="30"/>
        <v>738914181.56577396</v>
      </c>
      <c r="AG83" s="42">
        <f t="shared" ca="1" si="30"/>
        <v>766448848.52998674</v>
      </c>
      <c r="AH83" s="42">
        <f t="shared" ca="1" si="30"/>
        <v>795127679.72260916</v>
      </c>
      <c r="AI83" s="42">
        <f t="shared" ca="1" si="30"/>
        <v>823730449.46701527</v>
      </c>
      <c r="AJ83" s="42">
        <f t="shared" ca="1" si="30"/>
        <v>854158764.10237789</v>
      </c>
      <c r="AK83" s="42">
        <f t="shared" ca="1" si="30"/>
        <v>885184168.48680282</v>
      </c>
      <c r="AL83" s="42">
        <f t="shared" ca="1" si="30"/>
        <v>917151565.66607332</v>
      </c>
      <c r="AM83" s="42"/>
      <c r="AN83" s="42"/>
      <c r="AO83" s="42"/>
      <c r="AP83" s="42"/>
      <c r="AQ83" s="42"/>
      <c r="AR83" s="42"/>
      <c r="AS83" s="42"/>
      <c r="AT83" s="42"/>
      <c r="AU83" s="42"/>
      <c r="AV83" s="42"/>
      <c r="AW83" s="42"/>
    </row>
    <row r="85" spans="1:49">
      <c r="A85" s="12"/>
      <c r="B85" s="2" t="s">
        <v>449</v>
      </c>
      <c r="L85" s="188">
        <f ca="1">IS!L16*'O&amp;M Costs'!L402</f>
        <v>5203350.9467111863</v>
      </c>
      <c r="M85" s="188">
        <f ca="1">IS!M16*'O&amp;M Costs'!M402</f>
        <v>7221441.3252063012</v>
      </c>
      <c r="N85" s="188">
        <f ca="1">IS!N16*'O&amp;M Costs'!N402</f>
        <v>10561423.436743222</v>
      </c>
      <c r="O85" s="188">
        <f ca="1">IS!O16*'O&amp;M Costs'!O402</f>
        <v>13501652.147136301</v>
      </c>
      <c r="P85" s="188">
        <f ca="1">IS!P16*'O&amp;M Costs'!P402</f>
        <v>16775619.921945404</v>
      </c>
      <c r="Q85" s="188">
        <f ca="1">IS!Q16*'O&amp;M Costs'!Q402</f>
        <v>20430860.346950736</v>
      </c>
      <c r="R85" s="188">
        <f ca="1">IS!R16*'O&amp;M Costs'!R402</f>
        <v>24315101.167979453</v>
      </c>
      <c r="S85" s="188">
        <f ca="1">IS!S16*'O&amp;M Costs'!S402</f>
        <v>26872158.101385053</v>
      </c>
      <c r="T85" s="188">
        <f ca="1">IS!T16*'O&amp;M Costs'!T402</f>
        <v>31728841.643590149</v>
      </c>
      <c r="U85" s="188">
        <f ca="1">IS!U16*'O&amp;M Costs'!U402</f>
        <v>36480187.524641909</v>
      </c>
      <c r="V85" s="188">
        <f ca="1">IS!V16*'O&amp;M Costs'!V402</f>
        <v>40973464.214334115</v>
      </c>
      <c r="W85" s="188">
        <f ca="1">IS!W16*'O&amp;M Costs'!W402</f>
        <v>45747763.284172773</v>
      </c>
      <c r="X85" s="188">
        <f ca="1">IS!X16*'O&amp;M Costs'!X402</f>
        <v>50047825.973640032</v>
      </c>
      <c r="Y85" s="188">
        <f ca="1">IS!Y16*'O&amp;M Costs'!Y402</f>
        <v>51173849.396536268</v>
      </c>
      <c r="Z85" s="188">
        <f ca="1">IS!Z16*'O&amp;M Costs'!Z402</f>
        <v>51550295.006937131</v>
      </c>
      <c r="AA85" s="188">
        <f ca="1">IS!AA16*'O&amp;M Costs'!AA402</f>
        <v>52555737.944577493</v>
      </c>
      <c r="AB85" s="188">
        <f ca="1">IS!AB16*'O&amp;M Costs'!AB402</f>
        <v>53228616.84787067</v>
      </c>
      <c r="AC85" s="188">
        <f ca="1">IS!AC16*'O&amp;M Costs'!AC402</f>
        <v>54340989.607190356</v>
      </c>
      <c r="AD85" s="188">
        <f ca="1">IS!AD16*'O&amp;M Costs'!AD402</f>
        <v>55536669.689694464</v>
      </c>
      <c r="AE85" s="188">
        <f ca="1">IS!AE16*'O&amp;M Costs'!AE402</f>
        <v>57436256.341255419</v>
      </c>
      <c r="AF85" s="188">
        <f ca="1">IS!AF16*'O&amp;M Costs'!AF402</f>
        <v>58992316.975357078</v>
      </c>
      <c r="AG85" s="188">
        <f ca="1">IS!AG16*'O&amp;M Costs'!AG402</f>
        <v>60913986.133026525</v>
      </c>
      <c r="AH85" s="188">
        <f ca="1">IS!AH16*'O&amp;M Costs'!AH402</f>
        <v>62821287.838901997</v>
      </c>
      <c r="AI85" s="188">
        <f ca="1">IS!AI16*'O&amp;M Costs'!AI402</f>
        <v>65431182.478240997</v>
      </c>
      <c r="AJ85" s="188">
        <f ca="1">IS!AJ16*'O&amp;M Costs'!AJ402</f>
        <v>67571274.45293352</v>
      </c>
      <c r="AK85" s="188">
        <f ca="1">IS!AK16*'O&amp;M Costs'!AK402</f>
        <v>81179001.58945325</v>
      </c>
      <c r="AL85" s="188">
        <f ca="1">IS!AL16*'O&amp;M Costs'!AL402</f>
        <v>95399423.827885464</v>
      </c>
      <c r="AM85" s="188"/>
      <c r="AN85" s="188"/>
      <c r="AO85" s="188"/>
      <c r="AP85" s="188"/>
      <c r="AQ85" s="188"/>
      <c r="AR85" s="188"/>
      <c r="AS85" s="188"/>
      <c r="AT85" s="188"/>
      <c r="AU85" s="188"/>
      <c r="AV85" s="188"/>
      <c r="AW85" s="188"/>
    </row>
    <row r="86" spans="1:49">
      <c r="B86" s="2" t="s">
        <v>450</v>
      </c>
      <c r="L86" s="188">
        <f ca="1">IS!L17*'O&amp;M Costs'!L402</f>
        <v>0</v>
      </c>
      <c r="M86" s="188">
        <f ca="1">IS!M17*'O&amp;M Costs'!M402</f>
        <v>0</v>
      </c>
      <c r="N86" s="188">
        <f ca="1">IS!N17*'O&amp;M Costs'!N402</f>
        <v>0</v>
      </c>
      <c r="O86" s="188">
        <f ca="1">IS!O17*'O&amp;M Costs'!O402</f>
        <v>0</v>
      </c>
      <c r="P86" s="188">
        <f ca="1">IS!P17*'O&amp;M Costs'!P402</f>
        <v>0</v>
      </c>
      <c r="Q86" s="188">
        <f ca="1">IS!Q17*'O&amp;M Costs'!Q402</f>
        <v>0</v>
      </c>
      <c r="R86" s="188">
        <f ca="1">IS!R17*'O&amp;M Costs'!R402</f>
        <v>0</v>
      </c>
      <c r="S86" s="188">
        <f ca="1">IS!S17*'O&amp;M Costs'!S402</f>
        <v>0</v>
      </c>
      <c r="T86" s="188">
        <f ca="1">IS!T17*'O&amp;M Costs'!T402</f>
        <v>0</v>
      </c>
      <c r="U86" s="188">
        <f ca="1">IS!U17*'O&amp;M Costs'!U402</f>
        <v>0</v>
      </c>
      <c r="V86" s="188">
        <f ca="1">IS!V17*'O&amp;M Costs'!V402</f>
        <v>0</v>
      </c>
      <c r="W86" s="188">
        <f ca="1">IS!W17*'O&amp;M Costs'!W402</f>
        <v>0</v>
      </c>
      <c r="X86" s="188">
        <f ca="1">IS!X17*'O&amp;M Costs'!X402</f>
        <v>0</v>
      </c>
      <c r="Y86" s="188">
        <f ca="1">IS!Y17*'O&amp;M Costs'!Y402</f>
        <v>0</v>
      </c>
      <c r="Z86" s="188">
        <f ca="1">IS!Z17*'O&amp;M Costs'!Z402</f>
        <v>0</v>
      </c>
      <c r="AA86" s="188">
        <f ca="1">IS!AA17*'O&amp;M Costs'!AA402</f>
        <v>0</v>
      </c>
      <c r="AB86" s="188">
        <f ca="1">IS!AB17*'O&amp;M Costs'!AB402</f>
        <v>0</v>
      </c>
      <c r="AC86" s="188">
        <f ca="1">IS!AC17*'O&amp;M Costs'!AC402</f>
        <v>0</v>
      </c>
      <c r="AD86" s="188">
        <f ca="1">IS!AD17*'O&amp;M Costs'!AD402</f>
        <v>0</v>
      </c>
      <c r="AE86" s="188">
        <f ca="1">IS!AE17*'O&amp;M Costs'!AE402</f>
        <v>0</v>
      </c>
      <c r="AF86" s="188">
        <f ca="1">IS!AF17*'O&amp;M Costs'!AF402</f>
        <v>0</v>
      </c>
      <c r="AG86" s="188">
        <f ca="1">IS!AG17*'O&amp;M Costs'!AG402</f>
        <v>0</v>
      </c>
      <c r="AH86" s="188">
        <f ca="1">IS!AH17*'O&amp;M Costs'!AH402</f>
        <v>0</v>
      </c>
      <c r="AI86" s="188">
        <f ca="1">IS!AI17*'O&amp;M Costs'!AI402</f>
        <v>0</v>
      </c>
      <c r="AJ86" s="188">
        <f ca="1">IS!AJ17*'O&amp;M Costs'!AJ402</f>
        <v>0</v>
      </c>
      <c r="AK86" s="188">
        <f ca="1">IS!AK17*'O&amp;M Costs'!AK402</f>
        <v>0</v>
      </c>
      <c r="AL86" s="188">
        <f ca="1">IS!AL17*'O&amp;M Costs'!AL402</f>
        <v>0</v>
      </c>
      <c r="AM86" s="188"/>
      <c r="AN86" s="188"/>
      <c r="AO86" s="188"/>
      <c r="AP86" s="188"/>
      <c r="AQ86" s="188"/>
      <c r="AR86" s="188"/>
      <c r="AS86" s="188"/>
      <c r="AT86" s="188"/>
      <c r="AU86" s="188"/>
      <c r="AV86" s="188"/>
      <c r="AW86" s="188"/>
    </row>
    <row r="87" spans="1:49">
      <c r="B87" s="489" t="s">
        <v>451</v>
      </c>
      <c r="C87" s="489"/>
      <c r="D87" s="489"/>
      <c r="E87" s="489"/>
      <c r="F87" s="489"/>
      <c r="G87" s="489"/>
      <c r="H87" s="489"/>
      <c r="I87" s="489"/>
      <c r="J87" s="489"/>
      <c r="K87" s="489"/>
      <c r="L87" s="1531">
        <f ca="1">IS!L18*'O&amp;M Costs'!L402</f>
        <v>-106799749.63852347</v>
      </c>
      <c r="M87" s="1531">
        <f ca="1">IS!M18*'O&amp;M Costs'!M402</f>
        <v>-91542642.547305822</v>
      </c>
      <c r="N87" s="1531">
        <f ca="1">IS!N18*'O&amp;M Costs'!N402</f>
        <v>-76077105.031344771</v>
      </c>
      <c r="O87" s="1531">
        <f ca="1">IS!O18*'O&amp;M Costs'!O402</f>
        <v>-61195629.538472936</v>
      </c>
      <c r="P87" s="1531">
        <f ca="1">IS!P18*'O&amp;M Costs'!P402</f>
        <v>-45771321.273652911</v>
      </c>
      <c r="Q87" s="1531">
        <f ca="1">IS!Q18*'O&amp;M Costs'!Q402</f>
        <v>-30514214.182435278</v>
      </c>
      <c r="R87" s="1531">
        <f ca="1">IS!R18*'O&amp;M Costs'!R402</f>
        <v>-15215421.006268956</v>
      </c>
      <c r="S87" s="1531">
        <f ca="1">IS!S18*'O&amp;M Costs'!S402</f>
        <v>0</v>
      </c>
      <c r="T87" s="1531">
        <f ca="1">IS!T18*'O&amp;M Costs'!T402</f>
        <v>0</v>
      </c>
      <c r="U87" s="1531">
        <f ca="1">IS!U18*'O&amp;M Costs'!U402</f>
        <v>0</v>
      </c>
      <c r="V87" s="1531">
        <f ca="1">IS!V18*'O&amp;M Costs'!V402</f>
        <v>0</v>
      </c>
      <c r="W87" s="1531">
        <f ca="1">IS!W18*'O&amp;M Costs'!W402</f>
        <v>0</v>
      </c>
      <c r="X87" s="1531">
        <f ca="1">IS!X18*'O&amp;M Costs'!X402</f>
        <v>0</v>
      </c>
      <c r="Y87" s="1531">
        <f ca="1">IS!Y18*'O&amp;M Costs'!Y402</f>
        <v>0</v>
      </c>
      <c r="Z87" s="1531">
        <f ca="1">IS!Z18*'O&amp;M Costs'!Z402</f>
        <v>0</v>
      </c>
      <c r="AA87" s="1531">
        <f ca="1">IS!AA18*'O&amp;M Costs'!AA402</f>
        <v>0</v>
      </c>
      <c r="AB87" s="1531">
        <f ca="1">IS!AB18*'O&amp;M Costs'!AB402</f>
        <v>0</v>
      </c>
      <c r="AC87" s="1531">
        <f ca="1">IS!AC18*'O&amp;M Costs'!AC402</f>
        <v>0</v>
      </c>
      <c r="AD87" s="1531">
        <f ca="1">IS!AD18*'O&amp;M Costs'!AD402</f>
        <v>0</v>
      </c>
      <c r="AE87" s="1531">
        <f ca="1">IS!AE18*'O&amp;M Costs'!AE402</f>
        <v>0</v>
      </c>
      <c r="AF87" s="1531">
        <f ca="1">IS!AF18*'O&amp;M Costs'!AF402</f>
        <v>0</v>
      </c>
      <c r="AG87" s="1531">
        <f ca="1">IS!AG18*'O&amp;M Costs'!AG402</f>
        <v>0</v>
      </c>
      <c r="AH87" s="1531">
        <f ca="1">IS!AH18*'O&amp;M Costs'!AH402</f>
        <v>0</v>
      </c>
      <c r="AI87" s="1531">
        <f ca="1">IS!AI18*'O&amp;M Costs'!AI402</f>
        <v>0</v>
      </c>
      <c r="AJ87" s="1531">
        <f ca="1">IS!AJ18*'O&amp;M Costs'!AJ402</f>
        <v>0</v>
      </c>
      <c r="AK87" s="1531">
        <f ca="1">IS!AK18*'O&amp;M Costs'!AK402</f>
        <v>0</v>
      </c>
      <c r="AL87" s="1531">
        <f ca="1">IS!AL18*'O&amp;M Costs'!AL402</f>
        <v>0</v>
      </c>
      <c r="AM87" s="1531"/>
      <c r="AN87" s="1531"/>
      <c r="AO87" s="1531"/>
      <c r="AP87" s="1531"/>
      <c r="AQ87" s="1531"/>
      <c r="AR87" s="1531"/>
      <c r="AS87" s="1531"/>
      <c r="AT87" s="1531"/>
      <c r="AU87" s="1531"/>
      <c r="AV87" s="1531"/>
      <c r="AW87" s="1531"/>
    </row>
    <row r="88" spans="1:49">
      <c r="B88" s="27" t="s">
        <v>452</v>
      </c>
      <c r="C88" s="27"/>
      <c r="D88" s="27"/>
      <c r="E88" s="27"/>
      <c r="F88" s="27"/>
      <c r="G88" s="27"/>
      <c r="H88" s="27"/>
      <c r="I88" s="27"/>
      <c r="J88" s="27"/>
      <c r="K88" s="27"/>
      <c r="L88" s="1538">
        <f ca="1">IS!L19*'O&amp;M Costs'!L402</f>
        <v>0</v>
      </c>
      <c r="M88" s="1538">
        <f ca="1">IS!M19*'O&amp;M Costs'!M402</f>
        <v>0</v>
      </c>
      <c r="N88" s="1538">
        <f ca="1">IS!N19*'O&amp;M Costs'!N402</f>
        <v>0</v>
      </c>
      <c r="O88" s="1538">
        <f ca="1">IS!O19*'O&amp;M Costs'!O402</f>
        <v>0</v>
      </c>
      <c r="P88" s="1538">
        <f ca="1">IS!P19*'O&amp;M Costs'!P402</f>
        <v>0</v>
      </c>
      <c r="Q88" s="1538">
        <f ca="1">IS!Q19*'O&amp;M Costs'!Q402</f>
        <v>0</v>
      </c>
      <c r="R88" s="1538">
        <f ca="1">IS!R19*'O&amp;M Costs'!R402</f>
        <v>0</v>
      </c>
      <c r="S88" s="1538">
        <f ca="1">IS!S19*'O&amp;M Costs'!S402</f>
        <v>0</v>
      </c>
      <c r="T88" s="1538">
        <f ca="1">IS!T19*'O&amp;M Costs'!T402</f>
        <v>0</v>
      </c>
      <c r="U88" s="1538">
        <f ca="1">IS!U19*'O&amp;M Costs'!U402</f>
        <v>0</v>
      </c>
      <c r="V88" s="1538">
        <f ca="1">IS!V19*'O&amp;M Costs'!V402</f>
        <v>0</v>
      </c>
      <c r="W88" s="1538">
        <f ca="1">IS!W19*'O&amp;M Costs'!W402</f>
        <v>0</v>
      </c>
      <c r="X88" s="1538">
        <f ca="1">IS!X19*'O&amp;M Costs'!X402</f>
        <v>0</v>
      </c>
      <c r="Y88" s="1538">
        <f ca="1">IS!Y19*'O&amp;M Costs'!Y402</f>
        <v>0</v>
      </c>
      <c r="Z88" s="1538">
        <f ca="1">IS!Z19*'O&amp;M Costs'!Z402</f>
        <v>0</v>
      </c>
      <c r="AA88" s="1538">
        <f ca="1">IS!AA19*'O&amp;M Costs'!AA402</f>
        <v>0</v>
      </c>
      <c r="AB88" s="1538">
        <f ca="1">IS!AB19*'O&amp;M Costs'!AB402</f>
        <v>0</v>
      </c>
      <c r="AC88" s="1538">
        <f ca="1">IS!AC19*'O&amp;M Costs'!AC402</f>
        <v>0</v>
      </c>
      <c r="AD88" s="1538">
        <f ca="1">IS!AD19*'O&amp;M Costs'!AD402</f>
        <v>0</v>
      </c>
      <c r="AE88" s="1538">
        <f ca="1">IS!AE19*'O&amp;M Costs'!AE402</f>
        <v>0</v>
      </c>
      <c r="AF88" s="1538">
        <f ca="1">IS!AF19*'O&amp;M Costs'!AF402</f>
        <v>0</v>
      </c>
      <c r="AG88" s="1538">
        <f ca="1">IS!AG19*'O&amp;M Costs'!AG402</f>
        <v>0</v>
      </c>
      <c r="AH88" s="1538">
        <f ca="1">IS!AH19*'O&amp;M Costs'!AH402</f>
        <v>0</v>
      </c>
      <c r="AI88" s="1538">
        <f ca="1">IS!AI19*'O&amp;M Costs'!AI402</f>
        <v>0</v>
      </c>
      <c r="AJ88" s="1538">
        <f ca="1">IS!AJ19*'O&amp;M Costs'!AJ402</f>
        <v>0</v>
      </c>
      <c r="AK88" s="1538">
        <f ca="1">IS!AK19*'O&amp;M Costs'!AK402</f>
        <v>0</v>
      </c>
      <c r="AL88" s="1538">
        <f ca="1">IS!AL19*'O&amp;M Costs'!AL402</f>
        <v>0</v>
      </c>
      <c r="AM88" s="1538"/>
      <c r="AN88" s="1538"/>
      <c r="AO88" s="1538"/>
      <c r="AP88" s="1538"/>
      <c r="AQ88" s="1538"/>
      <c r="AR88" s="1538"/>
      <c r="AS88" s="1538"/>
      <c r="AT88" s="1538"/>
      <c r="AU88" s="1538"/>
      <c r="AV88" s="1538"/>
      <c r="AW88" s="1538"/>
    </row>
    <row r="89" spans="1:49">
      <c r="B89" s="10" t="s">
        <v>1681</v>
      </c>
      <c r="L89" s="1555">
        <f ca="1">SUM(L83:L88)</f>
        <v>265443548.93304861</v>
      </c>
      <c r="M89" s="1555">
        <f t="shared" ref="M89:AL89" ca="1" si="31">SUM(M85:M88)</f>
        <v>-84321201.222099528</v>
      </c>
      <c r="N89" s="1555">
        <f t="shared" ca="1" si="31"/>
        <v>-65515681.594601549</v>
      </c>
      <c r="O89" s="1555">
        <f t="shared" ca="1" si="31"/>
        <v>-47693977.391336635</v>
      </c>
      <c r="P89" s="1555">
        <f t="shared" ca="1" si="31"/>
        <v>-28995701.351707507</v>
      </c>
      <c r="Q89" s="1555">
        <f t="shared" ca="1" si="31"/>
        <v>-10083353.835484542</v>
      </c>
      <c r="R89" s="1555">
        <f t="shared" ca="1" si="31"/>
        <v>9099680.161710497</v>
      </c>
      <c r="S89" s="1555">
        <f t="shared" ca="1" si="31"/>
        <v>26872158.101385053</v>
      </c>
      <c r="T89" s="1555">
        <f t="shared" ca="1" si="31"/>
        <v>31728841.643590149</v>
      </c>
      <c r="U89" s="1555">
        <f t="shared" ca="1" si="31"/>
        <v>36480187.524641909</v>
      </c>
      <c r="V89" s="1555">
        <f t="shared" ca="1" si="31"/>
        <v>40973464.214334115</v>
      </c>
      <c r="W89" s="1555">
        <f t="shared" ca="1" si="31"/>
        <v>45747763.284172773</v>
      </c>
      <c r="X89" s="1555">
        <f t="shared" ca="1" si="31"/>
        <v>50047825.973640032</v>
      </c>
      <c r="Y89" s="1555">
        <f t="shared" ca="1" si="31"/>
        <v>51173849.396536268</v>
      </c>
      <c r="Z89" s="1555">
        <f t="shared" ca="1" si="31"/>
        <v>51550295.006937131</v>
      </c>
      <c r="AA89" s="1555">
        <f t="shared" ca="1" si="31"/>
        <v>52555737.944577493</v>
      </c>
      <c r="AB89" s="1555">
        <f t="shared" ca="1" si="31"/>
        <v>53228616.84787067</v>
      </c>
      <c r="AC89" s="1555">
        <f t="shared" ca="1" si="31"/>
        <v>54340989.607190356</v>
      </c>
      <c r="AD89" s="1555">
        <f t="shared" ca="1" si="31"/>
        <v>55536669.689694464</v>
      </c>
      <c r="AE89" s="1555">
        <f t="shared" ca="1" si="31"/>
        <v>57436256.341255419</v>
      </c>
      <c r="AF89" s="1555">
        <f t="shared" ca="1" si="31"/>
        <v>58992316.975357078</v>
      </c>
      <c r="AG89" s="1555">
        <f t="shared" ca="1" si="31"/>
        <v>60913986.133026525</v>
      </c>
      <c r="AH89" s="1555">
        <f t="shared" ca="1" si="31"/>
        <v>62821287.838901997</v>
      </c>
      <c r="AI89" s="1555">
        <f t="shared" ca="1" si="31"/>
        <v>65431182.478240997</v>
      </c>
      <c r="AJ89" s="1555">
        <f t="shared" ca="1" si="31"/>
        <v>67571274.45293352</v>
      </c>
      <c r="AK89" s="1555">
        <f t="shared" ca="1" si="31"/>
        <v>81179001.58945325</v>
      </c>
      <c r="AL89" s="1555">
        <f t="shared" ca="1" si="31"/>
        <v>95399423.827885464</v>
      </c>
      <c r="AM89" s="1555"/>
      <c r="AN89" s="1555"/>
      <c r="AO89" s="1555"/>
      <c r="AP89" s="1555"/>
      <c r="AQ89" s="1555"/>
      <c r="AR89" s="1555"/>
      <c r="AS89" s="1555"/>
      <c r="AT89" s="1555"/>
      <c r="AU89" s="1555"/>
      <c r="AV89" s="1555"/>
      <c r="AW89" s="1555"/>
    </row>
    <row r="90" spans="1:49">
      <c r="B90" s="1354" t="s">
        <v>1682</v>
      </c>
      <c r="L90" s="1557">
        <f ca="1">L89/L57</f>
        <v>0.47084200091224121</v>
      </c>
      <c r="M90" s="1557">
        <f t="shared" ref="M90:AL90" ca="1" si="32">M89/M57</f>
        <v>-0.14521202493076196</v>
      </c>
      <c r="N90" s="1557">
        <f t="shared" ca="1" si="32"/>
        <v>-0.10954027720799311</v>
      </c>
      <c r="O90" s="1557">
        <f t="shared" ca="1" si="32"/>
        <v>-7.7420306951978005E-2</v>
      </c>
      <c r="P90" s="1557">
        <f t="shared" ca="1" si="32"/>
        <v>-4.5697005364696217E-2</v>
      </c>
      <c r="Q90" s="1557">
        <f t="shared" ca="1" si="32"/>
        <v>-1.5428436068873166E-2</v>
      </c>
      <c r="R90" s="1557">
        <f t="shared" ca="1" si="32"/>
        <v>1.351779329188669E-2</v>
      </c>
      <c r="S90" s="1557">
        <f t="shared" ca="1" si="32"/>
        <v>3.8756539658757444E-2</v>
      </c>
      <c r="T90" s="1557">
        <f t="shared" ca="1" si="32"/>
        <v>4.4428273938348563E-2</v>
      </c>
      <c r="U90" s="1557">
        <f t="shared" ca="1" si="32"/>
        <v>4.9593534496627942E-2</v>
      </c>
      <c r="V90" s="1557">
        <f t="shared" ca="1" si="32"/>
        <v>5.4079598488994317E-2</v>
      </c>
      <c r="W90" s="1557">
        <f t="shared" ca="1" si="32"/>
        <v>5.8622375768415669E-2</v>
      </c>
      <c r="X90" s="1557">
        <f t="shared" ca="1" si="32"/>
        <v>6.2264648670887858E-2</v>
      </c>
      <c r="Y90" s="1557">
        <f t="shared" ca="1" si="32"/>
        <v>6.1811201698680866E-2</v>
      </c>
      <c r="Z90" s="1557">
        <f t="shared" ca="1" si="32"/>
        <v>6.0452328070121131E-2</v>
      </c>
      <c r="AA90" s="1557">
        <f t="shared" ca="1" si="32"/>
        <v>5.9836308052379439E-2</v>
      </c>
      <c r="AB90" s="1557">
        <f t="shared" ca="1" si="32"/>
        <v>5.8837282693173662E-2</v>
      </c>
      <c r="AC90" s="1557">
        <f t="shared" ca="1" si="32"/>
        <v>5.8317345116319676E-2</v>
      </c>
      <c r="AD90" s="1557">
        <f t="shared" ca="1" si="32"/>
        <v>5.7864580648340248E-2</v>
      </c>
      <c r="AE90" s="1557">
        <f t="shared" ca="1" si="32"/>
        <v>5.8100768545948055E-2</v>
      </c>
      <c r="AF90" s="1557">
        <f t="shared" ca="1" si="32"/>
        <v>5.7936730210358951E-2</v>
      </c>
      <c r="AG90" s="1557">
        <f t="shared" ca="1" si="32"/>
        <v>5.8081566726977479E-2</v>
      </c>
      <c r="AH90" s="1557">
        <f t="shared" ca="1" si="32"/>
        <v>5.815551595937854E-2</v>
      </c>
      <c r="AI90" s="1557">
        <f t="shared" ca="1" si="32"/>
        <v>5.8807351725027587E-2</v>
      </c>
      <c r="AJ90" s="1557">
        <f t="shared" ca="1" si="32"/>
        <v>5.8961936501009234E-2</v>
      </c>
      <c r="AK90" s="1557">
        <f t="shared" ca="1" si="32"/>
        <v>6.8772705470905401E-2</v>
      </c>
      <c r="AL90" s="1557">
        <f t="shared" ca="1" si="32"/>
        <v>7.8465894660808097E-2</v>
      </c>
      <c r="AM90" s="1557"/>
      <c r="AN90" s="1557"/>
      <c r="AO90" s="1557"/>
      <c r="AP90" s="1557"/>
      <c r="AQ90" s="1557"/>
      <c r="AR90" s="1557"/>
      <c r="AS90" s="1557"/>
      <c r="AT90" s="1557"/>
      <c r="AU90" s="1557"/>
      <c r="AV90" s="1557"/>
      <c r="AW90" s="1557"/>
    </row>
    <row r="98" spans="2:8">
      <c r="B98" s="501" t="s">
        <v>1690</v>
      </c>
      <c r="D98" s="213" t="s">
        <v>867</v>
      </c>
      <c r="H98" s="501" t="s">
        <v>892</v>
      </c>
    </row>
    <row r="100" spans="2:8">
      <c r="B100" s="2" t="s">
        <v>1692</v>
      </c>
      <c r="C100" s="2">
        <f>O48</f>
        <v>7</v>
      </c>
    </row>
    <row r="101" spans="2:8">
      <c r="B101" s="2" t="s">
        <v>1691</v>
      </c>
      <c r="D101" s="144">
        <f ca="1">O7</f>
        <v>2375000</v>
      </c>
      <c r="H101" s="42">
        <f ca="1">O54</f>
        <v>950000</v>
      </c>
    </row>
    <row r="104" spans="2:8">
      <c r="B104" s="2" t="s">
        <v>1687</v>
      </c>
      <c r="D104" s="41">
        <f ca="1">O9/D101</f>
        <v>0</v>
      </c>
      <c r="E104" s="41"/>
      <c r="F104" s="41"/>
      <c r="G104" s="41"/>
      <c r="H104" s="41">
        <f ca="1">O57/H101</f>
        <v>648.46277035382002</v>
      </c>
    </row>
    <row r="105" spans="2:8">
      <c r="D105" s="41"/>
      <c r="E105" s="41"/>
      <c r="F105" s="41"/>
      <c r="G105" s="41"/>
      <c r="H105" s="41"/>
    </row>
    <row r="106" spans="2:8">
      <c r="B106" s="2" t="s">
        <v>1693</v>
      </c>
      <c r="D106" s="1531">
        <f ca="1">O15/D101</f>
        <v>-108.50323519919448</v>
      </c>
      <c r="H106" s="1531">
        <f ca="1">O63/H101</f>
        <v>-151.73133766252192</v>
      </c>
    </row>
    <row r="108" spans="2:8">
      <c r="B108" s="2" t="s">
        <v>1694</v>
      </c>
      <c r="D108" s="37">
        <f ca="1">O24/D101</f>
        <v>-4.2937388868930064</v>
      </c>
      <c r="H108" s="37">
        <f ca="1">O73/H101</f>
        <v>-4.9826418245048574</v>
      </c>
    </row>
    <row r="109" spans="2:8">
      <c r="D109" s="41"/>
      <c r="E109" s="41"/>
      <c r="F109" s="41"/>
      <c r="G109" s="41"/>
      <c r="H109" s="41"/>
    </row>
    <row r="110" spans="2:8">
      <c r="B110" s="2" t="s">
        <v>1622</v>
      </c>
      <c r="D110" s="37">
        <f ca="1">O29/D101</f>
        <v>-7.2688596783427846</v>
      </c>
      <c r="H110" s="37">
        <f ca="1">O77/H101</f>
        <v>-8.1496742934760888</v>
      </c>
    </row>
    <row r="112" spans="2:8">
      <c r="B112" s="2" t="s">
        <v>1695</v>
      </c>
      <c r="D112" s="37">
        <f ca="1">O34/D101</f>
        <v>-40.118866923705994</v>
      </c>
      <c r="H112" s="37">
        <f ca="1">O82/H101</f>
        <v>-55.785343759319154</v>
      </c>
    </row>
    <row r="114" spans="2:9">
      <c r="B114" s="2" t="s">
        <v>1696</v>
      </c>
      <c r="D114" s="37">
        <f ca="1">(O38+O39)/D101</f>
        <v>-46.326058014141758</v>
      </c>
      <c r="H114" s="37">
        <f ca="1">(O86+O87)/H101</f>
        <v>-64.416452145760985</v>
      </c>
    </row>
    <row r="116" spans="2:9">
      <c r="B116" s="2" t="s">
        <v>1697</v>
      </c>
      <c r="D116" s="37">
        <f ca="1">D106+D108+D110+D112+D114</f>
        <v>-206.51075870227803</v>
      </c>
      <c r="E116" s="37"/>
      <c r="F116" s="37">
        <f>F106+F108+F110+F112+F114</f>
        <v>0</v>
      </c>
      <c r="G116" s="37"/>
      <c r="H116" s="37">
        <f ca="1">H106+H108+H110+H112+H114</f>
        <v>-285.06544968558302</v>
      </c>
      <c r="I116" s="37">
        <f>I106+I108+I110+I112+I114</f>
        <v>0</v>
      </c>
    </row>
    <row r="119" spans="2:9">
      <c r="B119" s="2" t="s">
        <v>1698</v>
      </c>
      <c r="D119" s="471">
        <f ca="1">D104+D116</f>
        <v>-206.51075870227803</v>
      </c>
      <c r="E119" s="124"/>
      <c r="F119" s="124"/>
      <c r="G119" s="124"/>
      <c r="H119" s="1555">
        <f ca="1">H104+H116</f>
        <v>363.397320668237</v>
      </c>
      <c r="I119" s="124"/>
    </row>
    <row r="120" spans="2:9">
      <c r="H120" s="37"/>
    </row>
    <row r="121" spans="2:9">
      <c r="B121" s="2" t="s">
        <v>1699</v>
      </c>
      <c r="D121" s="104" t="e">
        <f ca="1">D119/D104</f>
        <v>#DIV/0!</v>
      </c>
      <c r="H121" s="104">
        <f ca="1">H119/H104</f>
        <v>0.56039812504572462</v>
      </c>
    </row>
    <row r="488" spans="10:10">
      <c r="J488" s="2">
        <f>SUM(J481:J487)</f>
        <v>0</v>
      </c>
    </row>
    <row r="497" spans="10:10">
      <c r="J497" s="2">
        <f>SUM(J491:J496)</f>
        <v>0</v>
      </c>
    </row>
    <row r="521" spans="10:10">
      <c r="J521" s="2">
        <f>SUM(J514:J520)</f>
        <v>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972FF-A460-4AE4-9A29-728E2792B140}">
  <sheetPr codeName="Sheet57"/>
  <dimension ref="A3:W521"/>
  <sheetViews>
    <sheetView topLeftCell="A61" zoomScale="96" zoomScaleNormal="96" workbookViewId="0">
      <selection activeCell="G146" sqref="G146"/>
    </sheetView>
  </sheetViews>
  <sheetFormatPr defaultRowHeight="15"/>
  <cols>
    <col min="3" max="3" width="9.28125" customWidth="1"/>
    <col min="4" max="4" width="12.23828125" customWidth="1"/>
    <col min="5" max="5" width="12.375" customWidth="1"/>
    <col min="6" max="6" width="12.23828125" customWidth="1"/>
    <col min="7" max="7" width="13.046875" customWidth="1"/>
    <col min="8" max="8" width="18.96484375" customWidth="1"/>
    <col min="9" max="9" width="16.6796875" customWidth="1"/>
    <col min="10" max="10" width="18.83203125" customWidth="1"/>
    <col min="11" max="11" width="12.9140625" customWidth="1"/>
    <col min="12" max="12" width="16.27734375" customWidth="1"/>
    <col min="13" max="13" width="18.83203125" customWidth="1"/>
    <col min="14" max="14" width="33.8984375" customWidth="1"/>
    <col min="15" max="15" width="19.50390625" customWidth="1"/>
    <col min="16" max="17" width="25.2890625" customWidth="1"/>
    <col min="18" max="18" width="11.703125" customWidth="1"/>
    <col min="19" max="19" width="10.625" bestFit="1" customWidth="1"/>
    <col min="20" max="20" width="26.6328125" customWidth="1"/>
    <col min="21" max="21" width="27.84375" customWidth="1"/>
    <col min="22" max="22" width="14.390625" customWidth="1"/>
    <col min="23" max="23" width="14.9296875" customWidth="1"/>
  </cols>
  <sheetData>
    <row r="3" spans="1:23" ht="15.75" thickBot="1"/>
    <row r="4" spans="1:23" ht="18.600000000000001" customHeight="1">
      <c r="A4" t="s">
        <v>867</v>
      </c>
      <c r="C4" s="3461" t="s">
        <v>1724</v>
      </c>
      <c r="D4" s="3461"/>
      <c r="E4" s="3461"/>
      <c r="F4" s="3461"/>
      <c r="I4" s="3462" t="s">
        <v>1725</v>
      </c>
      <c r="J4" s="3463"/>
      <c r="K4" s="3463"/>
      <c r="L4" s="3464"/>
      <c r="N4" s="3465" t="s">
        <v>1726</v>
      </c>
      <c r="O4" s="3466"/>
      <c r="P4" s="3466"/>
      <c r="Q4" s="3466"/>
      <c r="R4" s="3467"/>
      <c r="T4" s="3462" t="s">
        <v>1726</v>
      </c>
      <c r="U4" s="3463"/>
      <c r="V4" s="3463"/>
      <c r="W4" s="3464"/>
    </row>
    <row r="5" spans="1:23" ht="51" customHeight="1">
      <c r="C5" s="1622"/>
      <c r="D5" s="1620" t="s">
        <v>1721</v>
      </c>
      <c r="E5" s="1621" t="s">
        <v>1722</v>
      </c>
      <c r="F5" s="1621" t="s">
        <v>1723</v>
      </c>
      <c r="I5" s="1623"/>
      <c r="J5" s="1624" t="s">
        <v>1721</v>
      </c>
      <c r="K5" s="1625" t="s">
        <v>1722</v>
      </c>
      <c r="L5" s="1625" t="s">
        <v>1723</v>
      </c>
      <c r="N5" s="1623"/>
      <c r="O5" s="1624" t="s">
        <v>1721</v>
      </c>
      <c r="P5" s="1625" t="s">
        <v>1722</v>
      </c>
      <c r="Q5" s="1625"/>
      <c r="R5" s="1625" t="s">
        <v>1723</v>
      </c>
      <c r="T5" s="1623"/>
      <c r="U5" s="1624" t="s">
        <v>1721</v>
      </c>
      <c r="V5" s="1625" t="s">
        <v>1722</v>
      </c>
      <c r="W5" s="1625" t="s">
        <v>1723</v>
      </c>
    </row>
    <row r="6" spans="1:23" ht="16.5">
      <c r="C6" s="1608" t="s">
        <v>130</v>
      </c>
      <c r="D6" s="1617">
        <v>1</v>
      </c>
      <c r="E6" s="1618">
        <v>35000</v>
      </c>
      <c r="F6" s="1619">
        <v>35000</v>
      </c>
      <c r="I6" s="1608" t="s">
        <v>130</v>
      </c>
      <c r="J6" s="1617">
        <v>1</v>
      </c>
      <c r="K6" s="1618">
        <v>35000</v>
      </c>
      <c r="L6" s="1619">
        <f>J6*K6</f>
        <v>35000</v>
      </c>
      <c r="N6" s="1608" t="s">
        <v>130</v>
      </c>
      <c r="O6" s="1617">
        <v>1</v>
      </c>
      <c r="P6" s="1618">
        <v>35000</v>
      </c>
      <c r="Q6" s="1950"/>
      <c r="R6" s="1619">
        <f>O6*P6</f>
        <v>35000</v>
      </c>
      <c r="T6" s="1608" t="s">
        <v>130</v>
      </c>
      <c r="U6" s="1617">
        <v>1</v>
      </c>
      <c r="V6" s="1618">
        <v>35000</v>
      </c>
      <c r="W6" s="1619">
        <f>U6*V6</f>
        <v>35000</v>
      </c>
    </row>
    <row r="7" spans="1:23" ht="16.5">
      <c r="C7" s="1609" t="s">
        <v>1709</v>
      </c>
      <c r="D7" s="1610">
        <v>1</v>
      </c>
      <c r="E7" s="1611">
        <v>30000</v>
      </c>
      <c r="F7" s="1612">
        <v>30000</v>
      </c>
      <c r="I7" s="1609" t="s">
        <v>1709</v>
      </c>
      <c r="J7" s="1610">
        <v>1</v>
      </c>
      <c r="K7" s="1611">
        <v>30000</v>
      </c>
      <c r="L7" s="1612">
        <f t="shared" ref="L7:L17" si="0">J7*K7</f>
        <v>30000</v>
      </c>
      <c r="N7" s="1609" t="s">
        <v>1709</v>
      </c>
      <c r="O7" s="1610">
        <v>1</v>
      </c>
      <c r="P7" s="1611">
        <v>30000</v>
      </c>
      <c r="Q7" s="1950"/>
      <c r="R7" s="1619">
        <f t="shared" ref="R7:R17" si="1">O7*P7</f>
        <v>30000</v>
      </c>
      <c r="T7" s="1609" t="s">
        <v>1709</v>
      </c>
      <c r="U7" s="1610">
        <v>1</v>
      </c>
      <c r="V7" s="1611">
        <v>30000</v>
      </c>
      <c r="W7" s="1619">
        <f t="shared" ref="W7:W17" si="2">U7*V7</f>
        <v>30000</v>
      </c>
    </row>
    <row r="8" spans="1:23" ht="16.5">
      <c r="C8" s="1609" t="s">
        <v>1710</v>
      </c>
      <c r="D8" s="1610">
        <v>1</v>
      </c>
      <c r="E8" s="1611">
        <v>20000</v>
      </c>
      <c r="F8" s="1612">
        <v>20000</v>
      </c>
      <c r="I8" s="1609" t="s">
        <v>1710</v>
      </c>
      <c r="J8" s="1610">
        <v>1</v>
      </c>
      <c r="K8" s="1611">
        <v>20000</v>
      </c>
      <c r="L8" s="1612">
        <f t="shared" si="0"/>
        <v>20000</v>
      </c>
      <c r="N8" s="1609" t="s">
        <v>1710</v>
      </c>
      <c r="O8" s="1610">
        <v>1</v>
      </c>
      <c r="P8" s="1611">
        <v>20000</v>
      </c>
      <c r="Q8" s="1950"/>
      <c r="R8" s="1619">
        <f t="shared" si="1"/>
        <v>20000</v>
      </c>
      <c r="T8" s="1609" t="s">
        <v>1710</v>
      </c>
      <c r="U8" s="1610">
        <v>1</v>
      </c>
      <c r="V8" s="1611">
        <v>20000</v>
      </c>
      <c r="W8" s="1619">
        <f t="shared" si="2"/>
        <v>20000</v>
      </c>
    </row>
    <row r="9" spans="1:23" ht="16.5">
      <c r="C9" s="1609" t="s">
        <v>1711</v>
      </c>
      <c r="D9" s="1610">
        <v>1</v>
      </c>
      <c r="E9" s="1611">
        <v>15000</v>
      </c>
      <c r="F9" s="1612">
        <v>15000</v>
      </c>
      <c r="I9" s="1609" t="s">
        <v>1711</v>
      </c>
      <c r="J9" s="1610">
        <v>1</v>
      </c>
      <c r="K9" s="1611">
        <v>15000</v>
      </c>
      <c r="L9" s="1612">
        <f t="shared" si="0"/>
        <v>15000</v>
      </c>
      <c r="N9" s="1609" t="s">
        <v>1711</v>
      </c>
      <c r="O9" s="1610">
        <v>1</v>
      </c>
      <c r="P9" s="1611">
        <v>15000</v>
      </c>
      <c r="Q9" s="1950"/>
      <c r="R9" s="1619">
        <f t="shared" si="1"/>
        <v>15000</v>
      </c>
      <c r="T9" s="1609" t="s">
        <v>1711</v>
      </c>
      <c r="U9" s="1610">
        <v>1</v>
      </c>
      <c r="V9" s="1611">
        <v>15000</v>
      </c>
      <c r="W9" s="1619">
        <f t="shared" si="2"/>
        <v>15000</v>
      </c>
    </row>
    <row r="10" spans="1:23" ht="16.5">
      <c r="C10" s="1609" t="s">
        <v>1712</v>
      </c>
      <c r="D10" s="1610">
        <v>1</v>
      </c>
      <c r="E10" s="1611">
        <v>15000</v>
      </c>
      <c r="F10" s="1612">
        <v>15000</v>
      </c>
      <c r="I10" s="1609" t="s">
        <v>1712</v>
      </c>
      <c r="J10" s="1610">
        <v>1</v>
      </c>
      <c r="K10" s="1611">
        <v>15000</v>
      </c>
      <c r="L10" s="1612">
        <f t="shared" si="0"/>
        <v>15000</v>
      </c>
      <c r="N10" s="1609" t="s">
        <v>1712</v>
      </c>
      <c r="O10" s="1610">
        <v>1</v>
      </c>
      <c r="P10" s="1611">
        <v>15000</v>
      </c>
      <c r="Q10" s="1950"/>
      <c r="R10" s="1619">
        <f t="shared" si="1"/>
        <v>15000</v>
      </c>
      <c r="T10" s="1609" t="s">
        <v>1712</v>
      </c>
      <c r="U10" s="1610">
        <v>1</v>
      </c>
      <c r="V10" s="1611">
        <v>15000</v>
      </c>
      <c r="W10" s="1619">
        <f t="shared" si="2"/>
        <v>15000</v>
      </c>
    </row>
    <row r="11" spans="1:23" ht="16.5">
      <c r="C11" s="1609" t="s">
        <v>1713</v>
      </c>
      <c r="D11" s="1610">
        <v>3</v>
      </c>
      <c r="E11" s="1611">
        <v>10500</v>
      </c>
      <c r="F11" s="1612">
        <v>31500</v>
      </c>
      <c r="I11" s="1609" t="s">
        <v>1713</v>
      </c>
      <c r="J11" s="1610">
        <v>3</v>
      </c>
      <c r="K11" s="1611">
        <v>10500</v>
      </c>
      <c r="L11" s="1612">
        <f t="shared" si="0"/>
        <v>31500</v>
      </c>
      <c r="N11" s="1609" t="s">
        <v>1713</v>
      </c>
      <c r="O11" s="1610">
        <v>3</v>
      </c>
      <c r="P11" s="1611">
        <v>10500</v>
      </c>
      <c r="Q11" s="1950"/>
      <c r="R11" s="1619">
        <f t="shared" si="1"/>
        <v>31500</v>
      </c>
      <c r="T11" s="1609" t="s">
        <v>1713</v>
      </c>
      <c r="U11" s="1610">
        <v>3</v>
      </c>
      <c r="V11" s="1611">
        <v>10500</v>
      </c>
      <c r="W11" s="1619">
        <f t="shared" si="2"/>
        <v>31500</v>
      </c>
    </row>
    <row r="12" spans="1:23" ht="16.5">
      <c r="C12" s="1609" t="s">
        <v>1714</v>
      </c>
      <c r="D12" s="1610">
        <v>1</v>
      </c>
      <c r="E12" s="1611">
        <v>10500</v>
      </c>
      <c r="F12" s="1612">
        <v>10500</v>
      </c>
      <c r="I12" s="1609" t="s">
        <v>1714</v>
      </c>
      <c r="J12" s="1610">
        <v>1</v>
      </c>
      <c r="K12" s="1611">
        <v>10500</v>
      </c>
      <c r="L12" s="1612">
        <f t="shared" si="0"/>
        <v>10500</v>
      </c>
      <c r="N12" s="1609" t="s">
        <v>1714</v>
      </c>
      <c r="O12" s="1610">
        <v>1</v>
      </c>
      <c r="P12" s="1611">
        <v>10500</v>
      </c>
      <c r="Q12" s="1950"/>
      <c r="R12" s="1619">
        <f t="shared" si="1"/>
        <v>10500</v>
      </c>
      <c r="T12" s="1609" t="s">
        <v>1714</v>
      </c>
      <c r="U12" s="1610">
        <v>1</v>
      </c>
      <c r="V12" s="1611">
        <v>10500</v>
      </c>
      <c r="W12" s="1619">
        <f t="shared" si="2"/>
        <v>10500</v>
      </c>
    </row>
    <row r="13" spans="1:23" ht="16.5">
      <c r="C13" s="1609" t="s">
        <v>1715</v>
      </c>
      <c r="D13" s="1610">
        <v>1</v>
      </c>
      <c r="E13" s="1611">
        <v>10500</v>
      </c>
      <c r="F13" s="1612">
        <v>10500</v>
      </c>
      <c r="I13" s="1609" t="s">
        <v>1715</v>
      </c>
      <c r="J13" s="1610">
        <v>1</v>
      </c>
      <c r="K13" s="1611">
        <v>10500</v>
      </c>
      <c r="L13" s="1612">
        <f t="shared" si="0"/>
        <v>10500</v>
      </c>
      <c r="N13" s="1609" t="s">
        <v>1715</v>
      </c>
      <c r="O13" s="1610">
        <v>1</v>
      </c>
      <c r="P13" s="1611">
        <v>10500</v>
      </c>
      <c r="Q13" s="1950"/>
      <c r="R13" s="1619">
        <f t="shared" si="1"/>
        <v>10500</v>
      </c>
      <c r="T13" s="1609" t="s">
        <v>1715</v>
      </c>
      <c r="U13" s="1610">
        <v>1</v>
      </c>
      <c r="V13" s="1611">
        <v>10500</v>
      </c>
      <c r="W13" s="1619">
        <f t="shared" si="2"/>
        <v>10500</v>
      </c>
    </row>
    <row r="14" spans="1:23" ht="16.5">
      <c r="C14" s="1609" t="s">
        <v>1716</v>
      </c>
      <c r="D14" s="1610">
        <v>15</v>
      </c>
      <c r="E14" s="1611">
        <v>6500</v>
      </c>
      <c r="F14" s="1612">
        <v>97500</v>
      </c>
      <c r="I14" s="1609" t="s">
        <v>1716</v>
      </c>
      <c r="J14" s="1610">
        <v>15</v>
      </c>
      <c r="K14" s="1611">
        <v>6500</v>
      </c>
      <c r="L14" s="1612">
        <f t="shared" si="0"/>
        <v>97500</v>
      </c>
      <c r="N14" s="1609" t="s">
        <v>1716</v>
      </c>
      <c r="O14" s="1610">
        <v>30</v>
      </c>
      <c r="P14" s="1611">
        <v>6500</v>
      </c>
      <c r="Q14" s="1950"/>
      <c r="R14" s="1619">
        <f t="shared" si="1"/>
        <v>195000</v>
      </c>
      <c r="T14" s="1609" t="s">
        <v>1716</v>
      </c>
      <c r="U14" s="1610">
        <v>30</v>
      </c>
      <c r="V14" s="1611">
        <v>6500</v>
      </c>
      <c r="W14" s="1619">
        <f t="shared" si="2"/>
        <v>195000</v>
      </c>
    </row>
    <row r="15" spans="1:23" ht="16.5">
      <c r="C15" s="1609" t="s">
        <v>1717</v>
      </c>
      <c r="D15" s="1610">
        <v>12</v>
      </c>
      <c r="E15" s="1611">
        <v>6500</v>
      </c>
      <c r="F15" s="1612">
        <v>78000</v>
      </c>
      <c r="I15" s="1609" t="s">
        <v>1717</v>
      </c>
      <c r="J15" s="1610">
        <v>12</v>
      </c>
      <c r="K15" s="1611">
        <v>6500</v>
      </c>
      <c r="L15" s="1612">
        <f t="shared" si="0"/>
        <v>78000</v>
      </c>
      <c r="N15" s="1609" t="s">
        <v>1717</v>
      </c>
      <c r="O15" s="1610">
        <v>30</v>
      </c>
      <c r="P15" s="1611">
        <v>6500</v>
      </c>
      <c r="Q15" s="1950"/>
      <c r="R15" s="1619">
        <f t="shared" si="1"/>
        <v>195000</v>
      </c>
      <c r="T15" s="1609" t="s">
        <v>1717</v>
      </c>
      <c r="U15" s="1610">
        <v>30</v>
      </c>
      <c r="V15" s="1611">
        <v>6500</v>
      </c>
      <c r="W15" s="1619">
        <f t="shared" si="2"/>
        <v>195000</v>
      </c>
    </row>
    <row r="16" spans="1:23" ht="16.5">
      <c r="C16" s="1609" t="s">
        <v>1718</v>
      </c>
      <c r="D16" s="1610">
        <v>15</v>
      </c>
      <c r="E16" s="1611">
        <v>6500</v>
      </c>
      <c r="F16" s="1612">
        <v>97500</v>
      </c>
      <c r="I16" s="1609" t="s">
        <v>1718</v>
      </c>
      <c r="J16" s="1610">
        <v>15</v>
      </c>
      <c r="K16" s="1611">
        <v>6500</v>
      </c>
      <c r="L16" s="1612">
        <f t="shared" si="0"/>
        <v>97500</v>
      </c>
      <c r="N16" s="1609" t="s">
        <v>1718</v>
      </c>
      <c r="O16" s="1610">
        <v>33</v>
      </c>
      <c r="P16" s="1611">
        <v>6500</v>
      </c>
      <c r="Q16" s="1950"/>
      <c r="R16" s="1619">
        <f t="shared" si="1"/>
        <v>214500</v>
      </c>
      <c r="T16" s="1609" t="s">
        <v>1718</v>
      </c>
      <c r="U16" s="1610">
        <v>33</v>
      </c>
      <c r="V16" s="1611">
        <v>6500</v>
      </c>
      <c r="W16" s="1619">
        <f t="shared" si="2"/>
        <v>214500</v>
      </c>
    </row>
    <row r="17" spans="1:23" ht="17.25" thickBot="1">
      <c r="C17" s="1613" t="s">
        <v>1719</v>
      </c>
      <c r="D17" s="1614">
        <v>78</v>
      </c>
      <c r="E17" s="1615">
        <v>6500</v>
      </c>
      <c r="F17" s="1616">
        <v>507000</v>
      </c>
      <c r="I17" s="1613" t="s">
        <v>1719</v>
      </c>
      <c r="J17" s="1614">
        <v>78</v>
      </c>
      <c r="K17" s="1615">
        <v>6500</v>
      </c>
      <c r="L17" s="1612">
        <f t="shared" si="0"/>
        <v>507000</v>
      </c>
      <c r="N17" s="1613" t="s">
        <v>1719</v>
      </c>
      <c r="O17" s="1614">
        <v>99</v>
      </c>
      <c r="P17" s="1615">
        <v>6500</v>
      </c>
      <c r="Q17" s="1951"/>
      <c r="R17" s="1619">
        <f t="shared" si="1"/>
        <v>643500</v>
      </c>
      <c r="T17" s="1613" t="s">
        <v>1719</v>
      </c>
      <c r="U17" s="1614">
        <v>99</v>
      </c>
      <c r="V17" s="1615">
        <v>6500</v>
      </c>
      <c r="W17" s="1619">
        <f t="shared" si="2"/>
        <v>643500</v>
      </c>
    </row>
    <row r="18" spans="1:23" ht="17.25" thickBot="1">
      <c r="C18" s="1626" t="s">
        <v>1720</v>
      </c>
      <c r="D18" s="1627">
        <f>SUM(D6:D17)</f>
        <v>130</v>
      </c>
      <c r="E18" s="1627"/>
      <c r="F18" s="1628">
        <f>SUM(F6:F17)</f>
        <v>947500</v>
      </c>
      <c r="I18" s="1626" t="s">
        <v>1720</v>
      </c>
      <c r="J18" s="1627">
        <f>SUM(J6:J17)</f>
        <v>130</v>
      </c>
      <c r="K18" s="1627"/>
      <c r="L18" s="1628">
        <f>SUM(L6:L17)</f>
        <v>947500</v>
      </c>
      <c r="N18" s="1626" t="s">
        <v>1720</v>
      </c>
      <c r="O18" s="1627">
        <f>SUM(O6:O17)</f>
        <v>202</v>
      </c>
      <c r="P18" s="1627"/>
      <c r="Q18" s="1627"/>
      <c r="R18" s="1628">
        <f>SUM(R6:R17)</f>
        <v>1415500</v>
      </c>
      <c r="T18" s="1626" t="s">
        <v>1720</v>
      </c>
      <c r="U18" s="1627">
        <f>SUM(U6:U17)</f>
        <v>202</v>
      </c>
      <c r="V18" s="1627"/>
      <c r="W18" s="1628">
        <f>SUM(W6:W17)</f>
        <v>1415500</v>
      </c>
    </row>
    <row r="19" spans="1:23">
      <c r="F19" s="979"/>
    </row>
    <row r="20" spans="1:23">
      <c r="A20" t="s">
        <v>863</v>
      </c>
    </row>
    <row r="23" spans="1:23" ht="16.5">
      <c r="C23" s="3461" t="s">
        <v>1727</v>
      </c>
      <c r="D23" s="3461"/>
      <c r="E23" s="3461"/>
      <c r="F23" s="3461"/>
      <c r="I23" s="3461" t="s">
        <v>1724</v>
      </c>
      <c r="J23" s="3461"/>
      <c r="K23" s="3461"/>
      <c r="L23" s="3461"/>
      <c r="N23" s="3461" t="s">
        <v>1724</v>
      </c>
      <c r="O23" s="3461"/>
      <c r="P23" s="3461"/>
      <c r="Q23" s="3461"/>
      <c r="R23" s="3461"/>
    </row>
    <row r="24" spans="1:23" ht="48" thickBot="1">
      <c r="C24" s="1622"/>
      <c r="D24" s="1622" t="s">
        <v>1721</v>
      </c>
      <c r="E24" s="1629" t="s">
        <v>1722</v>
      </c>
      <c r="F24" s="1629" t="s">
        <v>1723</v>
      </c>
      <c r="I24" s="1622"/>
      <c r="J24" s="1620" t="s">
        <v>1721</v>
      </c>
      <c r="K24" s="1621" t="s">
        <v>1722</v>
      </c>
      <c r="L24" s="1621" t="s">
        <v>1723</v>
      </c>
      <c r="N24" s="1622"/>
      <c r="O24" s="1620" t="s">
        <v>1721</v>
      </c>
      <c r="P24" s="1621" t="s">
        <v>1722</v>
      </c>
      <c r="Q24" s="1621"/>
      <c r="R24" s="1621" t="s">
        <v>1723</v>
      </c>
    </row>
    <row r="25" spans="1:23" ht="17.25" thickBot="1">
      <c r="C25" s="1630" t="s">
        <v>130</v>
      </c>
      <c r="D25" s="1631">
        <v>1</v>
      </c>
      <c r="E25" s="1632">
        <v>35000</v>
      </c>
      <c r="F25" s="1632">
        <v>35000</v>
      </c>
      <c r="I25" s="1608" t="s">
        <v>130</v>
      </c>
      <c r="J25" s="1617">
        <v>1</v>
      </c>
      <c r="K25" s="1618">
        <v>35000</v>
      </c>
      <c r="L25" s="1619">
        <v>35000</v>
      </c>
      <c r="N25" s="1608" t="s">
        <v>130</v>
      </c>
      <c r="O25" s="1617">
        <v>1</v>
      </c>
      <c r="P25" s="1618">
        <v>35000</v>
      </c>
      <c r="Q25" s="1950"/>
      <c r="R25" s="1619">
        <v>35000</v>
      </c>
    </row>
    <row r="26" spans="1:23" ht="17.25" thickBot="1">
      <c r="C26" s="1633" t="s">
        <v>1709</v>
      </c>
      <c r="D26" s="1634">
        <v>1</v>
      </c>
      <c r="E26" s="1635">
        <v>30000</v>
      </c>
      <c r="F26" s="1635">
        <v>30000</v>
      </c>
      <c r="I26" s="1609" t="s">
        <v>1709</v>
      </c>
      <c r="J26" s="1610">
        <v>1</v>
      </c>
      <c r="K26" s="1611">
        <v>30000</v>
      </c>
      <c r="L26" s="1612">
        <v>30000</v>
      </c>
      <c r="N26" s="1609" t="s">
        <v>1709</v>
      </c>
      <c r="O26" s="1610">
        <v>1</v>
      </c>
      <c r="P26" s="1611">
        <v>30000</v>
      </c>
      <c r="Q26" s="1952"/>
      <c r="R26" s="1612">
        <v>30000</v>
      </c>
    </row>
    <row r="27" spans="1:23" ht="17.25" thickBot="1">
      <c r="C27" s="1633" t="s">
        <v>1710</v>
      </c>
      <c r="D27" s="1634">
        <v>1</v>
      </c>
      <c r="E27" s="1635">
        <v>20000</v>
      </c>
      <c r="F27" s="1635">
        <v>20000</v>
      </c>
      <c r="I27" s="1609" t="s">
        <v>1710</v>
      </c>
      <c r="J27" s="1610">
        <v>1</v>
      </c>
      <c r="K27" s="1611">
        <v>20000</v>
      </c>
      <c r="L27" s="1612">
        <v>20000</v>
      </c>
      <c r="N27" s="1609" t="s">
        <v>1710</v>
      </c>
      <c r="O27" s="1610">
        <v>1</v>
      </c>
      <c r="P27" s="1611">
        <v>20000</v>
      </c>
      <c r="Q27" s="1952"/>
      <c r="R27" s="1612">
        <v>20000</v>
      </c>
    </row>
    <row r="28" spans="1:23" ht="17.25" thickBot="1">
      <c r="C28" s="1633" t="s">
        <v>1711</v>
      </c>
      <c r="D28" s="1634">
        <v>1</v>
      </c>
      <c r="E28" s="1635">
        <v>15000</v>
      </c>
      <c r="F28" s="1635">
        <v>15000</v>
      </c>
      <c r="I28" s="1609" t="s">
        <v>1711</v>
      </c>
      <c r="J28" s="1610">
        <v>1</v>
      </c>
      <c r="K28" s="1611">
        <v>15000</v>
      </c>
      <c r="L28" s="1612">
        <v>15000</v>
      </c>
      <c r="N28" s="1609" t="s">
        <v>1711</v>
      </c>
      <c r="O28" s="1610">
        <v>1</v>
      </c>
      <c r="P28" s="1611">
        <v>15000</v>
      </c>
      <c r="Q28" s="1952"/>
      <c r="R28" s="1612">
        <v>15000</v>
      </c>
    </row>
    <row r="29" spans="1:23" ht="17.25" thickBot="1">
      <c r="C29" s="1633" t="s">
        <v>1712</v>
      </c>
      <c r="D29" s="1634">
        <v>1</v>
      </c>
      <c r="E29" s="1635">
        <v>15000</v>
      </c>
      <c r="F29" s="1635">
        <v>15000</v>
      </c>
      <c r="I29" s="1609" t="s">
        <v>1712</v>
      </c>
      <c r="J29" s="1610">
        <v>1</v>
      </c>
      <c r="K29" s="1611">
        <v>15000</v>
      </c>
      <c r="L29" s="1612">
        <v>15000</v>
      </c>
      <c r="N29" s="1609" t="s">
        <v>1712</v>
      </c>
      <c r="O29" s="1610">
        <v>1</v>
      </c>
      <c r="P29" s="1611">
        <v>15000</v>
      </c>
      <c r="Q29" s="1952"/>
      <c r="R29" s="1612">
        <v>15000</v>
      </c>
    </row>
    <row r="30" spans="1:23" ht="17.25" thickBot="1">
      <c r="C30" s="1633" t="s">
        <v>1713</v>
      </c>
      <c r="D30" s="1634">
        <v>3</v>
      </c>
      <c r="E30" s="1635">
        <v>10500</v>
      </c>
      <c r="F30" s="1635">
        <v>31500</v>
      </c>
      <c r="I30" s="1609" t="s">
        <v>1713</v>
      </c>
      <c r="J30" s="1610">
        <v>3</v>
      </c>
      <c r="K30" s="1611">
        <v>10500</v>
      </c>
      <c r="L30" s="1612">
        <v>31500</v>
      </c>
      <c r="N30" s="1609" t="s">
        <v>1713</v>
      </c>
      <c r="O30" s="1610">
        <v>3</v>
      </c>
      <c r="P30" s="1611">
        <v>10500</v>
      </c>
      <c r="Q30" s="1952"/>
      <c r="R30" s="1612">
        <v>31500</v>
      </c>
    </row>
    <row r="31" spans="1:23" ht="17.25" thickBot="1">
      <c r="C31" s="1633" t="s">
        <v>1714</v>
      </c>
      <c r="D31" s="1634">
        <v>1</v>
      </c>
      <c r="E31" s="1635">
        <v>10500</v>
      </c>
      <c r="F31" s="1635">
        <v>10500</v>
      </c>
      <c r="I31" s="1609" t="s">
        <v>1714</v>
      </c>
      <c r="J31" s="1610">
        <v>1</v>
      </c>
      <c r="K31" s="1611">
        <v>10500</v>
      </c>
      <c r="L31" s="1612">
        <v>10500</v>
      </c>
      <c r="N31" s="1609" t="s">
        <v>1714</v>
      </c>
      <c r="O31" s="1610">
        <v>1</v>
      </c>
      <c r="P31" s="1611">
        <v>10500</v>
      </c>
      <c r="Q31" s="1952"/>
      <c r="R31" s="1612">
        <v>10500</v>
      </c>
    </row>
    <row r="32" spans="1:23" ht="17.25" thickBot="1">
      <c r="C32" s="1633" t="s">
        <v>1715</v>
      </c>
      <c r="D32" s="1634">
        <v>1</v>
      </c>
      <c r="E32" s="1635">
        <v>10500</v>
      </c>
      <c r="F32" s="1635">
        <v>10500</v>
      </c>
      <c r="I32" s="1609" t="s">
        <v>1715</v>
      </c>
      <c r="J32" s="1610">
        <v>1</v>
      </c>
      <c r="K32" s="1611">
        <v>10500</v>
      </c>
      <c r="L32" s="1612">
        <v>10500</v>
      </c>
      <c r="N32" s="1609" t="s">
        <v>1715</v>
      </c>
      <c r="O32" s="1610">
        <v>1</v>
      </c>
      <c r="P32" s="1611">
        <v>10500</v>
      </c>
      <c r="Q32" s="1952"/>
      <c r="R32" s="1612">
        <v>10500</v>
      </c>
    </row>
    <row r="33" spans="3:18" ht="17.25" thickBot="1">
      <c r="C33" s="1633" t="s">
        <v>1716</v>
      </c>
      <c r="D33" s="1634">
        <v>15</v>
      </c>
      <c r="E33" s="1635">
        <v>6500</v>
      </c>
      <c r="F33" s="1635">
        <v>97500</v>
      </c>
      <c r="I33" s="1609" t="s">
        <v>1716</v>
      </c>
      <c r="J33" s="1610">
        <v>15</v>
      </c>
      <c r="K33" s="1611">
        <v>6500</v>
      </c>
      <c r="L33" s="1612">
        <v>97500</v>
      </c>
      <c r="N33" s="1609" t="s">
        <v>1716</v>
      </c>
      <c r="O33" s="1610">
        <v>15</v>
      </c>
      <c r="P33" s="1611">
        <v>6500</v>
      </c>
      <c r="Q33" s="1952"/>
      <c r="R33" s="1612">
        <v>97500</v>
      </c>
    </row>
    <row r="34" spans="3:18" ht="17.25" thickBot="1">
      <c r="C34" s="1633" t="s">
        <v>1717</v>
      </c>
      <c r="D34" s="1634">
        <v>15</v>
      </c>
      <c r="E34" s="1635">
        <v>6500</v>
      </c>
      <c r="F34" s="1635">
        <v>97500</v>
      </c>
      <c r="I34" s="1609" t="s">
        <v>1717</v>
      </c>
      <c r="J34" s="1610">
        <v>12</v>
      </c>
      <c r="K34" s="1611">
        <v>6500</v>
      </c>
      <c r="L34" s="1612">
        <v>78000</v>
      </c>
      <c r="N34" s="1609" t="s">
        <v>1717</v>
      </c>
      <c r="O34" s="1610">
        <v>12</v>
      </c>
      <c r="P34" s="1611">
        <v>6500</v>
      </c>
      <c r="Q34" s="1952"/>
      <c r="R34" s="1612">
        <v>78000</v>
      </c>
    </row>
    <row r="35" spans="3:18" ht="17.25" thickBot="1">
      <c r="C35" s="1633" t="s">
        <v>1718</v>
      </c>
      <c r="D35" s="1634">
        <v>15</v>
      </c>
      <c r="E35" s="1635">
        <v>6500</v>
      </c>
      <c r="F35" s="1635">
        <v>97500</v>
      </c>
      <c r="I35" s="1609" t="s">
        <v>1718</v>
      </c>
      <c r="J35" s="1610">
        <v>15</v>
      </c>
      <c r="K35" s="1611">
        <v>6500</v>
      </c>
      <c r="L35" s="1612">
        <v>97500</v>
      </c>
      <c r="N35" s="1609" t="s">
        <v>1718</v>
      </c>
      <c r="O35" s="1610">
        <v>15</v>
      </c>
      <c r="P35" s="1611">
        <v>6500</v>
      </c>
      <c r="Q35" s="1952"/>
      <c r="R35" s="1612">
        <v>97500</v>
      </c>
    </row>
    <row r="36" spans="3:18" ht="17.25" thickBot="1">
      <c r="C36" s="1633" t="s">
        <v>1719</v>
      </c>
      <c r="D36" s="1634">
        <v>60</v>
      </c>
      <c r="E36" s="1635">
        <v>6500</v>
      </c>
      <c r="F36" s="1635">
        <v>390000</v>
      </c>
      <c r="I36" s="1613" t="s">
        <v>1719</v>
      </c>
      <c r="J36" s="1614">
        <v>78</v>
      </c>
      <c r="K36" s="1615">
        <v>6500</v>
      </c>
      <c r="L36" s="1616">
        <v>507000</v>
      </c>
      <c r="N36" s="1613" t="s">
        <v>1719</v>
      </c>
      <c r="O36" s="1614">
        <v>78</v>
      </c>
      <c r="P36" s="1615">
        <v>6500</v>
      </c>
      <c r="Q36" s="1953"/>
      <c r="R36" s="1616">
        <v>507000</v>
      </c>
    </row>
    <row r="37" spans="3:18" ht="17.25" thickBot="1">
      <c r="C37" s="1626" t="s">
        <v>1720</v>
      </c>
      <c r="D37" s="1627">
        <f>SUM(D25:D36)</f>
        <v>115</v>
      </c>
      <c r="E37" s="1627"/>
      <c r="F37" s="1628">
        <f>SUM(F25:F36)</f>
        <v>850000</v>
      </c>
      <c r="I37" s="1626" t="s">
        <v>1720</v>
      </c>
      <c r="J37" s="1627">
        <f>SUM(J25:J36)</f>
        <v>130</v>
      </c>
      <c r="K37" s="1627"/>
      <c r="L37" s="1628">
        <f>SUM(L25:L36)</f>
        <v>947500</v>
      </c>
      <c r="N37" s="1626" t="s">
        <v>1720</v>
      </c>
      <c r="O37" s="1627">
        <f>SUM(O25:O36)</f>
        <v>130</v>
      </c>
      <c r="P37" s="1627"/>
      <c r="Q37" s="1627"/>
      <c r="R37" s="1628">
        <f>SUM(R25:R36)</f>
        <v>947500</v>
      </c>
    </row>
    <row r="51" spans="3:10" ht="15.75" thickBot="1"/>
    <row r="52" spans="3:10" ht="27" customHeight="1" thickBot="1">
      <c r="C52" s="3468" t="s">
        <v>2051</v>
      </c>
      <c r="D52" s="3469"/>
      <c r="E52" s="3469"/>
      <c r="F52" s="3469"/>
      <c r="G52" s="3469"/>
      <c r="H52" s="3469"/>
      <c r="I52" s="3469"/>
      <c r="J52" s="3470"/>
    </row>
    <row r="53" spans="3:10" ht="59.25" thickBot="1">
      <c r="C53" s="1927" t="s">
        <v>1960</v>
      </c>
      <c r="D53" s="1928" t="s">
        <v>1961</v>
      </c>
      <c r="E53" s="1928" t="s">
        <v>1962</v>
      </c>
      <c r="F53" s="1928" t="s">
        <v>1963</v>
      </c>
      <c r="G53" s="1929" t="s">
        <v>1964</v>
      </c>
      <c r="H53" s="1928" t="s">
        <v>1965</v>
      </c>
      <c r="I53" s="1928" t="s">
        <v>1966</v>
      </c>
      <c r="J53" s="1928" t="s">
        <v>1967</v>
      </c>
    </row>
    <row r="54" spans="3:10" ht="111.6" customHeight="1">
      <c r="C54" s="3452">
        <v>1</v>
      </c>
      <c r="D54" s="3452" t="s">
        <v>1968</v>
      </c>
      <c r="E54" s="3452" t="s">
        <v>1969</v>
      </c>
      <c r="F54" s="3435" t="s">
        <v>1970</v>
      </c>
      <c r="G54" s="1931" t="s">
        <v>1971</v>
      </c>
      <c r="H54" s="3452" t="s">
        <v>1973</v>
      </c>
      <c r="I54" s="3448">
        <v>10500</v>
      </c>
      <c r="J54" s="3450">
        <v>735000</v>
      </c>
    </row>
    <row r="55" spans="3:10" ht="15.75" thickBot="1">
      <c r="C55" s="3456"/>
      <c r="D55" s="3456"/>
      <c r="E55" s="3453"/>
      <c r="F55" s="3436"/>
      <c r="G55" s="1932" t="s">
        <v>1972</v>
      </c>
      <c r="H55" s="3453"/>
      <c r="I55" s="3449"/>
      <c r="J55" s="3451"/>
    </row>
    <row r="56" spans="3:10" ht="79.900000000000006" customHeight="1">
      <c r="C56" s="3456"/>
      <c r="D56" s="3456"/>
      <c r="E56" s="3452" t="s">
        <v>892</v>
      </c>
      <c r="F56" s="3435" t="s">
        <v>1970</v>
      </c>
      <c r="G56" s="1931" t="s">
        <v>1971</v>
      </c>
      <c r="H56" s="3459" t="s">
        <v>1973</v>
      </c>
      <c r="I56" s="3448">
        <v>10500</v>
      </c>
      <c r="J56" s="3450">
        <v>735000</v>
      </c>
    </row>
    <row r="57" spans="3:10" ht="15.75" thickBot="1">
      <c r="C57" s="3456"/>
      <c r="D57" s="3453"/>
      <c r="E57" s="3453"/>
      <c r="F57" s="3436"/>
      <c r="G57" s="1932" t="s">
        <v>1974</v>
      </c>
      <c r="H57" s="3460"/>
      <c r="I57" s="3449"/>
      <c r="J57" s="3451"/>
    </row>
    <row r="58" spans="3:10" ht="45.6" customHeight="1">
      <c r="C58" s="3456"/>
      <c r="D58" s="3452" t="s">
        <v>1975</v>
      </c>
      <c r="E58" s="3452" t="s">
        <v>1969</v>
      </c>
      <c r="F58" s="3435" t="s">
        <v>1976</v>
      </c>
      <c r="G58" s="1931" t="s">
        <v>1977</v>
      </c>
      <c r="H58" s="1939" t="s">
        <v>1979</v>
      </c>
      <c r="I58" s="3448">
        <v>6500</v>
      </c>
      <c r="J58" s="3450">
        <v>325000</v>
      </c>
    </row>
    <row r="59" spans="3:10" ht="15.75" thickBot="1">
      <c r="C59" s="3456"/>
      <c r="D59" s="3456"/>
      <c r="E59" s="3453"/>
      <c r="F59" s="3436"/>
      <c r="G59" s="1932" t="s">
        <v>1978</v>
      </c>
      <c r="H59" s="1938"/>
      <c r="I59" s="3449"/>
      <c r="J59" s="3451"/>
    </row>
    <row r="60" spans="3:10">
      <c r="C60" s="3456"/>
      <c r="D60" s="3456"/>
      <c r="E60" s="3452" t="s">
        <v>892</v>
      </c>
      <c r="F60" s="3435" t="s">
        <v>1976</v>
      </c>
      <c r="G60" s="1931" t="s">
        <v>1977</v>
      </c>
      <c r="H60" s="1938"/>
      <c r="I60" s="3448">
        <v>6500</v>
      </c>
      <c r="J60" s="3450">
        <v>325000</v>
      </c>
    </row>
    <row r="61" spans="3:10" ht="15.75" thickBot="1">
      <c r="C61" s="3456"/>
      <c r="D61" s="3453"/>
      <c r="E61" s="3453"/>
      <c r="F61" s="3436"/>
      <c r="G61" s="1932" t="s">
        <v>1978</v>
      </c>
      <c r="H61" s="1940"/>
      <c r="I61" s="3449"/>
      <c r="J61" s="3451"/>
    </row>
    <row r="62" spans="3:10" ht="94.9" customHeight="1">
      <c r="C62" s="3456"/>
      <c r="D62" s="3452" t="s">
        <v>1980</v>
      </c>
      <c r="E62" s="3452" t="s">
        <v>1969</v>
      </c>
      <c r="F62" s="3440">
        <v>42278</v>
      </c>
      <c r="G62" s="1931" t="s">
        <v>1976</v>
      </c>
      <c r="H62" s="1980" t="s">
        <v>1982</v>
      </c>
      <c r="I62" s="3448">
        <v>10500</v>
      </c>
      <c r="J62" s="3450">
        <v>262500</v>
      </c>
    </row>
    <row r="63" spans="3:10" ht="15.75" thickBot="1">
      <c r="C63" s="3456"/>
      <c r="D63" s="3456"/>
      <c r="E63" s="3453"/>
      <c r="F63" s="3441"/>
      <c r="G63" s="1932" t="s">
        <v>1981</v>
      </c>
      <c r="H63" s="1981"/>
      <c r="I63" s="3449"/>
      <c r="J63" s="3451"/>
    </row>
    <row r="64" spans="3:10">
      <c r="C64" s="3456"/>
      <c r="D64" s="3456"/>
      <c r="E64" s="3452" t="s">
        <v>892</v>
      </c>
      <c r="F64" s="3437">
        <v>45636</v>
      </c>
      <c r="G64" s="1931" t="s">
        <v>1983</v>
      </c>
      <c r="H64" s="1981"/>
      <c r="I64" s="3448">
        <v>10500</v>
      </c>
      <c r="J64" s="3450">
        <v>231000</v>
      </c>
    </row>
    <row r="65" spans="3:10" ht="15.75" thickBot="1">
      <c r="C65" s="3453"/>
      <c r="D65" s="3453"/>
      <c r="E65" s="3453"/>
      <c r="F65" s="3438"/>
      <c r="G65" s="1932" t="s">
        <v>1984</v>
      </c>
      <c r="H65" s="1982"/>
      <c r="I65" s="3449"/>
      <c r="J65" s="3451"/>
    </row>
    <row r="66" spans="3:10" ht="61.9" customHeight="1">
      <c r="C66" s="3452">
        <v>2</v>
      </c>
      <c r="D66" s="3452" t="s">
        <v>39</v>
      </c>
      <c r="E66" s="3452" t="s">
        <v>1985</v>
      </c>
      <c r="F66" s="3457">
        <v>44105</v>
      </c>
      <c r="G66" s="1930" t="s">
        <v>1986</v>
      </c>
      <c r="H66" s="3452" t="s">
        <v>1988</v>
      </c>
      <c r="I66" s="3448">
        <v>6500</v>
      </c>
      <c r="J66" s="3450">
        <v>195000</v>
      </c>
    </row>
    <row r="67" spans="3:10" ht="15.75" thickBot="1">
      <c r="C67" s="3456"/>
      <c r="D67" s="3456"/>
      <c r="E67" s="3453"/>
      <c r="F67" s="3458"/>
      <c r="G67" s="1934" t="s">
        <v>1987</v>
      </c>
      <c r="H67" s="3453"/>
      <c r="I67" s="3449"/>
      <c r="J67" s="3451"/>
    </row>
    <row r="68" spans="3:10" ht="77.45" customHeight="1">
      <c r="C68" s="3456"/>
      <c r="D68" s="3456"/>
      <c r="E68" s="3452" t="s">
        <v>1989</v>
      </c>
      <c r="F68" s="3457">
        <v>44105</v>
      </c>
      <c r="G68" s="1930" t="s">
        <v>1986</v>
      </c>
      <c r="H68" s="3452" t="s">
        <v>1990</v>
      </c>
      <c r="I68" s="3448">
        <v>6500</v>
      </c>
      <c r="J68" s="3450">
        <v>195000</v>
      </c>
    </row>
    <row r="69" spans="3:10" ht="15.75" thickBot="1">
      <c r="C69" s="3453"/>
      <c r="D69" s="3453"/>
      <c r="E69" s="3453"/>
      <c r="F69" s="3458"/>
      <c r="G69" s="1934" t="s">
        <v>1987</v>
      </c>
      <c r="H69" s="3453"/>
      <c r="I69" s="3449"/>
      <c r="J69" s="3451"/>
    </row>
    <row r="70" spans="3:10" ht="30" customHeight="1">
      <c r="C70" s="3452">
        <v>3</v>
      </c>
      <c r="D70" s="3452" t="s">
        <v>1991</v>
      </c>
      <c r="E70" s="3452" t="s">
        <v>1969</v>
      </c>
      <c r="F70" s="3454">
        <v>45572</v>
      </c>
      <c r="G70" s="1930" t="s">
        <v>1992</v>
      </c>
      <c r="H70" s="1939" t="s">
        <v>1994</v>
      </c>
      <c r="I70" s="3448">
        <v>6500</v>
      </c>
      <c r="J70" s="3450">
        <v>110500</v>
      </c>
    </row>
    <row r="71" spans="3:10" ht="15.75" thickBot="1">
      <c r="C71" s="3456"/>
      <c r="D71" s="3456"/>
      <c r="E71" s="3453"/>
      <c r="F71" s="3455"/>
      <c r="G71" s="1934" t="s">
        <v>1993</v>
      </c>
      <c r="H71" s="1938"/>
      <c r="I71" s="3449"/>
      <c r="J71" s="3451"/>
    </row>
    <row r="72" spans="3:10">
      <c r="C72" s="3456"/>
      <c r="D72" s="3456"/>
      <c r="E72" s="3452" t="s">
        <v>892</v>
      </c>
      <c r="F72" s="3454">
        <v>45572</v>
      </c>
      <c r="G72" s="1930" t="s">
        <v>1992</v>
      </c>
      <c r="H72" s="1939"/>
      <c r="I72" s="3448">
        <v>6500</v>
      </c>
      <c r="J72" s="3450">
        <v>110500</v>
      </c>
    </row>
    <row r="73" spans="3:10" ht="15.75" thickBot="1">
      <c r="C73" s="3453"/>
      <c r="D73" s="3453"/>
      <c r="E73" s="3453"/>
      <c r="F73" s="3455"/>
      <c r="G73" s="1934" t="s">
        <v>1993</v>
      </c>
      <c r="H73" s="1940"/>
      <c r="I73" s="3449"/>
      <c r="J73" s="3451"/>
    </row>
    <row r="74" spans="3:10" ht="42" thickBot="1">
      <c r="C74" s="1935">
        <v>4</v>
      </c>
      <c r="D74" s="1934" t="s">
        <v>1995</v>
      </c>
      <c r="E74" s="1934" t="s">
        <v>1996</v>
      </c>
      <c r="F74" s="3444" t="s">
        <v>1997</v>
      </c>
      <c r="G74" s="3445"/>
      <c r="H74" s="1934" t="s">
        <v>1998</v>
      </c>
      <c r="I74" s="1936">
        <v>6500</v>
      </c>
      <c r="J74" s="1937">
        <v>130000</v>
      </c>
    </row>
    <row r="75" spans="3:10" ht="28.5" thickBot="1">
      <c r="C75" s="1935">
        <v>5</v>
      </c>
      <c r="D75" s="1934" t="s">
        <v>1999</v>
      </c>
      <c r="E75" s="1934" t="s">
        <v>2000</v>
      </c>
      <c r="F75" s="3444" t="s">
        <v>1997</v>
      </c>
      <c r="G75" s="3445"/>
      <c r="H75" s="1934" t="s">
        <v>2001</v>
      </c>
      <c r="I75" s="1936">
        <v>6500</v>
      </c>
      <c r="J75" s="1937">
        <v>130000</v>
      </c>
    </row>
    <row r="76" spans="3:10" ht="28.5" thickBot="1">
      <c r="C76" s="1935">
        <v>6</v>
      </c>
      <c r="D76" s="1934" t="s">
        <v>1674</v>
      </c>
      <c r="E76" s="1934" t="s">
        <v>2002</v>
      </c>
      <c r="F76" s="3444" t="s">
        <v>1997</v>
      </c>
      <c r="G76" s="3445"/>
      <c r="H76" s="1934" t="s">
        <v>2003</v>
      </c>
      <c r="I76" s="1936">
        <v>3600</v>
      </c>
      <c r="J76" s="1936">
        <v>72000</v>
      </c>
    </row>
    <row r="77" spans="3:10" ht="28.5" thickBot="1">
      <c r="C77" s="1935">
        <v>7</v>
      </c>
      <c r="D77" s="1934" t="s">
        <v>2004</v>
      </c>
      <c r="E77" s="1934" t="s">
        <v>2002</v>
      </c>
      <c r="F77" s="3444" t="s">
        <v>1997</v>
      </c>
      <c r="G77" s="3445"/>
      <c r="H77" s="1934" t="s">
        <v>2003</v>
      </c>
      <c r="I77" s="1936">
        <v>3600</v>
      </c>
      <c r="J77" s="1936">
        <v>72000</v>
      </c>
    </row>
    <row r="78" spans="3:10" ht="15.75" thickBot="1">
      <c r="C78" s="1977"/>
      <c r="D78" s="1978" t="s">
        <v>71</v>
      </c>
      <c r="E78" s="1978"/>
      <c r="F78" s="3446">
        <v>441</v>
      </c>
      <c r="G78" s="3447"/>
      <c r="H78" s="1978"/>
      <c r="I78" s="1978"/>
      <c r="J78" s="1979">
        <v>3518000</v>
      </c>
    </row>
    <row r="79" spans="3:10" ht="15.75" thickBot="1"/>
    <row r="80" spans="3:10" ht="19.5" thickBot="1">
      <c r="C80" s="1983"/>
      <c r="D80" s="1984"/>
      <c r="E80" s="1984"/>
      <c r="F80" s="1984"/>
      <c r="G80" s="1984" t="s">
        <v>2050</v>
      </c>
      <c r="H80" s="1984"/>
      <c r="I80" s="1984"/>
      <c r="J80" s="1985"/>
    </row>
    <row r="81" spans="3:10" ht="77.45" customHeight="1">
      <c r="C81" s="1941" t="s">
        <v>1960</v>
      </c>
      <c r="D81" s="3442" t="s">
        <v>1961</v>
      </c>
      <c r="E81" s="3442" t="s">
        <v>1962</v>
      </c>
      <c r="F81" s="3442" t="s">
        <v>1963</v>
      </c>
      <c r="G81" s="3442" t="s">
        <v>1964</v>
      </c>
      <c r="H81" s="3442" t="s">
        <v>1965</v>
      </c>
      <c r="I81" s="3442" t="s">
        <v>2005</v>
      </c>
      <c r="J81" s="3442" t="s">
        <v>2006</v>
      </c>
    </row>
    <row r="82" spans="3:10" ht="15.75" thickBot="1">
      <c r="C82" s="1942"/>
      <c r="D82" s="3443"/>
      <c r="E82" s="3443"/>
      <c r="F82" s="3443"/>
      <c r="G82" s="3443"/>
      <c r="H82" s="3443"/>
      <c r="I82" s="3443"/>
      <c r="J82" s="3443"/>
    </row>
    <row r="83" spans="3:10" ht="79.900000000000006" customHeight="1">
      <c r="C83" s="3435">
        <v>1</v>
      </c>
      <c r="D83" s="3435" t="s">
        <v>1968</v>
      </c>
      <c r="E83" s="3435" t="s">
        <v>1969</v>
      </c>
      <c r="F83" s="3435" t="s">
        <v>1970</v>
      </c>
      <c r="G83" s="1931" t="s">
        <v>1971</v>
      </c>
      <c r="H83" s="3435" t="s">
        <v>1973</v>
      </c>
      <c r="I83" s="3431">
        <v>10500</v>
      </c>
      <c r="J83" s="3433">
        <v>735000</v>
      </c>
    </row>
    <row r="84" spans="3:10" ht="15.75" thickBot="1">
      <c r="C84" s="3439"/>
      <c r="D84" s="3439"/>
      <c r="E84" s="3436"/>
      <c r="F84" s="3436"/>
      <c r="G84" s="1932" t="s">
        <v>2007</v>
      </c>
      <c r="H84" s="3436"/>
      <c r="I84" s="3432"/>
      <c r="J84" s="3434"/>
    </row>
    <row r="85" spans="3:10">
      <c r="C85" s="3439"/>
      <c r="D85" s="3439"/>
      <c r="E85" s="3435" t="s">
        <v>2008</v>
      </c>
      <c r="F85" s="3435" t="s">
        <v>1970</v>
      </c>
      <c r="G85" s="1931" t="s">
        <v>1971</v>
      </c>
      <c r="H85" s="3435" t="s">
        <v>2009</v>
      </c>
      <c r="I85" s="3431">
        <v>10500</v>
      </c>
      <c r="J85" s="3433">
        <v>735000</v>
      </c>
    </row>
    <row r="86" spans="3:10" ht="15.75" thickBot="1">
      <c r="C86" s="3439"/>
      <c r="D86" s="3436"/>
      <c r="E86" s="3436"/>
      <c r="F86" s="3436"/>
      <c r="G86" s="1932" t="s">
        <v>2007</v>
      </c>
      <c r="H86" s="3436"/>
      <c r="I86" s="3432"/>
      <c r="J86" s="3434"/>
    </row>
    <row r="87" spans="3:10">
      <c r="C87" s="3439"/>
      <c r="D87" s="3435"/>
      <c r="E87" s="3435" t="s">
        <v>935</v>
      </c>
      <c r="F87" s="3435" t="s">
        <v>1970</v>
      </c>
      <c r="G87" s="1931" t="s">
        <v>1971</v>
      </c>
      <c r="H87" s="3435"/>
      <c r="I87" s="3431">
        <v>10500</v>
      </c>
      <c r="J87" s="3433">
        <v>735000</v>
      </c>
    </row>
    <row r="88" spans="3:10" ht="15.75" thickBot="1">
      <c r="C88" s="3439"/>
      <c r="D88" s="3436"/>
      <c r="E88" s="3436"/>
      <c r="F88" s="3436"/>
      <c r="G88" s="1932" t="s">
        <v>2007</v>
      </c>
      <c r="H88" s="3436"/>
      <c r="I88" s="3432"/>
      <c r="J88" s="3434"/>
    </row>
    <row r="89" spans="3:10">
      <c r="C89" s="3439"/>
      <c r="D89" s="3435" t="s">
        <v>1975</v>
      </c>
      <c r="E89" s="3435" t="s">
        <v>1969</v>
      </c>
      <c r="F89" s="3435" t="s">
        <v>1976</v>
      </c>
      <c r="G89" s="1931" t="s">
        <v>1977</v>
      </c>
      <c r="H89" s="3435" t="s">
        <v>1979</v>
      </c>
      <c r="I89" s="3431">
        <v>6500</v>
      </c>
      <c r="J89" s="3433">
        <v>325000</v>
      </c>
    </row>
    <row r="90" spans="3:10" ht="15.75" thickBot="1">
      <c r="C90" s="3439"/>
      <c r="D90" s="3439"/>
      <c r="E90" s="3436"/>
      <c r="F90" s="3436"/>
      <c r="G90" s="1932" t="s">
        <v>2010</v>
      </c>
      <c r="H90" s="3439"/>
      <c r="I90" s="3432"/>
      <c r="J90" s="3434"/>
    </row>
    <row r="91" spans="3:10">
      <c r="C91" s="3439"/>
      <c r="D91" s="3439"/>
      <c r="E91" s="3435" t="s">
        <v>2008</v>
      </c>
      <c r="F91" s="3435" t="s">
        <v>1976</v>
      </c>
      <c r="G91" s="1931" t="s">
        <v>1977</v>
      </c>
      <c r="H91" s="3439"/>
      <c r="I91" s="3431">
        <v>6500</v>
      </c>
      <c r="J91" s="3433">
        <v>325000</v>
      </c>
    </row>
    <row r="92" spans="3:10" ht="15.75" thickBot="1">
      <c r="C92" s="3439"/>
      <c r="D92" s="3439"/>
      <c r="E92" s="3436"/>
      <c r="F92" s="3436"/>
      <c r="G92" s="1932" t="s">
        <v>2010</v>
      </c>
      <c r="H92" s="3439"/>
      <c r="I92" s="3432"/>
      <c r="J92" s="3434"/>
    </row>
    <row r="93" spans="3:10">
      <c r="C93" s="3439"/>
      <c r="D93" s="3439"/>
      <c r="E93" s="3435" t="s">
        <v>935</v>
      </c>
      <c r="F93" s="3435" t="s">
        <v>1976</v>
      </c>
      <c r="G93" s="1931" t="s">
        <v>1977</v>
      </c>
      <c r="H93" s="3439"/>
      <c r="I93" s="3431">
        <v>6500</v>
      </c>
      <c r="J93" s="3433">
        <v>325000</v>
      </c>
    </row>
    <row r="94" spans="3:10" ht="15.75" thickBot="1">
      <c r="C94" s="3439"/>
      <c r="D94" s="3436"/>
      <c r="E94" s="3436"/>
      <c r="F94" s="3436"/>
      <c r="G94" s="1932" t="s">
        <v>2010</v>
      </c>
      <c r="H94" s="3436"/>
      <c r="I94" s="3432"/>
      <c r="J94" s="3434"/>
    </row>
    <row r="95" spans="3:10">
      <c r="C95" s="3439"/>
      <c r="D95" s="3435" t="s">
        <v>1980</v>
      </c>
      <c r="E95" s="3435" t="s">
        <v>1969</v>
      </c>
      <c r="F95" s="3440">
        <v>42278</v>
      </c>
      <c r="G95" s="1931" t="s">
        <v>1976</v>
      </c>
      <c r="H95" s="3435" t="s">
        <v>1982</v>
      </c>
      <c r="I95" s="3431">
        <v>10500</v>
      </c>
      <c r="J95" s="3433">
        <v>262500</v>
      </c>
    </row>
    <row r="96" spans="3:10" ht="15.75" thickBot="1">
      <c r="C96" s="3439"/>
      <c r="D96" s="3439"/>
      <c r="E96" s="3436"/>
      <c r="F96" s="3441"/>
      <c r="G96" s="1932" t="s">
        <v>1981</v>
      </c>
      <c r="H96" s="3439"/>
      <c r="I96" s="3432"/>
      <c r="J96" s="3434"/>
    </row>
    <row r="97" spans="3:10">
      <c r="C97" s="3439"/>
      <c r="D97" s="3439"/>
      <c r="E97" s="3435" t="s">
        <v>2008</v>
      </c>
      <c r="F97" s="3437">
        <v>45636</v>
      </c>
      <c r="G97" s="1931" t="s">
        <v>1983</v>
      </c>
      <c r="H97" s="3439"/>
      <c r="I97" s="3431">
        <v>10500</v>
      </c>
      <c r="J97" s="3433">
        <v>231000</v>
      </c>
    </row>
    <row r="98" spans="3:10" ht="15.75" thickBot="1">
      <c r="C98" s="3439"/>
      <c r="D98" s="3439"/>
      <c r="E98" s="3436"/>
      <c r="F98" s="3438"/>
      <c r="G98" s="1932" t="s">
        <v>1984</v>
      </c>
      <c r="H98" s="3439"/>
      <c r="I98" s="3432"/>
      <c r="J98" s="3434"/>
    </row>
    <row r="99" spans="3:10">
      <c r="C99" s="3439"/>
      <c r="D99" s="3439"/>
      <c r="E99" s="3435" t="s">
        <v>2011</v>
      </c>
      <c r="F99" s="3435" t="s">
        <v>2012</v>
      </c>
      <c r="G99" s="1931" t="s">
        <v>2013</v>
      </c>
      <c r="H99" s="3439"/>
      <c r="I99" s="3431">
        <v>6500</v>
      </c>
      <c r="J99" s="3433">
        <v>195000</v>
      </c>
    </row>
    <row r="100" spans="3:10" ht="15.75" thickBot="1">
      <c r="C100" s="3436"/>
      <c r="D100" s="3436"/>
      <c r="E100" s="3436"/>
      <c r="F100" s="3436"/>
      <c r="G100" s="1932" t="s">
        <v>1987</v>
      </c>
      <c r="H100" s="3436"/>
      <c r="I100" s="3432"/>
      <c r="J100" s="3434"/>
    </row>
    <row r="101" spans="3:10" ht="30.6" customHeight="1">
      <c r="C101" s="3435">
        <v>2</v>
      </c>
      <c r="D101" s="3435" t="s">
        <v>39</v>
      </c>
      <c r="E101" s="3435" t="s">
        <v>1985</v>
      </c>
      <c r="F101" s="3435" t="s">
        <v>1976</v>
      </c>
      <c r="G101" s="1931" t="s">
        <v>1977</v>
      </c>
      <c r="H101" s="3435" t="s">
        <v>1988</v>
      </c>
      <c r="I101" s="3431">
        <v>6500</v>
      </c>
      <c r="J101" s="3433">
        <v>325000</v>
      </c>
    </row>
    <row r="102" spans="3:10" ht="15.75" thickBot="1">
      <c r="C102" s="3439"/>
      <c r="D102" s="3439"/>
      <c r="E102" s="3436"/>
      <c r="F102" s="3436"/>
      <c r="G102" s="1932" t="s">
        <v>2010</v>
      </c>
      <c r="H102" s="3436"/>
      <c r="I102" s="3432"/>
      <c r="J102" s="3434"/>
    </row>
    <row r="103" spans="3:10" ht="46.15" customHeight="1">
      <c r="C103" s="3439"/>
      <c r="D103" s="3439"/>
      <c r="E103" s="3435" t="s">
        <v>1989</v>
      </c>
      <c r="F103" s="3435" t="s">
        <v>1976</v>
      </c>
      <c r="G103" s="1931" t="s">
        <v>1977</v>
      </c>
      <c r="H103" s="3435" t="s">
        <v>1990</v>
      </c>
      <c r="I103" s="3431">
        <v>6500</v>
      </c>
      <c r="J103" s="3433">
        <v>325000</v>
      </c>
    </row>
    <row r="104" spans="3:10" ht="15.75" thickBot="1">
      <c r="C104" s="3436"/>
      <c r="D104" s="3436"/>
      <c r="E104" s="3436"/>
      <c r="F104" s="3436"/>
      <c r="G104" s="1932" t="s">
        <v>2010</v>
      </c>
      <c r="H104" s="3436"/>
      <c r="I104" s="3432"/>
      <c r="J104" s="3434"/>
    </row>
    <row r="105" spans="3:10">
      <c r="C105" s="3435">
        <v>3</v>
      </c>
      <c r="D105" s="3435" t="s">
        <v>1991</v>
      </c>
      <c r="E105" s="3435" t="s">
        <v>1969</v>
      </c>
      <c r="F105" s="3437">
        <v>45573</v>
      </c>
      <c r="G105" s="1931" t="s">
        <v>2014</v>
      </c>
      <c r="H105" s="3435" t="s">
        <v>1994</v>
      </c>
      <c r="I105" s="3431">
        <v>6500</v>
      </c>
      <c r="J105" s="3433">
        <v>117000</v>
      </c>
    </row>
    <row r="106" spans="3:10" ht="15.75" thickBot="1">
      <c r="C106" s="3439"/>
      <c r="D106" s="3439"/>
      <c r="E106" s="3436"/>
      <c r="F106" s="3438"/>
      <c r="G106" s="1932" t="s">
        <v>2015</v>
      </c>
      <c r="H106" s="3439"/>
      <c r="I106" s="3432"/>
      <c r="J106" s="3434"/>
    </row>
    <row r="107" spans="3:10">
      <c r="C107" s="3439"/>
      <c r="D107" s="3439"/>
      <c r="E107" s="3435" t="s">
        <v>2008</v>
      </c>
      <c r="F107" s="3437">
        <v>45509</v>
      </c>
      <c r="G107" s="1933">
        <v>42644</v>
      </c>
      <c r="H107" s="3439"/>
      <c r="I107" s="3431">
        <v>6500</v>
      </c>
      <c r="J107" s="3433">
        <v>84500</v>
      </c>
    </row>
    <row r="108" spans="3:10" ht="15.75" thickBot="1">
      <c r="C108" s="3436"/>
      <c r="D108" s="3436"/>
      <c r="E108" s="3436"/>
      <c r="F108" s="3438"/>
      <c r="G108" s="1932" t="s">
        <v>2016</v>
      </c>
      <c r="H108" s="3436"/>
      <c r="I108" s="3432"/>
      <c r="J108" s="3434"/>
    </row>
    <row r="109" spans="3:10">
      <c r="C109" s="3435"/>
      <c r="D109" s="3435"/>
      <c r="E109" s="3435" t="s">
        <v>935</v>
      </c>
      <c r="F109" s="3437">
        <v>45573</v>
      </c>
      <c r="G109" s="1931" t="s">
        <v>2014</v>
      </c>
      <c r="H109" s="3435"/>
      <c r="I109" s="3431">
        <v>6500</v>
      </c>
      <c r="J109" s="3433">
        <v>117000</v>
      </c>
    </row>
    <row r="110" spans="3:10" ht="15.75" thickBot="1">
      <c r="C110" s="3436"/>
      <c r="D110" s="3436"/>
      <c r="E110" s="3436"/>
      <c r="F110" s="3438"/>
      <c r="G110" s="1932" t="s">
        <v>2015</v>
      </c>
      <c r="H110" s="3436"/>
      <c r="I110" s="3432"/>
      <c r="J110" s="3434"/>
    </row>
    <row r="111" spans="3:10" ht="42" thickBot="1">
      <c r="C111" s="1944">
        <v>4</v>
      </c>
      <c r="D111" s="1932" t="s">
        <v>1995</v>
      </c>
      <c r="E111" s="1932" t="s">
        <v>1996</v>
      </c>
      <c r="F111" s="3427" t="s">
        <v>2017</v>
      </c>
      <c r="G111" s="3428"/>
      <c r="H111" s="1932" t="s">
        <v>1998</v>
      </c>
      <c r="I111" s="1945">
        <v>6500</v>
      </c>
      <c r="J111" s="1946">
        <v>97500</v>
      </c>
    </row>
    <row r="112" spans="3:10" ht="28.5" thickBot="1">
      <c r="C112" s="1944">
        <v>5</v>
      </c>
      <c r="D112" s="1932" t="s">
        <v>1999</v>
      </c>
      <c r="E112" s="1932" t="s">
        <v>2000</v>
      </c>
      <c r="F112" s="3427" t="s">
        <v>2018</v>
      </c>
      <c r="G112" s="3428"/>
      <c r="H112" s="1932" t="s">
        <v>2001</v>
      </c>
      <c r="I112" s="1945">
        <v>6500</v>
      </c>
      <c r="J112" s="1946">
        <v>162500</v>
      </c>
    </row>
    <row r="113" spans="3:18" ht="28.5" thickBot="1">
      <c r="C113" s="1944">
        <v>6</v>
      </c>
      <c r="D113" s="1932" t="s">
        <v>1674</v>
      </c>
      <c r="E113" s="1932" t="s">
        <v>2002</v>
      </c>
      <c r="F113" s="3427" t="s">
        <v>2019</v>
      </c>
      <c r="G113" s="3428"/>
      <c r="H113" s="1932" t="s">
        <v>2003</v>
      </c>
      <c r="I113" s="1945">
        <v>3600</v>
      </c>
      <c r="J113" s="1946" t="s">
        <v>2020</v>
      </c>
    </row>
    <row r="114" spans="3:18" ht="28.5" thickBot="1">
      <c r="C114" s="1944">
        <v>7</v>
      </c>
      <c r="D114" s="1932" t="s">
        <v>2021</v>
      </c>
      <c r="E114" s="1932" t="s">
        <v>2002</v>
      </c>
      <c r="F114" s="3427" t="s">
        <v>2022</v>
      </c>
      <c r="G114" s="3428"/>
      <c r="H114" s="1932" t="s">
        <v>2003</v>
      </c>
      <c r="I114" s="1945">
        <v>3600</v>
      </c>
      <c r="J114" s="1945">
        <v>108000</v>
      </c>
    </row>
    <row r="115" spans="3:18" ht="15.75" thickBot="1">
      <c r="C115" s="1986"/>
      <c r="D115" s="1987" t="s">
        <v>71</v>
      </c>
      <c r="E115" s="1987"/>
      <c r="F115" s="3429">
        <v>656</v>
      </c>
      <c r="G115" s="3430"/>
      <c r="H115" s="1987"/>
      <c r="I115" s="1987"/>
      <c r="J115" s="1988">
        <v>5313000</v>
      </c>
    </row>
    <row r="117" spans="3:18" ht="15.75" thickBot="1"/>
    <row r="118" spans="3:18" ht="28.5" thickBot="1">
      <c r="D118" s="1927" t="s">
        <v>2023</v>
      </c>
      <c r="E118" s="1947" t="s">
        <v>2024</v>
      </c>
      <c r="F118" s="1947" t="s">
        <v>2025</v>
      </c>
      <c r="G118" s="1947" t="s">
        <v>2026</v>
      </c>
    </row>
    <row r="119" spans="3:18" ht="28.5" thickBot="1">
      <c r="D119" s="1935" t="s">
        <v>130</v>
      </c>
      <c r="E119" s="1932">
        <v>1</v>
      </c>
      <c r="F119" s="1945">
        <v>35000</v>
      </c>
      <c r="G119" s="1945">
        <v>35000</v>
      </c>
    </row>
    <row r="120" spans="3:18" ht="28.5" thickBot="1">
      <c r="D120" s="1935" t="s">
        <v>1709</v>
      </c>
      <c r="E120" s="1932">
        <v>1</v>
      </c>
      <c r="F120" s="1945">
        <v>30000</v>
      </c>
      <c r="G120" s="1945">
        <v>30000</v>
      </c>
    </row>
    <row r="121" spans="3:18" ht="28.5" thickBot="1">
      <c r="D121" s="1935" t="s">
        <v>2027</v>
      </c>
      <c r="E121" s="1932">
        <v>1</v>
      </c>
      <c r="F121" s="1945">
        <v>15000</v>
      </c>
      <c r="G121" s="1945">
        <v>15000</v>
      </c>
    </row>
    <row r="122" spans="3:18" ht="28.5" thickBot="1">
      <c r="D122" s="1935" t="s">
        <v>2028</v>
      </c>
      <c r="E122" s="1932">
        <v>1</v>
      </c>
      <c r="F122" s="1945">
        <v>15000</v>
      </c>
      <c r="G122" s="1945">
        <v>15000</v>
      </c>
    </row>
    <row r="123" spans="3:18" ht="28.5" thickBot="1">
      <c r="D123" s="1935" t="s">
        <v>2029</v>
      </c>
      <c r="E123" s="1932">
        <v>3</v>
      </c>
      <c r="F123" s="1945">
        <v>10500</v>
      </c>
      <c r="G123" s="1945">
        <v>31500</v>
      </c>
      <c r="H123" t="s">
        <v>867</v>
      </c>
      <c r="I123" s="979">
        <f>J115+G125</f>
        <v>5450000</v>
      </c>
    </row>
    <row r="124" spans="3:18" ht="42" thickBot="1">
      <c r="D124" s="1935" t="s">
        <v>2030</v>
      </c>
      <c r="E124" s="1932">
        <v>1</v>
      </c>
      <c r="F124" s="1945">
        <v>10500</v>
      </c>
      <c r="G124" s="1945">
        <v>10500</v>
      </c>
      <c r="H124" t="s">
        <v>863</v>
      </c>
      <c r="I124" s="979">
        <f>J78</f>
        <v>3518000</v>
      </c>
      <c r="L124" s="311">
        <v>1500000</v>
      </c>
      <c r="M124" s="311">
        <v>1500000</v>
      </c>
      <c r="N124" s="311">
        <v>1750000</v>
      </c>
      <c r="O124" s="311">
        <f>3500000/3</f>
        <v>1166666.6666666667</v>
      </c>
      <c r="R124" s="923">
        <f>3500000/3</f>
        <v>1166666.6666666667</v>
      </c>
    </row>
    <row r="125" spans="3:18" ht="15.75" thickBot="1">
      <c r="D125" s="1948" t="s">
        <v>71</v>
      </c>
      <c r="E125" s="1943">
        <v>8</v>
      </c>
      <c r="F125" s="1943"/>
      <c r="G125" s="1949">
        <v>137000</v>
      </c>
      <c r="I125" s="979">
        <f>SUM(I123:I124)</f>
        <v>8968000</v>
      </c>
      <c r="L125" s="311">
        <v>1000000</v>
      </c>
      <c r="M125" s="311">
        <v>1500000</v>
      </c>
      <c r="N125" s="311">
        <v>1750000</v>
      </c>
      <c r="O125" s="311">
        <f>3500000/3</f>
        <v>1166666.6666666667</v>
      </c>
    </row>
    <row r="126" spans="3:18" ht="15.75" thickBot="1">
      <c r="L126" s="452">
        <f>SUM(L124:L125)</f>
        <v>2500000</v>
      </c>
      <c r="M126" s="983">
        <f>SUM(M124:M125)</f>
        <v>3000000</v>
      </c>
      <c r="N126" s="983">
        <f>SUM(N124:N125)</f>
        <v>3500000</v>
      </c>
      <c r="O126" s="311">
        <f>3500000/3</f>
        <v>1166666.6666666667</v>
      </c>
    </row>
    <row r="127" spans="3:18" ht="15.75" thickBot="1">
      <c r="O127" s="985">
        <f>SUM(O124:O126)</f>
        <v>3500000</v>
      </c>
    </row>
    <row r="128" spans="3:18" ht="15.75" thickTop="1"/>
    <row r="134" spans="6:21">
      <c r="F134" s="987" t="s">
        <v>1913</v>
      </c>
      <c r="G134" s="987" t="s">
        <v>1914</v>
      </c>
      <c r="I134" s="987" t="s">
        <v>1917</v>
      </c>
      <c r="J134" s="987" t="s">
        <v>1914</v>
      </c>
      <c r="L134" s="1881" t="s">
        <v>1917</v>
      </c>
      <c r="M134" s="1881" t="s">
        <v>1918</v>
      </c>
      <c r="O134" s="1881" t="s">
        <v>1919</v>
      </c>
      <c r="P134" s="1881" t="s">
        <v>1920</v>
      </c>
      <c r="Q134" s="1881"/>
      <c r="S134" s="1883" t="s">
        <v>1921</v>
      </c>
      <c r="T134" s="1883" t="s">
        <v>1922</v>
      </c>
      <c r="U134" s="1883" t="s">
        <v>1923</v>
      </c>
    </row>
    <row r="135" spans="6:21">
      <c r="F135" s="1880">
        <f>I123*0.5</f>
        <v>2725000</v>
      </c>
      <c r="G135" s="1880">
        <f>I123*0.5</f>
        <v>2725000</v>
      </c>
      <c r="H135" s="413">
        <f>SUM(F135:G135)</f>
        <v>5450000</v>
      </c>
      <c r="I135" s="413">
        <f>(L124/L126)*I123</f>
        <v>3270000</v>
      </c>
      <c r="J135" s="413">
        <f>(L125/L126)*I123</f>
        <v>2180000</v>
      </c>
      <c r="K135" s="413">
        <f>SUM(I135:J135)</f>
        <v>5450000</v>
      </c>
      <c r="L135" s="311">
        <f>(N124/N126)*I123</f>
        <v>2725000</v>
      </c>
      <c r="M135" s="413">
        <f>(N124/N126)*I123</f>
        <v>2725000</v>
      </c>
      <c r="O135" s="413">
        <f>0.5*I123</f>
        <v>2725000</v>
      </c>
      <c r="P135" s="413">
        <f>0.5*I123</f>
        <v>2725000</v>
      </c>
      <c r="Q135" s="413"/>
      <c r="S135" s="413">
        <f>(O124/O127)*I123</f>
        <v>1816666.666666667</v>
      </c>
      <c r="T135" s="413">
        <f>(O125/O127)*I123</f>
        <v>1816666.666666667</v>
      </c>
      <c r="U135" s="413">
        <f>(O126/O127)*I123</f>
        <v>1816666.666666667</v>
      </c>
    </row>
    <row r="136" spans="6:21">
      <c r="F136" s="1879"/>
      <c r="G136" s="1879"/>
      <c r="H136" s="413">
        <f>SUM(F136:G136)</f>
        <v>0</v>
      </c>
      <c r="I136" s="1879">
        <f>0.7*C125</f>
        <v>0</v>
      </c>
      <c r="J136" s="1879">
        <f>0.3*C125</f>
        <v>0</v>
      </c>
      <c r="K136" s="413">
        <f>SUM(I136:J136)</f>
        <v>0</v>
      </c>
      <c r="L136" s="311">
        <f>C127*0.6</f>
        <v>0</v>
      </c>
      <c r="M136" s="311">
        <f>0.4*C127</f>
        <v>0</v>
      </c>
      <c r="O136" s="413">
        <f>C129</f>
        <v>0</v>
      </c>
      <c r="P136" s="413">
        <f>E129</f>
        <v>0</v>
      </c>
      <c r="Q136" s="413"/>
      <c r="S136" s="311"/>
      <c r="T136" s="311"/>
      <c r="U136" s="311"/>
    </row>
    <row r="137" spans="6:21" ht="15.75" thickBot="1">
      <c r="F137" s="1891">
        <f>F135-F136</f>
        <v>2725000</v>
      </c>
      <c r="G137" s="1891">
        <f>G135-G136</f>
        <v>2725000</v>
      </c>
      <c r="H137" s="1891">
        <f>SUM(F137:G137)</f>
        <v>5450000</v>
      </c>
      <c r="I137" s="452">
        <f>I135-I136</f>
        <v>3270000</v>
      </c>
      <c r="J137" s="452">
        <f>J135-J136</f>
        <v>2180000</v>
      </c>
      <c r="K137" s="413">
        <f>SUM(I137:J137)</f>
        <v>5450000</v>
      </c>
      <c r="L137" s="452">
        <f>L135-L136</f>
        <v>2725000</v>
      </c>
      <c r="M137" s="452">
        <f>M135-M136</f>
        <v>2725000</v>
      </c>
      <c r="O137" s="1884">
        <f>O135-O136</f>
        <v>2725000</v>
      </c>
      <c r="P137" s="1884">
        <f>P135-P136</f>
        <v>2725000</v>
      </c>
      <c r="Q137" s="442"/>
      <c r="S137" s="1884">
        <f>S135-S136</f>
        <v>1816666.666666667</v>
      </c>
      <c r="T137" s="1884">
        <f>T135-T136</f>
        <v>1816666.666666667</v>
      </c>
      <c r="U137" s="1884">
        <f>U135-U136</f>
        <v>1816666.666666667</v>
      </c>
    </row>
    <row r="142" spans="6:21">
      <c r="F142" s="987" t="s">
        <v>1058</v>
      </c>
      <c r="G142" s="987" t="s">
        <v>1058</v>
      </c>
      <c r="H142" s="987" t="s">
        <v>1058</v>
      </c>
    </row>
    <row r="143" spans="6:21">
      <c r="F143" s="1881" t="s">
        <v>1925</v>
      </c>
      <c r="G143" s="1881" t="s">
        <v>1926</v>
      </c>
      <c r="H143" s="1881" t="s">
        <v>1927</v>
      </c>
    </row>
    <row r="144" spans="6:21">
      <c r="F144" s="1954">
        <f>I124</f>
        <v>3518000</v>
      </c>
      <c r="G144" s="1954">
        <f>I124</f>
        <v>3518000</v>
      </c>
      <c r="H144" s="1954">
        <f>I124</f>
        <v>3518000</v>
      </c>
    </row>
    <row r="145" spans="6:8">
      <c r="F145" s="1895"/>
      <c r="G145" s="1895"/>
      <c r="H145" s="1895"/>
    </row>
    <row r="488" spans="10:10">
      <c r="J488">
        <f>SUM(J481:J487)</f>
        <v>0</v>
      </c>
    </row>
    <row r="497" spans="10:10">
      <c r="J497">
        <f>SUM(J491:J496)</f>
        <v>0</v>
      </c>
    </row>
    <row r="521" spans="10:10">
      <c r="J521">
        <f>SUM(J514:J520)</f>
        <v>0</v>
      </c>
    </row>
  </sheetData>
  <mergeCells count="153">
    <mergeCell ref="C4:F4"/>
    <mergeCell ref="I4:L4"/>
    <mergeCell ref="N4:R4"/>
    <mergeCell ref="T4:W4"/>
    <mergeCell ref="C23:F23"/>
    <mergeCell ref="I23:L23"/>
    <mergeCell ref="N23:R23"/>
    <mergeCell ref="C52:J52"/>
    <mergeCell ref="I54:I55"/>
    <mergeCell ref="J54:J55"/>
    <mergeCell ref="E56:E57"/>
    <mergeCell ref="F56:F57"/>
    <mergeCell ref="H56:H57"/>
    <mergeCell ref="I56:I57"/>
    <mergeCell ref="J56:J57"/>
    <mergeCell ref="C54:C65"/>
    <mergeCell ref="D54:D57"/>
    <mergeCell ref="E54:E55"/>
    <mergeCell ref="F54:F55"/>
    <mergeCell ref="H54:H55"/>
    <mergeCell ref="D58:D61"/>
    <mergeCell ref="E58:E59"/>
    <mergeCell ref="F58:F59"/>
    <mergeCell ref="D62:D65"/>
    <mergeCell ref="E62:E63"/>
    <mergeCell ref="F62:F63"/>
    <mergeCell ref="I62:I63"/>
    <mergeCell ref="J62:J63"/>
    <mergeCell ref="E64:E65"/>
    <mergeCell ref="F64:F65"/>
    <mergeCell ref="I64:I65"/>
    <mergeCell ref="J64:J65"/>
    <mergeCell ref="I58:I59"/>
    <mergeCell ref="J58:J59"/>
    <mergeCell ref="E60:E61"/>
    <mergeCell ref="F60:F61"/>
    <mergeCell ref="I60:I61"/>
    <mergeCell ref="J60:J61"/>
    <mergeCell ref="C70:C73"/>
    <mergeCell ref="D70:D73"/>
    <mergeCell ref="E70:E71"/>
    <mergeCell ref="F70:F71"/>
    <mergeCell ref="I66:I67"/>
    <mergeCell ref="J66:J67"/>
    <mergeCell ref="E68:E69"/>
    <mergeCell ref="F68:F69"/>
    <mergeCell ref="H68:H69"/>
    <mergeCell ref="I68:I69"/>
    <mergeCell ref="J68:J69"/>
    <mergeCell ref="C66:C69"/>
    <mergeCell ref="D66:D69"/>
    <mergeCell ref="E66:E67"/>
    <mergeCell ref="F66:F67"/>
    <mergeCell ref="H66:H67"/>
    <mergeCell ref="F74:G74"/>
    <mergeCell ref="F75:G75"/>
    <mergeCell ref="F76:G76"/>
    <mergeCell ref="F77:G77"/>
    <mergeCell ref="F78:G78"/>
    <mergeCell ref="I70:I71"/>
    <mergeCell ref="J70:J71"/>
    <mergeCell ref="E72:E73"/>
    <mergeCell ref="F72:F73"/>
    <mergeCell ref="I72:I73"/>
    <mergeCell ref="J72:J73"/>
    <mergeCell ref="I81:I82"/>
    <mergeCell ref="J81:J82"/>
    <mergeCell ref="C83:C100"/>
    <mergeCell ref="D83:D86"/>
    <mergeCell ref="E83:E84"/>
    <mergeCell ref="F83:F84"/>
    <mergeCell ref="H83:H84"/>
    <mergeCell ref="I83:I84"/>
    <mergeCell ref="J83:J84"/>
    <mergeCell ref="E85:E86"/>
    <mergeCell ref="F85:F86"/>
    <mergeCell ref="H85:H86"/>
    <mergeCell ref="I85:I86"/>
    <mergeCell ref="J85:J86"/>
    <mergeCell ref="D87:D88"/>
    <mergeCell ref="E87:E88"/>
    <mergeCell ref="D81:D82"/>
    <mergeCell ref="E81:E82"/>
    <mergeCell ref="F81:F82"/>
    <mergeCell ref="G81:G82"/>
    <mergeCell ref="H81:H82"/>
    <mergeCell ref="F87:F88"/>
    <mergeCell ref="H87:H88"/>
    <mergeCell ref="I87:I88"/>
    <mergeCell ref="J87:J88"/>
    <mergeCell ref="D89:D94"/>
    <mergeCell ref="E89:E90"/>
    <mergeCell ref="F89:F90"/>
    <mergeCell ref="H89:H94"/>
    <mergeCell ref="I89:I90"/>
    <mergeCell ref="J89:J90"/>
    <mergeCell ref="E91:E92"/>
    <mergeCell ref="F91:F92"/>
    <mergeCell ref="I91:I92"/>
    <mergeCell ref="J91:J92"/>
    <mergeCell ref="E93:E94"/>
    <mergeCell ref="F93:F94"/>
    <mergeCell ref="I93:I94"/>
    <mergeCell ref="J93:J94"/>
    <mergeCell ref="D95:D100"/>
    <mergeCell ref="E95:E96"/>
    <mergeCell ref="F95:F96"/>
    <mergeCell ref="H95:H100"/>
    <mergeCell ref="I95:I96"/>
    <mergeCell ref="J95:J96"/>
    <mergeCell ref="E97:E98"/>
    <mergeCell ref="F97:F98"/>
    <mergeCell ref="I97:I98"/>
    <mergeCell ref="J97:J98"/>
    <mergeCell ref="E99:E100"/>
    <mergeCell ref="F99:F100"/>
    <mergeCell ref="I99:I100"/>
    <mergeCell ref="J99:J100"/>
    <mergeCell ref="I101:I102"/>
    <mergeCell ref="J101:J102"/>
    <mergeCell ref="E103:E104"/>
    <mergeCell ref="F103:F104"/>
    <mergeCell ref="H103:H104"/>
    <mergeCell ref="I103:I104"/>
    <mergeCell ref="J103:J104"/>
    <mergeCell ref="C101:C104"/>
    <mergeCell ref="D101:D104"/>
    <mergeCell ref="E101:E102"/>
    <mergeCell ref="F101:F102"/>
    <mergeCell ref="H101:H102"/>
    <mergeCell ref="I105:I106"/>
    <mergeCell ref="J105:J106"/>
    <mergeCell ref="E107:E108"/>
    <mergeCell ref="F107:F108"/>
    <mergeCell ref="I107:I108"/>
    <mergeCell ref="J107:J108"/>
    <mergeCell ref="C105:C108"/>
    <mergeCell ref="D105:D108"/>
    <mergeCell ref="E105:E106"/>
    <mergeCell ref="F105:F106"/>
    <mergeCell ref="H105:H108"/>
    <mergeCell ref="F114:G114"/>
    <mergeCell ref="F115:G115"/>
    <mergeCell ref="I109:I110"/>
    <mergeCell ref="J109:J110"/>
    <mergeCell ref="F111:G111"/>
    <mergeCell ref="F112:G112"/>
    <mergeCell ref="F113:G113"/>
    <mergeCell ref="C109:C110"/>
    <mergeCell ref="D109:D110"/>
    <mergeCell ref="E109:E110"/>
    <mergeCell ref="F109:F110"/>
    <mergeCell ref="H109:H110"/>
  </mergeCells>
  <pageMargins left="0.7" right="0.7" top="0.75" bottom="0.75" header="0.3" footer="0.3"/>
  <pageSetup orientation="portrait" r:id="rId1"/>
  <ignoredErrors>
    <ignoredError sqref="H137" formula="1"/>
  </ignoredError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AEC77-AB2B-4435-94C0-1F4D44F4F62D}">
  <sheetPr codeName="Sheet43">
    <pageSetUpPr fitToPage="1"/>
  </sheetPr>
  <dimension ref="A1:U521"/>
  <sheetViews>
    <sheetView topLeftCell="D1" zoomScale="89" zoomScaleNormal="89" workbookViewId="0">
      <pane ySplit="2" topLeftCell="D147" activePane="bottomLeft" state="frozen"/>
      <selection activeCell="J518" sqref="J518"/>
      <selection pane="bottomLeft" activeCell="T143" sqref="T143"/>
    </sheetView>
  </sheetViews>
  <sheetFormatPr defaultColWidth="12.23828125" defaultRowHeight="15"/>
  <cols>
    <col min="1" max="1" width="12.9140625" style="1481" bestFit="1" customWidth="1"/>
    <col min="2" max="2" width="10.4921875" style="1485" bestFit="1" customWidth="1"/>
    <col min="3" max="3" width="9.14453125" style="1485" bestFit="1" customWidth="1"/>
    <col min="4" max="4" width="10.0859375" style="1485" bestFit="1" customWidth="1"/>
    <col min="5" max="5" width="10.76171875" style="1485" customWidth="1"/>
    <col min="6" max="6" width="10.0859375" style="1486" bestFit="1" customWidth="1"/>
    <col min="7" max="7" width="10.625" style="1481" customWidth="1"/>
    <col min="8" max="8" width="12.375" style="1485" bestFit="1" customWidth="1"/>
    <col min="9" max="9" width="9.14453125" style="1485" bestFit="1" customWidth="1"/>
    <col min="10" max="10" width="10.0859375" style="1493" bestFit="1" customWidth="1"/>
    <col min="11" max="11" width="9.14453125" style="1485" bestFit="1" customWidth="1"/>
    <col min="12" max="12" width="12.10546875" style="1485" bestFit="1" customWidth="1"/>
    <col min="13" max="13" width="10.0859375" style="1486" bestFit="1" customWidth="1"/>
    <col min="14" max="16" width="12.23828125" style="1476"/>
    <col min="17" max="17" width="36.05078125" style="1476" customWidth="1"/>
    <col min="18" max="16384" width="12.23828125" style="1476"/>
  </cols>
  <sheetData>
    <row r="1" spans="1:21" ht="34.15" customHeight="1" thickBot="1">
      <c r="A1" s="3280" t="s">
        <v>1510</v>
      </c>
      <c r="B1" s="3280"/>
      <c r="C1" s="3280"/>
      <c r="D1" s="3280"/>
      <c r="E1" s="3280"/>
      <c r="F1" s="3280"/>
      <c r="G1" s="3280"/>
      <c r="H1" s="3280"/>
      <c r="I1" s="3280"/>
      <c r="J1" s="3280"/>
      <c r="K1" s="3280"/>
      <c r="L1" s="3280"/>
      <c r="M1" s="3280"/>
      <c r="Q1" s="1708" t="s">
        <v>1792</v>
      </c>
      <c r="R1"/>
      <c r="S1"/>
      <c r="T1"/>
      <c r="U1"/>
    </row>
    <row r="2" spans="1:21" ht="51" customHeight="1">
      <c r="A2" s="1477" t="s">
        <v>1511</v>
      </c>
      <c r="B2" s="1487" t="s">
        <v>1512</v>
      </c>
      <c r="C2" s="1487" t="s">
        <v>1513</v>
      </c>
      <c r="D2" s="1487" t="s">
        <v>1514</v>
      </c>
      <c r="E2" s="1488" t="s">
        <v>1515</v>
      </c>
      <c r="F2" s="1487" t="s">
        <v>1516</v>
      </c>
      <c r="G2" s="1487" t="s">
        <v>1517</v>
      </c>
      <c r="H2" s="1487" t="s">
        <v>1518</v>
      </c>
      <c r="I2" s="1487" t="s">
        <v>1519</v>
      </c>
      <c r="J2" s="1489" t="s">
        <v>1520</v>
      </c>
      <c r="K2" s="1487" t="s">
        <v>1521</v>
      </c>
      <c r="L2" s="1487" t="s">
        <v>1522</v>
      </c>
      <c r="M2" s="1487" t="s">
        <v>1523</v>
      </c>
      <c r="P2" s="1476">
        <f>2025+10</f>
        <v>2035</v>
      </c>
      <c r="Q2" s="3471" t="s">
        <v>1793</v>
      </c>
      <c r="R2" s="3474" t="s">
        <v>1784</v>
      </c>
      <c r="S2" s="1712" t="s">
        <v>1785</v>
      </c>
      <c r="T2" s="1712" t="s">
        <v>795</v>
      </c>
      <c r="U2" s="1713" t="s">
        <v>1789</v>
      </c>
    </row>
    <row r="3" spans="1:21">
      <c r="A3" s="1478">
        <v>45293</v>
      </c>
      <c r="B3" s="1479">
        <v>7.98</v>
      </c>
      <c r="C3" s="1479">
        <v>9.0410000000000004</v>
      </c>
      <c r="D3" s="1479">
        <v>9.0090000000000003</v>
      </c>
      <c r="E3" s="1479">
        <v>9.2669999999999995</v>
      </c>
      <c r="F3" s="1479">
        <v>9.2360000000000007</v>
      </c>
      <c r="G3" s="1479">
        <v>9.6020000000000003</v>
      </c>
      <c r="H3" s="1479">
        <v>9.6639999999999997</v>
      </c>
      <c r="I3" s="1479">
        <v>9.7059999999999995</v>
      </c>
      <c r="J3" s="1490">
        <v>10.11</v>
      </c>
      <c r="K3" s="1479">
        <v>9.9049999999999994</v>
      </c>
      <c r="L3" s="1479">
        <v>10.356</v>
      </c>
      <c r="M3" s="1479">
        <v>10.186</v>
      </c>
      <c r="Q3" s="3472"/>
      <c r="R3" s="3475"/>
      <c r="S3" s="1709" t="s">
        <v>1786</v>
      </c>
      <c r="T3" s="1710" t="s">
        <v>1788</v>
      </c>
      <c r="U3" s="1714" t="s">
        <v>1790</v>
      </c>
    </row>
    <row r="4" spans="1:21" ht="15.75" thickBot="1">
      <c r="A4" s="1478">
        <v>45294</v>
      </c>
      <c r="B4" s="1479">
        <v>8.391</v>
      </c>
      <c r="C4" s="1479">
        <v>9.4879999999999995</v>
      </c>
      <c r="D4" s="1479">
        <v>9.4450000000000003</v>
      </c>
      <c r="E4" s="1479">
        <v>9.6929999999999996</v>
      </c>
      <c r="F4" s="1479">
        <v>9.69</v>
      </c>
      <c r="G4" s="1479">
        <v>9.9779999999999998</v>
      </c>
      <c r="H4" s="1479">
        <v>10.098000000000001</v>
      </c>
      <c r="I4" s="1479">
        <v>10.076000000000001</v>
      </c>
      <c r="J4" s="1490">
        <v>10.446</v>
      </c>
      <c r="K4" s="1479">
        <v>10.228</v>
      </c>
      <c r="L4" s="1479">
        <v>10.631</v>
      </c>
      <c r="M4" s="1479">
        <v>10.494999999999999</v>
      </c>
      <c r="Q4" s="3473"/>
      <c r="R4" s="3476"/>
      <c r="S4" s="1711" t="s">
        <v>1787</v>
      </c>
      <c r="T4" s="1711"/>
      <c r="U4" s="1715" t="s">
        <v>1791</v>
      </c>
    </row>
    <row r="5" spans="1:21">
      <c r="A5" s="1478">
        <v>45295</v>
      </c>
      <c r="B5" s="1479">
        <v>8.4659999999999993</v>
      </c>
      <c r="C5" s="1479">
        <v>9.5679999999999996</v>
      </c>
      <c r="D5" s="1479">
        <v>9.4879999999999995</v>
      </c>
      <c r="E5" s="1479">
        <v>9.7349999999999994</v>
      </c>
      <c r="F5" s="1479">
        <v>9.7200000000000006</v>
      </c>
      <c r="G5" s="1479">
        <v>10.023</v>
      </c>
      <c r="H5" s="1479">
        <v>10.113</v>
      </c>
      <c r="I5" s="1479">
        <v>10.117000000000001</v>
      </c>
      <c r="J5" s="1490">
        <v>10.484</v>
      </c>
      <c r="K5" s="1479">
        <v>10.268000000000001</v>
      </c>
      <c r="L5" s="1479">
        <v>10.654</v>
      </c>
      <c r="M5" s="1479">
        <v>10.502000000000001</v>
      </c>
    </row>
    <row r="6" spans="1:21">
      <c r="A6" s="1478">
        <v>45296</v>
      </c>
      <c r="B6" s="1479">
        <v>8.5229999999999997</v>
      </c>
      <c r="C6" s="1479">
        <v>9.6720000000000006</v>
      </c>
      <c r="D6" s="1479">
        <v>9.6790000000000003</v>
      </c>
      <c r="E6" s="1479">
        <v>9.9109999999999996</v>
      </c>
      <c r="F6" s="1479">
        <v>9.8789999999999996</v>
      </c>
      <c r="G6" s="1479">
        <v>10.164999999999999</v>
      </c>
      <c r="H6" s="1479">
        <v>10.269</v>
      </c>
      <c r="I6" s="1479">
        <v>10.242000000000001</v>
      </c>
      <c r="J6" s="1490">
        <v>10.611000000000001</v>
      </c>
      <c r="K6" s="1479">
        <v>10.353</v>
      </c>
      <c r="L6" s="1479">
        <v>10.852</v>
      </c>
      <c r="M6" s="1479">
        <v>10.586</v>
      </c>
    </row>
    <row r="7" spans="1:21">
      <c r="A7" s="1478">
        <v>45299</v>
      </c>
      <c r="B7" s="1479">
        <v>8.5960000000000001</v>
      </c>
      <c r="C7" s="1479">
        <v>9.7289999999999992</v>
      </c>
      <c r="D7" s="1479">
        <v>9.6940000000000008</v>
      </c>
      <c r="E7" s="1479">
        <v>9.9220000000000006</v>
      </c>
      <c r="F7" s="1479">
        <v>9.8919999999999995</v>
      </c>
      <c r="G7" s="1479">
        <v>10.166</v>
      </c>
      <c r="H7" s="1479">
        <v>10.257</v>
      </c>
      <c r="I7" s="1479">
        <v>10.242000000000001</v>
      </c>
      <c r="J7" s="1490">
        <v>10.603999999999999</v>
      </c>
      <c r="K7" s="1479">
        <v>10.372</v>
      </c>
      <c r="L7" s="1479">
        <v>10.766999999999999</v>
      </c>
      <c r="M7" s="1479">
        <v>10.6</v>
      </c>
    </row>
    <row r="8" spans="1:21">
      <c r="A8" s="1478">
        <v>45300</v>
      </c>
      <c r="B8" s="1479">
        <v>8.6</v>
      </c>
      <c r="C8" s="1479">
        <v>9.6769999999999996</v>
      </c>
      <c r="D8" s="1479">
        <v>9.7029999999999994</v>
      </c>
      <c r="E8" s="1479">
        <v>9.9149999999999991</v>
      </c>
      <c r="F8" s="1479">
        <v>9.9160000000000004</v>
      </c>
      <c r="G8" s="1479">
        <v>10.161</v>
      </c>
      <c r="H8" s="1479">
        <v>10.259</v>
      </c>
      <c r="I8" s="1479">
        <v>10.256</v>
      </c>
      <c r="J8" s="1490">
        <v>10.590999999999999</v>
      </c>
      <c r="K8" s="1479">
        <v>10.343999999999999</v>
      </c>
      <c r="L8" s="1479">
        <v>10.756</v>
      </c>
      <c r="M8" s="1479">
        <v>10.612</v>
      </c>
    </row>
    <row r="9" spans="1:21">
      <c r="A9" s="1478">
        <v>45301</v>
      </c>
      <c r="B9" s="1479">
        <v>8.3640000000000008</v>
      </c>
      <c r="C9" s="1479">
        <v>9.5020000000000007</v>
      </c>
      <c r="D9" s="1479">
        <v>9.4830000000000005</v>
      </c>
      <c r="E9" s="1479">
        <v>9.7189999999999994</v>
      </c>
      <c r="F9" s="1479">
        <v>9.7189999999999994</v>
      </c>
      <c r="G9" s="1479">
        <v>9.9559999999999995</v>
      </c>
      <c r="H9" s="1479">
        <v>10.068</v>
      </c>
      <c r="I9" s="1479">
        <v>10.064</v>
      </c>
      <c r="J9" s="1490">
        <v>10.38</v>
      </c>
      <c r="K9" s="1479">
        <v>10.148</v>
      </c>
      <c r="L9" s="1479">
        <v>10.567</v>
      </c>
      <c r="M9" s="1479">
        <v>10.444000000000001</v>
      </c>
    </row>
    <row r="10" spans="1:21">
      <c r="A10" s="1478">
        <v>45302</v>
      </c>
      <c r="B10" s="1479">
        <v>8.2469999999999999</v>
      </c>
      <c r="C10" s="1479">
        <v>9.3049999999999997</v>
      </c>
      <c r="D10" s="1479">
        <v>9.3510000000000009</v>
      </c>
      <c r="E10" s="1479">
        <v>9.5820000000000007</v>
      </c>
      <c r="F10" s="1479">
        <v>9.5630000000000006</v>
      </c>
      <c r="G10" s="1479">
        <v>9.8089999999999993</v>
      </c>
      <c r="H10" s="1479">
        <v>9.9030000000000005</v>
      </c>
      <c r="I10" s="1479">
        <v>9.9529999999999994</v>
      </c>
      <c r="J10" s="1490">
        <v>10.302</v>
      </c>
      <c r="K10" s="1479">
        <v>10.061999999999999</v>
      </c>
      <c r="L10" s="1479">
        <v>10.5</v>
      </c>
      <c r="M10" s="1479">
        <v>10.323</v>
      </c>
    </row>
    <row r="11" spans="1:21">
      <c r="A11" s="1478">
        <v>45303</v>
      </c>
      <c r="B11" s="1479">
        <v>8.1920000000000002</v>
      </c>
      <c r="C11" s="1479">
        <v>9.2650000000000006</v>
      </c>
      <c r="D11" s="1479">
        <v>9.2509999999999994</v>
      </c>
      <c r="E11" s="1479">
        <v>9.4779999999999998</v>
      </c>
      <c r="F11" s="1479">
        <v>9.4320000000000004</v>
      </c>
      <c r="G11" s="1479">
        <v>9.7200000000000006</v>
      </c>
      <c r="H11" s="1479">
        <v>9.82</v>
      </c>
      <c r="I11" s="1479">
        <v>9.8390000000000004</v>
      </c>
      <c r="J11" s="1490">
        <v>10.223000000000001</v>
      </c>
      <c r="K11" s="1479">
        <v>9.9879999999999995</v>
      </c>
      <c r="L11" s="1479">
        <v>10.422000000000001</v>
      </c>
      <c r="M11" s="1479">
        <v>10.225</v>
      </c>
    </row>
    <row r="12" spans="1:21">
      <c r="A12" s="1478">
        <v>45306</v>
      </c>
      <c r="B12" s="1479">
        <v>8.1270000000000007</v>
      </c>
      <c r="C12" s="1479">
        <v>9.0839999999999996</v>
      </c>
      <c r="D12" s="1479">
        <v>9.1150000000000002</v>
      </c>
      <c r="E12" s="1479">
        <v>9.3420000000000005</v>
      </c>
      <c r="F12" s="1479">
        <v>9.4120000000000008</v>
      </c>
      <c r="G12" s="1479">
        <v>9.6539999999999999</v>
      </c>
      <c r="H12" s="1479">
        <v>9.7579999999999991</v>
      </c>
      <c r="I12" s="1479">
        <v>9.7789999999999999</v>
      </c>
      <c r="J12" s="1490">
        <v>10.148</v>
      </c>
      <c r="K12" s="1479">
        <v>9.9580000000000002</v>
      </c>
      <c r="L12" s="1479">
        <v>10.377000000000001</v>
      </c>
      <c r="M12" s="1479">
        <v>10.212999999999999</v>
      </c>
    </row>
    <row r="13" spans="1:21">
      <c r="A13" s="1478">
        <v>45307</v>
      </c>
      <c r="B13" s="1479">
        <v>8.1359999999999992</v>
      </c>
      <c r="C13" s="1479">
        <v>9.1349999999999998</v>
      </c>
      <c r="D13" s="1479">
        <v>9.1999999999999993</v>
      </c>
      <c r="E13" s="1479">
        <v>9.4670000000000005</v>
      </c>
      <c r="F13" s="1479">
        <v>9.5220000000000002</v>
      </c>
      <c r="G13" s="1479">
        <v>9.7490000000000006</v>
      </c>
      <c r="H13" s="1479">
        <v>9.843</v>
      </c>
      <c r="I13" s="1479">
        <v>9.8810000000000002</v>
      </c>
      <c r="J13" s="1490">
        <v>10.276999999999999</v>
      </c>
      <c r="K13" s="1479">
        <v>10.09</v>
      </c>
      <c r="L13" s="1479">
        <v>10.487</v>
      </c>
      <c r="M13" s="1479">
        <v>10.318</v>
      </c>
    </row>
    <row r="14" spans="1:21">
      <c r="A14" s="1478">
        <v>45308</v>
      </c>
      <c r="B14" s="1479">
        <v>8.3759999999999994</v>
      </c>
      <c r="C14" s="1479">
        <v>9.343</v>
      </c>
      <c r="D14" s="1479">
        <v>9.4550000000000001</v>
      </c>
      <c r="E14" s="1479">
        <v>9.6940000000000008</v>
      </c>
      <c r="F14" s="1479">
        <v>9.7720000000000002</v>
      </c>
      <c r="G14" s="1479">
        <v>9.9629999999999992</v>
      </c>
      <c r="H14" s="1479">
        <v>10.057</v>
      </c>
      <c r="I14" s="1479">
        <v>10.067</v>
      </c>
      <c r="J14" s="1490">
        <v>10.465</v>
      </c>
      <c r="K14" s="1479">
        <v>10.292999999999999</v>
      </c>
      <c r="L14" s="1479">
        <v>10.654999999999999</v>
      </c>
      <c r="M14" s="1479">
        <v>10.500999999999999</v>
      </c>
    </row>
    <row r="15" spans="1:21">
      <c r="A15" s="1478">
        <v>45309</v>
      </c>
      <c r="B15" s="1479">
        <v>8.3759999999999994</v>
      </c>
      <c r="C15" s="1479">
        <v>9.343</v>
      </c>
      <c r="D15" s="1479">
        <v>9.4550000000000001</v>
      </c>
      <c r="E15" s="1479">
        <v>9.6940000000000008</v>
      </c>
      <c r="F15" s="1479">
        <v>9.7720000000000002</v>
      </c>
      <c r="G15" s="1479">
        <v>9.9629999999999992</v>
      </c>
      <c r="H15" s="1479">
        <v>10.057</v>
      </c>
      <c r="I15" s="1479">
        <v>10.067</v>
      </c>
      <c r="J15" s="1490">
        <v>10.465</v>
      </c>
      <c r="K15" s="1479">
        <v>10.292999999999999</v>
      </c>
      <c r="L15" s="1479">
        <v>10.654999999999999</v>
      </c>
      <c r="M15" s="1479">
        <v>10.500999999999999</v>
      </c>
    </row>
    <row r="16" spans="1:21">
      <c r="A16" s="1478">
        <v>45310</v>
      </c>
      <c r="B16" s="1479">
        <v>8.2639999999999993</v>
      </c>
      <c r="C16" s="1479">
        <v>9.2110000000000003</v>
      </c>
      <c r="D16" s="1479">
        <v>9.3849999999999998</v>
      </c>
      <c r="E16" s="1479">
        <v>9.6010000000000009</v>
      </c>
      <c r="F16" s="1479">
        <v>9.6790000000000003</v>
      </c>
      <c r="G16" s="1479">
        <v>9.9060000000000006</v>
      </c>
      <c r="H16" s="1479">
        <v>9.9860000000000007</v>
      </c>
      <c r="I16" s="1479">
        <v>9.9939999999999998</v>
      </c>
      <c r="J16" s="1490">
        <v>10.396000000000001</v>
      </c>
      <c r="K16" s="1479">
        <v>10.178000000000001</v>
      </c>
      <c r="L16" s="1479">
        <v>10.536</v>
      </c>
      <c r="M16" s="1479">
        <v>10.382</v>
      </c>
    </row>
    <row r="17" spans="1:13">
      <c r="A17" s="1478">
        <v>45313</v>
      </c>
      <c r="B17" s="1479">
        <v>8.2140000000000004</v>
      </c>
      <c r="C17" s="1479">
        <v>9.1509999999999998</v>
      </c>
      <c r="D17" s="1479">
        <v>9.3360000000000003</v>
      </c>
      <c r="E17" s="1479">
        <v>9.5630000000000006</v>
      </c>
      <c r="F17" s="1479">
        <v>9.6080000000000005</v>
      </c>
      <c r="G17" s="1479">
        <v>9.8539999999999992</v>
      </c>
      <c r="H17" s="1479">
        <v>9.9420000000000002</v>
      </c>
      <c r="I17" s="1479">
        <v>9.9580000000000002</v>
      </c>
      <c r="J17" s="1490">
        <v>10.353</v>
      </c>
      <c r="K17" s="1479">
        <v>10.143000000000001</v>
      </c>
      <c r="L17" s="1479">
        <v>10.513999999999999</v>
      </c>
      <c r="M17" s="1479">
        <v>10.359</v>
      </c>
    </row>
    <row r="18" spans="1:13">
      <c r="A18" s="1478">
        <v>45314</v>
      </c>
      <c r="B18" s="1479">
        <v>8.4109999999999996</v>
      </c>
      <c r="C18" s="1479">
        <v>9.2940000000000005</v>
      </c>
      <c r="D18" s="1479">
        <v>9.5239999999999991</v>
      </c>
      <c r="E18" s="1479">
        <v>9.7919999999999998</v>
      </c>
      <c r="F18" s="1479">
        <v>9.8529999999999998</v>
      </c>
      <c r="G18" s="1479">
        <v>10.065</v>
      </c>
      <c r="H18" s="1479">
        <v>10.157999999999999</v>
      </c>
      <c r="I18" s="1479">
        <v>10.170999999999999</v>
      </c>
      <c r="J18" s="1490">
        <v>10.551</v>
      </c>
      <c r="K18" s="1479">
        <v>10.317</v>
      </c>
      <c r="L18" s="1479">
        <v>10.654</v>
      </c>
      <c r="M18" s="1479">
        <v>10.516999999999999</v>
      </c>
    </row>
    <row r="19" spans="1:13">
      <c r="A19" s="1478">
        <v>45315</v>
      </c>
      <c r="B19" s="1479">
        <v>8.4380000000000006</v>
      </c>
      <c r="C19" s="1479">
        <v>9.2729999999999997</v>
      </c>
      <c r="D19" s="1479">
        <v>9.5030000000000001</v>
      </c>
      <c r="E19" s="1479">
        <v>9.7929999999999993</v>
      </c>
      <c r="F19" s="1479">
        <v>9.8729999999999993</v>
      </c>
      <c r="G19" s="1479">
        <v>10.061999999999999</v>
      </c>
      <c r="H19" s="1479">
        <v>10.176</v>
      </c>
      <c r="I19" s="1479">
        <v>10.156000000000001</v>
      </c>
      <c r="J19" s="1490">
        <v>10.537000000000001</v>
      </c>
      <c r="K19" s="1479">
        <v>10.324999999999999</v>
      </c>
      <c r="L19" s="1479">
        <v>10.622999999999999</v>
      </c>
      <c r="M19" s="1479">
        <v>10.491</v>
      </c>
    </row>
    <row r="20" spans="1:13">
      <c r="A20" s="1478">
        <v>45316</v>
      </c>
      <c r="B20" s="1479">
        <v>8.4120000000000008</v>
      </c>
      <c r="C20" s="1479">
        <v>9.33</v>
      </c>
      <c r="D20" s="1479">
        <v>9.5220000000000002</v>
      </c>
      <c r="E20" s="1479">
        <v>9.81</v>
      </c>
      <c r="F20" s="1479">
        <v>9.843</v>
      </c>
      <c r="G20" s="1479">
        <v>10.02</v>
      </c>
      <c r="H20" s="1479">
        <v>10.151999999999999</v>
      </c>
      <c r="I20" s="1479">
        <v>10.17</v>
      </c>
      <c r="J20" s="1490">
        <v>10.532999999999999</v>
      </c>
      <c r="K20" s="1479">
        <v>10.327</v>
      </c>
      <c r="L20" s="1479">
        <v>10.589</v>
      </c>
      <c r="M20" s="1479">
        <v>10.459</v>
      </c>
    </row>
    <row r="21" spans="1:13">
      <c r="A21" s="1478">
        <v>45317</v>
      </c>
      <c r="B21" s="1479">
        <v>8.4250000000000007</v>
      </c>
      <c r="C21" s="1479">
        <v>9.2409999999999997</v>
      </c>
      <c r="D21" s="1479">
        <v>9.4589999999999996</v>
      </c>
      <c r="E21" s="1479">
        <v>9.7240000000000002</v>
      </c>
      <c r="F21" s="1479">
        <v>9.7769999999999992</v>
      </c>
      <c r="G21" s="1479">
        <v>9.9870000000000001</v>
      </c>
      <c r="H21" s="1479">
        <v>10.089</v>
      </c>
      <c r="I21" s="1479">
        <v>10.057</v>
      </c>
      <c r="J21" s="1490">
        <v>10.387</v>
      </c>
      <c r="K21" s="1479">
        <v>10.233000000000001</v>
      </c>
      <c r="L21" s="1479">
        <v>10.507</v>
      </c>
      <c r="M21" s="1479">
        <v>10.374000000000001</v>
      </c>
    </row>
    <row r="22" spans="1:13">
      <c r="A22" s="1478">
        <v>45320</v>
      </c>
      <c r="B22" s="1479">
        <v>8.0519999999999996</v>
      </c>
      <c r="C22" s="1479">
        <v>8.9939999999999998</v>
      </c>
      <c r="D22" s="1479">
        <v>9.1720000000000006</v>
      </c>
      <c r="E22" s="1479">
        <v>9.4809999999999999</v>
      </c>
      <c r="F22" s="1479">
        <v>9.4749999999999996</v>
      </c>
      <c r="G22" s="1479">
        <v>9.7100000000000009</v>
      </c>
      <c r="H22" s="1479">
        <v>9.83</v>
      </c>
      <c r="I22" s="1479">
        <v>9.85</v>
      </c>
      <c r="J22" s="1490">
        <v>10.192</v>
      </c>
      <c r="K22" s="1479">
        <v>10.053000000000001</v>
      </c>
      <c r="L22" s="1479">
        <v>10.287000000000001</v>
      </c>
      <c r="M22" s="1479">
        <v>10.196999999999999</v>
      </c>
    </row>
    <row r="23" spans="1:13">
      <c r="A23" s="1478">
        <v>45321</v>
      </c>
      <c r="B23" s="1479">
        <v>8.1129999999999995</v>
      </c>
      <c r="C23" s="1479">
        <v>9.0790000000000006</v>
      </c>
      <c r="D23" s="1479">
        <v>9.2420000000000009</v>
      </c>
      <c r="E23" s="1479">
        <v>9.5459999999999994</v>
      </c>
      <c r="F23" s="1479">
        <v>9.6509999999999998</v>
      </c>
      <c r="G23" s="1479">
        <v>9.8620000000000001</v>
      </c>
      <c r="H23" s="1479">
        <v>9.9949999999999992</v>
      </c>
      <c r="I23" s="1479">
        <v>9.968</v>
      </c>
      <c r="J23" s="1490">
        <v>10.308</v>
      </c>
      <c r="K23" s="1479">
        <v>10.148999999999999</v>
      </c>
      <c r="L23" s="1479">
        <v>10.375</v>
      </c>
      <c r="M23" s="1479">
        <v>10.307</v>
      </c>
    </row>
    <row r="24" spans="1:13">
      <c r="A24" s="1478">
        <v>45322</v>
      </c>
      <c r="B24" s="1479">
        <v>8.3290000000000006</v>
      </c>
      <c r="C24" s="1479">
        <v>9.2859999999999996</v>
      </c>
      <c r="D24" s="1479">
        <v>9.51</v>
      </c>
      <c r="E24" s="1479">
        <v>9.8030000000000008</v>
      </c>
      <c r="F24" s="1479">
        <v>9.8680000000000003</v>
      </c>
      <c r="G24" s="1479">
        <v>10.106</v>
      </c>
      <c r="H24" s="1479">
        <v>10.201000000000001</v>
      </c>
      <c r="I24" s="1479">
        <v>10.180999999999999</v>
      </c>
      <c r="J24" s="1490">
        <v>10.497999999999999</v>
      </c>
      <c r="K24" s="1479">
        <v>10.302</v>
      </c>
      <c r="L24" s="1479">
        <v>10.555999999999999</v>
      </c>
      <c r="M24" s="1479">
        <v>10.475</v>
      </c>
    </row>
    <row r="25" spans="1:13">
      <c r="A25" s="1478">
        <v>45323</v>
      </c>
      <c r="B25" s="1479">
        <v>8.4280000000000008</v>
      </c>
      <c r="C25" s="1479">
        <v>9.2449999999999992</v>
      </c>
      <c r="D25" s="1479">
        <v>9.3819999999999997</v>
      </c>
      <c r="E25" s="1479">
        <v>9.6709999999999994</v>
      </c>
      <c r="F25" s="1479">
        <v>9.7739999999999991</v>
      </c>
      <c r="G25" s="1479">
        <v>10.010999999999999</v>
      </c>
      <c r="H25" s="1479">
        <v>10.128</v>
      </c>
      <c r="I25" s="1479">
        <v>10.074</v>
      </c>
      <c r="J25" s="1490">
        <v>10.404</v>
      </c>
      <c r="K25" s="1479">
        <v>10.170999999999999</v>
      </c>
      <c r="L25" s="1479">
        <v>10.448</v>
      </c>
      <c r="M25" s="1479">
        <v>10.378</v>
      </c>
    </row>
    <row r="26" spans="1:13">
      <c r="A26" s="1478">
        <v>45324</v>
      </c>
      <c r="B26" s="1479">
        <v>8.3940000000000001</v>
      </c>
      <c r="C26" s="1479">
        <v>9.2530000000000001</v>
      </c>
      <c r="D26" s="1479">
        <v>9.3510000000000009</v>
      </c>
      <c r="E26" s="1479">
        <v>9.6649999999999991</v>
      </c>
      <c r="F26" s="1479">
        <v>9.7789999999999999</v>
      </c>
      <c r="G26" s="1479">
        <v>9.9809999999999999</v>
      </c>
      <c r="H26" s="1479">
        <v>10.1</v>
      </c>
      <c r="I26" s="1479">
        <v>10.061</v>
      </c>
      <c r="J26" s="1490">
        <v>10.385999999999999</v>
      </c>
      <c r="K26" s="1479">
        <v>10.167</v>
      </c>
      <c r="L26" s="1479">
        <v>10.420999999999999</v>
      </c>
      <c r="M26" s="1479">
        <v>10.388</v>
      </c>
    </row>
    <row r="27" spans="1:13">
      <c r="A27" s="1478">
        <v>45327</v>
      </c>
      <c r="B27" s="1479">
        <v>8.5749999999999993</v>
      </c>
      <c r="C27" s="1479">
        <v>9.3070000000000004</v>
      </c>
      <c r="D27" s="1479">
        <v>9.4</v>
      </c>
      <c r="E27" s="1479">
        <v>9.7149999999999999</v>
      </c>
      <c r="F27" s="1479">
        <v>9.8309999999999995</v>
      </c>
      <c r="G27" s="1479">
        <v>10.045</v>
      </c>
      <c r="H27" s="1479">
        <v>10.148999999999999</v>
      </c>
      <c r="I27" s="1479">
        <v>10.1</v>
      </c>
      <c r="J27" s="1490">
        <v>10.446999999999999</v>
      </c>
      <c r="K27" s="1479">
        <v>10.236000000000001</v>
      </c>
      <c r="L27" s="1479">
        <v>10.439</v>
      </c>
      <c r="M27" s="1479">
        <v>10.407999999999999</v>
      </c>
    </row>
    <row r="28" spans="1:13">
      <c r="A28" s="1478">
        <v>45328</v>
      </c>
      <c r="B28" s="1479">
        <v>8.5069999999999997</v>
      </c>
      <c r="C28" s="1479">
        <v>9.202</v>
      </c>
      <c r="D28" s="1479">
        <v>9.33</v>
      </c>
      <c r="E28" s="1479">
        <v>9.6319999999999997</v>
      </c>
      <c r="F28" s="1479">
        <v>9.7059999999999995</v>
      </c>
      <c r="G28" s="1479">
        <v>9.9499999999999993</v>
      </c>
      <c r="H28" s="1479">
        <v>10.095000000000001</v>
      </c>
      <c r="I28" s="1479">
        <v>10.018000000000001</v>
      </c>
      <c r="J28" s="1490">
        <v>10.358000000000001</v>
      </c>
      <c r="K28" s="1479">
        <v>10.167999999999999</v>
      </c>
      <c r="L28" s="1479">
        <v>10.378</v>
      </c>
      <c r="M28" s="1479">
        <v>10.358000000000001</v>
      </c>
    </row>
    <row r="29" spans="1:13">
      <c r="A29" s="1478">
        <v>45329</v>
      </c>
      <c r="B29" s="1479">
        <v>8.3379999999999992</v>
      </c>
      <c r="C29" s="1479">
        <v>9.0809999999999995</v>
      </c>
      <c r="D29" s="1479">
        <v>9.2289999999999992</v>
      </c>
      <c r="E29" s="1479">
        <v>9.5250000000000004</v>
      </c>
      <c r="F29" s="1479">
        <v>9.6579999999999995</v>
      </c>
      <c r="G29" s="1479">
        <v>9.8689999999999998</v>
      </c>
      <c r="H29" s="1479">
        <v>9.9890000000000008</v>
      </c>
      <c r="I29" s="1479">
        <v>9.9190000000000005</v>
      </c>
      <c r="J29" s="1490">
        <v>10.244999999999999</v>
      </c>
      <c r="K29" s="1479">
        <v>10.074</v>
      </c>
      <c r="L29" s="1479">
        <v>10.302</v>
      </c>
      <c r="M29" s="1479">
        <v>10.255000000000001</v>
      </c>
    </row>
    <row r="30" spans="1:13">
      <c r="A30" s="1478">
        <v>45330</v>
      </c>
      <c r="B30" s="1479">
        <v>8.1839999999999993</v>
      </c>
      <c r="C30" s="1479">
        <v>8.9480000000000004</v>
      </c>
      <c r="D30" s="1479">
        <v>9.0920000000000005</v>
      </c>
      <c r="E30" s="1479">
        <v>9.4</v>
      </c>
      <c r="F30" s="1479">
        <v>9.5250000000000004</v>
      </c>
      <c r="G30" s="1479">
        <v>9.7409999999999997</v>
      </c>
      <c r="H30" s="1479">
        <v>9.8620000000000001</v>
      </c>
      <c r="I30" s="1479">
        <v>9.827</v>
      </c>
      <c r="J30" s="1490">
        <v>10.172000000000001</v>
      </c>
      <c r="K30" s="1479">
        <v>10.004</v>
      </c>
      <c r="L30" s="1479">
        <v>10.222</v>
      </c>
      <c r="M30" s="1479">
        <v>10.176</v>
      </c>
    </row>
    <row r="31" spans="1:13">
      <c r="A31" s="1478">
        <v>45331</v>
      </c>
      <c r="B31" s="1479">
        <v>8.1929999999999996</v>
      </c>
      <c r="C31" s="1479">
        <v>8.9130000000000003</v>
      </c>
      <c r="D31" s="1479">
        <v>9.0719999999999992</v>
      </c>
      <c r="E31" s="1479">
        <v>9.3930000000000007</v>
      </c>
      <c r="F31" s="1479">
        <v>9.5139999999999993</v>
      </c>
      <c r="G31" s="1479">
        <v>9.7240000000000002</v>
      </c>
      <c r="H31" s="1479">
        <v>9.8469999999999995</v>
      </c>
      <c r="I31" s="1479">
        <v>9.8070000000000004</v>
      </c>
      <c r="J31" s="1490">
        <v>10.206</v>
      </c>
      <c r="K31" s="1479">
        <v>10.032999999999999</v>
      </c>
      <c r="L31" s="1479">
        <v>10.237</v>
      </c>
      <c r="M31" s="1479">
        <v>10.188000000000001</v>
      </c>
    </row>
    <row r="32" spans="1:13">
      <c r="A32" s="1478">
        <v>45334</v>
      </c>
      <c r="B32" s="1479">
        <v>8.2289999999999992</v>
      </c>
      <c r="C32" s="1479">
        <v>8.9329999999999998</v>
      </c>
      <c r="D32" s="1479">
        <v>9.0820000000000007</v>
      </c>
      <c r="E32" s="1479">
        <v>9.3989999999999991</v>
      </c>
      <c r="F32" s="1479">
        <v>9.5229999999999997</v>
      </c>
      <c r="G32" s="1479">
        <v>9.7249999999999996</v>
      </c>
      <c r="H32" s="1479">
        <v>9.8559999999999999</v>
      </c>
      <c r="I32" s="1479">
        <v>9.798</v>
      </c>
      <c r="J32" s="1490">
        <v>10.201000000000001</v>
      </c>
      <c r="K32" s="1479">
        <v>10.026</v>
      </c>
      <c r="L32" s="1479">
        <v>10.228</v>
      </c>
      <c r="M32" s="1479">
        <v>10.175000000000001</v>
      </c>
    </row>
    <row r="33" spans="1:13">
      <c r="A33" s="1478">
        <v>45335</v>
      </c>
      <c r="B33" s="1479">
        <v>8.2959999999999994</v>
      </c>
      <c r="C33" s="1479">
        <v>9.0540000000000003</v>
      </c>
      <c r="D33" s="1479">
        <v>9.2029999999999994</v>
      </c>
      <c r="E33" s="1479">
        <v>9.52</v>
      </c>
      <c r="F33" s="1479">
        <v>9.6539999999999999</v>
      </c>
      <c r="G33" s="1479">
        <v>9.83</v>
      </c>
      <c r="H33" s="1479">
        <v>9.9809999999999999</v>
      </c>
      <c r="I33" s="1479">
        <v>9.9030000000000005</v>
      </c>
      <c r="J33" s="1490">
        <v>10.32</v>
      </c>
      <c r="K33" s="1479">
        <v>10.112</v>
      </c>
      <c r="L33" s="1479">
        <v>10.297000000000001</v>
      </c>
      <c r="M33" s="1479">
        <v>10.273999999999999</v>
      </c>
    </row>
    <row r="34" spans="1:13">
      <c r="A34" s="1478">
        <v>45336</v>
      </c>
      <c r="B34" s="1479">
        <v>8.2249999999999996</v>
      </c>
      <c r="C34" s="1479">
        <v>9.0180000000000007</v>
      </c>
      <c r="D34" s="1479">
        <v>9.2260000000000009</v>
      </c>
      <c r="E34" s="1479">
        <v>9.5259999999999998</v>
      </c>
      <c r="F34" s="1479">
        <v>9.6489999999999991</v>
      </c>
      <c r="G34" s="1479">
        <v>9.8409999999999993</v>
      </c>
      <c r="H34" s="1479">
        <v>10</v>
      </c>
      <c r="I34" s="1479">
        <v>9.9329999999999998</v>
      </c>
      <c r="J34" s="1490">
        <v>10.327999999999999</v>
      </c>
      <c r="K34" s="1479">
        <v>10.143000000000001</v>
      </c>
      <c r="L34" s="1479">
        <v>10.303000000000001</v>
      </c>
      <c r="M34" s="1479">
        <v>10.291</v>
      </c>
    </row>
    <row r="35" spans="1:13">
      <c r="A35" s="1478">
        <v>45337</v>
      </c>
      <c r="B35" s="1479">
        <v>8.1790000000000003</v>
      </c>
      <c r="C35" s="1479">
        <v>8.9090000000000007</v>
      </c>
      <c r="D35" s="1479">
        <v>8.9529999999999994</v>
      </c>
      <c r="E35" s="1479">
        <v>9.2479999999999993</v>
      </c>
      <c r="F35" s="1479">
        <v>9.3870000000000005</v>
      </c>
      <c r="G35" s="1479">
        <v>9.6359999999999992</v>
      </c>
      <c r="H35" s="1479">
        <v>9.7720000000000002</v>
      </c>
      <c r="I35" s="1479">
        <v>9.7230000000000008</v>
      </c>
      <c r="J35" s="1490">
        <v>10.134</v>
      </c>
      <c r="K35" s="1479">
        <v>9.9550000000000001</v>
      </c>
      <c r="L35" s="1479">
        <v>10.117000000000001</v>
      </c>
      <c r="M35" s="1479">
        <v>10.098000000000001</v>
      </c>
    </row>
    <row r="36" spans="1:13">
      <c r="A36" s="1478">
        <v>45338</v>
      </c>
      <c r="B36" s="1479">
        <v>8.1050000000000004</v>
      </c>
      <c r="C36" s="1479">
        <v>8.8469999999999995</v>
      </c>
      <c r="D36" s="1479">
        <v>8.9730000000000008</v>
      </c>
      <c r="E36" s="1479">
        <v>9.2390000000000008</v>
      </c>
      <c r="F36" s="1479">
        <v>9.3810000000000002</v>
      </c>
      <c r="G36" s="1479">
        <v>9.6039999999999992</v>
      </c>
      <c r="H36" s="1479">
        <v>9.76</v>
      </c>
      <c r="I36" s="1479">
        <v>9.7240000000000002</v>
      </c>
      <c r="J36" s="1490">
        <v>10.119</v>
      </c>
      <c r="K36" s="1479">
        <v>9.9480000000000004</v>
      </c>
      <c r="L36" s="1479">
        <v>10.118</v>
      </c>
      <c r="M36" s="1479">
        <v>10.096</v>
      </c>
    </row>
    <row r="37" spans="1:13">
      <c r="A37" s="1478">
        <v>45341</v>
      </c>
      <c r="B37" s="1479">
        <v>8.0370000000000008</v>
      </c>
      <c r="C37" s="1479">
        <v>8.8689999999999998</v>
      </c>
      <c r="D37" s="1479">
        <v>8.9939999999999998</v>
      </c>
      <c r="E37" s="1479">
        <v>9.2669999999999995</v>
      </c>
      <c r="F37" s="1479">
        <v>9.4179999999999993</v>
      </c>
      <c r="G37" s="1479">
        <v>9.61</v>
      </c>
      <c r="H37" s="1479">
        <v>9.7629999999999999</v>
      </c>
      <c r="I37" s="1479">
        <v>9.7690000000000001</v>
      </c>
      <c r="J37" s="1490">
        <v>10.135999999999999</v>
      </c>
      <c r="K37" s="1479">
        <v>9.9710000000000001</v>
      </c>
      <c r="L37" s="1479">
        <v>10.138999999999999</v>
      </c>
      <c r="M37" s="1479">
        <v>10.111000000000001</v>
      </c>
    </row>
    <row r="38" spans="1:13">
      <c r="A38" s="1478">
        <v>45342</v>
      </c>
      <c r="B38" s="1479">
        <v>8.1150000000000002</v>
      </c>
      <c r="C38" s="1479">
        <v>9.0350000000000001</v>
      </c>
      <c r="D38" s="1479">
        <v>9.18</v>
      </c>
      <c r="E38" s="1479">
        <v>9.4710000000000001</v>
      </c>
      <c r="F38" s="1479">
        <v>9.5730000000000004</v>
      </c>
      <c r="G38" s="1479">
        <v>9.7620000000000005</v>
      </c>
      <c r="H38" s="1479">
        <v>9.9220000000000006</v>
      </c>
      <c r="I38" s="1479">
        <v>9.8840000000000003</v>
      </c>
      <c r="J38" s="1490">
        <v>10.246</v>
      </c>
      <c r="K38" s="1479">
        <v>10.083</v>
      </c>
      <c r="L38" s="1479">
        <v>10.238</v>
      </c>
      <c r="M38" s="1479">
        <v>10.221</v>
      </c>
    </row>
    <row r="39" spans="1:13">
      <c r="A39" s="1478">
        <v>45343</v>
      </c>
      <c r="B39" s="1479">
        <v>8.1880000000000006</v>
      </c>
      <c r="C39" s="1479">
        <v>9.1560000000000006</v>
      </c>
      <c r="D39" s="1479">
        <v>9.2799999999999994</v>
      </c>
      <c r="E39" s="1479">
        <v>9.577</v>
      </c>
      <c r="F39" s="1479">
        <v>9.6359999999999992</v>
      </c>
      <c r="G39" s="1479">
        <v>9.859</v>
      </c>
      <c r="H39" s="1479">
        <v>10.029</v>
      </c>
      <c r="I39" s="1479">
        <v>9.9930000000000003</v>
      </c>
      <c r="J39" s="1490">
        <v>10.333</v>
      </c>
      <c r="K39" s="1479">
        <v>10.176</v>
      </c>
      <c r="L39" s="1479">
        <v>10.316000000000001</v>
      </c>
      <c r="M39" s="1479">
        <v>10.305</v>
      </c>
    </row>
    <row r="40" spans="1:13">
      <c r="A40" s="1478">
        <v>45344</v>
      </c>
      <c r="B40" s="1479">
        <v>8.1940000000000008</v>
      </c>
      <c r="C40" s="1479">
        <v>9.1560000000000006</v>
      </c>
      <c r="D40" s="1479">
        <v>9.2680000000000007</v>
      </c>
      <c r="E40" s="1479">
        <v>9.5559999999999992</v>
      </c>
      <c r="F40" s="1479">
        <v>9.5500000000000007</v>
      </c>
      <c r="G40" s="1479">
        <v>9.8360000000000003</v>
      </c>
      <c r="H40" s="1479">
        <v>9.9979999999999993</v>
      </c>
      <c r="I40" s="1479">
        <v>9.9309999999999992</v>
      </c>
      <c r="J40" s="1490">
        <v>10.272</v>
      </c>
      <c r="K40" s="1479">
        <v>10.105</v>
      </c>
      <c r="L40" s="1479">
        <v>10.272</v>
      </c>
      <c r="M40" s="1479">
        <v>10.246</v>
      </c>
    </row>
    <row r="41" spans="1:13">
      <c r="A41" s="1478">
        <v>45345</v>
      </c>
      <c r="B41" s="1479">
        <v>8.1720000000000006</v>
      </c>
      <c r="C41" s="1479">
        <v>9.0359999999999996</v>
      </c>
      <c r="D41" s="1479">
        <v>9.157</v>
      </c>
      <c r="E41" s="1479">
        <v>9.4580000000000002</v>
      </c>
      <c r="F41" s="1479">
        <v>9.4030000000000005</v>
      </c>
      <c r="G41" s="1479">
        <v>9.6989999999999998</v>
      </c>
      <c r="H41" s="1479">
        <v>9.8520000000000003</v>
      </c>
      <c r="I41" s="1479">
        <v>9.8089999999999993</v>
      </c>
      <c r="J41" s="1490">
        <v>10.138</v>
      </c>
      <c r="K41" s="1479">
        <v>10.021000000000001</v>
      </c>
      <c r="L41" s="1479">
        <v>10.182</v>
      </c>
      <c r="M41" s="1479">
        <v>10.147</v>
      </c>
    </row>
    <row r="42" spans="1:13">
      <c r="A42" s="1478">
        <v>45348</v>
      </c>
      <c r="B42" s="1479">
        <v>8.17</v>
      </c>
      <c r="C42" s="1479">
        <v>8.9640000000000004</v>
      </c>
      <c r="D42" s="1479">
        <v>9.1110000000000007</v>
      </c>
      <c r="E42" s="1479">
        <v>9.4039999999999999</v>
      </c>
      <c r="F42" s="1479">
        <v>9.4049999999999994</v>
      </c>
      <c r="G42" s="1479">
        <v>9.6180000000000003</v>
      </c>
      <c r="H42" s="1479">
        <v>9.8040000000000003</v>
      </c>
      <c r="I42" s="1479">
        <v>9.7590000000000003</v>
      </c>
      <c r="J42" s="1490">
        <v>10.132999999999999</v>
      </c>
      <c r="K42" s="1479">
        <v>9.98</v>
      </c>
      <c r="L42" s="1479">
        <v>10.145</v>
      </c>
      <c r="M42" s="1479">
        <v>10.118</v>
      </c>
    </row>
    <row r="43" spans="1:13">
      <c r="A43" s="1478">
        <v>45349</v>
      </c>
      <c r="B43" s="1479">
        <v>8.1549999999999994</v>
      </c>
      <c r="C43" s="1479">
        <v>9.0109999999999992</v>
      </c>
      <c r="D43" s="1479">
        <v>9.17</v>
      </c>
      <c r="E43" s="1479">
        <v>9.44</v>
      </c>
      <c r="F43" s="1479">
        <v>9.4960000000000004</v>
      </c>
      <c r="G43" s="1479">
        <v>9.673</v>
      </c>
      <c r="H43" s="1479">
        <v>9.8529999999999998</v>
      </c>
      <c r="I43" s="1479">
        <v>9.7959999999999994</v>
      </c>
      <c r="J43" s="1490">
        <v>10.186</v>
      </c>
      <c r="K43" s="1479">
        <v>10.000999999999999</v>
      </c>
      <c r="L43" s="1479">
        <v>10.166</v>
      </c>
      <c r="M43" s="1479">
        <v>10.151999999999999</v>
      </c>
    </row>
    <row r="44" spans="1:13">
      <c r="A44" s="1478">
        <v>45350</v>
      </c>
      <c r="B44" s="1479">
        <v>8.0589999999999993</v>
      </c>
      <c r="C44" s="1479">
        <v>9.0820000000000007</v>
      </c>
      <c r="D44" s="1479">
        <v>9.2289999999999992</v>
      </c>
      <c r="E44" s="1479">
        <v>9.4740000000000002</v>
      </c>
      <c r="F44" s="1479">
        <v>9.5449999999999999</v>
      </c>
      <c r="G44" s="1479">
        <v>9.7370000000000001</v>
      </c>
      <c r="H44" s="1479">
        <v>9.9359999999999999</v>
      </c>
      <c r="I44" s="1479">
        <v>9.8689999999999998</v>
      </c>
      <c r="J44" s="1490">
        <v>10.295</v>
      </c>
      <c r="K44" s="1479">
        <v>10.074999999999999</v>
      </c>
      <c r="L44" s="1479">
        <v>10.234999999999999</v>
      </c>
      <c r="M44" s="1479">
        <v>10.212999999999999</v>
      </c>
    </row>
    <row r="45" spans="1:13">
      <c r="A45" s="1478">
        <v>45351</v>
      </c>
      <c r="B45" s="1479">
        <v>8.1010000000000009</v>
      </c>
      <c r="C45" s="1479">
        <v>9.1890000000000001</v>
      </c>
      <c r="D45" s="1479">
        <v>9.3089999999999993</v>
      </c>
      <c r="E45" s="1479">
        <v>9.5340000000000007</v>
      </c>
      <c r="F45" s="1479">
        <v>9.6020000000000003</v>
      </c>
      <c r="G45" s="1479">
        <v>9.782</v>
      </c>
      <c r="H45" s="1479">
        <v>9.9570000000000007</v>
      </c>
      <c r="I45" s="1479">
        <v>9.9019999999999992</v>
      </c>
      <c r="J45" s="1490">
        <v>10.275</v>
      </c>
      <c r="K45" s="1479">
        <v>10.098000000000001</v>
      </c>
      <c r="L45" s="1479">
        <v>10.239000000000001</v>
      </c>
      <c r="M45" s="1479">
        <v>10.234999999999999</v>
      </c>
    </row>
    <row r="46" spans="1:13">
      <c r="A46" s="1478">
        <v>45352</v>
      </c>
      <c r="B46" s="1479">
        <v>8.125</v>
      </c>
      <c r="C46" s="1479">
        <v>9.077</v>
      </c>
      <c r="D46" s="1479">
        <v>9.1560000000000006</v>
      </c>
      <c r="E46" s="1479">
        <v>9.375</v>
      </c>
      <c r="F46" s="1479">
        <v>9.4499999999999993</v>
      </c>
      <c r="G46" s="1479">
        <v>9.6129999999999995</v>
      </c>
      <c r="H46" s="1479">
        <v>9.7789999999999999</v>
      </c>
      <c r="I46" s="1479">
        <v>9.7569999999999997</v>
      </c>
      <c r="J46" s="1490">
        <v>10.097</v>
      </c>
      <c r="K46" s="1479">
        <v>9.9640000000000004</v>
      </c>
      <c r="L46" s="1479">
        <v>10.117000000000001</v>
      </c>
      <c r="M46" s="1479">
        <v>10.1</v>
      </c>
    </row>
    <row r="47" spans="1:13">
      <c r="A47" s="1478">
        <v>45355</v>
      </c>
      <c r="B47" s="1479">
        <v>8.08</v>
      </c>
      <c r="C47" s="1479">
        <v>8.9610000000000003</v>
      </c>
      <c r="D47" s="1479">
        <v>9.1010000000000009</v>
      </c>
      <c r="E47" s="1479">
        <v>9.3249999999999993</v>
      </c>
      <c r="F47" s="1479">
        <v>9.4139999999999997</v>
      </c>
      <c r="G47" s="1479">
        <v>9.5670000000000002</v>
      </c>
      <c r="H47" s="1479">
        <v>9.6999999999999993</v>
      </c>
      <c r="I47" s="1479">
        <v>9.6829999999999998</v>
      </c>
      <c r="J47" s="1490">
        <v>10.026</v>
      </c>
      <c r="K47" s="1479">
        <v>9.92</v>
      </c>
      <c r="L47" s="1479">
        <v>10.067</v>
      </c>
      <c r="M47" s="1479">
        <v>10.048</v>
      </c>
    </row>
    <row r="48" spans="1:13">
      <c r="A48" s="1478">
        <v>45356</v>
      </c>
      <c r="B48" s="1479">
        <v>8.08</v>
      </c>
      <c r="C48" s="1479">
        <v>8.9600000000000009</v>
      </c>
      <c r="D48" s="1479">
        <v>9.0730000000000004</v>
      </c>
      <c r="E48" s="1479">
        <v>9.3019999999999996</v>
      </c>
      <c r="F48" s="1479">
        <v>9.4120000000000008</v>
      </c>
      <c r="G48" s="1479">
        <v>9.5559999999999992</v>
      </c>
      <c r="H48" s="1479">
        <v>9.7029999999999994</v>
      </c>
      <c r="I48" s="1479">
        <v>9.6820000000000004</v>
      </c>
      <c r="J48" s="1490">
        <v>10.032</v>
      </c>
      <c r="K48" s="1479">
        <v>9.9320000000000004</v>
      </c>
      <c r="L48" s="1479">
        <v>10.074999999999999</v>
      </c>
      <c r="M48" s="1479">
        <v>10.071</v>
      </c>
    </row>
    <row r="49" spans="1:13">
      <c r="A49" s="1478">
        <v>45357</v>
      </c>
      <c r="B49" s="1479">
        <v>8.0760000000000005</v>
      </c>
      <c r="C49" s="1479">
        <v>8.9410000000000007</v>
      </c>
      <c r="D49" s="1479">
        <v>9.0269999999999992</v>
      </c>
      <c r="E49" s="1479">
        <v>9.2729999999999997</v>
      </c>
      <c r="F49" s="1479">
        <v>9.375</v>
      </c>
      <c r="G49" s="1479">
        <v>9.5310000000000006</v>
      </c>
      <c r="H49" s="1479">
        <v>9.6709999999999994</v>
      </c>
      <c r="I49" s="1479">
        <v>9.6720000000000006</v>
      </c>
      <c r="J49" s="1490">
        <v>9.9849999999999994</v>
      </c>
      <c r="K49" s="1479">
        <v>9.9179999999999993</v>
      </c>
      <c r="L49" s="1479">
        <v>10.042</v>
      </c>
      <c r="M49" s="1479">
        <v>10.050000000000001</v>
      </c>
    </row>
    <row r="50" spans="1:13">
      <c r="A50" s="1478">
        <v>45358</v>
      </c>
      <c r="B50" s="1479">
        <v>8.0389999999999997</v>
      </c>
      <c r="C50" s="1479">
        <v>9.0120000000000005</v>
      </c>
      <c r="D50" s="1479">
        <v>9.1379999999999999</v>
      </c>
      <c r="E50" s="1479">
        <v>9.3350000000000009</v>
      </c>
      <c r="F50" s="1479">
        <v>9.4239999999999995</v>
      </c>
      <c r="G50" s="1479">
        <v>9.5730000000000004</v>
      </c>
      <c r="H50" s="1479">
        <v>9.7330000000000005</v>
      </c>
      <c r="I50" s="1479">
        <v>9.7379999999999995</v>
      </c>
      <c r="J50" s="1490">
        <v>10.07</v>
      </c>
      <c r="K50" s="1479">
        <v>10.005000000000001</v>
      </c>
      <c r="L50" s="1479">
        <v>10.116</v>
      </c>
      <c r="M50" s="1479">
        <v>10.121</v>
      </c>
    </row>
    <row r="51" spans="1:13">
      <c r="A51" s="1478">
        <v>45359</v>
      </c>
      <c r="B51" s="1479">
        <v>8.0510000000000002</v>
      </c>
      <c r="C51" s="1479">
        <v>8.8979999999999997</v>
      </c>
      <c r="D51" s="1479">
        <v>9.08</v>
      </c>
      <c r="E51" s="1479">
        <v>9.2880000000000003</v>
      </c>
      <c r="F51" s="1479">
        <v>9.4049999999999994</v>
      </c>
      <c r="G51" s="1479">
        <v>9.5429999999999993</v>
      </c>
      <c r="H51" s="1479">
        <v>9.68</v>
      </c>
      <c r="I51" s="1479">
        <v>9.6969999999999992</v>
      </c>
      <c r="J51" s="1490">
        <v>10.021000000000001</v>
      </c>
      <c r="K51" s="1479">
        <v>9.9559999999999995</v>
      </c>
      <c r="L51" s="1479">
        <v>10.082000000000001</v>
      </c>
      <c r="M51" s="1479">
        <v>10.105</v>
      </c>
    </row>
    <row r="52" spans="1:13">
      <c r="A52" s="1478">
        <v>45362</v>
      </c>
      <c r="B52" s="1479">
        <v>8.2140000000000004</v>
      </c>
      <c r="C52" s="1479">
        <v>9.0809999999999995</v>
      </c>
      <c r="D52" s="1479">
        <v>9.1859999999999999</v>
      </c>
      <c r="E52" s="1479">
        <v>9.4429999999999996</v>
      </c>
      <c r="F52" s="1479">
        <v>9.5749999999999993</v>
      </c>
      <c r="G52" s="1479">
        <v>9.7080000000000002</v>
      </c>
      <c r="H52" s="1479">
        <v>9.8360000000000003</v>
      </c>
      <c r="I52" s="1479">
        <v>9.8390000000000004</v>
      </c>
      <c r="J52" s="1490">
        <v>10.154999999999999</v>
      </c>
      <c r="K52" s="1479">
        <v>10.067</v>
      </c>
      <c r="L52" s="1479">
        <v>10.173999999999999</v>
      </c>
      <c r="M52" s="1479">
        <v>10.217000000000001</v>
      </c>
    </row>
    <row r="53" spans="1:13">
      <c r="A53" s="1478">
        <v>45363</v>
      </c>
      <c r="B53" s="1479">
        <v>8.2579999999999991</v>
      </c>
      <c r="C53" s="1479">
        <v>9.1609999999999996</v>
      </c>
      <c r="D53" s="1479">
        <v>9.3160000000000007</v>
      </c>
      <c r="E53" s="1479">
        <v>9.6389999999999993</v>
      </c>
      <c r="F53" s="1479">
        <v>9.7129999999999992</v>
      </c>
      <c r="G53" s="1479">
        <v>9.8360000000000003</v>
      </c>
      <c r="H53" s="1479">
        <v>9.9540000000000006</v>
      </c>
      <c r="I53" s="1479">
        <v>9.9879999999999995</v>
      </c>
      <c r="J53" s="1490">
        <v>10.256</v>
      </c>
      <c r="K53" s="1479">
        <v>10.231</v>
      </c>
      <c r="L53" s="1479">
        <v>10.311999999999999</v>
      </c>
      <c r="M53" s="1479">
        <v>10.364000000000001</v>
      </c>
    </row>
    <row r="54" spans="1:13">
      <c r="A54" s="1478">
        <v>45364</v>
      </c>
      <c r="B54" s="1479">
        <v>8.2279999999999998</v>
      </c>
      <c r="C54" s="1479">
        <v>9.0730000000000004</v>
      </c>
      <c r="D54" s="1479">
        <v>9.2650000000000006</v>
      </c>
      <c r="E54" s="1479">
        <v>9.5519999999999996</v>
      </c>
      <c r="F54" s="1479">
        <v>9.6649999999999991</v>
      </c>
      <c r="G54" s="1479">
        <v>9.7959999999999994</v>
      </c>
      <c r="H54" s="1479">
        <v>9.9120000000000008</v>
      </c>
      <c r="I54" s="1479">
        <v>9.968</v>
      </c>
      <c r="J54" s="1490">
        <v>10.236000000000001</v>
      </c>
      <c r="K54" s="1479">
        <v>10.202</v>
      </c>
      <c r="L54" s="1479">
        <v>10.3</v>
      </c>
      <c r="M54" s="1479">
        <v>10.347</v>
      </c>
    </row>
    <row r="55" spans="1:13">
      <c r="A55" s="1478">
        <v>45365</v>
      </c>
      <c r="B55" s="1479">
        <v>8.1959999999999997</v>
      </c>
      <c r="C55" s="1479">
        <v>9.1379999999999999</v>
      </c>
      <c r="D55" s="1479">
        <v>9.3119999999999994</v>
      </c>
      <c r="E55" s="1479">
        <v>9.6669999999999998</v>
      </c>
      <c r="F55" s="1479">
        <v>9.7270000000000003</v>
      </c>
      <c r="G55" s="1479">
        <v>9.8849999999999998</v>
      </c>
      <c r="H55" s="1479">
        <v>10.034000000000001</v>
      </c>
      <c r="I55" s="1479">
        <v>10.067</v>
      </c>
      <c r="J55" s="1490">
        <v>10.34</v>
      </c>
      <c r="K55" s="1479">
        <v>10.266999999999999</v>
      </c>
      <c r="L55" s="1479">
        <v>10.385999999999999</v>
      </c>
      <c r="M55" s="1479">
        <v>10.409000000000001</v>
      </c>
    </row>
    <row r="56" spans="1:13">
      <c r="A56" s="1478">
        <v>45366</v>
      </c>
      <c r="B56" s="1479">
        <v>8.2230000000000008</v>
      </c>
      <c r="C56" s="1479">
        <v>9.202</v>
      </c>
      <c r="D56" s="1479">
        <v>9.4269999999999996</v>
      </c>
      <c r="E56" s="1479">
        <v>9.7850000000000001</v>
      </c>
      <c r="F56" s="1479">
        <v>9.8989999999999991</v>
      </c>
      <c r="G56" s="1479">
        <v>10.064</v>
      </c>
      <c r="H56" s="1479">
        <v>10.179</v>
      </c>
      <c r="I56" s="1479">
        <v>10.228999999999999</v>
      </c>
      <c r="J56" s="1490">
        <v>10.486000000000001</v>
      </c>
      <c r="K56" s="1479">
        <v>10.443</v>
      </c>
      <c r="L56" s="1479">
        <v>10.536</v>
      </c>
      <c r="M56" s="1479">
        <v>10.561999999999999</v>
      </c>
    </row>
    <row r="57" spans="1:13">
      <c r="A57" s="1478">
        <v>45369</v>
      </c>
      <c r="B57" s="1479">
        <v>8.1720000000000006</v>
      </c>
      <c r="C57" s="1479">
        <v>9.2309999999999999</v>
      </c>
      <c r="D57" s="1479">
        <v>9.4920000000000009</v>
      </c>
      <c r="E57" s="1479">
        <v>9.8369999999999997</v>
      </c>
      <c r="F57" s="1479">
        <v>9.94</v>
      </c>
      <c r="G57" s="1479">
        <v>10.093</v>
      </c>
      <c r="H57" s="1479">
        <v>10.231</v>
      </c>
      <c r="I57" s="1479">
        <v>10.281000000000001</v>
      </c>
      <c r="J57" s="1490">
        <v>10.542</v>
      </c>
      <c r="K57" s="1479">
        <v>10.506</v>
      </c>
      <c r="L57" s="1479">
        <v>10.58</v>
      </c>
      <c r="M57" s="1479">
        <v>10.657999999999999</v>
      </c>
    </row>
    <row r="58" spans="1:13">
      <c r="A58" s="1478">
        <v>45370</v>
      </c>
      <c r="B58" s="1479">
        <v>8.141</v>
      </c>
      <c r="C58" s="1479">
        <v>8.9890000000000008</v>
      </c>
      <c r="D58" s="1479">
        <v>9.343</v>
      </c>
      <c r="E58" s="1479">
        <v>9.6859999999999999</v>
      </c>
      <c r="F58" s="1479">
        <v>9.7789999999999999</v>
      </c>
      <c r="G58" s="1479">
        <v>9.9280000000000008</v>
      </c>
      <c r="H58" s="1479">
        <v>10.089</v>
      </c>
      <c r="I58" s="1479">
        <v>10.137</v>
      </c>
      <c r="J58" s="1490">
        <v>10.42</v>
      </c>
      <c r="K58" s="1479">
        <v>10.404</v>
      </c>
      <c r="L58" s="1479">
        <v>10.474</v>
      </c>
      <c r="M58" s="1479">
        <v>10.539</v>
      </c>
    </row>
    <row r="59" spans="1:13">
      <c r="A59" s="1478">
        <v>45371</v>
      </c>
      <c r="B59" s="1479">
        <v>7.7750000000000004</v>
      </c>
      <c r="C59" s="1479">
        <v>8.7870000000000008</v>
      </c>
      <c r="D59" s="1479">
        <v>9.1170000000000009</v>
      </c>
      <c r="E59" s="1479">
        <v>9.3580000000000005</v>
      </c>
      <c r="F59" s="1479">
        <v>9.5239999999999991</v>
      </c>
      <c r="G59" s="1479">
        <v>9.7110000000000003</v>
      </c>
      <c r="H59" s="1479">
        <v>9.8569999999999993</v>
      </c>
      <c r="I59" s="1479">
        <v>9.9469999999999992</v>
      </c>
      <c r="J59" s="1490">
        <v>10.239000000000001</v>
      </c>
      <c r="K59" s="1479">
        <v>10.247999999999999</v>
      </c>
      <c r="L59" s="1479">
        <v>10.335000000000001</v>
      </c>
      <c r="M59" s="1479">
        <v>10.409000000000001</v>
      </c>
    </row>
    <row r="60" spans="1:13">
      <c r="A60" s="1478">
        <v>45372</v>
      </c>
      <c r="B60" s="1479">
        <v>7.4080000000000004</v>
      </c>
      <c r="C60" s="1479">
        <v>8.3209999999999997</v>
      </c>
      <c r="D60" s="1479">
        <v>8.6579999999999995</v>
      </c>
      <c r="E60" s="1479">
        <v>9.0039999999999996</v>
      </c>
      <c r="F60" s="1479">
        <v>9.1319999999999997</v>
      </c>
      <c r="G60" s="1479">
        <v>9.3490000000000002</v>
      </c>
      <c r="H60" s="1479">
        <v>9.5050000000000008</v>
      </c>
      <c r="I60" s="1479">
        <v>9.6300000000000008</v>
      </c>
      <c r="J60" s="1490">
        <v>9.9710000000000001</v>
      </c>
      <c r="K60" s="1479">
        <v>9.9909999999999997</v>
      </c>
      <c r="L60" s="1479">
        <v>10.101000000000001</v>
      </c>
      <c r="M60" s="1479">
        <v>10.113</v>
      </c>
    </row>
    <row r="61" spans="1:13">
      <c r="A61" s="1478">
        <v>45373</v>
      </c>
      <c r="B61" s="1479">
        <v>7.4980000000000002</v>
      </c>
      <c r="C61" s="1479">
        <v>8.3160000000000007</v>
      </c>
      <c r="D61" s="1479">
        <v>8.66</v>
      </c>
      <c r="E61" s="1479">
        <v>9.0090000000000003</v>
      </c>
      <c r="F61" s="1479">
        <v>9.1660000000000004</v>
      </c>
      <c r="G61" s="1479">
        <v>9.3829999999999991</v>
      </c>
      <c r="H61" s="1479">
        <v>9.5609999999999999</v>
      </c>
      <c r="I61" s="1479">
        <v>9.6880000000000006</v>
      </c>
      <c r="J61" s="1490">
        <v>10.037000000000001</v>
      </c>
      <c r="K61" s="1479">
        <v>10.029999999999999</v>
      </c>
      <c r="L61" s="1479">
        <v>10.118</v>
      </c>
      <c r="M61" s="1479">
        <v>10.159000000000001</v>
      </c>
    </row>
    <row r="62" spans="1:13">
      <c r="A62" s="1478">
        <v>45376</v>
      </c>
      <c r="B62" s="1479">
        <v>7.577</v>
      </c>
      <c r="C62" s="1479">
        <v>8.3550000000000004</v>
      </c>
      <c r="D62" s="1479">
        <v>8.7010000000000005</v>
      </c>
      <c r="E62" s="1479">
        <v>9.0269999999999992</v>
      </c>
      <c r="F62" s="1479">
        <v>9.2059999999999995</v>
      </c>
      <c r="G62" s="1479">
        <v>9.4209999999999994</v>
      </c>
      <c r="H62" s="1479">
        <v>9.5760000000000005</v>
      </c>
      <c r="I62" s="1479">
        <v>9.7110000000000003</v>
      </c>
      <c r="J62" s="1490">
        <v>10.048</v>
      </c>
      <c r="K62" s="1479">
        <v>10.038</v>
      </c>
      <c r="L62" s="1479">
        <v>10.138</v>
      </c>
      <c r="M62" s="1479">
        <v>10.17</v>
      </c>
    </row>
    <row r="63" spans="1:13">
      <c r="A63" s="1478">
        <v>45377</v>
      </c>
      <c r="B63" s="1479">
        <v>7.3789999999999996</v>
      </c>
      <c r="C63" s="1479">
        <v>8.1660000000000004</v>
      </c>
      <c r="D63" s="1479">
        <v>8.4939999999999998</v>
      </c>
      <c r="E63" s="1479">
        <v>8.7490000000000006</v>
      </c>
      <c r="F63" s="1479">
        <v>8.9269999999999996</v>
      </c>
      <c r="G63" s="1479">
        <v>9.2029999999999994</v>
      </c>
      <c r="H63" s="1479">
        <v>9.3719999999999999</v>
      </c>
      <c r="I63" s="1479">
        <v>9.5510000000000002</v>
      </c>
      <c r="J63" s="1490">
        <v>9.91</v>
      </c>
      <c r="K63" s="1479">
        <v>9.952</v>
      </c>
      <c r="L63" s="1479">
        <v>10.067</v>
      </c>
      <c r="M63" s="1479">
        <v>10.08</v>
      </c>
    </row>
    <row r="64" spans="1:13">
      <c r="A64" s="1478">
        <v>45378</v>
      </c>
      <c r="B64" s="1479">
        <v>7.4119999999999999</v>
      </c>
      <c r="C64" s="1479">
        <v>8.2010000000000005</v>
      </c>
      <c r="D64" s="1479">
        <v>8.516</v>
      </c>
      <c r="E64" s="1479">
        <v>8.8170000000000002</v>
      </c>
      <c r="F64" s="1479">
        <v>9.0079999999999991</v>
      </c>
      <c r="G64" s="1479">
        <v>9.2829999999999995</v>
      </c>
      <c r="H64" s="1479">
        <v>9.4649999999999999</v>
      </c>
      <c r="I64" s="1479">
        <v>9.6210000000000004</v>
      </c>
      <c r="J64" s="1490">
        <v>9.9960000000000004</v>
      </c>
      <c r="K64" s="1479">
        <v>10.031000000000001</v>
      </c>
      <c r="L64" s="1479">
        <v>10.109</v>
      </c>
      <c r="M64" s="1479">
        <v>10.157999999999999</v>
      </c>
    </row>
    <row r="65" spans="1:13">
      <c r="A65" s="1478">
        <v>45379</v>
      </c>
      <c r="B65" s="1479">
        <v>7.4429999999999996</v>
      </c>
      <c r="C65" s="1479">
        <v>8.202</v>
      </c>
      <c r="D65" s="1479">
        <v>8.5449999999999999</v>
      </c>
      <c r="E65" s="1479">
        <v>8.8160000000000007</v>
      </c>
      <c r="F65" s="1479">
        <v>9.048</v>
      </c>
      <c r="G65" s="1479">
        <v>9.2880000000000003</v>
      </c>
      <c r="H65" s="1479">
        <v>9.468</v>
      </c>
      <c r="I65" s="1479">
        <v>9.6210000000000004</v>
      </c>
      <c r="J65" s="1490">
        <v>9.9879999999999995</v>
      </c>
      <c r="K65" s="1479">
        <v>10.015000000000001</v>
      </c>
      <c r="L65" s="1479">
        <v>10.096</v>
      </c>
      <c r="M65" s="1479">
        <v>10.144</v>
      </c>
    </row>
    <row r="66" spans="1:13">
      <c r="A66" s="1478">
        <v>45380</v>
      </c>
      <c r="B66" s="1479">
        <v>7.4710000000000001</v>
      </c>
      <c r="C66" s="1479">
        <v>8.2029999999999994</v>
      </c>
      <c r="D66" s="1479">
        <v>8.5250000000000004</v>
      </c>
      <c r="E66" s="1479">
        <v>8.8339999999999996</v>
      </c>
      <c r="F66" s="1479">
        <v>9.0530000000000008</v>
      </c>
      <c r="G66" s="1479">
        <v>9.2970000000000006</v>
      </c>
      <c r="H66" s="1479">
        <v>9.4740000000000002</v>
      </c>
      <c r="I66" s="1479">
        <v>9.6340000000000003</v>
      </c>
      <c r="J66" s="1490">
        <v>10.015000000000001</v>
      </c>
      <c r="K66" s="1479">
        <v>10.012</v>
      </c>
      <c r="L66" s="1479">
        <v>10.122</v>
      </c>
      <c r="M66" s="1479">
        <v>10.14</v>
      </c>
    </row>
    <row r="67" spans="1:13">
      <c r="A67" s="1478">
        <v>45383</v>
      </c>
      <c r="B67" s="1479">
        <v>7.4560000000000004</v>
      </c>
      <c r="C67" s="1479">
        <v>8.2240000000000002</v>
      </c>
      <c r="D67" s="1479">
        <v>8.5739999999999998</v>
      </c>
      <c r="E67" s="1479">
        <v>8.82</v>
      </c>
      <c r="F67" s="1479">
        <v>9.0500000000000007</v>
      </c>
      <c r="G67" s="1479">
        <v>9.3149999999999995</v>
      </c>
      <c r="H67" s="1479">
        <v>9.5459999999999994</v>
      </c>
      <c r="I67" s="1479">
        <v>9.6669999999999998</v>
      </c>
      <c r="J67" s="1490">
        <v>10.074</v>
      </c>
      <c r="K67" s="1479">
        <v>10.068</v>
      </c>
      <c r="L67" s="1479">
        <v>10.121</v>
      </c>
      <c r="M67" s="1479">
        <v>10.145</v>
      </c>
    </row>
    <row r="68" spans="1:13">
      <c r="A68" s="1478">
        <v>45384</v>
      </c>
      <c r="B68" s="1479">
        <v>7.4669999999999996</v>
      </c>
      <c r="C68" s="1479">
        <v>8.4209999999999994</v>
      </c>
      <c r="D68" s="1479">
        <v>8.8040000000000003</v>
      </c>
      <c r="E68" s="1479">
        <v>9.1199999999999992</v>
      </c>
      <c r="F68" s="1479">
        <v>9.3140000000000001</v>
      </c>
      <c r="G68" s="1479">
        <v>9.5489999999999995</v>
      </c>
      <c r="H68" s="1479">
        <v>9.75</v>
      </c>
      <c r="I68" s="1479">
        <v>9.8940000000000001</v>
      </c>
      <c r="J68" s="1490">
        <v>10.273999999999999</v>
      </c>
      <c r="K68" s="1479">
        <v>10.323</v>
      </c>
      <c r="L68" s="1479">
        <v>10.335000000000001</v>
      </c>
      <c r="M68" s="1479">
        <v>10.414</v>
      </c>
    </row>
    <row r="69" spans="1:13">
      <c r="A69" s="1478">
        <v>45385</v>
      </c>
      <c r="B69" s="1479">
        <v>7.4749999999999996</v>
      </c>
      <c r="C69" s="1479">
        <v>8.3580000000000005</v>
      </c>
      <c r="D69" s="1479">
        <v>8.7219999999999995</v>
      </c>
      <c r="E69" s="1479">
        <v>9.0540000000000003</v>
      </c>
      <c r="F69" s="1479">
        <v>9.2729999999999997</v>
      </c>
      <c r="G69" s="1479">
        <v>9.5</v>
      </c>
      <c r="H69" s="1479">
        <v>9.6959999999999997</v>
      </c>
      <c r="I69" s="1479">
        <v>9.827</v>
      </c>
      <c r="J69" s="1490">
        <v>10.221</v>
      </c>
      <c r="K69" s="1479">
        <v>10.257</v>
      </c>
      <c r="L69" s="1479">
        <v>10.262</v>
      </c>
      <c r="M69" s="1479">
        <v>10.335000000000001</v>
      </c>
    </row>
    <row r="70" spans="1:13">
      <c r="A70" s="1478">
        <v>45386</v>
      </c>
      <c r="B70" s="1479">
        <v>7.42</v>
      </c>
      <c r="C70" s="1479">
        <v>8.2050000000000001</v>
      </c>
      <c r="D70" s="1479">
        <v>8.6110000000000007</v>
      </c>
      <c r="E70" s="1479">
        <v>8.8670000000000009</v>
      </c>
      <c r="F70" s="1479">
        <v>9.0679999999999996</v>
      </c>
      <c r="G70" s="1479">
        <v>9.3019999999999996</v>
      </c>
      <c r="H70" s="1479">
        <v>9.52</v>
      </c>
      <c r="I70" s="1479">
        <v>9.6419999999999995</v>
      </c>
      <c r="J70" s="1490">
        <v>10.06</v>
      </c>
      <c r="K70" s="1479">
        <v>10.09</v>
      </c>
      <c r="L70" s="1479">
        <v>10.128</v>
      </c>
      <c r="M70" s="1479">
        <v>10.183999999999999</v>
      </c>
    </row>
    <row r="71" spans="1:13">
      <c r="A71" s="1478">
        <v>45387</v>
      </c>
      <c r="B71" s="1479">
        <v>7.4889999999999999</v>
      </c>
      <c r="C71" s="1479">
        <v>8.3179999999999996</v>
      </c>
      <c r="D71" s="1479">
        <v>8.75</v>
      </c>
      <c r="E71" s="1479">
        <v>8.9789999999999992</v>
      </c>
      <c r="F71" s="1479">
        <v>9.2010000000000005</v>
      </c>
      <c r="G71" s="1479">
        <v>9.4309999999999992</v>
      </c>
      <c r="H71" s="1479">
        <v>9.6289999999999996</v>
      </c>
      <c r="I71" s="1479">
        <v>9.7560000000000002</v>
      </c>
      <c r="J71" s="1490">
        <v>10.175000000000001</v>
      </c>
      <c r="K71" s="1479">
        <v>10.164999999999999</v>
      </c>
      <c r="L71" s="1479">
        <v>10.201000000000001</v>
      </c>
      <c r="M71" s="1479">
        <v>10.298</v>
      </c>
    </row>
    <row r="72" spans="1:13">
      <c r="A72" s="1478">
        <v>45390</v>
      </c>
      <c r="B72" s="1479">
        <v>7.52</v>
      </c>
      <c r="C72" s="1479">
        <v>8.3360000000000003</v>
      </c>
      <c r="D72" s="1479">
        <v>8.7769999999999992</v>
      </c>
      <c r="E72" s="1479">
        <v>8.9990000000000006</v>
      </c>
      <c r="F72" s="1479">
        <v>9.1959999999999997</v>
      </c>
      <c r="G72" s="1479">
        <v>9.41</v>
      </c>
      <c r="H72" s="1479">
        <v>9.6329999999999991</v>
      </c>
      <c r="I72" s="1479">
        <v>9.7539999999999996</v>
      </c>
      <c r="J72" s="1490">
        <v>10.129</v>
      </c>
      <c r="K72" s="1479">
        <v>10.137</v>
      </c>
      <c r="L72" s="1479">
        <v>10.182</v>
      </c>
      <c r="M72" s="1479">
        <v>10.265000000000001</v>
      </c>
    </row>
    <row r="73" spans="1:13">
      <c r="A73" s="1478">
        <v>45391</v>
      </c>
      <c r="B73" s="1479">
        <v>7.4630000000000001</v>
      </c>
      <c r="C73" s="1479">
        <v>8.2270000000000003</v>
      </c>
      <c r="D73" s="1479">
        <v>8.5570000000000004</v>
      </c>
      <c r="E73" s="1479">
        <v>8.8369999999999997</v>
      </c>
      <c r="F73" s="1479">
        <v>9.02</v>
      </c>
      <c r="G73" s="1479">
        <v>9.2620000000000005</v>
      </c>
      <c r="H73" s="1479">
        <v>9.4619999999999997</v>
      </c>
      <c r="I73" s="1479">
        <v>9.5760000000000005</v>
      </c>
      <c r="J73" s="1490">
        <v>9.9580000000000002</v>
      </c>
      <c r="K73" s="1479">
        <v>9.9580000000000002</v>
      </c>
      <c r="L73" s="1479">
        <v>10.002000000000001</v>
      </c>
      <c r="M73" s="1479">
        <v>10.101000000000001</v>
      </c>
    </row>
    <row r="74" spans="1:13">
      <c r="A74" s="1478">
        <v>45392</v>
      </c>
      <c r="B74" s="1479">
        <v>7.4820000000000002</v>
      </c>
      <c r="C74" s="1479">
        <v>8.2959999999999994</v>
      </c>
      <c r="D74" s="1479">
        <v>8.6630000000000003</v>
      </c>
      <c r="E74" s="1479">
        <v>8.8960000000000008</v>
      </c>
      <c r="F74" s="1479">
        <v>9.0969999999999995</v>
      </c>
      <c r="G74" s="1479">
        <v>9.32</v>
      </c>
      <c r="H74" s="1479">
        <v>9.5220000000000002</v>
      </c>
      <c r="I74" s="1479">
        <v>9.6419999999999995</v>
      </c>
      <c r="J74" s="1490">
        <v>10.029</v>
      </c>
      <c r="K74" s="1479">
        <v>10.052</v>
      </c>
      <c r="L74" s="1479">
        <v>10.065</v>
      </c>
      <c r="M74" s="1479">
        <v>10.167999999999999</v>
      </c>
    </row>
    <row r="75" spans="1:13">
      <c r="A75" s="1478">
        <v>45393</v>
      </c>
      <c r="B75" s="1479">
        <v>7.6639999999999997</v>
      </c>
      <c r="C75" s="1479">
        <v>8.4710000000000001</v>
      </c>
      <c r="D75" s="1479">
        <v>8.9600000000000009</v>
      </c>
      <c r="E75" s="1479">
        <v>9.1679999999999993</v>
      </c>
      <c r="F75" s="1479">
        <v>9.4019999999999992</v>
      </c>
      <c r="G75" s="1479">
        <v>9.5909999999999993</v>
      </c>
      <c r="H75" s="1479">
        <v>9.8469999999999995</v>
      </c>
      <c r="I75" s="1479">
        <v>9.9019999999999992</v>
      </c>
      <c r="J75" s="1490">
        <v>10.336</v>
      </c>
      <c r="K75" s="1479">
        <v>10.321999999999999</v>
      </c>
      <c r="L75" s="1479">
        <v>10.307</v>
      </c>
      <c r="M75" s="1479">
        <v>10.438000000000001</v>
      </c>
    </row>
    <row r="76" spans="1:13">
      <c r="A76" s="1478">
        <v>45394</v>
      </c>
      <c r="B76" s="1479">
        <v>7.5170000000000003</v>
      </c>
      <c r="C76" s="1479">
        <v>8.4109999999999996</v>
      </c>
      <c r="D76" s="1479">
        <v>8.9619999999999997</v>
      </c>
      <c r="E76" s="1479">
        <v>9.1950000000000003</v>
      </c>
      <c r="F76" s="1479">
        <v>9.4410000000000007</v>
      </c>
      <c r="G76" s="1479">
        <v>9.6219999999999999</v>
      </c>
      <c r="H76" s="1479">
        <v>9.8369999999999997</v>
      </c>
      <c r="I76" s="1479">
        <v>9.9190000000000005</v>
      </c>
      <c r="J76" s="1490">
        <v>10.356</v>
      </c>
      <c r="K76" s="1479">
        <v>10.319000000000001</v>
      </c>
      <c r="L76" s="1479">
        <v>10.31</v>
      </c>
      <c r="M76" s="1479">
        <v>10.425000000000001</v>
      </c>
    </row>
    <row r="77" spans="1:13">
      <c r="A77" s="1478">
        <v>45397</v>
      </c>
      <c r="B77" s="1479">
        <v>7.5949999999999998</v>
      </c>
      <c r="C77" s="1479">
        <v>8.609</v>
      </c>
      <c r="D77" s="1479">
        <v>9.1129999999999995</v>
      </c>
      <c r="E77" s="1479">
        <v>9.3249999999999993</v>
      </c>
      <c r="F77" s="1479">
        <v>9.5690000000000008</v>
      </c>
      <c r="G77" s="1479">
        <v>9.7729999999999997</v>
      </c>
      <c r="H77" s="1479">
        <v>10.004</v>
      </c>
      <c r="I77" s="1479">
        <v>10.047000000000001</v>
      </c>
      <c r="J77" s="1490">
        <v>10.510999999999999</v>
      </c>
      <c r="K77" s="1479">
        <v>10.464</v>
      </c>
      <c r="L77" s="1479">
        <v>10.439</v>
      </c>
      <c r="M77" s="1479">
        <v>10.574999999999999</v>
      </c>
    </row>
    <row r="78" spans="1:13">
      <c r="A78" s="1478">
        <v>45398</v>
      </c>
      <c r="B78" s="1479">
        <v>7.8650000000000002</v>
      </c>
      <c r="C78" s="1479">
        <v>8.8870000000000005</v>
      </c>
      <c r="D78" s="1479">
        <v>9.4350000000000005</v>
      </c>
      <c r="E78" s="1479">
        <v>9.6630000000000003</v>
      </c>
      <c r="F78" s="1479">
        <v>9.8629999999999995</v>
      </c>
      <c r="G78" s="1479">
        <v>10.061</v>
      </c>
      <c r="H78" s="1479">
        <v>10.287000000000001</v>
      </c>
      <c r="I78" s="1479">
        <v>10.331</v>
      </c>
      <c r="J78" s="1490">
        <v>10.753</v>
      </c>
      <c r="K78" s="1479">
        <v>10.715</v>
      </c>
      <c r="L78" s="1479">
        <v>10.656000000000001</v>
      </c>
      <c r="M78" s="1479">
        <v>10.811999999999999</v>
      </c>
    </row>
    <row r="79" spans="1:13">
      <c r="A79" s="1478">
        <v>45399</v>
      </c>
      <c r="B79" s="1479">
        <v>7.8650000000000002</v>
      </c>
      <c r="C79" s="1479">
        <v>8.8870000000000005</v>
      </c>
      <c r="D79" s="1479">
        <v>9.4350000000000005</v>
      </c>
      <c r="E79" s="1479">
        <v>9.6630000000000003</v>
      </c>
      <c r="F79" s="1479">
        <v>9.8629999999999995</v>
      </c>
      <c r="G79" s="1479">
        <v>10.061</v>
      </c>
      <c r="H79" s="1479">
        <v>10.287000000000001</v>
      </c>
      <c r="I79" s="1479">
        <v>10.331</v>
      </c>
      <c r="J79" s="1490">
        <v>10.753</v>
      </c>
      <c r="K79" s="1479">
        <v>10.715</v>
      </c>
      <c r="L79" s="1479">
        <v>10.656000000000001</v>
      </c>
      <c r="M79" s="1479">
        <v>10.811999999999999</v>
      </c>
    </row>
    <row r="80" spans="1:13">
      <c r="A80" s="1478">
        <v>45400</v>
      </c>
      <c r="B80" s="1479">
        <v>7.7389999999999999</v>
      </c>
      <c r="C80" s="1479">
        <v>8.6959999999999997</v>
      </c>
      <c r="D80" s="1479">
        <v>9.2210000000000001</v>
      </c>
      <c r="E80" s="1479">
        <v>9.4600000000000009</v>
      </c>
      <c r="F80" s="1479">
        <v>9.6649999999999991</v>
      </c>
      <c r="G80" s="1479">
        <v>9.8170000000000002</v>
      </c>
      <c r="H80" s="1479">
        <v>10.029</v>
      </c>
      <c r="I80" s="1479">
        <v>10.074</v>
      </c>
      <c r="J80" s="1490">
        <v>10.542</v>
      </c>
      <c r="K80" s="1479">
        <v>10.477</v>
      </c>
      <c r="L80" s="1479">
        <v>10.458</v>
      </c>
      <c r="M80" s="1479">
        <v>10.592000000000001</v>
      </c>
    </row>
    <row r="81" spans="1:13">
      <c r="A81" s="1478">
        <v>45401</v>
      </c>
      <c r="B81" s="1479">
        <v>7.6349999999999998</v>
      </c>
      <c r="C81" s="1479">
        <v>8.6509999999999998</v>
      </c>
      <c r="D81" s="1479">
        <v>9.1679999999999993</v>
      </c>
      <c r="E81" s="1479">
        <v>9.3780000000000001</v>
      </c>
      <c r="F81" s="1479">
        <v>9.6229999999999993</v>
      </c>
      <c r="G81" s="1479">
        <v>9.7759999999999998</v>
      </c>
      <c r="H81" s="1479">
        <v>9.9760000000000009</v>
      </c>
      <c r="I81" s="1479">
        <v>10.015000000000001</v>
      </c>
      <c r="J81" s="1490">
        <v>10.483000000000001</v>
      </c>
      <c r="K81" s="1479">
        <v>10.423</v>
      </c>
      <c r="L81" s="1479">
        <v>10.394</v>
      </c>
      <c r="M81" s="1479">
        <v>10.541</v>
      </c>
    </row>
    <row r="82" spans="1:13">
      <c r="A82" s="1478">
        <v>45404</v>
      </c>
      <c r="B82" s="1479">
        <v>7.54</v>
      </c>
      <c r="C82" s="1479">
        <v>8.5009999999999994</v>
      </c>
      <c r="D82" s="1479">
        <v>9.0150000000000006</v>
      </c>
      <c r="E82" s="1479">
        <v>9.2850000000000001</v>
      </c>
      <c r="F82" s="1479">
        <v>9.8710000000000004</v>
      </c>
      <c r="G82" s="1479">
        <v>9.6660000000000004</v>
      </c>
      <c r="H82" s="1479">
        <v>9.8710000000000004</v>
      </c>
      <c r="I82" s="1479">
        <v>9.907</v>
      </c>
      <c r="J82" s="1490">
        <v>10.368</v>
      </c>
      <c r="K82" s="1479">
        <v>10.339</v>
      </c>
      <c r="L82" s="1479">
        <v>10.32</v>
      </c>
      <c r="M82" s="1479">
        <v>10.43</v>
      </c>
    </row>
    <row r="83" spans="1:13">
      <c r="A83" s="1478">
        <v>45405</v>
      </c>
      <c r="B83" s="1479">
        <v>7.5039999999999996</v>
      </c>
      <c r="C83" s="1479">
        <v>8.5129999999999999</v>
      </c>
      <c r="D83" s="1479">
        <v>9.0169999999999995</v>
      </c>
      <c r="E83" s="1479">
        <v>9.2650000000000006</v>
      </c>
      <c r="F83" s="1479">
        <v>9.4890000000000008</v>
      </c>
      <c r="G83" s="1479">
        <v>9.6329999999999991</v>
      </c>
      <c r="H83" s="1479">
        <v>9.8569999999999993</v>
      </c>
      <c r="I83" s="1479">
        <v>9.9009999999999998</v>
      </c>
      <c r="J83" s="1490">
        <v>10.361000000000001</v>
      </c>
      <c r="K83" s="1479">
        <v>10.302</v>
      </c>
      <c r="L83" s="1479">
        <v>10.32</v>
      </c>
      <c r="M83" s="1479">
        <v>10.414</v>
      </c>
    </row>
    <row r="84" spans="1:13">
      <c r="A84" s="1478">
        <v>45406</v>
      </c>
      <c r="B84" s="1479">
        <v>7.6029999999999998</v>
      </c>
      <c r="C84" s="1479">
        <v>8.6690000000000005</v>
      </c>
      <c r="D84" s="1479">
        <v>9.1660000000000004</v>
      </c>
      <c r="E84" s="1479">
        <v>9.4369999999999994</v>
      </c>
      <c r="F84" s="1479">
        <v>9.6489999999999991</v>
      </c>
      <c r="G84" s="1479">
        <v>9.7729999999999997</v>
      </c>
      <c r="H84" s="1479">
        <v>9.9529999999999994</v>
      </c>
      <c r="I84" s="1479">
        <v>10.041</v>
      </c>
      <c r="J84" s="1490">
        <v>10.507999999999999</v>
      </c>
      <c r="K84" s="1479">
        <v>10.45</v>
      </c>
      <c r="L84" s="1479">
        <v>10.427</v>
      </c>
      <c r="M84" s="1479">
        <v>10.574999999999999</v>
      </c>
    </row>
    <row r="85" spans="1:13">
      <c r="A85" s="1478">
        <v>45407</v>
      </c>
      <c r="B85" s="1479">
        <v>7.6760000000000002</v>
      </c>
      <c r="C85" s="1479">
        <v>8.7639999999999993</v>
      </c>
      <c r="D85" s="1479">
        <v>9.2929999999999993</v>
      </c>
      <c r="E85" s="1479">
        <v>9.5370000000000008</v>
      </c>
      <c r="F85" s="1479">
        <v>9.7560000000000002</v>
      </c>
      <c r="G85" s="1479">
        <v>9.859</v>
      </c>
      <c r="H85" s="1479">
        <v>10.119999999999999</v>
      </c>
      <c r="I85" s="1479">
        <v>10.148</v>
      </c>
      <c r="J85" s="1490">
        <v>10.621</v>
      </c>
      <c r="K85" s="1479">
        <v>10.571999999999999</v>
      </c>
      <c r="L85" s="1479">
        <v>10.500999999999999</v>
      </c>
      <c r="M85" s="1479">
        <v>10.689</v>
      </c>
    </row>
    <row r="86" spans="1:13">
      <c r="A86" s="1478">
        <v>45408</v>
      </c>
      <c r="B86" s="1479">
        <v>7.6710000000000003</v>
      </c>
      <c r="C86" s="1479">
        <v>8.7010000000000005</v>
      </c>
      <c r="D86" s="1479">
        <v>9.2210000000000001</v>
      </c>
      <c r="E86" s="1479">
        <v>9.4809999999999999</v>
      </c>
      <c r="F86" s="1479">
        <v>9.69</v>
      </c>
      <c r="G86" s="1479">
        <v>9.7669999999999995</v>
      </c>
      <c r="H86" s="1479">
        <v>10.019</v>
      </c>
      <c r="I86" s="1479">
        <v>10.045</v>
      </c>
      <c r="J86" s="1490">
        <v>10.504</v>
      </c>
      <c r="K86" s="1479">
        <v>10.47</v>
      </c>
      <c r="L86" s="1479">
        <v>10.42</v>
      </c>
      <c r="M86" s="1479">
        <v>10.587999999999999</v>
      </c>
    </row>
    <row r="87" spans="1:13">
      <c r="A87" s="1478">
        <v>45411</v>
      </c>
      <c r="B87" s="1479">
        <v>7.5110000000000001</v>
      </c>
      <c r="C87" s="1479">
        <v>8.5310000000000006</v>
      </c>
      <c r="D87" s="1479">
        <v>9.0630000000000006</v>
      </c>
      <c r="E87" s="1479">
        <v>9.34</v>
      </c>
      <c r="F87" s="1479">
        <v>9.5519999999999996</v>
      </c>
      <c r="G87" s="1479">
        <v>9.625</v>
      </c>
      <c r="H87" s="1479">
        <v>9.8659999999999997</v>
      </c>
      <c r="I87" s="1479">
        <v>9.8829999999999991</v>
      </c>
      <c r="J87" s="1490">
        <v>10.342000000000001</v>
      </c>
      <c r="K87" s="1479">
        <v>10.337</v>
      </c>
      <c r="L87" s="1479">
        <v>10.265000000000001</v>
      </c>
      <c r="M87" s="1479">
        <v>10.446</v>
      </c>
    </row>
    <row r="88" spans="1:13">
      <c r="A88" s="1478">
        <v>45412</v>
      </c>
      <c r="B88" s="1479">
        <v>7.6660000000000004</v>
      </c>
      <c r="C88" s="1479">
        <v>8.7929999999999993</v>
      </c>
      <c r="D88" s="1479">
        <v>9.3030000000000008</v>
      </c>
      <c r="E88" s="1479">
        <v>9.5990000000000002</v>
      </c>
      <c r="F88" s="1479">
        <v>9.8079999999999998</v>
      </c>
      <c r="G88" s="1479">
        <v>9.8650000000000002</v>
      </c>
      <c r="H88" s="1479">
        <v>10.102</v>
      </c>
      <c r="I88" s="1479">
        <v>10.111000000000001</v>
      </c>
      <c r="J88" s="1490">
        <v>10.542999999999999</v>
      </c>
      <c r="K88" s="1479">
        <v>10.516999999999999</v>
      </c>
      <c r="L88" s="1479">
        <v>10.516999999999999</v>
      </c>
      <c r="M88" s="1479">
        <v>10.631</v>
      </c>
    </row>
    <row r="89" spans="1:13">
      <c r="A89" s="1478">
        <v>45413</v>
      </c>
      <c r="B89" s="1479">
        <v>7.6369999999999996</v>
      </c>
      <c r="C89" s="1479">
        <v>8.8369999999999997</v>
      </c>
      <c r="D89" s="1479">
        <v>9.3689999999999998</v>
      </c>
      <c r="E89" s="1479">
        <v>9.6780000000000008</v>
      </c>
      <c r="F89" s="1479">
        <v>9.9009999999999998</v>
      </c>
      <c r="G89" s="1479">
        <v>9.9760000000000009</v>
      </c>
      <c r="H89" s="1479">
        <v>10.212</v>
      </c>
      <c r="I89" s="1479">
        <v>10.221</v>
      </c>
      <c r="J89" s="1490">
        <v>10.644</v>
      </c>
      <c r="K89" s="1479">
        <v>10.597</v>
      </c>
      <c r="L89" s="1479">
        <v>10.489000000000001</v>
      </c>
      <c r="M89" s="1479">
        <v>10.705</v>
      </c>
    </row>
    <row r="90" spans="1:13">
      <c r="A90" s="1478">
        <v>45414</v>
      </c>
      <c r="B90" s="1480">
        <v>7.5220000000000002</v>
      </c>
      <c r="C90" s="1480">
        <v>8.7140000000000004</v>
      </c>
      <c r="D90" s="1480">
        <v>9.2309999999999999</v>
      </c>
      <c r="E90" s="1480">
        <v>9.5679999999999996</v>
      </c>
      <c r="F90" s="1480">
        <v>9.7729999999999997</v>
      </c>
      <c r="G90" s="1480">
        <v>9.8620000000000001</v>
      </c>
      <c r="H90" s="1480">
        <v>10.076000000000001</v>
      </c>
      <c r="I90" s="1480">
        <v>10.095000000000001</v>
      </c>
      <c r="J90" s="1491">
        <v>10.54</v>
      </c>
      <c r="K90" s="1480">
        <v>10.462</v>
      </c>
      <c r="L90" s="1480">
        <v>10.356</v>
      </c>
      <c r="M90" s="1480">
        <v>10.589</v>
      </c>
    </row>
    <row r="91" spans="1:13">
      <c r="A91" s="1478">
        <v>45415</v>
      </c>
      <c r="B91" s="1480">
        <v>7.4610000000000003</v>
      </c>
      <c r="C91" s="1480">
        <v>8.4920000000000009</v>
      </c>
      <c r="D91" s="1480">
        <v>8.9589999999999996</v>
      </c>
      <c r="E91" s="1480">
        <v>9.3019999999999996</v>
      </c>
      <c r="F91" s="1480">
        <v>9.5429999999999993</v>
      </c>
      <c r="G91" s="1480">
        <v>9.6140000000000008</v>
      </c>
      <c r="H91" s="1480">
        <v>9.8529999999999998</v>
      </c>
      <c r="I91" s="1480">
        <v>9.8879999999999999</v>
      </c>
      <c r="J91" s="1491">
        <v>10.333</v>
      </c>
      <c r="K91" s="1480">
        <v>10.255000000000001</v>
      </c>
      <c r="L91" s="1480">
        <v>10.198</v>
      </c>
      <c r="M91" s="1480">
        <v>10.4</v>
      </c>
    </row>
    <row r="92" spans="1:13">
      <c r="A92" s="1478">
        <v>45418</v>
      </c>
      <c r="B92" s="1480">
        <v>7.3280000000000003</v>
      </c>
      <c r="C92" s="1480">
        <v>8.4979999999999993</v>
      </c>
      <c r="D92" s="1480">
        <v>9.0030000000000001</v>
      </c>
      <c r="E92" s="1480">
        <v>9.3089999999999993</v>
      </c>
      <c r="F92" s="1480">
        <v>9.5690000000000008</v>
      </c>
      <c r="G92" s="1480">
        <v>9.7080000000000002</v>
      </c>
      <c r="H92" s="1480">
        <v>9.8780000000000001</v>
      </c>
      <c r="I92" s="1480">
        <v>9.9380000000000006</v>
      </c>
      <c r="J92" s="1491">
        <v>10.366</v>
      </c>
      <c r="K92" s="1480">
        <v>10.275</v>
      </c>
      <c r="L92" s="1480">
        <v>10.212</v>
      </c>
      <c r="M92" s="1480">
        <v>10.414</v>
      </c>
    </row>
    <row r="93" spans="1:13">
      <c r="A93" s="1478">
        <v>45419</v>
      </c>
      <c r="B93" s="1480">
        <v>7.3719999999999999</v>
      </c>
      <c r="C93" s="1480">
        <v>8.3249999999999993</v>
      </c>
      <c r="D93" s="1480">
        <v>8.7919999999999998</v>
      </c>
      <c r="E93" s="1480">
        <v>9.1199999999999992</v>
      </c>
      <c r="F93" s="1480">
        <v>9.3699999999999992</v>
      </c>
      <c r="G93" s="1480">
        <v>9.4450000000000003</v>
      </c>
      <c r="H93" s="1480">
        <v>9.6920000000000002</v>
      </c>
      <c r="I93" s="1480">
        <v>9.7249999999999996</v>
      </c>
      <c r="J93" s="1491">
        <v>10.154</v>
      </c>
      <c r="K93" s="1480">
        <v>10.117000000000001</v>
      </c>
      <c r="L93" s="1480">
        <v>10.08</v>
      </c>
      <c r="M93" s="1480">
        <v>10.257999999999999</v>
      </c>
    </row>
    <row r="94" spans="1:13">
      <c r="A94" s="1478">
        <v>45420</v>
      </c>
      <c r="B94" s="1480">
        <v>7.3789999999999996</v>
      </c>
      <c r="C94" s="1480">
        <v>8.4090000000000007</v>
      </c>
      <c r="D94" s="1480">
        <v>8.8770000000000007</v>
      </c>
      <c r="E94" s="1480">
        <v>9.2119999999999997</v>
      </c>
      <c r="F94" s="1480">
        <v>9.4390000000000001</v>
      </c>
      <c r="G94" s="1480">
        <v>9.5210000000000008</v>
      </c>
      <c r="H94" s="1480">
        <v>9.7870000000000008</v>
      </c>
      <c r="I94" s="1480">
        <v>9.8049999999999997</v>
      </c>
      <c r="J94" s="1491">
        <v>10.25</v>
      </c>
      <c r="K94" s="1480">
        <v>10.189</v>
      </c>
      <c r="L94" s="1480">
        <v>10.148</v>
      </c>
      <c r="M94" s="1480">
        <v>10.349</v>
      </c>
    </row>
    <row r="95" spans="1:13">
      <c r="A95" s="1478">
        <v>45421</v>
      </c>
      <c r="B95" s="1480">
        <v>7.4329999999999998</v>
      </c>
      <c r="C95" s="1480">
        <v>8.4369999999999994</v>
      </c>
      <c r="D95" s="1480">
        <v>8.9079999999999995</v>
      </c>
      <c r="E95" s="1480">
        <v>9.2629999999999999</v>
      </c>
      <c r="F95" s="1480">
        <v>9.4860000000000007</v>
      </c>
      <c r="G95" s="1480">
        <v>9.5730000000000004</v>
      </c>
      <c r="H95" s="1480">
        <v>9.8230000000000004</v>
      </c>
      <c r="I95" s="1480">
        <v>9.8170000000000002</v>
      </c>
      <c r="J95" s="1491">
        <v>10.278</v>
      </c>
      <c r="K95" s="1480">
        <v>10.228999999999999</v>
      </c>
      <c r="L95" s="1480">
        <v>10.186999999999999</v>
      </c>
      <c r="M95" s="1480">
        <v>10.411</v>
      </c>
    </row>
    <row r="96" spans="1:13">
      <c r="A96" s="1478">
        <v>45422</v>
      </c>
      <c r="B96" s="1480">
        <v>7.5250000000000004</v>
      </c>
      <c r="C96" s="1480">
        <v>8.6419999999999995</v>
      </c>
      <c r="D96" s="1480">
        <v>9.0969999999999995</v>
      </c>
      <c r="E96" s="1480">
        <v>9.44</v>
      </c>
      <c r="F96" s="1480">
        <v>9.6649999999999991</v>
      </c>
      <c r="G96" s="1480">
        <v>9.7379999999999995</v>
      </c>
      <c r="H96" s="1480">
        <v>9.9600000000000009</v>
      </c>
      <c r="I96" s="1480">
        <v>9.9469999999999992</v>
      </c>
      <c r="J96" s="1491">
        <v>10.385999999999999</v>
      </c>
      <c r="K96" s="1480">
        <v>10.304</v>
      </c>
      <c r="L96" s="1480">
        <v>10.268000000000001</v>
      </c>
      <c r="M96" s="1480">
        <v>10.500999999999999</v>
      </c>
    </row>
    <row r="97" spans="1:15">
      <c r="A97" s="1478">
        <v>45425</v>
      </c>
      <c r="B97" s="1480">
        <v>7.52</v>
      </c>
      <c r="C97" s="1480">
        <v>8.6310000000000002</v>
      </c>
      <c r="D97" s="1480">
        <v>9.0820000000000007</v>
      </c>
      <c r="E97" s="1480">
        <v>9.4280000000000008</v>
      </c>
      <c r="F97" s="1480">
        <v>9.6509999999999998</v>
      </c>
      <c r="G97" s="1480">
        <v>9.7260000000000009</v>
      </c>
      <c r="H97" s="1480">
        <v>9.9540000000000006</v>
      </c>
      <c r="I97" s="1480">
        <v>9.9390000000000001</v>
      </c>
      <c r="J97" s="1491">
        <v>10.381</v>
      </c>
      <c r="K97" s="1480">
        <v>10.3</v>
      </c>
      <c r="L97" s="1480">
        <v>10.263</v>
      </c>
      <c r="M97" s="1480">
        <v>10.487</v>
      </c>
    </row>
    <row r="98" spans="1:15">
      <c r="A98" s="1478">
        <v>45426</v>
      </c>
      <c r="B98" s="1480">
        <v>7.367</v>
      </c>
      <c r="C98" s="1480">
        <v>8.6980000000000004</v>
      </c>
      <c r="D98" s="1480">
        <v>9.141</v>
      </c>
      <c r="E98" s="1480">
        <v>9.4619999999999997</v>
      </c>
      <c r="F98" s="1480">
        <v>9.6829999999999998</v>
      </c>
      <c r="G98" s="1480">
        <v>9.7520000000000007</v>
      </c>
      <c r="H98" s="1480">
        <v>9.9809999999999999</v>
      </c>
      <c r="I98" s="1480">
        <v>9.9749999999999996</v>
      </c>
      <c r="J98" s="1491">
        <v>10.427</v>
      </c>
      <c r="K98" s="1480">
        <v>10.307</v>
      </c>
      <c r="L98" s="1480">
        <v>10.27</v>
      </c>
      <c r="M98" s="1480">
        <v>10.499000000000001</v>
      </c>
    </row>
    <row r="99" spans="1:15">
      <c r="A99" s="1478">
        <v>45427</v>
      </c>
      <c r="B99" s="1480">
        <v>7.2969999999999997</v>
      </c>
      <c r="C99" s="1480">
        <v>8.5670000000000002</v>
      </c>
      <c r="D99" s="1480">
        <v>9.0410000000000004</v>
      </c>
      <c r="E99" s="1480">
        <v>9.3840000000000003</v>
      </c>
      <c r="F99" s="1480">
        <v>9.6039999999999992</v>
      </c>
      <c r="G99" s="1480">
        <v>9.6649999999999991</v>
      </c>
      <c r="H99" s="1480">
        <v>9.8840000000000003</v>
      </c>
      <c r="I99" s="1480">
        <v>9.8840000000000003</v>
      </c>
      <c r="J99" s="1491">
        <v>10.336</v>
      </c>
      <c r="K99" s="1480">
        <v>10.256</v>
      </c>
      <c r="L99" s="1480">
        <v>10.217000000000001</v>
      </c>
      <c r="M99" s="1480">
        <v>10.444000000000001</v>
      </c>
    </row>
    <row r="100" spans="1:15">
      <c r="A100" s="1478">
        <v>45428</v>
      </c>
      <c r="B100" s="1480">
        <v>7.0510000000000002</v>
      </c>
      <c r="C100" s="1480">
        <v>8.4789999999999992</v>
      </c>
      <c r="D100" s="1480">
        <v>8.9309999999999992</v>
      </c>
      <c r="E100" s="1480">
        <v>9.2840000000000007</v>
      </c>
      <c r="F100" s="1480">
        <v>9.4949999999999992</v>
      </c>
      <c r="G100" s="1480">
        <v>9.5739999999999998</v>
      </c>
      <c r="H100" s="1480">
        <v>9.8290000000000006</v>
      </c>
      <c r="I100" s="1480">
        <v>9.82</v>
      </c>
      <c r="J100" s="1491">
        <v>10.287000000000001</v>
      </c>
      <c r="K100" s="1480">
        <v>10.207000000000001</v>
      </c>
      <c r="L100" s="1480">
        <v>10.164999999999999</v>
      </c>
      <c r="M100" s="1480">
        <v>10.348000000000001</v>
      </c>
    </row>
    <row r="101" spans="1:15">
      <c r="A101" s="1478">
        <v>45429</v>
      </c>
      <c r="B101" s="1480">
        <v>7.0659999999999998</v>
      </c>
      <c r="C101" s="1480">
        <v>8.577</v>
      </c>
      <c r="D101" s="1480">
        <v>9.0229999999999997</v>
      </c>
      <c r="E101" s="1480">
        <v>9.3870000000000005</v>
      </c>
      <c r="F101" s="1480">
        <v>9.5860000000000003</v>
      </c>
      <c r="G101" s="1480">
        <v>9.6839999999999993</v>
      </c>
      <c r="H101" s="1480">
        <v>9.8970000000000002</v>
      </c>
      <c r="I101" s="1480">
        <v>9.9019999999999992</v>
      </c>
      <c r="J101" s="1491">
        <v>10.356</v>
      </c>
      <c r="K101" s="1480">
        <v>10.276999999999999</v>
      </c>
      <c r="L101" s="1480">
        <v>10.224</v>
      </c>
      <c r="M101" s="1480">
        <v>10.414999999999999</v>
      </c>
    </row>
    <row r="102" spans="1:15">
      <c r="A102" s="1478">
        <v>45432</v>
      </c>
      <c r="B102" s="1480">
        <v>7.1310000000000002</v>
      </c>
      <c r="C102" s="1480">
        <v>8.5670000000000002</v>
      </c>
      <c r="D102" s="1480">
        <v>9.0060000000000002</v>
      </c>
      <c r="E102" s="1480">
        <v>9.3550000000000004</v>
      </c>
      <c r="F102" s="1480">
        <v>9.6010000000000009</v>
      </c>
      <c r="G102" s="1480">
        <v>9.6679999999999993</v>
      </c>
      <c r="H102" s="1480">
        <v>9.8840000000000003</v>
      </c>
      <c r="I102" s="1480">
        <v>9.9280000000000008</v>
      </c>
      <c r="J102" s="1491">
        <v>10.358000000000001</v>
      </c>
      <c r="K102" s="1480">
        <v>10.256</v>
      </c>
      <c r="L102" s="1480">
        <v>10.199999999999999</v>
      </c>
      <c r="M102" s="1480">
        <v>10.432</v>
      </c>
    </row>
    <row r="103" spans="1:15">
      <c r="A103" s="1478">
        <v>45433</v>
      </c>
      <c r="B103" s="1480">
        <v>7.0860000000000003</v>
      </c>
      <c r="C103" s="1480">
        <v>8.5389999999999997</v>
      </c>
      <c r="D103" s="1480">
        <v>8.9700000000000006</v>
      </c>
      <c r="E103" s="1480">
        <v>9.3290000000000006</v>
      </c>
      <c r="F103" s="1480">
        <v>9.5589999999999993</v>
      </c>
      <c r="G103" s="1480">
        <v>9.6300000000000008</v>
      </c>
      <c r="H103" s="1480">
        <v>9.8569999999999993</v>
      </c>
      <c r="I103" s="1480">
        <v>9.8859999999999992</v>
      </c>
      <c r="J103" s="1491">
        <v>10.337</v>
      </c>
      <c r="K103" s="1480">
        <v>10.247999999999999</v>
      </c>
      <c r="L103" s="1480">
        <v>10.177</v>
      </c>
      <c r="M103" s="1480">
        <v>10.393000000000001</v>
      </c>
    </row>
    <row r="104" spans="1:15">
      <c r="A104" s="1478">
        <v>45434</v>
      </c>
      <c r="B104" s="1480">
        <v>7.1070000000000002</v>
      </c>
      <c r="C104" s="1480">
        <v>8.6010000000000009</v>
      </c>
      <c r="D104" s="1480">
        <v>9.0239999999999991</v>
      </c>
      <c r="E104" s="1480">
        <v>9.3740000000000006</v>
      </c>
      <c r="F104" s="1480">
        <v>9.6319999999999997</v>
      </c>
      <c r="G104" s="1480">
        <v>9.6940000000000008</v>
      </c>
      <c r="H104" s="1480">
        <v>9.9510000000000005</v>
      </c>
      <c r="I104" s="1480">
        <v>9.9760000000000009</v>
      </c>
      <c r="J104" s="1491">
        <v>10.417</v>
      </c>
      <c r="K104" s="1480">
        <v>10.326000000000001</v>
      </c>
      <c r="L104" s="1480">
        <v>10.242000000000001</v>
      </c>
      <c r="M104" s="1480">
        <v>10.461</v>
      </c>
    </row>
    <row r="105" spans="1:15">
      <c r="A105" s="1478">
        <v>45435</v>
      </c>
      <c r="B105" s="1480">
        <v>7.1580000000000004</v>
      </c>
      <c r="C105" s="1480">
        <v>8.7319999999999993</v>
      </c>
      <c r="D105" s="1480">
        <v>9.2200000000000006</v>
      </c>
      <c r="E105" s="1480">
        <v>9.5410000000000004</v>
      </c>
      <c r="F105" s="1480">
        <v>9.7739999999999991</v>
      </c>
      <c r="G105" s="1480">
        <v>9.8520000000000003</v>
      </c>
      <c r="H105" s="1480">
        <v>10.106</v>
      </c>
      <c r="I105" s="1480">
        <v>10.118</v>
      </c>
      <c r="J105" s="1491">
        <v>10.542999999999999</v>
      </c>
      <c r="K105" s="1480">
        <v>10.457000000000001</v>
      </c>
      <c r="L105" s="1480">
        <v>10.351000000000001</v>
      </c>
      <c r="M105" s="1480">
        <v>10.58</v>
      </c>
    </row>
    <row r="106" spans="1:15">
      <c r="B106" s="1482"/>
      <c r="C106" s="1482"/>
      <c r="D106" s="1482"/>
      <c r="E106" s="1482"/>
      <c r="F106" s="1483"/>
      <c r="G106" s="1484"/>
      <c r="H106" s="1482"/>
      <c r="I106" s="1482"/>
      <c r="J106" s="1492"/>
      <c r="K106" s="1482"/>
      <c r="L106" s="1482"/>
      <c r="M106" s="1483"/>
    </row>
    <row r="107" spans="1:15">
      <c r="B107" s="1482"/>
      <c r="C107" s="1482"/>
      <c r="D107" s="1482"/>
      <c r="E107" s="1482"/>
      <c r="F107" s="1483"/>
      <c r="G107" s="1484"/>
      <c r="H107" s="1482"/>
      <c r="I107" s="1482"/>
      <c r="J107" s="1492"/>
      <c r="K107" s="1482"/>
      <c r="L107" s="1482"/>
      <c r="M107" s="1483"/>
    </row>
    <row r="108" spans="1:15">
      <c r="A108" s="1481" t="s">
        <v>1080</v>
      </c>
      <c r="B108" s="1492">
        <f t="shared" ref="B108:M108" si="0">AVERAGE(B3:B105)</f>
        <v>7.8930582524271857</v>
      </c>
      <c r="C108" s="1492">
        <f t="shared" si="0"/>
        <v>8.8612427184466043</v>
      </c>
      <c r="D108" s="1492">
        <f t="shared" si="0"/>
        <v>9.132116504854368</v>
      </c>
      <c r="E108" s="1492">
        <f t="shared" si="0"/>
        <v>9.4133106796116532</v>
      </c>
      <c r="F108" s="1492">
        <f t="shared" si="0"/>
        <v>9.5513980582524276</v>
      </c>
      <c r="G108" s="1492">
        <f t="shared" si="0"/>
        <v>9.7310873786407797</v>
      </c>
      <c r="H108" s="1492">
        <f t="shared" si="0"/>
        <v>9.8986796116504845</v>
      </c>
      <c r="I108" s="1492">
        <f t="shared" si="0"/>
        <v>9.9204951456310724</v>
      </c>
      <c r="J108" s="1492">
        <f t="shared" si="0"/>
        <v>10.304456310679608</v>
      </c>
      <c r="K108" s="1492">
        <f t="shared" si="0"/>
        <v>10.199436893203885</v>
      </c>
      <c r="L108" s="1492">
        <f t="shared" si="0"/>
        <v>10.324679611650485</v>
      </c>
      <c r="M108" s="1492">
        <f t="shared" si="0"/>
        <v>10.353669902912623</v>
      </c>
      <c r="O108" s="1494">
        <f>AVERAGE(B108:M108)</f>
        <v>9.6319692556634315</v>
      </c>
    </row>
    <row r="109" spans="1:15">
      <c r="B109" s="1482"/>
      <c r="C109" s="1482"/>
      <c r="D109" s="1482"/>
      <c r="E109" s="1482"/>
      <c r="F109" s="1483"/>
      <c r="G109" s="1484"/>
      <c r="H109" s="1482"/>
      <c r="I109" s="1482"/>
      <c r="J109" s="1492"/>
      <c r="K109" s="1482"/>
      <c r="L109" s="1482"/>
      <c r="M109" s="1483"/>
    </row>
    <row r="110" spans="1:15" ht="15.75" thickBot="1">
      <c r="B110" s="1482"/>
      <c r="C110" s="1482"/>
      <c r="D110" s="1482"/>
      <c r="E110" s="1482"/>
      <c r="F110" s="1483"/>
      <c r="G110" s="1484"/>
      <c r="H110" s="1482"/>
      <c r="I110" s="1482"/>
      <c r="J110" s="1492"/>
      <c r="K110" s="1482"/>
      <c r="L110" s="1482"/>
      <c r="M110" s="1483"/>
      <c r="N110" s="1495" t="s">
        <v>1524</v>
      </c>
      <c r="O110" s="1496">
        <f>J108</f>
        <v>10.304456310679608</v>
      </c>
    </row>
    <row r="111" spans="1:15">
      <c r="B111" s="1482"/>
      <c r="C111" s="1482"/>
      <c r="D111" s="1482"/>
      <c r="E111" s="1482"/>
      <c r="F111" s="1483"/>
      <c r="G111" s="1484"/>
      <c r="H111" s="1482"/>
      <c r="I111" s="1482"/>
      <c r="J111" s="1492"/>
      <c r="K111" s="1482"/>
      <c r="L111" s="1482"/>
      <c r="M111" s="1483"/>
    </row>
    <row r="112" spans="1:15">
      <c r="B112" s="1482"/>
      <c r="C112" s="1482"/>
      <c r="D112" s="1482"/>
      <c r="E112" s="1482"/>
      <c r="F112" s="1483"/>
      <c r="G112" s="1484"/>
      <c r="H112" s="1482"/>
      <c r="I112" s="1482"/>
      <c r="J112" s="1492"/>
      <c r="K112" s="1482"/>
      <c r="L112" s="1482"/>
      <c r="M112" s="1483"/>
    </row>
    <row r="113" spans="2:13">
      <c r="B113" s="1482"/>
      <c r="C113" s="1482"/>
      <c r="D113" s="1482"/>
      <c r="E113" s="1482"/>
      <c r="F113" s="1483"/>
      <c r="G113" s="1484"/>
      <c r="H113" s="1482"/>
      <c r="I113" s="1482"/>
      <c r="J113" s="1492"/>
      <c r="K113" s="1482"/>
      <c r="L113" s="1482"/>
      <c r="M113" s="1483"/>
    </row>
    <row r="114" spans="2:13">
      <c r="B114" s="1482"/>
      <c r="C114" s="1482"/>
      <c r="D114" s="1482"/>
      <c r="E114" s="1482"/>
      <c r="F114" s="1483"/>
      <c r="G114" s="1484"/>
      <c r="H114" s="1482"/>
      <c r="I114" s="1482"/>
      <c r="J114" s="1492"/>
      <c r="K114" s="1482"/>
      <c r="L114" s="1482"/>
      <c r="M114" s="1483"/>
    </row>
    <row r="115" spans="2:13">
      <c r="B115" s="1482"/>
      <c r="C115" s="1482"/>
      <c r="D115" s="1482"/>
      <c r="E115" s="1482"/>
      <c r="F115" s="1483"/>
      <c r="G115" s="1484"/>
      <c r="H115" s="1482"/>
      <c r="I115" s="1482"/>
      <c r="J115" s="1492"/>
      <c r="K115" s="1482"/>
      <c r="L115" s="1482"/>
      <c r="M115" s="1483"/>
    </row>
    <row r="116" spans="2:13">
      <c r="B116" s="1482"/>
      <c r="C116" s="1482"/>
      <c r="D116" s="1482"/>
      <c r="E116" s="1482"/>
      <c r="F116" s="1483"/>
      <c r="G116" s="1484"/>
      <c r="H116" s="1482"/>
      <c r="I116" s="1482"/>
      <c r="J116" s="1492"/>
      <c r="K116" s="1482"/>
      <c r="L116" s="1482"/>
      <c r="M116" s="1483"/>
    </row>
    <row r="117" spans="2:13">
      <c r="B117" s="1482"/>
      <c r="C117" s="1482"/>
      <c r="D117" s="1482"/>
      <c r="E117" s="1482"/>
      <c r="F117" s="1483"/>
      <c r="G117" s="1484"/>
      <c r="H117" s="1482"/>
      <c r="I117" s="1482"/>
      <c r="J117" s="1492"/>
      <c r="K117" s="1482"/>
      <c r="L117" s="1482"/>
      <c r="M117" s="1483"/>
    </row>
    <row r="118" spans="2:13">
      <c r="B118" s="1482"/>
      <c r="C118" s="1482"/>
      <c r="D118" s="1482"/>
      <c r="E118" s="1482"/>
      <c r="F118" s="1483"/>
      <c r="G118" s="1484"/>
      <c r="H118" s="1482"/>
      <c r="I118" s="1482"/>
      <c r="J118" s="1492"/>
      <c r="K118" s="1482"/>
      <c r="L118" s="1482"/>
      <c r="M118" s="1483"/>
    </row>
    <row r="119" spans="2:13">
      <c r="B119" s="1482"/>
      <c r="C119" s="1482"/>
      <c r="D119" s="1482"/>
      <c r="E119" s="1482"/>
      <c r="F119" s="1483"/>
      <c r="G119" s="1484"/>
      <c r="H119" s="1482"/>
      <c r="I119" s="1482"/>
      <c r="J119" s="1492"/>
      <c r="K119" s="1482"/>
      <c r="L119" s="1482"/>
      <c r="M119" s="1483"/>
    </row>
    <row r="120" spans="2:13">
      <c r="B120" s="1482"/>
      <c r="C120" s="1482"/>
      <c r="D120" s="1482"/>
      <c r="E120" s="1482"/>
      <c r="F120" s="1483"/>
      <c r="G120" s="1484"/>
      <c r="H120" s="1482"/>
      <c r="I120" s="1482"/>
      <c r="J120" s="1492"/>
      <c r="K120" s="1482"/>
      <c r="L120" s="1482"/>
      <c r="M120" s="1483"/>
    </row>
    <row r="121" spans="2:13">
      <c r="B121" s="1482"/>
      <c r="C121" s="1482"/>
      <c r="D121" s="1482"/>
      <c r="E121" s="1482"/>
      <c r="F121" s="1483"/>
      <c r="G121" s="1484"/>
      <c r="H121" s="1482"/>
      <c r="I121" s="1482"/>
      <c r="J121" s="1492"/>
      <c r="K121" s="1482"/>
      <c r="L121" s="1482"/>
      <c r="M121" s="1483"/>
    </row>
    <row r="122" spans="2:13">
      <c r="B122" s="1482"/>
      <c r="C122" s="1482"/>
      <c r="D122" s="1482"/>
      <c r="E122" s="1482"/>
      <c r="F122" s="1483"/>
      <c r="G122" s="1484"/>
      <c r="H122" s="1482"/>
      <c r="I122" s="1482"/>
      <c r="J122" s="1492"/>
      <c r="K122" s="1482"/>
      <c r="L122" s="1482"/>
      <c r="M122" s="1483"/>
    </row>
    <row r="123" spans="2:13">
      <c r="B123" s="1482"/>
      <c r="C123" s="1482"/>
      <c r="D123" s="1482"/>
      <c r="E123" s="1482"/>
      <c r="F123" s="1483"/>
      <c r="G123" s="1484"/>
      <c r="H123" s="1482"/>
      <c r="I123" s="1482"/>
      <c r="J123" s="1492"/>
      <c r="K123" s="1482"/>
      <c r="L123" s="1482"/>
      <c r="M123" s="1483"/>
    </row>
    <row r="124" spans="2:13">
      <c r="B124" s="1482"/>
      <c r="C124" s="1482"/>
      <c r="D124" s="1482"/>
      <c r="E124" s="1482"/>
      <c r="F124" s="1483"/>
      <c r="G124" s="1484"/>
      <c r="H124" s="1482"/>
      <c r="I124" s="1482"/>
      <c r="J124" s="1492"/>
      <c r="K124" s="1482"/>
      <c r="L124" s="1482"/>
      <c r="M124" s="1483"/>
    </row>
    <row r="125" spans="2:13">
      <c r="B125" s="1482"/>
      <c r="C125" s="1482"/>
      <c r="D125" s="1482"/>
      <c r="E125" s="1482"/>
      <c r="F125" s="1483"/>
      <c r="G125" s="1484"/>
      <c r="H125" s="1482"/>
      <c r="I125" s="1482"/>
      <c r="J125" s="1492"/>
      <c r="K125" s="1482"/>
      <c r="L125" s="1482"/>
      <c r="M125" s="1483"/>
    </row>
    <row r="126" spans="2:13">
      <c r="B126" s="1482"/>
      <c r="C126" s="1482"/>
      <c r="D126" s="1482"/>
      <c r="E126" s="1482"/>
      <c r="F126" s="1483"/>
      <c r="G126" s="1484"/>
      <c r="H126" s="1482"/>
      <c r="I126" s="1482"/>
      <c r="J126" s="1492"/>
      <c r="K126" s="1482"/>
      <c r="L126" s="1482"/>
      <c r="M126" s="1483"/>
    </row>
    <row r="127" spans="2:13">
      <c r="B127" s="1482"/>
      <c r="C127" s="1482"/>
      <c r="D127" s="1482"/>
      <c r="E127" s="1482"/>
      <c r="F127" s="1483"/>
      <c r="G127" s="1484"/>
      <c r="H127" s="1482"/>
      <c r="I127" s="1482"/>
      <c r="J127" s="1492"/>
      <c r="K127" s="1482"/>
      <c r="L127" s="1482"/>
      <c r="M127" s="1483"/>
    </row>
    <row r="128" spans="2:13">
      <c r="B128" s="1482"/>
      <c r="C128" s="1482"/>
      <c r="D128" s="1482"/>
      <c r="E128" s="1482"/>
      <c r="F128" s="1483"/>
      <c r="G128" s="1484"/>
      <c r="H128" s="1482"/>
      <c r="I128" s="1482"/>
      <c r="J128" s="1492"/>
      <c r="K128" s="1482"/>
      <c r="L128" s="1482"/>
      <c r="M128" s="1483"/>
    </row>
    <row r="129" spans="2:21">
      <c r="B129" s="1482"/>
      <c r="C129" s="1482"/>
      <c r="D129" s="1482"/>
      <c r="E129" s="1482"/>
      <c r="F129" s="1483"/>
      <c r="G129" s="1484"/>
      <c r="H129" s="1482"/>
      <c r="I129" s="1482"/>
      <c r="J129" s="1492"/>
      <c r="K129" s="1482"/>
      <c r="L129" s="1482"/>
      <c r="M129" s="1483"/>
    </row>
    <row r="130" spans="2:21">
      <c r="B130" s="1482"/>
      <c r="C130" s="1482"/>
      <c r="D130" s="1482"/>
      <c r="E130" s="1482"/>
      <c r="F130" s="1483"/>
      <c r="G130" s="1484"/>
      <c r="H130" s="1482"/>
      <c r="I130" s="1482"/>
      <c r="J130" s="1492"/>
      <c r="K130" s="1482"/>
      <c r="L130" s="1482"/>
      <c r="M130" s="1483"/>
    </row>
    <row r="131" spans="2:21">
      <c r="B131" s="1482"/>
      <c r="C131" s="1482"/>
      <c r="D131" s="1482"/>
      <c r="E131" s="1482"/>
      <c r="F131" s="1483"/>
      <c r="G131" s="1484"/>
      <c r="H131" s="1482"/>
      <c r="I131" s="1482"/>
      <c r="J131" s="1492"/>
      <c r="K131" s="1482"/>
      <c r="L131" s="1482"/>
      <c r="M131" s="1483"/>
    </row>
    <row r="132" spans="2:21">
      <c r="B132" s="1482"/>
      <c r="C132" s="1482"/>
      <c r="D132" s="1482"/>
      <c r="E132" s="1482"/>
      <c r="F132" s="1483"/>
      <c r="G132" s="1484"/>
      <c r="H132" s="1482"/>
      <c r="I132" s="1482"/>
      <c r="J132" s="1492"/>
      <c r="K132" s="1482"/>
      <c r="L132" s="1482"/>
      <c r="M132" s="1483"/>
      <c r="R132" s="1476" t="s">
        <v>1783</v>
      </c>
    </row>
    <row r="133" spans="2:21" ht="19.5">
      <c r="B133" s="1482"/>
      <c r="C133" s="1482"/>
      <c r="D133" s="1482"/>
      <c r="E133" s="1482"/>
      <c r="F133" s="1483"/>
      <c r="G133" s="1484"/>
      <c r="H133" s="1482"/>
      <c r="I133" s="1482"/>
      <c r="J133" s="1492"/>
      <c r="K133" s="1482"/>
      <c r="L133" s="1482"/>
      <c r="M133" s="1483"/>
      <c r="T133" s="1707"/>
    </row>
    <row r="134" spans="2:21" ht="15.75" thickBot="1">
      <c r="B134" s="1482"/>
      <c r="C134" s="1482"/>
      <c r="D134" s="1482"/>
      <c r="E134" s="1482"/>
      <c r="F134" s="1483"/>
      <c r="G134" s="1484"/>
      <c r="H134" s="1482"/>
      <c r="I134" s="1482"/>
      <c r="J134" s="1492"/>
      <c r="K134" s="1482"/>
      <c r="L134" s="1482"/>
      <c r="M134" s="1483"/>
    </row>
    <row r="135" spans="2:21" ht="15.75" thickBot="1">
      <c r="B135" s="1482"/>
      <c r="C135" s="1482"/>
      <c r="D135" s="1482"/>
      <c r="E135" s="1482"/>
      <c r="F135" s="1483"/>
      <c r="G135" s="1484"/>
      <c r="H135" s="1482"/>
      <c r="I135" s="1482"/>
      <c r="J135" s="1492"/>
      <c r="K135" s="1482"/>
      <c r="L135" s="1482"/>
      <c r="M135" s="1483"/>
      <c r="Q135" s="2668" t="s">
        <v>1768</v>
      </c>
      <c r="R135" s="2669" t="s">
        <v>1769</v>
      </c>
      <c r="S135" s="2670">
        <v>863</v>
      </c>
      <c r="T135" s="2671">
        <v>1.02</v>
      </c>
      <c r="U135" s="2672">
        <v>-0.17</v>
      </c>
    </row>
    <row r="136" spans="2:21" ht="15.75" thickBot="1">
      <c r="B136" s="1482"/>
      <c r="C136" s="1482"/>
      <c r="D136" s="1482"/>
      <c r="E136" s="1482"/>
      <c r="F136" s="1483"/>
      <c r="G136" s="1484"/>
      <c r="H136" s="1482"/>
      <c r="I136" s="1482"/>
      <c r="J136" s="1492"/>
      <c r="K136" s="1482"/>
      <c r="L136" s="1482"/>
      <c r="M136" s="1483"/>
      <c r="Q136" s="2673" t="s">
        <v>1770</v>
      </c>
      <c r="R136" s="2674"/>
      <c r="S136" s="2674"/>
      <c r="T136" s="2675">
        <v>1.39</v>
      </c>
      <c r="U136" s="2676">
        <v>3.3000000000000002E-2</v>
      </c>
    </row>
    <row r="137" spans="2:21">
      <c r="B137" s="1482"/>
      <c r="C137" s="1482"/>
      <c r="D137" s="1482"/>
      <c r="E137" s="1482"/>
      <c r="F137" s="1483"/>
      <c r="G137" s="1484"/>
      <c r="H137" s="1482"/>
      <c r="I137" s="1482"/>
      <c r="J137" s="1492"/>
      <c r="K137" s="1482"/>
      <c r="L137" s="1482"/>
      <c r="M137" s="1483"/>
      <c r="Q137" s="2677" t="s">
        <v>1771</v>
      </c>
      <c r="R137" s="2678" t="s">
        <v>1769</v>
      </c>
      <c r="S137" s="2679" t="s">
        <v>1772</v>
      </c>
      <c r="T137" s="2680">
        <v>1.39</v>
      </c>
      <c r="U137" s="2681">
        <v>-0.20300000000000001</v>
      </c>
    </row>
    <row r="138" spans="2:21">
      <c r="B138" s="1482"/>
      <c r="C138" s="1482"/>
      <c r="D138" s="1482"/>
      <c r="E138" s="1482"/>
      <c r="F138" s="1483"/>
      <c r="G138" s="1484"/>
      <c r="H138" s="1482"/>
      <c r="I138" s="1482"/>
      <c r="J138" s="1492"/>
      <c r="K138" s="1482"/>
      <c r="L138" s="1482"/>
      <c r="M138" s="1483"/>
      <c r="Q138" s="2682" t="s">
        <v>1773</v>
      </c>
      <c r="R138" s="2683" t="s">
        <v>1769</v>
      </c>
      <c r="S138" s="2684" t="s">
        <v>1774</v>
      </c>
      <c r="T138" s="2685">
        <v>1.61</v>
      </c>
      <c r="U138" s="2686">
        <v>-4.1000000000000002E-2</v>
      </c>
    </row>
    <row r="139" spans="2:21">
      <c r="B139" s="1482"/>
      <c r="C139" s="1482"/>
      <c r="D139" s="1482"/>
      <c r="E139" s="1482"/>
      <c r="F139" s="1483"/>
      <c r="G139" s="1484"/>
      <c r="H139" s="1482"/>
      <c r="I139" s="1482"/>
      <c r="J139" s="1492"/>
      <c r="K139" s="1482"/>
      <c r="L139" s="1482"/>
      <c r="M139" s="1483"/>
      <c r="Q139" s="2677" t="s">
        <v>1775</v>
      </c>
      <c r="R139" s="2678" t="s">
        <v>1769</v>
      </c>
      <c r="S139" s="2679" t="s">
        <v>1776</v>
      </c>
      <c r="T139" s="2680">
        <v>0.96</v>
      </c>
      <c r="U139" s="2687">
        <v>3.3000000000000002E-2</v>
      </c>
    </row>
    <row r="140" spans="2:21">
      <c r="B140" s="1482"/>
      <c r="C140" s="1482"/>
      <c r="D140" s="1482"/>
      <c r="E140" s="1482"/>
      <c r="F140" s="1483"/>
      <c r="G140" s="1484"/>
      <c r="H140" s="1482"/>
      <c r="I140" s="1482"/>
      <c r="J140" s="1492"/>
      <c r="K140" s="1482"/>
      <c r="L140" s="1482"/>
      <c r="M140" s="1483"/>
      <c r="Q140" s="2682" t="s">
        <v>1777</v>
      </c>
      <c r="R140" s="2683" t="s">
        <v>1778</v>
      </c>
      <c r="S140" s="2684" t="s">
        <v>1779</v>
      </c>
      <c r="T140" s="2685" t="s">
        <v>1780</v>
      </c>
      <c r="U140" s="2688">
        <v>0.27400000000000002</v>
      </c>
    </row>
    <row r="141" spans="2:21" ht="16.5" thickBot="1">
      <c r="B141" s="1482"/>
      <c r="C141" s="1482"/>
      <c r="D141" s="1482"/>
      <c r="E141" s="1482"/>
      <c r="F141" s="1483"/>
      <c r="G141" s="1484"/>
      <c r="H141" s="1482"/>
      <c r="I141" s="1482"/>
      <c r="J141" s="1492"/>
      <c r="K141" s="1482"/>
      <c r="L141" s="1482"/>
      <c r="M141" s="1483"/>
      <c r="Q141" s="2689" t="s">
        <v>1781</v>
      </c>
      <c r="R141" s="2690" t="s">
        <v>1782</v>
      </c>
      <c r="S141" s="2691">
        <v>881</v>
      </c>
      <c r="T141" s="2692" t="s">
        <v>1623</v>
      </c>
      <c r="U141" s="2693"/>
    </row>
    <row r="142" spans="2:21">
      <c r="B142" s="1482"/>
      <c r="C142" s="1482"/>
      <c r="D142" s="1482"/>
      <c r="E142" s="1482"/>
      <c r="F142" s="1483"/>
      <c r="G142" s="1484"/>
      <c r="H142" s="1482"/>
      <c r="I142" s="1482"/>
      <c r="J142" s="1492"/>
      <c r="K142" s="1482"/>
      <c r="L142" s="1482"/>
      <c r="M142" s="1483"/>
    </row>
    <row r="143" spans="2:21">
      <c r="B143" s="1482"/>
      <c r="C143" s="1482"/>
      <c r="D143" s="1482"/>
      <c r="E143" s="1482"/>
      <c r="F143" s="1483"/>
      <c r="G143" s="1484"/>
      <c r="H143" s="1482"/>
      <c r="I143" s="1482"/>
      <c r="J143" s="1492"/>
      <c r="K143" s="1482"/>
      <c r="L143" s="1482"/>
      <c r="M143" s="1483"/>
      <c r="T143" s="1494">
        <f>(T135+T136+T137+T138+T139)/5</f>
        <v>1.274</v>
      </c>
    </row>
    <row r="144" spans="2:21">
      <c r="B144" s="1482"/>
      <c r="C144" s="1482"/>
      <c r="D144" s="1482"/>
      <c r="E144" s="1482"/>
      <c r="F144" s="1483"/>
      <c r="G144" s="1484"/>
      <c r="H144" s="1482"/>
      <c r="I144" s="1482"/>
      <c r="J144" s="1492"/>
      <c r="K144" s="1482"/>
      <c r="L144" s="1482"/>
      <c r="M144" s="1483"/>
    </row>
    <row r="145" spans="2:13">
      <c r="B145" s="1482"/>
      <c r="C145" s="1482"/>
      <c r="D145" s="1482"/>
      <c r="E145" s="1482"/>
      <c r="F145" s="1483"/>
      <c r="G145" s="1484"/>
      <c r="H145" s="1482"/>
      <c r="I145" s="1482"/>
      <c r="J145" s="1492"/>
      <c r="K145" s="1482"/>
      <c r="L145" s="1482"/>
      <c r="M145" s="1483"/>
    </row>
    <row r="146" spans="2:13">
      <c r="B146" s="1482"/>
      <c r="C146" s="1482"/>
      <c r="D146" s="1482"/>
      <c r="E146" s="1482"/>
      <c r="F146" s="1483"/>
      <c r="G146" s="1484"/>
      <c r="H146" s="1482"/>
      <c r="I146" s="1482"/>
      <c r="J146" s="1492"/>
      <c r="K146" s="1482"/>
      <c r="L146" s="1482"/>
      <c r="M146" s="1483"/>
    </row>
    <row r="488" spans="10:10">
      <c r="J488" s="1493">
        <f>SUM(J481:J487)</f>
        <v>0</v>
      </c>
    </row>
    <row r="497" spans="10:10">
      <c r="J497" s="1493">
        <f>SUM(J491:J496)</f>
        <v>0</v>
      </c>
    </row>
    <row r="521" spans="10:10">
      <c r="J521" s="1493">
        <f>SUM(J514:J520)</f>
        <v>0</v>
      </c>
    </row>
  </sheetData>
  <mergeCells count="3">
    <mergeCell ref="A1:M1"/>
    <mergeCell ref="Q2:Q4"/>
    <mergeCell ref="R2:R4"/>
  </mergeCells>
  <pageMargins left="0.7" right="0.7" top="0.75" bottom="0.75" header="0.3" footer="0.3"/>
  <pageSetup scale="85" fitToHeight="0" orientation="landscape" horizontalDpi="4294967295" verticalDpi="4294967295"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D05A6-D74F-435F-B344-19AE82B535BE}">
  <sheetPr codeName="Sheet58"/>
  <dimension ref="D3:AT521"/>
  <sheetViews>
    <sheetView workbookViewId="0">
      <selection activeCell="D24" sqref="D24"/>
    </sheetView>
  </sheetViews>
  <sheetFormatPr defaultRowHeight="15"/>
  <cols>
    <col min="5" max="5" width="14.796875" bestFit="1" customWidth="1"/>
    <col min="6" max="46" width="23.40625" customWidth="1"/>
  </cols>
  <sheetData>
    <row r="3" spans="4:46">
      <c r="F3">
        <f>2026</f>
        <v>2026</v>
      </c>
      <c r="G3">
        <f>F3+1</f>
        <v>2027</v>
      </c>
      <c r="H3">
        <f>G3+1</f>
        <v>2028</v>
      </c>
      <c r="I3">
        <f t="shared" ref="I3:AT3" si="0">H3+1</f>
        <v>2029</v>
      </c>
      <c r="J3">
        <f t="shared" si="0"/>
        <v>2030</v>
      </c>
      <c r="K3">
        <f t="shared" si="0"/>
        <v>2031</v>
      </c>
      <c r="L3">
        <f t="shared" si="0"/>
        <v>2032</v>
      </c>
      <c r="M3">
        <f t="shared" si="0"/>
        <v>2033</v>
      </c>
      <c r="N3">
        <f t="shared" si="0"/>
        <v>2034</v>
      </c>
      <c r="O3">
        <f t="shared" si="0"/>
        <v>2035</v>
      </c>
      <c r="P3">
        <f t="shared" si="0"/>
        <v>2036</v>
      </c>
      <c r="Q3">
        <f t="shared" si="0"/>
        <v>2037</v>
      </c>
      <c r="R3">
        <f t="shared" si="0"/>
        <v>2038</v>
      </c>
      <c r="S3">
        <f t="shared" si="0"/>
        <v>2039</v>
      </c>
      <c r="T3">
        <f t="shared" si="0"/>
        <v>2040</v>
      </c>
      <c r="U3">
        <f t="shared" si="0"/>
        <v>2041</v>
      </c>
      <c r="V3">
        <f t="shared" si="0"/>
        <v>2042</v>
      </c>
      <c r="W3">
        <f t="shared" si="0"/>
        <v>2043</v>
      </c>
      <c r="X3">
        <f t="shared" si="0"/>
        <v>2044</v>
      </c>
      <c r="Y3">
        <f t="shared" si="0"/>
        <v>2045</v>
      </c>
      <c r="Z3">
        <f t="shared" si="0"/>
        <v>2046</v>
      </c>
      <c r="AA3">
        <f t="shared" si="0"/>
        <v>2047</v>
      </c>
      <c r="AB3">
        <f t="shared" si="0"/>
        <v>2048</v>
      </c>
      <c r="AC3">
        <f t="shared" si="0"/>
        <v>2049</v>
      </c>
      <c r="AD3">
        <f t="shared" si="0"/>
        <v>2050</v>
      </c>
      <c r="AE3">
        <f t="shared" si="0"/>
        <v>2051</v>
      </c>
      <c r="AF3">
        <f t="shared" si="0"/>
        <v>2052</v>
      </c>
      <c r="AG3">
        <f t="shared" si="0"/>
        <v>2053</v>
      </c>
      <c r="AH3">
        <f t="shared" si="0"/>
        <v>2054</v>
      </c>
      <c r="AI3">
        <f t="shared" si="0"/>
        <v>2055</v>
      </c>
      <c r="AJ3">
        <f t="shared" si="0"/>
        <v>2056</v>
      </c>
      <c r="AK3">
        <f t="shared" si="0"/>
        <v>2057</v>
      </c>
      <c r="AL3">
        <f t="shared" si="0"/>
        <v>2058</v>
      </c>
      <c r="AM3">
        <f t="shared" si="0"/>
        <v>2059</v>
      </c>
      <c r="AN3">
        <f t="shared" si="0"/>
        <v>2060</v>
      </c>
      <c r="AO3">
        <f t="shared" si="0"/>
        <v>2061</v>
      </c>
      <c r="AP3">
        <f t="shared" si="0"/>
        <v>2062</v>
      </c>
      <c r="AQ3">
        <f t="shared" si="0"/>
        <v>2063</v>
      </c>
      <c r="AR3">
        <f t="shared" si="0"/>
        <v>2064</v>
      </c>
      <c r="AS3">
        <f t="shared" si="0"/>
        <v>2065</v>
      </c>
      <c r="AT3">
        <f t="shared" si="0"/>
        <v>2066</v>
      </c>
    </row>
    <row r="5" spans="4:46">
      <c r="D5" t="s">
        <v>1824</v>
      </c>
    </row>
    <row r="6" spans="4:46">
      <c r="D6" t="s">
        <v>1825</v>
      </c>
      <c r="E6" s="413">
        <f ca="1">SUM(F6:AT6)</f>
        <v>46897846469.130707</v>
      </c>
      <c r="F6" s="311">
        <f ca="1">Returns!I41</f>
        <v>-715288869.70235205</v>
      </c>
      <c r="G6" s="311">
        <f ca="1">Returns!J41</f>
        <v>-2555302134.1949363</v>
      </c>
      <c r="H6" s="311">
        <f ca="1">Returns!K41</f>
        <v>-369794299.88087118</v>
      </c>
      <c r="I6" s="311">
        <f ca="1">Returns!L41</f>
        <v>1098825625.1228125</v>
      </c>
      <c r="J6" s="311">
        <f ca="1">Returns!M41</f>
        <v>1287138816.7670498</v>
      </c>
      <c r="K6" s="311">
        <f ca="1">Returns!N41</f>
        <v>1394124737.7264946</v>
      </c>
      <c r="L6" s="311">
        <f ca="1">Returns!O41</f>
        <v>1489486008.0953422</v>
      </c>
      <c r="M6" s="311">
        <f ca="1">Returns!P41</f>
        <v>1573842042.9432826</v>
      </c>
      <c r="N6" s="311">
        <f ca="1">Returns!Q41</f>
        <v>1659834839.8391299</v>
      </c>
      <c r="O6" s="311">
        <f ca="1">Returns!R41</f>
        <v>1751812669.253592</v>
      </c>
      <c r="P6" s="311">
        <f ca="1">Returns!S41</f>
        <v>1846306263.9475317</v>
      </c>
      <c r="Q6" s="311">
        <f ca="1">Returns!T41</f>
        <v>1949298874.8546088</v>
      </c>
      <c r="R6" s="311">
        <f ca="1">Returns!U41</f>
        <v>2057459790.5608573</v>
      </c>
      <c r="S6" s="311">
        <f ca="1">Returns!V41</f>
        <v>2173151638.3437033</v>
      </c>
      <c r="T6" s="311">
        <f ca="1">Returns!W41</f>
        <v>2292275790.1882796</v>
      </c>
      <c r="U6" s="311">
        <f ca="1">Returns!X41</f>
        <v>1659454246.4796643</v>
      </c>
      <c r="V6" s="311">
        <f ca="1">Returns!Y41</f>
        <v>1610294491.4716747</v>
      </c>
      <c r="W6" s="311">
        <f ca="1">Returns!Z41</f>
        <v>1663724396.3548892</v>
      </c>
      <c r="X6" s="311">
        <f ca="1">Returns!AA41</f>
        <v>1716047728.5111449</v>
      </c>
      <c r="Y6" s="311">
        <f ca="1">Returns!AB41</f>
        <v>1772949636.0506992</v>
      </c>
      <c r="Z6" s="311">
        <f ca="1">Returns!AC41</f>
        <v>1830640768.3329394</v>
      </c>
      <c r="AA6" s="311">
        <f ca="1">Returns!AD41</f>
        <v>1891172863.9460707</v>
      </c>
      <c r="AB6" s="311">
        <f ca="1">Returns!AE41</f>
        <v>1950164638.3589137</v>
      </c>
      <c r="AC6" s="311">
        <f ca="1">Returns!AF41</f>
        <v>2014297576.5911713</v>
      </c>
      <c r="AD6" s="311">
        <f ca="1">Returns!AG41</f>
        <v>2079324024.4225333</v>
      </c>
      <c r="AE6" s="311">
        <f ca="1">Returns!AH41</f>
        <v>2147544961.1964374</v>
      </c>
      <c r="AF6" s="311">
        <f ca="1">Returns!AI41</f>
        <v>2214052562.7778277</v>
      </c>
      <c r="AG6" s="311">
        <f ca="1">Returns!AJ41</f>
        <v>2286332648.1110091</v>
      </c>
      <c r="AH6" s="311">
        <f ca="1">Returns!AK41</f>
        <v>2359624468.8554521</v>
      </c>
      <c r="AI6" s="311">
        <f ca="1">Returns!AL41</f>
        <v>2769049663.8057556</v>
      </c>
      <c r="AJ6" s="311">
        <f>Returns!AM41</f>
        <v>0</v>
      </c>
      <c r="AK6" s="311">
        <f>Returns!AN41</f>
        <v>0</v>
      </c>
      <c r="AL6" s="311">
        <f>Returns!AO41</f>
        <v>0</v>
      </c>
      <c r="AM6" s="311">
        <f>Returns!AP41</f>
        <v>0</v>
      </c>
      <c r="AN6" s="311">
        <f>Returns!AQ41</f>
        <v>0</v>
      </c>
      <c r="AO6" s="311">
        <f>Returns!AR41</f>
        <v>0</v>
      </c>
      <c r="AP6" s="311">
        <f>Returns!AS41</f>
        <v>0</v>
      </c>
      <c r="AQ6" s="311">
        <f>Returns!AT41</f>
        <v>0</v>
      </c>
      <c r="AR6" s="311">
        <f>Returns!AU41</f>
        <v>0</v>
      </c>
      <c r="AS6" s="311">
        <f>Returns!AV41</f>
        <v>0</v>
      </c>
      <c r="AT6" s="311">
        <f>Returns!AW41</f>
        <v>0</v>
      </c>
    </row>
    <row r="7" spans="4:46">
      <c r="D7" t="s">
        <v>1826</v>
      </c>
      <c r="E7" s="413">
        <f ca="1">SUM(F7:AT7)</f>
        <v>31425178623.684109</v>
      </c>
      <c r="F7" s="311">
        <f ca="1">Returns!I42</f>
        <v>-715288869.70235205</v>
      </c>
      <c r="G7" s="311">
        <f ca="1">Returns!J42</f>
        <v>-2555302134.1949363</v>
      </c>
      <c r="H7" s="311">
        <f ca="1">Returns!K42</f>
        <v>-369794299.88087118</v>
      </c>
      <c r="I7" s="311">
        <f ca="1">Returns!L42</f>
        <v>1098825625.1228125</v>
      </c>
      <c r="J7" s="311">
        <f ca="1">Returns!M42</f>
        <v>1287138816.7670498</v>
      </c>
      <c r="K7" s="311">
        <f ca="1">Returns!N42</f>
        <v>1235142969.2183952</v>
      </c>
      <c r="L7" s="311">
        <f ca="1">Returns!O42</f>
        <v>1311538698.7171669</v>
      </c>
      <c r="M7" s="311">
        <f ca="1">Returns!P42</f>
        <v>1378423205.9664679</v>
      </c>
      <c r="N7" s="311">
        <f ca="1">Returns!Q42</f>
        <v>1446283930.695797</v>
      </c>
      <c r="O7" s="311">
        <f ca="1">Returns!R42</f>
        <v>1256061193.4168353</v>
      </c>
      <c r="P7" s="311">
        <f ca="1">Returns!S42</f>
        <v>1207884203.90569</v>
      </c>
      <c r="Q7" s="311">
        <f ca="1">Returns!T42</f>
        <v>1272352254.8749526</v>
      </c>
      <c r="R7" s="311">
        <f ca="1">Returns!U42</f>
        <v>1340189102.7203531</v>
      </c>
      <c r="S7" s="311">
        <f ca="1">Returns!V42</f>
        <v>1413538180.374898</v>
      </c>
      <c r="T7" s="311">
        <f ca="1">Returns!W42</f>
        <v>1488162019.2188802</v>
      </c>
      <c r="U7" s="311">
        <f ca="1">Returns!X42</f>
        <v>1095516892.2922254</v>
      </c>
      <c r="V7" s="311">
        <f ca="1">Returns!Y42</f>
        <v>1029475513.2958392</v>
      </c>
      <c r="W7" s="311">
        <f ca="1">Returns!Z42</f>
        <v>1064963715.097106</v>
      </c>
      <c r="X7" s="311">
        <f ca="1">Returns!AA42</f>
        <v>1098639069.1592007</v>
      </c>
      <c r="Y7" s="311">
        <f ca="1">Returns!AB42</f>
        <v>1136243625.7467225</v>
      </c>
      <c r="Z7" s="311">
        <f ca="1">Returns!AC42</f>
        <v>1173806114.2695174</v>
      </c>
      <c r="AA7" s="311">
        <f ca="1">Returns!AD42</f>
        <v>1213404756.3520699</v>
      </c>
      <c r="AB7" s="311">
        <f ca="1">Returns!AE42</f>
        <v>1250661968.0802062</v>
      </c>
      <c r="AC7" s="311">
        <f ca="1">Returns!AF42</f>
        <v>1292310791.630621</v>
      </c>
      <c r="AD7" s="311">
        <f ca="1">Returns!AG42</f>
        <v>1334032388.9405365</v>
      </c>
      <c r="AE7" s="311">
        <f ca="1">Returns!AH42</f>
        <v>1378145502.7477803</v>
      </c>
      <c r="AF7" s="311">
        <f ca="1">Returns!AI42</f>
        <v>1419714231.8299141</v>
      </c>
      <c r="AG7" s="311">
        <f ca="1">Returns!AJ42</f>
        <v>1466299310.4180112</v>
      </c>
      <c r="AH7" s="311">
        <f ca="1">Returns!AK42</f>
        <v>1502759440.8589549</v>
      </c>
      <c r="AI7" s="311">
        <f ca="1">Returns!AL42</f>
        <v>1874050405.7442648</v>
      </c>
      <c r="AJ7" s="311">
        <f>Returns!AM42</f>
        <v>0</v>
      </c>
      <c r="AK7" s="311">
        <f>Returns!AN42</f>
        <v>0</v>
      </c>
      <c r="AL7" s="311">
        <f>Returns!AO42</f>
        <v>0</v>
      </c>
      <c r="AM7" s="311">
        <f>Returns!AP42</f>
        <v>0</v>
      </c>
      <c r="AN7" s="311">
        <f>Returns!AQ42</f>
        <v>0</v>
      </c>
      <c r="AO7" s="311">
        <f>Returns!AR42</f>
        <v>0</v>
      </c>
      <c r="AP7" s="311">
        <f>Returns!AS42</f>
        <v>0</v>
      </c>
      <c r="AQ7" s="311">
        <f>Returns!AT42</f>
        <v>0</v>
      </c>
      <c r="AR7" s="311">
        <f>Returns!AU42</f>
        <v>0</v>
      </c>
      <c r="AS7" s="311">
        <f>Returns!AV42</f>
        <v>0</v>
      </c>
      <c r="AT7" s="311">
        <f>Returns!AW42</f>
        <v>0</v>
      </c>
    </row>
    <row r="10" spans="4:46">
      <c r="D10" t="s">
        <v>1652</v>
      </c>
    </row>
    <row r="11" spans="4:46">
      <c r="D11" t="s">
        <v>1827</v>
      </c>
      <c r="F11" s="311">
        <f ca="1">Returns!I66</f>
        <v>-715288869.70235205</v>
      </c>
      <c r="G11" s="311">
        <f ca="1">Returns!J66</f>
        <v>-526846458.1377157</v>
      </c>
      <c r="H11" s="311">
        <f ca="1">Returns!K66</f>
        <v>632979160.75820112</v>
      </c>
      <c r="I11" s="311">
        <f ca="1">Returns!L66</f>
        <v>1033501841.9310374</v>
      </c>
      <c r="J11" s="311">
        <f ca="1">Returns!M66</f>
        <v>1515646929.537539</v>
      </c>
      <c r="K11" s="311">
        <f ca="1">Returns!N66</f>
        <v>2085072373.548166</v>
      </c>
      <c r="L11" s="311">
        <f ca="1">Returns!O66</f>
        <v>2579963718.5942788</v>
      </c>
      <c r="M11" s="311">
        <f ca="1">Returns!P66</f>
        <v>3119396315.9749098</v>
      </c>
      <c r="N11" s="311">
        <f ca="1">Returns!Q66</f>
        <v>3702958245.88836</v>
      </c>
      <c r="O11" s="311">
        <f ca="1">Returns!R66</f>
        <v>4329223905.1503048</v>
      </c>
      <c r="P11" s="311">
        <f ca="1">Returns!S66</f>
        <v>5181514871.3914099</v>
      </c>
      <c r="Q11" s="311">
        <f ca="1">Returns!T66</f>
        <v>5897835262.958416</v>
      </c>
      <c r="R11" s="311">
        <f ca="1">Returns!U66</f>
        <v>6597283510.0630379</v>
      </c>
      <c r="S11" s="311">
        <f ca="1">Returns!V66</f>
        <v>7285802705.2551918</v>
      </c>
      <c r="T11" s="311">
        <f ca="1">Returns!W66</f>
        <v>7970209557.2128868</v>
      </c>
      <c r="U11" s="311">
        <f ca="1">Returns!X66</f>
        <v>7887720132.2065954</v>
      </c>
      <c r="V11" s="311">
        <f ca="1">Returns!Y66</f>
        <v>7978689806.0982323</v>
      </c>
      <c r="W11" s="311">
        <f ca="1">Returns!Z66</f>
        <v>8096147815.2811317</v>
      </c>
      <c r="X11" s="311">
        <f ca="1">Returns!AA66</f>
        <v>8238945848.639616</v>
      </c>
      <c r="Y11" s="311">
        <f ca="1">Returns!AB66</f>
        <v>8397053121.2377234</v>
      </c>
      <c r="Z11" s="311">
        <f ca="1">Returns!AC66</f>
        <v>8593174908.0848942</v>
      </c>
      <c r="AA11" s="311">
        <f ca="1">Returns!AD66</f>
        <v>8821014384.2145538</v>
      </c>
      <c r="AB11" s="311">
        <f ca="1">Returns!AE66</f>
        <v>9078802978.6801758</v>
      </c>
      <c r="AC11" s="311">
        <f ca="1">Returns!AF66</f>
        <v>9355672115.6395721</v>
      </c>
      <c r="AD11" s="311">
        <f ca="1">Returns!AG66</f>
        <v>9659843146.188076</v>
      </c>
      <c r="AE11" s="311">
        <f ca="1">Returns!AH66</f>
        <v>9986357969.8839855</v>
      </c>
      <c r="AF11" s="311">
        <f ca="1">Returns!AI66</f>
        <v>10334972444.73597</v>
      </c>
      <c r="AG11" s="311">
        <f ca="1">Returns!AJ66</f>
        <v>10695326552.300941</v>
      </c>
      <c r="AH11" s="311">
        <f ca="1">Returns!AK66</f>
        <v>12462049427.399378</v>
      </c>
      <c r="AI11" s="311">
        <f ca="1">Returns!AL66</f>
        <v>14641153304.394901</v>
      </c>
      <c r="AJ11" s="311">
        <f>Returns!AM66</f>
        <v>0</v>
      </c>
      <c r="AK11" s="311">
        <f>Returns!AN66</f>
        <v>0</v>
      </c>
      <c r="AL11" s="311">
        <f>Returns!AO66</f>
        <v>0</v>
      </c>
      <c r="AM11" s="311">
        <f>Returns!AP66</f>
        <v>0</v>
      </c>
      <c r="AN11" s="311">
        <f>Returns!AQ66</f>
        <v>0</v>
      </c>
      <c r="AO11" s="311">
        <f>Returns!AR66</f>
        <v>0</v>
      </c>
      <c r="AP11" s="311">
        <f>Returns!AS66</f>
        <v>0</v>
      </c>
      <c r="AQ11" s="311">
        <f>Returns!AT66</f>
        <v>0</v>
      </c>
      <c r="AR11" s="311">
        <f>Returns!AU66</f>
        <v>0</v>
      </c>
      <c r="AS11" s="311">
        <f>Returns!AV66</f>
        <v>0</v>
      </c>
      <c r="AT11" s="311">
        <f>Returns!AW66</f>
        <v>0</v>
      </c>
    </row>
    <row r="12" spans="4:46">
      <c r="D12" t="s">
        <v>1828</v>
      </c>
      <c r="F12" s="311">
        <f ca="1">Returns!I67</f>
        <v>-715288869.70235205</v>
      </c>
      <c r="G12" s="311">
        <f ca="1">Returns!J67</f>
        <v>-526846458.1377157</v>
      </c>
      <c r="H12" s="311">
        <f ca="1">Returns!K67</f>
        <v>632979160.75820112</v>
      </c>
      <c r="I12" s="311">
        <f ca="1">Returns!L67</f>
        <v>1033501841.9310374</v>
      </c>
      <c r="J12" s="311">
        <f ca="1">Returns!M67</f>
        <v>1515646929.537539</v>
      </c>
      <c r="K12" s="311">
        <f ca="1">Returns!N67</f>
        <v>1926090605.0400667</v>
      </c>
      <c r="L12" s="311">
        <f ca="1">Returns!O67</f>
        <v>2402016409.2161036</v>
      </c>
      <c r="M12" s="311">
        <f ca="1">Returns!P67</f>
        <v>2923977478.998095</v>
      </c>
      <c r="N12" s="311">
        <f ca="1">Returns!Q67</f>
        <v>3489407336.7450271</v>
      </c>
      <c r="O12" s="311">
        <f ca="1">Returns!R67</f>
        <v>3833472429.3135481</v>
      </c>
      <c r="P12" s="311">
        <f ca="1">Returns!S67</f>
        <v>4543092811.3495684</v>
      </c>
      <c r="Q12" s="311">
        <f ca="1">Returns!T67</f>
        <v>5220888642.9787598</v>
      </c>
      <c r="R12" s="311">
        <f ca="1">Returns!U67</f>
        <v>5880012822.2225342</v>
      </c>
      <c r="S12" s="311">
        <f ca="1">Returns!V67</f>
        <v>6526189247.2863865</v>
      </c>
      <c r="T12" s="311">
        <f ca="1">Returns!W67</f>
        <v>7166095786.2434874</v>
      </c>
      <c r="U12" s="311">
        <f ca="1">Returns!X67</f>
        <v>7323782778.0191565</v>
      </c>
      <c r="V12" s="311">
        <f ca="1">Returns!Y67</f>
        <v>7397870827.9223967</v>
      </c>
      <c r="W12" s="311">
        <f ca="1">Returns!Z67</f>
        <v>7497387134.0233488</v>
      </c>
      <c r="X12" s="311">
        <f ca="1">Returns!AA67</f>
        <v>7621537189.287672</v>
      </c>
      <c r="Y12" s="311">
        <f ca="1">Returns!AB67</f>
        <v>7760347110.9337463</v>
      </c>
      <c r="Z12" s="311">
        <f ca="1">Returns!AC67</f>
        <v>7936340254.0214729</v>
      </c>
      <c r="AA12" s="311">
        <f ca="1">Returns!AD67</f>
        <v>8143246276.6205521</v>
      </c>
      <c r="AB12" s="311">
        <f ca="1">Returns!AE67</f>
        <v>8379300308.4014683</v>
      </c>
      <c r="AC12" s="311">
        <f ca="1">Returns!AF67</f>
        <v>8633685330.6790218</v>
      </c>
      <c r="AD12" s="311">
        <f ca="1">Returns!AG67</f>
        <v>8914551510.7060795</v>
      </c>
      <c r="AE12" s="311">
        <f ca="1">Returns!AH67</f>
        <v>9216958511.4353294</v>
      </c>
      <c r="AF12" s="311">
        <f ca="1">Returns!AI67</f>
        <v>9540634113.7880554</v>
      </c>
      <c r="AG12" s="311">
        <f ca="1">Returns!AJ67</f>
        <v>9875293214.6079426</v>
      </c>
      <c r="AH12" s="311">
        <f ca="1">Returns!AK67</f>
        <v>11605184399.40288</v>
      </c>
      <c r="AI12" s="311">
        <f ca="1">Returns!AL67</f>
        <v>13746154046.33341</v>
      </c>
      <c r="AJ12" s="311">
        <f>Returns!AM67</f>
        <v>0</v>
      </c>
      <c r="AK12" s="311">
        <f>Returns!AN67</f>
        <v>0</v>
      </c>
      <c r="AL12" s="311">
        <f>Returns!AO67</f>
        <v>0</v>
      </c>
      <c r="AM12" s="311">
        <f>Returns!AP67</f>
        <v>0</v>
      </c>
      <c r="AN12" s="311">
        <f>Returns!AQ67</f>
        <v>0</v>
      </c>
      <c r="AO12" s="311">
        <f>Returns!AR67</f>
        <v>0</v>
      </c>
      <c r="AP12" s="311">
        <f>Returns!AS67</f>
        <v>0</v>
      </c>
      <c r="AQ12" s="311">
        <f>Returns!AT67</f>
        <v>0</v>
      </c>
      <c r="AR12" s="311">
        <f>Returns!AU67</f>
        <v>0</v>
      </c>
      <c r="AS12" s="311">
        <f>Returns!AV67</f>
        <v>0</v>
      </c>
      <c r="AT12" s="311">
        <f>Returns!AW67</f>
        <v>0</v>
      </c>
    </row>
    <row r="488" spans="10:10">
      <c r="J488">
        <f>SUM(J481:J487)</f>
        <v>0</v>
      </c>
    </row>
    <row r="497" spans="10:10">
      <c r="J497">
        <f>SUM(J491:J496)</f>
        <v>0</v>
      </c>
    </row>
    <row r="521" spans="10:10">
      <c r="J521">
        <f>SUM(J514:J520)</f>
        <v>0</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D3C86-C8C5-4515-9898-1F3907D0B9DB}">
  <sheetPr codeName="Sheet59"/>
  <dimension ref="C2:F28"/>
  <sheetViews>
    <sheetView workbookViewId="0">
      <selection activeCell="F18" sqref="F18"/>
    </sheetView>
  </sheetViews>
  <sheetFormatPr defaultRowHeight="15"/>
  <cols>
    <col min="3" max="3" width="41.4296875" customWidth="1"/>
    <col min="4" max="4" width="18.5625" customWidth="1"/>
    <col min="5" max="5" width="20.4453125" customWidth="1"/>
    <col min="6" max="6" width="24.48046875" customWidth="1"/>
  </cols>
  <sheetData>
    <row r="2" spans="3:6" ht="15.75" thickBot="1"/>
    <row r="3" spans="3:6" ht="28.5" thickBot="1">
      <c r="C3" s="2244"/>
      <c r="D3" s="1928" t="s">
        <v>2132</v>
      </c>
      <c r="E3" s="1928" t="s">
        <v>2132</v>
      </c>
      <c r="F3" s="1928" t="s">
        <v>2133</v>
      </c>
    </row>
    <row r="4" spans="3:6" ht="15.75" thickBot="1">
      <c r="C4" s="2245"/>
      <c r="D4" s="2246" t="s">
        <v>2134</v>
      </c>
      <c r="E4" s="2246" t="s">
        <v>2135</v>
      </c>
      <c r="F4" s="2246" t="s">
        <v>2136</v>
      </c>
    </row>
    <row r="5" spans="3:6" ht="15.75" thickBot="1">
      <c r="C5" s="2245" t="s">
        <v>905</v>
      </c>
      <c r="D5" s="2247" t="s">
        <v>2137</v>
      </c>
      <c r="E5" s="2246" t="s">
        <v>2137</v>
      </c>
      <c r="F5" s="2246" t="s">
        <v>2137</v>
      </c>
    </row>
    <row r="6" spans="3:6" ht="15.75" thickBot="1">
      <c r="C6" s="2248" t="s">
        <v>894</v>
      </c>
      <c r="D6" s="2249">
        <v>633476900</v>
      </c>
      <c r="E6" s="2249">
        <v>633476900</v>
      </c>
      <c r="F6" s="2249">
        <v>157109000</v>
      </c>
    </row>
    <row r="7" spans="3:6" ht="15.75" thickBot="1">
      <c r="C7" s="2248" t="s">
        <v>2138</v>
      </c>
      <c r="D7" s="2249">
        <v>33682000</v>
      </c>
      <c r="E7" s="2249">
        <v>26945600</v>
      </c>
      <c r="F7" s="2249">
        <v>14189500</v>
      </c>
    </row>
    <row r="8" spans="3:6" ht="15.75" thickBot="1">
      <c r="C8" s="2248" t="s">
        <v>896</v>
      </c>
      <c r="D8" s="2249">
        <v>27873400</v>
      </c>
      <c r="E8" s="2249">
        <v>26131300</v>
      </c>
      <c r="F8" s="2249">
        <v>7289600</v>
      </c>
    </row>
    <row r="9" spans="3:6" ht="15.75" thickBot="1">
      <c r="C9" s="2248" t="s">
        <v>997</v>
      </c>
      <c r="D9" s="2249">
        <v>91220700</v>
      </c>
      <c r="E9" s="2249">
        <v>86152900</v>
      </c>
      <c r="F9" s="2249">
        <v>39591900</v>
      </c>
    </row>
    <row r="10" spans="3:6" ht="15.75" thickBot="1">
      <c r="C10" s="2248" t="s">
        <v>897</v>
      </c>
      <c r="D10" s="2249">
        <v>164228500</v>
      </c>
      <c r="E10" s="2249">
        <v>130610400</v>
      </c>
      <c r="F10" s="2249">
        <v>54819100</v>
      </c>
    </row>
    <row r="11" spans="3:6" ht="15.75" thickBot="1">
      <c r="C11" s="2248" t="s">
        <v>998</v>
      </c>
      <c r="D11" s="2249">
        <v>51520200</v>
      </c>
      <c r="E11" s="2249">
        <v>31395200</v>
      </c>
      <c r="F11" s="2249">
        <v>16360000</v>
      </c>
    </row>
    <row r="12" spans="3:6" ht="15.75" thickBot="1">
      <c r="C12" s="2248" t="s">
        <v>898</v>
      </c>
      <c r="D12" s="2249">
        <v>53845700</v>
      </c>
      <c r="E12" s="2249">
        <v>21193800</v>
      </c>
      <c r="F12" s="2249">
        <v>17046500</v>
      </c>
    </row>
    <row r="13" spans="3:6" ht="15.75" thickBot="1">
      <c r="C13" s="2248" t="s">
        <v>2139</v>
      </c>
      <c r="D13" s="2249">
        <v>15837100</v>
      </c>
      <c r="E13" s="2249">
        <v>7505400</v>
      </c>
      <c r="F13" s="2249">
        <v>4713500</v>
      </c>
    </row>
    <row r="14" spans="3:6" ht="15.75" thickBot="1">
      <c r="C14" s="2248" t="s">
        <v>2140</v>
      </c>
      <c r="D14" s="2249">
        <v>67148400</v>
      </c>
      <c r="E14" s="2249">
        <v>37743200</v>
      </c>
      <c r="F14" s="2249">
        <v>25304000</v>
      </c>
    </row>
    <row r="15" spans="3:6" ht="15.75" thickBot="1">
      <c r="C15" s="2248" t="s">
        <v>2141</v>
      </c>
      <c r="D15" s="2249">
        <v>15955000</v>
      </c>
      <c r="E15" s="2249">
        <v>15955000</v>
      </c>
      <c r="F15" s="2249">
        <v>4687000</v>
      </c>
    </row>
    <row r="16" spans="3:6" ht="15.75" thickBot="1">
      <c r="C16" s="2248"/>
      <c r="D16" s="2249"/>
      <c r="E16" s="2249"/>
      <c r="F16" s="2249"/>
    </row>
    <row r="17" spans="3:6" ht="15.75" thickBot="1">
      <c r="C17" s="2248"/>
      <c r="D17" s="2249">
        <f>SUM(D6:D15)</f>
        <v>1154787900</v>
      </c>
      <c r="E17" s="2249">
        <f>SUM(E6:E15)</f>
        <v>1017109700</v>
      </c>
      <c r="F17" s="2249"/>
    </row>
    <row r="18" spans="3:6" ht="15.75" thickBot="1">
      <c r="C18" s="2248"/>
      <c r="D18" s="2249">
        <f>0.05*D17</f>
        <v>57739395</v>
      </c>
      <c r="E18" s="2249">
        <f>0.05*E17</f>
        <v>50855485</v>
      </c>
      <c r="F18" s="2252">
        <f>E24/E17</f>
        <v>5.3149429211028075E-2</v>
      </c>
    </row>
    <row r="19" spans="3:6" ht="15.75" thickBot="1">
      <c r="C19" s="2245" t="s">
        <v>2142</v>
      </c>
      <c r="D19" s="2250"/>
      <c r="E19" s="2250"/>
      <c r="F19" s="2250"/>
    </row>
    <row r="20" spans="3:6" ht="15.75" thickBot="1">
      <c r="C20" s="2248" t="s">
        <v>901</v>
      </c>
      <c r="D20" s="2249">
        <v>71950000</v>
      </c>
      <c r="E20" s="2249">
        <v>61297400</v>
      </c>
      <c r="F20" s="2249">
        <v>14783800</v>
      </c>
    </row>
    <row r="21" spans="3:6" ht="15.75" thickBot="1">
      <c r="C21" s="2248" t="s">
        <v>902</v>
      </c>
      <c r="D21" s="2249">
        <v>49015700</v>
      </c>
      <c r="E21" s="2249">
        <v>24904000</v>
      </c>
      <c r="F21" s="2249">
        <v>16114500</v>
      </c>
    </row>
    <row r="22" spans="3:6" ht="15.75" thickBot="1">
      <c r="C22" s="2248" t="s">
        <v>903</v>
      </c>
      <c r="D22" s="2249">
        <v>66150300</v>
      </c>
      <c r="E22" s="2249">
        <v>40291100</v>
      </c>
      <c r="F22" s="2249">
        <v>27224400</v>
      </c>
    </row>
    <row r="23" spans="3:6" ht="15.75" thickBot="1">
      <c r="C23" s="2248" t="s">
        <v>904</v>
      </c>
      <c r="D23" s="2249">
        <v>29634600</v>
      </c>
      <c r="E23" s="2249">
        <v>22563300</v>
      </c>
      <c r="F23" s="2249">
        <v>5516600</v>
      </c>
    </row>
    <row r="24" spans="3:6" ht="15.75" thickBot="1">
      <c r="C24" s="2248" t="s">
        <v>9</v>
      </c>
      <c r="D24" s="2249">
        <v>71463200</v>
      </c>
      <c r="E24" s="2249">
        <v>54058800</v>
      </c>
      <c r="F24" s="2249">
        <v>23579700</v>
      </c>
    </row>
    <row r="25" spans="3:6" ht="15.75" thickBot="1">
      <c r="C25" s="2248" t="s">
        <v>1000</v>
      </c>
      <c r="D25" s="2249">
        <v>98519600</v>
      </c>
      <c r="E25" s="2249">
        <v>74808300</v>
      </c>
      <c r="F25" s="2249">
        <v>46969600</v>
      </c>
    </row>
    <row r="26" spans="3:6" ht="15.75" thickBot="1">
      <c r="C26" s="2245" t="s">
        <v>1001</v>
      </c>
      <c r="D26" s="2251">
        <v>1541521300</v>
      </c>
      <c r="E26" s="2251">
        <v>1295032600</v>
      </c>
      <c r="F26" s="2251">
        <v>475298700</v>
      </c>
    </row>
    <row r="27" spans="3:6" ht="15.75" thickBot="1">
      <c r="C27" s="2245" t="s">
        <v>120</v>
      </c>
      <c r="D27" s="2251">
        <v>231228200</v>
      </c>
      <c r="E27" s="2251">
        <v>194254890</v>
      </c>
      <c r="F27" s="2251">
        <v>71294805</v>
      </c>
    </row>
    <row r="28" spans="3:6" ht="15.75" thickBot="1">
      <c r="C28" s="2245" t="s">
        <v>1002</v>
      </c>
      <c r="D28" s="2251">
        <v>1772749500</v>
      </c>
      <c r="E28" s="2251">
        <v>1489287500</v>
      </c>
      <c r="F28" s="2251">
        <v>546593505</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A5539-60CE-49DA-8FD7-84F22BCD3191}">
  <sheetPr codeName="Sheet26">
    <tabColor theme="9" tint="0.39997558519241921"/>
  </sheetPr>
  <dimension ref="B2:AI75"/>
  <sheetViews>
    <sheetView topLeftCell="A13" zoomScale="80" zoomScaleNormal="80" workbookViewId="0">
      <selection activeCell="B8" sqref="B8:D34"/>
    </sheetView>
  </sheetViews>
  <sheetFormatPr defaultColWidth="8.875" defaultRowHeight="13.5"/>
  <cols>
    <col min="1" max="1" width="4.5703125" style="610" customWidth="1"/>
    <col min="2" max="2" width="53.40234375" style="610" customWidth="1"/>
    <col min="3" max="3" width="46.41015625" style="610" customWidth="1"/>
    <col min="4" max="4" width="11.1640625" style="610" hidden="1" customWidth="1"/>
    <col min="5" max="5" width="5.37890625" style="610" customWidth="1"/>
    <col min="6" max="6" width="30.53515625" style="610" customWidth="1"/>
    <col min="7" max="7" width="20.984375" style="610" customWidth="1"/>
    <col min="8" max="8" width="14.9296875" style="610" bestFit="1" customWidth="1"/>
    <col min="9" max="9" width="12.23828125" style="610" customWidth="1"/>
    <col min="10" max="10" width="38.47265625" style="610" customWidth="1"/>
    <col min="11" max="11" width="21.25390625" style="610" customWidth="1"/>
    <col min="12" max="12" width="16.140625" style="610" bestFit="1" customWidth="1"/>
    <col min="13" max="13" width="12.64453125" style="610" customWidth="1"/>
    <col min="14" max="14" width="22.05859375" style="610" customWidth="1"/>
    <col min="15" max="15" width="16.6796875" style="610" customWidth="1"/>
    <col min="16" max="16" width="22.46484375" style="610" customWidth="1"/>
    <col min="17" max="35" width="14.9296875" style="610" bestFit="1" customWidth="1"/>
    <col min="36" max="16384" width="8.875" style="610"/>
  </cols>
  <sheetData>
    <row r="2" spans="2:15" ht="14.25" thickBot="1"/>
    <row r="3" spans="2:15" ht="14.25">
      <c r="B3" s="684" t="s">
        <v>1025</v>
      </c>
      <c r="C3" s="689">
        <f>'Assumption '!J109</f>
        <v>180</v>
      </c>
    </row>
    <row r="4" spans="2:15">
      <c r="B4" s="685" t="s">
        <v>1026</v>
      </c>
      <c r="C4" s="686">
        <f>H26</f>
        <v>216000000</v>
      </c>
    </row>
    <row r="5" spans="2:15" ht="16.899999999999999" customHeight="1" thickBot="1">
      <c r="B5" s="687" t="s">
        <v>567</v>
      </c>
      <c r="C5" s="688">
        <f>IF(C3=200,H27,IF(C3=150,P27,0))</f>
        <v>0</v>
      </c>
    </row>
    <row r="7" spans="2:15" ht="14.25" thickBot="1"/>
    <row r="8" spans="2:15" ht="24" customHeight="1" thickBot="1">
      <c r="B8" s="3477" t="s">
        <v>2160</v>
      </c>
      <c r="C8" s="3478"/>
      <c r="D8" s="3479"/>
      <c r="J8" s="3480" t="s">
        <v>2160</v>
      </c>
      <c r="K8" s="3481"/>
      <c r="L8" s="3482"/>
    </row>
    <row r="9" spans="2:15" ht="15" customHeight="1" thickBot="1">
      <c r="B9" s="3483" t="s">
        <v>2046</v>
      </c>
      <c r="C9" s="3485"/>
      <c r="D9" s="3486"/>
      <c r="E9" s="611"/>
      <c r="F9" s="612"/>
      <c r="G9" s="612"/>
      <c r="J9" s="3487" t="s">
        <v>893</v>
      </c>
      <c r="K9" s="3489" t="s">
        <v>989</v>
      </c>
      <c r="L9" s="3490"/>
      <c r="M9" s="611"/>
      <c r="N9" s="612"/>
      <c r="O9" s="612"/>
    </row>
    <row r="10" spans="2:15" ht="18.75" thickBot="1">
      <c r="B10" s="3484"/>
      <c r="C10" s="1585" t="s">
        <v>992</v>
      </c>
      <c r="D10" s="1585"/>
      <c r="E10" s="612"/>
      <c r="F10" s="612"/>
      <c r="G10" s="612"/>
      <c r="J10" s="3488"/>
      <c r="K10" s="2179" t="s">
        <v>992</v>
      </c>
      <c r="L10" s="2180" t="s">
        <v>990</v>
      </c>
      <c r="M10" s="612"/>
      <c r="N10" s="612"/>
      <c r="O10" s="612"/>
    </row>
    <row r="11" spans="2:15" ht="18">
      <c r="B11" s="1586"/>
      <c r="C11" s="1587"/>
      <c r="D11" s="1588"/>
      <c r="E11" s="612"/>
      <c r="F11" s="612"/>
      <c r="G11" s="612"/>
      <c r="J11" s="613"/>
      <c r="K11" s="673"/>
      <c r="L11" s="629"/>
      <c r="M11" s="612"/>
      <c r="N11" s="612"/>
      <c r="O11" s="612"/>
    </row>
    <row r="12" spans="2:15" ht="18">
      <c r="B12" s="1589" t="s">
        <v>905</v>
      </c>
      <c r="C12" s="1590"/>
      <c r="D12" s="1590"/>
      <c r="E12" s="612"/>
      <c r="F12" s="612"/>
      <c r="G12" s="612"/>
      <c r="J12" s="672" t="s">
        <v>905</v>
      </c>
      <c r="K12" s="632"/>
      <c r="L12" s="630"/>
      <c r="M12" s="612"/>
      <c r="N12" s="612"/>
      <c r="O12" s="612"/>
    </row>
    <row r="13" spans="2:15" ht="18">
      <c r="B13" s="1591" t="s">
        <v>894</v>
      </c>
      <c r="C13" s="1590">
        <v>65600000</v>
      </c>
      <c r="D13" s="1590"/>
      <c r="J13" s="614" t="s">
        <v>894</v>
      </c>
      <c r="K13" s="632">
        <f>85600000-20000000</f>
        <v>65600000</v>
      </c>
      <c r="L13" s="630"/>
    </row>
    <row r="14" spans="2:15" ht="18">
      <c r="B14" s="1591" t="s">
        <v>895</v>
      </c>
      <c r="C14" s="1590">
        <v>8560000</v>
      </c>
      <c r="D14" s="1590"/>
      <c r="F14" s="612">
        <f>SUM(C13:C22)</f>
        <v>133470603</v>
      </c>
      <c r="J14" s="614" t="s">
        <v>895</v>
      </c>
      <c r="K14" s="632">
        <v>8560000</v>
      </c>
      <c r="L14" s="630"/>
    </row>
    <row r="15" spans="2:15" ht="18">
      <c r="B15" s="1591" t="s">
        <v>896</v>
      </c>
      <c r="C15" s="1590">
        <v>5481500</v>
      </c>
      <c r="D15" s="1590"/>
      <c r="F15" s="612">
        <f>SUM(C24:C29)</f>
        <v>51559630</v>
      </c>
      <c r="J15" s="614" t="s">
        <v>896</v>
      </c>
      <c r="K15" s="632">
        <v>5481500</v>
      </c>
      <c r="L15" s="630"/>
    </row>
    <row r="16" spans="2:15" ht="18">
      <c r="B16" s="1591" t="s">
        <v>874</v>
      </c>
      <c r="C16" s="1590">
        <v>10002900</v>
      </c>
      <c r="D16" s="1590"/>
      <c r="G16" s="612">
        <f>F14+F15</f>
        <v>185030233</v>
      </c>
      <c r="J16" s="614" t="s">
        <v>874</v>
      </c>
      <c r="K16" s="632">
        <v>10002900</v>
      </c>
      <c r="L16" s="630"/>
    </row>
    <row r="17" spans="2:16" ht="18">
      <c r="B17" s="1591" t="s">
        <v>897</v>
      </c>
      <c r="C17" s="1590">
        <v>13139200</v>
      </c>
      <c r="D17" s="1590"/>
      <c r="J17" s="614" t="s">
        <v>897</v>
      </c>
      <c r="K17" s="632">
        <f>13439200-300000</f>
        <v>13139200</v>
      </c>
      <c r="L17" s="630"/>
    </row>
    <row r="18" spans="2:16" ht="18">
      <c r="B18" s="1591" t="s">
        <v>998</v>
      </c>
      <c r="C18" s="1590">
        <v>4675500</v>
      </c>
      <c r="D18" s="1590"/>
      <c r="J18" s="614" t="s">
        <v>998</v>
      </c>
      <c r="K18" s="632">
        <v>4675500</v>
      </c>
      <c r="L18" s="630"/>
    </row>
    <row r="19" spans="2:16" ht="18">
      <c r="B19" s="1591" t="s">
        <v>898</v>
      </c>
      <c r="C19" s="1590">
        <v>8560000</v>
      </c>
      <c r="D19" s="1590"/>
      <c r="J19" s="614" t="s">
        <v>898</v>
      </c>
      <c r="K19" s="632">
        <v>8560000</v>
      </c>
      <c r="L19" s="630"/>
    </row>
    <row r="20" spans="2:16" ht="18">
      <c r="B20" s="1591" t="s">
        <v>899</v>
      </c>
      <c r="C20" s="1590">
        <v>4664200</v>
      </c>
      <c r="D20" s="1590"/>
      <c r="J20" s="614" t="s">
        <v>899</v>
      </c>
      <c r="K20" s="632">
        <v>4664200</v>
      </c>
      <c r="L20" s="630"/>
    </row>
    <row r="21" spans="2:16" ht="18">
      <c r="B21" s="1591" t="s">
        <v>900</v>
      </c>
      <c r="C21" s="1590">
        <v>11062703</v>
      </c>
      <c r="D21" s="1590"/>
      <c r="J21" s="614" t="s">
        <v>900</v>
      </c>
      <c r="K21" s="632">
        <f>17772800-6710097</f>
        <v>11062703</v>
      </c>
      <c r="L21" s="630"/>
    </row>
    <row r="22" spans="2:16" ht="18">
      <c r="B22" s="1591" t="s">
        <v>999</v>
      </c>
      <c r="C22" s="1590">
        <v>1724600</v>
      </c>
      <c r="D22" s="1590"/>
      <c r="J22" s="614" t="s">
        <v>999</v>
      </c>
      <c r="K22" s="632">
        <v>1724600</v>
      </c>
      <c r="L22" s="630"/>
    </row>
    <row r="23" spans="2:16" ht="18">
      <c r="B23" s="1589" t="s">
        <v>880</v>
      </c>
      <c r="C23" s="1590"/>
      <c r="D23" s="1590"/>
      <c r="J23" s="672" t="s">
        <v>880</v>
      </c>
      <c r="K23" s="632"/>
      <c r="L23" s="631"/>
    </row>
    <row r="24" spans="2:16" ht="18.75" thickBot="1">
      <c r="B24" s="1591" t="s">
        <v>901</v>
      </c>
      <c r="C24" s="1590">
        <v>10265990</v>
      </c>
      <c r="D24" s="1592"/>
      <c r="J24" s="614" t="s">
        <v>901</v>
      </c>
      <c r="K24" s="632">
        <v>10265990</v>
      </c>
      <c r="L24" s="630"/>
    </row>
    <row r="25" spans="2:16" ht="18.75" thickBot="1">
      <c r="B25" s="1591" t="s">
        <v>902</v>
      </c>
      <c r="C25" s="1590">
        <v>8940500</v>
      </c>
      <c r="D25" s="1592"/>
      <c r="F25" s="637"/>
      <c r="G25" s="622"/>
      <c r="H25" s="623" t="s">
        <v>991</v>
      </c>
      <c r="J25" s="614" t="s">
        <v>902</v>
      </c>
      <c r="K25" s="632">
        <v>8940500</v>
      </c>
      <c r="L25" s="630"/>
      <c r="N25" s="637"/>
      <c r="O25" s="622"/>
      <c r="P25" s="623" t="s">
        <v>991</v>
      </c>
    </row>
    <row r="26" spans="2:16" ht="18">
      <c r="B26" s="1591" t="s">
        <v>903</v>
      </c>
      <c r="C26" s="1590">
        <v>9843000</v>
      </c>
      <c r="D26" s="1592"/>
      <c r="F26" s="624" t="s">
        <v>907</v>
      </c>
      <c r="G26" s="625"/>
      <c r="H26" s="626">
        <f>IF(C3=200,C56,IF(C3=180,C57,IF(C3=150,C58,IF(C3=120,C59,0))))</f>
        <v>216000000</v>
      </c>
      <c r="J26" s="614" t="s">
        <v>903</v>
      </c>
      <c r="K26" s="632">
        <v>9843000</v>
      </c>
      <c r="L26" s="630"/>
      <c r="N26" s="624" t="s">
        <v>907</v>
      </c>
      <c r="O26" s="625"/>
      <c r="P26" s="683">
        <f>K34</f>
        <v>216000000.47499999</v>
      </c>
    </row>
    <row r="27" spans="2:16" ht="18.75" thickBot="1">
      <c r="B27" s="1591" t="s">
        <v>904</v>
      </c>
      <c r="C27" s="1590">
        <v>4425400</v>
      </c>
      <c r="D27" s="1592"/>
      <c r="F27" s="627" t="s">
        <v>1024</v>
      </c>
      <c r="G27" s="682"/>
      <c r="H27" s="626">
        <f>IF(C3=200,C48,IF(C3=150,K48,K48))</f>
        <v>32287520</v>
      </c>
      <c r="J27" s="614" t="s">
        <v>904</v>
      </c>
      <c r="K27" s="632">
        <v>4425400</v>
      </c>
      <c r="L27" s="630"/>
      <c r="N27" s="627" t="s">
        <v>1024</v>
      </c>
      <c r="O27" s="682"/>
      <c r="P27" s="636">
        <f>K48</f>
        <v>32287520</v>
      </c>
    </row>
    <row r="28" spans="2:16" ht="18">
      <c r="B28" s="1591" t="s">
        <v>9</v>
      </c>
      <c r="C28" s="1590">
        <v>10015210</v>
      </c>
      <c r="D28" s="1592"/>
      <c r="J28" s="614" t="s">
        <v>9</v>
      </c>
      <c r="K28" s="632">
        <v>10015210</v>
      </c>
      <c r="L28" s="630"/>
    </row>
    <row r="29" spans="2:16" ht="18">
      <c r="B29" s="1591" t="s">
        <v>1000</v>
      </c>
      <c r="C29" s="1590">
        <v>8069530</v>
      </c>
      <c r="D29" s="1592"/>
      <c r="J29" s="614" t="s">
        <v>1000</v>
      </c>
      <c r="K29" s="632">
        <f>12069600-4000070</f>
        <v>8069530</v>
      </c>
      <c r="L29" s="630"/>
    </row>
    <row r="30" spans="2:16" ht="18">
      <c r="B30" s="1591" t="s">
        <v>1001</v>
      </c>
      <c r="C30" s="1590">
        <v>185030233</v>
      </c>
      <c r="D30" s="1592"/>
      <c r="J30" s="614" t="s">
        <v>1001</v>
      </c>
      <c r="K30" s="632">
        <f>SUM(K13:K29)</f>
        <v>185030233</v>
      </c>
      <c r="L30" s="630"/>
    </row>
    <row r="31" spans="2:16" ht="18">
      <c r="B31" s="1591" t="s">
        <v>966</v>
      </c>
      <c r="C31" s="1590">
        <v>15900000</v>
      </c>
      <c r="D31" s="1590"/>
      <c r="J31" s="614" t="s">
        <v>966</v>
      </c>
      <c r="K31" s="632">
        <f>30900000-15000000</f>
        <v>15900000</v>
      </c>
      <c r="L31" s="630"/>
    </row>
    <row r="32" spans="2:16" ht="18">
      <c r="B32" s="1591" t="s">
        <v>1015</v>
      </c>
      <c r="C32" s="1590">
        <f>C30+C31</f>
        <v>200930233</v>
      </c>
      <c r="D32" s="1590"/>
      <c r="J32" s="614" t="s">
        <v>907</v>
      </c>
      <c r="K32" s="632">
        <f>K30+K31</f>
        <v>200930233</v>
      </c>
      <c r="L32" s="630"/>
    </row>
    <row r="33" spans="2:12" ht="18">
      <c r="B33" s="1591" t="s">
        <v>712</v>
      </c>
      <c r="C33" s="1590">
        <f>0.075*C32</f>
        <v>15069767.475</v>
      </c>
      <c r="D33" s="1590"/>
      <c r="J33" s="614" t="s">
        <v>712</v>
      </c>
      <c r="K33" s="632">
        <f>0.075*K32</f>
        <v>15069767.475</v>
      </c>
      <c r="L33" s="630"/>
    </row>
    <row r="34" spans="2:12" ht="18.75" thickBot="1">
      <c r="B34" s="1594" t="s">
        <v>1016</v>
      </c>
      <c r="C34" s="1595">
        <f>C32+C33</f>
        <v>216000000.47499999</v>
      </c>
      <c r="D34" s="1593"/>
      <c r="J34" s="618" t="s">
        <v>1016</v>
      </c>
      <c r="K34" s="674">
        <f>K32+K33</f>
        <v>216000000.47499999</v>
      </c>
      <c r="L34" s="630"/>
    </row>
    <row r="35" spans="2:12" ht="15.75" thickBot="1">
      <c r="B35" s="2119"/>
      <c r="C35" s="2120"/>
      <c r="D35" s="2121"/>
      <c r="J35" s="614"/>
      <c r="K35" s="632"/>
      <c r="L35" s="630"/>
    </row>
    <row r="36" spans="2:12" ht="15">
      <c r="B36" s="617"/>
      <c r="C36" s="615"/>
      <c r="D36" s="616"/>
      <c r="J36" s="614"/>
      <c r="K36" s="632"/>
      <c r="L36" s="630"/>
    </row>
    <row r="37" spans="2:12" ht="15">
      <c r="B37" s="617"/>
      <c r="C37" s="628"/>
      <c r="D37" s="616"/>
      <c r="J37" s="614"/>
      <c r="K37" s="632"/>
      <c r="L37" s="630"/>
    </row>
    <row r="38" spans="2:12" ht="15">
      <c r="B38" s="614"/>
      <c r="C38" s="615"/>
      <c r="D38" s="616"/>
      <c r="J38" s="614"/>
      <c r="K38" s="632"/>
      <c r="L38" s="630"/>
    </row>
    <row r="39" spans="2:12" ht="15.75" thickBot="1">
      <c r="B39" s="617"/>
      <c r="C39" s="615"/>
      <c r="D39" s="616"/>
      <c r="J39" s="614"/>
      <c r="K39" s="614"/>
      <c r="L39" s="675"/>
    </row>
    <row r="40" spans="2:12" ht="15.75" thickBot="1">
      <c r="B40" s="618" t="s">
        <v>909</v>
      </c>
      <c r="C40" s="619"/>
      <c r="D40" s="620">
        <f>SUM(D12:D22)</f>
        <v>0</v>
      </c>
      <c r="J40" s="678" t="s">
        <v>909</v>
      </c>
      <c r="K40" s="679"/>
      <c r="L40" s="680">
        <f>L44</f>
        <v>0</v>
      </c>
    </row>
    <row r="41" spans="2:12" ht="15.75" thickTop="1">
      <c r="B41" s="614" t="s">
        <v>1017</v>
      </c>
      <c r="C41" s="616">
        <v>24432750</v>
      </c>
      <c r="D41" s="616"/>
      <c r="J41" s="614" t="s">
        <v>1017</v>
      </c>
      <c r="K41" s="616">
        <v>18268080</v>
      </c>
      <c r="L41" s="633"/>
    </row>
    <row r="42" spans="2:12" ht="15">
      <c r="B42" s="614" t="s">
        <v>1018</v>
      </c>
      <c r="C42" s="616">
        <v>3930750</v>
      </c>
      <c r="D42" s="616"/>
      <c r="J42" s="614" t="s">
        <v>1018</v>
      </c>
      <c r="K42" s="616">
        <v>2979580</v>
      </c>
      <c r="L42" s="633"/>
    </row>
    <row r="43" spans="2:12" ht="15">
      <c r="B43" s="614" t="s">
        <v>1019</v>
      </c>
      <c r="C43" s="616">
        <v>544500</v>
      </c>
      <c r="D43" s="616"/>
      <c r="J43" s="614" t="s">
        <v>1019</v>
      </c>
      <c r="K43" s="616">
        <v>515930</v>
      </c>
      <c r="L43" s="631"/>
    </row>
    <row r="44" spans="2:12" ht="15">
      <c r="B44" s="672" t="s">
        <v>348</v>
      </c>
      <c r="C44" s="616">
        <v>7462060</v>
      </c>
      <c r="D44" s="616"/>
      <c r="J44" s="672" t="s">
        <v>348</v>
      </c>
      <c r="K44" s="616">
        <v>5928010</v>
      </c>
      <c r="L44" s="630"/>
    </row>
    <row r="45" spans="2:12" ht="15">
      <c r="B45" s="614" t="s">
        <v>1020</v>
      </c>
      <c r="C45" s="616">
        <v>164360</v>
      </c>
      <c r="D45" s="616"/>
      <c r="J45" s="614" t="s">
        <v>1020</v>
      </c>
      <c r="K45" s="616">
        <v>164360</v>
      </c>
      <c r="L45" s="633"/>
    </row>
    <row r="46" spans="2:12" ht="15">
      <c r="B46" s="614" t="s">
        <v>1021</v>
      </c>
      <c r="C46" s="616">
        <v>4059750</v>
      </c>
      <c r="D46" s="616"/>
      <c r="J46" s="614" t="s">
        <v>1021</v>
      </c>
      <c r="K46" s="616">
        <v>3292730</v>
      </c>
      <c r="L46" s="631"/>
    </row>
    <row r="47" spans="2:12" ht="15.75" thickBot="1">
      <c r="B47" s="614" t="s">
        <v>1022</v>
      </c>
      <c r="C47" s="616">
        <v>1427870</v>
      </c>
      <c r="D47" s="616">
        <f>D46</f>
        <v>0</v>
      </c>
      <c r="J47" s="614" t="s">
        <v>1022</v>
      </c>
      <c r="K47" s="616">
        <v>1138830</v>
      </c>
      <c r="L47" s="631"/>
    </row>
    <row r="48" spans="2:12" ht="15.75" thickBot="1">
      <c r="B48" s="634" t="s">
        <v>1023</v>
      </c>
      <c r="C48" s="681">
        <f>SUM(C41:C47)</f>
        <v>42022040</v>
      </c>
      <c r="D48" s="635"/>
      <c r="J48" s="676" t="s">
        <v>1023</v>
      </c>
      <c r="K48" s="621">
        <f>SUM(K41:K47)</f>
        <v>32287520</v>
      </c>
      <c r="L48" s="677"/>
    </row>
    <row r="53" spans="2:35">
      <c r="B53" s="610" t="s">
        <v>2100</v>
      </c>
    </row>
    <row r="55" spans="2:35">
      <c r="B55" s="610" t="s">
        <v>2101</v>
      </c>
      <c r="C55" s="2213">
        <v>1200000</v>
      </c>
    </row>
    <row r="56" spans="2:35">
      <c r="B56" s="610" t="s">
        <v>2102</v>
      </c>
      <c r="C56" s="2214">
        <f>200*C55</f>
        <v>240000000</v>
      </c>
    </row>
    <row r="57" spans="2:35">
      <c r="B57" s="610" t="s">
        <v>2220</v>
      </c>
      <c r="C57" s="2214">
        <f>180*C55</f>
        <v>216000000</v>
      </c>
    </row>
    <row r="58" spans="2:35">
      <c r="B58" s="610" t="s">
        <v>2103</v>
      </c>
      <c r="C58" s="2214">
        <f>150*C55</f>
        <v>180000000</v>
      </c>
    </row>
    <row r="59" spans="2:35">
      <c r="B59" s="610" t="s">
        <v>2223</v>
      </c>
      <c r="C59" s="2214">
        <f>120*C55</f>
        <v>144000000</v>
      </c>
    </row>
    <row r="63" spans="2:35">
      <c r="B63" s="610" t="s">
        <v>2105</v>
      </c>
      <c r="C63" s="2215">
        <v>6.5000000000000002E-2</v>
      </c>
    </row>
    <row r="64" spans="2:35">
      <c r="B64" s="610" t="s">
        <v>2106</v>
      </c>
      <c r="C64" s="2215">
        <v>7.0000000000000007E-2</v>
      </c>
      <c r="F64" s="610">
        <v>1</v>
      </c>
      <c r="G64" s="610">
        <v>2</v>
      </c>
      <c r="H64" s="610">
        <v>3</v>
      </c>
      <c r="I64" s="610">
        <v>4</v>
      </c>
      <c r="J64" s="610">
        <v>5</v>
      </c>
      <c r="K64" s="610">
        <v>6</v>
      </c>
      <c r="L64" s="610">
        <v>7</v>
      </c>
      <c r="M64" s="610">
        <v>8</v>
      </c>
      <c r="N64" s="610">
        <v>9</v>
      </c>
      <c r="O64" s="610">
        <v>10</v>
      </c>
      <c r="P64" s="610">
        <v>11</v>
      </c>
      <c r="Q64" s="610">
        <v>12</v>
      </c>
      <c r="R64" s="610">
        <v>13</v>
      </c>
      <c r="S64" s="610">
        <v>14</v>
      </c>
      <c r="T64" s="610">
        <v>15</v>
      </c>
      <c r="U64" s="610">
        <v>16</v>
      </c>
      <c r="V64" s="610">
        <v>17</v>
      </c>
      <c r="W64" s="610">
        <v>18</v>
      </c>
      <c r="X64" s="610">
        <v>19</v>
      </c>
      <c r="Y64" s="610">
        <v>20</v>
      </c>
      <c r="Z64" s="610">
        <v>21</v>
      </c>
      <c r="AA64" s="610">
        <v>22</v>
      </c>
      <c r="AB64" s="610">
        <v>23</v>
      </c>
      <c r="AC64" s="610">
        <v>24</v>
      </c>
      <c r="AD64" s="610">
        <v>25</v>
      </c>
      <c r="AE64" s="610">
        <v>26</v>
      </c>
      <c r="AF64" s="610">
        <v>27</v>
      </c>
      <c r="AG64" s="610">
        <v>28</v>
      </c>
      <c r="AH64" s="610">
        <v>29</v>
      </c>
      <c r="AI64" s="610">
        <v>30</v>
      </c>
    </row>
    <row r="65" spans="2:35">
      <c r="F65" s="389">
        <f>'Rev &amp; Receivables'!J3</f>
        <v>46023</v>
      </c>
      <c r="G65" s="389">
        <f>'Rev &amp; Receivables'!K3</f>
        <v>46388</v>
      </c>
      <c r="H65" s="389">
        <f>'Rev &amp; Receivables'!L3</f>
        <v>46753</v>
      </c>
      <c r="I65" s="389">
        <f>'Rev &amp; Receivables'!M3</f>
        <v>47119</v>
      </c>
      <c r="J65" s="389">
        <f>'Rev &amp; Receivables'!N3</f>
        <v>47484</v>
      </c>
      <c r="K65" s="389">
        <f>'Rev &amp; Receivables'!O3</f>
        <v>47849</v>
      </c>
      <c r="L65" s="389">
        <f>'Rev &amp; Receivables'!P3</f>
        <v>48214</v>
      </c>
      <c r="M65" s="389">
        <f>'Rev &amp; Receivables'!Q3</f>
        <v>48580</v>
      </c>
      <c r="N65" s="389">
        <f>'Rev &amp; Receivables'!R3</f>
        <v>48945</v>
      </c>
      <c r="O65" s="389">
        <f>'Rev &amp; Receivables'!S3</f>
        <v>49310</v>
      </c>
      <c r="P65" s="389">
        <f>'Rev &amp; Receivables'!T3</f>
        <v>49675</v>
      </c>
      <c r="Q65" s="389">
        <f>'Rev &amp; Receivables'!U3</f>
        <v>50041</v>
      </c>
      <c r="R65" s="389">
        <f>'Rev &amp; Receivables'!V3</f>
        <v>50406</v>
      </c>
      <c r="S65" s="389">
        <f>'Rev &amp; Receivables'!W3</f>
        <v>50771</v>
      </c>
      <c r="T65" s="389">
        <f>'Rev &amp; Receivables'!X3</f>
        <v>51136</v>
      </c>
      <c r="U65" s="389">
        <f>'Rev &amp; Receivables'!Y3</f>
        <v>51502</v>
      </c>
      <c r="V65" s="389">
        <f>'Rev &amp; Receivables'!Z3</f>
        <v>51867</v>
      </c>
      <c r="W65" s="389">
        <f>'Rev &amp; Receivables'!AA3</f>
        <v>52232</v>
      </c>
      <c r="X65" s="389">
        <f>'Rev &amp; Receivables'!AB3</f>
        <v>52597</v>
      </c>
      <c r="Y65" s="389">
        <f>'Rev &amp; Receivables'!AC3</f>
        <v>52963</v>
      </c>
      <c r="Z65" s="389">
        <f>'Rev &amp; Receivables'!AD3</f>
        <v>53328</v>
      </c>
      <c r="AA65" s="389">
        <f>'Rev &amp; Receivables'!AE3</f>
        <v>53693</v>
      </c>
      <c r="AB65" s="389">
        <f>'Rev &amp; Receivables'!AF3</f>
        <v>54058</v>
      </c>
      <c r="AC65" s="389">
        <f>'Rev &amp; Receivables'!AG3</f>
        <v>54424</v>
      </c>
      <c r="AD65" s="389">
        <f>'Rev &amp; Receivables'!AH3</f>
        <v>54789</v>
      </c>
      <c r="AE65" s="389">
        <f>'Rev &amp; Receivables'!AI3</f>
        <v>55154</v>
      </c>
      <c r="AF65" s="389">
        <f>'Rev &amp; Receivables'!AJ3</f>
        <v>55519</v>
      </c>
      <c r="AG65" s="389">
        <f>'Rev &amp; Receivables'!AK3</f>
        <v>55885</v>
      </c>
      <c r="AH65" s="389">
        <f>'Rev &amp; Receivables'!AL3</f>
        <v>56250</v>
      </c>
      <c r="AI65" s="389">
        <f>'Rev &amp; Receivables'!AM3</f>
        <v>56615</v>
      </c>
    </row>
    <row r="66" spans="2:35">
      <c r="B66" s="610" t="s">
        <v>2107</v>
      </c>
      <c r="F66" s="389">
        <f>'Rev &amp; Receivables'!J4</f>
        <v>46387</v>
      </c>
      <c r="G66" s="389">
        <f>'Rev &amp; Receivables'!K4</f>
        <v>46752</v>
      </c>
      <c r="H66" s="389">
        <f>'Rev &amp; Receivables'!L4</f>
        <v>47118</v>
      </c>
      <c r="I66" s="389">
        <f>'Rev &amp; Receivables'!M4</f>
        <v>47483</v>
      </c>
      <c r="J66" s="389">
        <f>'Rev &amp; Receivables'!N4</f>
        <v>47848</v>
      </c>
      <c r="K66" s="389">
        <f>'Rev &amp; Receivables'!O4</f>
        <v>48213</v>
      </c>
      <c r="L66" s="389">
        <f>'Rev &amp; Receivables'!P4</f>
        <v>48579</v>
      </c>
      <c r="M66" s="389">
        <f>'Rev &amp; Receivables'!Q4</f>
        <v>48944</v>
      </c>
      <c r="N66" s="389">
        <f>'Rev &amp; Receivables'!R4</f>
        <v>49309</v>
      </c>
      <c r="O66" s="389">
        <f>'Rev &amp; Receivables'!S4</f>
        <v>49674</v>
      </c>
      <c r="P66" s="389">
        <f>'Rev &amp; Receivables'!T4</f>
        <v>50040</v>
      </c>
      <c r="Q66" s="389">
        <f>'Rev &amp; Receivables'!U4</f>
        <v>50405</v>
      </c>
      <c r="R66" s="389">
        <f>'Rev &amp; Receivables'!V4</f>
        <v>50770</v>
      </c>
      <c r="S66" s="389">
        <f>'Rev &amp; Receivables'!W4</f>
        <v>51135</v>
      </c>
      <c r="T66" s="389">
        <f>'Rev &amp; Receivables'!X4</f>
        <v>51501</v>
      </c>
      <c r="U66" s="389">
        <f>'Rev &amp; Receivables'!Y4</f>
        <v>51866</v>
      </c>
      <c r="V66" s="389">
        <f>'Rev &amp; Receivables'!Z4</f>
        <v>52231</v>
      </c>
      <c r="W66" s="389">
        <f>'Rev &amp; Receivables'!AA4</f>
        <v>52596</v>
      </c>
      <c r="X66" s="389">
        <f>'Rev &amp; Receivables'!AB4</f>
        <v>52962</v>
      </c>
      <c r="Y66" s="389">
        <f>'Rev &amp; Receivables'!AC4</f>
        <v>53327</v>
      </c>
      <c r="Z66" s="389">
        <f>'Rev &amp; Receivables'!AD4</f>
        <v>53692</v>
      </c>
      <c r="AA66" s="389">
        <f>'Rev &amp; Receivables'!AE4</f>
        <v>54057</v>
      </c>
      <c r="AB66" s="389">
        <f>'Rev &amp; Receivables'!AF4</f>
        <v>54423</v>
      </c>
      <c r="AC66" s="389">
        <f>'Rev &amp; Receivables'!AG4</f>
        <v>54788</v>
      </c>
      <c r="AD66" s="389">
        <f>'Rev &amp; Receivables'!AH4</f>
        <v>55153</v>
      </c>
      <c r="AE66" s="389">
        <f>'Rev &amp; Receivables'!AI4</f>
        <v>55518</v>
      </c>
      <c r="AF66" s="389">
        <f>'Rev &amp; Receivables'!AJ4</f>
        <v>55884</v>
      </c>
      <c r="AG66" s="389">
        <f>'Rev &amp; Receivables'!AK4</f>
        <v>56249</v>
      </c>
      <c r="AH66" s="389">
        <f>'Rev &amp; Receivables'!AL4</f>
        <v>56614</v>
      </c>
      <c r="AI66" s="389">
        <f>'Rev &amp; Receivables'!AM4</f>
        <v>56979</v>
      </c>
    </row>
    <row r="67" spans="2:35">
      <c r="F67" s="2224">
        <f>'Assumption '!M56</f>
        <v>1.03</v>
      </c>
      <c r="G67" s="2224">
        <f>'Assumption '!N56</f>
        <v>1.0609</v>
      </c>
      <c r="H67" s="2224">
        <f>'Assumption '!O56</f>
        <v>1.092727</v>
      </c>
      <c r="I67" s="2224">
        <f>'Assumption '!P56</f>
        <v>1.1255088100000001</v>
      </c>
      <c r="J67" s="2224">
        <f>'Assumption '!Q56</f>
        <v>1.1592740743000001</v>
      </c>
      <c r="K67" s="2224">
        <f>'Assumption '!R56</f>
        <v>1.1940522965290001</v>
      </c>
      <c r="L67" s="2224">
        <f>'Assumption '!S56</f>
        <v>1.2298738654248702</v>
      </c>
      <c r="M67" s="2224">
        <f>'Assumption '!T56</f>
        <v>1.2667700813876164</v>
      </c>
      <c r="N67" s="2224">
        <f>'Assumption '!U56</f>
        <v>1.3047731838292449</v>
      </c>
      <c r="O67" s="2224">
        <f>'Assumption '!V56</f>
        <v>1.3439163793441222</v>
      </c>
      <c r="P67" s="2224">
        <f>'Assumption '!W56</f>
        <v>1.3842338707244459</v>
      </c>
      <c r="Q67" s="2224">
        <f>'Assumption '!X56</f>
        <v>1.4257608868461793</v>
      </c>
      <c r="R67" s="2224">
        <f>'Assumption '!Y56</f>
        <v>1.4685337134515648</v>
      </c>
      <c r="S67" s="2224">
        <f>'Assumption '!Z56</f>
        <v>1.5125897248551119</v>
      </c>
      <c r="T67" s="2224">
        <f>'Assumption '!AA56</f>
        <v>1.5579674166007653</v>
      </c>
      <c r="U67" s="2224">
        <f>'Assumption '!AB56</f>
        <v>1.6047064390987884</v>
      </c>
      <c r="V67" s="2224">
        <f>'Assumption '!AC56</f>
        <v>1.652847632271752</v>
      </c>
      <c r="W67" s="2224">
        <f>'Assumption '!AD56</f>
        <v>1.7024330612399046</v>
      </c>
      <c r="X67" s="2224">
        <f>'Assumption '!AE56</f>
        <v>1.7535060530771018</v>
      </c>
      <c r="Y67" s="2224">
        <f>'Assumption '!AF56</f>
        <v>1.806111234669415</v>
      </c>
      <c r="Z67" s="2224">
        <f>'Assumption '!AG56</f>
        <v>1.8602945717094976</v>
      </c>
      <c r="AA67" s="2224">
        <f>'Assumption '!AH56</f>
        <v>1.9161034088607827</v>
      </c>
      <c r="AB67" s="2224">
        <f>'Assumption '!AI56</f>
        <v>1.9735865111266062</v>
      </c>
      <c r="AC67" s="2224">
        <f>'Assumption '!AJ56</f>
        <v>2.0327941064604045</v>
      </c>
      <c r="AD67" s="2224">
        <f>'Assumption '!AK56</f>
        <v>2.0937779296542165</v>
      </c>
      <c r="AE67" s="2224">
        <f>'Assumption '!AL56</f>
        <v>2.1565912675438432</v>
      </c>
      <c r="AF67" s="2224">
        <f>'Assumption '!AM56</f>
        <v>2.2212890055701586</v>
      </c>
      <c r="AG67" s="2224">
        <f>'Assumption '!AN56</f>
        <v>2.2879276757372633</v>
      </c>
      <c r="AH67" s="2224">
        <f>'Assumption '!AO56</f>
        <v>2.3565655060093813</v>
      </c>
      <c r="AI67" s="2224">
        <f>'Assumption '!AP56</f>
        <v>2.4272624711896627</v>
      </c>
    </row>
    <row r="68" spans="2:35">
      <c r="B68" s="610" t="s">
        <v>2102</v>
      </c>
      <c r="C68" s="612">
        <f>C63*C56</f>
        <v>15600000</v>
      </c>
      <c r="F68" s="2214">
        <f>F67*$C$68</f>
        <v>16068000</v>
      </c>
      <c r="G68" s="2214">
        <f t="shared" ref="G68:AI68" si="0">G67*$C$68</f>
        <v>16550040</v>
      </c>
      <c r="H68" s="2214">
        <f t="shared" si="0"/>
        <v>17046541.199999999</v>
      </c>
      <c r="I68" s="2214">
        <f t="shared" si="0"/>
        <v>17557937.436000001</v>
      </c>
      <c r="J68" s="2214">
        <f t="shared" si="0"/>
        <v>18084675.559080001</v>
      </c>
      <c r="K68" s="2214">
        <f t="shared" si="0"/>
        <v>18627215.825852402</v>
      </c>
      <c r="L68" s="2214">
        <f t="shared" si="0"/>
        <v>19186032.300627977</v>
      </c>
      <c r="M68" s="2214">
        <f t="shared" si="0"/>
        <v>19761613.269646816</v>
      </c>
      <c r="N68" s="2214">
        <f t="shared" si="0"/>
        <v>20354461.667736221</v>
      </c>
      <c r="O68" s="2214">
        <f t="shared" si="0"/>
        <v>20965095.517768309</v>
      </c>
      <c r="P68" s="2214">
        <f t="shared" si="0"/>
        <v>21594048.383301355</v>
      </c>
      <c r="Q68" s="2214">
        <f t="shared" si="0"/>
        <v>22241869.834800396</v>
      </c>
      <c r="R68" s="2214">
        <f t="shared" si="0"/>
        <v>22909125.929844409</v>
      </c>
      <c r="S68" s="2214">
        <f t="shared" si="0"/>
        <v>23596399.707739744</v>
      </c>
      <c r="T68" s="2214">
        <f t="shared" si="0"/>
        <v>24304291.698971938</v>
      </c>
      <c r="U68" s="2214">
        <f t="shared" si="0"/>
        <v>25033420.449941099</v>
      </c>
      <c r="V68" s="2214">
        <f t="shared" si="0"/>
        <v>25784423.063439332</v>
      </c>
      <c r="W68" s="2214">
        <f t="shared" si="0"/>
        <v>26557955.75534251</v>
      </c>
      <c r="X68" s="2214">
        <f t="shared" si="0"/>
        <v>27354694.42800279</v>
      </c>
      <c r="Y68" s="2214">
        <f t="shared" si="0"/>
        <v>28175335.260842875</v>
      </c>
      <c r="Z68" s="2214">
        <f t="shared" si="0"/>
        <v>29020595.318668164</v>
      </c>
      <c r="AA68" s="2214">
        <f t="shared" si="0"/>
        <v>29891213.178228211</v>
      </c>
      <c r="AB68" s="2214">
        <f t="shared" si="0"/>
        <v>30787949.573575057</v>
      </c>
      <c r="AC68" s="2214">
        <f t="shared" si="0"/>
        <v>31711588.06078231</v>
      </c>
      <c r="AD68" s="2214">
        <f t="shared" si="0"/>
        <v>32662935.702605776</v>
      </c>
      <c r="AE68" s="2214">
        <f t="shared" si="0"/>
        <v>33642823.773683958</v>
      </c>
      <c r="AF68" s="2214">
        <f t="shared" si="0"/>
        <v>34652108.486894473</v>
      </c>
      <c r="AG68" s="2214">
        <f t="shared" si="0"/>
        <v>35691671.741501309</v>
      </c>
      <c r="AH68" s="2214">
        <f t="shared" si="0"/>
        <v>36762421.893746346</v>
      </c>
      <c r="AI68" s="2214">
        <f t="shared" si="0"/>
        <v>37865294.550558738</v>
      </c>
    </row>
    <row r="69" spans="2:35">
      <c r="B69" s="610" t="s">
        <v>2103</v>
      </c>
      <c r="C69" s="612">
        <f>C63*C58</f>
        <v>11700000</v>
      </c>
      <c r="F69" s="2214">
        <f>F67*$C$69</f>
        <v>12051000</v>
      </c>
      <c r="G69" s="2214">
        <f t="shared" ref="G69:AI69" si="1">G67*$C$69</f>
        <v>12412530</v>
      </c>
      <c r="H69" s="2214">
        <f t="shared" si="1"/>
        <v>12784905.9</v>
      </c>
      <c r="I69" s="2214">
        <f t="shared" si="1"/>
        <v>13168453.077000001</v>
      </c>
      <c r="J69" s="2214">
        <f t="shared" si="1"/>
        <v>13563506.669310002</v>
      </c>
      <c r="K69" s="2214">
        <f t="shared" si="1"/>
        <v>13970411.869389301</v>
      </c>
      <c r="L69" s="2214">
        <f t="shared" si="1"/>
        <v>14389524.225470981</v>
      </c>
      <c r="M69" s="2214">
        <f t="shared" si="1"/>
        <v>14821209.952235112</v>
      </c>
      <c r="N69" s="2214">
        <f t="shared" si="1"/>
        <v>15265846.250802165</v>
      </c>
      <c r="O69" s="2214">
        <f t="shared" si="1"/>
        <v>15723821.63832623</v>
      </c>
      <c r="P69" s="2214">
        <f t="shared" si="1"/>
        <v>16195536.287476018</v>
      </c>
      <c r="Q69" s="2214">
        <f t="shared" si="1"/>
        <v>16681402.376100298</v>
      </c>
      <c r="R69" s="2214">
        <f t="shared" si="1"/>
        <v>17181844.447383307</v>
      </c>
      <c r="S69" s="2214">
        <f t="shared" si="1"/>
        <v>17697299.780804809</v>
      </c>
      <c r="T69" s="2214">
        <f t="shared" si="1"/>
        <v>18228218.774228953</v>
      </c>
      <c r="U69" s="2214">
        <f t="shared" si="1"/>
        <v>18775065.337455824</v>
      </c>
      <c r="V69" s="2214">
        <f t="shared" si="1"/>
        <v>19338317.297579497</v>
      </c>
      <c r="W69" s="2214">
        <f t="shared" si="1"/>
        <v>19918466.816506885</v>
      </c>
      <c r="X69" s="2214">
        <f t="shared" si="1"/>
        <v>20516020.821002092</v>
      </c>
      <c r="Y69" s="2214">
        <f t="shared" si="1"/>
        <v>21131501.445632156</v>
      </c>
      <c r="Z69" s="2214">
        <f t="shared" si="1"/>
        <v>21765446.489001121</v>
      </c>
      <c r="AA69" s="2214">
        <f t="shared" si="1"/>
        <v>22418409.883671157</v>
      </c>
      <c r="AB69" s="2214">
        <f t="shared" si="1"/>
        <v>23090962.180181291</v>
      </c>
      <c r="AC69" s="2214">
        <f t="shared" si="1"/>
        <v>23783691.045586731</v>
      </c>
      <c r="AD69" s="2214">
        <f t="shared" si="1"/>
        <v>24497201.776954334</v>
      </c>
      <c r="AE69" s="2214">
        <f t="shared" si="1"/>
        <v>25232117.830262966</v>
      </c>
      <c r="AF69" s="2214">
        <f t="shared" si="1"/>
        <v>25989081.365170855</v>
      </c>
      <c r="AG69" s="2214">
        <f t="shared" si="1"/>
        <v>26768753.80612598</v>
      </c>
      <c r="AH69" s="2214">
        <f t="shared" si="1"/>
        <v>27571816.42030976</v>
      </c>
      <c r="AI69" s="2214">
        <f t="shared" si="1"/>
        <v>28398970.912919052</v>
      </c>
    </row>
    <row r="70" spans="2:35">
      <c r="B70" s="610" t="s">
        <v>2104</v>
      </c>
      <c r="C70" s="612">
        <f>C63*C59</f>
        <v>9360000</v>
      </c>
      <c r="F70" s="2214">
        <f>F67*$C$70</f>
        <v>9640800</v>
      </c>
      <c r="G70" s="2214">
        <f t="shared" ref="G70:AI70" si="2">G67*$C$70</f>
        <v>9930024</v>
      </c>
      <c r="H70" s="2214">
        <f t="shared" si="2"/>
        <v>10227924.720000001</v>
      </c>
      <c r="I70" s="2214">
        <f t="shared" si="2"/>
        <v>10534762.461600002</v>
      </c>
      <c r="J70" s="2214">
        <f t="shared" si="2"/>
        <v>10850805.335448001</v>
      </c>
      <c r="K70" s="2214">
        <f t="shared" si="2"/>
        <v>11176329.495511441</v>
      </c>
      <c r="L70" s="2214">
        <f t="shared" si="2"/>
        <v>11511619.380376786</v>
      </c>
      <c r="M70" s="2214">
        <f t="shared" si="2"/>
        <v>11856967.96178809</v>
      </c>
      <c r="N70" s="2214">
        <f t="shared" si="2"/>
        <v>12212677.000641732</v>
      </c>
      <c r="O70" s="2214">
        <f t="shared" si="2"/>
        <v>12579057.310660984</v>
      </c>
      <c r="P70" s="2214">
        <f t="shared" si="2"/>
        <v>12956429.029980814</v>
      </c>
      <c r="Q70" s="2214">
        <f t="shared" si="2"/>
        <v>13345121.900880238</v>
      </c>
      <c r="R70" s="2214">
        <f t="shared" si="2"/>
        <v>13745475.557906646</v>
      </c>
      <c r="S70" s="2214">
        <f t="shared" si="2"/>
        <v>14157839.824643847</v>
      </c>
      <c r="T70" s="2214">
        <f t="shared" si="2"/>
        <v>14582575.019383164</v>
      </c>
      <c r="U70" s="2214">
        <f t="shared" si="2"/>
        <v>15020052.26996466</v>
      </c>
      <c r="V70" s="2214">
        <f t="shared" si="2"/>
        <v>15470653.8380636</v>
      </c>
      <c r="W70" s="2214">
        <f t="shared" si="2"/>
        <v>15934773.453205507</v>
      </c>
      <c r="X70" s="2214">
        <f t="shared" si="2"/>
        <v>16412816.656801673</v>
      </c>
      <c r="Y70" s="2214">
        <f t="shared" si="2"/>
        <v>16905201.156505726</v>
      </c>
      <c r="Z70" s="2214">
        <f t="shared" si="2"/>
        <v>17412357.191200897</v>
      </c>
      <c r="AA70" s="2214">
        <f t="shared" si="2"/>
        <v>17934727.906936925</v>
      </c>
      <c r="AB70" s="2214">
        <f t="shared" si="2"/>
        <v>18472769.744145036</v>
      </c>
      <c r="AC70" s="2214">
        <f t="shared" si="2"/>
        <v>19026952.836469386</v>
      </c>
      <c r="AD70" s="2214">
        <f t="shared" si="2"/>
        <v>19597761.421563465</v>
      </c>
      <c r="AE70" s="2214">
        <f t="shared" si="2"/>
        <v>20185694.264210373</v>
      </c>
      <c r="AF70" s="2214">
        <f t="shared" si="2"/>
        <v>20791265.092136685</v>
      </c>
      <c r="AG70" s="2214">
        <f t="shared" si="2"/>
        <v>21415003.044900786</v>
      </c>
      <c r="AH70" s="2214">
        <f t="shared" si="2"/>
        <v>22057453.13624781</v>
      </c>
      <c r="AI70" s="2214">
        <f t="shared" si="2"/>
        <v>22719176.730335243</v>
      </c>
    </row>
    <row r="72" spans="2:35">
      <c r="B72" s="610" t="s">
        <v>2108</v>
      </c>
    </row>
    <row r="73" spans="2:35">
      <c r="B73" s="610" t="s">
        <v>2102</v>
      </c>
      <c r="C73" s="2214">
        <f>C64*C56</f>
        <v>16800000</v>
      </c>
      <c r="F73" s="612">
        <f>$C$73*F67</f>
        <v>17304000</v>
      </c>
      <c r="G73" s="612">
        <f t="shared" ref="G73:AI73" si="3">$C$73*G67</f>
        <v>17823120</v>
      </c>
      <c r="H73" s="612">
        <f t="shared" si="3"/>
        <v>18357813.600000001</v>
      </c>
      <c r="I73" s="612">
        <f t="shared" si="3"/>
        <v>18908548.008000001</v>
      </c>
      <c r="J73" s="612">
        <f t="shared" si="3"/>
        <v>19475804.448240001</v>
      </c>
      <c r="K73" s="612">
        <f t="shared" si="3"/>
        <v>20060078.581687201</v>
      </c>
      <c r="L73" s="612">
        <f t="shared" si="3"/>
        <v>20661880.93913782</v>
      </c>
      <c r="M73" s="612">
        <f t="shared" si="3"/>
        <v>21281737.367311954</v>
      </c>
      <c r="N73" s="612">
        <f t="shared" si="3"/>
        <v>21920189.488331314</v>
      </c>
      <c r="O73" s="612">
        <f t="shared" si="3"/>
        <v>22577795.172981255</v>
      </c>
      <c r="P73" s="612">
        <f t="shared" si="3"/>
        <v>23255129.02817069</v>
      </c>
      <c r="Q73" s="612">
        <f t="shared" si="3"/>
        <v>23952782.899015814</v>
      </c>
      <c r="R73" s="612">
        <f t="shared" si="3"/>
        <v>24671366.385986287</v>
      </c>
      <c r="S73" s="612">
        <f t="shared" si="3"/>
        <v>25411507.377565879</v>
      </c>
      <c r="T73" s="612">
        <f t="shared" si="3"/>
        <v>26173852.598892856</v>
      </c>
      <c r="U73" s="612">
        <f t="shared" si="3"/>
        <v>26959068.176859647</v>
      </c>
      <c r="V73" s="612">
        <f t="shared" si="3"/>
        <v>27767840.222165436</v>
      </c>
      <c r="W73" s="612">
        <f t="shared" si="3"/>
        <v>28600875.428830396</v>
      </c>
      <c r="X73" s="612">
        <f t="shared" si="3"/>
        <v>29458901.69169531</v>
      </c>
      <c r="Y73" s="612">
        <f t="shared" si="3"/>
        <v>30342668.742446173</v>
      </c>
      <c r="Z73" s="612">
        <f t="shared" si="3"/>
        <v>31252948.80471956</v>
      </c>
      <c r="AA73" s="612">
        <f t="shared" si="3"/>
        <v>32190537.268861149</v>
      </c>
      <c r="AB73" s="612">
        <f t="shared" si="3"/>
        <v>33156253.386926983</v>
      </c>
      <c r="AC73" s="612">
        <f t="shared" si="3"/>
        <v>34150940.988534793</v>
      </c>
      <c r="AD73" s="612">
        <f t="shared" si="3"/>
        <v>35175469.218190834</v>
      </c>
      <c r="AE73" s="612">
        <f t="shared" si="3"/>
        <v>36230733.294736564</v>
      </c>
      <c r="AF73" s="612">
        <f t="shared" si="3"/>
        <v>37317655.293578662</v>
      </c>
      <c r="AG73" s="612">
        <f t="shared" si="3"/>
        <v>38437184.952386022</v>
      </c>
      <c r="AH73" s="612">
        <f t="shared" si="3"/>
        <v>39590300.500957608</v>
      </c>
      <c r="AI73" s="612">
        <f t="shared" si="3"/>
        <v>40778009.515986331</v>
      </c>
    </row>
    <row r="74" spans="2:35">
      <c r="B74" s="610" t="s">
        <v>2103</v>
      </c>
      <c r="C74" s="2214">
        <f>C64*C58</f>
        <v>12600000.000000002</v>
      </c>
      <c r="F74" s="612">
        <f>$C$74*F67</f>
        <v>12978000.000000002</v>
      </c>
      <c r="G74" s="612">
        <f t="shared" ref="G74:AI74" si="4">$C$74*G67</f>
        <v>13367340.000000002</v>
      </c>
      <c r="H74" s="612">
        <f t="shared" si="4"/>
        <v>13768360.200000003</v>
      </c>
      <c r="I74" s="612">
        <f t="shared" si="4"/>
        <v>14181411.006000005</v>
      </c>
      <c r="J74" s="612">
        <f t="shared" si="4"/>
        <v>14606853.336180003</v>
      </c>
      <c r="K74" s="612">
        <f t="shared" si="4"/>
        <v>15045058.936265403</v>
      </c>
      <c r="L74" s="612">
        <f t="shared" si="4"/>
        <v>15496410.704353366</v>
      </c>
      <c r="M74" s="612">
        <f t="shared" si="4"/>
        <v>15961303.02548397</v>
      </c>
      <c r="N74" s="612">
        <f t="shared" si="4"/>
        <v>16440142.116248488</v>
      </c>
      <c r="O74" s="612">
        <f t="shared" si="4"/>
        <v>16933346.379735943</v>
      </c>
      <c r="P74" s="612">
        <f t="shared" si="4"/>
        <v>17441346.771128021</v>
      </c>
      <c r="Q74" s="612">
        <f t="shared" si="4"/>
        <v>17964587.174261861</v>
      </c>
      <c r="R74" s="612">
        <f t="shared" si="4"/>
        <v>18503524.78948972</v>
      </c>
      <c r="S74" s="612">
        <f t="shared" si="4"/>
        <v>19058630.533174414</v>
      </c>
      <c r="T74" s="612">
        <f t="shared" si="4"/>
        <v>19630389.449169647</v>
      </c>
      <c r="U74" s="612">
        <f t="shared" si="4"/>
        <v>20219301.132644735</v>
      </c>
      <c r="V74" s="612">
        <f t="shared" si="4"/>
        <v>20825880.16662408</v>
      </c>
      <c r="W74" s="612">
        <f t="shared" si="4"/>
        <v>21450656.5716228</v>
      </c>
      <c r="X74" s="612">
        <f t="shared" si="4"/>
        <v>22094176.268771488</v>
      </c>
      <c r="Y74" s="612">
        <f t="shared" si="4"/>
        <v>22757001.556834634</v>
      </c>
      <c r="Z74" s="612">
        <f t="shared" si="4"/>
        <v>23439711.603539675</v>
      </c>
      <c r="AA74" s="612">
        <f t="shared" si="4"/>
        <v>24142902.951645866</v>
      </c>
      <c r="AB74" s="612">
        <f t="shared" si="4"/>
        <v>24867190.040195242</v>
      </c>
      <c r="AC74" s="612">
        <f t="shared" si="4"/>
        <v>25613205.741401099</v>
      </c>
      <c r="AD74" s="612">
        <f t="shared" si="4"/>
        <v>26381601.913643133</v>
      </c>
      <c r="AE74" s="612">
        <f t="shared" si="4"/>
        <v>27173049.971052427</v>
      </c>
      <c r="AF74" s="612">
        <f t="shared" si="4"/>
        <v>27988241.470184002</v>
      </c>
      <c r="AG74" s="612">
        <f t="shared" si="4"/>
        <v>28827888.714289524</v>
      </c>
      <c r="AH74" s="612">
        <f t="shared" si="4"/>
        <v>29692725.37571821</v>
      </c>
      <c r="AI74" s="612">
        <f t="shared" si="4"/>
        <v>30583507.136989754</v>
      </c>
    </row>
    <row r="75" spans="2:35">
      <c r="B75" s="610" t="s">
        <v>2104</v>
      </c>
      <c r="C75" s="612">
        <f>C64*C59</f>
        <v>10080000.000000002</v>
      </c>
      <c r="F75" s="612">
        <f>$C$75*F67</f>
        <v>10382400.000000002</v>
      </c>
      <c r="G75" s="612">
        <f t="shared" ref="G75:AI75" si="5">$C$75*G67</f>
        <v>10693872.000000002</v>
      </c>
      <c r="H75" s="612">
        <f t="shared" si="5"/>
        <v>11014688.160000002</v>
      </c>
      <c r="I75" s="612">
        <f t="shared" si="5"/>
        <v>11345128.804800004</v>
      </c>
      <c r="J75" s="612">
        <f t="shared" si="5"/>
        <v>11685482.668944003</v>
      </c>
      <c r="K75" s="612">
        <f t="shared" si="5"/>
        <v>12036047.149012323</v>
      </c>
      <c r="L75" s="612">
        <f t="shared" si="5"/>
        <v>12397128.563482694</v>
      </c>
      <c r="M75" s="612">
        <f t="shared" si="5"/>
        <v>12769042.420387175</v>
      </c>
      <c r="N75" s="612">
        <f t="shared" si="5"/>
        <v>13152113.692998791</v>
      </c>
      <c r="O75" s="612">
        <f t="shared" si="5"/>
        <v>13546677.103788754</v>
      </c>
      <c r="P75" s="612">
        <f t="shared" si="5"/>
        <v>13953077.416902417</v>
      </c>
      <c r="Q75" s="612">
        <f t="shared" si="5"/>
        <v>14371669.73940949</v>
      </c>
      <c r="R75" s="612">
        <f t="shared" si="5"/>
        <v>14802819.831591776</v>
      </c>
      <c r="S75" s="612">
        <f t="shared" si="5"/>
        <v>15246904.426539531</v>
      </c>
      <c r="T75" s="612">
        <f t="shared" si="5"/>
        <v>15704311.559335718</v>
      </c>
      <c r="U75" s="612">
        <f t="shared" si="5"/>
        <v>16175440.906115791</v>
      </c>
      <c r="V75" s="612">
        <f t="shared" si="5"/>
        <v>16660704.133299263</v>
      </c>
      <c r="W75" s="612">
        <f t="shared" si="5"/>
        <v>17160525.257298242</v>
      </c>
      <c r="X75" s="612">
        <f t="shared" si="5"/>
        <v>17675341.015017189</v>
      </c>
      <c r="Y75" s="612">
        <f t="shared" si="5"/>
        <v>18205601.245467708</v>
      </c>
      <c r="Z75" s="612">
        <f t="shared" si="5"/>
        <v>18751769.28283174</v>
      </c>
      <c r="AA75" s="612">
        <f t="shared" si="5"/>
        <v>19314322.361316692</v>
      </c>
      <c r="AB75" s="612">
        <f t="shared" si="5"/>
        <v>19893752.032156195</v>
      </c>
      <c r="AC75" s="612">
        <f t="shared" si="5"/>
        <v>20490564.59312088</v>
      </c>
      <c r="AD75" s="612">
        <f t="shared" si="5"/>
        <v>21105281.530914508</v>
      </c>
      <c r="AE75" s="612">
        <f t="shared" si="5"/>
        <v>21738439.976841945</v>
      </c>
      <c r="AF75" s="612">
        <f t="shared" si="5"/>
        <v>22390593.176147204</v>
      </c>
      <c r="AG75" s="612">
        <f t="shared" si="5"/>
        <v>23062310.971431617</v>
      </c>
      <c r="AH75" s="612">
        <f t="shared" si="5"/>
        <v>23754180.300574567</v>
      </c>
      <c r="AI75" s="612">
        <f t="shared" si="5"/>
        <v>24466805.709591802</v>
      </c>
    </row>
  </sheetData>
  <sheetProtection formatCells="0" formatColumns="0" formatRows="0" insertColumns="0" insertRows="0" insertHyperlinks="0" deleteColumns="0" deleteRows="0" sort="0" autoFilter="0" pivotTables="0"/>
  <mergeCells count="6">
    <mergeCell ref="B8:D8"/>
    <mergeCell ref="J8:L8"/>
    <mergeCell ref="B9:B10"/>
    <mergeCell ref="C9:D9"/>
    <mergeCell ref="J9:J10"/>
    <mergeCell ref="K9:L9"/>
  </mergeCells>
  <phoneticPr fontId="47" type="noConversion"/>
  <pageMargins left="0.7" right="0.7" top="0.75" bottom="0.75" header="0.3" footer="0.3"/>
  <pageSetup orientation="portrait" r:id="rId1"/>
  <ignoredErrors>
    <ignoredError sqref="C33 K33" formula="1"/>
    <ignoredError sqref="C3" unlockedFormula="1"/>
  </ignoredError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5949A-9BE6-4596-A485-5DC2BB1F46A9}">
  <sheetPr codeName="Sheet60">
    <tabColor theme="9" tint="0.39997558519241921"/>
  </sheetPr>
  <dimension ref="A1"/>
  <sheetViews>
    <sheetView workbookViewId="0"/>
  </sheetViews>
  <sheetFormatPr defaultRowHeight="15"/>
  <cols>
    <col min="1" max="4" width="8.875" customWidth="1"/>
  </cols>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FA7FE-76A2-427B-A68B-42AAA1E51A14}">
  <sheetPr codeName="Sheet62"/>
  <dimension ref="A1"/>
  <sheetViews>
    <sheetView workbookViewId="0">
      <selection activeCell="N18" sqref="N17:N18"/>
    </sheetView>
  </sheetViews>
  <sheetFormatPr defaultRowHeight="15"/>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77985-436E-4F55-A2EC-AD39348D3F60}">
  <sheetPr codeName="Sheet37"/>
  <dimension ref="A1:BA180"/>
  <sheetViews>
    <sheetView topLeftCell="A33" workbookViewId="0">
      <selection activeCell="G33" sqref="G33"/>
    </sheetView>
  </sheetViews>
  <sheetFormatPr defaultColWidth="9.14453125" defaultRowHeight="10.5"/>
  <cols>
    <col min="1" max="1" width="3.49609375" style="2" customWidth="1"/>
    <col min="2" max="2" width="32.5546875" style="2" customWidth="1"/>
    <col min="3" max="3" width="9.14453125" style="2"/>
    <col min="4" max="4" width="15.06640625" style="2" bestFit="1" customWidth="1"/>
    <col min="5" max="7" width="9.14453125" style="2"/>
    <col min="8" max="8" width="12.9140625" style="2" bestFit="1" customWidth="1"/>
    <col min="9" max="10" width="13.85546875" style="2" bestFit="1" customWidth="1"/>
    <col min="11" max="12" width="14.390625" style="2" bestFit="1" customWidth="1"/>
    <col min="13" max="35" width="15.06640625" style="2" bestFit="1" customWidth="1"/>
    <col min="36" max="48" width="14.2578125" style="2" customWidth="1"/>
    <col min="49" max="49" width="13.98828125" style="2" customWidth="1"/>
    <col min="50" max="52" width="0" style="590" hidden="1" customWidth="1"/>
    <col min="53" max="53" width="16.27734375" style="2" customWidth="1"/>
    <col min="54" max="16384" width="9.14453125" style="2"/>
  </cols>
  <sheetData>
    <row r="1" spans="1:52" ht="14.25">
      <c r="A1" s="314" t="s">
        <v>672</v>
      </c>
      <c r="B1" s="315"/>
      <c r="C1" s="315"/>
      <c r="D1" s="315"/>
      <c r="E1" s="315"/>
      <c r="F1" s="315"/>
      <c r="G1" s="315"/>
      <c r="H1" s="315"/>
      <c r="I1" s="315"/>
      <c r="J1" s="315"/>
      <c r="K1" s="315"/>
      <c r="L1" s="315"/>
      <c r="M1" s="315"/>
      <c r="N1" s="315"/>
      <c r="O1" s="315"/>
      <c r="P1" s="315"/>
      <c r="Q1" s="315"/>
      <c r="R1" s="315"/>
      <c r="S1" s="315"/>
      <c r="T1" s="315"/>
      <c r="U1" s="315"/>
      <c r="V1" s="315"/>
      <c r="W1" s="315"/>
      <c r="X1" s="315"/>
      <c r="Y1" s="315"/>
      <c r="Z1" s="315"/>
      <c r="AA1" s="315"/>
      <c r="AB1" s="315"/>
      <c r="AC1" s="315"/>
      <c r="AD1" s="315"/>
      <c r="AE1" s="315"/>
      <c r="AF1" s="315"/>
      <c r="AG1" s="315"/>
      <c r="AH1" s="315"/>
      <c r="AI1" s="315"/>
      <c r="AJ1" s="315"/>
      <c r="AK1" s="315"/>
      <c r="AL1" s="315"/>
      <c r="AM1" s="315"/>
      <c r="AN1" s="315"/>
      <c r="AO1" s="315"/>
      <c r="AP1" s="315"/>
      <c r="AQ1" s="315"/>
      <c r="AR1" s="315"/>
      <c r="AS1" s="315"/>
      <c r="AT1" s="315"/>
      <c r="AU1" s="315"/>
      <c r="AV1" s="315"/>
      <c r="AW1" s="315"/>
      <c r="AX1" s="315"/>
      <c r="AY1" s="315"/>
      <c r="AZ1" s="315"/>
    </row>
    <row r="2" spans="1:52" ht="11.25">
      <c r="A2" s="318" t="s">
        <v>4</v>
      </c>
      <c r="B2" s="319"/>
      <c r="C2" s="319"/>
      <c r="D2" s="319"/>
      <c r="E2" s="319"/>
      <c r="F2" s="319"/>
      <c r="G2" s="319"/>
      <c r="H2" s="319" t="s">
        <v>0</v>
      </c>
      <c r="I2" s="388">
        <f>'Timing &amp; Flags'!I2</f>
        <v>1</v>
      </c>
      <c r="J2" s="388">
        <f>'Timing &amp; Flags'!J2</f>
        <v>2</v>
      </c>
      <c r="K2" s="388">
        <f>'Timing &amp; Flags'!K2</f>
        <v>3</v>
      </c>
      <c r="L2" s="388">
        <f>'Timing &amp; Flags'!L2</f>
        <v>4</v>
      </c>
      <c r="M2" s="388">
        <f>'Timing &amp; Flags'!M2</f>
        <v>5</v>
      </c>
      <c r="N2" s="388">
        <f>'Timing &amp; Flags'!N2</f>
        <v>6</v>
      </c>
      <c r="O2" s="388">
        <f>'Timing &amp; Flags'!O2</f>
        <v>7</v>
      </c>
      <c r="P2" s="388">
        <f>'Timing &amp; Flags'!P2</f>
        <v>8</v>
      </c>
      <c r="Q2" s="388">
        <f>'Timing &amp; Flags'!Q2</f>
        <v>9</v>
      </c>
      <c r="R2" s="388">
        <f>'Timing &amp; Flags'!R2</f>
        <v>10</v>
      </c>
      <c r="S2" s="388">
        <f>'Timing &amp; Flags'!S2</f>
        <v>11</v>
      </c>
      <c r="T2" s="388">
        <f>'Timing &amp; Flags'!T2</f>
        <v>12</v>
      </c>
      <c r="U2" s="388">
        <f>'Timing &amp; Flags'!U2</f>
        <v>13</v>
      </c>
      <c r="V2" s="388">
        <f>'Timing &amp; Flags'!V2</f>
        <v>14</v>
      </c>
      <c r="W2" s="388">
        <f>'Timing &amp; Flags'!W2</f>
        <v>15</v>
      </c>
      <c r="X2" s="388">
        <f>'Timing &amp; Flags'!X2</f>
        <v>16</v>
      </c>
      <c r="Y2" s="388">
        <f>'Timing &amp; Flags'!Y2</f>
        <v>17</v>
      </c>
      <c r="Z2" s="388">
        <f>'Timing &amp; Flags'!Z2</f>
        <v>18</v>
      </c>
      <c r="AA2" s="388">
        <f>'Timing &amp; Flags'!AA2</f>
        <v>19</v>
      </c>
      <c r="AB2" s="388">
        <f>'Timing &amp; Flags'!AB2</f>
        <v>20</v>
      </c>
      <c r="AC2" s="388">
        <f>'Timing &amp; Flags'!AC2</f>
        <v>21</v>
      </c>
      <c r="AD2" s="388">
        <f>'Timing &amp; Flags'!AD2</f>
        <v>22</v>
      </c>
      <c r="AE2" s="388">
        <f>'Timing &amp; Flags'!AE2</f>
        <v>23</v>
      </c>
      <c r="AF2" s="388">
        <f>'Timing &amp; Flags'!AF2</f>
        <v>24</v>
      </c>
      <c r="AG2" s="388">
        <f>'Timing &amp; Flags'!AG2</f>
        <v>25</v>
      </c>
      <c r="AH2" s="388">
        <f>'Timing &amp; Flags'!AH2</f>
        <v>26</v>
      </c>
      <c r="AI2" s="388">
        <f>'Timing &amp; Flags'!AI2</f>
        <v>27</v>
      </c>
      <c r="AJ2" s="388">
        <f>'Timing &amp; Flags'!AJ2</f>
        <v>28</v>
      </c>
      <c r="AK2" s="388">
        <f>'Timing &amp; Flags'!AK2</f>
        <v>29</v>
      </c>
      <c r="AL2" s="388">
        <f>'Timing &amp; Flags'!AL2</f>
        <v>30</v>
      </c>
      <c r="AM2" s="388">
        <f>'Timing &amp; Flags'!AM2</f>
        <v>31</v>
      </c>
      <c r="AN2" s="388">
        <f>'Timing &amp; Flags'!AN2</f>
        <v>32</v>
      </c>
      <c r="AO2" s="388">
        <f>'Timing &amp; Flags'!AO2</f>
        <v>33</v>
      </c>
      <c r="AP2" s="388">
        <f>'Timing &amp; Flags'!AP2</f>
        <v>34</v>
      </c>
      <c r="AQ2" s="388">
        <f>'Timing &amp; Flags'!AQ2</f>
        <v>35</v>
      </c>
      <c r="AR2" s="388">
        <f>'Timing &amp; Flags'!AR2</f>
        <v>36</v>
      </c>
      <c r="AS2" s="388">
        <f>'Timing &amp; Flags'!AS2</f>
        <v>37</v>
      </c>
      <c r="AT2" s="388">
        <f>'Timing &amp; Flags'!AT2</f>
        <v>38</v>
      </c>
      <c r="AU2" s="388">
        <f>'Timing &amp; Flags'!AU2</f>
        <v>39</v>
      </c>
      <c r="AV2" s="388">
        <f>'Timing &amp; Flags'!AV2</f>
        <v>40</v>
      </c>
      <c r="AW2" s="388">
        <f>'Timing &amp; Flags'!AW2</f>
        <v>41</v>
      </c>
      <c r="AX2" s="591"/>
    </row>
    <row r="3" spans="1:52" ht="11.25">
      <c r="A3" s="318" t="s">
        <v>823</v>
      </c>
      <c r="B3" s="319"/>
      <c r="C3" s="319"/>
      <c r="D3" s="319"/>
      <c r="E3" s="319"/>
      <c r="F3" s="319"/>
      <c r="G3" s="319"/>
      <c r="H3" s="319" t="s">
        <v>1</v>
      </c>
      <c r="I3" s="389">
        <f>'Timing &amp; Flags'!I3</f>
        <v>46023</v>
      </c>
      <c r="J3" s="389">
        <f>'Timing &amp; Flags'!J3</f>
        <v>46388</v>
      </c>
      <c r="K3" s="389">
        <f>'Timing &amp; Flags'!K3</f>
        <v>46753</v>
      </c>
      <c r="L3" s="389">
        <f>'Timing &amp; Flags'!L3</f>
        <v>47119</v>
      </c>
      <c r="M3" s="389">
        <f>'Timing &amp; Flags'!M3</f>
        <v>47484</v>
      </c>
      <c r="N3" s="389">
        <f>'Timing &amp; Flags'!N3</f>
        <v>47849</v>
      </c>
      <c r="O3" s="389">
        <f>'Timing &amp; Flags'!O3</f>
        <v>48214</v>
      </c>
      <c r="P3" s="389">
        <f>'Timing &amp; Flags'!P3</f>
        <v>48580</v>
      </c>
      <c r="Q3" s="389">
        <f>'Timing &amp; Flags'!Q3</f>
        <v>48945</v>
      </c>
      <c r="R3" s="389">
        <f>'Timing &amp; Flags'!R3</f>
        <v>49310</v>
      </c>
      <c r="S3" s="389">
        <f>'Timing &amp; Flags'!S3</f>
        <v>49675</v>
      </c>
      <c r="T3" s="389">
        <f>'Timing &amp; Flags'!T3</f>
        <v>50041</v>
      </c>
      <c r="U3" s="389">
        <f>'Timing &amp; Flags'!U3</f>
        <v>50406</v>
      </c>
      <c r="V3" s="389">
        <f>'Timing &amp; Flags'!V3</f>
        <v>50771</v>
      </c>
      <c r="W3" s="389">
        <f>'Timing &amp; Flags'!W3</f>
        <v>51136</v>
      </c>
      <c r="X3" s="389">
        <f>'Timing &amp; Flags'!X3</f>
        <v>51502</v>
      </c>
      <c r="Y3" s="389">
        <f>'Timing &amp; Flags'!Y3</f>
        <v>51867</v>
      </c>
      <c r="Z3" s="389">
        <f>'Timing &amp; Flags'!Z3</f>
        <v>52232</v>
      </c>
      <c r="AA3" s="389">
        <f>'Timing &amp; Flags'!AA3</f>
        <v>52597</v>
      </c>
      <c r="AB3" s="389">
        <f>'Timing &amp; Flags'!AB3</f>
        <v>52963</v>
      </c>
      <c r="AC3" s="389">
        <f>'Timing &amp; Flags'!AC3</f>
        <v>53328</v>
      </c>
      <c r="AD3" s="389">
        <f>'Timing &amp; Flags'!AD3</f>
        <v>53693</v>
      </c>
      <c r="AE3" s="389">
        <f>'Timing &amp; Flags'!AE3</f>
        <v>54058</v>
      </c>
      <c r="AF3" s="389">
        <f>'Timing &amp; Flags'!AF3</f>
        <v>54424</v>
      </c>
      <c r="AG3" s="389">
        <f>'Timing &amp; Flags'!AG3</f>
        <v>54789</v>
      </c>
      <c r="AH3" s="389">
        <f>'Timing &amp; Flags'!AH3</f>
        <v>55154</v>
      </c>
      <c r="AI3" s="389">
        <f>'Timing &amp; Flags'!AI3</f>
        <v>55519</v>
      </c>
      <c r="AJ3" s="389">
        <f>'Timing &amp; Flags'!AJ3</f>
        <v>55885</v>
      </c>
      <c r="AK3" s="389">
        <f>'Timing &amp; Flags'!AK3</f>
        <v>56250</v>
      </c>
      <c r="AL3" s="389">
        <f>'Timing &amp; Flags'!AL3</f>
        <v>56615</v>
      </c>
      <c r="AM3" s="389">
        <f>'Timing &amp; Flags'!AM3</f>
        <v>56980</v>
      </c>
      <c r="AN3" s="389">
        <f>'Timing &amp; Flags'!AN3</f>
        <v>57346</v>
      </c>
      <c r="AO3" s="389">
        <f>'Timing &amp; Flags'!AO3</f>
        <v>57711</v>
      </c>
      <c r="AP3" s="389">
        <f>'Timing &amp; Flags'!AP3</f>
        <v>58076</v>
      </c>
      <c r="AQ3" s="389">
        <f>'Timing &amp; Flags'!AQ3</f>
        <v>58441</v>
      </c>
      <c r="AR3" s="389">
        <f>'Timing &amp; Flags'!AR3</f>
        <v>58807</v>
      </c>
      <c r="AS3" s="389">
        <f>'Timing &amp; Flags'!AS3</f>
        <v>59172</v>
      </c>
      <c r="AT3" s="389">
        <f>'Timing &amp; Flags'!AT3</f>
        <v>59537</v>
      </c>
      <c r="AU3" s="389">
        <f>'Timing &amp; Flags'!AU3</f>
        <v>59902</v>
      </c>
      <c r="AV3" s="389">
        <f>'Timing &amp; Flags'!AV3</f>
        <v>60268</v>
      </c>
      <c r="AW3" s="389">
        <f>'Timing &amp; Flags'!AW3</f>
        <v>60633</v>
      </c>
      <c r="AX3" s="1050"/>
    </row>
    <row r="4" spans="1:52" ht="11.25">
      <c r="A4" s="318" t="str">
        <f>Checks!A4</f>
        <v>Model is ok</v>
      </c>
      <c r="B4" s="319"/>
      <c r="C4" s="319"/>
      <c r="D4" s="319"/>
      <c r="E4" s="319"/>
      <c r="F4" s="319"/>
      <c r="G4" s="319"/>
      <c r="H4" s="319" t="s">
        <v>2</v>
      </c>
      <c r="I4" s="390">
        <f>'Timing &amp; Flags'!I4</f>
        <v>46387</v>
      </c>
      <c r="J4" s="390">
        <f>'Timing &amp; Flags'!J4</f>
        <v>46752</v>
      </c>
      <c r="K4" s="390">
        <f>'Timing &amp; Flags'!K4</f>
        <v>47118</v>
      </c>
      <c r="L4" s="390">
        <f>'Timing &amp; Flags'!L4</f>
        <v>47483</v>
      </c>
      <c r="M4" s="390">
        <f>'Timing &amp; Flags'!M4</f>
        <v>47848</v>
      </c>
      <c r="N4" s="390">
        <f>'Timing &amp; Flags'!N4</f>
        <v>48213</v>
      </c>
      <c r="O4" s="390">
        <f>'Timing &amp; Flags'!O4</f>
        <v>48579</v>
      </c>
      <c r="P4" s="390">
        <f>'Timing &amp; Flags'!P4</f>
        <v>48944</v>
      </c>
      <c r="Q4" s="390">
        <f>'Timing &amp; Flags'!Q4</f>
        <v>49309</v>
      </c>
      <c r="R4" s="390">
        <f>'Timing &amp; Flags'!R4</f>
        <v>49674</v>
      </c>
      <c r="S4" s="390">
        <f>'Timing &amp; Flags'!S4</f>
        <v>50040</v>
      </c>
      <c r="T4" s="390">
        <f>'Timing &amp; Flags'!T4</f>
        <v>50405</v>
      </c>
      <c r="U4" s="390">
        <f>'Timing &amp; Flags'!U4</f>
        <v>50770</v>
      </c>
      <c r="V4" s="390">
        <f>'Timing &amp; Flags'!V4</f>
        <v>51135</v>
      </c>
      <c r="W4" s="390">
        <f>'Timing &amp; Flags'!W4</f>
        <v>51501</v>
      </c>
      <c r="X4" s="390">
        <f>'Timing &amp; Flags'!X4</f>
        <v>51866</v>
      </c>
      <c r="Y4" s="390">
        <f>'Timing &amp; Flags'!Y4</f>
        <v>52231</v>
      </c>
      <c r="Z4" s="390">
        <f>'Timing &amp; Flags'!Z4</f>
        <v>52596</v>
      </c>
      <c r="AA4" s="390">
        <f>'Timing &amp; Flags'!AA4</f>
        <v>52962</v>
      </c>
      <c r="AB4" s="390">
        <f>'Timing &amp; Flags'!AB4</f>
        <v>53327</v>
      </c>
      <c r="AC4" s="390">
        <f>'Timing &amp; Flags'!AC4</f>
        <v>53692</v>
      </c>
      <c r="AD4" s="390">
        <f>'Timing &amp; Flags'!AD4</f>
        <v>54057</v>
      </c>
      <c r="AE4" s="390">
        <f>'Timing &amp; Flags'!AE4</f>
        <v>54423</v>
      </c>
      <c r="AF4" s="390">
        <f>'Timing &amp; Flags'!AF4</f>
        <v>54788</v>
      </c>
      <c r="AG4" s="390">
        <f>'Timing &amp; Flags'!AG4</f>
        <v>55153</v>
      </c>
      <c r="AH4" s="390">
        <f>'Timing &amp; Flags'!AH4</f>
        <v>55518</v>
      </c>
      <c r="AI4" s="390">
        <f>'Timing &amp; Flags'!AI4</f>
        <v>55884</v>
      </c>
      <c r="AJ4" s="390">
        <f>'Timing &amp; Flags'!AJ4</f>
        <v>56249</v>
      </c>
      <c r="AK4" s="390">
        <f>'Timing &amp; Flags'!AK4</f>
        <v>56614</v>
      </c>
      <c r="AL4" s="390">
        <f>'Timing &amp; Flags'!AL4</f>
        <v>56979</v>
      </c>
      <c r="AM4" s="390">
        <f>'Timing &amp; Flags'!AM4</f>
        <v>57345</v>
      </c>
      <c r="AN4" s="390">
        <f>'Timing &amp; Flags'!AN4</f>
        <v>57710</v>
      </c>
      <c r="AO4" s="390">
        <f>'Timing &amp; Flags'!AO4</f>
        <v>58075</v>
      </c>
      <c r="AP4" s="390">
        <f>'Timing &amp; Flags'!AP4</f>
        <v>58440</v>
      </c>
      <c r="AQ4" s="390">
        <f>'Timing &amp; Flags'!AQ4</f>
        <v>58806</v>
      </c>
      <c r="AR4" s="390">
        <f>'Timing &amp; Flags'!AR4</f>
        <v>59171</v>
      </c>
      <c r="AS4" s="390">
        <f>'Timing &amp; Flags'!AS4</f>
        <v>59536</v>
      </c>
      <c r="AT4" s="390">
        <f>'Timing &amp; Flags'!AT4</f>
        <v>59901</v>
      </c>
      <c r="AU4" s="390">
        <f>'Timing &amp; Flags'!AU4</f>
        <v>60267</v>
      </c>
      <c r="AV4" s="390">
        <f>'Timing &amp; Flags'!AV4</f>
        <v>60632</v>
      </c>
      <c r="AW4" s="390">
        <f>'Timing &amp; Flags'!AW4</f>
        <v>60997</v>
      </c>
      <c r="AX4" s="1051"/>
    </row>
    <row r="5" spans="1:52" ht="11.25">
      <c r="A5" s="318" t="str">
        <f>Checks!A5</f>
        <v>Funding Macro ok</v>
      </c>
      <c r="B5" s="319"/>
      <c r="C5" s="319"/>
      <c r="D5" s="319"/>
      <c r="E5" s="319"/>
      <c r="F5" s="319"/>
      <c r="G5" s="319"/>
      <c r="H5" s="319" t="s">
        <v>3</v>
      </c>
      <c r="I5" s="391">
        <f ca="1">'Timing &amp; Flags'!I5</f>
        <v>365</v>
      </c>
      <c r="J5" s="391">
        <f ca="1">'Timing &amp; Flags'!J5</f>
        <v>366</v>
      </c>
      <c r="K5" s="391">
        <f ca="1">'Timing &amp; Flags'!K5</f>
        <v>365</v>
      </c>
      <c r="L5" s="391">
        <f ca="1">'Timing &amp; Flags'!L5</f>
        <v>365</v>
      </c>
      <c r="M5" s="391">
        <f ca="1">'Timing &amp; Flags'!M5</f>
        <v>365</v>
      </c>
      <c r="N5" s="391">
        <f ca="1">'Timing &amp; Flags'!N5</f>
        <v>366</v>
      </c>
      <c r="O5" s="391">
        <f ca="1">'Timing &amp; Flags'!O5</f>
        <v>365</v>
      </c>
      <c r="P5" s="391">
        <f ca="1">'Timing &amp; Flags'!P5</f>
        <v>365</v>
      </c>
      <c r="Q5" s="391">
        <f ca="1">'Timing &amp; Flags'!Q5</f>
        <v>365</v>
      </c>
      <c r="R5" s="391">
        <f ca="1">'Timing &amp; Flags'!R5</f>
        <v>366</v>
      </c>
      <c r="S5" s="391">
        <f ca="1">'Timing &amp; Flags'!S5</f>
        <v>365</v>
      </c>
      <c r="T5" s="391">
        <f ca="1">'Timing &amp; Flags'!T5</f>
        <v>365</v>
      </c>
      <c r="U5" s="391">
        <f ca="1">'Timing &amp; Flags'!U5</f>
        <v>365</v>
      </c>
      <c r="V5" s="391">
        <f ca="1">'Timing &amp; Flags'!V5</f>
        <v>366</v>
      </c>
      <c r="W5" s="391">
        <f ca="1">'Timing &amp; Flags'!W5</f>
        <v>365</v>
      </c>
      <c r="X5" s="391">
        <f ca="1">'Timing &amp; Flags'!X5</f>
        <v>365</v>
      </c>
      <c r="Y5" s="391">
        <f ca="1">'Timing &amp; Flags'!Y5</f>
        <v>365</v>
      </c>
      <c r="Z5" s="391">
        <f ca="1">'Timing &amp; Flags'!Z5</f>
        <v>366</v>
      </c>
      <c r="AA5" s="391">
        <f ca="1">'Timing &amp; Flags'!AA5</f>
        <v>365</v>
      </c>
      <c r="AB5" s="391">
        <f ca="1">'Timing &amp; Flags'!AB5</f>
        <v>365</v>
      </c>
      <c r="AC5" s="391">
        <f ca="1">'Timing &amp; Flags'!AC5</f>
        <v>365</v>
      </c>
      <c r="AD5" s="391">
        <f ca="1">'Timing &amp; Flags'!AD5</f>
        <v>366</v>
      </c>
      <c r="AE5" s="391">
        <f ca="1">'Timing &amp; Flags'!AE5</f>
        <v>365</v>
      </c>
      <c r="AF5" s="391">
        <f ca="1">'Timing &amp; Flags'!AF5</f>
        <v>365</v>
      </c>
      <c r="AG5" s="391">
        <f ca="1">'Timing &amp; Flags'!AG5</f>
        <v>365</v>
      </c>
      <c r="AH5" s="391">
        <f ca="1">'Timing &amp; Flags'!AH5</f>
        <v>366</v>
      </c>
      <c r="AI5" s="391">
        <f ca="1">'Timing &amp; Flags'!AI5</f>
        <v>365</v>
      </c>
      <c r="AJ5" s="391">
        <f ca="1">'Timing &amp; Flags'!AJ5</f>
        <v>365</v>
      </c>
      <c r="AK5" s="391">
        <f ca="1">'Timing &amp; Flags'!AK5</f>
        <v>365</v>
      </c>
      <c r="AL5" s="391">
        <f ca="1">'Timing &amp; Flags'!AL5</f>
        <v>365</v>
      </c>
      <c r="AM5" s="391">
        <f ca="1">'Timing &amp; Flags'!AM5</f>
        <v>365</v>
      </c>
      <c r="AN5" s="391">
        <f ca="1">'Timing &amp; Flags'!AN5</f>
        <v>365</v>
      </c>
      <c r="AO5" s="391">
        <f ca="1">'Timing &amp; Flags'!AO5</f>
        <v>365</v>
      </c>
      <c r="AP5" s="391">
        <f ca="1">'Timing &amp; Flags'!AP5</f>
        <v>365</v>
      </c>
      <c r="AQ5" s="391">
        <f ca="1">'Timing &amp; Flags'!AQ5</f>
        <v>365</v>
      </c>
      <c r="AR5" s="391">
        <f ca="1">'Timing &amp; Flags'!AR5</f>
        <v>365</v>
      </c>
      <c r="AS5" s="391">
        <f ca="1">'Timing &amp; Flags'!AS5</f>
        <v>365</v>
      </c>
      <c r="AT5" s="391">
        <f ca="1">'Timing &amp; Flags'!AT5</f>
        <v>365</v>
      </c>
      <c r="AU5" s="391">
        <f ca="1">'Timing &amp; Flags'!AU5</f>
        <v>365</v>
      </c>
      <c r="AV5" s="391">
        <f ca="1">'Timing &amp; Flags'!AV5</f>
        <v>365</v>
      </c>
      <c r="AW5" s="391">
        <f ca="1">'Timing &amp; Flags'!AW5</f>
        <v>365</v>
      </c>
      <c r="AX5" s="1052"/>
    </row>
    <row r="7" spans="1:52">
      <c r="A7" s="1" t="s">
        <v>258</v>
      </c>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053"/>
    </row>
    <row r="9" spans="1:52">
      <c r="B9" s="10" t="s">
        <v>210</v>
      </c>
      <c r="F9" s="13"/>
    </row>
    <row r="10" spans="1:52">
      <c r="B10" s="50" t="s">
        <v>58</v>
      </c>
    </row>
    <row r="11" spans="1:52">
      <c r="B11" s="2" t="s">
        <v>59</v>
      </c>
      <c r="C11" s="15" t="s">
        <v>60</v>
      </c>
      <c r="D11" s="41">
        <f>SUM(I11:AI11)</f>
        <v>1</v>
      </c>
      <c r="I11" s="41">
        <f>'Timing &amp; Flags'!I36</f>
        <v>1</v>
      </c>
      <c r="J11" s="41">
        <f>'Timing &amp; Flags'!J36</f>
        <v>0</v>
      </c>
      <c r="K11" s="41">
        <f>'Timing &amp; Flags'!K36</f>
        <v>0</v>
      </c>
      <c r="L11" s="41">
        <f>'Timing &amp; Flags'!L36</f>
        <v>0</v>
      </c>
      <c r="M11" s="41">
        <f>'Timing &amp; Flags'!M36</f>
        <v>0</v>
      </c>
      <c r="N11" s="41">
        <f>'Timing &amp; Flags'!N36</f>
        <v>0</v>
      </c>
      <c r="O11" s="41">
        <f>'Timing &amp; Flags'!O36</f>
        <v>0</v>
      </c>
      <c r="P11" s="41">
        <f>'Timing &amp; Flags'!P36</f>
        <v>0</v>
      </c>
      <c r="Q11" s="41">
        <f>'Timing &amp; Flags'!Q36</f>
        <v>0</v>
      </c>
      <c r="R11" s="41">
        <f>'Timing &amp; Flags'!R36</f>
        <v>0</v>
      </c>
      <c r="S11" s="41">
        <f>'Timing &amp; Flags'!S36</f>
        <v>0</v>
      </c>
      <c r="T11" s="41">
        <f>'Timing &amp; Flags'!T36</f>
        <v>0</v>
      </c>
      <c r="U11" s="41">
        <f>'Timing &amp; Flags'!U36</f>
        <v>0</v>
      </c>
      <c r="V11" s="41">
        <f>'Timing &amp; Flags'!V36</f>
        <v>0</v>
      </c>
      <c r="W11" s="41">
        <f>'Timing &amp; Flags'!W36</f>
        <v>0</v>
      </c>
      <c r="X11" s="41">
        <f>'Timing &amp; Flags'!X36</f>
        <v>0</v>
      </c>
      <c r="Y11" s="41">
        <f>'Timing &amp; Flags'!Y36</f>
        <v>0</v>
      </c>
      <c r="Z11" s="41">
        <f>'Timing &amp; Flags'!Z36</f>
        <v>0</v>
      </c>
      <c r="AA11" s="41">
        <f>'Timing &amp; Flags'!AA36</f>
        <v>0</v>
      </c>
      <c r="AB11" s="41">
        <f>'Timing &amp; Flags'!AB36</f>
        <v>0</v>
      </c>
      <c r="AC11" s="41">
        <f>'Timing &amp; Flags'!AC36</f>
        <v>0</v>
      </c>
      <c r="AD11" s="41">
        <f>'Timing &amp; Flags'!AD36</f>
        <v>0</v>
      </c>
      <c r="AE11" s="41">
        <f>'Timing &amp; Flags'!AE36</f>
        <v>0</v>
      </c>
      <c r="AF11" s="41">
        <f>'Timing &amp; Flags'!AF36</f>
        <v>0</v>
      </c>
      <c r="AG11" s="41">
        <f>'Timing &amp; Flags'!AG36</f>
        <v>0</v>
      </c>
      <c r="AH11" s="41">
        <f>'Timing &amp; Flags'!AH36</f>
        <v>0</v>
      </c>
      <c r="AI11" s="41">
        <f>'Timing &amp; Flags'!AI36</f>
        <v>0</v>
      </c>
      <c r="AJ11" s="41">
        <f>'Timing &amp; Flags'!AJ36</f>
        <v>0</v>
      </c>
      <c r="AK11" s="41">
        <f>'Timing &amp; Flags'!AK36</f>
        <v>0</v>
      </c>
      <c r="AL11" s="41">
        <f>'Timing &amp; Flags'!AL36</f>
        <v>0</v>
      </c>
      <c r="AM11" s="41">
        <f>'Timing &amp; Flags'!AM36</f>
        <v>0</v>
      </c>
      <c r="AN11" s="41">
        <f>'Timing &amp; Flags'!AN36</f>
        <v>0</v>
      </c>
      <c r="AO11" s="41">
        <f>'Timing &amp; Flags'!AO36</f>
        <v>0</v>
      </c>
      <c r="AP11" s="41">
        <f>'Timing &amp; Flags'!AP36</f>
        <v>0</v>
      </c>
      <c r="AQ11" s="41">
        <f>'Timing &amp; Flags'!AQ36</f>
        <v>0</v>
      </c>
      <c r="AR11" s="41">
        <f>'Timing &amp; Flags'!AR36</f>
        <v>0</v>
      </c>
      <c r="AS11" s="41">
        <f>'Timing &amp; Flags'!AS36</f>
        <v>0</v>
      </c>
      <c r="AT11" s="41">
        <f>'Timing &amp; Flags'!AT36</f>
        <v>0</v>
      </c>
      <c r="AU11" s="41">
        <f>'Timing &amp; Flags'!AU36</f>
        <v>0</v>
      </c>
      <c r="AV11" s="41">
        <f>'Timing &amp; Flags'!AV36</f>
        <v>0</v>
      </c>
      <c r="AW11" s="41">
        <f>'Timing &amp; Flags'!AW36</f>
        <v>0</v>
      </c>
      <c r="AX11" s="1054"/>
      <c r="AY11" s="1054"/>
    </row>
    <row r="12" spans="1:52">
      <c r="B12" s="2" t="s">
        <v>61</v>
      </c>
      <c r="C12" s="15" t="s">
        <v>60</v>
      </c>
      <c r="D12" s="41">
        <f>SUM(I12:AI12)</f>
        <v>3</v>
      </c>
      <c r="I12" s="41">
        <f>'Timing &amp; Flags'!I37</f>
        <v>1</v>
      </c>
      <c r="J12" s="41">
        <f>'Timing &amp; Flags'!J37</f>
        <v>1</v>
      </c>
      <c r="K12" s="41">
        <f>'Timing &amp; Flags'!K37</f>
        <v>1</v>
      </c>
      <c r="L12" s="41">
        <f>'Timing &amp; Flags'!L37</f>
        <v>0</v>
      </c>
      <c r="M12" s="41">
        <f>'Timing &amp; Flags'!M37</f>
        <v>0</v>
      </c>
      <c r="N12" s="41">
        <f>'Timing &amp; Flags'!N37</f>
        <v>0</v>
      </c>
      <c r="O12" s="41">
        <f>'Timing &amp; Flags'!O37</f>
        <v>0</v>
      </c>
      <c r="P12" s="41">
        <f>'Timing &amp; Flags'!P37</f>
        <v>0</v>
      </c>
      <c r="Q12" s="41">
        <f>'Timing &amp; Flags'!Q37</f>
        <v>0</v>
      </c>
      <c r="R12" s="41">
        <f>'Timing &amp; Flags'!R37</f>
        <v>0</v>
      </c>
      <c r="S12" s="41">
        <f>'Timing &amp; Flags'!S37</f>
        <v>0</v>
      </c>
      <c r="T12" s="41">
        <f>'Timing &amp; Flags'!T37</f>
        <v>0</v>
      </c>
      <c r="U12" s="41">
        <f>'Timing &amp; Flags'!U37</f>
        <v>0</v>
      </c>
      <c r="V12" s="41">
        <f>'Timing &amp; Flags'!V37</f>
        <v>0</v>
      </c>
      <c r="W12" s="41">
        <f>'Timing &amp; Flags'!W37</f>
        <v>0</v>
      </c>
      <c r="X12" s="41">
        <f>'Timing &amp; Flags'!X37</f>
        <v>0</v>
      </c>
      <c r="Y12" s="41">
        <f>'Timing &amp; Flags'!Y37</f>
        <v>0</v>
      </c>
      <c r="Z12" s="41">
        <f>'Timing &amp; Flags'!Z37</f>
        <v>0</v>
      </c>
      <c r="AA12" s="41">
        <f>'Timing &amp; Flags'!AA37</f>
        <v>0</v>
      </c>
      <c r="AB12" s="41">
        <f>'Timing &amp; Flags'!AB37</f>
        <v>0</v>
      </c>
      <c r="AC12" s="41">
        <f>'Timing &amp; Flags'!AC37</f>
        <v>0</v>
      </c>
      <c r="AD12" s="41">
        <f>'Timing &amp; Flags'!AD37</f>
        <v>0</v>
      </c>
      <c r="AE12" s="41">
        <f>'Timing &amp; Flags'!AE37</f>
        <v>0</v>
      </c>
      <c r="AF12" s="41">
        <f>'Timing &amp; Flags'!AF37</f>
        <v>0</v>
      </c>
      <c r="AG12" s="41">
        <f>'Timing &amp; Flags'!AG37</f>
        <v>0</v>
      </c>
      <c r="AH12" s="41">
        <f>'Timing &amp; Flags'!AH37</f>
        <v>0</v>
      </c>
      <c r="AI12" s="41">
        <f>'Timing &amp; Flags'!AI37</f>
        <v>0</v>
      </c>
      <c r="AJ12" s="41">
        <f>'Timing &amp; Flags'!AJ37</f>
        <v>0</v>
      </c>
      <c r="AK12" s="41">
        <f>'Timing &amp; Flags'!AK37</f>
        <v>0</v>
      </c>
      <c r="AL12" s="41">
        <f>'Timing &amp; Flags'!AL37</f>
        <v>0</v>
      </c>
      <c r="AM12" s="41">
        <f>'Timing &amp; Flags'!AM37</f>
        <v>0</v>
      </c>
      <c r="AN12" s="41">
        <f>'Timing &amp; Flags'!AN37</f>
        <v>0</v>
      </c>
      <c r="AO12" s="41">
        <f>'Timing &amp; Flags'!AO37</f>
        <v>0</v>
      </c>
      <c r="AP12" s="41">
        <f>'Timing &amp; Flags'!AP37</f>
        <v>0</v>
      </c>
      <c r="AQ12" s="41">
        <f>'Timing &amp; Flags'!AQ37</f>
        <v>0</v>
      </c>
      <c r="AR12" s="41">
        <f>'Timing &amp; Flags'!AR37</f>
        <v>0</v>
      </c>
      <c r="AS12" s="41">
        <f>'Timing &amp; Flags'!AS37</f>
        <v>0</v>
      </c>
      <c r="AT12" s="41">
        <f>'Timing &amp; Flags'!AT37</f>
        <v>0</v>
      </c>
      <c r="AU12" s="41">
        <f>'Timing &amp; Flags'!AU37</f>
        <v>0</v>
      </c>
      <c r="AV12" s="41">
        <f>'Timing &amp; Flags'!AV37</f>
        <v>0</v>
      </c>
      <c r="AW12" s="41">
        <f>'Timing &amp; Flags'!AW37</f>
        <v>0</v>
      </c>
      <c r="AX12" s="1054"/>
      <c r="AY12" s="1054"/>
    </row>
    <row r="13" spans="1:52">
      <c r="B13" s="2" t="s">
        <v>62</v>
      </c>
      <c r="C13" s="15" t="s">
        <v>60</v>
      </c>
      <c r="D13" s="41">
        <f>SUM(I13:AI13)</f>
        <v>1</v>
      </c>
      <c r="F13" s="14"/>
      <c r="I13" s="41">
        <f>'Timing &amp; Flags'!I38</f>
        <v>0</v>
      </c>
      <c r="J13" s="41">
        <f>'Timing &amp; Flags'!J38</f>
        <v>0</v>
      </c>
      <c r="K13" s="41">
        <f>'Timing &amp; Flags'!K38</f>
        <v>1</v>
      </c>
      <c r="L13" s="41">
        <f>'Timing &amp; Flags'!L38</f>
        <v>0</v>
      </c>
      <c r="M13" s="41">
        <f>'Timing &amp; Flags'!M38</f>
        <v>0</v>
      </c>
      <c r="N13" s="41">
        <f>'Timing &amp; Flags'!N38</f>
        <v>0</v>
      </c>
      <c r="O13" s="41">
        <f>'Timing &amp; Flags'!O38</f>
        <v>0</v>
      </c>
      <c r="P13" s="41">
        <f>'Timing &amp; Flags'!P38</f>
        <v>0</v>
      </c>
      <c r="Q13" s="41">
        <f>'Timing &amp; Flags'!Q38</f>
        <v>0</v>
      </c>
      <c r="R13" s="41">
        <f>'Timing &amp; Flags'!R38</f>
        <v>0</v>
      </c>
      <c r="S13" s="41">
        <f>'Timing &amp; Flags'!S38</f>
        <v>0</v>
      </c>
      <c r="T13" s="41">
        <f>'Timing &amp; Flags'!T38</f>
        <v>0</v>
      </c>
      <c r="U13" s="41">
        <f>'Timing &amp; Flags'!U38</f>
        <v>0</v>
      </c>
      <c r="V13" s="41">
        <f>'Timing &amp; Flags'!V38</f>
        <v>0</v>
      </c>
      <c r="W13" s="41">
        <f>'Timing &amp; Flags'!W38</f>
        <v>0</v>
      </c>
      <c r="X13" s="41">
        <f>'Timing &amp; Flags'!X38</f>
        <v>0</v>
      </c>
      <c r="Y13" s="41">
        <f>'Timing &amp; Flags'!Y38</f>
        <v>0</v>
      </c>
      <c r="Z13" s="41">
        <f>'Timing &amp; Flags'!Z38</f>
        <v>0</v>
      </c>
      <c r="AA13" s="41">
        <f>'Timing &amp; Flags'!AA38</f>
        <v>0</v>
      </c>
      <c r="AB13" s="41">
        <f>'Timing &amp; Flags'!AB38</f>
        <v>0</v>
      </c>
      <c r="AC13" s="41">
        <f>'Timing &amp; Flags'!AC38</f>
        <v>0</v>
      </c>
      <c r="AD13" s="41">
        <f>'Timing &amp; Flags'!AD38</f>
        <v>0</v>
      </c>
      <c r="AE13" s="41">
        <f>'Timing &amp; Flags'!AE38</f>
        <v>0</v>
      </c>
      <c r="AF13" s="41">
        <f>'Timing &amp; Flags'!AF38</f>
        <v>0</v>
      </c>
      <c r="AG13" s="41">
        <f>'Timing &amp; Flags'!AG38</f>
        <v>0</v>
      </c>
      <c r="AH13" s="41">
        <f>'Timing &amp; Flags'!AH38</f>
        <v>0</v>
      </c>
      <c r="AI13" s="41">
        <f>'Timing &amp; Flags'!AI38</f>
        <v>0</v>
      </c>
      <c r="AJ13" s="41">
        <f>'Timing &amp; Flags'!AJ38</f>
        <v>0</v>
      </c>
      <c r="AK13" s="41">
        <f>'Timing &amp; Flags'!AK38</f>
        <v>0</v>
      </c>
      <c r="AL13" s="41">
        <f>'Timing &amp; Flags'!AL38</f>
        <v>0</v>
      </c>
      <c r="AM13" s="41">
        <f>'Timing &amp; Flags'!AM38</f>
        <v>0</v>
      </c>
      <c r="AN13" s="41">
        <f>'Timing &amp; Flags'!AN38</f>
        <v>0</v>
      </c>
      <c r="AO13" s="41">
        <f>'Timing &amp; Flags'!AO38</f>
        <v>0</v>
      </c>
      <c r="AP13" s="41">
        <f>'Timing &amp; Flags'!AP38</f>
        <v>0</v>
      </c>
      <c r="AQ13" s="41">
        <f>'Timing &amp; Flags'!AQ38</f>
        <v>0</v>
      </c>
      <c r="AR13" s="41">
        <f>'Timing &amp; Flags'!AR38</f>
        <v>0</v>
      </c>
      <c r="AS13" s="41">
        <f>'Timing &amp; Flags'!AS38</f>
        <v>0</v>
      </c>
      <c r="AT13" s="41">
        <f>'Timing &amp; Flags'!AT38</f>
        <v>0</v>
      </c>
      <c r="AU13" s="41">
        <f>'Timing &amp; Flags'!AU38</f>
        <v>0</v>
      </c>
      <c r="AV13" s="41">
        <f>'Timing &amp; Flags'!AV38</f>
        <v>0</v>
      </c>
      <c r="AW13" s="41">
        <f>'Timing &amp; Flags'!AW38</f>
        <v>0</v>
      </c>
      <c r="AX13" s="1054"/>
      <c r="AY13" s="1054"/>
    </row>
    <row r="15" spans="1:52">
      <c r="B15" s="50" t="s">
        <v>64</v>
      </c>
    </row>
    <row r="16" spans="1:52">
      <c r="B16" s="2" t="s">
        <v>65</v>
      </c>
      <c r="C16" s="15" t="s">
        <v>60</v>
      </c>
      <c r="D16" s="41">
        <f>SUM(I16:AI16)</f>
        <v>1</v>
      </c>
      <c r="I16" s="41">
        <f>'Timing &amp; Flags'!I42</f>
        <v>0</v>
      </c>
      <c r="J16" s="41">
        <f>'Timing &amp; Flags'!J42</f>
        <v>0</v>
      </c>
      <c r="K16" s="41">
        <f>'Timing &amp; Flags'!K42</f>
        <v>0</v>
      </c>
      <c r="L16" s="41">
        <f>'Timing &amp; Flags'!L42</f>
        <v>1</v>
      </c>
      <c r="M16" s="41">
        <f>'Timing &amp; Flags'!M42</f>
        <v>0</v>
      </c>
      <c r="N16" s="41">
        <f>'Timing &amp; Flags'!N42</f>
        <v>0</v>
      </c>
      <c r="O16" s="41">
        <f>'Timing &amp; Flags'!O42</f>
        <v>0</v>
      </c>
      <c r="P16" s="41">
        <f>'Timing &amp; Flags'!P42</f>
        <v>0</v>
      </c>
      <c r="Q16" s="41">
        <f>'Timing &amp; Flags'!Q42</f>
        <v>0</v>
      </c>
      <c r="R16" s="41">
        <f>'Timing &amp; Flags'!R42</f>
        <v>0</v>
      </c>
      <c r="S16" s="41">
        <f>'Timing &amp; Flags'!S42</f>
        <v>0</v>
      </c>
      <c r="T16" s="41">
        <f>'Timing &amp; Flags'!T42</f>
        <v>0</v>
      </c>
      <c r="U16" s="41">
        <f>'Timing &amp; Flags'!U42</f>
        <v>0</v>
      </c>
      <c r="V16" s="41">
        <f>'Timing &amp; Flags'!V42</f>
        <v>0</v>
      </c>
      <c r="W16" s="41">
        <f>'Timing &amp; Flags'!W42</f>
        <v>0</v>
      </c>
      <c r="X16" s="41">
        <f>'Timing &amp; Flags'!X42</f>
        <v>0</v>
      </c>
      <c r="Y16" s="41">
        <f>'Timing &amp; Flags'!Y42</f>
        <v>0</v>
      </c>
      <c r="Z16" s="41">
        <f>'Timing &amp; Flags'!Z42</f>
        <v>0</v>
      </c>
      <c r="AA16" s="41">
        <f>'Timing &amp; Flags'!AA42</f>
        <v>0</v>
      </c>
      <c r="AB16" s="41">
        <f>'Timing &amp; Flags'!AB42</f>
        <v>0</v>
      </c>
      <c r="AC16" s="41">
        <f>'Timing &amp; Flags'!AC42</f>
        <v>0</v>
      </c>
      <c r="AD16" s="41">
        <f>'Timing &amp; Flags'!AD42</f>
        <v>0</v>
      </c>
      <c r="AE16" s="41">
        <f>'Timing &amp; Flags'!AE42</f>
        <v>0</v>
      </c>
      <c r="AF16" s="41">
        <f>'Timing &amp; Flags'!AF42</f>
        <v>0</v>
      </c>
      <c r="AG16" s="41">
        <f>'Timing &amp; Flags'!AG42</f>
        <v>0</v>
      </c>
      <c r="AH16" s="41">
        <f>'Timing &amp; Flags'!AH42</f>
        <v>0</v>
      </c>
      <c r="AI16" s="41">
        <f>'Timing &amp; Flags'!AI42</f>
        <v>0</v>
      </c>
      <c r="AJ16" s="41">
        <f>'Timing &amp; Flags'!AJ42</f>
        <v>0</v>
      </c>
      <c r="AK16" s="41">
        <f>'Timing &amp; Flags'!AK42</f>
        <v>0</v>
      </c>
      <c r="AL16" s="41">
        <f>'Timing &amp; Flags'!AL42</f>
        <v>0</v>
      </c>
      <c r="AM16" s="41">
        <f>'Timing &amp; Flags'!AM42</f>
        <v>0</v>
      </c>
      <c r="AN16" s="41">
        <f>'Timing &amp; Flags'!AN42</f>
        <v>0</v>
      </c>
      <c r="AO16" s="41">
        <f>'Timing &amp; Flags'!AO42</f>
        <v>0</v>
      </c>
      <c r="AP16" s="41">
        <f>'Timing &amp; Flags'!AP42</f>
        <v>0</v>
      </c>
      <c r="AQ16" s="41">
        <f>'Timing &amp; Flags'!AQ42</f>
        <v>0</v>
      </c>
      <c r="AR16" s="41">
        <f>'Timing &amp; Flags'!AR42</f>
        <v>0</v>
      </c>
      <c r="AS16" s="41">
        <f>'Timing &amp; Flags'!AS42</f>
        <v>0</v>
      </c>
      <c r="AT16" s="41">
        <f>'Timing &amp; Flags'!AT42</f>
        <v>0</v>
      </c>
      <c r="AU16" s="41">
        <f>'Timing &amp; Flags'!AU42</f>
        <v>0</v>
      </c>
      <c r="AV16" s="41">
        <f>'Timing &amp; Flags'!AV42</f>
        <v>0</v>
      </c>
      <c r="AW16" s="41">
        <f>'Timing &amp; Flags'!AW42</f>
        <v>0</v>
      </c>
      <c r="AX16" s="1054"/>
    </row>
    <row r="17" spans="1:50">
      <c r="B17" s="2" t="s">
        <v>66</v>
      </c>
      <c r="C17" s="15" t="s">
        <v>60</v>
      </c>
      <c r="D17" s="41">
        <f>SUM(I17:AI17)</f>
        <v>24</v>
      </c>
      <c r="I17" s="41">
        <f>'Timing &amp; Flags'!I43</f>
        <v>0</v>
      </c>
      <c r="J17" s="41">
        <f>'Timing &amp; Flags'!J43</f>
        <v>0</v>
      </c>
      <c r="K17" s="41">
        <f>'Timing &amp; Flags'!K43</f>
        <v>0</v>
      </c>
      <c r="L17" s="41">
        <f>'Timing &amp; Flags'!L43</f>
        <v>1</v>
      </c>
      <c r="M17" s="41">
        <f>'Timing &amp; Flags'!M43</f>
        <v>1</v>
      </c>
      <c r="N17" s="41">
        <f>'Timing &amp; Flags'!N43</f>
        <v>1</v>
      </c>
      <c r="O17" s="41">
        <f>'Timing &amp; Flags'!O43</f>
        <v>1</v>
      </c>
      <c r="P17" s="41">
        <f>'Timing &amp; Flags'!P43</f>
        <v>1</v>
      </c>
      <c r="Q17" s="41">
        <f>'Timing &amp; Flags'!Q43</f>
        <v>1</v>
      </c>
      <c r="R17" s="41">
        <f>'Timing &amp; Flags'!R43</f>
        <v>1</v>
      </c>
      <c r="S17" s="41">
        <f>'Timing &amp; Flags'!S43</f>
        <v>1</v>
      </c>
      <c r="T17" s="41">
        <f>'Timing &amp; Flags'!T43</f>
        <v>1</v>
      </c>
      <c r="U17" s="41">
        <f>'Timing &amp; Flags'!U43</f>
        <v>1</v>
      </c>
      <c r="V17" s="41">
        <f>'Timing &amp; Flags'!V43</f>
        <v>1</v>
      </c>
      <c r="W17" s="41">
        <f>'Timing &amp; Flags'!W43</f>
        <v>1</v>
      </c>
      <c r="X17" s="41">
        <f>'Timing &amp; Flags'!X43</f>
        <v>1</v>
      </c>
      <c r="Y17" s="41">
        <f>'Timing &amp; Flags'!Y43</f>
        <v>1</v>
      </c>
      <c r="Z17" s="41">
        <f>'Timing &amp; Flags'!Z43</f>
        <v>1</v>
      </c>
      <c r="AA17" s="41">
        <f>'Timing &amp; Flags'!AA43</f>
        <v>1</v>
      </c>
      <c r="AB17" s="41">
        <f>'Timing &amp; Flags'!AB43</f>
        <v>1</v>
      </c>
      <c r="AC17" s="41">
        <f>'Timing &amp; Flags'!AC43</f>
        <v>1</v>
      </c>
      <c r="AD17" s="41">
        <f>'Timing &amp; Flags'!AD43</f>
        <v>1</v>
      </c>
      <c r="AE17" s="41">
        <f>'Timing &amp; Flags'!AE43</f>
        <v>1</v>
      </c>
      <c r="AF17" s="41">
        <f>'Timing &amp; Flags'!AF43</f>
        <v>1</v>
      </c>
      <c r="AG17" s="41">
        <f>'Timing &amp; Flags'!AG43</f>
        <v>1</v>
      </c>
      <c r="AH17" s="41">
        <f>'Timing &amp; Flags'!AH43</f>
        <v>1</v>
      </c>
      <c r="AI17" s="41">
        <f>'Timing &amp; Flags'!AI43</f>
        <v>1</v>
      </c>
      <c r="AJ17" s="41">
        <f>'Timing &amp; Flags'!AJ43</f>
        <v>1</v>
      </c>
      <c r="AK17" s="41">
        <f>'Timing &amp; Flags'!AK43</f>
        <v>1</v>
      </c>
      <c r="AL17" s="41">
        <f>'Timing &amp; Flags'!AL43</f>
        <v>1</v>
      </c>
      <c r="AM17" s="41">
        <f>'Timing &amp; Flags'!AM43</f>
        <v>0</v>
      </c>
      <c r="AN17" s="41">
        <f>'Timing &amp; Flags'!AN43</f>
        <v>0</v>
      </c>
      <c r="AO17" s="41">
        <f>'Timing &amp; Flags'!AO43</f>
        <v>0</v>
      </c>
      <c r="AP17" s="41">
        <f>'Timing &amp; Flags'!AP43</f>
        <v>0</v>
      </c>
      <c r="AQ17" s="41">
        <f>'Timing &amp; Flags'!AQ43</f>
        <v>0</v>
      </c>
      <c r="AR17" s="41">
        <f>'Timing &amp; Flags'!AR43</f>
        <v>0</v>
      </c>
      <c r="AS17" s="41">
        <f>'Timing &amp; Flags'!AS43</f>
        <v>0</v>
      </c>
      <c r="AT17" s="41">
        <f>'Timing &amp; Flags'!AT43</f>
        <v>0</v>
      </c>
      <c r="AU17" s="41">
        <f>'Timing &amp; Flags'!AU43</f>
        <v>0</v>
      </c>
      <c r="AV17" s="41">
        <f>'Timing &amp; Flags'!AV43</f>
        <v>0</v>
      </c>
      <c r="AW17" s="41">
        <f>'Timing &amp; Flags'!AW43</f>
        <v>0</v>
      </c>
      <c r="AX17" s="1054"/>
    </row>
    <row r="18" spans="1:50">
      <c r="B18" s="2" t="s">
        <v>67</v>
      </c>
      <c r="C18" s="15" t="s">
        <v>60</v>
      </c>
      <c r="D18" s="41">
        <f>SUM(I18:AI18)</f>
        <v>0</v>
      </c>
      <c r="I18" s="41">
        <f>'Timing &amp; Flags'!I44</f>
        <v>0</v>
      </c>
      <c r="J18" s="41">
        <f>'Timing &amp; Flags'!J44</f>
        <v>0</v>
      </c>
      <c r="K18" s="41">
        <f>'Timing &amp; Flags'!K44</f>
        <v>0</v>
      </c>
      <c r="L18" s="41">
        <f>'Timing &amp; Flags'!L44</f>
        <v>0</v>
      </c>
      <c r="M18" s="41">
        <f>'Timing &amp; Flags'!M44</f>
        <v>0</v>
      </c>
      <c r="N18" s="41">
        <f>'Timing &amp; Flags'!N44</f>
        <v>0</v>
      </c>
      <c r="O18" s="41">
        <f>'Timing &amp; Flags'!O44</f>
        <v>0</v>
      </c>
      <c r="P18" s="41">
        <f>'Timing &amp; Flags'!P44</f>
        <v>0</v>
      </c>
      <c r="Q18" s="41">
        <f>'Timing &amp; Flags'!Q44</f>
        <v>0</v>
      </c>
      <c r="R18" s="41">
        <f>'Timing &amp; Flags'!R44</f>
        <v>0</v>
      </c>
      <c r="S18" s="41">
        <f>'Timing &amp; Flags'!S44</f>
        <v>0</v>
      </c>
      <c r="T18" s="41">
        <f>'Timing &amp; Flags'!T44</f>
        <v>0</v>
      </c>
      <c r="U18" s="41">
        <f>'Timing &amp; Flags'!U44</f>
        <v>0</v>
      </c>
      <c r="V18" s="41">
        <f>'Timing &amp; Flags'!V44</f>
        <v>0</v>
      </c>
      <c r="W18" s="41">
        <f>'Timing &amp; Flags'!W44</f>
        <v>0</v>
      </c>
      <c r="X18" s="41">
        <f>'Timing &amp; Flags'!X44</f>
        <v>0</v>
      </c>
      <c r="Y18" s="41">
        <f>'Timing &amp; Flags'!Y44</f>
        <v>0</v>
      </c>
      <c r="Z18" s="41">
        <f>'Timing &amp; Flags'!Z44</f>
        <v>0</v>
      </c>
      <c r="AA18" s="41">
        <f>'Timing &amp; Flags'!AA44</f>
        <v>0</v>
      </c>
      <c r="AB18" s="41">
        <f>'Timing &amp; Flags'!AB44</f>
        <v>0</v>
      </c>
      <c r="AC18" s="41">
        <f>'Timing &amp; Flags'!AC44</f>
        <v>0</v>
      </c>
      <c r="AD18" s="41">
        <f>'Timing &amp; Flags'!AD44</f>
        <v>0</v>
      </c>
      <c r="AE18" s="41">
        <f>'Timing &amp; Flags'!AE44</f>
        <v>0</v>
      </c>
      <c r="AF18" s="41">
        <f>'Timing &amp; Flags'!AF44</f>
        <v>0</v>
      </c>
      <c r="AG18" s="41">
        <f>'Timing &amp; Flags'!AG44</f>
        <v>0</v>
      </c>
      <c r="AH18" s="41">
        <f>'Timing &amp; Flags'!AH44</f>
        <v>0</v>
      </c>
      <c r="AI18" s="41">
        <f>'Timing &amp; Flags'!AI44</f>
        <v>0</v>
      </c>
      <c r="AJ18" s="41">
        <f>'Timing &amp; Flags'!AJ44</f>
        <v>0</v>
      </c>
      <c r="AK18" s="41">
        <f>'Timing &amp; Flags'!AK44</f>
        <v>0</v>
      </c>
      <c r="AL18" s="41">
        <f>'Timing &amp; Flags'!AL44</f>
        <v>1</v>
      </c>
      <c r="AM18" s="41">
        <f>'Timing &amp; Flags'!AM44</f>
        <v>0</v>
      </c>
      <c r="AN18" s="41">
        <f>'Timing &amp; Flags'!AN44</f>
        <v>0</v>
      </c>
      <c r="AO18" s="41">
        <f>'Timing &amp; Flags'!AO44</f>
        <v>0</v>
      </c>
      <c r="AP18" s="41">
        <f>'Timing &amp; Flags'!AP44</f>
        <v>0</v>
      </c>
      <c r="AQ18" s="41">
        <f>'Timing &amp; Flags'!AQ44</f>
        <v>0</v>
      </c>
      <c r="AR18" s="41">
        <f>'Timing &amp; Flags'!AR44</f>
        <v>0</v>
      </c>
      <c r="AS18" s="41">
        <f>'Timing &amp; Flags'!AS44</f>
        <v>0</v>
      </c>
      <c r="AT18" s="41">
        <f>'Timing &amp; Flags'!AT44</f>
        <v>0</v>
      </c>
      <c r="AU18" s="41">
        <f>'Timing &amp; Flags'!AU44</f>
        <v>0</v>
      </c>
      <c r="AV18" s="41">
        <f>'Timing &amp; Flags'!AV44</f>
        <v>0</v>
      </c>
      <c r="AW18" s="41">
        <f>'Timing &amp; Flags'!AW44</f>
        <v>0</v>
      </c>
      <c r="AX18" s="1054"/>
    </row>
    <row r="20" spans="1:50">
      <c r="B20" s="2" t="s">
        <v>538</v>
      </c>
      <c r="C20" s="15" t="s">
        <v>60</v>
      </c>
      <c r="D20" s="41">
        <f>SUM(I20:AI20)</f>
        <v>27</v>
      </c>
      <c r="I20" s="2">
        <f>'Timing &amp; Flags'!I49</f>
        <v>1</v>
      </c>
      <c r="J20" s="2">
        <f>'Timing &amp; Flags'!J49</f>
        <v>1</v>
      </c>
      <c r="K20" s="2">
        <f>'Timing &amp; Flags'!K49</f>
        <v>1</v>
      </c>
      <c r="L20" s="2">
        <f>'Timing &amp; Flags'!L49</f>
        <v>1</v>
      </c>
      <c r="M20" s="2">
        <f>'Timing &amp; Flags'!M49</f>
        <v>1</v>
      </c>
      <c r="N20" s="2">
        <f>'Timing &amp; Flags'!N49</f>
        <v>1</v>
      </c>
      <c r="O20" s="2">
        <f>'Timing &amp; Flags'!O49</f>
        <v>1</v>
      </c>
      <c r="P20" s="2">
        <f>'Timing &amp; Flags'!P49</f>
        <v>1</v>
      </c>
      <c r="Q20" s="2">
        <f>'Timing &amp; Flags'!Q49</f>
        <v>1</v>
      </c>
      <c r="R20" s="2">
        <f>'Timing &amp; Flags'!R49</f>
        <v>1</v>
      </c>
      <c r="S20" s="2">
        <f>'Timing &amp; Flags'!S49</f>
        <v>1</v>
      </c>
      <c r="T20" s="2">
        <f>'Timing &amp; Flags'!T49</f>
        <v>1</v>
      </c>
      <c r="U20" s="2">
        <f>'Timing &amp; Flags'!U49</f>
        <v>1</v>
      </c>
      <c r="V20" s="2">
        <f>'Timing &amp; Flags'!V49</f>
        <v>1</v>
      </c>
      <c r="W20" s="2">
        <f>'Timing &amp; Flags'!W49</f>
        <v>1</v>
      </c>
      <c r="X20" s="2">
        <f>'Timing &amp; Flags'!X49</f>
        <v>1</v>
      </c>
      <c r="Y20" s="2">
        <f>'Timing &amp; Flags'!Y49</f>
        <v>1</v>
      </c>
      <c r="Z20" s="2">
        <f>'Timing &amp; Flags'!Z49</f>
        <v>1</v>
      </c>
      <c r="AA20" s="2">
        <f>'Timing &amp; Flags'!AA49</f>
        <v>1</v>
      </c>
      <c r="AB20" s="2">
        <f>'Timing &amp; Flags'!AB49</f>
        <v>1</v>
      </c>
      <c r="AC20" s="2">
        <f>'Timing &amp; Flags'!AC49</f>
        <v>1</v>
      </c>
      <c r="AD20" s="2">
        <f>'Timing &amp; Flags'!AD49</f>
        <v>1</v>
      </c>
      <c r="AE20" s="2">
        <f>'Timing &amp; Flags'!AE49</f>
        <v>1</v>
      </c>
      <c r="AF20" s="2">
        <f>'Timing &amp; Flags'!AF49</f>
        <v>1</v>
      </c>
      <c r="AG20" s="2">
        <f>'Timing &amp; Flags'!AG49</f>
        <v>1</v>
      </c>
      <c r="AH20" s="2">
        <f>'Timing &amp; Flags'!AH49</f>
        <v>1</v>
      </c>
      <c r="AI20" s="2">
        <f>'Timing &amp; Flags'!AI49</f>
        <v>1</v>
      </c>
      <c r="AJ20" s="2">
        <f>'Timing &amp; Flags'!AJ49</f>
        <v>1</v>
      </c>
      <c r="AK20" s="2">
        <f>'Timing &amp; Flags'!AK49</f>
        <v>1</v>
      </c>
      <c r="AL20" s="2">
        <f>'Timing &amp; Flags'!AL49</f>
        <v>1</v>
      </c>
      <c r="AM20" s="2">
        <f>'Timing &amp; Flags'!AM49</f>
        <v>0</v>
      </c>
      <c r="AN20" s="2">
        <f>'Timing &amp; Flags'!AN49</f>
        <v>0</v>
      </c>
      <c r="AO20" s="2">
        <f>'Timing &amp; Flags'!AO49</f>
        <v>0</v>
      </c>
      <c r="AP20" s="2">
        <f>'Timing &amp; Flags'!AP49</f>
        <v>0</v>
      </c>
      <c r="AQ20" s="2">
        <f>'Timing &amp; Flags'!AQ49</f>
        <v>0</v>
      </c>
      <c r="AR20" s="2">
        <f>'Timing &amp; Flags'!AR49</f>
        <v>0</v>
      </c>
      <c r="AS20" s="2">
        <f>'Timing &amp; Flags'!AS49</f>
        <v>0</v>
      </c>
      <c r="AT20" s="2">
        <f>'Timing &amp; Flags'!AT49</f>
        <v>0</v>
      </c>
      <c r="AU20" s="2">
        <f>'Timing &amp; Flags'!AU49</f>
        <v>0</v>
      </c>
      <c r="AV20" s="2">
        <f>'Timing &amp; Flags'!AV49</f>
        <v>0</v>
      </c>
      <c r="AW20" s="2">
        <f>'Timing &amp; Flags'!AW49</f>
        <v>0</v>
      </c>
    </row>
    <row r="22" spans="1:50">
      <c r="B22" s="50" t="s">
        <v>69</v>
      </c>
    </row>
    <row r="23" spans="1:50">
      <c r="B23" s="2" t="s">
        <v>56</v>
      </c>
      <c r="C23" s="15" t="s">
        <v>72</v>
      </c>
      <c r="D23" s="41">
        <f ca="1">SUM(I23:AI23)</f>
        <v>3.0000074855902388</v>
      </c>
      <c r="I23" s="17">
        <f ca="1">'Timing &amp; Flags'!I54</f>
        <v>1</v>
      </c>
      <c r="J23" s="17">
        <f ca="1">'Timing &amp; Flags'!J54</f>
        <v>0.99726775956284153</v>
      </c>
      <c r="K23" s="17">
        <f ca="1">'Timing &amp; Flags'!K54</f>
        <v>1.0027397260273974</v>
      </c>
      <c r="L23" s="17">
        <f>'Timing &amp; Flags'!L54</f>
        <v>0</v>
      </c>
      <c r="M23" s="17">
        <f>'Timing &amp; Flags'!M54</f>
        <v>0</v>
      </c>
      <c r="N23" s="17">
        <f>'Timing &amp; Flags'!N54</f>
        <v>0</v>
      </c>
      <c r="O23" s="17">
        <f>'Timing &amp; Flags'!O54</f>
        <v>0</v>
      </c>
      <c r="P23" s="17">
        <f>'Timing &amp; Flags'!P54</f>
        <v>0</v>
      </c>
      <c r="Q23" s="17">
        <f>'Timing &amp; Flags'!Q54</f>
        <v>0</v>
      </c>
      <c r="R23" s="17">
        <f>'Timing &amp; Flags'!R54</f>
        <v>0</v>
      </c>
      <c r="S23" s="17">
        <f>'Timing &amp; Flags'!S54</f>
        <v>0</v>
      </c>
      <c r="T23" s="17">
        <f>'Timing &amp; Flags'!T54</f>
        <v>0</v>
      </c>
      <c r="U23" s="17">
        <f>'Timing &amp; Flags'!U54</f>
        <v>0</v>
      </c>
      <c r="V23" s="17">
        <f>'Timing &amp; Flags'!V54</f>
        <v>0</v>
      </c>
      <c r="W23" s="17">
        <f>'Timing &amp; Flags'!W54</f>
        <v>0</v>
      </c>
      <c r="X23" s="17">
        <f>'Timing &amp; Flags'!X54</f>
        <v>0</v>
      </c>
      <c r="Y23" s="17">
        <f>'Timing &amp; Flags'!Y54</f>
        <v>0</v>
      </c>
      <c r="Z23" s="17">
        <f>'Timing &amp; Flags'!Z54</f>
        <v>0</v>
      </c>
      <c r="AA23" s="17">
        <f>'Timing &amp; Flags'!AA54</f>
        <v>0</v>
      </c>
      <c r="AB23" s="17">
        <f>'Timing &amp; Flags'!AB54</f>
        <v>0</v>
      </c>
      <c r="AC23" s="17">
        <f>'Timing &amp; Flags'!AC54</f>
        <v>0</v>
      </c>
      <c r="AD23" s="17">
        <f>'Timing &amp; Flags'!AD54</f>
        <v>0</v>
      </c>
      <c r="AE23" s="17">
        <f>'Timing &amp; Flags'!AE54</f>
        <v>0</v>
      </c>
      <c r="AF23" s="17">
        <f>'Timing &amp; Flags'!AF54</f>
        <v>0</v>
      </c>
      <c r="AG23" s="17">
        <f>'Timing &amp; Flags'!AG54</f>
        <v>0</v>
      </c>
      <c r="AH23" s="17">
        <f>'Timing &amp; Flags'!AH54</f>
        <v>0</v>
      </c>
      <c r="AI23" s="17">
        <f>'Timing &amp; Flags'!AI54</f>
        <v>0</v>
      </c>
    </row>
    <row r="24" spans="1:50">
      <c r="B24" s="27" t="s">
        <v>57</v>
      </c>
      <c r="C24" s="15" t="s">
        <v>72</v>
      </c>
      <c r="D24" s="43">
        <f ca="1">SUM(I24:AI24)</f>
        <v>24.00004491354143</v>
      </c>
      <c r="E24" s="27"/>
      <c r="F24" s="27"/>
      <c r="G24" s="27"/>
      <c r="H24" s="27"/>
      <c r="I24" s="116">
        <f>'Timing &amp; Flags'!I55</f>
        <v>0</v>
      </c>
      <c r="J24" s="116">
        <f>'Timing &amp; Flags'!J55</f>
        <v>0</v>
      </c>
      <c r="K24" s="116">
        <f>'Timing &amp; Flags'!K55</f>
        <v>0</v>
      </c>
      <c r="L24" s="116">
        <f ca="1">'Timing &amp; Flags'!L55</f>
        <v>1</v>
      </c>
      <c r="M24" s="116">
        <f ca="1">'Timing &amp; Flags'!M55</f>
        <v>1</v>
      </c>
      <c r="N24" s="116">
        <f ca="1">'Timing &amp; Flags'!N55</f>
        <v>0.99726775956284153</v>
      </c>
      <c r="O24" s="116">
        <f ca="1">'Timing &amp; Flags'!O55</f>
        <v>1.0027397260273974</v>
      </c>
      <c r="P24" s="116">
        <f ca="1">'Timing &amp; Flags'!P55</f>
        <v>1</v>
      </c>
      <c r="Q24" s="116">
        <f ca="1">'Timing &amp; Flags'!Q55</f>
        <v>1</v>
      </c>
      <c r="R24" s="116">
        <f ca="1">'Timing &amp; Flags'!R55</f>
        <v>0.99726775956284153</v>
      </c>
      <c r="S24" s="116">
        <f ca="1">'Timing &amp; Flags'!S55</f>
        <v>1.0027397260273974</v>
      </c>
      <c r="T24" s="116">
        <f ca="1">'Timing &amp; Flags'!T55</f>
        <v>1</v>
      </c>
      <c r="U24" s="116">
        <f ca="1">'Timing &amp; Flags'!U55</f>
        <v>1</v>
      </c>
      <c r="V24" s="116">
        <f ca="1">'Timing &amp; Flags'!V55</f>
        <v>0.99726775956284153</v>
      </c>
      <c r="W24" s="116">
        <f ca="1">'Timing &amp; Flags'!W55</f>
        <v>1.0027397260273974</v>
      </c>
      <c r="X24" s="116">
        <f ca="1">'Timing &amp; Flags'!X55</f>
        <v>1</v>
      </c>
      <c r="Y24" s="116">
        <f ca="1">'Timing &amp; Flags'!Y55</f>
        <v>1</v>
      </c>
      <c r="Z24" s="116">
        <f ca="1">'Timing &amp; Flags'!Z55</f>
        <v>0.99726775956284153</v>
      </c>
      <c r="AA24" s="116">
        <f ca="1">'Timing &amp; Flags'!AA55</f>
        <v>1.0027397260273974</v>
      </c>
      <c r="AB24" s="116">
        <f ca="1">'Timing &amp; Flags'!AB55</f>
        <v>1</v>
      </c>
      <c r="AC24" s="116">
        <f ca="1">'Timing &amp; Flags'!AC55</f>
        <v>1</v>
      </c>
      <c r="AD24" s="116">
        <f ca="1">'Timing &amp; Flags'!AD55</f>
        <v>0.99726775956284153</v>
      </c>
      <c r="AE24" s="116">
        <f ca="1">'Timing &amp; Flags'!AE55</f>
        <v>1.0027397260273974</v>
      </c>
      <c r="AF24" s="116">
        <f ca="1">'Timing &amp; Flags'!AF55</f>
        <v>1</v>
      </c>
      <c r="AG24" s="116">
        <f ca="1">'Timing &amp; Flags'!AG55</f>
        <v>1</v>
      </c>
      <c r="AH24" s="116">
        <f ca="1">'Timing &amp; Flags'!AH55</f>
        <v>0.99726775956284153</v>
      </c>
      <c r="AI24" s="116">
        <f ca="1">'Timing &amp; Flags'!AI55</f>
        <v>1.0027397260273974</v>
      </c>
      <c r="AJ24" s="116">
        <f ca="1">'Timing &amp; Flags'!AJ55</f>
        <v>1</v>
      </c>
      <c r="AK24" s="116">
        <f ca="1">'Timing &amp; Flags'!AK55</f>
        <v>1</v>
      </c>
      <c r="AL24" s="116">
        <f ca="1">'Timing &amp; Flags'!AL55</f>
        <v>1</v>
      </c>
      <c r="AM24" s="116">
        <f>'Timing &amp; Flags'!AM55</f>
        <v>0</v>
      </c>
      <c r="AN24" s="116">
        <f>'Timing &amp; Flags'!AN55</f>
        <v>0</v>
      </c>
      <c r="AO24" s="116">
        <f>'Timing &amp; Flags'!AO55</f>
        <v>0</v>
      </c>
      <c r="AP24" s="116">
        <f>'Timing &amp; Flags'!AP55</f>
        <v>0</v>
      </c>
      <c r="AQ24" s="116">
        <f>'Timing &amp; Flags'!AQ55</f>
        <v>0</v>
      </c>
      <c r="AR24" s="116">
        <f>'Timing &amp; Flags'!AR55</f>
        <v>0</v>
      </c>
      <c r="AS24" s="116">
        <f>'Timing &amp; Flags'!AS55</f>
        <v>0</v>
      </c>
      <c r="AT24" s="116">
        <f>'Timing &amp; Flags'!AT55</f>
        <v>0</v>
      </c>
      <c r="AU24" s="116">
        <f>'Timing &amp; Flags'!AU55</f>
        <v>0</v>
      </c>
      <c r="AV24" s="116">
        <f>'Timing &amp; Flags'!AV55</f>
        <v>0</v>
      </c>
      <c r="AW24" s="116">
        <f>'Timing &amp; Flags'!AW55</f>
        <v>0</v>
      </c>
      <c r="AX24" s="1055"/>
    </row>
    <row r="25" spans="1:50">
      <c r="B25" s="2" t="s">
        <v>71</v>
      </c>
      <c r="C25" s="132" t="s">
        <v>72</v>
      </c>
      <c r="D25" s="42">
        <f ca="1">SUM(D23:D24)</f>
        <v>27.000052399131668</v>
      </c>
      <c r="I25" s="17">
        <f ca="1">SUM(I23:I24)</f>
        <v>1</v>
      </c>
      <c r="J25" s="17">
        <f t="shared" ref="J25:AW25" ca="1" si="0">SUM(J23:J24)</f>
        <v>0.99726775956284153</v>
      </c>
      <c r="K25" s="17">
        <f t="shared" ca="1" si="0"/>
        <v>1.0027397260273974</v>
      </c>
      <c r="L25" s="17">
        <f t="shared" ca="1" si="0"/>
        <v>1</v>
      </c>
      <c r="M25" s="17">
        <f t="shared" ca="1" si="0"/>
        <v>1</v>
      </c>
      <c r="N25" s="17">
        <f t="shared" ca="1" si="0"/>
        <v>0.99726775956284153</v>
      </c>
      <c r="O25" s="17">
        <f t="shared" ca="1" si="0"/>
        <v>1.0027397260273974</v>
      </c>
      <c r="P25" s="17">
        <f t="shared" ca="1" si="0"/>
        <v>1</v>
      </c>
      <c r="Q25" s="17">
        <f t="shared" ca="1" si="0"/>
        <v>1</v>
      </c>
      <c r="R25" s="17">
        <f t="shared" ca="1" si="0"/>
        <v>0.99726775956284153</v>
      </c>
      <c r="S25" s="17">
        <f t="shared" ca="1" si="0"/>
        <v>1.0027397260273974</v>
      </c>
      <c r="T25" s="17">
        <f t="shared" ca="1" si="0"/>
        <v>1</v>
      </c>
      <c r="U25" s="17">
        <f t="shared" ca="1" si="0"/>
        <v>1</v>
      </c>
      <c r="V25" s="17">
        <f t="shared" ca="1" si="0"/>
        <v>0.99726775956284153</v>
      </c>
      <c r="W25" s="17">
        <f t="shared" ca="1" si="0"/>
        <v>1.0027397260273974</v>
      </c>
      <c r="X25" s="17">
        <f t="shared" ca="1" si="0"/>
        <v>1</v>
      </c>
      <c r="Y25" s="17">
        <f t="shared" ca="1" si="0"/>
        <v>1</v>
      </c>
      <c r="Z25" s="17">
        <f t="shared" ca="1" si="0"/>
        <v>0.99726775956284153</v>
      </c>
      <c r="AA25" s="17">
        <f t="shared" ca="1" si="0"/>
        <v>1.0027397260273974</v>
      </c>
      <c r="AB25" s="17">
        <f t="shared" ca="1" si="0"/>
        <v>1</v>
      </c>
      <c r="AC25" s="17">
        <f t="shared" ca="1" si="0"/>
        <v>1</v>
      </c>
      <c r="AD25" s="17">
        <f t="shared" ca="1" si="0"/>
        <v>0.99726775956284153</v>
      </c>
      <c r="AE25" s="17">
        <f t="shared" ca="1" si="0"/>
        <v>1.0027397260273974</v>
      </c>
      <c r="AF25" s="17">
        <f t="shared" ca="1" si="0"/>
        <v>1</v>
      </c>
      <c r="AG25" s="17">
        <f t="shared" ca="1" si="0"/>
        <v>1</v>
      </c>
      <c r="AH25" s="17">
        <f t="shared" ca="1" si="0"/>
        <v>0.99726775956284153</v>
      </c>
      <c r="AI25" s="17">
        <f t="shared" ca="1" si="0"/>
        <v>1.0027397260273974</v>
      </c>
      <c r="AJ25" s="17">
        <f t="shared" ca="1" si="0"/>
        <v>1</v>
      </c>
      <c r="AK25" s="17">
        <f t="shared" ca="1" si="0"/>
        <v>1</v>
      </c>
      <c r="AL25" s="17">
        <f t="shared" ca="1" si="0"/>
        <v>1</v>
      </c>
      <c r="AM25" s="17">
        <f t="shared" si="0"/>
        <v>0</v>
      </c>
      <c r="AN25" s="17">
        <f t="shared" si="0"/>
        <v>0</v>
      </c>
      <c r="AO25" s="17">
        <f t="shared" si="0"/>
        <v>0</v>
      </c>
      <c r="AP25" s="17">
        <f t="shared" si="0"/>
        <v>0</v>
      </c>
      <c r="AQ25" s="17">
        <f t="shared" si="0"/>
        <v>0</v>
      </c>
      <c r="AR25" s="17">
        <f t="shared" si="0"/>
        <v>0</v>
      </c>
      <c r="AS25" s="17">
        <f t="shared" si="0"/>
        <v>0</v>
      </c>
      <c r="AT25" s="17">
        <f t="shared" si="0"/>
        <v>0</v>
      </c>
      <c r="AU25" s="17">
        <f t="shared" si="0"/>
        <v>0</v>
      </c>
      <c r="AV25" s="17">
        <f t="shared" si="0"/>
        <v>0</v>
      </c>
      <c r="AW25" s="17">
        <f t="shared" si="0"/>
        <v>0</v>
      </c>
      <c r="AX25" s="1056"/>
    </row>
    <row r="26" spans="1:50">
      <c r="B26" s="5"/>
    </row>
    <row r="27" spans="1:50">
      <c r="A27" s="6" t="s">
        <v>506</v>
      </c>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053"/>
    </row>
    <row r="28" spans="1:50">
      <c r="B28" s="5"/>
    </row>
    <row r="29" spans="1:50">
      <c r="B29" s="2" t="s">
        <v>507</v>
      </c>
      <c r="C29" s="15" t="s">
        <v>60</v>
      </c>
      <c r="D29" s="41">
        <f>SUM(I29:AI29)</f>
        <v>7</v>
      </c>
      <c r="I29" s="41">
        <f>'Debt Schedule'!I34</f>
        <v>0</v>
      </c>
      <c r="J29" s="41">
        <f>'Debt Schedule'!J34</f>
        <v>0</v>
      </c>
      <c r="K29" s="41">
        <f>'Debt Schedule'!K34</f>
        <v>0</v>
      </c>
      <c r="L29" s="41">
        <f>'Debt Schedule'!L34</f>
        <v>1</v>
      </c>
      <c r="M29" s="41">
        <f>'Debt Schedule'!M34</f>
        <v>1</v>
      </c>
      <c r="N29" s="41">
        <f>'Debt Schedule'!N34</f>
        <v>1</v>
      </c>
      <c r="O29" s="41">
        <f>'Debt Schedule'!O34</f>
        <v>1</v>
      </c>
      <c r="P29" s="41">
        <f>'Debt Schedule'!P34</f>
        <v>1</v>
      </c>
      <c r="Q29" s="41">
        <f>'Debt Schedule'!Q34</f>
        <v>1</v>
      </c>
      <c r="R29" s="41">
        <f>'Debt Schedule'!R34</f>
        <v>1</v>
      </c>
      <c r="S29" s="41">
        <f>'Debt Schedule'!S34</f>
        <v>0</v>
      </c>
      <c r="T29" s="41">
        <f>'Debt Schedule'!T34</f>
        <v>0</v>
      </c>
      <c r="U29" s="41">
        <f>'Debt Schedule'!U34</f>
        <v>0</v>
      </c>
      <c r="V29" s="41">
        <f>'Debt Schedule'!V34</f>
        <v>0</v>
      </c>
      <c r="W29" s="41">
        <f>'Debt Schedule'!W34</f>
        <v>0</v>
      </c>
      <c r="X29" s="41">
        <f>'Debt Schedule'!X34</f>
        <v>0</v>
      </c>
      <c r="Y29" s="41">
        <f>'Debt Schedule'!Y34</f>
        <v>0</v>
      </c>
      <c r="Z29" s="41">
        <f>'Debt Schedule'!Z34</f>
        <v>0</v>
      </c>
      <c r="AA29" s="41">
        <f>'Debt Schedule'!AA34</f>
        <v>0</v>
      </c>
      <c r="AB29" s="41">
        <f>'Debt Schedule'!AB34</f>
        <v>0</v>
      </c>
      <c r="AC29" s="41">
        <f>'Debt Schedule'!AC34</f>
        <v>0</v>
      </c>
      <c r="AD29" s="41">
        <f>'Debt Schedule'!AD34</f>
        <v>0</v>
      </c>
      <c r="AE29" s="41">
        <f>'Debt Schedule'!AE34</f>
        <v>0</v>
      </c>
      <c r="AF29" s="41">
        <f>'Debt Schedule'!AF34</f>
        <v>0</v>
      </c>
      <c r="AG29" s="41">
        <f>'Debt Schedule'!AG34</f>
        <v>0</v>
      </c>
      <c r="AH29" s="41">
        <f>'Debt Schedule'!AH34</f>
        <v>0</v>
      </c>
      <c r="AI29" s="41">
        <f>'Debt Schedule'!AI34</f>
        <v>0</v>
      </c>
    </row>
    <row r="30" spans="1:50">
      <c r="C30" s="15"/>
    </row>
    <row r="31" spans="1:50">
      <c r="B31" s="2" t="s">
        <v>508</v>
      </c>
      <c r="C31" s="194" t="str">
        <f>IF('Input '!$F$9=1,"US$","=N=")</f>
        <v>US$</v>
      </c>
      <c r="D31" s="41">
        <f ca="1">SUM(I31:AI31)</f>
        <v>46292054105.201607</v>
      </c>
      <c r="I31" s="41">
        <f ca="1">SUM(CF!I12,CF!I14,CF!I15)-CF!I11</f>
        <v>0</v>
      </c>
      <c r="J31" s="41">
        <f ca="1">SUM(CF!J12,CF!J14,CF!J15)-CF!J11</f>
        <v>-132913371.73613448</v>
      </c>
      <c r="K31" s="41">
        <f ca="1">SUM(CF!K12,CF!K14,CF!K15)-CF!K11</f>
        <v>632979160.75820267</v>
      </c>
      <c r="L31" s="41">
        <f ca="1">SUM(CF!L12,CF!L14,CF!L15)-CF!L11</f>
        <v>1113384145.8202512</v>
      </c>
      <c r="M31" s="41">
        <f ca="1">SUM(CF!M12,CF!M14,CF!M15)-CF!M11</f>
        <v>1307343777.7768016</v>
      </c>
      <c r="N31" s="41">
        <f ca="1">SUM(CF!N12,CF!N14,CF!N15)-CF!N11</f>
        <v>1423674676.4626899</v>
      </c>
      <c r="O31" s="41">
        <f ca="1">SUM(CF!O12,CF!O14,CF!O15)-CF!O11</f>
        <v>1527262449.5167961</v>
      </c>
      <c r="P31" s="41">
        <f ca="1">SUM(CF!P12,CF!P14,CF!P15)-CF!P11</f>
        <v>1620778759.7527404</v>
      </c>
      <c r="Q31" s="41">
        <f ca="1">SUM(CF!Q12,CF!Q14,CF!Q15)-CF!Q11</f>
        <v>1716998599.5535426</v>
      </c>
      <c r="R31" s="41">
        <f ca="1">SUM(CF!R12,CF!R14,CF!R15)-CF!R11</f>
        <v>1819844194.9453361</v>
      </c>
      <c r="S31" s="41">
        <f ca="1">SUM(CF!S12,CF!S14,CF!S15)-CF!S11</f>
        <v>1921492211.2169793</v>
      </c>
      <c r="T31" s="41">
        <f ca="1">SUM(CF!T12,CF!T14,CF!T15)-CF!T11</f>
        <v>2038073397.7543035</v>
      </c>
      <c r="U31" s="41">
        <f ca="1">SUM(CF!U12,CF!U14,CF!U15)-CF!U11</f>
        <v>2159528163.5310922</v>
      </c>
      <c r="V31" s="41">
        <f ca="1">SUM(CF!V12,CF!V14,CF!V15)-CF!V11</f>
        <v>2287791806.3660378</v>
      </c>
      <c r="W31" s="41">
        <f ca="1">SUM(CF!W12,CF!W14,CF!W15)-CF!W11</f>
        <v>2420274029.2951603</v>
      </c>
      <c r="X31" s="41">
        <f ca="1">SUM(CF!X12,CF!X14,CF!X15)-CF!X11</f>
        <v>1799483684.7706902</v>
      </c>
      <c r="Y31" s="41">
        <f ca="1">SUM(CF!Y12,CF!Y14,CF!Y15)-CF!Y11</f>
        <v>1753474444.781949</v>
      </c>
      <c r="Z31" s="41">
        <f ca="1">SUM(CF!Z12,CF!Z14,CF!Z15)-CF!Z11</f>
        <v>1807957611.5470948</v>
      </c>
      <c r="AA31" s="41">
        <f ca="1">SUM(CF!AA12,CF!AA14,CF!AA15)-CF!AA11</f>
        <v>1863094085.0746782</v>
      </c>
      <c r="AB31" s="41">
        <f ca="1">SUM(CF!AB12,CF!AB14,CF!AB15)-CF!AB11</f>
        <v>1921878648.9141417</v>
      </c>
      <c r="AC31" s="41">
        <f ca="1">SUM(CF!AC12,CF!AC14,CF!AC15)-CF!AC11</f>
        <v>1982682102.853267</v>
      </c>
      <c r="AD31" s="41">
        <f ca="1">SUM(CF!AD12,CF!AD14,CF!AD15)-CF!AD11</f>
        <v>2046559606.7248311</v>
      </c>
      <c r="AE31" s="41">
        <f ca="1">SUM(CF!AE12,CF!AE14,CF!AE15)-CF!AE11</f>
        <v>2110866258.3901505</v>
      </c>
      <c r="AF31" s="41">
        <f ca="1">SUM(CF!AF12,CF!AF14,CF!AF15)-CF!AF11</f>
        <v>2179352918.1338038</v>
      </c>
      <c r="AG31" s="41">
        <f ca="1">SUM(CF!AG12,CF!AG14,CF!AG15)-CF!AG11</f>
        <v>2249756028.1376925</v>
      </c>
      <c r="AH31" s="41">
        <f ca="1">SUM(CF!AH12,CF!AH14,CF!AH15)-CF!AH11</f>
        <v>2323313428.2110395</v>
      </c>
      <c r="AI31" s="41">
        <f ca="1">SUM(CF!AI12,CF!AI14,CF!AI15)-CF!AI11</f>
        <v>2397123286.6484594</v>
      </c>
      <c r="AJ31" s="41">
        <f ca="1">SUM(CF!AJ12,CF!AJ14,CF!AJ15)-CF!AJ11</f>
        <v>2475391162.0859537</v>
      </c>
      <c r="AK31" s="41">
        <f ca="1">SUM(CF!AK12,CF!AK14,CF!AK15)-CF!AK11</f>
        <v>2586756212.7914348</v>
      </c>
      <c r="AL31" s="41">
        <f ca="1">SUM(CF!AL12,CF!AL14,CF!AL15)-CF!AL11</f>
        <v>3035968904.9920216</v>
      </c>
      <c r="AM31" s="41">
        <f>SUM(CF!AM12,CF!AM14,CF!AM15)-CF!AM11</f>
        <v>0</v>
      </c>
      <c r="AN31" s="41">
        <f>SUM(CF!AN12,CF!AN14,CF!AN15)-CF!AN11</f>
        <v>0</v>
      </c>
      <c r="AO31" s="41">
        <f>SUM(CF!AO12,CF!AO14,CF!AO15)-CF!AO11</f>
        <v>0</v>
      </c>
      <c r="AP31" s="41">
        <f>SUM(CF!AP12,CF!AP14,CF!AP15)-CF!AP11</f>
        <v>0</v>
      </c>
      <c r="AQ31" s="41">
        <f>SUM(CF!AQ12,CF!AQ14,CF!AQ15)-CF!AQ11</f>
        <v>0</v>
      </c>
      <c r="AR31" s="41">
        <f>SUM(CF!AR12,CF!AR14,CF!AR15)-CF!AR11</f>
        <v>0</v>
      </c>
      <c r="AS31" s="41">
        <f>SUM(CF!AS12,CF!AS14,CF!AS15)-CF!AS11</f>
        <v>0</v>
      </c>
      <c r="AT31" s="41">
        <f>SUM(CF!AT12,CF!AT14,CF!AT15)-CF!AT11</f>
        <v>0</v>
      </c>
      <c r="AU31" s="41">
        <f>SUM(CF!AU12,CF!AU14,CF!AU15)-CF!AU11</f>
        <v>0</v>
      </c>
      <c r="AV31" s="41">
        <f>SUM(CF!AV12,CF!AV14,CF!AV15)-CF!AV11</f>
        <v>0</v>
      </c>
      <c r="AW31" s="41">
        <f>SUM(CF!AW12,CF!AW14,CF!AW15)-CF!AW11</f>
        <v>0</v>
      </c>
      <c r="AX31" s="1054"/>
    </row>
    <row r="32" spans="1:50">
      <c r="B32" s="2" t="s">
        <v>509</v>
      </c>
      <c r="C32" s="144" t="str">
        <f>$C$31</f>
        <v>US$</v>
      </c>
      <c r="D32" s="41">
        <f ca="1">SUM(I32:AI32)</f>
        <v>33391283883.505978</v>
      </c>
      <c r="I32" s="41">
        <f ca="1">SUM(CF!I12,CF!I14,CF!I15)</f>
        <v>0</v>
      </c>
      <c r="J32" s="41">
        <f ca="1">SUM(CF!J12,CF!J14,CF!J15)</f>
        <v>-132913371.73613448</v>
      </c>
      <c r="K32" s="41">
        <f ca="1">SUM(CF!K12,CF!K14,CF!K15)</f>
        <v>632979160.75820267</v>
      </c>
      <c r="L32" s="41">
        <f ca="1">SUM(CF!L12,CF!L14,CF!L15)</f>
        <v>1113384145.8202512</v>
      </c>
      <c r="M32" s="41">
        <f ca="1">SUM(CF!M12,CF!M14,CF!M15)</f>
        <v>1307343777.7768016</v>
      </c>
      <c r="N32" s="41">
        <f ca="1">SUM(CF!N12,CF!N14,CF!N15)</f>
        <v>1264692907.9545906</v>
      </c>
      <c r="O32" s="41">
        <f ca="1">SUM(CF!O12,CF!O14,CF!O15)</f>
        <v>1349315140.1386206</v>
      </c>
      <c r="P32" s="41">
        <f ca="1">SUM(CF!P12,CF!P14,CF!P15)</f>
        <v>1425359922.7759254</v>
      </c>
      <c r="Q32" s="41">
        <f ca="1">SUM(CF!Q12,CF!Q14,CF!Q15)</f>
        <v>1503447690.4102097</v>
      </c>
      <c r="R32" s="41">
        <f ca="1">SUM(CF!R12,CF!R14,CF!R15)</f>
        <v>1324092719.1085794</v>
      </c>
      <c r="S32" s="41">
        <f ca="1">SUM(CF!S12,CF!S14,CF!S15)</f>
        <v>1283070151.1751375</v>
      </c>
      <c r="T32" s="41">
        <f ca="1">SUM(CF!T12,CF!T14,CF!T15)</f>
        <v>1361126777.7746472</v>
      </c>
      <c r="U32" s="41">
        <f ca="1">SUM(CF!U12,CF!U14,CF!U15)</f>
        <v>1442257475.690588</v>
      </c>
      <c r="V32" s="41">
        <f ca="1">SUM(CF!V12,CF!V14,CF!V15)</f>
        <v>1528178348.3972325</v>
      </c>
      <c r="W32" s="41">
        <f ca="1">SUM(CF!W12,CF!W14,CF!W15)</f>
        <v>1616160258.3257608</v>
      </c>
      <c r="X32" s="41">
        <f ca="1">SUM(CF!X12,CF!X14,CF!X15)</f>
        <v>1235546330.5832512</v>
      </c>
      <c r="Y32" s="41">
        <f ca="1">SUM(CF!Y12,CF!Y14,CF!Y15)</f>
        <v>1172655466.6061137</v>
      </c>
      <c r="Z32" s="41">
        <f ca="1">SUM(CF!Z12,CF!Z14,CF!Z15)</f>
        <v>1209196930.2893116</v>
      </c>
      <c r="AA32" s="41">
        <f ca="1">SUM(CF!AA12,CF!AA14,CF!AA15)</f>
        <v>1245685425.722734</v>
      </c>
      <c r="AB32" s="41">
        <f ca="1">SUM(CF!AB12,CF!AB14,CF!AB15)</f>
        <v>1285172638.6101649</v>
      </c>
      <c r="AC32" s="41">
        <f ca="1">SUM(CF!AC12,CF!AC14,CF!AC15)</f>
        <v>1325847448.789845</v>
      </c>
      <c r="AD32" s="41">
        <f ca="1">SUM(CF!AD12,CF!AD14,CF!AD15)</f>
        <v>1368791499.13083</v>
      </c>
      <c r="AE32" s="41">
        <f ca="1">SUM(CF!AE12,CF!AE14,CF!AE15)</f>
        <v>1411363588.111443</v>
      </c>
      <c r="AF32" s="41">
        <f ca="1">SUM(CF!AF12,CF!AF14,CF!AF15)</f>
        <v>1457366133.1732535</v>
      </c>
      <c r="AG32" s="41">
        <f ca="1">SUM(CF!AG12,CF!AG14,CF!AG15)</f>
        <v>1504464392.6556954</v>
      </c>
      <c r="AH32" s="41">
        <f ca="1">SUM(CF!AH12,CF!AH14,CF!AH15)</f>
        <v>1553913969.7623825</v>
      </c>
      <c r="AI32" s="41">
        <f ca="1">SUM(CF!AI12,CF!AI14,CF!AI15)</f>
        <v>1602784955.700546</v>
      </c>
      <c r="AJ32" s="41">
        <f ca="1">SUM(CF!AJ12,CF!AJ14,CF!AJ15)</f>
        <v>1655357824.3929558</v>
      </c>
      <c r="AK32" s="41">
        <f ca="1">SUM(CF!AK12,CF!AK14,CF!AK15)</f>
        <v>1729891184.7949376</v>
      </c>
      <c r="AL32" s="41">
        <f ca="1">SUM(CF!AL12,CF!AL14,CF!AL15)</f>
        <v>2140969646.930531</v>
      </c>
      <c r="AM32" s="41">
        <f>SUM(CF!AM12,CF!AM14,CF!AM15)</f>
        <v>0</v>
      </c>
      <c r="AN32" s="41">
        <f>SUM(CF!AN12,CF!AN14,CF!AN15)</f>
        <v>0</v>
      </c>
      <c r="AO32" s="41">
        <f>SUM(CF!AO12,CF!AO14,CF!AO15)</f>
        <v>0</v>
      </c>
      <c r="AP32" s="41">
        <f>SUM(CF!AP12,CF!AP14,CF!AP15)</f>
        <v>0</v>
      </c>
      <c r="AQ32" s="41">
        <f>SUM(CF!AQ12,CF!AQ14,CF!AQ15)</f>
        <v>0</v>
      </c>
      <c r="AR32" s="41">
        <f>SUM(CF!AR12,CF!AR14,CF!AR15)</f>
        <v>0</v>
      </c>
      <c r="AS32" s="41">
        <f>SUM(CF!AS12,CF!AS14,CF!AS15)</f>
        <v>0</v>
      </c>
      <c r="AT32" s="41">
        <f>SUM(CF!AT12,CF!AT14,CF!AT15)</f>
        <v>0</v>
      </c>
      <c r="AU32" s="41">
        <f>SUM(CF!AU12,CF!AU14,CF!AU15)</f>
        <v>0</v>
      </c>
      <c r="AV32" s="41">
        <f>SUM(CF!AV12,CF!AV14,CF!AV15)</f>
        <v>0</v>
      </c>
      <c r="AW32" s="41">
        <f>SUM(CF!AW12,CF!AW14,CF!AW15)</f>
        <v>0</v>
      </c>
      <c r="AX32" s="1054"/>
    </row>
    <row r="33" spans="1:50">
      <c r="B33" s="2" t="s">
        <v>510</v>
      </c>
      <c r="C33" s="144" t="str">
        <f>$C$31</f>
        <v>US$</v>
      </c>
      <c r="D33" s="41">
        <f ca="1">SUM(I33:AI33)</f>
        <v>4093349196.5737753</v>
      </c>
      <c r="I33" s="186">
        <f ca="1">'Debt Schedule'!I75</f>
        <v>0</v>
      </c>
      <c r="J33" s="186">
        <f ca="1">'Debt Schedule'!J75</f>
        <v>0</v>
      </c>
      <c r="K33" s="186">
        <f ca="1">'Debt Schedule'!K75</f>
        <v>0</v>
      </c>
      <c r="L33" s="186">
        <f ca="1">'Debt Schedule'!L75</f>
        <v>712861464.64741492</v>
      </c>
      <c r="M33" s="186">
        <f ca="1">'Debt Schedule'!M75</f>
        <v>670173413.88064456</v>
      </c>
      <c r="N33" s="186">
        <f ca="1">'Debt Schedule'!N75</f>
        <v>626902193.02143204</v>
      </c>
      <c r="O33" s="186">
        <f ca="1">'Debt Schedule'!O75</f>
        <v>585265126.60208225</v>
      </c>
      <c r="P33" s="186">
        <f ca="1">'Debt Schedule'!P75</f>
        <v>542109261.58033371</v>
      </c>
      <c r="Q33" s="186">
        <f ca="1">'Debt Schedule'!Q75</f>
        <v>499421210.81356329</v>
      </c>
      <c r="R33" s="186">
        <f ca="1">'Debt Schedule'!R75</f>
        <v>456616526.02830452</v>
      </c>
      <c r="S33" s="186">
        <f ca="1">'Debt Schedule'!S75</f>
        <v>0</v>
      </c>
      <c r="T33" s="186">
        <f ca="1">'Debt Schedule'!T75</f>
        <v>0</v>
      </c>
      <c r="U33" s="186">
        <f ca="1">'Debt Schedule'!U75</f>
        <v>0</v>
      </c>
      <c r="V33" s="186">
        <f ca="1">'Debt Schedule'!V75</f>
        <v>0</v>
      </c>
      <c r="W33" s="186">
        <f ca="1">'Debt Schedule'!W75</f>
        <v>0</v>
      </c>
      <c r="X33" s="186">
        <f ca="1">'Debt Schedule'!X75</f>
        <v>0</v>
      </c>
      <c r="Y33" s="186">
        <f ca="1">'Debt Schedule'!Y75</f>
        <v>0</v>
      </c>
      <c r="Z33" s="186">
        <f ca="1">'Debt Schedule'!Z75</f>
        <v>0</v>
      </c>
      <c r="AA33" s="186">
        <f ca="1">'Debt Schedule'!AA75</f>
        <v>0</v>
      </c>
      <c r="AB33" s="186">
        <f ca="1">'Debt Schedule'!AB75</f>
        <v>0</v>
      </c>
      <c r="AC33" s="186">
        <f ca="1">'Debt Schedule'!AC75</f>
        <v>0</v>
      </c>
      <c r="AD33" s="186">
        <f ca="1">'Debt Schedule'!AD75</f>
        <v>0</v>
      </c>
      <c r="AE33" s="186">
        <f ca="1">'Debt Schedule'!AE75</f>
        <v>0</v>
      </c>
      <c r="AF33" s="186">
        <f ca="1">'Debt Schedule'!AF75</f>
        <v>0</v>
      </c>
      <c r="AG33" s="186">
        <f ca="1">'Debt Schedule'!AG75</f>
        <v>0</v>
      </c>
      <c r="AH33" s="186">
        <f ca="1">'Debt Schedule'!AH75</f>
        <v>0</v>
      </c>
      <c r="AI33" s="186">
        <f ca="1">'Debt Schedule'!AI75</f>
        <v>0</v>
      </c>
    </row>
    <row r="34" spans="1:50">
      <c r="C34" s="15"/>
    </row>
    <row r="35" spans="1:50">
      <c r="B35" s="2" t="s">
        <v>511</v>
      </c>
      <c r="C35" s="15" t="s">
        <v>517</v>
      </c>
      <c r="I35" s="212" t="str">
        <f ca="1">IF(OR(I29=0,I33=0),"n/a",I$31/I$33)</f>
        <v>n/a</v>
      </c>
      <c r="J35" s="212" t="str">
        <f t="shared" ref="J35:AW35" ca="1" si="1">IF(OR(J29=0,J33=0),"n/a",J$31/J$33)</f>
        <v>n/a</v>
      </c>
      <c r="K35" s="212" t="s">
        <v>611</v>
      </c>
      <c r="L35" s="212">
        <f t="shared" ca="1" si="1"/>
        <v>1.5618520582690452</v>
      </c>
      <c r="M35" s="212">
        <f t="shared" ca="1" si="1"/>
        <v>1.9507544625004101</v>
      </c>
      <c r="N35" s="212">
        <f t="shared" ca="1" si="1"/>
        <v>2.2709677718642443</v>
      </c>
      <c r="O35" s="212">
        <f t="shared" ca="1" si="1"/>
        <v>2.609522385835183</v>
      </c>
      <c r="P35" s="212">
        <f t="shared" ca="1" si="1"/>
        <v>2.9897640099855805</v>
      </c>
      <c r="Q35" s="212">
        <f t="shared" ca="1" si="1"/>
        <v>3.4379769268440379</v>
      </c>
      <c r="R35" s="212">
        <f t="shared" ca="1" si="1"/>
        <v>3.985497876685542</v>
      </c>
      <c r="S35" s="212" t="str">
        <f t="shared" ca="1" si="1"/>
        <v>n/a</v>
      </c>
      <c r="T35" s="212" t="str">
        <f t="shared" ca="1" si="1"/>
        <v>n/a</v>
      </c>
      <c r="U35" s="212" t="str">
        <f t="shared" ca="1" si="1"/>
        <v>n/a</v>
      </c>
      <c r="V35" s="212" t="str">
        <f t="shared" ca="1" si="1"/>
        <v>n/a</v>
      </c>
      <c r="W35" s="212" t="str">
        <f t="shared" ca="1" si="1"/>
        <v>n/a</v>
      </c>
      <c r="X35" s="212" t="str">
        <f t="shared" ca="1" si="1"/>
        <v>n/a</v>
      </c>
      <c r="Y35" s="212" t="str">
        <f t="shared" ca="1" si="1"/>
        <v>n/a</v>
      </c>
      <c r="Z35" s="212" t="str">
        <f t="shared" ca="1" si="1"/>
        <v>n/a</v>
      </c>
      <c r="AA35" s="212" t="str">
        <f t="shared" ca="1" si="1"/>
        <v>n/a</v>
      </c>
      <c r="AB35" s="212" t="str">
        <f t="shared" ca="1" si="1"/>
        <v>n/a</v>
      </c>
      <c r="AC35" s="212" t="str">
        <f t="shared" ca="1" si="1"/>
        <v>n/a</v>
      </c>
      <c r="AD35" s="212" t="str">
        <f t="shared" ca="1" si="1"/>
        <v>n/a</v>
      </c>
      <c r="AE35" s="212" t="str">
        <f t="shared" ca="1" si="1"/>
        <v>n/a</v>
      </c>
      <c r="AF35" s="212" t="str">
        <f t="shared" ca="1" si="1"/>
        <v>n/a</v>
      </c>
      <c r="AG35" s="212" t="str">
        <f t="shared" ca="1" si="1"/>
        <v>n/a</v>
      </c>
      <c r="AH35" s="212" t="str">
        <f t="shared" ca="1" si="1"/>
        <v>n/a</v>
      </c>
      <c r="AI35" s="212" t="str">
        <f t="shared" ca="1" si="1"/>
        <v>n/a</v>
      </c>
      <c r="AJ35" s="212" t="str">
        <f t="shared" si="1"/>
        <v>n/a</v>
      </c>
      <c r="AK35" s="212" t="str">
        <f t="shared" si="1"/>
        <v>n/a</v>
      </c>
      <c r="AL35" s="212" t="str">
        <f t="shared" si="1"/>
        <v>n/a</v>
      </c>
      <c r="AM35" s="212" t="str">
        <f t="shared" si="1"/>
        <v>n/a</v>
      </c>
      <c r="AN35" s="212" t="str">
        <f t="shared" si="1"/>
        <v>n/a</v>
      </c>
      <c r="AO35" s="212" t="str">
        <f t="shared" si="1"/>
        <v>n/a</v>
      </c>
      <c r="AP35" s="212" t="str">
        <f t="shared" si="1"/>
        <v>n/a</v>
      </c>
      <c r="AQ35" s="212" t="str">
        <f t="shared" si="1"/>
        <v>n/a</v>
      </c>
      <c r="AR35" s="212" t="str">
        <f t="shared" si="1"/>
        <v>n/a</v>
      </c>
      <c r="AS35" s="212" t="str">
        <f t="shared" si="1"/>
        <v>n/a</v>
      </c>
      <c r="AT35" s="212" t="str">
        <f t="shared" si="1"/>
        <v>n/a</v>
      </c>
      <c r="AU35" s="212" t="str">
        <f t="shared" si="1"/>
        <v>n/a</v>
      </c>
      <c r="AV35" s="212" t="str">
        <f t="shared" si="1"/>
        <v>n/a</v>
      </c>
      <c r="AW35" s="212" t="str">
        <f t="shared" si="1"/>
        <v>n/a</v>
      </c>
      <c r="AX35" s="1057"/>
    </row>
    <row r="36" spans="1:50">
      <c r="B36" s="2" t="s">
        <v>512</v>
      </c>
      <c r="C36" s="15" t="s">
        <v>517</v>
      </c>
      <c r="I36" s="212" t="str">
        <f t="shared" ref="I36:AW36" ca="1" si="2">IF(OR(I29=0,I33=0),"n/a",I$32/I$33)</f>
        <v>n/a</v>
      </c>
      <c r="J36" s="212" t="str">
        <f t="shared" ca="1" si="2"/>
        <v>n/a</v>
      </c>
      <c r="K36" s="212" t="s">
        <v>611</v>
      </c>
      <c r="L36" s="212">
        <f t="shared" ca="1" si="2"/>
        <v>1.5618520582690452</v>
      </c>
      <c r="M36" s="212">
        <f t="shared" ca="1" si="2"/>
        <v>1.9507544625004101</v>
      </c>
      <c r="N36" s="212">
        <f t="shared" ca="1" si="2"/>
        <v>2.0173687730445606</v>
      </c>
      <c r="O36" s="212">
        <f t="shared" ca="1" si="2"/>
        <v>2.3054767468761397</v>
      </c>
      <c r="P36" s="212">
        <f t="shared" ca="1" si="2"/>
        <v>2.6292853190162759</v>
      </c>
      <c r="Q36" s="212">
        <f ca="1">IF(OR(Q29=0,Q33=0),"n/a",Q$32/Q$33)</f>
        <v>3.0103801317550669</v>
      </c>
      <c r="R36" s="212">
        <f t="shared" ca="1" si="2"/>
        <v>2.8997914959970199</v>
      </c>
      <c r="S36" s="212" t="str">
        <f t="shared" ca="1" si="2"/>
        <v>n/a</v>
      </c>
      <c r="T36" s="212" t="str">
        <f t="shared" ca="1" si="2"/>
        <v>n/a</v>
      </c>
      <c r="U36" s="212" t="str">
        <f t="shared" ca="1" si="2"/>
        <v>n/a</v>
      </c>
      <c r="V36" s="212" t="str">
        <f t="shared" ca="1" si="2"/>
        <v>n/a</v>
      </c>
      <c r="W36" s="212" t="str">
        <f t="shared" ca="1" si="2"/>
        <v>n/a</v>
      </c>
      <c r="X36" s="212" t="str">
        <f t="shared" ca="1" si="2"/>
        <v>n/a</v>
      </c>
      <c r="Y36" s="212" t="str">
        <f t="shared" ca="1" si="2"/>
        <v>n/a</v>
      </c>
      <c r="Z36" s="212" t="str">
        <f t="shared" ca="1" si="2"/>
        <v>n/a</v>
      </c>
      <c r="AA36" s="212" t="str">
        <f t="shared" ca="1" si="2"/>
        <v>n/a</v>
      </c>
      <c r="AB36" s="212" t="str">
        <f t="shared" ca="1" si="2"/>
        <v>n/a</v>
      </c>
      <c r="AC36" s="212" t="str">
        <f t="shared" ca="1" si="2"/>
        <v>n/a</v>
      </c>
      <c r="AD36" s="212" t="str">
        <f t="shared" ca="1" si="2"/>
        <v>n/a</v>
      </c>
      <c r="AE36" s="212" t="str">
        <f t="shared" ca="1" si="2"/>
        <v>n/a</v>
      </c>
      <c r="AF36" s="212" t="str">
        <f t="shared" ca="1" si="2"/>
        <v>n/a</v>
      </c>
      <c r="AG36" s="212" t="str">
        <f t="shared" ca="1" si="2"/>
        <v>n/a</v>
      </c>
      <c r="AH36" s="212" t="str">
        <f t="shared" ca="1" si="2"/>
        <v>n/a</v>
      </c>
      <c r="AI36" s="212" t="str">
        <f t="shared" ca="1" si="2"/>
        <v>n/a</v>
      </c>
      <c r="AJ36" s="212" t="str">
        <f t="shared" si="2"/>
        <v>n/a</v>
      </c>
      <c r="AK36" s="212" t="str">
        <f t="shared" si="2"/>
        <v>n/a</v>
      </c>
      <c r="AL36" s="212" t="str">
        <f t="shared" si="2"/>
        <v>n/a</v>
      </c>
      <c r="AM36" s="212" t="str">
        <f t="shared" si="2"/>
        <v>n/a</v>
      </c>
      <c r="AN36" s="212" t="str">
        <f t="shared" si="2"/>
        <v>n/a</v>
      </c>
      <c r="AO36" s="212" t="str">
        <f t="shared" si="2"/>
        <v>n/a</v>
      </c>
      <c r="AP36" s="212" t="str">
        <f t="shared" si="2"/>
        <v>n/a</v>
      </c>
      <c r="AQ36" s="212" t="str">
        <f t="shared" si="2"/>
        <v>n/a</v>
      </c>
      <c r="AR36" s="212" t="str">
        <f t="shared" si="2"/>
        <v>n/a</v>
      </c>
      <c r="AS36" s="212" t="str">
        <f t="shared" si="2"/>
        <v>n/a</v>
      </c>
      <c r="AT36" s="212" t="str">
        <f t="shared" si="2"/>
        <v>n/a</v>
      </c>
      <c r="AU36" s="212" t="str">
        <f t="shared" si="2"/>
        <v>n/a</v>
      </c>
      <c r="AV36" s="212" t="str">
        <f t="shared" si="2"/>
        <v>n/a</v>
      </c>
      <c r="AW36" s="212" t="str">
        <f t="shared" si="2"/>
        <v>n/a</v>
      </c>
      <c r="AX36" s="1057"/>
    </row>
    <row r="37" spans="1:50">
      <c r="C37" s="15"/>
      <c r="D37" s="213" t="s">
        <v>518</v>
      </c>
      <c r="E37" s="213" t="s">
        <v>519</v>
      </c>
    </row>
    <row r="38" spans="1:50">
      <c r="B38" s="2" t="s">
        <v>513</v>
      </c>
      <c r="C38" s="15" t="s">
        <v>517</v>
      </c>
      <c r="D38" s="214">
        <f ca="1">AVERAGE(I35:AZ35)</f>
        <v>2.6866193559977205</v>
      </c>
      <c r="E38" s="214">
        <f ca="1">AVERAGE(I36:AZ36)</f>
        <v>2.3392727124940742</v>
      </c>
    </row>
    <row r="39" spans="1:50">
      <c r="B39" s="2" t="s">
        <v>514</v>
      </c>
      <c r="C39" s="15" t="s">
        <v>517</v>
      </c>
      <c r="D39" s="214">
        <f ca="1">MIN(I35:AW35)</f>
        <v>1.5618520582690452</v>
      </c>
      <c r="E39" s="214">
        <f ca="1">MIN(I36:AW36)</f>
        <v>1.5618520582690452</v>
      </c>
    </row>
    <row r="40" spans="1:50">
      <c r="B40" s="2" t="s">
        <v>515</v>
      </c>
      <c r="C40" s="15" t="s">
        <v>180</v>
      </c>
      <c r="D40" s="216">
        <f ca="1">MATCH(D39,I35:AI35,0)</f>
        <v>4</v>
      </c>
      <c r="E40" s="215">
        <f ca="1">MATCH(E39,I36:AI36,0)</f>
        <v>4</v>
      </c>
    </row>
    <row r="41" spans="1:50">
      <c r="B41" s="2" t="s">
        <v>516</v>
      </c>
      <c r="C41" s="15" t="s">
        <v>41</v>
      </c>
      <c r="D41" s="217">
        <f ca="1">INDEX('Fixed Assets'!I3:AI3,D40)</f>
        <v>47119</v>
      </c>
      <c r="E41" s="217">
        <f ca="1">INDEX('Fixed Assets'!I3:AI3,E40)</f>
        <v>47119</v>
      </c>
    </row>
    <row r="42" spans="1:50">
      <c r="B42" s="3"/>
      <c r="C42" s="15"/>
    </row>
    <row r="43" spans="1:50">
      <c r="A43" s="6" t="s">
        <v>520</v>
      </c>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053"/>
    </row>
    <row r="44" spans="1:50">
      <c r="A44" s="12"/>
    </row>
    <row r="45" spans="1:50">
      <c r="B45" s="2" t="s">
        <v>291</v>
      </c>
      <c r="C45" s="15" t="s">
        <v>18</v>
      </c>
      <c r="D45" s="17">
        <f>'Debt Schedule'!$D$37</f>
        <v>0.10059999999999999</v>
      </c>
    </row>
    <row r="46" spans="1:50">
      <c r="C46" s="15"/>
    </row>
    <row r="47" spans="1:50">
      <c r="B47" s="29" t="s">
        <v>521</v>
      </c>
      <c r="C47" s="15"/>
    </row>
    <row r="48" spans="1:50">
      <c r="B48" s="2" t="s">
        <v>522</v>
      </c>
      <c r="C48" s="144" t="str">
        <f>$C$31</f>
        <v>US$</v>
      </c>
      <c r="D48" s="41">
        <f ca="1">SUM(I48:AI48)</f>
        <v>10529286603.828157</v>
      </c>
      <c r="I48" s="41">
        <f ca="1">I31*I29</f>
        <v>0</v>
      </c>
      <c r="J48" s="41">
        <f t="shared" ref="J48:AW48" ca="1" si="3">J31*J29</f>
        <v>0</v>
      </c>
      <c r="K48" s="41">
        <f t="shared" ca="1" si="3"/>
        <v>0</v>
      </c>
      <c r="L48" s="41">
        <f t="shared" ca="1" si="3"/>
        <v>1113384145.8202512</v>
      </c>
      <c r="M48" s="41">
        <f t="shared" ca="1" si="3"/>
        <v>1307343777.7768016</v>
      </c>
      <c r="N48" s="41">
        <f t="shared" ca="1" si="3"/>
        <v>1423674676.4626899</v>
      </c>
      <c r="O48" s="41">
        <f t="shared" ca="1" si="3"/>
        <v>1527262449.5167961</v>
      </c>
      <c r="P48" s="41">
        <f t="shared" ca="1" si="3"/>
        <v>1620778759.7527404</v>
      </c>
      <c r="Q48" s="41">
        <f t="shared" ca="1" si="3"/>
        <v>1716998599.5535426</v>
      </c>
      <c r="R48" s="41">
        <f t="shared" ca="1" si="3"/>
        <v>1819844194.9453361</v>
      </c>
      <c r="S48" s="41">
        <f t="shared" ca="1" si="3"/>
        <v>0</v>
      </c>
      <c r="T48" s="41">
        <f t="shared" ca="1" si="3"/>
        <v>0</v>
      </c>
      <c r="U48" s="41">
        <f t="shared" ca="1" si="3"/>
        <v>0</v>
      </c>
      <c r="V48" s="41">
        <f t="shared" ca="1" si="3"/>
        <v>0</v>
      </c>
      <c r="W48" s="41">
        <f t="shared" ca="1" si="3"/>
        <v>0</v>
      </c>
      <c r="X48" s="41">
        <f t="shared" ca="1" si="3"/>
        <v>0</v>
      </c>
      <c r="Y48" s="41">
        <f t="shared" ca="1" si="3"/>
        <v>0</v>
      </c>
      <c r="Z48" s="41">
        <f t="shared" ca="1" si="3"/>
        <v>0</v>
      </c>
      <c r="AA48" s="41">
        <f t="shared" ca="1" si="3"/>
        <v>0</v>
      </c>
      <c r="AB48" s="41">
        <f t="shared" ca="1" si="3"/>
        <v>0</v>
      </c>
      <c r="AC48" s="41">
        <f t="shared" ca="1" si="3"/>
        <v>0</v>
      </c>
      <c r="AD48" s="41">
        <f t="shared" ca="1" si="3"/>
        <v>0</v>
      </c>
      <c r="AE48" s="41">
        <f t="shared" ca="1" si="3"/>
        <v>0</v>
      </c>
      <c r="AF48" s="41">
        <f t="shared" ca="1" si="3"/>
        <v>0</v>
      </c>
      <c r="AG48" s="41">
        <f t="shared" ca="1" si="3"/>
        <v>0</v>
      </c>
      <c r="AH48" s="41">
        <f t="shared" ca="1" si="3"/>
        <v>0</v>
      </c>
      <c r="AI48" s="41">
        <f t="shared" ca="1" si="3"/>
        <v>0</v>
      </c>
      <c r="AJ48" s="41">
        <f t="shared" ca="1" si="3"/>
        <v>0</v>
      </c>
      <c r="AK48" s="41">
        <f t="shared" ca="1" si="3"/>
        <v>0</v>
      </c>
      <c r="AL48" s="41">
        <f t="shared" ca="1" si="3"/>
        <v>0</v>
      </c>
      <c r="AM48" s="41">
        <f t="shared" si="3"/>
        <v>0</v>
      </c>
      <c r="AN48" s="41">
        <f t="shared" si="3"/>
        <v>0</v>
      </c>
      <c r="AO48" s="41">
        <f t="shared" si="3"/>
        <v>0</v>
      </c>
      <c r="AP48" s="41">
        <f t="shared" si="3"/>
        <v>0</v>
      </c>
      <c r="AQ48" s="41">
        <f t="shared" si="3"/>
        <v>0</v>
      </c>
      <c r="AR48" s="41">
        <f t="shared" si="3"/>
        <v>0</v>
      </c>
      <c r="AS48" s="41">
        <f t="shared" si="3"/>
        <v>0</v>
      </c>
      <c r="AT48" s="41">
        <f t="shared" si="3"/>
        <v>0</v>
      </c>
      <c r="AU48" s="41">
        <f t="shared" si="3"/>
        <v>0</v>
      </c>
      <c r="AV48" s="41">
        <f t="shared" si="3"/>
        <v>0</v>
      </c>
      <c r="AW48" s="41">
        <f t="shared" si="3"/>
        <v>0</v>
      </c>
      <c r="AX48" s="1054"/>
    </row>
    <row r="49" spans="1:51">
      <c r="B49" s="2" t="s">
        <v>523</v>
      </c>
      <c r="C49" s="144" t="str">
        <f>$C$31</f>
        <v>US$</v>
      </c>
      <c r="I49" s="41">
        <f ca="1">NPV($D$45,J48:$AG$48)</f>
        <v>5861055306.8510189</v>
      </c>
      <c r="J49" s="41">
        <f ca="1">NPV($D$45,K48:$AG$48)</f>
        <v>6450677470.720232</v>
      </c>
      <c r="K49" s="41">
        <f ca="1">NPV($D$45,L48:$AG$48)</f>
        <v>7099615624.2746878</v>
      </c>
      <c r="L49" s="41">
        <f ca="1">NPV($D$45,M48:$AG$48)</f>
        <v>6700452810.2564697</v>
      </c>
      <c r="M49" s="41">
        <f ca="1">NPV($D$45,N48:$AG$48)</f>
        <v>6067174585.1914692</v>
      </c>
      <c r="N49" s="41">
        <f ca="1">NPV($D$45,O48:$AG$48)</f>
        <v>5253857671.9990416</v>
      </c>
      <c r="O49" s="41">
        <f ca="1">NPV($D$45,P48:$AG$48)</f>
        <v>4255133304.2853498</v>
      </c>
      <c r="P49" s="41">
        <f ca="1">NPV($D$45,Q48:$AG$48)</f>
        <v>3062420954.9437151</v>
      </c>
      <c r="Q49" s="41">
        <f ca="1">NPV($D$45,R48:$AG$48)</f>
        <v>1653501903.4575105</v>
      </c>
      <c r="R49" s="41">
        <f ca="1">NPV($D$45,S48:$AG$48)</f>
        <v>0</v>
      </c>
      <c r="S49" s="41">
        <f ca="1">NPV($D$45,T48:$AG$48)</f>
        <v>0</v>
      </c>
      <c r="T49" s="41">
        <f ca="1">NPV($D$45,U48:$AG$48)</f>
        <v>0</v>
      </c>
      <c r="U49" s="41">
        <f ca="1">NPV($D$45,V48:$AG$48)</f>
        <v>0</v>
      </c>
      <c r="V49" s="41">
        <f ca="1">NPV($D$45,W48:$AG$48)</f>
        <v>0</v>
      </c>
      <c r="W49" s="41">
        <f ca="1">NPV($D$45,X48:$AG$48)</f>
        <v>0</v>
      </c>
      <c r="X49" s="41">
        <f ca="1">NPV($D$45,Y48:$AG$48)</f>
        <v>0</v>
      </c>
      <c r="Y49" s="41">
        <f ca="1">NPV($D$45,Z48:$AG$48)</f>
        <v>0</v>
      </c>
      <c r="Z49" s="41">
        <f ca="1">NPV($D$45,AA48:$AG$48)</f>
        <v>0</v>
      </c>
      <c r="AA49" s="41">
        <f ca="1">NPV($D$45,AB48:$AG$48)</f>
        <v>0</v>
      </c>
      <c r="AB49" s="41">
        <f ca="1">NPV($D$45,AC48:$AG$48)</f>
        <v>0</v>
      </c>
      <c r="AC49" s="41">
        <f ca="1">NPV($D$45,AD48:$AG$48)</f>
        <v>0</v>
      </c>
      <c r="AD49" s="41">
        <f ca="1">NPV($D$45,AE48:$AG$48)</f>
        <v>0</v>
      </c>
      <c r="AE49" s="41">
        <f ca="1">NPV($D$45,AF48:$AG$48)</f>
        <v>0</v>
      </c>
      <c r="AF49" s="41">
        <f ca="1">NPV($D$45,AG48:$AG$48)</f>
        <v>0</v>
      </c>
      <c r="AG49" s="41">
        <f ca="1">NPV($D$45,$AG48:AH$48)</f>
        <v>0</v>
      </c>
      <c r="AH49" s="41">
        <f ca="1">NPV($D$45,$AG48:AI$48)</f>
        <v>0</v>
      </c>
      <c r="AI49" s="41">
        <f ca="1">NPV($D$45,$AG48:AJ$48)</f>
        <v>0</v>
      </c>
      <c r="AJ49" s="41">
        <f ca="1">NPV($D$45,$AG48:AK$48)</f>
        <v>0</v>
      </c>
      <c r="AK49" s="41">
        <f ca="1">NPV($D$45,$AG48:AL$48)</f>
        <v>0</v>
      </c>
      <c r="AL49" s="41">
        <f ca="1">NPV($D$45,$AG48:AM$48)</f>
        <v>0</v>
      </c>
      <c r="AM49" s="41">
        <f ca="1">NPV($D$45,$AG48:AN$48)</f>
        <v>0</v>
      </c>
      <c r="AN49" s="41">
        <f ca="1">NPV($D$45,$AG48:AO$48)</f>
        <v>0</v>
      </c>
      <c r="AO49" s="41">
        <f ca="1">NPV($D$45,$AG48:AP$48)</f>
        <v>0</v>
      </c>
      <c r="AP49" s="41">
        <f ca="1">NPV($D$45,$AG48:AQ$48)</f>
        <v>0</v>
      </c>
      <c r="AQ49" s="41">
        <f ca="1">NPV($D$45,$AG48:AR$48)</f>
        <v>0</v>
      </c>
      <c r="AR49" s="41">
        <f ca="1">NPV($D$45,$AG48:AS$48)</f>
        <v>0</v>
      </c>
      <c r="AS49" s="41">
        <f ca="1">NPV($D$45,$AG48:AT$48)</f>
        <v>0</v>
      </c>
      <c r="AT49" s="41">
        <f ca="1">NPV($D$45,$AG48:AU$48)</f>
        <v>0</v>
      </c>
      <c r="AU49" s="41">
        <f ca="1">NPV($D$45,$AG48:AV$48)</f>
        <v>0</v>
      </c>
      <c r="AV49" s="41">
        <f ca="1">NPV($D$45,$AG48:AW$48)</f>
        <v>0</v>
      </c>
      <c r="AW49" s="41">
        <f ca="1">NPV($D$45,$AG48:AX$48)</f>
        <v>0</v>
      </c>
      <c r="AX49" s="1054"/>
    </row>
    <row r="50" spans="1:51">
      <c r="B50" s="27" t="s">
        <v>524</v>
      </c>
      <c r="C50" s="218" t="str">
        <f>$C$31</f>
        <v>US$</v>
      </c>
      <c r="D50" s="27"/>
      <c r="E50" s="27"/>
      <c r="F50" s="27"/>
      <c r="G50" s="27"/>
      <c r="H50" s="27"/>
      <c r="I50" s="43">
        <v>0</v>
      </c>
      <c r="J50" s="43">
        <v>0</v>
      </c>
      <c r="K50" s="43">
        <v>12779003.274823492</v>
      </c>
      <c r="L50" s="43">
        <v>20256552.934639044</v>
      </c>
      <c r="M50" s="43">
        <v>27963238.095697537</v>
      </c>
      <c r="N50" s="43">
        <v>14767265.638970602</v>
      </c>
      <c r="O50" s="43">
        <v>20860681.717309866</v>
      </c>
      <c r="P50" s="43">
        <v>27711046.441395976</v>
      </c>
      <c r="Q50" s="43">
        <v>14745562.79453519</v>
      </c>
      <c r="R50" s="43">
        <v>19660750.392713588</v>
      </c>
      <c r="S50" s="43">
        <v>0</v>
      </c>
      <c r="T50" s="43">
        <v>6274840.6205728352</v>
      </c>
      <c r="U50" s="43">
        <v>12549681.24114567</v>
      </c>
      <c r="V50" s="43">
        <v>18824521.861718506</v>
      </c>
      <c r="W50" s="43">
        <v>25099362.482291341</v>
      </c>
      <c r="X50" s="43">
        <v>0</v>
      </c>
      <c r="Y50" s="43">
        <v>0</v>
      </c>
      <c r="Z50" s="43">
        <v>0</v>
      </c>
      <c r="AA50" s="43">
        <v>0</v>
      </c>
      <c r="AB50" s="43">
        <v>0</v>
      </c>
      <c r="AC50" s="43">
        <v>0</v>
      </c>
      <c r="AD50" s="43">
        <v>0</v>
      </c>
      <c r="AE50" s="43">
        <v>0</v>
      </c>
      <c r="AF50" s="43">
        <v>0</v>
      </c>
      <c r="AG50" s="43">
        <v>0</v>
      </c>
      <c r="AH50" s="43">
        <v>0</v>
      </c>
      <c r="AI50" s="43">
        <v>0</v>
      </c>
      <c r="AJ50" s="43">
        <v>0</v>
      </c>
      <c r="AK50" s="43">
        <v>0</v>
      </c>
      <c r="AL50" s="43">
        <v>0</v>
      </c>
      <c r="AM50" s="43">
        <v>0</v>
      </c>
      <c r="AN50" s="43">
        <v>0</v>
      </c>
      <c r="AO50" s="43">
        <v>0</v>
      </c>
      <c r="AP50" s="43">
        <v>0</v>
      </c>
      <c r="AQ50" s="43">
        <v>0</v>
      </c>
      <c r="AR50" s="43">
        <v>0</v>
      </c>
      <c r="AS50" s="43">
        <v>0</v>
      </c>
      <c r="AT50" s="43">
        <v>0</v>
      </c>
      <c r="AU50" s="43">
        <v>0</v>
      </c>
      <c r="AV50" s="43">
        <v>0</v>
      </c>
      <c r="AW50" s="43">
        <v>0</v>
      </c>
      <c r="AX50" s="1058"/>
    </row>
    <row r="51" spans="1:51">
      <c r="B51" s="2" t="s">
        <v>525</v>
      </c>
      <c r="C51" s="144" t="str">
        <f>$C$31</f>
        <v>US$</v>
      </c>
      <c r="I51" s="42">
        <f ca="1">SUM(I48:I50)</f>
        <v>5861055306.8510189</v>
      </c>
      <c r="J51" s="42">
        <f t="shared" ref="J51:AI51" ca="1" si="4">SUM(J48:J50)</f>
        <v>6450677470.720232</v>
      </c>
      <c r="K51" s="42">
        <f t="shared" ca="1" si="4"/>
        <v>7112394627.549511</v>
      </c>
      <c r="L51" s="42">
        <f t="shared" ca="1" si="4"/>
        <v>7834093509.0113602</v>
      </c>
      <c r="M51" s="42">
        <f t="shared" ca="1" si="4"/>
        <v>7402481601.0639687</v>
      </c>
      <c r="N51" s="42">
        <f t="shared" ca="1" si="4"/>
        <v>6692299614.1007013</v>
      </c>
      <c r="O51" s="42">
        <f t="shared" ca="1" si="4"/>
        <v>5803256435.5194559</v>
      </c>
      <c r="P51" s="42">
        <f t="shared" ca="1" si="4"/>
        <v>4710910761.1378508</v>
      </c>
      <c r="Q51" s="42">
        <f t="shared" ca="1" si="4"/>
        <v>3385246065.8055882</v>
      </c>
      <c r="R51" s="42">
        <f t="shared" ca="1" si="4"/>
        <v>1839504945.3380497</v>
      </c>
      <c r="S51" s="42">
        <f t="shared" ca="1" si="4"/>
        <v>0</v>
      </c>
      <c r="T51" s="42">
        <f t="shared" ca="1" si="4"/>
        <v>6274840.6205728352</v>
      </c>
      <c r="U51" s="42">
        <f t="shared" ca="1" si="4"/>
        <v>12549681.24114567</v>
      </c>
      <c r="V51" s="42">
        <f t="shared" ca="1" si="4"/>
        <v>18824521.861718506</v>
      </c>
      <c r="W51" s="42">
        <f t="shared" ca="1" si="4"/>
        <v>25099362.482291341</v>
      </c>
      <c r="X51" s="42">
        <f t="shared" ca="1" si="4"/>
        <v>0</v>
      </c>
      <c r="Y51" s="42">
        <f t="shared" ca="1" si="4"/>
        <v>0</v>
      </c>
      <c r="Z51" s="42">
        <f t="shared" ca="1" si="4"/>
        <v>0</v>
      </c>
      <c r="AA51" s="42">
        <f t="shared" ca="1" si="4"/>
        <v>0</v>
      </c>
      <c r="AB51" s="42">
        <f t="shared" ca="1" si="4"/>
        <v>0</v>
      </c>
      <c r="AC51" s="42">
        <f t="shared" ca="1" si="4"/>
        <v>0</v>
      </c>
      <c r="AD51" s="42">
        <f t="shared" ca="1" si="4"/>
        <v>0</v>
      </c>
      <c r="AE51" s="42">
        <f t="shared" ca="1" si="4"/>
        <v>0</v>
      </c>
      <c r="AF51" s="42">
        <f t="shared" ca="1" si="4"/>
        <v>0</v>
      </c>
      <c r="AG51" s="42">
        <f t="shared" ca="1" si="4"/>
        <v>0</v>
      </c>
      <c r="AH51" s="42">
        <f t="shared" ca="1" si="4"/>
        <v>0</v>
      </c>
      <c r="AI51" s="42">
        <f t="shared" ca="1" si="4"/>
        <v>0</v>
      </c>
    </row>
    <row r="52" spans="1:51">
      <c r="C52" s="15"/>
    </row>
    <row r="53" spans="1:51">
      <c r="B53" s="29" t="s">
        <v>526</v>
      </c>
      <c r="C53" s="15"/>
    </row>
    <row r="54" spans="1:51">
      <c r="B54" s="2" t="s">
        <v>522</v>
      </c>
      <c r="C54" s="144" t="str">
        <f>$C$31</f>
        <v>US$</v>
      </c>
      <c r="D54" s="41">
        <f ca="1">SUM(I54:AI54)</f>
        <v>9287636303.9849777</v>
      </c>
      <c r="I54" s="41">
        <f ca="1">I32*I29</f>
        <v>0</v>
      </c>
      <c r="J54" s="41">
        <f t="shared" ref="J54:AW54" ca="1" si="5">J32*J29</f>
        <v>0</v>
      </c>
      <c r="K54" s="41">
        <f t="shared" ca="1" si="5"/>
        <v>0</v>
      </c>
      <c r="L54" s="41">
        <f t="shared" ca="1" si="5"/>
        <v>1113384145.8202512</v>
      </c>
      <c r="M54" s="41">
        <f t="shared" ca="1" si="5"/>
        <v>1307343777.7768016</v>
      </c>
      <c r="N54" s="41">
        <f t="shared" ca="1" si="5"/>
        <v>1264692907.9545906</v>
      </c>
      <c r="O54" s="41">
        <f t="shared" ca="1" si="5"/>
        <v>1349315140.1386206</v>
      </c>
      <c r="P54" s="41">
        <f t="shared" ca="1" si="5"/>
        <v>1425359922.7759254</v>
      </c>
      <c r="Q54" s="41">
        <f t="shared" ca="1" si="5"/>
        <v>1503447690.4102097</v>
      </c>
      <c r="R54" s="41">
        <f t="shared" ca="1" si="5"/>
        <v>1324092719.1085794</v>
      </c>
      <c r="S54" s="41">
        <f t="shared" ca="1" si="5"/>
        <v>0</v>
      </c>
      <c r="T54" s="41">
        <f t="shared" ca="1" si="5"/>
        <v>0</v>
      </c>
      <c r="U54" s="41">
        <f t="shared" ca="1" si="5"/>
        <v>0</v>
      </c>
      <c r="V54" s="41">
        <f t="shared" ca="1" si="5"/>
        <v>0</v>
      </c>
      <c r="W54" s="41">
        <f t="shared" ca="1" si="5"/>
        <v>0</v>
      </c>
      <c r="X54" s="41">
        <f t="shared" ca="1" si="5"/>
        <v>0</v>
      </c>
      <c r="Y54" s="41">
        <f t="shared" ca="1" si="5"/>
        <v>0</v>
      </c>
      <c r="Z54" s="41">
        <f t="shared" ca="1" si="5"/>
        <v>0</v>
      </c>
      <c r="AA54" s="41">
        <f t="shared" ca="1" si="5"/>
        <v>0</v>
      </c>
      <c r="AB54" s="41">
        <f t="shared" ca="1" si="5"/>
        <v>0</v>
      </c>
      <c r="AC54" s="41">
        <f t="shared" ca="1" si="5"/>
        <v>0</v>
      </c>
      <c r="AD54" s="41">
        <f t="shared" ca="1" si="5"/>
        <v>0</v>
      </c>
      <c r="AE54" s="41">
        <f t="shared" ca="1" si="5"/>
        <v>0</v>
      </c>
      <c r="AF54" s="41">
        <f t="shared" ca="1" si="5"/>
        <v>0</v>
      </c>
      <c r="AG54" s="41">
        <f t="shared" ca="1" si="5"/>
        <v>0</v>
      </c>
      <c r="AH54" s="41">
        <f t="shared" ca="1" si="5"/>
        <v>0</v>
      </c>
      <c r="AI54" s="41">
        <f t="shared" ca="1" si="5"/>
        <v>0</v>
      </c>
      <c r="AJ54" s="41">
        <f t="shared" ca="1" si="5"/>
        <v>0</v>
      </c>
      <c r="AK54" s="41">
        <f t="shared" ca="1" si="5"/>
        <v>0</v>
      </c>
      <c r="AL54" s="41">
        <f t="shared" ca="1" si="5"/>
        <v>0</v>
      </c>
      <c r="AM54" s="41">
        <f t="shared" si="5"/>
        <v>0</v>
      </c>
      <c r="AN54" s="41">
        <f t="shared" si="5"/>
        <v>0</v>
      </c>
      <c r="AO54" s="41">
        <f t="shared" si="5"/>
        <v>0</v>
      </c>
      <c r="AP54" s="41">
        <f t="shared" si="5"/>
        <v>0</v>
      </c>
      <c r="AQ54" s="41">
        <f t="shared" si="5"/>
        <v>0</v>
      </c>
      <c r="AR54" s="41">
        <f t="shared" si="5"/>
        <v>0</v>
      </c>
      <c r="AS54" s="41">
        <f t="shared" si="5"/>
        <v>0</v>
      </c>
      <c r="AT54" s="41">
        <f t="shared" si="5"/>
        <v>0</v>
      </c>
      <c r="AU54" s="41">
        <f t="shared" si="5"/>
        <v>0</v>
      </c>
      <c r="AV54" s="41">
        <f t="shared" si="5"/>
        <v>0</v>
      </c>
      <c r="AW54" s="41">
        <f t="shared" si="5"/>
        <v>0</v>
      </c>
      <c r="AX54" s="1054"/>
    </row>
    <row r="55" spans="1:51">
      <c r="B55" s="2" t="s">
        <v>523</v>
      </c>
      <c r="C55" s="144" t="str">
        <f>$C$31</f>
        <v>US$</v>
      </c>
      <c r="I55" s="41">
        <f ca="1">NPV($D$45,J54:$AG$54)</f>
        <v>5254184575.0369549</v>
      </c>
      <c r="J55" s="41">
        <f ca="1">NPV($D$45,K54:$AG$54)</f>
        <v>5782755543.2856722</v>
      </c>
      <c r="K55" s="41">
        <f ca="1">NPV($D$45,L54:$AG$54)</f>
        <v>6364500750.9402113</v>
      </c>
      <c r="L55" s="41">
        <f ca="1">NPV($D$45,M54:$AG$54)</f>
        <v>5891385380.6645451</v>
      </c>
      <c r="M55" s="41">
        <f ca="1">NPV($D$45,N54:$AG$54)</f>
        <v>5176714972.1825962</v>
      </c>
      <c r="N55" s="41">
        <f ca="1">NPV($D$45,O54:$AG$54)</f>
        <v>4432799590.429575</v>
      </c>
      <c r="O55" s="41">
        <f ca="1">NPV($D$45,P54:$AG$54)</f>
        <v>3529424089.0881705</v>
      </c>
      <c r="P55" s="41">
        <f ca="1">NPV($D$45,Q54:$AG$54)</f>
        <v>2459124229.6745152</v>
      </c>
      <c r="Q55" s="41">
        <f ca="1">NPV($D$45,R54:$AG$54)</f>
        <v>1203064436.7695615</v>
      </c>
      <c r="R55" s="41">
        <f ca="1">NPV($D$45,S54:$AG$54)</f>
        <v>0</v>
      </c>
      <c r="S55" s="41">
        <f ca="1">NPV($D$45,T54:$AG$54)</f>
        <v>0</v>
      </c>
      <c r="T55" s="41">
        <f ca="1">NPV($D$45,U54:$AG$54)</f>
        <v>0</v>
      </c>
      <c r="U55" s="41">
        <f ca="1">NPV($D$45,V54:$AG$54)</f>
        <v>0</v>
      </c>
      <c r="V55" s="41">
        <f ca="1">NPV($D$45,W54:$AG$54)</f>
        <v>0</v>
      </c>
      <c r="W55" s="41">
        <f ca="1">NPV($D$45,X54:$AG$54)</f>
        <v>0</v>
      </c>
      <c r="X55" s="41">
        <f ca="1">NPV($D$45,Y54:$AG$54)</f>
        <v>0</v>
      </c>
      <c r="Y55" s="41">
        <f ca="1">NPV($D$45,Z54:$AG$54)</f>
        <v>0</v>
      </c>
      <c r="Z55" s="41">
        <f ca="1">NPV($D$45,AA54:$AG$54)</f>
        <v>0</v>
      </c>
      <c r="AA55" s="41">
        <f ca="1">NPV($D$45,AB54:$AG$54)</f>
        <v>0</v>
      </c>
      <c r="AB55" s="41">
        <f ca="1">NPV($D$45,AC54:$AG$54)</f>
        <v>0</v>
      </c>
      <c r="AC55" s="41">
        <f ca="1">NPV($D$45,AD54:$AG$54)</f>
        <v>0</v>
      </c>
      <c r="AD55" s="41">
        <f ca="1">NPV($D$45,AE54:$AG$54)</f>
        <v>0</v>
      </c>
      <c r="AE55" s="41">
        <f ca="1">NPV($D$45,AF54:$AG$54)</f>
        <v>0</v>
      </c>
      <c r="AF55" s="41">
        <f ca="1">NPV($D$45,AG54:$AG$54)</f>
        <v>0</v>
      </c>
      <c r="AG55" s="41">
        <f ca="1">NPV($D$45,$AG54:AH$54)</f>
        <v>0</v>
      </c>
      <c r="AH55" s="41">
        <f ca="1">NPV($D$45,$AG54:AI$54)</f>
        <v>0</v>
      </c>
      <c r="AI55" s="41">
        <f ca="1">NPV($D$45,$AG54:AJ$54)</f>
        <v>0</v>
      </c>
      <c r="AJ55" s="41">
        <f ca="1">NPV($D$45,$AG54:AK$54)</f>
        <v>0</v>
      </c>
      <c r="AK55" s="41">
        <f ca="1">NPV($D$45,$AG54:AL$54)</f>
        <v>0</v>
      </c>
      <c r="AL55" s="41">
        <f ca="1">NPV($D$45,$AG54:AM$54)</f>
        <v>0</v>
      </c>
      <c r="AM55" s="41">
        <f ca="1">NPV($D$45,$AG54:AN$54)</f>
        <v>0</v>
      </c>
      <c r="AN55" s="41">
        <f ca="1">NPV($D$45,$AG54:AO$54)</f>
        <v>0</v>
      </c>
      <c r="AO55" s="41">
        <f ca="1">NPV($D$45,$AG54:AP$54)</f>
        <v>0</v>
      </c>
      <c r="AP55" s="41">
        <f ca="1">NPV($D$45,$AG54:AQ$54)</f>
        <v>0</v>
      </c>
      <c r="AQ55" s="41">
        <f ca="1">NPV($D$45,$AG54:AR$54)</f>
        <v>0</v>
      </c>
      <c r="AR55" s="41">
        <f ca="1">NPV($D$45,$AG54:AS$54)</f>
        <v>0</v>
      </c>
      <c r="AS55" s="41">
        <f ca="1">NPV($D$45,$AG54:AT$54)</f>
        <v>0</v>
      </c>
      <c r="AT55" s="41">
        <f ca="1">NPV($D$45,$AG54:AU$54)</f>
        <v>0</v>
      </c>
      <c r="AU55" s="41">
        <f ca="1">NPV($D$45,$AG54:AV$54)</f>
        <v>0</v>
      </c>
      <c r="AV55" s="41">
        <f ca="1">NPV($D$45,$AG54:AW$54)</f>
        <v>0</v>
      </c>
      <c r="AW55" s="41">
        <f ca="1">NPV($D$45,$AG54:AX$54)</f>
        <v>0</v>
      </c>
      <c r="AX55" s="1054"/>
    </row>
    <row r="56" spans="1:51">
      <c r="A56" s="12"/>
      <c r="B56" s="27" t="s">
        <v>524</v>
      </c>
      <c r="C56" s="218" t="str">
        <f>$C$31</f>
        <v>US$</v>
      </c>
      <c r="D56" s="27"/>
      <c r="E56" s="27"/>
      <c r="F56" s="27"/>
      <c r="G56" s="27"/>
      <c r="H56" s="27"/>
      <c r="I56" s="108">
        <f ca="1">SUM(BS!I15:I17)*I29</f>
        <v>0</v>
      </c>
      <c r="J56" s="108">
        <f ca="1">SUM(BS!J15:J17)*J29</f>
        <v>0</v>
      </c>
      <c r="K56" s="108">
        <f ca="1">SUM(BS!K15:K17)*K29</f>
        <v>0</v>
      </c>
      <c r="L56" s="108">
        <f ca="1">SUM(BS!L15:L17)*L29</f>
        <v>878476565.64138186</v>
      </c>
      <c r="M56" s="108">
        <f ca="1">SUM(BS!M15:M17)*M29</f>
        <v>1288299890.1069081</v>
      </c>
      <c r="N56" s="108">
        <f ca="1">SUM(BS!N15:N17)*N29</f>
        <v>1637966395.679565</v>
      </c>
      <c r="O56" s="108">
        <f ca="1">SUM(BS!O15:O17)*O29</f>
        <v>2040726817.8025031</v>
      </c>
      <c r="P56" s="108">
        <f ca="1">SUM(BS!P15:P17)*P29</f>
        <v>2485380857.1483808</v>
      </c>
      <c r="Q56" s="108">
        <f ca="1">SUM(BS!Q15:Q17)*Q29</f>
        <v>2965996236.233273</v>
      </c>
      <c r="R56" s="108">
        <f ca="1">SUM(BS!R15:R17)*R29</f>
        <v>3260022660.1744308</v>
      </c>
      <c r="S56" s="108">
        <f ca="1">SUM(BS!S15:S17)*S29</f>
        <v>0</v>
      </c>
      <c r="T56" s="108">
        <f ca="1">SUM(BS!T15:T17)*T29</f>
        <v>0</v>
      </c>
      <c r="U56" s="108">
        <f ca="1">SUM(BS!U15:U17)*U29</f>
        <v>0</v>
      </c>
      <c r="V56" s="108">
        <f ca="1">SUM(BS!V15:V17)*V29</f>
        <v>0</v>
      </c>
      <c r="W56" s="108">
        <f ca="1">SUM(BS!W15:W17)*W29</f>
        <v>0</v>
      </c>
      <c r="X56" s="108">
        <f ca="1">SUM(BS!X15:X17)*X29</f>
        <v>0</v>
      </c>
      <c r="Y56" s="108">
        <f ca="1">SUM(BS!Y15:Y17)*Y29</f>
        <v>0</v>
      </c>
      <c r="Z56" s="108">
        <f ca="1">SUM(BS!Z15:Z17)*Z29</f>
        <v>0</v>
      </c>
      <c r="AA56" s="108">
        <f ca="1">SUM(BS!AA15:AA17)*AA29</f>
        <v>0</v>
      </c>
      <c r="AB56" s="108">
        <f ca="1">SUM(BS!AB15:AB17)*AB29</f>
        <v>0</v>
      </c>
      <c r="AC56" s="108">
        <f ca="1">SUM(BS!AC15:AC17)*AC29</f>
        <v>0</v>
      </c>
      <c r="AD56" s="108">
        <f ca="1">SUM(BS!AD15:AD17)*AD29</f>
        <v>0</v>
      </c>
      <c r="AE56" s="108">
        <f ca="1">SUM(BS!AE15:AE17)*AE29</f>
        <v>0</v>
      </c>
      <c r="AF56" s="108">
        <f ca="1">SUM(BS!AF15:AF17)*AF29</f>
        <v>0</v>
      </c>
      <c r="AG56" s="108">
        <f ca="1">SUM(BS!AG15:AG17)*AG29</f>
        <v>0</v>
      </c>
      <c r="AH56" s="108">
        <f ca="1">SUM(BS!AH15:AH17)*AH29</f>
        <v>0</v>
      </c>
      <c r="AI56" s="108">
        <f ca="1">SUM(BS!AI15:AI17)*AI29</f>
        <v>0</v>
      </c>
      <c r="AJ56" s="108">
        <f ca="1">SUM(BS!AJ15:AJ17)*AJ29</f>
        <v>0</v>
      </c>
      <c r="AK56" s="108">
        <f ca="1">SUM(BS!AK15:AK17)*AK29</f>
        <v>0</v>
      </c>
      <c r="AL56" s="108">
        <f ca="1">SUM(BS!AL15:AL17)*AL29</f>
        <v>0</v>
      </c>
      <c r="AM56" s="108">
        <f>SUM(BS!AM15:AM17)*AM29</f>
        <v>0</v>
      </c>
      <c r="AN56" s="108">
        <f>SUM(BS!AN15:AN17)*AN29</f>
        <v>0</v>
      </c>
      <c r="AO56" s="108">
        <f>SUM(BS!AO15:AO17)*AO29</f>
        <v>0</v>
      </c>
      <c r="AP56" s="108">
        <f>SUM(BS!AP15:AP17)*AP29</f>
        <v>0</v>
      </c>
      <c r="AQ56" s="108">
        <f>SUM(BS!AQ15:AQ17)*AQ29</f>
        <v>0</v>
      </c>
      <c r="AR56" s="108">
        <f>SUM(BS!AR15:AR17)*AR29</f>
        <v>0</v>
      </c>
      <c r="AS56" s="108">
        <f>SUM(BS!AS15:AS17)*AS29</f>
        <v>0</v>
      </c>
      <c r="AT56" s="108">
        <f>SUM(BS!AT15:AT17)*AT29</f>
        <v>0</v>
      </c>
      <c r="AU56" s="108">
        <f>SUM(BS!AU15:AU17)*AU29</f>
        <v>0</v>
      </c>
      <c r="AV56" s="108">
        <f>SUM(BS!AV15:AV17)*AV29</f>
        <v>0</v>
      </c>
      <c r="AW56" s="108">
        <f>SUM(BS!AW15:AW17)*AW29</f>
        <v>0</v>
      </c>
      <c r="AX56" s="1059"/>
    </row>
    <row r="57" spans="1:51">
      <c r="B57" s="2" t="s">
        <v>525</v>
      </c>
      <c r="C57" s="144" t="str">
        <f>$C$31</f>
        <v>US$</v>
      </c>
      <c r="I57" s="42">
        <f ca="1">SUM(I54:I56)</f>
        <v>5254184575.0369549</v>
      </c>
      <c r="J57" s="42">
        <f t="shared" ref="J57:AI57" ca="1" si="6">SUM(J54:J56)</f>
        <v>5782755543.2856722</v>
      </c>
      <c r="K57" s="42">
        <f t="shared" ca="1" si="6"/>
        <v>6364500750.9402113</v>
      </c>
      <c r="L57" s="42">
        <f t="shared" ca="1" si="6"/>
        <v>7883246092.1261787</v>
      </c>
      <c r="M57" s="42">
        <f t="shared" ca="1" si="6"/>
        <v>7772358640.0663061</v>
      </c>
      <c r="N57" s="42">
        <f t="shared" ca="1" si="6"/>
        <v>7335458894.0637302</v>
      </c>
      <c r="O57" s="42">
        <f t="shared" ca="1" si="6"/>
        <v>6919466047.029295</v>
      </c>
      <c r="P57" s="42">
        <f t="shared" ca="1" si="6"/>
        <v>6369865009.5988216</v>
      </c>
      <c r="Q57" s="42">
        <f t="shared" ca="1" si="6"/>
        <v>5672508363.413044</v>
      </c>
      <c r="R57" s="42">
        <f t="shared" ca="1" si="6"/>
        <v>4584115379.2830105</v>
      </c>
      <c r="S57" s="42">
        <f t="shared" ca="1" si="6"/>
        <v>0</v>
      </c>
      <c r="T57" s="42">
        <f t="shared" ca="1" si="6"/>
        <v>0</v>
      </c>
      <c r="U57" s="42">
        <f t="shared" ca="1" si="6"/>
        <v>0</v>
      </c>
      <c r="V57" s="42">
        <f t="shared" ca="1" si="6"/>
        <v>0</v>
      </c>
      <c r="W57" s="42">
        <f t="shared" ca="1" si="6"/>
        <v>0</v>
      </c>
      <c r="X57" s="42">
        <f t="shared" ca="1" si="6"/>
        <v>0</v>
      </c>
      <c r="Y57" s="42">
        <f t="shared" ca="1" si="6"/>
        <v>0</v>
      </c>
      <c r="Z57" s="42">
        <f t="shared" ca="1" si="6"/>
        <v>0</v>
      </c>
      <c r="AA57" s="42">
        <f t="shared" ca="1" si="6"/>
        <v>0</v>
      </c>
      <c r="AB57" s="42">
        <f t="shared" ca="1" si="6"/>
        <v>0</v>
      </c>
      <c r="AC57" s="42">
        <f t="shared" ca="1" si="6"/>
        <v>0</v>
      </c>
      <c r="AD57" s="42">
        <f t="shared" ca="1" si="6"/>
        <v>0</v>
      </c>
      <c r="AE57" s="42">
        <f t="shared" ca="1" si="6"/>
        <v>0</v>
      </c>
      <c r="AF57" s="42">
        <f t="shared" ca="1" si="6"/>
        <v>0</v>
      </c>
      <c r="AG57" s="42">
        <f t="shared" ca="1" si="6"/>
        <v>0</v>
      </c>
      <c r="AH57" s="42">
        <f t="shared" ca="1" si="6"/>
        <v>0</v>
      </c>
      <c r="AI57" s="42">
        <f t="shared" ca="1" si="6"/>
        <v>0</v>
      </c>
    </row>
    <row r="58" spans="1:51">
      <c r="C58" s="15"/>
    </row>
    <row r="59" spans="1:51">
      <c r="B59" s="2" t="s">
        <v>527</v>
      </c>
      <c r="C59" s="144" t="str">
        <f>$C$31</f>
        <v>US$</v>
      </c>
      <c r="I59" s="41">
        <f ca="1">'Debt Schedule'!I53</f>
        <v>0</v>
      </c>
      <c r="J59" s="41">
        <f ca="1">'Debt Schedule'!J53</f>
        <v>1895542304.3210859</v>
      </c>
      <c r="K59" s="41">
        <f ca="1">'Debt Schedule'!K53</f>
        <v>2898315764.9601583</v>
      </c>
      <c r="L59" s="41">
        <f ca="1">'Debt Schedule'!L53</f>
        <v>2484270655.6801357</v>
      </c>
      <c r="M59" s="41">
        <f ca="1">'Debt Schedule'!M53</f>
        <v>2070225546.4001131</v>
      </c>
      <c r="N59" s="41">
        <f ca="1">'Debt Schedule'!N53</f>
        <v>1656180437.1200905</v>
      </c>
      <c r="O59" s="41">
        <f ca="1">'Debt Schedule'!O53</f>
        <v>1242135327.8400679</v>
      </c>
      <c r="P59" s="41">
        <f ca="1">'Debt Schedule'!P53</f>
        <v>828090218.56004524</v>
      </c>
      <c r="Q59" s="41">
        <f ca="1">'Debt Schedule'!Q53</f>
        <v>414045109.28002262</v>
      </c>
      <c r="R59" s="41">
        <f ca="1">'Debt Schedule'!R53</f>
        <v>0</v>
      </c>
      <c r="S59" s="41">
        <f ca="1">'Debt Schedule'!S53</f>
        <v>0</v>
      </c>
      <c r="T59" s="41">
        <f ca="1">'Debt Schedule'!T53</f>
        <v>0</v>
      </c>
      <c r="U59" s="41">
        <f ca="1">'Debt Schedule'!U53</f>
        <v>0</v>
      </c>
      <c r="V59" s="41">
        <f ca="1">'Debt Schedule'!V53</f>
        <v>0</v>
      </c>
      <c r="W59" s="41">
        <f ca="1">'Debt Schedule'!W53</f>
        <v>0</v>
      </c>
      <c r="X59" s="41">
        <f ca="1">'Debt Schedule'!X53</f>
        <v>0</v>
      </c>
      <c r="Y59" s="41">
        <f ca="1">'Debt Schedule'!Y53</f>
        <v>0</v>
      </c>
      <c r="Z59" s="41">
        <f ca="1">'Debt Schedule'!Z53</f>
        <v>0</v>
      </c>
      <c r="AA59" s="41">
        <f ca="1">'Debt Schedule'!AA53</f>
        <v>0</v>
      </c>
      <c r="AB59" s="41">
        <f ca="1">'Debt Schedule'!AB53</f>
        <v>0</v>
      </c>
      <c r="AC59" s="41">
        <f ca="1">'Debt Schedule'!AC53</f>
        <v>0</v>
      </c>
      <c r="AD59" s="41">
        <f ca="1">'Debt Schedule'!AD53</f>
        <v>0</v>
      </c>
      <c r="AE59" s="41">
        <f ca="1">'Debt Schedule'!AE53</f>
        <v>0</v>
      </c>
      <c r="AF59" s="41">
        <f ca="1">'Debt Schedule'!AF53</f>
        <v>0</v>
      </c>
      <c r="AG59" s="41">
        <f ca="1">'Debt Schedule'!AG53</f>
        <v>0</v>
      </c>
      <c r="AH59" s="41">
        <f ca="1">'Debt Schedule'!AH53</f>
        <v>0</v>
      </c>
      <c r="AI59" s="41">
        <f ca="1">'Debt Schedule'!AI54</f>
        <v>0</v>
      </c>
      <c r="AJ59" s="41">
        <f ca="1">'Debt Schedule'!AJ54</f>
        <v>0</v>
      </c>
      <c r="AK59" s="41">
        <f ca="1">'Debt Schedule'!AK54</f>
        <v>0</v>
      </c>
      <c r="AL59" s="41">
        <f ca="1">'Debt Schedule'!AL54</f>
        <v>0</v>
      </c>
      <c r="AM59" s="41">
        <f ca="1">'Debt Schedule'!AM54</f>
        <v>0</v>
      </c>
      <c r="AN59" s="41">
        <f ca="1">'Debt Schedule'!AN54</f>
        <v>0</v>
      </c>
      <c r="AO59" s="41">
        <f ca="1">'Debt Schedule'!AO54</f>
        <v>0</v>
      </c>
      <c r="AP59" s="41">
        <f ca="1">'Debt Schedule'!AP54</f>
        <v>0</v>
      </c>
      <c r="AQ59" s="41">
        <f ca="1">'Debt Schedule'!AQ54</f>
        <v>0</v>
      </c>
      <c r="AR59" s="41">
        <f ca="1">'Debt Schedule'!AR54</f>
        <v>0</v>
      </c>
      <c r="AS59" s="41">
        <f ca="1">'Debt Schedule'!AS54</f>
        <v>0</v>
      </c>
      <c r="AT59" s="41">
        <f ca="1">'Debt Schedule'!AT54</f>
        <v>0</v>
      </c>
      <c r="AU59" s="41">
        <f ca="1">'Debt Schedule'!AU54</f>
        <v>0</v>
      </c>
      <c r="AV59" s="41">
        <f ca="1">'Debt Schedule'!AV54</f>
        <v>0</v>
      </c>
      <c r="AW59" s="41">
        <f ca="1">'Debt Schedule'!AW54</f>
        <v>0</v>
      </c>
      <c r="AX59" s="1054"/>
    </row>
    <row r="60" spans="1:51">
      <c r="C60" s="15"/>
    </row>
    <row r="61" spans="1:51">
      <c r="B61" s="2" t="s">
        <v>528</v>
      </c>
      <c r="C61" s="15" t="s">
        <v>517</v>
      </c>
      <c r="I61" s="212" t="str">
        <f t="shared" ref="I61:AW61" ca="1" si="7">IF(OR(I29=0,I59=0),"n/a",I$51/I$59)</f>
        <v>n/a</v>
      </c>
      <c r="J61" s="212" t="str">
        <f t="shared" ca="1" si="7"/>
        <v>n/a</v>
      </c>
      <c r="K61" s="212" t="str">
        <f t="shared" ca="1" si="7"/>
        <v>n/a</v>
      </c>
      <c r="L61" s="212">
        <f t="shared" ca="1" si="7"/>
        <v>3.1534782617583055</v>
      </c>
      <c r="M61" s="212">
        <f t="shared" ca="1" si="7"/>
        <v>3.5756884625136824</v>
      </c>
      <c r="N61" s="212">
        <f t="shared" ca="1" si="7"/>
        <v>4.0408034439398701</v>
      </c>
      <c r="O61" s="212">
        <f t="shared" ca="1" si="7"/>
        <v>4.6720001480117785</v>
      </c>
      <c r="P61" s="212">
        <f t="shared" ca="1" si="7"/>
        <v>5.6888858913580567</v>
      </c>
      <c r="Q61" s="212">
        <f t="shared" ca="1" si="7"/>
        <v>8.1760320069765982</v>
      </c>
      <c r="R61" s="212" t="str">
        <f t="shared" ca="1" si="7"/>
        <v>n/a</v>
      </c>
      <c r="S61" s="212" t="str">
        <f t="shared" ca="1" si="7"/>
        <v>n/a</v>
      </c>
      <c r="T61" s="212" t="str">
        <f t="shared" ca="1" si="7"/>
        <v>n/a</v>
      </c>
      <c r="U61" s="212" t="str">
        <f t="shared" ca="1" si="7"/>
        <v>n/a</v>
      </c>
      <c r="V61" s="212" t="str">
        <f t="shared" ca="1" si="7"/>
        <v>n/a</v>
      </c>
      <c r="W61" s="212" t="str">
        <f t="shared" ca="1" si="7"/>
        <v>n/a</v>
      </c>
      <c r="X61" s="212" t="str">
        <f t="shared" ca="1" si="7"/>
        <v>n/a</v>
      </c>
      <c r="Y61" s="212" t="str">
        <f t="shared" ca="1" si="7"/>
        <v>n/a</v>
      </c>
      <c r="Z61" s="212" t="str">
        <f t="shared" ca="1" si="7"/>
        <v>n/a</v>
      </c>
      <c r="AA61" s="212" t="str">
        <f t="shared" ca="1" si="7"/>
        <v>n/a</v>
      </c>
      <c r="AB61" s="212" t="str">
        <f t="shared" ca="1" si="7"/>
        <v>n/a</v>
      </c>
      <c r="AC61" s="212" t="str">
        <f t="shared" ca="1" si="7"/>
        <v>n/a</v>
      </c>
      <c r="AD61" s="212" t="str">
        <f t="shared" ca="1" si="7"/>
        <v>n/a</v>
      </c>
      <c r="AE61" s="212" t="str">
        <f t="shared" ca="1" si="7"/>
        <v>n/a</v>
      </c>
      <c r="AF61" s="212" t="str">
        <f t="shared" ca="1" si="7"/>
        <v>n/a</v>
      </c>
      <c r="AG61" s="212" t="str">
        <f t="shared" ca="1" si="7"/>
        <v>n/a</v>
      </c>
      <c r="AH61" s="212" t="str">
        <f t="shared" ca="1" si="7"/>
        <v>n/a</v>
      </c>
      <c r="AI61" s="212" t="str">
        <f t="shared" ca="1" si="7"/>
        <v>n/a</v>
      </c>
      <c r="AJ61" s="212" t="str">
        <f t="shared" ca="1" si="7"/>
        <v>n/a</v>
      </c>
      <c r="AK61" s="212" t="str">
        <f t="shared" ca="1" si="7"/>
        <v>n/a</v>
      </c>
      <c r="AL61" s="212" t="str">
        <f t="shared" ca="1" si="7"/>
        <v>n/a</v>
      </c>
      <c r="AM61" s="212" t="str">
        <f t="shared" ca="1" si="7"/>
        <v>n/a</v>
      </c>
      <c r="AN61" s="212" t="str">
        <f t="shared" ca="1" si="7"/>
        <v>n/a</v>
      </c>
      <c r="AO61" s="212" t="str">
        <f t="shared" ca="1" si="7"/>
        <v>n/a</v>
      </c>
      <c r="AP61" s="212" t="str">
        <f t="shared" ca="1" si="7"/>
        <v>n/a</v>
      </c>
      <c r="AQ61" s="212" t="str">
        <f t="shared" ca="1" si="7"/>
        <v>n/a</v>
      </c>
      <c r="AR61" s="212" t="str">
        <f t="shared" ca="1" si="7"/>
        <v>n/a</v>
      </c>
      <c r="AS61" s="212" t="str">
        <f t="shared" ca="1" si="7"/>
        <v>n/a</v>
      </c>
      <c r="AT61" s="212" t="str">
        <f t="shared" ca="1" si="7"/>
        <v>n/a</v>
      </c>
      <c r="AU61" s="212" t="str">
        <f t="shared" ca="1" si="7"/>
        <v>n/a</v>
      </c>
      <c r="AV61" s="212" t="str">
        <f t="shared" ca="1" si="7"/>
        <v>n/a</v>
      </c>
      <c r="AW61" s="212" t="str">
        <f t="shared" ca="1" si="7"/>
        <v>n/a</v>
      </c>
      <c r="AX61" s="1057"/>
      <c r="AY61" s="1057"/>
    </row>
    <row r="62" spans="1:51">
      <c r="B62" s="2" t="s">
        <v>529</v>
      </c>
      <c r="C62" s="15" t="s">
        <v>517</v>
      </c>
      <c r="I62" s="212" t="str">
        <f t="shared" ref="I62:AW62" ca="1" si="8">IF(OR(I29=0,I59=0),"n/a",I$57/I$59)</f>
        <v>n/a</v>
      </c>
      <c r="J62" s="212" t="str">
        <f t="shared" ca="1" si="8"/>
        <v>n/a</v>
      </c>
      <c r="K62" s="212" t="str">
        <f t="shared" ca="1" si="8"/>
        <v>n/a</v>
      </c>
      <c r="L62" s="212">
        <f t="shared" ca="1" si="8"/>
        <v>3.173263780297694</v>
      </c>
      <c r="M62" s="212">
        <f t="shared" ca="1" si="8"/>
        <v>3.7543535551387404</v>
      </c>
      <c r="N62" s="212">
        <f t="shared" ca="1" si="8"/>
        <v>4.4291423383911352</v>
      </c>
      <c r="O62" s="212">
        <f t="shared" ca="1" si="8"/>
        <v>5.5706217285208846</v>
      </c>
      <c r="P62" s="212">
        <f t="shared" ca="1" si="8"/>
        <v>7.6922355400783413</v>
      </c>
      <c r="Q62" s="212">
        <f t="shared" ca="1" si="8"/>
        <v>13.700218252250078</v>
      </c>
      <c r="R62" s="212" t="str">
        <f t="shared" ca="1" si="8"/>
        <v>n/a</v>
      </c>
      <c r="S62" s="212" t="str">
        <f t="shared" ca="1" si="8"/>
        <v>n/a</v>
      </c>
      <c r="T62" s="212" t="str">
        <f t="shared" ca="1" si="8"/>
        <v>n/a</v>
      </c>
      <c r="U62" s="212" t="str">
        <f t="shared" ca="1" si="8"/>
        <v>n/a</v>
      </c>
      <c r="V62" s="212" t="str">
        <f t="shared" ca="1" si="8"/>
        <v>n/a</v>
      </c>
      <c r="W62" s="212" t="str">
        <f t="shared" ca="1" si="8"/>
        <v>n/a</v>
      </c>
      <c r="X62" s="212" t="str">
        <f t="shared" ca="1" si="8"/>
        <v>n/a</v>
      </c>
      <c r="Y62" s="212" t="str">
        <f t="shared" ca="1" si="8"/>
        <v>n/a</v>
      </c>
      <c r="Z62" s="212" t="str">
        <f t="shared" ca="1" si="8"/>
        <v>n/a</v>
      </c>
      <c r="AA62" s="212" t="str">
        <f t="shared" ca="1" si="8"/>
        <v>n/a</v>
      </c>
      <c r="AB62" s="212" t="str">
        <f t="shared" ca="1" si="8"/>
        <v>n/a</v>
      </c>
      <c r="AC62" s="212" t="str">
        <f t="shared" ca="1" si="8"/>
        <v>n/a</v>
      </c>
      <c r="AD62" s="212" t="str">
        <f t="shared" ca="1" si="8"/>
        <v>n/a</v>
      </c>
      <c r="AE62" s="212" t="str">
        <f t="shared" ca="1" si="8"/>
        <v>n/a</v>
      </c>
      <c r="AF62" s="212" t="str">
        <f t="shared" ca="1" si="8"/>
        <v>n/a</v>
      </c>
      <c r="AG62" s="212" t="str">
        <f t="shared" ca="1" si="8"/>
        <v>n/a</v>
      </c>
      <c r="AH62" s="212" t="str">
        <f t="shared" ca="1" si="8"/>
        <v>n/a</v>
      </c>
      <c r="AI62" s="212" t="str">
        <f t="shared" ca="1" si="8"/>
        <v>n/a</v>
      </c>
      <c r="AJ62" s="212" t="str">
        <f t="shared" ca="1" si="8"/>
        <v>n/a</v>
      </c>
      <c r="AK62" s="212" t="str">
        <f t="shared" ca="1" si="8"/>
        <v>n/a</v>
      </c>
      <c r="AL62" s="212" t="str">
        <f t="shared" ca="1" si="8"/>
        <v>n/a</v>
      </c>
      <c r="AM62" s="212" t="str">
        <f t="shared" ca="1" si="8"/>
        <v>n/a</v>
      </c>
      <c r="AN62" s="212" t="str">
        <f t="shared" ca="1" si="8"/>
        <v>n/a</v>
      </c>
      <c r="AO62" s="212" t="str">
        <f t="shared" ca="1" si="8"/>
        <v>n/a</v>
      </c>
      <c r="AP62" s="212" t="str">
        <f t="shared" ca="1" si="8"/>
        <v>n/a</v>
      </c>
      <c r="AQ62" s="212" t="str">
        <f t="shared" ca="1" si="8"/>
        <v>n/a</v>
      </c>
      <c r="AR62" s="212" t="str">
        <f t="shared" ca="1" si="8"/>
        <v>n/a</v>
      </c>
      <c r="AS62" s="212" t="str">
        <f t="shared" ca="1" si="8"/>
        <v>n/a</v>
      </c>
      <c r="AT62" s="212" t="str">
        <f t="shared" ca="1" si="8"/>
        <v>n/a</v>
      </c>
      <c r="AU62" s="212" t="str">
        <f t="shared" ca="1" si="8"/>
        <v>n/a</v>
      </c>
      <c r="AV62" s="212" t="str">
        <f t="shared" ca="1" si="8"/>
        <v>n/a</v>
      </c>
      <c r="AW62" s="212" t="str">
        <f t="shared" ca="1" si="8"/>
        <v>n/a</v>
      </c>
      <c r="AX62" s="1057"/>
      <c r="AY62" s="1057"/>
    </row>
    <row r="63" spans="1:51">
      <c r="A63" s="12"/>
      <c r="C63" s="15"/>
      <c r="D63" s="213" t="s">
        <v>518</v>
      </c>
      <c r="E63" s="213" t="s">
        <v>519</v>
      </c>
    </row>
    <row r="64" spans="1:51">
      <c r="B64" s="2" t="s">
        <v>513</v>
      </c>
      <c r="C64" s="15" t="s">
        <v>517</v>
      </c>
      <c r="D64" s="214">
        <f ca="1">AVERAGE(I61:AI61)</f>
        <v>4.8844813690930486</v>
      </c>
      <c r="E64" s="214">
        <f ca="1">AVERAGE(I62:AI62)</f>
        <v>6.3866391991128113</v>
      </c>
    </row>
    <row r="65" spans="1:52">
      <c r="B65" s="2" t="s">
        <v>514</v>
      </c>
      <c r="C65" s="15" t="s">
        <v>517</v>
      </c>
      <c r="D65" s="214">
        <f ca="1">MIN(I61:AI61)</f>
        <v>3.1534782617583055</v>
      </c>
      <c r="E65" s="214">
        <f ca="1">MIN(I62:AI62)</f>
        <v>3.173263780297694</v>
      </c>
    </row>
    <row r="66" spans="1:52">
      <c r="B66" s="2" t="s">
        <v>515</v>
      </c>
      <c r="C66" s="15" t="s">
        <v>180</v>
      </c>
      <c r="D66" s="216">
        <f ca="1">MATCH(D65,I61:AI61,0)</f>
        <v>4</v>
      </c>
      <c r="E66" s="215">
        <f ca="1">MATCH(E65,I62:AI62,0)</f>
        <v>4</v>
      </c>
    </row>
    <row r="67" spans="1:52">
      <c r="B67" s="2" t="s">
        <v>516</v>
      </c>
      <c r="C67" s="15" t="s">
        <v>41</v>
      </c>
      <c r="D67" s="217">
        <f ca="1">INDEX('Fixed Assets'!I3:AI3,D66)</f>
        <v>47119</v>
      </c>
      <c r="E67" s="217">
        <f ca="1">INDEX('Fixed Assets'!I3:AI3,E66)</f>
        <v>47119</v>
      </c>
    </row>
    <row r="68" spans="1:52">
      <c r="C68" s="15"/>
    </row>
    <row r="69" spans="1:52">
      <c r="A69" s="6" t="s">
        <v>530</v>
      </c>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053"/>
      <c r="AY69" s="1053"/>
    </row>
    <row r="70" spans="1:52">
      <c r="C70" s="15"/>
    </row>
    <row r="71" spans="1:52">
      <c r="B71" s="2" t="s">
        <v>533</v>
      </c>
      <c r="C71" s="15" t="s">
        <v>60</v>
      </c>
      <c r="D71" s="41">
        <f>SUM(I71:AI71)</f>
        <v>27</v>
      </c>
      <c r="I71" s="2">
        <f>'Timing &amp; Flags'!I49</f>
        <v>1</v>
      </c>
      <c r="J71" s="2">
        <f>'Timing &amp; Flags'!J49</f>
        <v>1</v>
      </c>
      <c r="K71" s="2">
        <f>'Timing &amp; Flags'!K49</f>
        <v>1</v>
      </c>
      <c r="L71" s="2">
        <f>'Timing &amp; Flags'!L49</f>
        <v>1</v>
      </c>
      <c r="M71" s="2">
        <f>'Timing &amp; Flags'!M49</f>
        <v>1</v>
      </c>
      <c r="N71" s="2">
        <f>'Timing &amp; Flags'!N49</f>
        <v>1</v>
      </c>
      <c r="O71" s="2">
        <f>'Timing &amp; Flags'!O49</f>
        <v>1</v>
      </c>
      <c r="P71" s="2">
        <f>'Timing &amp; Flags'!P49</f>
        <v>1</v>
      </c>
      <c r="Q71" s="2">
        <f>'Timing &amp; Flags'!Q49</f>
        <v>1</v>
      </c>
      <c r="R71" s="2">
        <f>'Timing &amp; Flags'!R49</f>
        <v>1</v>
      </c>
      <c r="S71" s="2">
        <f>'Timing &amp; Flags'!S49</f>
        <v>1</v>
      </c>
      <c r="T71" s="2">
        <f>'Timing &amp; Flags'!T49</f>
        <v>1</v>
      </c>
      <c r="U71" s="2">
        <f>'Timing &amp; Flags'!U49</f>
        <v>1</v>
      </c>
      <c r="V71" s="2">
        <f>'Timing &amp; Flags'!V49</f>
        <v>1</v>
      </c>
      <c r="W71" s="2">
        <f>'Timing &amp; Flags'!W49</f>
        <v>1</v>
      </c>
      <c r="X71" s="2">
        <f>'Timing &amp; Flags'!X49</f>
        <v>1</v>
      </c>
      <c r="Y71" s="2">
        <f>'Timing &amp; Flags'!Y49</f>
        <v>1</v>
      </c>
      <c r="Z71" s="2">
        <f>'Timing &amp; Flags'!Z49</f>
        <v>1</v>
      </c>
      <c r="AA71" s="2">
        <f>'Timing &amp; Flags'!AA49</f>
        <v>1</v>
      </c>
      <c r="AB71" s="2">
        <f>'Timing &amp; Flags'!AB49</f>
        <v>1</v>
      </c>
      <c r="AC71" s="2">
        <f>'Timing &amp; Flags'!AC49</f>
        <v>1</v>
      </c>
      <c r="AD71" s="2">
        <f>'Timing &amp; Flags'!AD49</f>
        <v>1</v>
      </c>
      <c r="AE71" s="2">
        <f>'Timing &amp; Flags'!AE49</f>
        <v>1</v>
      </c>
      <c r="AF71" s="2">
        <f>'Timing &amp; Flags'!AF49</f>
        <v>1</v>
      </c>
      <c r="AG71" s="2">
        <f>'Timing &amp; Flags'!AG49</f>
        <v>1</v>
      </c>
      <c r="AH71" s="2">
        <f>'Timing &amp; Flags'!AH49</f>
        <v>1</v>
      </c>
      <c r="AI71" s="2">
        <f>'Timing &amp; Flags'!AI49</f>
        <v>1</v>
      </c>
      <c r="AJ71" s="2">
        <f>'Timing &amp; Flags'!AJ49</f>
        <v>1</v>
      </c>
      <c r="AK71" s="2">
        <f>'Timing &amp; Flags'!AK49</f>
        <v>1</v>
      </c>
      <c r="AL71" s="2">
        <f>'Timing &amp; Flags'!AL49</f>
        <v>1</v>
      </c>
      <c r="AM71" s="2">
        <f>'Timing &amp; Flags'!AM49</f>
        <v>0</v>
      </c>
      <c r="AN71" s="2">
        <f>'Timing &amp; Flags'!AN49</f>
        <v>0</v>
      </c>
      <c r="AO71" s="2">
        <f>'Timing &amp; Flags'!AO49</f>
        <v>0</v>
      </c>
      <c r="AP71" s="2">
        <f>'Timing &amp; Flags'!AP49</f>
        <v>0</v>
      </c>
      <c r="AQ71" s="2">
        <f>'Timing &amp; Flags'!AQ49</f>
        <v>0</v>
      </c>
      <c r="AR71" s="2">
        <f>'Timing &amp; Flags'!AR49</f>
        <v>0</v>
      </c>
      <c r="AS71" s="2">
        <f>'Timing &amp; Flags'!AS49</f>
        <v>0</v>
      </c>
      <c r="AT71" s="2">
        <f>'Timing &amp; Flags'!AT49</f>
        <v>0</v>
      </c>
      <c r="AU71" s="2">
        <f>'Timing &amp; Flags'!AU49</f>
        <v>0</v>
      </c>
      <c r="AV71" s="2">
        <f>'Timing &amp; Flags'!AV49</f>
        <v>0</v>
      </c>
      <c r="AW71" s="2">
        <f>'Timing &amp; Flags'!AW49</f>
        <v>0</v>
      </c>
    </row>
    <row r="72" spans="1:52">
      <c r="B72" s="2" t="s">
        <v>291</v>
      </c>
      <c r="C72" s="15" t="s">
        <v>18</v>
      </c>
      <c r="D72" s="99">
        <f>'Debt Schedule'!$D$37</f>
        <v>0.10059999999999999</v>
      </c>
    </row>
    <row r="74" spans="1:52">
      <c r="B74" s="29" t="s">
        <v>521</v>
      </c>
    </row>
    <row r="75" spans="1:52">
      <c r="B75" s="2" t="s">
        <v>522</v>
      </c>
      <c r="C75" s="144" t="str">
        <f>$C$31</f>
        <v>US$</v>
      </c>
      <c r="D75" s="41">
        <f ca="1">SUM(I75:AI75)</f>
        <v>46292054105.201607</v>
      </c>
      <c r="I75" s="41">
        <f t="shared" ref="I75:AZ75" ca="1" si="9">I31*I71</f>
        <v>0</v>
      </c>
      <c r="J75" s="41">
        <f t="shared" ca="1" si="9"/>
        <v>-132913371.73613448</v>
      </c>
      <c r="K75" s="41">
        <f t="shared" ca="1" si="9"/>
        <v>632979160.75820267</v>
      </c>
      <c r="L75" s="41">
        <f t="shared" ca="1" si="9"/>
        <v>1113384145.8202512</v>
      </c>
      <c r="M75" s="41">
        <f t="shared" ca="1" si="9"/>
        <v>1307343777.7768016</v>
      </c>
      <c r="N75" s="41">
        <f t="shared" ca="1" si="9"/>
        <v>1423674676.4626899</v>
      </c>
      <c r="O75" s="41">
        <f t="shared" ca="1" si="9"/>
        <v>1527262449.5167961</v>
      </c>
      <c r="P75" s="41">
        <f t="shared" ca="1" si="9"/>
        <v>1620778759.7527404</v>
      </c>
      <c r="Q75" s="41">
        <f t="shared" ca="1" si="9"/>
        <v>1716998599.5535426</v>
      </c>
      <c r="R75" s="41">
        <f t="shared" ca="1" si="9"/>
        <v>1819844194.9453361</v>
      </c>
      <c r="S75" s="41">
        <f t="shared" ca="1" si="9"/>
        <v>1921492211.2169793</v>
      </c>
      <c r="T75" s="41">
        <f t="shared" ca="1" si="9"/>
        <v>2038073397.7543035</v>
      </c>
      <c r="U75" s="41">
        <f t="shared" ca="1" si="9"/>
        <v>2159528163.5310922</v>
      </c>
      <c r="V75" s="41">
        <f t="shared" ca="1" si="9"/>
        <v>2287791806.3660378</v>
      </c>
      <c r="W75" s="41">
        <f t="shared" ca="1" si="9"/>
        <v>2420274029.2951603</v>
      </c>
      <c r="X75" s="41">
        <f t="shared" ca="1" si="9"/>
        <v>1799483684.7706902</v>
      </c>
      <c r="Y75" s="41">
        <f t="shared" ca="1" si="9"/>
        <v>1753474444.781949</v>
      </c>
      <c r="Z75" s="41">
        <f t="shared" ca="1" si="9"/>
        <v>1807957611.5470948</v>
      </c>
      <c r="AA75" s="41">
        <f t="shared" ca="1" si="9"/>
        <v>1863094085.0746782</v>
      </c>
      <c r="AB75" s="41">
        <f t="shared" ca="1" si="9"/>
        <v>1921878648.9141417</v>
      </c>
      <c r="AC75" s="41">
        <f t="shared" ca="1" si="9"/>
        <v>1982682102.853267</v>
      </c>
      <c r="AD75" s="41">
        <f t="shared" ca="1" si="9"/>
        <v>2046559606.7248311</v>
      </c>
      <c r="AE75" s="41">
        <f t="shared" ca="1" si="9"/>
        <v>2110866258.3901505</v>
      </c>
      <c r="AF75" s="41">
        <f t="shared" ca="1" si="9"/>
        <v>2179352918.1338038</v>
      </c>
      <c r="AG75" s="41">
        <f t="shared" ca="1" si="9"/>
        <v>2249756028.1376925</v>
      </c>
      <c r="AH75" s="41">
        <f t="shared" ca="1" si="9"/>
        <v>2323313428.2110395</v>
      </c>
      <c r="AI75" s="41">
        <f t="shared" ca="1" si="9"/>
        <v>2397123286.6484594</v>
      </c>
      <c r="AJ75" s="41">
        <f t="shared" ca="1" si="9"/>
        <v>2475391162.0859537</v>
      </c>
      <c r="AK75" s="41">
        <f t="shared" ca="1" si="9"/>
        <v>2586756212.7914348</v>
      </c>
      <c r="AL75" s="41">
        <f t="shared" ca="1" si="9"/>
        <v>3035968904.9920216</v>
      </c>
      <c r="AM75" s="41">
        <f t="shared" si="9"/>
        <v>0</v>
      </c>
      <c r="AN75" s="41">
        <f t="shared" si="9"/>
        <v>0</v>
      </c>
      <c r="AO75" s="41">
        <f t="shared" si="9"/>
        <v>0</v>
      </c>
      <c r="AP75" s="41">
        <f t="shared" si="9"/>
        <v>0</v>
      </c>
      <c r="AQ75" s="41">
        <f t="shared" si="9"/>
        <v>0</v>
      </c>
      <c r="AR75" s="41">
        <f t="shared" si="9"/>
        <v>0</v>
      </c>
      <c r="AS75" s="41">
        <f t="shared" si="9"/>
        <v>0</v>
      </c>
      <c r="AT75" s="41">
        <f t="shared" si="9"/>
        <v>0</v>
      </c>
      <c r="AU75" s="41">
        <f t="shared" si="9"/>
        <v>0</v>
      </c>
      <c r="AV75" s="41">
        <f t="shared" si="9"/>
        <v>0</v>
      </c>
      <c r="AW75" s="41">
        <f t="shared" si="9"/>
        <v>0</v>
      </c>
      <c r="AX75" s="41">
        <f t="shared" si="9"/>
        <v>0</v>
      </c>
      <c r="AY75" s="41">
        <f t="shared" si="9"/>
        <v>0</v>
      </c>
      <c r="AZ75" s="41">
        <f t="shared" si="9"/>
        <v>0</v>
      </c>
    </row>
    <row r="76" spans="1:52">
      <c r="B76" s="2" t="s">
        <v>523</v>
      </c>
      <c r="C76" s="144" t="str">
        <f>$C$31</f>
        <v>US$</v>
      </c>
      <c r="I76" s="41">
        <f ca="1">NPV($D$72,J75:$AG$75)*I20</f>
        <v>12773509055.926477</v>
      </c>
      <c r="J76" s="41">
        <f ca="1">NPV($D$72,K75:$AG$75)*J20</f>
        <v>14191437438.688812</v>
      </c>
      <c r="K76" s="41">
        <f ca="1">NPV($D$72,L75:$AG$75)*K20</f>
        <v>14986116884.262707</v>
      </c>
      <c r="L76" s="41">
        <f ca="1">NPV($D$72,M75:$AG$75)*L20</f>
        <v>15380336096.999287</v>
      </c>
      <c r="M76" s="41">
        <f ca="1">NPV($D$72,N75:$AG$75)*M20</f>
        <v>15620254130.58061</v>
      </c>
      <c r="N76" s="41">
        <f ca="1">NPV($D$72,O75:$AG$75)*N20</f>
        <v>15767977019.654331</v>
      </c>
      <c r="O76" s="41">
        <f ca="1">NPV($D$72,P75:$AG$75)*O20</f>
        <v>15826973058.314766</v>
      </c>
      <c r="P76" s="41">
        <f ca="1">NPV($D$72,Q75:$AG$75)*P20</f>
        <v>15798387788.228483</v>
      </c>
      <c r="Q76" s="41">
        <f ca="1">NPV($D$72,R75:$AG$75)*Q20</f>
        <v>15670707000.170732</v>
      </c>
      <c r="R76" s="41">
        <f ca="1">NPV($D$72,S75:$AG$75)*R20</f>
        <v>15427335929.442572</v>
      </c>
      <c r="S76" s="41">
        <f ca="1">NPV($D$72,T75:$AG$75)*S20</f>
        <v>15057833712.727512</v>
      </c>
      <c r="T76" s="41">
        <f ca="1">NPV($D$72,U75:$AG$75)*T20</f>
        <v>14534578386.473597</v>
      </c>
      <c r="U76" s="41">
        <f ca="1">NPV($D$72,V75:$AG$75)*U20</f>
        <v>13837228808.62175</v>
      </c>
      <c r="V76" s="41">
        <f ca="1">NPV($D$72,W75:$AG$75)*V20</f>
        <v>12941462220.403061</v>
      </c>
      <c r="W76" s="41">
        <f ca="1">NPV($D$72,X75:$AG$75)*W20</f>
        <v>11823099290.480448</v>
      </c>
      <c r="X76" s="41">
        <f ca="1">NPV($D$72,Y75:$AG$75)*X20</f>
        <v>11213019394.332088</v>
      </c>
      <c r="Y76" s="41">
        <f ca="1">NPV($D$72,Z75:$AG$75)*Y20</f>
        <v>10587574700.619951</v>
      </c>
      <c r="Z76" s="41">
        <f ca="1">NPV($D$72,AA75:$AG$75)*Z20</f>
        <v>9844727103.9552212</v>
      </c>
      <c r="AA76" s="41">
        <f ca="1">NPV($D$72,AB75:$AG$75)*AA20</f>
        <v>8972012565.5384407</v>
      </c>
      <c r="AB76" s="41">
        <f ca="1">NPV($D$72,AC75:$AG$75)*AB20</f>
        <v>7952718380.7174654</v>
      </c>
      <c r="AC76" s="41">
        <f ca="1">NPV($D$72,AD75:$AG$75)*AC20</f>
        <v>6770079746.9643755</v>
      </c>
      <c r="AD76" s="41">
        <f ca="1">NPV($D$72,AE75:$AG$75)*AD20</f>
        <v>5404590162.7841606</v>
      </c>
      <c r="AE76" s="41">
        <f ca="1">NPV($D$72,AF75:$AG$75)*AE20</f>
        <v>3837425674.7700973</v>
      </c>
      <c r="AF76" s="41">
        <f ca="1">NPV($D$72,AG75:$AG$75)*AF20</f>
        <v>2044117779.5181651</v>
      </c>
      <c r="AG76" s="41">
        <f ca="1">NPV($D$72,$AG75:AH$75)*AG20</f>
        <v>3962118586.6795664</v>
      </c>
      <c r="AH76" s="41">
        <f ca="1">NPV($D$72,$AG75:AI$75)*AH20</f>
        <v>5760168922.1758633</v>
      </c>
      <c r="AI76" s="41">
        <f ca="1">NPV($D$72,$AG75:AJ$75)*AI20</f>
        <v>7447210562.3745451</v>
      </c>
      <c r="AJ76" s="41">
        <f ca="1">NPV($D$72,$AG75:AK$75)*AJ20</f>
        <v>9049009342.0436306</v>
      </c>
      <c r="AK76" s="41">
        <f ca="1">NPV($D$72,$AG75:AL$75)*AK20</f>
        <v>10757136777.527775</v>
      </c>
      <c r="AL76" s="41">
        <f ca="1">NPV($D$72,$AG75:AM$75)*AL20</f>
        <v>10757136777.527775</v>
      </c>
      <c r="AM76" s="41">
        <f ca="1">NPV($D$72,$AG75:AN$75)*AM20</f>
        <v>0</v>
      </c>
      <c r="AN76" s="41">
        <f ca="1">NPV($D$72,$AG75:AO$75)*AN20</f>
        <v>0</v>
      </c>
      <c r="AO76" s="41">
        <f ca="1">NPV($D$72,$AG75:AP$75)*AO20</f>
        <v>0</v>
      </c>
      <c r="AP76" s="41">
        <f ca="1">NPV($D$72,$AG75:AQ$75)*AP20</f>
        <v>0</v>
      </c>
      <c r="AQ76" s="41">
        <f ca="1">NPV($D$72,$AG75:AR$75)*AQ20</f>
        <v>0</v>
      </c>
      <c r="AR76" s="41">
        <f ca="1">NPV($D$72,$AG75:AS$75)*AR20</f>
        <v>0</v>
      </c>
      <c r="AS76" s="41">
        <f ca="1">NPV($D$72,$AG75:AT$75)*AS20</f>
        <v>0</v>
      </c>
      <c r="AT76" s="41">
        <f ca="1">NPV($D$72,$AG75:AU$75)*AT20</f>
        <v>0</v>
      </c>
      <c r="AU76" s="41">
        <f ca="1">NPV($D$72,$AG75:AV$75)*AU20</f>
        <v>0</v>
      </c>
      <c r="AV76" s="41">
        <f ca="1">NPV($D$72,$AG75:AW$75)*AV20</f>
        <v>0</v>
      </c>
      <c r="AW76" s="41">
        <f ca="1">NPV($D$72,$AG75:AX$75)*AW20</f>
        <v>0</v>
      </c>
      <c r="AX76" s="1054"/>
      <c r="AY76" s="1054"/>
    </row>
    <row r="77" spans="1:52">
      <c r="B77" s="27" t="s">
        <v>524</v>
      </c>
      <c r="C77" s="218" t="str">
        <f>$C$31</f>
        <v>US$</v>
      </c>
      <c r="D77" s="27"/>
      <c r="E77" s="27"/>
      <c r="F77" s="27"/>
      <c r="G77" s="27"/>
      <c r="H77" s="27"/>
      <c r="I77" s="43">
        <f ca="1">SUM(BS!I15:I17)*I71</f>
        <v>0</v>
      </c>
      <c r="J77" s="43">
        <f ca="1">SUM(BS!J15:J17)*J71</f>
        <v>-132913371.73613448</v>
      </c>
      <c r="K77" s="43">
        <f ca="1">SUM(BS!K15:K17)*K71</f>
        <v>632979160.75820112</v>
      </c>
      <c r="L77" s="43">
        <f ca="1">SUM(BS!L15:L17)*L71</f>
        <v>878476565.64138186</v>
      </c>
      <c r="M77" s="43">
        <f ca="1">SUM(BS!M15:M17)*M71</f>
        <v>1288299890.1069081</v>
      </c>
      <c r="N77" s="43">
        <f ca="1">SUM(BS!N15:N17)*N71</f>
        <v>1637966395.679565</v>
      </c>
      <c r="O77" s="43">
        <f ca="1">SUM(BS!O15:O17)*O71</f>
        <v>2040726817.8025031</v>
      </c>
      <c r="P77" s="43">
        <f ca="1">SUM(BS!P15:P17)*P71</f>
        <v>2485380857.1483808</v>
      </c>
      <c r="Q77" s="43">
        <f ca="1">SUM(BS!Q15:Q17)*Q71</f>
        <v>2965996236.233273</v>
      </c>
      <c r="R77" s="43">
        <f ca="1">SUM(BS!R15:R17)*R71</f>
        <v>3260022660.1744308</v>
      </c>
      <c r="S77" s="43">
        <f ca="1">SUM(BS!S15:S17)*S71</f>
        <v>3859761865.2041125</v>
      </c>
      <c r="T77" s="43">
        <f ca="1">SUM(BS!T15:T17)*T71</f>
        <v>4437755346.5319462</v>
      </c>
      <c r="U77" s="43">
        <f ca="1">SUM(BS!U15:U17)*U71</f>
        <v>4998010898.8891544</v>
      </c>
      <c r="V77" s="43">
        <f ca="1">SUM(BS!V15:V17)*V71</f>
        <v>5549935527.9177265</v>
      </c>
      <c r="W77" s="43">
        <f ca="1">SUM(BS!W15:W17)*W71</f>
        <v>6088236447.4359055</v>
      </c>
      <c r="X77" s="43">
        <f ca="1">SUM(BS!X15:X17)*X71</f>
        <v>6225215361.3162832</v>
      </c>
      <c r="Y77" s="43">
        <f ca="1">SUM(BS!Y15:Y17)*Y71</f>
        <v>6288190203.7340374</v>
      </c>
      <c r="Z77" s="43">
        <f ca="1">SUM(BS!Z15:Z17)*Z71</f>
        <v>6375851763.5649385</v>
      </c>
      <c r="AA77" s="43">
        <f ca="1">SUM(BS!AA15:AA17)*AA71</f>
        <v>6475174472.3235817</v>
      </c>
      <c r="AB77" s="43">
        <f ca="1">SUM(BS!AB15:AB17)*AB71</f>
        <v>6610492805.2316284</v>
      </c>
      <c r="AC77" s="43">
        <f ca="1">SUM(BS!AC15:AC17)*AC71</f>
        <v>6774454777.4897223</v>
      </c>
      <c r="AD77" s="43">
        <f ca="1">SUM(BS!AD15:AD17)*AD71</f>
        <v>6967936720.2900257</v>
      </c>
      <c r="AE77" s="43">
        <f ca="1">SUM(BS!AE15:AE17)*AE71</f>
        <v>7176319197.5057688</v>
      </c>
      <c r="AF77" s="43">
        <f ca="1">SUM(BS!AF15:AF17)*AF71</f>
        <v>7410087118.0503836</v>
      </c>
      <c r="AG77" s="43">
        <f ca="1">SUM(BS!AG15:AG17)*AG71</f>
        <v>7663044541.6729469</v>
      </c>
      <c r="AH77" s="43">
        <f ca="1">SUM(BS!AH15:AH17)*AH71</f>
        <v>7937849158.0875101</v>
      </c>
      <c r="AI77" s="43">
        <f ca="1">SUM(BS!AI15:AI17)*AI71</f>
        <v>8219935390.2149868</v>
      </c>
      <c r="AJ77" s="43">
        <f ca="1">SUM(BS!AJ15:AJ17)*AJ71</f>
        <v>9875293214.6079426</v>
      </c>
      <c r="AK77" s="43">
        <f ca="1">SUM(BS!AK15:AK17)*AK71</f>
        <v>11605184399.40288</v>
      </c>
      <c r="AL77" s="43">
        <f ca="1">SUM(BS!AL15:AL17)*AL71</f>
        <v>12504018718.493343</v>
      </c>
      <c r="AM77" s="43">
        <f>SUM(BS!AM15:AM17)*AM71</f>
        <v>0</v>
      </c>
      <c r="AN77" s="43">
        <f>SUM(BS!AN15:AN17)*AN71</f>
        <v>0</v>
      </c>
      <c r="AO77" s="43">
        <f>SUM(BS!AO15:AO17)*AO71</f>
        <v>0</v>
      </c>
      <c r="AP77" s="43">
        <f>SUM(BS!AP15:AP17)*AP71</f>
        <v>0</v>
      </c>
      <c r="AQ77" s="43">
        <f>SUM(BS!AQ15:AQ17)*AQ71</f>
        <v>0</v>
      </c>
      <c r="AR77" s="43">
        <f>SUM(BS!AR15:AR17)*AR71</f>
        <v>0</v>
      </c>
      <c r="AS77" s="43">
        <f>SUM(BS!AS15:AS17)*AS71</f>
        <v>0</v>
      </c>
      <c r="AT77" s="43">
        <f>SUM(BS!AT15:AT17)*AT71</f>
        <v>0</v>
      </c>
      <c r="AU77" s="43">
        <f>SUM(BS!AU15:AU17)*AU71</f>
        <v>0</v>
      </c>
      <c r="AV77" s="43">
        <f>SUM(BS!AV15:AV17)*AV71</f>
        <v>0</v>
      </c>
      <c r="AW77" s="43">
        <f>SUM(BS!AW15:AW17)*AW71</f>
        <v>0</v>
      </c>
      <c r="AX77" s="1058"/>
      <c r="AY77" s="1058"/>
    </row>
    <row r="78" spans="1:52">
      <c r="B78" s="2" t="s">
        <v>525</v>
      </c>
      <c r="C78" s="144" t="str">
        <f>$C$31</f>
        <v>US$</v>
      </c>
      <c r="I78" s="42">
        <f ca="1">SUM(I75:I77)</f>
        <v>12773509055.926477</v>
      </c>
      <c r="J78" s="42">
        <f t="shared" ref="J78:AI78" ca="1" si="10">SUM(J75:J77)</f>
        <v>13925610695.216545</v>
      </c>
      <c r="K78" s="42">
        <f t="shared" ca="1" si="10"/>
        <v>16252075205.779112</v>
      </c>
      <c r="L78" s="42">
        <f t="shared" ca="1" si="10"/>
        <v>17372196808.460918</v>
      </c>
      <c r="M78" s="42">
        <f t="shared" ca="1" si="10"/>
        <v>18215897798.464321</v>
      </c>
      <c r="N78" s="42">
        <f t="shared" ca="1" si="10"/>
        <v>18829618091.796585</v>
      </c>
      <c r="O78" s="42">
        <f t="shared" ca="1" si="10"/>
        <v>19394962325.634064</v>
      </c>
      <c r="P78" s="42">
        <f t="shared" ca="1" si="10"/>
        <v>19904547405.129604</v>
      </c>
      <c r="Q78" s="42">
        <f t="shared" ca="1" si="10"/>
        <v>20353701835.957546</v>
      </c>
      <c r="R78" s="42">
        <f t="shared" ca="1" si="10"/>
        <v>20507202784.56234</v>
      </c>
      <c r="S78" s="42">
        <f t="shared" ca="1" si="10"/>
        <v>20839087789.148605</v>
      </c>
      <c r="T78" s="42">
        <f t="shared" ca="1" si="10"/>
        <v>21010407130.759846</v>
      </c>
      <c r="U78" s="42">
        <f t="shared" ca="1" si="10"/>
        <v>20994767871.041996</v>
      </c>
      <c r="V78" s="42">
        <f t="shared" ca="1" si="10"/>
        <v>20779189554.686825</v>
      </c>
      <c r="W78" s="42">
        <f t="shared" ca="1" si="10"/>
        <v>20331609767.211514</v>
      </c>
      <c r="X78" s="42">
        <f t="shared" ca="1" si="10"/>
        <v>19237718440.419064</v>
      </c>
      <c r="Y78" s="42">
        <f t="shared" ca="1" si="10"/>
        <v>18629239349.135941</v>
      </c>
      <c r="Z78" s="42">
        <f t="shared" ca="1" si="10"/>
        <v>18028536479.067253</v>
      </c>
      <c r="AA78" s="42">
        <f t="shared" ca="1" si="10"/>
        <v>17310281122.936699</v>
      </c>
      <c r="AB78" s="42">
        <f t="shared" ca="1" si="10"/>
        <v>16485089834.863235</v>
      </c>
      <c r="AC78" s="42">
        <f t="shared" ca="1" si="10"/>
        <v>15527216627.307365</v>
      </c>
      <c r="AD78" s="42">
        <f t="shared" ca="1" si="10"/>
        <v>14419086489.799017</v>
      </c>
      <c r="AE78" s="42">
        <f t="shared" ca="1" si="10"/>
        <v>13124611130.666016</v>
      </c>
      <c r="AF78" s="42">
        <f t="shared" ca="1" si="10"/>
        <v>11633557815.702353</v>
      </c>
      <c r="AG78" s="42">
        <f t="shared" ca="1" si="10"/>
        <v>13874919156.490206</v>
      </c>
      <c r="AH78" s="42">
        <f t="shared" ca="1" si="10"/>
        <v>16021331508.474413</v>
      </c>
      <c r="AI78" s="42">
        <f t="shared" ca="1" si="10"/>
        <v>18064269239.237991</v>
      </c>
    </row>
    <row r="80" spans="1:52">
      <c r="B80" s="29" t="s">
        <v>526</v>
      </c>
    </row>
    <row r="81" spans="2:52">
      <c r="B81" s="2" t="s">
        <v>522</v>
      </c>
      <c r="C81" s="144" t="str">
        <f>$C$31</f>
        <v>US$</v>
      </c>
      <c r="D81" s="41">
        <f ca="1">SUM(I81:AI81)</f>
        <v>33391283883.505978</v>
      </c>
      <c r="I81" s="41">
        <f t="shared" ref="I81:AZ81" ca="1" si="11">I32*I71</f>
        <v>0</v>
      </c>
      <c r="J81" s="41">
        <f t="shared" ca="1" si="11"/>
        <v>-132913371.73613448</v>
      </c>
      <c r="K81" s="41">
        <f t="shared" ca="1" si="11"/>
        <v>632979160.75820267</v>
      </c>
      <c r="L81" s="41">
        <f t="shared" ca="1" si="11"/>
        <v>1113384145.8202512</v>
      </c>
      <c r="M81" s="41">
        <f t="shared" ca="1" si="11"/>
        <v>1307343777.7768016</v>
      </c>
      <c r="N81" s="41">
        <f t="shared" ca="1" si="11"/>
        <v>1264692907.9545906</v>
      </c>
      <c r="O81" s="41">
        <f t="shared" ca="1" si="11"/>
        <v>1349315140.1386206</v>
      </c>
      <c r="P81" s="41">
        <f t="shared" ca="1" si="11"/>
        <v>1425359922.7759254</v>
      </c>
      <c r="Q81" s="41">
        <f t="shared" ca="1" si="11"/>
        <v>1503447690.4102097</v>
      </c>
      <c r="R81" s="41">
        <f t="shared" ca="1" si="11"/>
        <v>1324092719.1085794</v>
      </c>
      <c r="S81" s="41">
        <f t="shared" ca="1" si="11"/>
        <v>1283070151.1751375</v>
      </c>
      <c r="T81" s="41">
        <f t="shared" ca="1" si="11"/>
        <v>1361126777.7746472</v>
      </c>
      <c r="U81" s="41">
        <f t="shared" ca="1" si="11"/>
        <v>1442257475.690588</v>
      </c>
      <c r="V81" s="41">
        <f t="shared" ca="1" si="11"/>
        <v>1528178348.3972325</v>
      </c>
      <c r="W81" s="41">
        <f t="shared" ca="1" si="11"/>
        <v>1616160258.3257608</v>
      </c>
      <c r="X81" s="41">
        <f t="shared" ca="1" si="11"/>
        <v>1235546330.5832512</v>
      </c>
      <c r="Y81" s="41">
        <f t="shared" ca="1" si="11"/>
        <v>1172655466.6061137</v>
      </c>
      <c r="Z81" s="41">
        <f t="shared" ca="1" si="11"/>
        <v>1209196930.2893116</v>
      </c>
      <c r="AA81" s="41">
        <f t="shared" ca="1" si="11"/>
        <v>1245685425.722734</v>
      </c>
      <c r="AB81" s="41">
        <f t="shared" ca="1" si="11"/>
        <v>1285172638.6101649</v>
      </c>
      <c r="AC81" s="41">
        <f t="shared" ca="1" si="11"/>
        <v>1325847448.789845</v>
      </c>
      <c r="AD81" s="41">
        <f t="shared" ca="1" si="11"/>
        <v>1368791499.13083</v>
      </c>
      <c r="AE81" s="41">
        <f t="shared" ca="1" si="11"/>
        <v>1411363588.111443</v>
      </c>
      <c r="AF81" s="41">
        <f t="shared" ca="1" si="11"/>
        <v>1457366133.1732535</v>
      </c>
      <c r="AG81" s="41">
        <f t="shared" ca="1" si="11"/>
        <v>1504464392.6556954</v>
      </c>
      <c r="AH81" s="41">
        <f t="shared" ca="1" si="11"/>
        <v>1553913969.7623825</v>
      </c>
      <c r="AI81" s="41">
        <f t="shared" ca="1" si="11"/>
        <v>1602784955.700546</v>
      </c>
      <c r="AJ81" s="41">
        <f t="shared" ca="1" si="11"/>
        <v>1655357824.3929558</v>
      </c>
      <c r="AK81" s="41">
        <f t="shared" ca="1" si="11"/>
        <v>1729891184.7949376</v>
      </c>
      <c r="AL81" s="41">
        <f t="shared" ca="1" si="11"/>
        <v>2140969646.930531</v>
      </c>
      <c r="AM81" s="41">
        <f t="shared" si="11"/>
        <v>0</v>
      </c>
      <c r="AN81" s="41">
        <f t="shared" si="11"/>
        <v>0</v>
      </c>
      <c r="AO81" s="41">
        <f t="shared" si="11"/>
        <v>0</v>
      </c>
      <c r="AP81" s="41">
        <f t="shared" si="11"/>
        <v>0</v>
      </c>
      <c r="AQ81" s="41">
        <f t="shared" si="11"/>
        <v>0</v>
      </c>
      <c r="AR81" s="41">
        <f t="shared" si="11"/>
        <v>0</v>
      </c>
      <c r="AS81" s="41">
        <f t="shared" si="11"/>
        <v>0</v>
      </c>
      <c r="AT81" s="41">
        <f t="shared" si="11"/>
        <v>0</v>
      </c>
      <c r="AU81" s="41">
        <f t="shared" si="11"/>
        <v>0</v>
      </c>
      <c r="AV81" s="41">
        <f t="shared" si="11"/>
        <v>0</v>
      </c>
      <c r="AW81" s="41">
        <f t="shared" si="11"/>
        <v>0</v>
      </c>
      <c r="AX81" s="41">
        <f t="shared" si="11"/>
        <v>0</v>
      </c>
      <c r="AY81" s="41">
        <f t="shared" si="11"/>
        <v>0</v>
      </c>
      <c r="AZ81" s="41">
        <f t="shared" si="11"/>
        <v>0</v>
      </c>
    </row>
    <row r="82" spans="2:52">
      <c r="B82" s="2" t="s">
        <v>523</v>
      </c>
      <c r="C82" s="144" t="str">
        <f>$C$31</f>
        <v>US$</v>
      </c>
      <c r="I82" s="41">
        <f ca="1">NPV($D$72,J81:$AG$81)*I20</f>
        <v>10014415657.077877</v>
      </c>
      <c r="J82" s="41">
        <f ca="1">NPV($D$72,K81:$AG$81)*J20</f>
        <v>11154779243.916046</v>
      </c>
      <c r="K82" s="41">
        <f ca="1">NPV($D$72,L81:$AG$81)*K20</f>
        <v>11643970875.0958</v>
      </c>
      <c r="L82" s="41">
        <f ca="1">NPV($D$72,M81:$AG$81)*L20</f>
        <v>11701970199.310186</v>
      </c>
      <c r="M82" s="41">
        <f ca="1">NPV($D$72,N81:$AG$81)*M20</f>
        <v>11571844623.583988</v>
      </c>
      <c r="N82" s="41">
        <f ca="1">NPV($D$72,O81:$AG$81)*N20</f>
        <v>11471279284.761944</v>
      </c>
      <c r="O82" s="41">
        <f ca="1">NPV($D$72,P81:$AG$81)*O20</f>
        <v>11275974840.670378</v>
      </c>
      <c r="P82" s="41">
        <f ca="1">NPV($D$72,Q81:$AG$81)*P20</f>
        <v>10984977986.865892</v>
      </c>
      <c r="Q82" s="41">
        <f ca="1">NPV($D$72,R81:$AG$81)*Q20</f>
        <v>10586619081.934393</v>
      </c>
      <c r="R82" s="41">
        <f ca="1">NPV($D$72,S81:$AG$81)*R20</f>
        <v>10327540242.468412</v>
      </c>
      <c r="S82" s="41">
        <f ca="1">NPV($D$72,T81:$AG$81)*S20</f>
        <v>10083420639.685598</v>
      </c>
      <c r="T82" s="41">
        <f ca="1">NPV($D$72,U81:$AG$81)*T20</f>
        <v>9736685978.2633209</v>
      </c>
      <c r="U82" s="41">
        <f ca="1">NPV($D$72,V81:$AG$81)*U20</f>
        <v>9273939111.9860229</v>
      </c>
      <c r="V82" s="41">
        <f ca="1">NPV($D$72,W81:$AG$81)*V20</f>
        <v>8678719038.2545872</v>
      </c>
      <c r="W82" s="41">
        <f ca="1">NPV($D$72,X81:$AG$81)*W20</f>
        <v>7935637915.1772346</v>
      </c>
      <c r="X82" s="41">
        <f ca="1">NPV($D$72,Y81:$AG$81)*X20</f>
        <v>7498416758.860815</v>
      </c>
      <c r="Y82" s="41">
        <f ca="1">NPV($D$72,Z81:$AG$81)*Y20</f>
        <v>7080102018.1960993</v>
      </c>
      <c r="Z82" s="41">
        <f ca="1">NPV($D$72,AA81:$AG$81)*Z20</f>
        <v>6583163350.9373169</v>
      </c>
      <c r="AA82" s="41">
        <f ca="1">NPV($D$72,AB81:$AG$81)*AA20</f>
        <v>5999744158.3188753</v>
      </c>
      <c r="AB82" s="41">
        <f ca="1">NPV($D$72,AC81:$AG$81)*AB20</f>
        <v>5318145782.0355911</v>
      </c>
      <c r="AC82" s="41">
        <f ca="1">NPV($D$72,AD81:$AG$81)*AC20</f>
        <v>4527303798.9185257</v>
      </c>
      <c r="AD82" s="41">
        <f ca="1">NPV($D$72,AE81:$AG$81)*AD20</f>
        <v>3613959061.9589</v>
      </c>
      <c r="AE82" s="41">
        <f ca="1">NPV($D$72,AF81:$AG$81)*AE20</f>
        <v>2566159755.4805222</v>
      </c>
      <c r="AF82" s="41">
        <f ca="1">NPV($D$72,AG81:$AG$81)*AF20</f>
        <v>1366949293.7086093</v>
      </c>
      <c r="AG82" s="41">
        <f ca="1">NPV($D$72,$AG81:AH$81)*AG20</f>
        <v>2649775886.1406746</v>
      </c>
      <c r="AH82" s="41">
        <f ca="1">NPV($D$72,$AG81:AI$81)*AH20</f>
        <v>3852003591.0640621</v>
      </c>
      <c r="AI82" s="41">
        <f ca="1">NPV($D$72,$AG81:AJ$81)*AI20</f>
        <v>4980171786.0358438</v>
      </c>
      <c r="AJ82" s="41">
        <f ca="1">NPV($D$72,$AG81:AK$81)*AJ20</f>
        <v>6051373461.3474302</v>
      </c>
      <c r="AK82" s="41">
        <f ca="1">NPV($D$72,$AG81:AL$81)*AK20</f>
        <v>7255947390.4306908</v>
      </c>
      <c r="AL82" s="41">
        <f ca="1">NPV($D$72,$AG81:AM$81)*AL20</f>
        <v>7255947390.4306908</v>
      </c>
      <c r="AM82" s="41">
        <f ca="1">NPV($D$72,$AG81:AN$81)*AM20</f>
        <v>0</v>
      </c>
      <c r="AN82" s="41">
        <f ca="1">NPV($D$72,$AG81:AO$81)*AN20</f>
        <v>0</v>
      </c>
      <c r="AO82" s="41">
        <f ca="1">NPV($D$72,$AG81:AP$81)*AO20</f>
        <v>0</v>
      </c>
      <c r="AP82" s="41">
        <f ca="1">NPV($D$72,$AG81:AQ$81)*AP20</f>
        <v>0</v>
      </c>
      <c r="AQ82" s="41">
        <f ca="1">NPV($D$72,$AG81:AR$81)*AQ20</f>
        <v>0</v>
      </c>
      <c r="AR82" s="41">
        <f ca="1">NPV($D$72,$AG81:AS$81)*AR20</f>
        <v>0</v>
      </c>
      <c r="AS82" s="41">
        <f ca="1">NPV($D$72,$AG81:AT$81)*AS20</f>
        <v>0</v>
      </c>
      <c r="AT82" s="41">
        <f ca="1">NPV($D$72,$AG81:AU$81)*AT20</f>
        <v>0</v>
      </c>
      <c r="AU82" s="41">
        <f ca="1">NPV($D$72,$AG81:AV$81)*AU20</f>
        <v>0</v>
      </c>
      <c r="AV82" s="41">
        <f ca="1">NPV($D$72,$AG81:AW$81)*AV20</f>
        <v>0</v>
      </c>
      <c r="AW82" s="41">
        <f ca="1">NPV($D$72,$AG81:AX$81)*AW20</f>
        <v>0</v>
      </c>
      <c r="AX82" s="41">
        <f ca="1">NPV($D$72,$AG81:AY$81)*AX20</f>
        <v>0</v>
      </c>
      <c r="AY82" s="41">
        <f ca="1">NPV($D$72,$AG81:AZ$81)*AY20</f>
        <v>0</v>
      </c>
      <c r="AZ82" s="41">
        <f ca="1">NPV($D$72,$AG81:BA$81)*AZ20</f>
        <v>0</v>
      </c>
    </row>
    <row r="83" spans="2:52">
      <c r="B83" s="27" t="s">
        <v>524</v>
      </c>
      <c r="C83" s="218" t="str">
        <f>$C$31</f>
        <v>US$</v>
      </c>
      <c r="D83" s="27"/>
      <c r="E83" s="27"/>
      <c r="F83" s="27"/>
      <c r="G83" s="27"/>
      <c r="H83" s="27"/>
      <c r="I83" s="43">
        <f ca="1">SUM(BS!I15:I17)*I71</f>
        <v>0</v>
      </c>
      <c r="J83" s="43">
        <f ca="1">SUM(BS!J15:J17)*J71</f>
        <v>-132913371.73613448</v>
      </c>
      <c r="K83" s="43">
        <f ca="1">SUM(BS!K15:K17)*K71</f>
        <v>632979160.75820112</v>
      </c>
      <c r="L83" s="43">
        <f ca="1">SUM(BS!L15:L17)*L71</f>
        <v>878476565.64138186</v>
      </c>
      <c r="M83" s="43">
        <f ca="1">SUM(BS!M15:M17)*M71</f>
        <v>1288299890.1069081</v>
      </c>
      <c r="N83" s="43">
        <f ca="1">SUM(BS!N15:N17)*N71</f>
        <v>1637966395.679565</v>
      </c>
      <c r="O83" s="43">
        <f ca="1">SUM(BS!O15:O17)*O71</f>
        <v>2040726817.8025031</v>
      </c>
      <c r="P83" s="43">
        <f ca="1">SUM(BS!P15:P17)*P71</f>
        <v>2485380857.1483808</v>
      </c>
      <c r="Q83" s="43">
        <f ca="1">SUM(BS!Q15:Q17)*Q71</f>
        <v>2965996236.233273</v>
      </c>
      <c r="R83" s="43">
        <f ca="1">SUM(BS!R15:R17)*R71</f>
        <v>3260022660.1744308</v>
      </c>
      <c r="S83" s="43">
        <f ca="1">SUM(BS!S15:S17)*S71</f>
        <v>3859761865.2041125</v>
      </c>
      <c r="T83" s="43">
        <f ca="1">SUM(BS!T15:T17)*T71</f>
        <v>4437755346.5319462</v>
      </c>
      <c r="U83" s="43">
        <f ca="1">SUM(BS!U15:U17)*U71</f>
        <v>4998010898.8891544</v>
      </c>
      <c r="V83" s="43">
        <f ca="1">SUM(BS!V15:V17)*V71</f>
        <v>5549935527.9177265</v>
      </c>
      <c r="W83" s="43">
        <f ca="1">SUM(BS!W15:W17)*W71</f>
        <v>6088236447.4359055</v>
      </c>
      <c r="X83" s="43">
        <f ca="1">SUM(BS!X15:X17)*X71</f>
        <v>6225215361.3162832</v>
      </c>
      <c r="Y83" s="43">
        <f ca="1">SUM(BS!Y15:Y17)*Y71</f>
        <v>6288190203.7340374</v>
      </c>
      <c r="Z83" s="43">
        <f ca="1">SUM(BS!Z15:Z17)*Z71</f>
        <v>6375851763.5649385</v>
      </c>
      <c r="AA83" s="43">
        <f ca="1">SUM(BS!AA15:AA17)*AA71</f>
        <v>6475174472.3235817</v>
      </c>
      <c r="AB83" s="43">
        <f ca="1">SUM(BS!AB15:AB17)*AB71</f>
        <v>6610492805.2316284</v>
      </c>
      <c r="AC83" s="43">
        <f ca="1">SUM(BS!AC15:AC17)*AC71</f>
        <v>6774454777.4897223</v>
      </c>
      <c r="AD83" s="43">
        <f ca="1">SUM(BS!AD15:AD17)*AD71</f>
        <v>6967936720.2900257</v>
      </c>
      <c r="AE83" s="43">
        <f ca="1">SUM(BS!AE15:AE17)*AE71</f>
        <v>7176319197.5057688</v>
      </c>
      <c r="AF83" s="43">
        <f ca="1">SUM(BS!AF15:AF17)*AF71</f>
        <v>7410087118.0503836</v>
      </c>
      <c r="AG83" s="43">
        <f ca="1">SUM(BS!AG15:AG17)*AG71</f>
        <v>7663044541.6729469</v>
      </c>
      <c r="AH83" s="43">
        <f ca="1">SUM(BS!AH15:AH17)*AH71</f>
        <v>7937849158.0875101</v>
      </c>
      <c r="AI83" s="43">
        <f ca="1">SUM(BS!AI15:AI17)*AI71</f>
        <v>8219935390.2149868</v>
      </c>
      <c r="AJ83" s="43">
        <f ca="1">SUM(BS!AJ15:AJ17)*AJ71</f>
        <v>9875293214.6079426</v>
      </c>
      <c r="AK83" s="43">
        <f ca="1">SUM(BS!AK15:AK17)*AK71</f>
        <v>11605184399.40288</v>
      </c>
      <c r="AL83" s="43">
        <f ca="1">SUM(BS!AL15:AL17)*AL71</f>
        <v>12504018718.493343</v>
      </c>
      <c r="AM83" s="43">
        <f>SUM(BS!AM15:AM17)*AM71</f>
        <v>0</v>
      </c>
      <c r="AN83" s="43">
        <f>SUM(BS!AN15:AN17)*AN71</f>
        <v>0</v>
      </c>
      <c r="AO83" s="43">
        <f>SUM(BS!AO15:AO17)*AO71</f>
        <v>0</v>
      </c>
      <c r="AP83" s="43">
        <f>SUM(BS!AP15:AP17)*AP71</f>
        <v>0</v>
      </c>
      <c r="AQ83" s="43">
        <f>SUM(BS!AQ15:AQ17)*AQ71</f>
        <v>0</v>
      </c>
      <c r="AR83" s="43">
        <f>SUM(BS!AR15:AR17)*AR71</f>
        <v>0</v>
      </c>
      <c r="AS83" s="43">
        <f>SUM(BS!AS15:AS17)*AS71</f>
        <v>0</v>
      </c>
      <c r="AT83" s="43">
        <f>SUM(BS!AT15:AT17)*AT71</f>
        <v>0</v>
      </c>
      <c r="AU83" s="43">
        <f>SUM(BS!AU15:AU17)*AU71</f>
        <v>0</v>
      </c>
      <c r="AV83" s="43">
        <f>SUM(BS!AV15:AV17)*AV71</f>
        <v>0</v>
      </c>
      <c r="AW83" s="43">
        <f>SUM(BS!AW15:AW17)*AW71</f>
        <v>0</v>
      </c>
      <c r="AX83" s="43">
        <f>SUM(BS!AX15:AX17)*AX71</f>
        <v>0</v>
      </c>
      <c r="AY83" s="43">
        <f>SUM(BS!AY15:AY17)*AY71</f>
        <v>0</v>
      </c>
      <c r="AZ83" s="43">
        <f>SUM(BS!AZ15:AZ17)*AZ71</f>
        <v>0</v>
      </c>
    </row>
    <row r="84" spans="2:52">
      <c r="B84" s="2" t="s">
        <v>525</v>
      </c>
      <c r="C84" s="144" t="str">
        <f>$C$31</f>
        <v>US$</v>
      </c>
      <c r="I84" s="42">
        <f ca="1">SUM(I81:I83)</f>
        <v>10014415657.077877</v>
      </c>
      <c r="J84" s="42">
        <f t="shared" ref="J84:AW84" ca="1" si="12">SUM(J81:J83)</f>
        <v>10888952500.443779</v>
      </c>
      <c r="K84" s="42">
        <f t="shared" ca="1" si="12"/>
        <v>12909929196.612206</v>
      </c>
      <c r="L84" s="42">
        <f t="shared" ca="1" si="12"/>
        <v>13693830910.77182</v>
      </c>
      <c r="M84" s="42">
        <f t="shared" ca="1" si="12"/>
        <v>14167488291.467699</v>
      </c>
      <c r="N84" s="42">
        <f t="shared" ca="1" si="12"/>
        <v>14373938588.396099</v>
      </c>
      <c r="O84" s="42">
        <f t="shared" ca="1" si="12"/>
        <v>14666016798.611502</v>
      </c>
      <c r="P84" s="42">
        <f t="shared" ca="1" si="12"/>
        <v>14895718766.790197</v>
      </c>
      <c r="Q84" s="42">
        <f t="shared" ca="1" si="12"/>
        <v>15056063008.577875</v>
      </c>
      <c r="R84" s="42">
        <f t="shared" ca="1" si="12"/>
        <v>14911655621.751423</v>
      </c>
      <c r="S84" s="42">
        <f t="shared" ca="1" si="12"/>
        <v>15226252656.06485</v>
      </c>
      <c r="T84" s="42">
        <f t="shared" ca="1" si="12"/>
        <v>15535568102.569914</v>
      </c>
      <c r="U84" s="42">
        <f t="shared" ca="1" si="12"/>
        <v>15714207486.565765</v>
      </c>
      <c r="V84" s="42">
        <f t="shared" ca="1" si="12"/>
        <v>15756832914.569546</v>
      </c>
      <c r="W84" s="42">
        <f t="shared" ca="1" si="12"/>
        <v>15640034620.9389</v>
      </c>
      <c r="X84" s="42">
        <f t="shared" ca="1" si="12"/>
        <v>14959178450.760349</v>
      </c>
      <c r="Y84" s="42">
        <f t="shared" ca="1" si="12"/>
        <v>14540947688.536251</v>
      </c>
      <c r="Z84" s="42">
        <f t="shared" ca="1" si="12"/>
        <v>14168212044.791567</v>
      </c>
      <c r="AA84" s="42">
        <f t="shared" ca="1" si="12"/>
        <v>13720604056.365191</v>
      </c>
      <c r="AB84" s="42">
        <f t="shared" ca="1" si="12"/>
        <v>13213811225.877384</v>
      </c>
      <c r="AC84" s="42">
        <f t="shared" ca="1" si="12"/>
        <v>12627606025.198093</v>
      </c>
      <c r="AD84" s="42">
        <f t="shared" ca="1" si="12"/>
        <v>11950687281.379757</v>
      </c>
      <c r="AE84" s="42">
        <f t="shared" ca="1" si="12"/>
        <v>11153842541.097734</v>
      </c>
      <c r="AF84" s="42">
        <f t="shared" ca="1" si="12"/>
        <v>10234402544.932247</v>
      </c>
      <c r="AG84" s="42">
        <f t="shared" ca="1" si="12"/>
        <v>11817284820.469316</v>
      </c>
      <c r="AH84" s="42">
        <f t="shared" ca="1" si="12"/>
        <v>13343766718.913956</v>
      </c>
      <c r="AI84" s="42">
        <f t="shared" ca="1" si="12"/>
        <v>14802892131.951378</v>
      </c>
      <c r="AJ84" s="42">
        <f t="shared" ca="1" si="12"/>
        <v>17582024500.348328</v>
      </c>
      <c r="AK84" s="42">
        <f t="shared" ca="1" si="12"/>
        <v>20591022974.62851</v>
      </c>
      <c r="AL84" s="42">
        <f t="shared" ca="1" si="12"/>
        <v>21900935755.854565</v>
      </c>
      <c r="AM84" s="42">
        <f t="shared" ca="1" si="12"/>
        <v>0</v>
      </c>
      <c r="AN84" s="42">
        <f t="shared" ca="1" si="12"/>
        <v>0</v>
      </c>
      <c r="AO84" s="42">
        <f t="shared" ca="1" si="12"/>
        <v>0</v>
      </c>
      <c r="AP84" s="42">
        <f t="shared" ca="1" si="12"/>
        <v>0</v>
      </c>
      <c r="AQ84" s="42">
        <f t="shared" ca="1" si="12"/>
        <v>0</v>
      </c>
      <c r="AR84" s="42">
        <f t="shared" ca="1" si="12"/>
        <v>0</v>
      </c>
      <c r="AS84" s="42">
        <f t="shared" ca="1" si="12"/>
        <v>0</v>
      </c>
      <c r="AT84" s="42">
        <f t="shared" ca="1" si="12"/>
        <v>0</v>
      </c>
      <c r="AU84" s="42">
        <f t="shared" ca="1" si="12"/>
        <v>0</v>
      </c>
      <c r="AV84" s="42">
        <f t="shared" ca="1" si="12"/>
        <v>0</v>
      </c>
      <c r="AW84" s="42">
        <f t="shared" ca="1" si="12"/>
        <v>0</v>
      </c>
    </row>
    <row r="86" spans="2:52">
      <c r="B86" s="2" t="s">
        <v>527</v>
      </c>
      <c r="C86" s="144" t="str">
        <f>$C$31</f>
        <v>US$</v>
      </c>
      <c r="I86" s="41">
        <f ca="1">'Debt Schedule'!I53</f>
        <v>0</v>
      </c>
      <c r="J86" s="41">
        <f ca="1">'Debt Schedule'!J53</f>
        <v>1895542304.3210859</v>
      </c>
      <c r="K86" s="41">
        <f ca="1">'Debt Schedule'!K53</f>
        <v>2898315764.9601583</v>
      </c>
      <c r="L86" s="41">
        <f ca="1">'Debt Schedule'!L53</f>
        <v>2484270655.6801357</v>
      </c>
      <c r="M86" s="41">
        <f ca="1">'Debt Schedule'!M53</f>
        <v>2070225546.4001131</v>
      </c>
      <c r="N86" s="41">
        <f ca="1">'Debt Schedule'!N53</f>
        <v>1656180437.1200905</v>
      </c>
      <c r="O86" s="41">
        <f ca="1">'Debt Schedule'!O53</f>
        <v>1242135327.8400679</v>
      </c>
      <c r="P86" s="41">
        <f ca="1">'Debt Schedule'!P53</f>
        <v>828090218.56004524</v>
      </c>
      <c r="Q86" s="41">
        <f ca="1">'Debt Schedule'!Q53</f>
        <v>414045109.28002262</v>
      </c>
      <c r="R86" s="41">
        <f ca="1">'Debt Schedule'!R53</f>
        <v>0</v>
      </c>
      <c r="S86" s="41">
        <f ca="1">'Debt Schedule'!S53</f>
        <v>0</v>
      </c>
      <c r="T86" s="41">
        <f ca="1">'Debt Schedule'!T53</f>
        <v>0</v>
      </c>
      <c r="U86" s="41">
        <f ca="1">'Debt Schedule'!U53</f>
        <v>0</v>
      </c>
      <c r="V86" s="41">
        <f ca="1">'Debt Schedule'!V53</f>
        <v>0</v>
      </c>
      <c r="W86" s="41">
        <f ca="1">'Debt Schedule'!W53</f>
        <v>0</v>
      </c>
      <c r="X86" s="41">
        <f ca="1">'Debt Schedule'!X53</f>
        <v>0</v>
      </c>
      <c r="Y86" s="41">
        <f ca="1">'Debt Schedule'!Y53</f>
        <v>0</v>
      </c>
      <c r="Z86" s="41">
        <f ca="1">'Debt Schedule'!Z53</f>
        <v>0</v>
      </c>
      <c r="AA86" s="41">
        <f ca="1">'Debt Schedule'!AA53</f>
        <v>0</v>
      </c>
      <c r="AB86" s="41">
        <f ca="1">'Debt Schedule'!AB53</f>
        <v>0</v>
      </c>
      <c r="AC86" s="41">
        <f ca="1">'Debt Schedule'!AC53</f>
        <v>0</v>
      </c>
      <c r="AD86" s="41">
        <f ca="1">'Debt Schedule'!AD53</f>
        <v>0</v>
      </c>
      <c r="AE86" s="41">
        <f ca="1">'Debt Schedule'!AE53</f>
        <v>0</v>
      </c>
      <c r="AF86" s="41">
        <f ca="1">'Debt Schedule'!AF53</f>
        <v>0</v>
      </c>
      <c r="AG86" s="41">
        <f ca="1">'Debt Schedule'!AG53</f>
        <v>0</v>
      </c>
      <c r="AH86" s="41">
        <f ca="1">'Debt Schedule'!AH53</f>
        <v>0</v>
      </c>
      <c r="AI86" s="41">
        <f ca="1">'Debt Schedule'!AI54</f>
        <v>0</v>
      </c>
    </row>
    <row r="88" spans="2:52">
      <c r="B88" s="2" t="s">
        <v>531</v>
      </c>
      <c r="C88" s="15" t="s">
        <v>517</v>
      </c>
      <c r="I88" s="219" t="str">
        <f ca="1">IF(OR(I29=0,I86=0),"n/a",I$78/I$86)</f>
        <v>n/a</v>
      </c>
      <c r="J88" s="219" t="str">
        <f t="shared" ref="J88:AW88" ca="1" si="13">IF(OR(J29=0,J86=0),"n/a",J$78/J$86)</f>
        <v>n/a</v>
      </c>
      <c r="K88" s="219" t="str">
        <f t="shared" ca="1" si="13"/>
        <v>n/a</v>
      </c>
      <c r="L88" s="219">
        <f ca="1">IF(OR(L29=0,L86=0),"n/a",L$78/L$86)</f>
        <v>6.9928760655528546</v>
      </c>
      <c r="M88" s="219">
        <f t="shared" ca="1" si="13"/>
        <v>8.7989918925209363</v>
      </c>
      <c r="N88" s="219">
        <f t="shared" ca="1" si="13"/>
        <v>11.369303531044691</v>
      </c>
      <c r="O88" s="219">
        <f t="shared" ca="1" si="13"/>
        <v>15.614210377028483</v>
      </c>
      <c r="P88" s="219">
        <f t="shared" ca="1" si="13"/>
        <v>24.036689431909181</v>
      </c>
      <c r="Q88" s="219">
        <f t="shared" ca="1" si="13"/>
        <v>49.158174749003365</v>
      </c>
      <c r="R88" s="219" t="str">
        <f t="shared" ca="1" si="13"/>
        <v>n/a</v>
      </c>
      <c r="S88" s="219" t="str">
        <f t="shared" ca="1" si="13"/>
        <v>n/a</v>
      </c>
      <c r="T88" s="219" t="str">
        <f t="shared" ca="1" si="13"/>
        <v>n/a</v>
      </c>
      <c r="U88" s="219" t="str">
        <f t="shared" ca="1" si="13"/>
        <v>n/a</v>
      </c>
      <c r="V88" s="219" t="str">
        <f t="shared" ca="1" si="13"/>
        <v>n/a</v>
      </c>
      <c r="W88" s="219" t="str">
        <f t="shared" ca="1" si="13"/>
        <v>n/a</v>
      </c>
      <c r="X88" s="219" t="str">
        <f t="shared" ca="1" si="13"/>
        <v>n/a</v>
      </c>
      <c r="Y88" s="219" t="str">
        <f t="shared" ca="1" si="13"/>
        <v>n/a</v>
      </c>
      <c r="Z88" s="219" t="str">
        <f t="shared" ca="1" si="13"/>
        <v>n/a</v>
      </c>
      <c r="AA88" s="219" t="str">
        <f t="shared" ca="1" si="13"/>
        <v>n/a</v>
      </c>
      <c r="AB88" s="219" t="str">
        <f t="shared" ca="1" si="13"/>
        <v>n/a</v>
      </c>
      <c r="AC88" s="219" t="str">
        <f t="shared" ca="1" si="13"/>
        <v>n/a</v>
      </c>
      <c r="AD88" s="219" t="str">
        <f t="shared" ca="1" si="13"/>
        <v>n/a</v>
      </c>
      <c r="AE88" s="219" t="str">
        <f t="shared" ca="1" si="13"/>
        <v>n/a</v>
      </c>
      <c r="AF88" s="219" t="str">
        <f t="shared" ca="1" si="13"/>
        <v>n/a</v>
      </c>
      <c r="AG88" s="219" t="str">
        <f t="shared" ca="1" si="13"/>
        <v>n/a</v>
      </c>
      <c r="AH88" s="219" t="str">
        <f t="shared" ca="1" si="13"/>
        <v>n/a</v>
      </c>
      <c r="AI88" s="219" t="str">
        <f t="shared" ca="1" si="13"/>
        <v>n/a</v>
      </c>
      <c r="AJ88" s="219" t="str">
        <f t="shared" si="13"/>
        <v>n/a</v>
      </c>
      <c r="AK88" s="219" t="str">
        <f t="shared" si="13"/>
        <v>n/a</v>
      </c>
      <c r="AL88" s="219" t="str">
        <f t="shared" si="13"/>
        <v>n/a</v>
      </c>
      <c r="AM88" s="219" t="str">
        <f t="shared" si="13"/>
        <v>n/a</v>
      </c>
      <c r="AN88" s="219" t="str">
        <f t="shared" si="13"/>
        <v>n/a</v>
      </c>
      <c r="AO88" s="219" t="str">
        <f t="shared" si="13"/>
        <v>n/a</v>
      </c>
      <c r="AP88" s="219" t="str">
        <f t="shared" si="13"/>
        <v>n/a</v>
      </c>
      <c r="AQ88" s="219" t="str">
        <f t="shared" si="13"/>
        <v>n/a</v>
      </c>
      <c r="AR88" s="219" t="str">
        <f t="shared" si="13"/>
        <v>n/a</v>
      </c>
      <c r="AS88" s="219" t="str">
        <f t="shared" si="13"/>
        <v>n/a</v>
      </c>
      <c r="AT88" s="219" t="str">
        <f t="shared" si="13"/>
        <v>n/a</v>
      </c>
      <c r="AU88" s="219" t="str">
        <f t="shared" si="13"/>
        <v>n/a</v>
      </c>
      <c r="AV88" s="219" t="str">
        <f t="shared" si="13"/>
        <v>n/a</v>
      </c>
      <c r="AW88" s="219" t="str">
        <f t="shared" si="13"/>
        <v>n/a</v>
      </c>
    </row>
    <row r="89" spans="2:52">
      <c r="B89" s="2" t="s">
        <v>532</v>
      </c>
      <c r="C89" s="15" t="s">
        <v>517</v>
      </c>
      <c r="I89" s="219" t="str">
        <f t="shared" ref="I89:AW89" ca="1" si="14">IF(OR(I29=0,I86=0),"n/a",I$84/I$86)</f>
        <v>n/a</v>
      </c>
      <c r="J89" s="219" t="str">
        <f t="shared" ca="1" si="14"/>
        <v>n/a</v>
      </c>
      <c r="K89" s="219" t="str">
        <f t="shared" ca="1" si="14"/>
        <v>n/a</v>
      </c>
      <c r="L89" s="219">
        <f t="shared" ca="1" si="14"/>
        <v>5.5122137676350595</v>
      </c>
      <c r="M89" s="219">
        <f t="shared" ca="1" si="14"/>
        <v>6.8434515824149456</v>
      </c>
      <c r="N89" s="219">
        <f t="shared" ca="1" si="14"/>
        <v>8.6789689494163724</v>
      </c>
      <c r="O89" s="219">
        <f t="shared" ca="1" si="14"/>
        <v>11.807100619313387</v>
      </c>
      <c r="P89" s="219">
        <f t="shared" ca="1" si="14"/>
        <v>17.988038540887683</v>
      </c>
      <c r="Q89" s="219">
        <f t="shared" ca="1" si="14"/>
        <v>36.363339817631605</v>
      </c>
      <c r="R89" s="219" t="str">
        <f t="shared" ca="1" si="14"/>
        <v>n/a</v>
      </c>
      <c r="S89" s="219" t="str">
        <f t="shared" ca="1" si="14"/>
        <v>n/a</v>
      </c>
      <c r="T89" s="219" t="str">
        <f t="shared" ca="1" si="14"/>
        <v>n/a</v>
      </c>
      <c r="U89" s="219" t="str">
        <f t="shared" ca="1" si="14"/>
        <v>n/a</v>
      </c>
      <c r="V89" s="219" t="str">
        <f t="shared" ca="1" si="14"/>
        <v>n/a</v>
      </c>
      <c r="W89" s="219" t="str">
        <f t="shared" ca="1" si="14"/>
        <v>n/a</v>
      </c>
      <c r="X89" s="219" t="str">
        <f t="shared" ca="1" si="14"/>
        <v>n/a</v>
      </c>
      <c r="Y89" s="219" t="str">
        <f t="shared" ca="1" si="14"/>
        <v>n/a</v>
      </c>
      <c r="Z89" s="219" t="str">
        <f t="shared" ca="1" si="14"/>
        <v>n/a</v>
      </c>
      <c r="AA89" s="219" t="str">
        <f t="shared" ca="1" si="14"/>
        <v>n/a</v>
      </c>
      <c r="AB89" s="219" t="str">
        <f t="shared" ca="1" si="14"/>
        <v>n/a</v>
      </c>
      <c r="AC89" s="219" t="str">
        <f t="shared" ca="1" si="14"/>
        <v>n/a</v>
      </c>
      <c r="AD89" s="219" t="str">
        <f t="shared" ca="1" si="14"/>
        <v>n/a</v>
      </c>
      <c r="AE89" s="219" t="str">
        <f t="shared" ca="1" si="14"/>
        <v>n/a</v>
      </c>
      <c r="AF89" s="219" t="str">
        <f t="shared" ca="1" si="14"/>
        <v>n/a</v>
      </c>
      <c r="AG89" s="219" t="str">
        <f t="shared" ca="1" si="14"/>
        <v>n/a</v>
      </c>
      <c r="AH89" s="219" t="str">
        <f t="shared" ca="1" si="14"/>
        <v>n/a</v>
      </c>
      <c r="AI89" s="219" t="str">
        <f t="shared" ca="1" si="14"/>
        <v>n/a</v>
      </c>
      <c r="AJ89" s="219" t="str">
        <f t="shared" si="14"/>
        <v>n/a</v>
      </c>
      <c r="AK89" s="219" t="str">
        <f t="shared" si="14"/>
        <v>n/a</v>
      </c>
      <c r="AL89" s="219" t="str">
        <f t="shared" si="14"/>
        <v>n/a</v>
      </c>
      <c r="AM89" s="219" t="str">
        <f t="shared" si="14"/>
        <v>n/a</v>
      </c>
      <c r="AN89" s="219" t="str">
        <f t="shared" si="14"/>
        <v>n/a</v>
      </c>
      <c r="AO89" s="219" t="str">
        <f t="shared" si="14"/>
        <v>n/a</v>
      </c>
      <c r="AP89" s="219" t="str">
        <f t="shared" si="14"/>
        <v>n/a</v>
      </c>
      <c r="AQ89" s="219" t="str">
        <f t="shared" si="14"/>
        <v>n/a</v>
      </c>
      <c r="AR89" s="219" t="str">
        <f t="shared" si="14"/>
        <v>n/a</v>
      </c>
      <c r="AS89" s="219" t="str">
        <f t="shared" si="14"/>
        <v>n/a</v>
      </c>
      <c r="AT89" s="219" t="str">
        <f t="shared" si="14"/>
        <v>n/a</v>
      </c>
      <c r="AU89" s="219" t="str">
        <f t="shared" si="14"/>
        <v>n/a</v>
      </c>
      <c r="AV89" s="219" t="str">
        <f t="shared" si="14"/>
        <v>n/a</v>
      </c>
      <c r="AW89" s="219" t="str">
        <f t="shared" si="14"/>
        <v>n/a</v>
      </c>
    </row>
    <row r="90" spans="2:52">
      <c r="C90" s="15"/>
      <c r="D90" s="213" t="s">
        <v>518</v>
      </c>
      <c r="E90" s="213" t="s">
        <v>519</v>
      </c>
    </row>
    <row r="91" spans="2:52">
      <c r="B91" s="2" t="s">
        <v>513</v>
      </c>
      <c r="C91" s="15" t="s">
        <v>517</v>
      </c>
      <c r="D91" s="214">
        <f ca="1">AVERAGE(I88:AI88)</f>
        <v>19.328374341176584</v>
      </c>
      <c r="E91" s="214">
        <f ca="1">AVERAGE(I89:AI89)</f>
        <v>14.53218554621651</v>
      </c>
    </row>
    <row r="92" spans="2:52">
      <c r="B92" s="2" t="s">
        <v>514</v>
      </c>
      <c r="C92" s="15" t="s">
        <v>517</v>
      </c>
      <c r="D92" s="214">
        <f ca="1">MIN(I88:AI88)</f>
        <v>6.9928760655528546</v>
      </c>
      <c r="E92" s="214">
        <f ca="1">MIN(I89:AI89)</f>
        <v>5.5122137676350595</v>
      </c>
    </row>
    <row r="93" spans="2:52">
      <c r="B93" s="2" t="s">
        <v>515</v>
      </c>
      <c r="C93" s="15" t="s">
        <v>180</v>
      </c>
      <c r="D93" s="216">
        <f ca="1">MATCH(D92,I88:AI88,0)</f>
        <v>4</v>
      </c>
      <c r="E93" s="215">
        <f ca="1">MATCH(E92,I89:AI89,0)</f>
        <v>4</v>
      </c>
    </row>
    <row r="94" spans="2:52">
      <c r="B94" s="2" t="s">
        <v>516</v>
      </c>
      <c r="C94" s="15" t="s">
        <v>41</v>
      </c>
      <c r="D94" s="217">
        <f ca="1">INDEX('Fixed Assets'!I3:AI3,D93)</f>
        <v>47119</v>
      </c>
      <c r="E94" s="217">
        <f ca="1">INDEX('Fixed Assets'!I3:AI3,E93)</f>
        <v>47119</v>
      </c>
    </row>
    <row r="97" spans="1:52">
      <c r="A97" s="130" t="s">
        <v>109</v>
      </c>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row>
    <row r="98" spans="1:52" ht="11.25">
      <c r="H98" s="606"/>
      <c r="I98" s="606"/>
    </row>
    <row r="99" spans="1:52" ht="11.25">
      <c r="H99" s="319" t="s">
        <v>0</v>
      </c>
      <c r="I99" s="388">
        <f>I2</f>
        <v>1</v>
      </c>
      <c r="J99" s="388">
        <f t="shared" ref="J99:AZ99" si="15">J2</f>
        <v>2</v>
      </c>
      <c r="K99" s="388">
        <f t="shared" si="15"/>
        <v>3</v>
      </c>
      <c r="L99" s="388">
        <f t="shared" si="15"/>
        <v>4</v>
      </c>
      <c r="M99" s="388">
        <f t="shared" si="15"/>
        <v>5</v>
      </c>
      <c r="N99" s="388">
        <f t="shared" si="15"/>
        <v>6</v>
      </c>
      <c r="O99" s="388">
        <f t="shared" si="15"/>
        <v>7</v>
      </c>
      <c r="P99" s="388">
        <f t="shared" si="15"/>
        <v>8</v>
      </c>
      <c r="Q99" s="388">
        <f t="shared" si="15"/>
        <v>9</v>
      </c>
      <c r="R99" s="388">
        <f t="shared" si="15"/>
        <v>10</v>
      </c>
      <c r="S99" s="388">
        <f t="shared" si="15"/>
        <v>11</v>
      </c>
      <c r="T99" s="388">
        <f t="shared" si="15"/>
        <v>12</v>
      </c>
      <c r="U99" s="388">
        <f t="shared" si="15"/>
        <v>13</v>
      </c>
      <c r="V99" s="388">
        <f t="shared" si="15"/>
        <v>14</v>
      </c>
      <c r="W99" s="388">
        <f t="shared" si="15"/>
        <v>15</v>
      </c>
      <c r="X99" s="388">
        <f t="shared" si="15"/>
        <v>16</v>
      </c>
      <c r="Y99" s="388">
        <f t="shared" si="15"/>
        <v>17</v>
      </c>
      <c r="Z99" s="388">
        <f t="shared" si="15"/>
        <v>18</v>
      </c>
      <c r="AA99" s="388">
        <f t="shared" si="15"/>
        <v>19</v>
      </c>
      <c r="AB99" s="388">
        <f t="shared" si="15"/>
        <v>20</v>
      </c>
      <c r="AC99" s="388">
        <f t="shared" si="15"/>
        <v>21</v>
      </c>
      <c r="AD99" s="388">
        <f t="shared" si="15"/>
        <v>22</v>
      </c>
      <c r="AE99" s="388">
        <f t="shared" si="15"/>
        <v>23</v>
      </c>
      <c r="AF99" s="388">
        <f t="shared" si="15"/>
        <v>24</v>
      </c>
      <c r="AG99" s="388">
        <f t="shared" si="15"/>
        <v>25</v>
      </c>
      <c r="AH99" s="388">
        <f t="shared" si="15"/>
        <v>26</v>
      </c>
      <c r="AI99" s="388">
        <f t="shared" si="15"/>
        <v>27</v>
      </c>
      <c r="AJ99" s="388">
        <f t="shared" si="15"/>
        <v>28</v>
      </c>
      <c r="AK99" s="388">
        <f t="shared" si="15"/>
        <v>29</v>
      </c>
      <c r="AL99" s="388">
        <f t="shared" si="15"/>
        <v>30</v>
      </c>
      <c r="AM99" s="388">
        <f t="shared" si="15"/>
        <v>31</v>
      </c>
      <c r="AN99" s="388">
        <f t="shared" si="15"/>
        <v>32</v>
      </c>
      <c r="AO99" s="388">
        <f t="shared" si="15"/>
        <v>33</v>
      </c>
      <c r="AP99" s="388">
        <f t="shared" si="15"/>
        <v>34</v>
      </c>
      <c r="AQ99" s="388">
        <f t="shared" si="15"/>
        <v>35</v>
      </c>
      <c r="AR99" s="388">
        <f t="shared" si="15"/>
        <v>36</v>
      </c>
      <c r="AS99" s="388">
        <f t="shared" si="15"/>
        <v>37</v>
      </c>
      <c r="AT99" s="388">
        <f t="shared" si="15"/>
        <v>38</v>
      </c>
      <c r="AU99" s="388">
        <f t="shared" si="15"/>
        <v>39</v>
      </c>
      <c r="AV99" s="388">
        <f t="shared" si="15"/>
        <v>40</v>
      </c>
      <c r="AW99" s="388">
        <f t="shared" si="15"/>
        <v>41</v>
      </c>
      <c r="AX99" s="388">
        <f t="shared" si="15"/>
        <v>0</v>
      </c>
      <c r="AY99" s="388">
        <f t="shared" si="15"/>
        <v>0</v>
      </c>
      <c r="AZ99" s="388">
        <f t="shared" si="15"/>
        <v>0</v>
      </c>
    </row>
    <row r="100" spans="1:52" ht="11.25">
      <c r="H100" s="319" t="s">
        <v>1</v>
      </c>
      <c r="I100" s="389">
        <f>I3</f>
        <v>46023</v>
      </c>
      <c r="J100" s="389">
        <f t="shared" ref="J100:AZ100" si="16">J3</f>
        <v>46388</v>
      </c>
      <c r="K100" s="389">
        <f t="shared" si="16"/>
        <v>46753</v>
      </c>
      <c r="L100" s="389">
        <f t="shared" si="16"/>
        <v>47119</v>
      </c>
      <c r="M100" s="389">
        <f t="shared" si="16"/>
        <v>47484</v>
      </c>
      <c r="N100" s="389">
        <f t="shared" si="16"/>
        <v>47849</v>
      </c>
      <c r="O100" s="389">
        <f t="shared" si="16"/>
        <v>48214</v>
      </c>
      <c r="P100" s="389">
        <f t="shared" si="16"/>
        <v>48580</v>
      </c>
      <c r="Q100" s="389">
        <f t="shared" si="16"/>
        <v>48945</v>
      </c>
      <c r="R100" s="389">
        <f t="shared" si="16"/>
        <v>49310</v>
      </c>
      <c r="S100" s="389">
        <f t="shared" si="16"/>
        <v>49675</v>
      </c>
      <c r="T100" s="389">
        <f t="shared" si="16"/>
        <v>50041</v>
      </c>
      <c r="U100" s="389">
        <f t="shared" si="16"/>
        <v>50406</v>
      </c>
      <c r="V100" s="389">
        <f t="shared" si="16"/>
        <v>50771</v>
      </c>
      <c r="W100" s="389">
        <f t="shared" si="16"/>
        <v>51136</v>
      </c>
      <c r="X100" s="389">
        <f t="shared" si="16"/>
        <v>51502</v>
      </c>
      <c r="Y100" s="389">
        <f t="shared" si="16"/>
        <v>51867</v>
      </c>
      <c r="Z100" s="389">
        <f t="shared" si="16"/>
        <v>52232</v>
      </c>
      <c r="AA100" s="389">
        <f t="shared" si="16"/>
        <v>52597</v>
      </c>
      <c r="AB100" s="389">
        <f t="shared" si="16"/>
        <v>52963</v>
      </c>
      <c r="AC100" s="389">
        <f t="shared" si="16"/>
        <v>53328</v>
      </c>
      <c r="AD100" s="389">
        <f t="shared" si="16"/>
        <v>53693</v>
      </c>
      <c r="AE100" s="389">
        <f t="shared" si="16"/>
        <v>54058</v>
      </c>
      <c r="AF100" s="389">
        <f t="shared" si="16"/>
        <v>54424</v>
      </c>
      <c r="AG100" s="389">
        <f t="shared" si="16"/>
        <v>54789</v>
      </c>
      <c r="AH100" s="389">
        <f t="shared" si="16"/>
        <v>55154</v>
      </c>
      <c r="AI100" s="389">
        <f t="shared" si="16"/>
        <v>55519</v>
      </c>
      <c r="AJ100" s="389">
        <f t="shared" si="16"/>
        <v>55885</v>
      </c>
      <c r="AK100" s="389">
        <f t="shared" si="16"/>
        <v>56250</v>
      </c>
      <c r="AL100" s="389">
        <f t="shared" si="16"/>
        <v>56615</v>
      </c>
      <c r="AM100" s="389">
        <f t="shared" si="16"/>
        <v>56980</v>
      </c>
      <c r="AN100" s="389">
        <f t="shared" si="16"/>
        <v>57346</v>
      </c>
      <c r="AO100" s="389">
        <f t="shared" si="16"/>
        <v>57711</v>
      </c>
      <c r="AP100" s="389">
        <f t="shared" si="16"/>
        <v>58076</v>
      </c>
      <c r="AQ100" s="389">
        <f t="shared" si="16"/>
        <v>58441</v>
      </c>
      <c r="AR100" s="389">
        <f t="shared" si="16"/>
        <v>58807</v>
      </c>
      <c r="AS100" s="389">
        <f t="shared" si="16"/>
        <v>59172</v>
      </c>
      <c r="AT100" s="389">
        <f t="shared" si="16"/>
        <v>59537</v>
      </c>
      <c r="AU100" s="389">
        <f t="shared" si="16"/>
        <v>59902</v>
      </c>
      <c r="AV100" s="389">
        <f t="shared" si="16"/>
        <v>60268</v>
      </c>
      <c r="AW100" s="389">
        <f t="shared" si="16"/>
        <v>60633</v>
      </c>
      <c r="AX100" s="389">
        <f t="shared" si="16"/>
        <v>0</v>
      </c>
      <c r="AY100" s="389">
        <f t="shared" si="16"/>
        <v>0</v>
      </c>
      <c r="AZ100" s="389">
        <f t="shared" si="16"/>
        <v>0</v>
      </c>
    </row>
    <row r="101" spans="1:52" ht="11.25">
      <c r="H101" s="319" t="s">
        <v>2</v>
      </c>
      <c r="I101" s="390">
        <f>I4</f>
        <v>46387</v>
      </c>
      <c r="J101" s="390">
        <f t="shared" ref="J101:AZ101" si="17">J4</f>
        <v>46752</v>
      </c>
      <c r="K101" s="390">
        <f t="shared" si="17"/>
        <v>47118</v>
      </c>
      <c r="L101" s="390">
        <f t="shared" si="17"/>
        <v>47483</v>
      </c>
      <c r="M101" s="390">
        <f t="shared" si="17"/>
        <v>47848</v>
      </c>
      <c r="N101" s="390">
        <f t="shared" si="17"/>
        <v>48213</v>
      </c>
      <c r="O101" s="390">
        <f t="shared" si="17"/>
        <v>48579</v>
      </c>
      <c r="P101" s="390">
        <f t="shared" si="17"/>
        <v>48944</v>
      </c>
      <c r="Q101" s="390">
        <f t="shared" si="17"/>
        <v>49309</v>
      </c>
      <c r="R101" s="390">
        <f t="shared" si="17"/>
        <v>49674</v>
      </c>
      <c r="S101" s="390">
        <f t="shared" si="17"/>
        <v>50040</v>
      </c>
      <c r="T101" s="390">
        <f t="shared" si="17"/>
        <v>50405</v>
      </c>
      <c r="U101" s="390">
        <f t="shared" si="17"/>
        <v>50770</v>
      </c>
      <c r="V101" s="390">
        <f t="shared" si="17"/>
        <v>51135</v>
      </c>
      <c r="W101" s="390">
        <f t="shared" si="17"/>
        <v>51501</v>
      </c>
      <c r="X101" s="390">
        <f t="shared" si="17"/>
        <v>51866</v>
      </c>
      <c r="Y101" s="390">
        <f t="shared" si="17"/>
        <v>52231</v>
      </c>
      <c r="Z101" s="390">
        <f t="shared" si="17"/>
        <v>52596</v>
      </c>
      <c r="AA101" s="390">
        <f t="shared" si="17"/>
        <v>52962</v>
      </c>
      <c r="AB101" s="390">
        <f t="shared" si="17"/>
        <v>53327</v>
      </c>
      <c r="AC101" s="390">
        <f t="shared" si="17"/>
        <v>53692</v>
      </c>
      <c r="AD101" s="390">
        <f t="shared" si="17"/>
        <v>54057</v>
      </c>
      <c r="AE101" s="390">
        <f t="shared" si="17"/>
        <v>54423</v>
      </c>
      <c r="AF101" s="390">
        <f t="shared" si="17"/>
        <v>54788</v>
      </c>
      <c r="AG101" s="390">
        <f t="shared" si="17"/>
        <v>55153</v>
      </c>
      <c r="AH101" s="390">
        <f t="shared" si="17"/>
        <v>55518</v>
      </c>
      <c r="AI101" s="390">
        <f t="shared" si="17"/>
        <v>55884</v>
      </c>
      <c r="AJ101" s="390">
        <f t="shared" si="17"/>
        <v>56249</v>
      </c>
      <c r="AK101" s="390">
        <f t="shared" si="17"/>
        <v>56614</v>
      </c>
      <c r="AL101" s="390">
        <f t="shared" si="17"/>
        <v>56979</v>
      </c>
      <c r="AM101" s="390">
        <f t="shared" si="17"/>
        <v>57345</v>
      </c>
      <c r="AN101" s="390">
        <f t="shared" si="17"/>
        <v>57710</v>
      </c>
      <c r="AO101" s="390">
        <f t="shared" si="17"/>
        <v>58075</v>
      </c>
      <c r="AP101" s="390">
        <f t="shared" si="17"/>
        <v>58440</v>
      </c>
      <c r="AQ101" s="390">
        <f t="shared" si="17"/>
        <v>58806</v>
      </c>
      <c r="AR101" s="390">
        <f t="shared" si="17"/>
        <v>59171</v>
      </c>
      <c r="AS101" s="390">
        <f t="shared" si="17"/>
        <v>59536</v>
      </c>
      <c r="AT101" s="390">
        <f t="shared" si="17"/>
        <v>59901</v>
      </c>
      <c r="AU101" s="390">
        <f t="shared" si="17"/>
        <v>60267</v>
      </c>
      <c r="AV101" s="390">
        <f t="shared" si="17"/>
        <v>60632</v>
      </c>
      <c r="AW101" s="390">
        <f t="shared" si="17"/>
        <v>60997</v>
      </c>
      <c r="AX101" s="390">
        <f t="shared" si="17"/>
        <v>0</v>
      </c>
      <c r="AY101" s="390">
        <f t="shared" si="17"/>
        <v>0</v>
      </c>
      <c r="AZ101" s="390">
        <f t="shared" si="17"/>
        <v>0</v>
      </c>
    </row>
    <row r="102" spans="1:52" ht="11.25">
      <c r="H102" s="319" t="s">
        <v>3</v>
      </c>
      <c r="I102" s="391">
        <f ca="1">I5</f>
        <v>365</v>
      </c>
      <c r="J102" s="391">
        <f t="shared" ref="J102:AZ102" ca="1" si="18">J5</f>
        <v>366</v>
      </c>
      <c r="K102" s="391">
        <f t="shared" ca="1" si="18"/>
        <v>365</v>
      </c>
      <c r="L102" s="391">
        <f t="shared" ca="1" si="18"/>
        <v>365</v>
      </c>
      <c r="M102" s="391">
        <f t="shared" ca="1" si="18"/>
        <v>365</v>
      </c>
      <c r="N102" s="391">
        <f t="shared" ca="1" si="18"/>
        <v>366</v>
      </c>
      <c r="O102" s="391">
        <f t="shared" ca="1" si="18"/>
        <v>365</v>
      </c>
      <c r="P102" s="391">
        <f t="shared" ca="1" si="18"/>
        <v>365</v>
      </c>
      <c r="Q102" s="391">
        <f t="shared" ca="1" si="18"/>
        <v>365</v>
      </c>
      <c r="R102" s="391">
        <f t="shared" ca="1" si="18"/>
        <v>366</v>
      </c>
      <c r="S102" s="391">
        <f t="shared" ca="1" si="18"/>
        <v>365</v>
      </c>
      <c r="T102" s="391">
        <f t="shared" ca="1" si="18"/>
        <v>365</v>
      </c>
      <c r="U102" s="391">
        <f t="shared" ca="1" si="18"/>
        <v>365</v>
      </c>
      <c r="V102" s="391">
        <f t="shared" ca="1" si="18"/>
        <v>366</v>
      </c>
      <c r="W102" s="391">
        <f t="shared" ca="1" si="18"/>
        <v>365</v>
      </c>
      <c r="X102" s="391">
        <f t="shared" ca="1" si="18"/>
        <v>365</v>
      </c>
      <c r="Y102" s="391">
        <f t="shared" ca="1" si="18"/>
        <v>365</v>
      </c>
      <c r="Z102" s="391">
        <f t="shared" ca="1" si="18"/>
        <v>366</v>
      </c>
      <c r="AA102" s="391">
        <f t="shared" ca="1" si="18"/>
        <v>365</v>
      </c>
      <c r="AB102" s="391">
        <f t="shared" ca="1" si="18"/>
        <v>365</v>
      </c>
      <c r="AC102" s="391">
        <f t="shared" ca="1" si="18"/>
        <v>365</v>
      </c>
      <c r="AD102" s="391">
        <f t="shared" ca="1" si="18"/>
        <v>366</v>
      </c>
      <c r="AE102" s="391">
        <f t="shared" ca="1" si="18"/>
        <v>365</v>
      </c>
      <c r="AF102" s="391">
        <f t="shared" ca="1" si="18"/>
        <v>365</v>
      </c>
      <c r="AG102" s="391">
        <f t="shared" ca="1" si="18"/>
        <v>365</v>
      </c>
      <c r="AH102" s="391">
        <f t="shared" ca="1" si="18"/>
        <v>366</v>
      </c>
      <c r="AI102" s="391">
        <f t="shared" ca="1" si="18"/>
        <v>365</v>
      </c>
      <c r="AJ102" s="391">
        <f t="shared" ca="1" si="18"/>
        <v>365</v>
      </c>
      <c r="AK102" s="391">
        <f t="shared" ca="1" si="18"/>
        <v>365</v>
      </c>
      <c r="AL102" s="391">
        <f t="shared" ca="1" si="18"/>
        <v>365</v>
      </c>
      <c r="AM102" s="391">
        <f t="shared" ca="1" si="18"/>
        <v>365</v>
      </c>
      <c r="AN102" s="391">
        <f t="shared" ca="1" si="18"/>
        <v>365</v>
      </c>
      <c r="AO102" s="391">
        <f t="shared" ca="1" si="18"/>
        <v>365</v>
      </c>
      <c r="AP102" s="391">
        <f t="shared" ca="1" si="18"/>
        <v>365</v>
      </c>
      <c r="AQ102" s="391">
        <f t="shared" ca="1" si="18"/>
        <v>365</v>
      </c>
      <c r="AR102" s="391">
        <f t="shared" ca="1" si="18"/>
        <v>365</v>
      </c>
      <c r="AS102" s="391">
        <f t="shared" ca="1" si="18"/>
        <v>365</v>
      </c>
      <c r="AT102" s="391">
        <f t="shared" ca="1" si="18"/>
        <v>365</v>
      </c>
      <c r="AU102" s="391">
        <f t="shared" ca="1" si="18"/>
        <v>365</v>
      </c>
      <c r="AV102" s="391">
        <f t="shared" ca="1" si="18"/>
        <v>365</v>
      </c>
      <c r="AW102" s="391">
        <f t="shared" ca="1" si="18"/>
        <v>365</v>
      </c>
      <c r="AX102" s="391">
        <f t="shared" si="18"/>
        <v>0</v>
      </c>
      <c r="AY102" s="391">
        <f t="shared" si="18"/>
        <v>0</v>
      </c>
      <c r="AZ102" s="391">
        <f t="shared" si="18"/>
        <v>0</v>
      </c>
    </row>
    <row r="105" spans="1:52">
      <c r="B105" s="2" t="s">
        <v>1343</v>
      </c>
      <c r="I105" s="1196">
        <f>IS!I7</f>
        <v>0</v>
      </c>
      <c r="J105" s="1196">
        <f>IS!J7</f>
        <v>0</v>
      </c>
      <c r="K105" s="1196">
        <f ca="1">IS!K7</f>
        <v>1015156499.1623566</v>
      </c>
      <c r="L105" s="1196">
        <f ca="1">IS!L7</f>
        <v>1551313125.5927296</v>
      </c>
      <c r="M105" s="1196">
        <f ca="1">IS!M7</f>
        <v>1726545204.911016</v>
      </c>
      <c r="N105" s="1196">
        <f ca="1">IS!N7</f>
        <v>1837533804.8941593</v>
      </c>
      <c r="O105" s="1196">
        <f ca="1">IS!O7</f>
        <v>1946371409.5631919</v>
      </c>
      <c r="P105" s="1196">
        <f ca="1">IS!P7</f>
        <v>2040679795.3536811</v>
      </c>
      <c r="Q105" s="1196">
        <f ca="1">IS!Q7</f>
        <v>2140144140.9091058</v>
      </c>
      <c r="R105" s="1196">
        <f ca="1">IS!R7</f>
        <v>2245069848.4766393</v>
      </c>
      <c r="S105" s="1196">
        <f ca="1">IS!S7</f>
        <v>2355781246.1907334</v>
      </c>
      <c r="T105" s="1196">
        <f ca="1">IS!T7</f>
        <v>2472622788.3470387</v>
      </c>
      <c r="U105" s="1196">
        <f ca="1">IS!U7</f>
        <v>2595960332.6575313</v>
      </c>
      <c r="V105" s="1196">
        <f ca="1">IS!V7</f>
        <v>2726182499.4504876</v>
      </c>
      <c r="W105" s="1196">
        <f ca="1">IS!W7</f>
        <v>2863702118.0998259</v>
      </c>
      <c r="X105" s="1196">
        <f ca="1">IS!X7</f>
        <v>2139202284.3962688</v>
      </c>
      <c r="Y105" s="1196">
        <f ca="1">IS!Y7</f>
        <v>2203378352.9281569</v>
      </c>
      <c r="Z105" s="1196">
        <f ca="1">IS!Z7</f>
        <v>2269479703.5160017</v>
      </c>
      <c r="AA105" s="1196">
        <f ca="1">IS!AA7</f>
        <v>2337564094.6214819</v>
      </c>
      <c r="AB105" s="1196">
        <f ca="1">IS!AB7</f>
        <v>2407691017.4601264</v>
      </c>
      <c r="AC105" s="1196">
        <f ca="1">IS!AC7</f>
        <v>2479921747.9839306</v>
      </c>
      <c r="AD105" s="1196">
        <f ca="1">IS!AD7</f>
        <v>2554319400.4234486</v>
      </c>
      <c r="AE105" s="1196">
        <f ca="1">IS!AE7</f>
        <v>2630948982.436152</v>
      </c>
      <c r="AF105" s="1196">
        <f ca="1">IS!AF7</f>
        <v>2709877451.9092369</v>
      </c>
      <c r="AG105" s="1196">
        <f ca="1">IS!AG7</f>
        <v>2791173775.4665136</v>
      </c>
      <c r="AH105" s="1196">
        <f ca="1">IS!AH7</f>
        <v>2874908988.7305098</v>
      </c>
      <c r="AI105" s="1196">
        <f ca="1">IS!AI7</f>
        <v>2961156258.3924251</v>
      </c>
      <c r="AJ105" s="1196">
        <f ca="1">IS!AJ7</f>
        <v>3049990946.1441975</v>
      </c>
      <c r="AK105" s="1196">
        <f ca="1">IS!AK7</f>
        <v>3141490674.5285234</v>
      </c>
      <c r="AL105" s="1196">
        <f ca="1">IS!AL7</f>
        <v>3235735394.764379</v>
      </c>
      <c r="AM105" s="1196">
        <f>IS!AM7</f>
        <v>0</v>
      </c>
      <c r="AN105" s="1196">
        <f>IS!AN7</f>
        <v>0</v>
      </c>
      <c r="AO105" s="1196">
        <f>IS!AO7</f>
        <v>0</v>
      </c>
      <c r="AP105" s="1196">
        <f>IS!AP7</f>
        <v>0</v>
      </c>
      <c r="AQ105" s="1196">
        <f>IS!AQ7</f>
        <v>0</v>
      </c>
      <c r="AR105" s="1196">
        <f>IS!AR7</f>
        <v>0</v>
      </c>
      <c r="AS105" s="1196">
        <f>IS!AS7</f>
        <v>0</v>
      </c>
      <c r="AT105" s="1196">
        <f>IS!AT7</f>
        <v>0</v>
      </c>
      <c r="AU105" s="1196">
        <f>IS!AU7</f>
        <v>0</v>
      </c>
      <c r="AV105" s="1196">
        <f>IS!AV7</f>
        <v>0</v>
      </c>
      <c r="AW105" s="1196">
        <f>IS!AW7</f>
        <v>0</v>
      </c>
    </row>
    <row r="106" spans="1:52">
      <c r="B106" s="2" t="s">
        <v>1344</v>
      </c>
      <c r="I106" s="1196">
        <f>IS!I9</f>
        <v>0</v>
      </c>
      <c r="J106" s="1196">
        <f>IS!J9</f>
        <v>0</v>
      </c>
      <c r="K106" s="1196">
        <f ca="1">IS!K9</f>
        <v>-29414131.261703771</v>
      </c>
      <c r="L106" s="1196">
        <f ca="1">IS!L9</f>
        <v>-106702586.72443059</v>
      </c>
      <c r="M106" s="1196">
        <f ca="1">IS!M9</f>
        <v>-109168783.44192578</v>
      </c>
      <c r="N106" s="1196">
        <f ca="1">IS!N9</f>
        <v>-111493998.38342088</v>
      </c>
      <c r="O106" s="1196">
        <f ca="1">IS!O9</f>
        <v>-114807428.10413587</v>
      </c>
      <c r="P106" s="1196">
        <f ca="1">IS!P9</f>
        <v>-117252871.77969016</v>
      </c>
      <c r="Q106" s="1196">
        <f ca="1">IS!Q9</f>
        <v>-120078554.21458776</v>
      </c>
      <c r="R106" s="1196">
        <f ca="1">IS!R9</f>
        <v>-122636411.26543796</v>
      </c>
      <c r="S106" s="1196">
        <f ca="1">IS!S9</f>
        <v>-126281261.90439415</v>
      </c>
      <c r="T106" s="1196">
        <f ca="1">IS!T9</f>
        <v>-128971392.10746129</v>
      </c>
      <c r="U106" s="1196">
        <f ca="1">IS!U9</f>
        <v>-132079777.68690053</v>
      </c>
      <c r="V106" s="1196">
        <f ca="1">IS!V9</f>
        <v>-134893585.21895877</v>
      </c>
      <c r="W106" s="1196">
        <f ca="1">IS!W9</f>
        <v>-138903050.04547429</v>
      </c>
      <c r="X106" s="1196">
        <f ca="1">IS!X9</f>
        <v>-141862383.78835806</v>
      </c>
      <c r="Y106" s="1196">
        <f ca="1">IS!Y9</f>
        <v>-145281795.03203517</v>
      </c>
      <c r="Z106" s="1196">
        <f ca="1">IS!Z9</f>
        <v>-148377200.68794605</v>
      </c>
      <c r="AA106" s="1196">
        <f ca="1">IS!AA9</f>
        <v>-152787802.84469527</v>
      </c>
      <c r="AB106" s="1196">
        <f ca="1">IS!AB9</f>
        <v>-156043317.95041707</v>
      </c>
      <c r="AC106" s="1196">
        <f ca="1">IS!AC9</f>
        <v>-159804919.69592088</v>
      </c>
      <c r="AD106" s="1196">
        <f ca="1">IS!AD9</f>
        <v>-163210145.66275007</v>
      </c>
      <c r="AE106" s="1196">
        <f ca="1">IS!AE9</f>
        <v>-168062072.88757193</v>
      </c>
      <c r="AF106" s="1196">
        <f ca="1">IS!AF9</f>
        <v>-171643455.51716417</v>
      </c>
      <c r="AG106" s="1196">
        <f ca="1">IS!AG9</f>
        <v>-175781540.76522607</v>
      </c>
      <c r="AH106" s="1196">
        <f ca="1">IS!AH9</f>
        <v>-179527642.77316809</v>
      </c>
      <c r="AI106" s="1196">
        <f ca="1">IS!AI9</f>
        <v>-184865115.85168853</v>
      </c>
      <c r="AJ106" s="1196">
        <f ca="1">IS!AJ9</f>
        <v>-188805032.99592233</v>
      </c>
      <c r="AK106" s="1196">
        <f ca="1">IS!AK9</f>
        <v>-193357337.57758921</v>
      </c>
      <c r="AL106" s="1196">
        <f ca="1">IS!AL9</f>
        <v>-198019526.98290899</v>
      </c>
      <c r="AM106" s="1196">
        <f>IS!AM9</f>
        <v>0</v>
      </c>
      <c r="AN106" s="1196">
        <f>IS!AN9</f>
        <v>0</v>
      </c>
      <c r="AO106" s="1196">
        <f>IS!AO9</f>
        <v>0</v>
      </c>
      <c r="AP106" s="1196">
        <f>IS!AP9</f>
        <v>0</v>
      </c>
      <c r="AQ106" s="1196">
        <f>IS!AQ9</f>
        <v>0</v>
      </c>
      <c r="AR106" s="1196">
        <f>IS!AR9</f>
        <v>0</v>
      </c>
      <c r="AS106" s="1196">
        <f>IS!AS9</f>
        <v>0</v>
      </c>
      <c r="AT106" s="1196">
        <f>IS!AT9</f>
        <v>0</v>
      </c>
      <c r="AU106" s="1196">
        <f>IS!AU9</f>
        <v>0</v>
      </c>
      <c r="AV106" s="1196">
        <f>IS!AV9</f>
        <v>0</v>
      </c>
      <c r="AW106" s="1196">
        <f>IS!AW9</f>
        <v>0</v>
      </c>
      <c r="AX106" s="188">
        <f>IS!AX9</f>
        <v>0</v>
      </c>
      <c r="AY106" s="188">
        <f>IS!AY9</f>
        <v>0</v>
      </c>
      <c r="AZ106" s="188">
        <f>IS!AZ9</f>
        <v>0</v>
      </c>
    </row>
    <row r="107" spans="1:52">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c r="AO107" s="79"/>
      <c r="AP107" s="79"/>
      <c r="AQ107" s="79"/>
      <c r="AR107" s="79"/>
      <c r="AS107" s="79"/>
      <c r="AT107" s="79"/>
      <c r="AU107" s="79"/>
      <c r="AV107" s="79"/>
      <c r="AW107" s="79"/>
    </row>
    <row r="108" spans="1:52">
      <c r="B108" s="586" t="s">
        <v>1345</v>
      </c>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c r="AO108" s="79"/>
      <c r="AP108" s="79"/>
      <c r="AQ108" s="79"/>
      <c r="AR108" s="79"/>
      <c r="AS108" s="79"/>
      <c r="AT108" s="79"/>
      <c r="AU108" s="79"/>
      <c r="AV108" s="79"/>
      <c r="AW108" s="79"/>
    </row>
    <row r="109" spans="1:52">
      <c r="B109" s="2" t="s">
        <v>463</v>
      </c>
      <c r="I109" s="1196">
        <f ca="1">BS!I13</f>
        <v>0</v>
      </c>
      <c r="J109" s="1196">
        <f ca="1">BS!J13</f>
        <v>0</v>
      </c>
      <c r="K109" s="1196">
        <f ca="1">BS!K13</f>
        <v>125156280.71864671</v>
      </c>
      <c r="L109" s="1196">
        <f ca="1">BS!L13</f>
        <v>191257782.60732284</v>
      </c>
      <c r="M109" s="1196">
        <f ca="1">BS!M13</f>
        <v>212861737.59176907</v>
      </c>
      <c r="N109" s="1196">
        <f ca="1">BS!N13</f>
        <v>225926287.48698679</v>
      </c>
      <c r="O109" s="1196">
        <f ca="1">BS!O13</f>
        <v>239963598.43929762</v>
      </c>
      <c r="P109" s="1196">
        <f ca="1">BS!P13</f>
        <v>251590659.70113876</v>
      </c>
      <c r="Q109" s="1196">
        <f ca="1">BS!Q13</f>
        <v>263853387.23536921</v>
      </c>
      <c r="R109" s="1196">
        <f ca="1">BS!R13</f>
        <v>276033178.09139007</v>
      </c>
      <c r="S109" s="1196">
        <f ca="1">BS!S13</f>
        <v>290438783.77693975</v>
      </c>
      <c r="T109" s="1196">
        <f ca="1">BS!T13</f>
        <v>304843905.41264862</v>
      </c>
      <c r="U109" s="1196">
        <f ca="1">BS!U13</f>
        <v>320049904.02627099</v>
      </c>
      <c r="V109" s="1196">
        <f ca="1">BS!V13</f>
        <v>335186372.88325667</v>
      </c>
      <c r="W109" s="1196">
        <f ca="1">BS!W13</f>
        <v>353059165.245184</v>
      </c>
      <c r="X109" s="1196">
        <f ca="1">BS!X13</f>
        <v>263737267.939266</v>
      </c>
      <c r="Y109" s="1196">
        <f ca="1">BS!Y13</f>
        <v>271649385.97744399</v>
      </c>
      <c r="Z109" s="1196">
        <f ca="1">BS!Z13</f>
        <v>279034389.77655756</v>
      </c>
      <c r="AA109" s="1196">
        <f ca="1">BS!AA13</f>
        <v>288192833.5834704</v>
      </c>
      <c r="AB109" s="1196">
        <f ca="1">BS!AB13</f>
        <v>296838618.59097451</v>
      </c>
      <c r="AC109" s="1196">
        <f ca="1">BS!AC13</f>
        <v>305743777.14870375</v>
      </c>
      <c r="AD109" s="1196">
        <f ca="1">BS!AD13</f>
        <v>314055663.98648959</v>
      </c>
      <c r="AE109" s="1196">
        <f ca="1">BS!AE13</f>
        <v>324363573.17705983</v>
      </c>
      <c r="AF109" s="1196">
        <f ca="1">BS!AF13</f>
        <v>334094480.37237167</v>
      </c>
      <c r="AG109" s="1196">
        <f ca="1">BS!AG13</f>
        <v>344117314.78354281</v>
      </c>
      <c r="AH109" s="1196">
        <f ca="1">BS!AH13</f>
        <v>353472416.64719385</v>
      </c>
      <c r="AI109" s="1196">
        <f ca="1">BS!AI13</f>
        <v>365074059.25386065</v>
      </c>
      <c r="AJ109" s="1196">
        <f ca="1">BS!AJ13</f>
        <v>376026281.03147644</v>
      </c>
      <c r="AK109" s="1196">
        <f ca="1">BS!AK13</f>
        <v>387307069.46242076</v>
      </c>
      <c r="AL109" s="1196">
        <f>BS!AL13</f>
        <v>0</v>
      </c>
      <c r="AM109" s="1196">
        <f>BS!AM13</f>
        <v>0</v>
      </c>
      <c r="AN109" s="1196">
        <f>BS!AN13</f>
        <v>0</v>
      </c>
      <c r="AO109" s="1196">
        <f>BS!AO13</f>
        <v>0</v>
      </c>
      <c r="AP109" s="1196">
        <f>BS!AP13</f>
        <v>0</v>
      </c>
      <c r="AQ109" s="1196">
        <f>BS!AQ13</f>
        <v>0</v>
      </c>
      <c r="AR109" s="1196">
        <f>BS!AR13</f>
        <v>0</v>
      </c>
      <c r="AS109" s="1196">
        <f>BS!AS13</f>
        <v>0</v>
      </c>
      <c r="AT109" s="1196">
        <f>BS!AT13</f>
        <v>0</v>
      </c>
      <c r="AU109" s="1196">
        <f>BS!AU13</f>
        <v>0</v>
      </c>
      <c r="AV109" s="1196">
        <f>BS!AV13</f>
        <v>0</v>
      </c>
      <c r="AW109" s="1196">
        <f>BS!AW13</f>
        <v>0</v>
      </c>
    </row>
    <row r="110" spans="1:52">
      <c r="B110" s="2" t="s">
        <v>410</v>
      </c>
      <c r="I110" s="1196">
        <f ca="1">BS!I24</f>
        <v>0</v>
      </c>
      <c r="J110" s="1196">
        <f ca="1">BS!J24</f>
        <v>0</v>
      </c>
      <c r="K110" s="1196">
        <f ca="1">BS!K24</f>
        <v>0</v>
      </c>
      <c r="L110" s="1196">
        <f ca="1">BS!L24</f>
        <v>0</v>
      </c>
      <c r="M110" s="1196">
        <f ca="1">BS!M24</f>
        <v>0</v>
      </c>
      <c r="N110" s="1196">
        <f ca="1">BS!N24</f>
        <v>-67291685.939287096</v>
      </c>
      <c r="O110" s="1196">
        <f ca="1">BS!O24</f>
        <v>-296608011.41658807</v>
      </c>
      <c r="P110" s="1196">
        <f ca="1">BS!P24</f>
        <v>-552928561.64533806</v>
      </c>
      <c r="Q110" s="1196">
        <f ca="1">BS!Q24</f>
        <v>-837148148.3693974</v>
      </c>
      <c r="R110" s="1196">
        <f ca="1">BS!R24</f>
        <v>-887360395.39487231</v>
      </c>
      <c r="S110" s="1196">
        <f ca="1">BS!S24</f>
        <v>-842876879.74032581</v>
      </c>
      <c r="T110" s="1196">
        <f ca="1">BS!T24</f>
        <v>-798514903.74603772</v>
      </c>
      <c r="U110" s="1196">
        <f ca="1">BS!U24</f>
        <v>-754152927.75174952</v>
      </c>
      <c r="V110" s="1196">
        <f ca="1">BS!V24</f>
        <v>-709912159.3421452</v>
      </c>
      <c r="W110" s="1196">
        <f ca="1">BS!W24</f>
        <v>-665428643.68759871</v>
      </c>
      <c r="X110" s="1196">
        <f ca="1">BS!X24</f>
        <v>-621066667.6933105</v>
      </c>
      <c r="Y110" s="1196">
        <f ca="1">BS!Y24</f>
        <v>-576704691.69902229</v>
      </c>
      <c r="Z110" s="1196">
        <f ca="1">BS!Z24</f>
        <v>-532463923.28941798</v>
      </c>
      <c r="AA110" s="1196">
        <f ca="1">BS!AA24</f>
        <v>-487980407.63487148</v>
      </c>
      <c r="AB110" s="1196">
        <f ca="1">BS!AB24</f>
        <v>-443618431.64058334</v>
      </c>
      <c r="AC110" s="1196">
        <f ca="1">BS!AC24</f>
        <v>-399256455.64629519</v>
      </c>
      <c r="AD110" s="1196">
        <f ca="1">BS!AD24</f>
        <v>-355015687.23669088</v>
      </c>
      <c r="AE110" s="1196">
        <f ca="1">BS!AE24</f>
        <v>-310532171.58214438</v>
      </c>
      <c r="AF110" s="1196">
        <f ca="1">BS!AF24</f>
        <v>-266170195.58785623</v>
      </c>
      <c r="AG110" s="1196">
        <f ca="1">BS!AG24</f>
        <v>-221808219.59356809</v>
      </c>
      <c r="AH110" s="1196">
        <f ca="1">BS!AH24</f>
        <v>-177567451.18396378</v>
      </c>
      <c r="AI110" s="1196">
        <f ca="1">BS!AI24</f>
        <v>-133083935.52941731</v>
      </c>
      <c r="AJ110" s="1196">
        <f ca="1">BS!AJ24</f>
        <v>-88721959.53512916</v>
      </c>
      <c r="AK110" s="1196">
        <f ca="1">BS!AK24</f>
        <v>-44359983.540841013</v>
      </c>
      <c r="AL110" s="1196">
        <f ca="1">BS!AL24</f>
        <v>0</v>
      </c>
      <c r="AM110" s="1196">
        <f>BS!AM24</f>
        <v>0</v>
      </c>
      <c r="AN110" s="1196">
        <f>BS!AN24</f>
        <v>0</v>
      </c>
      <c r="AO110" s="1196">
        <f>BS!AO24</f>
        <v>0</v>
      </c>
      <c r="AP110" s="1196">
        <f>BS!AP24</f>
        <v>0</v>
      </c>
      <c r="AQ110" s="1196">
        <f>BS!AQ24</f>
        <v>0</v>
      </c>
      <c r="AR110" s="1196">
        <f>BS!AR24</f>
        <v>0</v>
      </c>
      <c r="AS110" s="1196">
        <f>BS!AS24</f>
        <v>0</v>
      </c>
      <c r="AT110" s="1196">
        <f>BS!AT24</f>
        <v>0</v>
      </c>
      <c r="AU110" s="1196">
        <f>BS!AU24</f>
        <v>0</v>
      </c>
      <c r="AV110" s="1196">
        <f>BS!AV24</f>
        <v>0</v>
      </c>
      <c r="AW110" s="1196">
        <f>BS!AW24</f>
        <v>0</v>
      </c>
    </row>
    <row r="111" spans="1:52">
      <c r="B111" s="2" t="s">
        <v>464</v>
      </c>
      <c r="I111" s="1196">
        <f ca="1">BS!I15</f>
        <v>0</v>
      </c>
      <c r="J111" s="1196">
        <f ca="1">BS!J15</f>
        <v>-132913371.73613448</v>
      </c>
      <c r="K111" s="1196">
        <f ca="1">BS!K15</f>
        <v>632979160.75820112</v>
      </c>
      <c r="L111" s="1196">
        <f ca="1">BS!L15</f>
        <v>878476565.64138186</v>
      </c>
      <c r="M111" s="1196">
        <f ca="1">BS!M15</f>
        <v>1288299890.1069081</v>
      </c>
      <c r="N111" s="1196">
        <f ca="1">BS!N15</f>
        <v>1637966395.679565</v>
      </c>
      <c r="O111" s="1196">
        <f ca="1">BS!O15</f>
        <v>2040726817.8025031</v>
      </c>
      <c r="P111" s="1196">
        <f ca="1">BS!P15</f>
        <v>2485380857.1483808</v>
      </c>
      <c r="Q111" s="1196">
        <f ca="1">BS!Q15</f>
        <v>2965996236.233273</v>
      </c>
      <c r="R111" s="1196">
        <f ca="1">BS!R15</f>
        <v>3260022660.1744308</v>
      </c>
      <c r="S111" s="1196">
        <f ca="1">BS!S15</f>
        <v>3859761865.2041125</v>
      </c>
      <c r="T111" s="1196">
        <f ca="1">BS!T15</f>
        <v>4437755346.5319462</v>
      </c>
      <c r="U111" s="1196">
        <f ca="1">BS!U15</f>
        <v>4998010898.8891544</v>
      </c>
      <c r="V111" s="1196">
        <f ca="1">BS!V15</f>
        <v>5549935527.9177265</v>
      </c>
      <c r="W111" s="1196">
        <f ca="1">BS!W15</f>
        <v>6088236447.4359055</v>
      </c>
      <c r="X111" s="1196">
        <f ca="1">BS!X15</f>
        <v>6225215361.3162832</v>
      </c>
      <c r="Y111" s="1196">
        <f ca="1">BS!Y15</f>
        <v>6288190203.7340374</v>
      </c>
      <c r="Z111" s="1196">
        <f ca="1">BS!Z15</f>
        <v>6375851763.5649385</v>
      </c>
      <c r="AA111" s="1196">
        <f ca="1">BS!AA15</f>
        <v>6475174472.3235817</v>
      </c>
      <c r="AB111" s="1196">
        <f ca="1">BS!AB15</f>
        <v>6610492805.2316284</v>
      </c>
      <c r="AC111" s="1196">
        <f ca="1">BS!AC15</f>
        <v>6774454777.4897223</v>
      </c>
      <c r="AD111" s="1196">
        <f ca="1">BS!AD15</f>
        <v>6967936720.2900257</v>
      </c>
      <c r="AE111" s="1196">
        <f ca="1">BS!AE15</f>
        <v>7176319197.5057688</v>
      </c>
      <c r="AF111" s="1196">
        <f ca="1">BS!AF15</f>
        <v>7410087118.0503836</v>
      </c>
      <c r="AG111" s="1196">
        <f ca="1">BS!AG15</f>
        <v>7663044541.6729469</v>
      </c>
      <c r="AH111" s="1196">
        <f ca="1">BS!AH15</f>
        <v>7937849158.0875101</v>
      </c>
      <c r="AI111" s="1196">
        <f ca="1">BS!AI15</f>
        <v>8219935390.2149868</v>
      </c>
      <c r="AJ111" s="1196">
        <f ca="1">BS!AJ15</f>
        <v>9875293214.6079426</v>
      </c>
      <c r="AK111" s="1196">
        <f ca="1">BS!AK15</f>
        <v>11605184399.40288</v>
      </c>
      <c r="AL111" s="1196">
        <f ca="1">BS!AL15</f>
        <v>12504018718.493343</v>
      </c>
      <c r="AM111" s="1196">
        <f>BS!AM15</f>
        <v>0</v>
      </c>
      <c r="AN111" s="1196">
        <f>BS!AN15</f>
        <v>0</v>
      </c>
      <c r="AO111" s="1196">
        <f>BS!AO15</f>
        <v>0</v>
      </c>
      <c r="AP111" s="1196">
        <f>BS!AP15</f>
        <v>0</v>
      </c>
      <c r="AQ111" s="1196">
        <f>BS!AQ15</f>
        <v>0</v>
      </c>
      <c r="AR111" s="1196">
        <f>BS!AR15</f>
        <v>0</v>
      </c>
      <c r="AS111" s="1196">
        <f>BS!AS15</f>
        <v>0</v>
      </c>
      <c r="AT111" s="1196">
        <f>BS!AT15</f>
        <v>0</v>
      </c>
      <c r="AU111" s="1196">
        <f>BS!AU15</f>
        <v>0</v>
      </c>
      <c r="AV111" s="1196">
        <f>BS!AV15</f>
        <v>0</v>
      </c>
      <c r="AW111" s="1196">
        <f>BS!AW15</f>
        <v>0</v>
      </c>
    </row>
    <row r="112" spans="1:52">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c r="AO112" s="79"/>
      <c r="AP112" s="79"/>
      <c r="AQ112" s="79"/>
      <c r="AR112" s="79"/>
      <c r="AS112" s="79"/>
      <c r="AT112" s="79"/>
      <c r="AU112" s="79"/>
      <c r="AV112" s="79"/>
      <c r="AW112" s="79"/>
    </row>
    <row r="113" spans="2:53">
      <c r="B113" s="586" t="s">
        <v>1346</v>
      </c>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c r="AO113" s="79"/>
      <c r="AP113" s="79"/>
      <c r="AQ113" s="79"/>
      <c r="AR113" s="79"/>
      <c r="AS113" s="79"/>
      <c r="AT113" s="79"/>
      <c r="AU113" s="79"/>
      <c r="AV113" s="79"/>
      <c r="AW113" s="79"/>
    </row>
    <row r="114" spans="2:53" s="41" customFormat="1">
      <c r="B114" s="41" t="s">
        <v>470</v>
      </c>
      <c r="I114" s="109">
        <f ca="1">BS!I23</f>
        <v>0</v>
      </c>
      <c r="J114" s="109">
        <f ca="1">BS!J23</f>
        <v>-11867265.333583435</v>
      </c>
      <c r="K114" s="109">
        <f ca="1">BS!K23</f>
        <v>-21954070.956888694</v>
      </c>
      <c r="L114" s="109">
        <f ca="1">BS!L23</f>
        <v>-32635695.011136003</v>
      </c>
      <c r="M114" s="109">
        <f ca="1">BS!M23</f>
        <v>-34492543.714780673</v>
      </c>
      <c r="N114" s="109">
        <f ca="1">BS!N23</f>
        <v>-35343926.210505903</v>
      </c>
      <c r="O114" s="109">
        <f ca="1">BS!O23</f>
        <v>-36492910.23627159</v>
      </c>
      <c r="P114" s="109">
        <f ca="1">BS!P23</f>
        <v>-37497114.708562896</v>
      </c>
      <c r="Q114" s="109">
        <f ca="1">BS!Q23</f>
        <v>-38556667.954673067</v>
      </c>
      <c r="R114" s="109">
        <f ca="1">BS!R23</f>
        <v>-39510778.608245805</v>
      </c>
      <c r="S114" s="109">
        <f ca="1">BS!S23</f>
        <v>-40796292.353678182</v>
      </c>
      <c r="T114" s="109">
        <f ca="1">BS!T23</f>
        <v>-41921417.865944155</v>
      </c>
      <c r="U114" s="109">
        <f ca="1">BS!U23</f>
        <v>-43108041.100039482</v>
      </c>
      <c r="V114" s="109">
        <f ca="1">BS!V23</f>
        <v>-44177352.781228498</v>
      </c>
      <c r="W114" s="109">
        <f ca="1">BS!W23</f>
        <v>-45615777.561348401</v>
      </c>
      <c r="X114" s="109">
        <f ca="1">BS!X23</f>
        <v>-46876491.730851404</v>
      </c>
      <c r="Y114" s="109">
        <f ca="1">BS!Y23</f>
        <v>-48205544.927234583</v>
      </c>
      <c r="Z114" s="109">
        <f ca="1">BS!Z23</f>
        <v>-49121853.431675419</v>
      </c>
      <c r="AA114" s="109">
        <f ca="1">BS!AA23</f>
        <v>-50439050.943738677</v>
      </c>
      <c r="AB114" s="109">
        <f ca="1">BS!AB23</f>
        <v>-51551332.429091141</v>
      </c>
      <c r="AC114" s="109">
        <f ca="1">BS!AC23</f>
        <v>-52730551.223657086</v>
      </c>
      <c r="AD114" s="109">
        <f ca="1">BS!AD23</f>
        <v>-53759294.501422718</v>
      </c>
      <c r="AE114" s="109">
        <f ca="1">BS!AE23</f>
        <v>-55228400.631514527</v>
      </c>
      <c r="AF114" s="109">
        <f ca="1">BS!AF23</f>
        <v>-56473483.655931845</v>
      </c>
      <c r="AG114" s="109">
        <f ca="1">BS!AG23</f>
        <v>-57792844.744198009</v>
      </c>
      <c r="AH114" s="109">
        <f ca="1">BS!AH23</f>
        <v>-58947864.368412793</v>
      </c>
      <c r="AI114" s="109">
        <f ca="1">BS!AI23</f>
        <v>-60586942.266225494</v>
      </c>
      <c r="AJ114" s="109">
        <f ca="1">BS!AJ23</f>
        <v>-61980817.969195209</v>
      </c>
      <c r="AK114" s="109">
        <f ca="1">BS!AK23</f>
        <v>-63457128.293098353</v>
      </c>
      <c r="AL114" s="109">
        <f>BS!AL23</f>
        <v>0</v>
      </c>
      <c r="AM114" s="109">
        <f>BS!AM23</f>
        <v>0</v>
      </c>
      <c r="AN114" s="109">
        <f>BS!AN23</f>
        <v>0</v>
      </c>
      <c r="AO114" s="109">
        <f>BS!AO23</f>
        <v>0</v>
      </c>
      <c r="AP114" s="109">
        <f>BS!AP23</f>
        <v>0</v>
      </c>
      <c r="AQ114" s="109">
        <f>BS!AQ23</f>
        <v>0</v>
      </c>
      <c r="AR114" s="109">
        <f>BS!AR23</f>
        <v>0</v>
      </c>
      <c r="AS114" s="109">
        <f>BS!AS23</f>
        <v>0</v>
      </c>
      <c r="AT114" s="109">
        <f>BS!AT23</f>
        <v>0</v>
      </c>
      <c r="AU114" s="109">
        <f>BS!AU23</f>
        <v>0</v>
      </c>
      <c r="AV114" s="109">
        <f>BS!AV23</f>
        <v>0</v>
      </c>
      <c r="AW114" s="109">
        <f>BS!AW23</f>
        <v>0</v>
      </c>
      <c r="AX114" s="41">
        <f>BS!AX23</f>
        <v>0</v>
      </c>
      <c r="AY114" s="41">
        <f>BS!AY23</f>
        <v>0</v>
      </c>
      <c r="AZ114" s="41">
        <f>BS!AZ23</f>
        <v>0</v>
      </c>
    </row>
    <row r="115" spans="2:53" s="41" customFormat="1">
      <c r="B115" s="41" t="s">
        <v>471</v>
      </c>
      <c r="I115" s="109">
        <f ca="1">BS!I24</f>
        <v>0</v>
      </c>
      <c r="J115" s="109">
        <f ca="1">BS!J24</f>
        <v>0</v>
      </c>
      <c r="K115" s="109">
        <f ca="1">BS!K24</f>
        <v>0</v>
      </c>
      <c r="L115" s="109">
        <f ca="1">BS!L24</f>
        <v>0</v>
      </c>
      <c r="M115" s="109">
        <f ca="1">BS!M24</f>
        <v>0</v>
      </c>
      <c r="N115" s="109">
        <f ca="1">BS!N24</f>
        <v>-67291685.939287096</v>
      </c>
      <c r="O115" s="109">
        <f ca="1">BS!O24</f>
        <v>-296608011.41658807</v>
      </c>
      <c r="P115" s="109">
        <f ca="1">BS!P24</f>
        <v>-552928561.64533806</v>
      </c>
      <c r="Q115" s="109">
        <f ca="1">BS!Q24</f>
        <v>-837148148.3693974</v>
      </c>
      <c r="R115" s="109">
        <f ca="1">BS!R24</f>
        <v>-887360395.39487231</v>
      </c>
      <c r="S115" s="109">
        <f ca="1">BS!S24</f>
        <v>-842876879.74032581</v>
      </c>
      <c r="T115" s="109">
        <f ca="1">BS!T24</f>
        <v>-798514903.74603772</v>
      </c>
      <c r="U115" s="109">
        <f ca="1">BS!U24</f>
        <v>-754152927.75174952</v>
      </c>
      <c r="V115" s="109">
        <f ca="1">BS!V24</f>
        <v>-709912159.3421452</v>
      </c>
      <c r="W115" s="109">
        <f ca="1">BS!W24</f>
        <v>-665428643.68759871</v>
      </c>
      <c r="X115" s="109">
        <f ca="1">BS!X24</f>
        <v>-621066667.6933105</v>
      </c>
      <c r="Y115" s="109">
        <f ca="1">BS!Y24</f>
        <v>-576704691.69902229</v>
      </c>
      <c r="Z115" s="109">
        <f ca="1">BS!Z24</f>
        <v>-532463923.28941798</v>
      </c>
      <c r="AA115" s="109">
        <f ca="1">BS!AA24</f>
        <v>-487980407.63487148</v>
      </c>
      <c r="AB115" s="109">
        <f ca="1">BS!AB24</f>
        <v>-443618431.64058334</v>
      </c>
      <c r="AC115" s="109">
        <f ca="1">BS!AC24</f>
        <v>-399256455.64629519</v>
      </c>
      <c r="AD115" s="109">
        <f ca="1">BS!AD24</f>
        <v>-355015687.23669088</v>
      </c>
      <c r="AE115" s="109">
        <f ca="1">BS!AE24</f>
        <v>-310532171.58214438</v>
      </c>
      <c r="AF115" s="109">
        <f ca="1">BS!AF24</f>
        <v>-266170195.58785623</v>
      </c>
      <c r="AG115" s="109">
        <f ca="1">BS!AG24</f>
        <v>-221808219.59356809</v>
      </c>
      <c r="AH115" s="109">
        <f ca="1">BS!AH24</f>
        <v>-177567451.18396378</v>
      </c>
      <c r="AI115" s="109">
        <f ca="1">BS!AI24</f>
        <v>-133083935.52941731</v>
      </c>
      <c r="AJ115" s="109">
        <f ca="1">BS!AJ24</f>
        <v>-88721959.53512916</v>
      </c>
      <c r="AK115" s="109">
        <f ca="1">BS!AK24</f>
        <v>-44359983.540841013</v>
      </c>
      <c r="AL115" s="109">
        <f ca="1">BS!AL24</f>
        <v>0</v>
      </c>
      <c r="AM115" s="109">
        <f>BS!AM24</f>
        <v>0</v>
      </c>
      <c r="AN115" s="109">
        <f>BS!AN24</f>
        <v>0</v>
      </c>
      <c r="AO115" s="109">
        <f>BS!AO24</f>
        <v>0</v>
      </c>
      <c r="AP115" s="109">
        <f>BS!AP24</f>
        <v>0</v>
      </c>
      <c r="AQ115" s="109">
        <f>BS!AQ24</f>
        <v>0</v>
      </c>
      <c r="AR115" s="109">
        <f>BS!AR24</f>
        <v>0</v>
      </c>
      <c r="AS115" s="109">
        <f>BS!AS24</f>
        <v>0</v>
      </c>
      <c r="AT115" s="109">
        <f>BS!AT24</f>
        <v>0</v>
      </c>
      <c r="AU115" s="109">
        <f>BS!AU24</f>
        <v>0</v>
      </c>
      <c r="AV115" s="109">
        <f>BS!AV24</f>
        <v>0</v>
      </c>
      <c r="AW115" s="109">
        <f>BS!AW24</f>
        <v>0</v>
      </c>
      <c r="AX115" s="41">
        <f>BS!AX24</f>
        <v>0</v>
      </c>
      <c r="AY115" s="41">
        <f>BS!AY24</f>
        <v>0</v>
      </c>
      <c r="AZ115" s="41">
        <f>BS!AZ24</f>
        <v>0</v>
      </c>
      <c r="BA115" s="41">
        <f>BS!BA24</f>
        <v>0</v>
      </c>
    </row>
    <row r="116" spans="2:53" s="41" customFormat="1">
      <c r="B116" s="41" t="s">
        <v>472</v>
      </c>
      <c r="I116" s="109">
        <f ca="1">BS!I25</f>
        <v>0</v>
      </c>
      <c r="J116" s="109">
        <f ca="1">BS!J25</f>
        <v>0</v>
      </c>
      <c r="K116" s="109">
        <f ca="1">BS!K25</f>
        <v>0</v>
      </c>
      <c r="L116" s="109">
        <f ca="1">BS!L25</f>
        <v>0</v>
      </c>
      <c r="M116" s="109">
        <f ca="1">BS!M25</f>
        <v>0</v>
      </c>
      <c r="N116" s="109">
        <f ca="1">BS!N25</f>
        <v>0</v>
      </c>
      <c r="O116" s="109">
        <f ca="1">BS!O25</f>
        <v>0</v>
      </c>
      <c r="P116" s="109">
        <f ca="1">BS!P25</f>
        <v>0</v>
      </c>
      <c r="Q116" s="109">
        <f ca="1">BS!Q25</f>
        <v>0</v>
      </c>
      <c r="R116" s="109">
        <f ca="1">BS!R25</f>
        <v>0</v>
      </c>
      <c r="S116" s="109">
        <f ca="1">BS!S25</f>
        <v>0</v>
      </c>
      <c r="T116" s="109">
        <f ca="1">BS!T25</f>
        <v>0</v>
      </c>
      <c r="U116" s="109">
        <f ca="1">BS!U25</f>
        <v>0</v>
      </c>
      <c r="V116" s="109">
        <f ca="1">BS!V25</f>
        <v>0</v>
      </c>
      <c r="W116" s="109">
        <f ca="1">BS!W25</f>
        <v>0</v>
      </c>
      <c r="X116" s="109">
        <f ca="1">BS!X25</f>
        <v>0</v>
      </c>
      <c r="Y116" s="109">
        <f ca="1">BS!Y25</f>
        <v>0</v>
      </c>
      <c r="Z116" s="109">
        <f ca="1">BS!Z25</f>
        <v>0</v>
      </c>
      <c r="AA116" s="109">
        <f ca="1">BS!AA25</f>
        <v>0</v>
      </c>
      <c r="AB116" s="109">
        <f ca="1">BS!AB25</f>
        <v>0</v>
      </c>
      <c r="AC116" s="109">
        <f ca="1">BS!AC25</f>
        <v>0</v>
      </c>
      <c r="AD116" s="109">
        <f ca="1">BS!AD25</f>
        <v>0</v>
      </c>
      <c r="AE116" s="109">
        <f ca="1">BS!AE25</f>
        <v>0</v>
      </c>
      <c r="AF116" s="109">
        <f ca="1">BS!AF25</f>
        <v>0</v>
      </c>
      <c r="AG116" s="109">
        <f ca="1">BS!AG25</f>
        <v>0</v>
      </c>
      <c r="AH116" s="109">
        <f ca="1">BS!AH25</f>
        <v>0</v>
      </c>
      <c r="AI116" s="109">
        <f ca="1">BS!AI25</f>
        <v>0</v>
      </c>
      <c r="AJ116" s="109">
        <f>BS!AJ25</f>
        <v>0</v>
      </c>
      <c r="AK116" s="109">
        <f>BS!AK25</f>
        <v>0</v>
      </c>
      <c r="AL116" s="109">
        <f>BS!AL25</f>
        <v>0</v>
      </c>
      <c r="AM116" s="109">
        <f>BS!AM25</f>
        <v>0</v>
      </c>
      <c r="AN116" s="109">
        <f>BS!AN25</f>
        <v>0</v>
      </c>
      <c r="AO116" s="109">
        <f>BS!AO25</f>
        <v>0</v>
      </c>
      <c r="AP116" s="109">
        <f>BS!AP25</f>
        <v>0</v>
      </c>
      <c r="AQ116" s="109">
        <f>BS!AQ25</f>
        <v>0</v>
      </c>
      <c r="AR116" s="109">
        <f>BS!AR25</f>
        <v>0</v>
      </c>
      <c r="AS116" s="109">
        <f>BS!AS25</f>
        <v>0</v>
      </c>
      <c r="AT116" s="109">
        <f>BS!AT25</f>
        <v>0</v>
      </c>
      <c r="AU116" s="109">
        <f>BS!AU25</f>
        <v>0</v>
      </c>
      <c r="AV116" s="109">
        <f>BS!AV25</f>
        <v>0</v>
      </c>
      <c r="AW116" s="109">
        <f>BS!AW25</f>
        <v>0</v>
      </c>
      <c r="AX116" s="41">
        <f>BS!AX25</f>
        <v>0</v>
      </c>
      <c r="AY116" s="41">
        <f>BS!AY25</f>
        <v>0</v>
      </c>
      <c r="AZ116" s="41">
        <f>BS!AZ25</f>
        <v>0</v>
      </c>
      <c r="BA116" s="41">
        <f>BS!BA25</f>
        <v>0</v>
      </c>
    </row>
    <row r="117" spans="2:53" s="41" customFormat="1">
      <c r="B117" s="41" t="s">
        <v>430</v>
      </c>
      <c r="I117" s="109">
        <f ca="1">BS!I26</f>
        <v>0</v>
      </c>
      <c r="J117" s="109">
        <f ca="1">BS!J26</f>
        <v>0</v>
      </c>
      <c r="K117" s="109">
        <f ca="1">BS!K26</f>
        <v>0</v>
      </c>
      <c r="L117" s="109">
        <f ca="1">BS!L26</f>
        <v>0</v>
      </c>
      <c r="M117" s="109">
        <f ca="1">BS!M26</f>
        <v>0</v>
      </c>
      <c r="N117" s="109">
        <f ca="1">BS!N26</f>
        <v>0</v>
      </c>
      <c r="O117" s="109">
        <f ca="1">BS!O26</f>
        <v>0</v>
      </c>
      <c r="P117" s="109">
        <f ca="1">BS!P26</f>
        <v>0</v>
      </c>
      <c r="Q117" s="109">
        <f ca="1">BS!Q26</f>
        <v>0</v>
      </c>
      <c r="R117" s="109">
        <f ca="1">BS!R26</f>
        <v>0</v>
      </c>
      <c r="S117" s="109">
        <f ca="1">BS!S26</f>
        <v>0</v>
      </c>
      <c r="T117" s="109">
        <f ca="1">BS!T26</f>
        <v>0</v>
      </c>
      <c r="U117" s="109">
        <f ca="1">BS!U26</f>
        <v>0</v>
      </c>
      <c r="V117" s="109">
        <f ca="1">BS!V26</f>
        <v>0</v>
      </c>
      <c r="W117" s="109">
        <f ca="1">BS!W26</f>
        <v>0</v>
      </c>
      <c r="X117" s="109">
        <f ca="1">BS!X26</f>
        <v>0</v>
      </c>
      <c r="Y117" s="109">
        <f ca="1">BS!Y26</f>
        <v>0</v>
      </c>
      <c r="Z117" s="109">
        <f ca="1">BS!Z26</f>
        <v>0</v>
      </c>
      <c r="AA117" s="109">
        <f ca="1">BS!AA26</f>
        <v>0</v>
      </c>
      <c r="AB117" s="109">
        <f ca="1">BS!AB26</f>
        <v>0</v>
      </c>
      <c r="AC117" s="109">
        <f ca="1">BS!AC26</f>
        <v>0</v>
      </c>
      <c r="AD117" s="109">
        <f ca="1">BS!AD26</f>
        <v>0</v>
      </c>
      <c r="AE117" s="109">
        <f ca="1">BS!AE26</f>
        <v>0</v>
      </c>
      <c r="AF117" s="109">
        <f ca="1">BS!AF26</f>
        <v>0</v>
      </c>
      <c r="AG117" s="109">
        <f ca="1">BS!AG26</f>
        <v>0</v>
      </c>
      <c r="AH117" s="109">
        <f ca="1">BS!AH26</f>
        <v>0</v>
      </c>
      <c r="AI117" s="109">
        <f ca="1">BS!AI26</f>
        <v>0</v>
      </c>
      <c r="AJ117" s="109">
        <f ca="1">BS!AJ26</f>
        <v>0</v>
      </c>
      <c r="AK117" s="109">
        <f ca="1">BS!AK26</f>
        <v>0</v>
      </c>
      <c r="AL117" s="109">
        <f ca="1">BS!AL26</f>
        <v>0</v>
      </c>
      <c r="AM117" s="109">
        <f>BS!AM26</f>
        <v>0</v>
      </c>
      <c r="AN117" s="109">
        <f>BS!AN26</f>
        <v>0</v>
      </c>
      <c r="AO117" s="109">
        <f>BS!AO26</f>
        <v>0</v>
      </c>
      <c r="AP117" s="109">
        <f>BS!AP26</f>
        <v>0</v>
      </c>
      <c r="AQ117" s="109">
        <f>BS!AQ26</f>
        <v>0</v>
      </c>
      <c r="AR117" s="109">
        <f>BS!AR26</f>
        <v>0</v>
      </c>
      <c r="AS117" s="109">
        <f>BS!AS26</f>
        <v>0</v>
      </c>
      <c r="AT117" s="109">
        <f>BS!AT26</f>
        <v>0</v>
      </c>
      <c r="AU117" s="109">
        <f>BS!AU26</f>
        <v>0</v>
      </c>
      <c r="AV117" s="109">
        <f>BS!AV26</f>
        <v>0</v>
      </c>
      <c r="AW117" s="109">
        <f>BS!AW26</f>
        <v>0</v>
      </c>
      <c r="AX117" s="41">
        <f>BS!AX26</f>
        <v>0</v>
      </c>
      <c r="AY117" s="41">
        <f>BS!AY26</f>
        <v>0</v>
      </c>
      <c r="AZ117" s="41">
        <f>BS!AZ26</f>
        <v>0</v>
      </c>
      <c r="BA117" s="41">
        <f>BS!BA26</f>
        <v>0</v>
      </c>
    </row>
    <row r="118" spans="2:53">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c r="AO118" s="79"/>
      <c r="AP118" s="79"/>
      <c r="AQ118" s="79"/>
      <c r="AR118" s="79"/>
      <c r="AS118" s="79"/>
      <c r="AT118" s="79"/>
      <c r="AU118" s="79"/>
      <c r="AV118" s="79"/>
      <c r="AW118" s="79"/>
    </row>
    <row r="119" spans="2:53">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c r="AO119" s="79"/>
      <c r="AP119" s="79"/>
      <c r="AQ119" s="79"/>
      <c r="AR119" s="79"/>
      <c r="AS119" s="79"/>
      <c r="AT119" s="79"/>
      <c r="AU119" s="79"/>
      <c r="AV119" s="79"/>
      <c r="AW119" s="79"/>
    </row>
    <row r="120" spans="2:53">
      <c r="B120" s="2" t="s">
        <v>1347</v>
      </c>
      <c r="I120" s="1197">
        <f ca="1">I109+I110</f>
        <v>0</v>
      </c>
      <c r="J120" s="1197">
        <f t="shared" ref="J120:AW120" ca="1" si="19">J109+J110</f>
        <v>0</v>
      </c>
      <c r="K120" s="1197">
        <f t="shared" ca="1" si="19"/>
        <v>125156280.71864671</v>
      </c>
      <c r="L120" s="1197">
        <f t="shared" ca="1" si="19"/>
        <v>191257782.60732284</v>
      </c>
      <c r="M120" s="1197">
        <f t="shared" ca="1" si="19"/>
        <v>212861737.59176907</v>
      </c>
      <c r="N120" s="1197">
        <f t="shared" ca="1" si="19"/>
        <v>158634601.54769969</v>
      </c>
      <c r="O120" s="1197">
        <f t="shared" ca="1" si="19"/>
        <v>-56644412.977290452</v>
      </c>
      <c r="P120" s="1197">
        <f t="shared" ca="1" si="19"/>
        <v>-301337901.94419932</v>
      </c>
      <c r="Q120" s="1197">
        <f t="shared" ca="1" si="19"/>
        <v>-573294761.1340282</v>
      </c>
      <c r="R120" s="1197">
        <f t="shared" ca="1" si="19"/>
        <v>-611327217.30348229</v>
      </c>
      <c r="S120" s="1197">
        <f t="shared" ca="1" si="19"/>
        <v>-552438095.96338606</v>
      </c>
      <c r="T120" s="1197">
        <f t="shared" ca="1" si="19"/>
        <v>-493670998.3333891</v>
      </c>
      <c r="U120" s="1197">
        <f t="shared" ca="1" si="19"/>
        <v>-434103023.72547853</v>
      </c>
      <c r="V120" s="1197">
        <f t="shared" ca="1" si="19"/>
        <v>-374725786.45888853</v>
      </c>
      <c r="W120" s="1197">
        <f t="shared" ca="1" si="19"/>
        <v>-312369478.4424147</v>
      </c>
      <c r="X120" s="1197">
        <f t="shared" ca="1" si="19"/>
        <v>-357329399.75404453</v>
      </c>
      <c r="Y120" s="1197">
        <f t="shared" ca="1" si="19"/>
        <v>-305055305.7215783</v>
      </c>
      <c r="Z120" s="1197">
        <f t="shared" ca="1" si="19"/>
        <v>-253429533.51286042</v>
      </c>
      <c r="AA120" s="1197">
        <f t="shared" ca="1" si="19"/>
        <v>-199787574.05140108</v>
      </c>
      <c r="AB120" s="1197">
        <f t="shared" ca="1" si="19"/>
        <v>-146779813.04960883</v>
      </c>
      <c r="AC120" s="1197">
        <f t="shared" ca="1" si="19"/>
        <v>-93512678.497591436</v>
      </c>
      <c r="AD120" s="1197">
        <f t="shared" ca="1" si="19"/>
        <v>-40960023.250201285</v>
      </c>
      <c r="AE120" s="1197">
        <f t="shared" ca="1" si="19"/>
        <v>13831401.59491545</v>
      </c>
      <c r="AF120" s="1197">
        <f t="shared" ca="1" si="19"/>
        <v>67924284.78451544</v>
      </c>
      <c r="AG120" s="1197">
        <f t="shared" ca="1" si="19"/>
        <v>122309095.18997473</v>
      </c>
      <c r="AH120" s="1197">
        <f t="shared" ca="1" si="19"/>
        <v>175904965.46323007</v>
      </c>
      <c r="AI120" s="1197">
        <f t="shared" ca="1" si="19"/>
        <v>231990123.72444335</v>
      </c>
      <c r="AJ120" s="1197">
        <f t="shared" ca="1" si="19"/>
        <v>287304321.49634731</v>
      </c>
      <c r="AK120" s="1197">
        <f t="shared" ca="1" si="19"/>
        <v>342947085.92157972</v>
      </c>
      <c r="AL120" s="1197">
        <f t="shared" ca="1" si="19"/>
        <v>0</v>
      </c>
      <c r="AM120" s="1197">
        <f t="shared" si="19"/>
        <v>0</v>
      </c>
      <c r="AN120" s="1197">
        <f t="shared" si="19"/>
        <v>0</v>
      </c>
      <c r="AO120" s="1197">
        <f t="shared" si="19"/>
        <v>0</v>
      </c>
      <c r="AP120" s="1197">
        <f t="shared" si="19"/>
        <v>0</v>
      </c>
      <c r="AQ120" s="1197">
        <f t="shared" si="19"/>
        <v>0</v>
      </c>
      <c r="AR120" s="1197">
        <f t="shared" si="19"/>
        <v>0</v>
      </c>
      <c r="AS120" s="1197">
        <f t="shared" si="19"/>
        <v>0</v>
      </c>
      <c r="AT120" s="1197">
        <f t="shared" si="19"/>
        <v>0</v>
      </c>
      <c r="AU120" s="1197">
        <f t="shared" si="19"/>
        <v>0</v>
      </c>
      <c r="AV120" s="1197">
        <f t="shared" si="19"/>
        <v>0</v>
      </c>
      <c r="AW120" s="1197">
        <f t="shared" si="19"/>
        <v>0</v>
      </c>
    </row>
    <row r="121" spans="2:53">
      <c r="B121" s="2" t="s">
        <v>1348</v>
      </c>
      <c r="I121" s="1198">
        <f ca="1">I114+I115</f>
        <v>0</v>
      </c>
      <c r="J121" s="1198">
        <f t="shared" ref="J121:AW121" ca="1" si="20">J114+J115</f>
        <v>-11867265.333583435</v>
      </c>
      <c r="K121" s="1198">
        <f t="shared" ca="1" si="20"/>
        <v>-21954070.956888694</v>
      </c>
      <c r="L121" s="1198">
        <f t="shared" ca="1" si="20"/>
        <v>-32635695.011136003</v>
      </c>
      <c r="M121" s="1198">
        <f t="shared" ca="1" si="20"/>
        <v>-34492543.714780673</v>
      </c>
      <c r="N121" s="1198">
        <f t="shared" ca="1" si="20"/>
        <v>-102635612.149793</v>
      </c>
      <c r="O121" s="1198">
        <f t="shared" ca="1" si="20"/>
        <v>-333100921.65285969</v>
      </c>
      <c r="P121" s="1198">
        <f t="shared" ca="1" si="20"/>
        <v>-590425676.35390091</v>
      </c>
      <c r="Q121" s="1198">
        <f t="shared" ca="1" si="20"/>
        <v>-875704816.32407045</v>
      </c>
      <c r="R121" s="1198">
        <f t="shared" ca="1" si="20"/>
        <v>-926871174.00311816</v>
      </c>
      <c r="S121" s="1198">
        <f t="shared" ca="1" si="20"/>
        <v>-883673172.09400403</v>
      </c>
      <c r="T121" s="1198">
        <f t="shared" ca="1" si="20"/>
        <v>-840436321.61198187</v>
      </c>
      <c r="U121" s="1198">
        <f t="shared" ca="1" si="20"/>
        <v>-797260968.851789</v>
      </c>
      <c r="V121" s="1198">
        <f t="shared" ca="1" si="20"/>
        <v>-754089512.12337375</v>
      </c>
      <c r="W121" s="1198">
        <f t="shared" ca="1" si="20"/>
        <v>-711044421.24894714</v>
      </c>
      <c r="X121" s="1198">
        <f t="shared" ca="1" si="20"/>
        <v>-667943159.42416191</v>
      </c>
      <c r="Y121" s="1198">
        <f t="shared" ca="1" si="20"/>
        <v>-624910236.62625682</v>
      </c>
      <c r="Z121" s="1198">
        <f t="shared" ca="1" si="20"/>
        <v>-581585776.72109342</v>
      </c>
      <c r="AA121" s="1198">
        <f t="shared" ca="1" si="20"/>
        <v>-538419458.57861018</v>
      </c>
      <c r="AB121" s="1198">
        <f t="shared" ca="1" si="20"/>
        <v>-495169764.06967449</v>
      </c>
      <c r="AC121" s="1198">
        <f t="shared" ca="1" si="20"/>
        <v>-451987006.86995226</v>
      </c>
      <c r="AD121" s="1198">
        <f t="shared" ca="1" si="20"/>
        <v>-408774981.73811358</v>
      </c>
      <c r="AE121" s="1198">
        <f t="shared" ca="1" si="20"/>
        <v>-365760572.21365893</v>
      </c>
      <c r="AF121" s="1198">
        <f t="shared" ca="1" si="20"/>
        <v>-322643679.24378806</v>
      </c>
      <c r="AG121" s="1198">
        <f t="shared" ca="1" si="20"/>
        <v>-279601064.33776611</v>
      </c>
      <c r="AH121" s="1198">
        <f t="shared" ca="1" si="20"/>
        <v>-236515315.55237657</v>
      </c>
      <c r="AI121" s="1198">
        <f t="shared" ca="1" si="20"/>
        <v>-193670877.79564279</v>
      </c>
      <c r="AJ121" s="1198">
        <f t="shared" ca="1" si="20"/>
        <v>-150702777.50432438</v>
      </c>
      <c r="AK121" s="1198">
        <f t="shared" ca="1" si="20"/>
        <v>-107817111.83393937</v>
      </c>
      <c r="AL121" s="1198">
        <f t="shared" ca="1" si="20"/>
        <v>0</v>
      </c>
      <c r="AM121" s="1198">
        <f t="shared" si="20"/>
        <v>0</v>
      </c>
      <c r="AN121" s="1198">
        <f t="shared" si="20"/>
        <v>0</v>
      </c>
      <c r="AO121" s="1198">
        <f t="shared" si="20"/>
        <v>0</v>
      </c>
      <c r="AP121" s="1198">
        <f t="shared" si="20"/>
        <v>0</v>
      </c>
      <c r="AQ121" s="1198">
        <f t="shared" si="20"/>
        <v>0</v>
      </c>
      <c r="AR121" s="1198">
        <f t="shared" si="20"/>
        <v>0</v>
      </c>
      <c r="AS121" s="1198">
        <f t="shared" si="20"/>
        <v>0</v>
      </c>
      <c r="AT121" s="1198">
        <f t="shared" si="20"/>
        <v>0</v>
      </c>
      <c r="AU121" s="1198">
        <f t="shared" si="20"/>
        <v>0</v>
      </c>
      <c r="AV121" s="1198">
        <f t="shared" si="20"/>
        <v>0</v>
      </c>
      <c r="AW121" s="1198">
        <f t="shared" si="20"/>
        <v>0</v>
      </c>
    </row>
    <row r="122" spans="2:53">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c r="AO122" s="79"/>
      <c r="AP122" s="79"/>
      <c r="AQ122" s="79"/>
      <c r="AR122" s="79"/>
      <c r="AS122" s="79"/>
      <c r="AT122" s="79"/>
      <c r="AU122" s="79"/>
      <c r="AV122" s="79"/>
      <c r="AW122" s="79"/>
    </row>
    <row r="123" spans="2:53">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c r="AO123" s="79"/>
      <c r="AP123" s="79"/>
      <c r="AQ123" s="79"/>
      <c r="AR123" s="79"/>
      <c r="AS123" s="79"/>
      <c r="AT123" s="79"/>
      <c r="AU123" s="79"/>
      <c r="AV123" s="79"/>
      <c r="AW123" s="79"/>
    </row>
    <row r="124" spans="2:53">
      <c r="B124" s="2" t="s">
        <v>1349</v>
      </c>
      <c r="I124" s="1197">
        <f ca="1">I109+I110+I111</f>
        <v>0</v>
      </c>
      <c r="J124" s="1197">
        <f t="shared" ref="J124:AW124" ca="1" si="21">J109+J110+J111</f>
        <v>-132913371.73613448</v>
      </c>
      <c r="K124" s="1197">
        <f t="shared" ca="1" si="21"/>
        <v>758135441.47684789</v>
      </c>
      <c r="L124" s="1197">
        <f t="shared" ca="1" si="21"/>
        <v>1069734348.2487047</v>
      </c>
      <c r="M124" s="1197">
        <f t="shared" ca="1" si="21"/>
        <v>1501161627.6986771</v>
      </c>
      <c r="N124" s="1197">
        <f t="shared" ca="1" si="21"/>
        <v>1796600997.2272646</v>
      </c>
      <c r="O124" s="1197">
        <f t="shared" ca="1" si="21"/>
        <v>1984082404.8252127</v>
      </c>
      <c r="P124" s="1197">
        <f t="shared" ca="1" si="21"/>
        <v>2184042955.2041817</v>
      </c>
      <c r="Q124" s="1197">
        <f t="shared" ca="1" si="21"/>
        <v>2392701475.0992451</v>
      </c>
      <c r="R124" s="1197">
        <f t="shared" ca="1" si="21"/>
        <v>2648695442.8709488</v>
      </c>
      <c r="S124" s="1197">
        <f t="shared" ca="1" si="21"/>
        <v>3307323769.2407265</v>
      </c>
      <c r="T124" s="1197">
        <f t="shared" ca="1" si="21"/>
        <v>3944084348.1985569</v>
      </c>
      <c r="U124" s="1197">
        <f t="shared" ca="1" si="21"/>
        <v>4563907875.1636763</v>
      </c>
      <c r="V124" s="1197">
        <f t="shared" ca="1" si="21"/>
        <v>5175209741.4588375</v>
      </c>
      <c r="W124" s="1197">
        <f t="shared" ca="1" si="21"/>
        <v>5775866968.9934912</v>
      </c>
      <c r="X124" s="1197">
        <f t="shared" ca="1" si="21"/>
        <v>5867885961.5622387</v>
      </c>
      <c r="Y124" s="1197">
        <f t="shared" ca="1" si="21"/>
        <v>5983134898.0124588</v>
      </c>
      <c r="Z124" s="1197">
        <f t="shared" ca="1" si="21"/>
        <v>6122422230.0520782</v>
      </c>
      <c r="AA124" s="1197">
        <f t="shared" ca="1" si="21"/>
        <v>6275386898.2721806</v>
      </c>
      <c r="AB124" s="1197">
        <f t="shared" ca="1" si="21"/>
        <v>6463712992.1820192</v>
      </c>
      <c r="AC124" s="1197">
        <f t="shared" ca="1" si="21"/>
        <v>6680942098.9921312</v>
      </c>
      <c r="AD124" s="1197">
        <f t="shared" ca="1" si="21"/>
        <v>6926976697.0398245</v>
      </c>
      <c r="AE124" s="1197">
        <f t="shared" ca="1" si="21"/>
        <v>7190150599.1006842</v>
      </c>
      <c r="AF124" s="1197">
        <f t="shared" ca="1" si="21"/>
        <v>7478011402.8348989</v>
      </c>
      <c r="AG124" s="1197">
        <f t="shared" ca="1" si="21"/>
        <v>7785353636.8629217</v>
      </c>
      <c r="AH124" s="1197">
        <f t="shared" ca="1" si="21"/>
        <v>8113754123.5507402</v>
      </c>
      <c r="AI124" s="1197">
        <f t="shared" ca="1" si="21"/>
        <v>8451925513.9394302</v>
      </c>
      <c r="AJ124" s="1197">
        <f t="shared" ca="1" si="21"/>
        <v>10162597536.10429</v>
      </c>
      <c r="AK124" s="1197">
        <f t="shared" ca="1" si="21"/>
        <v>11948131485.324459</v>
      </c>
      <c r="AL124" s="1197">
        <f t="shared" ca="1" si="21"/>
        <v>12504018718.493343</v>
      </c>
      <c r="AM124" s="1197">
        <f t="shared" si="21"/>
        <v>0</v>
      </c>
      <c r="AN124" s="1197">
        <f t="shared" si="21"/>
        <v>0</v>
      </c>
      <c r="AO124" s="1197">
        <f t="shared" si="21"/>
        <v>0</v>
      </c>
      <c r="AP124" s="1197">
        <f t="shared" si="21"/>
        <v>0</v>
      </c>
      <c r="AQ124" s="1197">
        <f t="shared" si="21"/>
        <v>0</v>
      </c>
      <c r="AR124" s="1197">
        <f t="shared" si="21"/>
        <v>0</v>
      </c>
      <c r="AS124" s="1197">
        <f t="shared" si="21"/>
        <v>0</v>
      </c>
      <c r="AT124" s="1197">
        <f t="shared" si="21"/>
        <v>0</v>
      </c>
      <c r="AU124" s="1197">
        <f t="shared" si="21"/>
        <v>0</v>
      </c>
      <c r="AV124" s="1197">
        <f t="shared" si="21"/>
        <v>0</v>
      </c>
      <c r="AW124" s="1197">
        <f t="shared" si="21"/>
        <v>0</v>
      </c>
    </row>
    <row r="125" spans="2:53">
      <c r="B125" s="2" t="s">
        <v>1346</v>
      </c>
      <c r="I125" s="1198">
        <f ca="1">I114+I115+I116+I117</f>
        <v>0</v>
      </c>
      <c r="J125" s="1198">
        <f t="shared" ref="J125:AW125" ca="1" si="22">J114+J115+J116+J117</f>
        <v>-11867265.333583435</v>
      </c>
      <c r="K125" s="1198">
        <f t="shared" ca="1" si="22"/>
        <v>-21954070.956888694</v>
      </c>
      <c r="L125" s="1198">
        <f t="shared" ca="1" si="22"/>
        <v>-32635695.011136003</v>
      </c>
      <c r="M125" s="1198">
        <f t="shared" ca="1" si="22"/>
        <v>-34492543.714780673</v>
      </c>
      <c r="N125" s="1198">
        <f t="shared" ca="1" si="22"/>
        <v>-102635612.149793</v>
      </c>
      <c r="O125" s="1198">
        <f t="shared" ca="1" si="22"/>
        <v>-333100921.65285969</v>
      </c>
      <c r="P125" s="1198">
        <f t="shared" ca="1" si="22"/>
        <v>-590425676.35390091</v>
      </c>
      <c r="Q125" s="1198">
        <f t="shared" ca="1" si="22"/>
        <v>-875704816.32407045</v>
      </c>
      <c r="R125" s="1198">
        <f t="shared" ca="1" si="22"/>
        <v>-926871174.00311816</v>
      </c>
      <c r="S125" s="1198">
        <f t="shared" ca="1" si="22"/>
        <v>-883673172.09400403</v>
      </c>
      <c r="T125" s="1198">
        <f t="shared" ca="1" si="22"/>
        <v>-840436321.61198187</v>
      </c>
      <c r="U125" s="1198">
        <f t="shared" ca="1" si="22"/>
        <v>-797260968.851789</v>
      </c>
      <c r="V125" s="1198">
        <f t="shared" ca="1" si="22"/>
        <v>-754089512.12337375</v>
      </c>
      <c r="W125" s="1198">
        <f t="shared" ca="1" si="22"/>
        <v>-711044421.24894714</v>
      </c>
      <c r="X125" s="1198">
        <f t="shared" ca="1" si="22"/>
        <v>-667943159.42416191</v>
      </c>
      <c r="Y125" s="1198">
        <f t="shared" ca="1" si="22"/>
        <v>-624910236.62625682</v>
      </c>
      <c r="Z125" s="1198">
        <f t="shared" ca="1" si="22"/>
        <v>-581585776.72109342</v>
      </c>
      <c r="AA125" s="1198">
        <f t="shared" ca="1" si="22"/>
        <v>-538419458.57861018</v>
      </c>
      <c r="AB125" s="1198">
        <f t="shared" ca="1" si="22"/>
        <v>-495169764.06967449</v>
      </c>
      <c r="AC125" s="1198">
        <f t="shared" ca="1" si="22"/>
        <v>-451987006.86995226</v>
      </c>
      <c r="AD125" s="1198">
        <f t="shared" ca="1" si="22"/>
        <v>-408774981.73811358</v>
      </c>
      <c r="AE125" s="1198">
        <f t="shared" ca="1" si="22"/>
        <v>-365760572.21365893</v>
      </c>
      <c r="AF125" s="1198">
        <f t="shared" ca="1" si="22"/>
        <v>-322643679.24378806</v>
      </c>
      <c r="AG125" s="1198">
        <f t="shared" ca="1" si="22"/>
        <v>-279601064.33776611</v>
      </c>
      <c r="AH125" s="1198">
        <f t="shared" ca="1" si="22"/>
        <v>-236515315.55237657</v>
      </c>
      <c r="AI125" s="1198">
        <f t="shared" ca="1" si="22"/>
        <v>-193670877.79564279</v>
      </c>
      <c r="AJ125" s="1198">
        <f t="shared" ca="1" si="22"/>
        <v>-150702777.50432438</v>
      </c>
      <c r="AK125" s="1198">
        <f t="shared" ca="1" si="22"/>
        <v>-107817111.83393937</v>
      </c>
      <c r="AL125" s="1198">
        <f t="shared" ca="1" si="22"/>
        <v>0</v>
      </c>
      <c r="AM125" s="1198">
        <f t="shared" si="22"/>
        <v>0</v>
      </c>
      <c r="AN125" s="1198">
        <f t="shared" si="22"/>
        <v>0</v>
      </c>
      <c r="AO125" s="1198">
        <f t="shared" si="22"/>
        <v>0</v>
      </c>
      <c r="AP125" s="1198">
        <f t="shared" si="22"/>
        <v>0</v>
      </c>
      <c r="AQ125" s="1198">
        <f t="shared" si="22"/>
        <v>0</v>
      </c>
      <c r="AR125" s="1198">
        <f t="shared" si="22"/>
        <v>0</v>
      </c>
      <c r="AS125" s="1198">
        <f t="shared" si="22"/>
        <v>0</v>
      </c>
      <c r="AT125" s="1198">
        <f t="shared" si="22"/>
        <v>0</v>
      </c>
      <c r="AU125" s="1198">
        <f t="shared" si="22"/>
        <v>0</v>
      </c>
      <c r="AV125" s="1198">
        <f t="shared" si="22"/>
        <v>0</v>
      </c>
      <c r="AW125" s="1198">
        <f t="shared" si="22"/>
        <v>0</v>
      </c>
    </row>
    <row r="127" spans="2:53" ht="11.25" thickBot="1"/>
    <row r="128" spans="2:53" ht="12.75">
      <c r="B128" s="1191"/>
      <c r="C128" s="1179"/>
      <c r="D128" s="1179"/>
      <c r="E128" s="1179"/>
      <c r="F128" s="1179"/>
      <c r="G128" s="1179"/>
      <c r="H128" s="1179"/>
      <c r="I128" s="1179"/>
      <c r="J128" s="1179"/>
      <c r="K128" s="1179"/>
      <c r="L128" s="1179"/>
      <c r="M128" s="1179"/>
      <c r="N128" s="1179"/>
      <c r="O128" s="1179"/>
      <c r="P128" s="1179"/>
      <c r="Q128" s="1179"/>
      <c r="R128" s="1179"/>
      <c r="S128" s="1179"/>
      <c r="T128" s="1179"/>
      <c r="U128" s="1179"/>
      <c r="V128" s="1179"/>
      <c r="W128" s="1179"/>
      <c r="X128" s="1179"/>
      <c r="Y128" s="1179"/>
      <c r="Z128" s="1179"/>
      <c r="AA128" s="1179"/>
      <c r="AB128" s="1179"/>
      <c r="AC128" s="1179"/>
      <c r="AD128" s="1179"/>
      <c r="AE128" s="1179"/>
      <c r="AF128" s="1179"/>
      <c r="AG128" s="1179"/>
      <c r="AH128" s="1179"/>
      <c r="AI128" s="1179"/>
      <c r="AJ128" s="1179"/>
      <c r="AK128" s="1179"/>
      <c r="AL128" s="1179"/>
      <c r="AM128" s="1179"/>
      <c r="AN128" s="1179"/>
      <c r="AO128" s="1179"/>
      <c r="AP128" s="1179"/>
      <c r="AQ128" s="1179"/>
      <c r="AR128" s="1179"/>
      <c r="AS128" s="1179"/>
      <c r="AT128" s="1179"/>
      <c r="AU128" s="1179"/>
      <c r="AV128" s="1179"/>
      <c r="AW128" s="1180"/>
      <c r="BA128" s="1201" t="s">
        <v>1377</v>
      </c>
    </row>
    <row r="129" spans="2:53" ht="12.75">
      <c r="B129" s="1192" t="s">
        <v>1350</v>
      </c>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c r="AO129" s="79"/>
      <c r="AP129" s="79"/>
      <c r="AQ129" s="79"/>
      <c r="AR129" s="79"/>
      <c r="AS129" s="79"/>
      <c r="AT129" s="79"/>
      <c r="AU129" s="79"/>
      <c r="AV129" s="79"/>
      <c r="AW129" s="1182"/>
      <c r="BA129" s="79"/>
    </row>
    <row r="130" spans="2:53" ht="12.75">
      <c r="B130" s="1193" t="s">
        <v>1351</v>
      </c>
      <c r="C130" s="79"/>
      <c r="D130" s="79"/>
      <c r="E130" s="79"/>
      <c r="F130" s="79"/>
      <c r="G130" s="79"/>
      <c r="H130" s="79"/>
      <c r="I130" s="79"/>
      <c r="J130" s="79"/>
      <c r="K130" s="79"/>
      <c r="L130" s="1196">
        <v>0</v>
      </c>
      <c r="M130" s="1196">
        <v>0</v>
      </c>
      <c r="N130" s="1196">
        <v>0</v>
      </c>
      <c r="O130" s="1196">
        <v>0</v>
      </c>
      <c r="P130" s="1196">
        <v>0</v>
      </c>
      <c r="Q130" s="1196">
        <v>0</v>
      </c>
      <c r="R130" s="1196">
        <v>0</v>
      </c>
      <c r="S130" s="1196">
        <v>0</v>
      </c>
      <c r="T130" s="1196">
        <v>0</v>
      </c>
      <c r="U130" s="1196">
        <v>0</v>
      </c>
      <c r="V130" s="1196">
        <v>0</v>
      </c>
      <c r="W130" s="1196">
        <v>0</v>
      </c>
      <c r="X130" s="1196">
        <v>0</v>
      </c>
      <c r="Y130" s="1196">
        <v>0</v>
      </c>
      <c r="Z130" s="1196">
        <v>0</v>
      </c>
      <c r="AA130" s="1196">
        <v>0</v>
      </c>
      <c r="AB130" s="1196">
        <v>0</v>
      </c>
      <c r="AC130" s="1196">
        <v>0</v>
      </c>
      <c r="AD130" s="1196">
        <v>0</v>
      </c>
      <c r="AE130" s="1196">
        <v>0</v>
      </c>
      <c r="AF130" s="1196">
        <v>0</v>
      </c>
      <c r="AG130" s="1196">
        <v>0</v>
      </c>
      <c r="AH130" s="1196">
        <v>0</v>
      </c>
      <c r="AI130" s="1196">
        <v>0</v>
      </c>
      <c r="AJ130" s="1196">
        <v>0</v>
      </c>
      <c r="AK130" s="1196">
        <v>0</v>
      </c>
      <c r="AL130" s="1196">
        <v>0</v>
      </c>
      <c r="AM130" s="1196">
        <v>0</v>
      </c>
      <c r="AN130" s="1196">
        <v>0</v>
      </c>
      <c r="AO130" s="1196">
        <v>0</v>
      </c>
      <c r="AP130" s="1196">
        <v>0</v>
      </c>
      <c r="AQ130" s="1196">
        <v>0</v>
      </c>
      <c r="AR130" s="1196">
        <v>0</v>
      </c>
      <c r="AS130" s="1196">
        <v>0</v>
      </c>
      <c r="AT130" s="1196">
        <v>0</v>
      </c>
      <c r="AU130" s="1196">
        <v>0</v>
      </c>
      <c r="AV130" s="1196">
        <v>0</v>
      </c>
      <c r="AW130" s="1196">
        <v>0</v>
      </c>
      <c r="BA130" s="79"/>
    </row>
    <row r="131" spans="2:53" ht="12.75">
      <c r="B131" s="1193" t="s">
        <v>1352</v>
      </c>
      <c r="C131" s="79"/>
      <c r="D131" s="79"/>
      <c r="E131" s="79"/>
      <c r="F131" s="79"/>
      <c r="G131" s="79"/>
      <c r="H131" s="79"/>
      <c r="I131" s="79" t="str">
        <f ca="1">IFERROR(I109/I105*365," ")</f>
        <v xml:space="preserve"> </v>
      </c>
      <c r="J131" s="79" t="str">
        <f t="shared" ref="J131:AW131" ca="1" si="23">IFERROR(J109/J105*365," ")</f>
        <v xml:space="preserve"> </v>
      </c>
      <c r="K131" s="79">
        <f t="shared" ca="1" si="23"/>
        <v>45</v>
      </c>
      <c r="L131" s="109">
        <f t="shared" ca="1" si="23"/>
        <v>45</v>
      </c>
      <c r="M131" s="109">
        <f t="shared" ca="1" si="23"/>
        <v>44.999999999999993</v>
      </c>
      <c r="N131" s="109">
        <f t="shared" ca="1" si="23"/>
        <v>44.877049180327866</v>
      </c>
      <c r="O131" s="109">
        <f t="shared" ca="1" si="23"/>
        <v>45</v>
      </c>
      <c r="P131" s="109">
        <f t="shared" ca="1" si="23"/>
        <v>45</v>
      </c>
      <c r="Q131" s="109">
        <f t="shared" ca="1" si="23"/>
        <v>45</v>
      </c>
      <c r="R131" s="109">
        <f t="shared" ca="1" si="23"/>
        <v>44.877049180327866</v>
      </c>
      <c r="S131" s="109">
        <f t="shared" ca="1" si="23"/>
        <v>45</v>
      </c>
      <c r="T131" s="109">
        <f t="shared" ca="1" si="23"/>
        <v>45</v>
      </c>
      <c r="U131" s="109">
        <f t="shared" ca="1" si="23"/>
        <v>45</v>
      </c>
      <c r="V131" s="109">
        <f t="shared" ca="1" si="23"/>
        <v>44.877049180327866</v>
      </c>
      <c r="W131" s="109">
        <f t="shared" ca="1" si="23"/>
        <v>45</v>
      </c>
      <c r="X131" s="109">
        <f t="shared" ca="1" si="23"/>
        <v>45</v>
      </c>
      <c r="Y131" s="109">
        <f t="shared" ca="1" si="23"/>
        <v>45</v>
      </c>
      <c r="Z131" s="109">
        <f t="shared" ca="1" si="23"/>
        <v>44.877049180327866</v>
      </c>
      <c r="AA131" s="109">
        <f t="shared" ca="1" si="23"/>
        <v>45.000000000000007</v>
      </c>
      <c r="AB131" s="109">
        <f t="shared" ca="1" si="23"/>
        <v>45</v>
      </c>
      <c r="AC131" s="109">
        <f t="shared" ca="1" si="23"/>
        <v>45</v>
      </c>
      <c r="AD131" s="109">
        <f t="shared" ca="1" si="23"/>
        <v>44.877049180327873</v>
      </c>
      <c r="AE131" s="109">
        <f t="shared" ca="1" si="23"/>
        <v>45</v>
      </c>
      <c r="AF131" s="109">
        <f t="shared" ca="1" si="23"/>
        <v>45</v>
      </c>
      <c r="AG131" s="109">
        <f t="shared" ca="1" si="23"/>
        <v>45</v>
      </c>
      <c r="AH131" s="109">
        <f t="shared" ca="1" si="23"/>
        <v>44.877049180327873</v>
      </c>
      <c r="AI131" s="109">
        <f t="shared" ca="1" si="23"/>
        <v>45</v>
      </c>
      <c r="AJ131" s="109">
        <f t="shared" ca="1" si="23"/>
        <v>45</v>
      </c>
      <c r="AK131" s="109">
        <f t="shared" ca="1" si="23"/>
        <v>45.000000000000007</v>
      </c>
      <c r="AL131" s="109">
        <f t="shared" ca="1" si="23"/>
        <v>0</v>
      </c>
      <c r="AM131" s="109" t="str">
        <f t="shared" si="23"/>
        <v xml:space="preserve"> </v>
      </c>
      <c r="AN131" s="109" t="str">
        <f t="shared" si="23"/>
        <v xml:space="preserve"> </v>
      </c>
      <c r="AO131" s="109" t="str">
        <f t="shared" si="23"/>
        <v xml:space="preserve"> </v>
      </c>
      <c r="AP131" s="109" t="str">
        <f t="shared" si="23"/>
        <v xml:space="preserve"> </v>
      </c>
      <c r="AQ131" s="109" t="str">
        <f t="shared" si="23"/>
        <v xml:space="preserve"> </v>
      </c>
      <c r="AR131" s="109" t="str">
        <f t="shared" si="23"/>
        <v xml:space="preserve"> </v>
      </c>
      <c r="AS131" s="109" t="str">
        <f t="shared" si="23"/>
        <v xml:space="preserve"> </v>
      </c>
      <c r="AT131" s="109" t="str">
        <f t="shared" si="23"/>
        <v xml:space="preserve"> </v>
      </c>
      <c r="AU131" s="109" t="str">
        <f t="shared" si="23"/>
        <v xml:space="preserve"> </v>
      </c>
      <c r="AV131" s="109" t="str">
        <f t="shared" si="23"/>
        <v xml:space="preserve"> </v>
      </c>
      <c r="AW131" s="109" t="str">
        <f t="shared" si="23"/>
        <v xml:space="preserve"> </v>
      </c>
      <c r="BA131" s="1200">
        <f ca="1">AVERAGE(L131:AW131)</f>
        <v>43.30601092896174</v>
      </c>
    </row>
    <row r="132" spans="2:53" ht="12.75">
      <c r="B132" s="1194" t="s">
        <v>1353</v>
      </c>
      <c r="C132" s="79"/>
      <c r="D132" s="79"/>
      <c r="E132" s="79"/>
      <c r="F132" s="79"/>
      <c r="G132" s="79"/>
      <c r="H132" s="79"/>
      <c r="I132" s="79" t="str">
        <f ca="1">IFERROR(I114/I106*365," ")</f>
        <v xml:space="preserve"> </v>
      </c>
      <c r="J132" s="79" t="str">
        <f t="shared" ref="J132:AW132" ca="1" si="24">IFERROR(J114/J106*365," ")</f>
        <v xml:space="preserve"> </v>
      </c>
      <c r="K132" s="79">
        <f t="shared" ca="1" si="24"/>
        <v>272.4281002205679</v>
      </c>
      <c r="L132" s="109">
        <f ca="1">IFERROR(L114/L106*365," ")</f>
        <v>111.63767481877987</v>
      </c>
      <c r="M132" s="109">
        <f t="shared" ca="1" si="24"/>
        <v>115.32397869572574</v>
      </c>
      <c r="N132" s="109">
        <f t="shared" ca="1" si="24"/>
        <v>115.70607614654313</v>
      </c>
      <c r="O132" s="109">
        <f t="shared" ca="1" si="24"/>
        <v>116.01960305353525</v>
      </c>
      <c r="P132" s="109">
        <f t="shared" ca="1" si="24"/>
        <v>116.72589899837439</v>
      </c>
      <c r="Q132" s="109">
        <f t="shared" ca="1" si="24"/>
        <v>117.19981053657611</v>
      </c>
      <c r="R132" s="109">
        <f t="shared" ca="1" si="24"/>
        <v>117.59504410803028</v>
      </c>
      <c r="S132" s="109">
        <f t="shared" ca="1" si="24"/>
        <v>117.91651813208871</v>
      </c>
      <c r="T132" s="109">
        <f t="shared" ca="1" si="24"/>
        <v>118.64117515549715</v>
      </c>
      <c r="U132" s="109">
        <f t="shared" ca="1" si="24"/>
        <v>119.1282668480364</v>
      </c>
      <c r="V132" s="109">
        <f t="shared" ca="1" si="24"/>
        <v>119.53669804961292</v>
      </c>
      <c r="W132" s="109">
        <f t="shared" ca="1" si="24"/>
        <v>119.86604185035061</v>
      </c>
      <c r="X132" s="109">
        <f t="shared" ca="1" si="24"/>
        <v>120.60927657388545</v>
      </c>
      <c r="Y132" s="109">
        <f t="shared" ca="1" si="24"/>
        <v>121.1096262581341</v>
      </c>
      <c r="Z132" s="109">
        <f t="shared" ca="1" si="24"/>
        <v>120.83713952973972</v>
      </c>
      <c r="AA132" s="109">
        <f t="shared" ca="1" si="24"/>
        <v>120.49557131977444</v>
      </c>
      <c r="AB132" s="109">
        <f t="shared" ca="1" si="24"/>
        <v>120.58341609089052</v>
      </c>
      <c r="AC132" s="109">
        <f t="shared" ca="1" si="24"/>
        <v>120.43841474503816</v>
      </c>
      <c r="AD132" s="109">
        <f t="shared" ca="1" si="24"/>
        <v>120.2262421452989</v>
      </c>
      <c r="AE132" s="109">
        <f t="shared" ca="1" si="24"/>
        <v>119.94595737247687</v>
      </c>
      <c r="AF132" s="109">
        <f t="shared" ca="1" si="24"/>
        <v>120.09092611371868</v>
      </c>
      <c r="AG132" s="109">
        <f t="shared" ca="1" si="24"/>
        <v>120.00343289632416</v>
      </c>
      <c r="AH132" s="109">
        <f t="shared" ca="1" si="24"/>
        <v>119.84767449799331</v>
      </c>
      <c r="AI132" s="109">
        <f t="shared" ca="1" si="24"/>
        <v>119.62361760514007</v>
      </c>
      <c r="AJ132" s="109">
        <f t="shared" ca="1" si="24"/>
        <v>119.82201003743819</v>
      </c>
      <c r="AK132" s="109">
        <f t="shared" ca="1" si="24"/>
        <v>119.78780902321154</v>
      </c>
      <c r="AL132" s="109">
        <f t="shared" ca="1" si="24"/>
        <v>0</v>
      </c>
      <c r="AM132" s="109" t="str">
        <f t="shared" si="24"/>
        <v xml:space="preserve"> </v>
      </c>
      <c r="AN132" s="109" t="str">
        <f t="shared" si="24"/>
        <v xml:space="preserve"> </v>
      </c>
      <c r="AO132" s="109" t="str">
        <f t="shared" si="24"/>
        <v xml:space="preserve"> </v>
      </c>
      <c r="AP132" s="109" t="str">
        <f t="shared" si="24"/>
        <v xml:space="preserve"> </v>
      </c>
      <c r="AQ132" s="109" t="str">
        <f t="shared" si="24"/>
        <v xml:space="preserve"> </v>
      </c>
      <c r="AR132" s="109" t="str">
        <f t="shared" si="24"/>
        <v xml:space="preserve"> </v>
      </c>
      <c r="AS132" s="109" t="str">
        <f t="shared" si="24"/>
        <v xml:space="preserve"> </v>
      </c>
      <c r="AT132" s="109" t="str">
        <f t="shared" si="24"/>
        <v xml:space="preserve"> </v>
      </c>
      <c r="AU132" s="109" t="str">
        <f t="shared" si="24"/>
        <v xml:space="preserve"> </v>
      </c>
      <c r="AV132" s="109" t="str">
        <f t="shared" si="24"/>
        <v xml:space="preserve"> </v>
      </c>
      <c r="AW132" s="109" t="str">
        <f t="shared" si="24"/>
        <v xml:space="preserve"> </v>
      </c>
      <c r="BA132" s="1200">
        <f ca="1">AVERAGE(L132:AW132)</f>
        <v>114.39695928156353</v>
      </c>
    </row>
    <row r="133" spans="2:53" ht="12.75">
      <c r="B133" s="1195" t="s">
        <v>1354</v>
      </c>
      <c r="C133" s="79"/>
      <c r="D133" s="79"/>
      <c r="E133" s="79"/>
      <c r="F133" s="79"/>
      <c r="G133" s="79"/>
      <c r="H133" s="79"/>
      <c r="I133" s="79" t="str">
        <f t="shared" ref="I133:AZ133" ca="1" si="25">IFERROR(I131-I132," ")</f>
        <v xml:space="preserve"> </v>
      </c>
      <c r="J133" s="79" t="str">
        <f t="shared" ca="1" si="25"/>
        <v xml:space="preserve"> </v>
      </c>
      <c r="K133" s="79">
        <f t="shared" ca="1" si="25"/>
        <v>-227.4281002205679</v>
      </c>
      <c r="L133" s="109">
        <f t="shared" ca="1" si="25"/>
        <v>-66.637674818779871</v>
      </c>
      <c r="M133" s="109">
        <f t="shared" ca="1" si="25"/>
        <v>-70.323978695725742</v>
      </c>
      <c r="N133" s="109">
        <f t="shared" ca="1" si="25"/>
        <v>-70.829026966215253</v>
      </c>
      <c r="O133" s="109">
        <f t="shared" ca="1" si="25"/>
        <v>-71.019603053535249</v>
      </c>
      <c r="P133" s="109">
        <f t="shared" ca="1" si="25"/>
        <v>-71.72589899837439</v>
      </c>
      <c r="Q133" s="109">
        <f t="shared" ca="1" si="25"/>
        <v>-72.199810536576109</v>
      </c>
      <c r="R133" s="109">
        <f t="shared" ca="1" si="25"/>
        <v>-72.717994927702421</v>
      </c>
      <c r="S133" s="109">
        <f t="shared" ca="1" si="25"/>
        <v>-72.916518132088711</v>
      </c>
      <c r="T133" s="109">
        <f t="shared" ca="1" si="25"/>
        <v>-73.641175155497152</v>
      </c>
      <c r="U133" s="109">
        <f t="shared" ca="1" si="25"/>
        <v>-74.128266848036404</v>
      </c>
      <c r="V133" s="109">
        <f t="shared" ca="1" si="25"/>
        <v>-74.659648869285064</v>
      </c>
      <c r="W133" s="109">
        <f t="shared" ca="1" si="25"/>
        <v>-74.866041850350612</v>
      </c>
      <c r="X133" s="109">
        <f t="shared" ca="1" si="25"/>
        <v>-75.609276573885452</v>
      </c>
      <c r="Y133" s="109">
        <f t="shared" ca="1" si="25"/>
        <v>-76.109626258134099</v>
      </c>
      <c r="Z133" s="109">
        <f t="shared" ca="1" si="25"/>
        <v>-75.960090349411843</v>
      </c>
      <c r="AA133" s="109">
        <f t="shared" ca="1" si="25"/>
        <v>-75.495571319774427</v>
      </c>
      <c r="AB133" s="109">
        <f t="shared" ca="1" si="25"/>
        <v>-75.583416090890523</v>
      </c>
      <c r="AC133" s="109">
        <f t="shared" ca="1" si="25"/>
        <v>-75.438414745038159</v>
      </c>
      <c r="AD133" s="109">
        <f t="shared" ca="1" si="25"/>
        <v>-75.349192964971024</v>
      </c>
      <c r="AE133" s="109">
        <f t="shared" ca="1" si="25"/>
        <v>-74.945957372476869</v>
      </c>
      <c r="AF133" s="109">
        <f t="shared" ca="1" si="25"/>
        <v>-75.09092611371868</v>
      </c>
      <c r="AG133" s="109">
        <f t="shared" ca="1" si="25"/>
        <v>-75.003432896324156</v>
      </c>
      <c r="AH133" s="109">
        <f t="shared" ca="1" si="25"/>
        <v>-74.970625317665437</v>
      </c>
      <c r="AI133" s="109">
        <f t="shared" ca="1" si="25"/>
        <v>-74.623617605140069</v>
      </c>
      <c r="AJ133" s="109">
        <f t="shared" ca="1" si="25"/>
        <v>-74.82201003743819</v>
      </c>
      <c r="AK133" s="109">
        <f t="shared" ca="1" si="25"/>
        <v>-74.787809023211537</v>
      </c>
      <c r="AL133" s="109">
        <f t="shared" ca="1" si="25"/>
        <v>0</v>
      </c>
      <c r="AM133" s="109" t="str">
        <f t="shared" si="25"/>
        <v xml:space="preserve"> </v>
      </c>
      <c r="AN133" s="109" t="str">
        <f t="shared" si="25"/>
        <v xml:space="preserve"> </v>
      </c>
      <c r="AO133" s="109" t="str">
        <f t="shared" si="25"/>
        <v xml:space="preserve"> </v>
      </c>
      <c r="AP133" s="109" t="str">
        <f t="shared" si="25"/>
        <v xml:space="preserve"> </v>
      </c>
      <c r="AQ133" s="109" t="str">
        <f t="shared" si="25"/>
        <v xml:space="preserve"> </v>
      </c>
      <c r="AR133" s="109" t="str">
        <f t="shared" si="25"/>
        <v xml:space="preserve"> </v>
      </c>
      <c r="AS133" s="109" t="str">
        <f t="shared" si="25"/>
        <v xml:space="preserve"> </v>
      </c>
      <c r="AT133" s="109" t="str">
        <f t="shared" si="25"/>
        <v xml:space="preserve"> </v>
      </c>
      <c r="AU133" s="109" t="str">
        <f t="shared" si="25"/>
        <v xml:space="preserve"> </v>
      </c>
      <c r="AV133" s="109" t="str">
        <f t="shared" si="25"/>
        <v xml:space="preserve"> </v>
      </c>
      <c r="AW133" s="109" t="str">
        <f t="shared" si="25"/>
        <v xml:space="preserve"> </v>
      </c>
      <c r="AX133" s="79">
        <f t="shared" si="25"/>
        <v>0</v>
      </c>
      <c r="AY133" s="79">
        <f t="shared" si="25"/>
        <v>0</v>
      </c>
      <c r="AZ133" s="1199">
        <f t="shared" si="25"/>
        <v>0</v>
      </c>
      <c r="BA133" s="1200">
        <f ca="1">AVERAGE(L133:AW133)</f>
        <v>-71.090948352601771</v>
      </c>
    </row>
    <row r="134" spans="2:53" ht="11.25" thickBot="1">
      <c r="B134" s="1183"/>
      <c r="C134" s="1184"/>
      <c r="D134" s="1184"/>
      <c r="E134" s="1184"/>
      <c r="F134" s="1184"/>
      <c r="G134" s="1184"/>
      <c r="H134" s="1184"/>
      <c r="I134" s="1184"/>
      <c r="J134" s="1184"/>
      <c r="K134" s="1184"/>
      <c r="L134" s="1184"/>
      <c r="M134" s="1184"/>
      <c r="N134" s="1184"/>
      <c r="O134" s="1184"/>
      <c r="P134" s="1184"/>
      <c r="Q134" s="1184"/>
      <c r="R134" s="1184"/>
      <c r="S134" s="1184"/>
      <c r="T134" s="1184"/>
      <c r="U134" s="1184"/>
      <c r="V134" s="1184"/>
      <c r="W134" s="1184"/>
      <c r="X134" s="1184"/>
      <c r="Y134" s="1184"/>
      <c r="Z134" s="1184"/>
      <c r="AA134" s="1184"/>
      <c r="AB134" s="1184"/>
      <c r="AC134" s="1184"/>
      <c r="AD134" s="1184"/>
      <c r="AE134" s="1184"/>
      <c r="AF134" s="1184"/>
      <c r="AG134" s="1184"/>
      <c r="AH134" s="1184"/>
      <c r="AI134" s="1184"/>
      <c r="AJ134" s="1184"/>
      <c r="AK134" s="1184"/>
      <c r="AL134" s="1184"/>
      <c r="AM134" s="1184"/>
      <c r="AN134" s="1184"/>
      <c r="AO134" s="1184"/>
      <c r="AP134" s="1184"/>
      <c r="AQ134" s="1184"/>
      <c r="AR134" s="1184"/>
      <c r="AS134" s="1184"/>
      <c r="AT134" s="1184"/>
      <c r="AU134" s="1184"/>
      <c r="AV134" s="1184"/>
      <c r="AW134" s="1185"/>
      <c r="BA134" s="79"/>
    </row>
    <row r="136" spans="2:53" ht="12.75">
      <c r="B136" s="1176" t="s">
        <v>1355</v>
      </c>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c r="AO136" s="79"/>
      <c r="AP136" s="79"/>
      <c r="AQ136" s="79"/>
      <c r="AR136" s="79"/>
      <c r="AS136" s="79"/>
      <c r="AT136" s="79"/>
      <c r="AU136" s="79"/>
      <c r="AV136" s="79"/>
      <c r="AW136" s="79"/>
      <c r="BA136" s="1201" t="s">
        <v>1377</v>
      </c>
    </row>
    <row r="137" spans="2:53">
      <c r="B137" s="79" t="s">
        <v>1356</v>
      </c>
      <c r="C137" s="79"/>
      <c r="D137" s="79"/>
      <c r="E137" s="79"/>
      <c r="F137" s="79"/>
      <c r="G137" s="79"/>
      <c r="H137" s="79"/>
      <c r="I137" s="1197">
        <f ca="1">I124</f>
        <v>0</v>
      </c>
      <c r="J137" s="1197">
        <f t="shared" ref="J137:AZ137" ca="1" si="26">J124</f>
        <v>-132913371.73613448</v>
      </c>
      <c r="K137" s="1197">
        <f t="shared" ca="1" si="26"/>
        <v>758135441.47684789</v>
      </c>
      <c r="L137" s="1197">
        <f t="shared" ca="1" si="26"/>
        <v>1069734348.2487047</v>
      </c>
      <c r="M137" s="1197">
        <f t="shared" ca="1" si="26"/>
        <v>1501161627.6986771</v>
      </c>
      <c r="N137" s="1197">
        <f t="shared" ca="1" si="26"/>
        <v>1796600997.2272646</v>
      </c>
      <c r="O137" s="1197">
        <f t="shared" ca="1" si="26"/>
        <v>1984082404.8252127</v>
      </c>
      <c r="P137" s="1197">
        <f t="shared" ca="1" si="26"/>
        <v>2184042955.2041817</v>
      </c>
      <c r="Q137" s="1197">
        <f t="shared" ca="1" si="26"/>
        <v>2392701475.0992451</v>
      </c>
      <c r="R137" s="1197">
        <f t="shared" ca="1" si="26"/>
        <v>2648695442.8709488</v>
      </c>
      <c r="S137" s="1197">
        <f t="shared" ca="1" si="26"/>
        <v>3307323769.2407265</v>
      </c>
      <c r="T137" s="1197">
        <f t="shared" ca="1" si="26"/>
        <v>3944084348.1985569</v>
      </c>
      <c r="U137" s="1197">
        <f t="shared" ca="1" si="26"/>
        <v>4563907875.1636763</v>
      </c>
      <c r="V137" s="1197">
        <f t="shared" ca="1" si="26"/>
        <v>5175209741.4588375</v>
      </c>
      <c r="W137" s="1197">
        <f t="shared" ca="1" si="26"/>
        <v>5775866968.9934912</v>
      </c>
      <c r="X137" s="1197">
        <f t="shared" ca="1" si="26"/>
        <v>5867885961.5622387</v>
      </c>
      <c r="Y137" s="1197">
        <f t="shared" ca="1" si="26"/>
        <v>5983134898.0124588</v>
      </c>
      <c r="Z137" s="1197">
        <f t="shared" ca="1" si="26"/>
        <v>6122422230.0520782</v>
      </c>
      <c r="AA137" s="1197">
        <f t="shared" ca="1" si="26"/>
        <v>6275386898.2721806</v>
      </c>
      <c r="AB137" s="1197">
        <f t="shared" ca="1" si="26"/>
        <v>6463712992.1820192</v>
      </c>
      <c r="AC137" s="1197">
        <f t="shared" ca="1" si="26"/>
        <v>6680942098.9921312</v>
      </c>
      <c r="AD137" s="1197">
        <f t="shared" ca="1" si="26"/>
        <v>6926976697.0398245</v>
      </c>
      <c r="AE137" s="1197">
        <f t="shared" ca="1" si="26"/>
        <v>7190150599.1006842</v>
      </c>
      <c r="AF137" s="1197">
        <f t="shared" ca="1" si="26"/>
        <v>7478011402.8348989</v>
      </c>
      <c r="AG137" s="1197">
        <f t="shared" ca="1" si="26"/>
        <v>7785353636.8629217</v>
      </c>
      <c r="AH137" s="1197">
        <f t="shared" ca="1" si="26"/>
        <v>8113754123.5507402</v>
      </c>
      <c r="AI137" s="1197">
        <f t="shared" ca="1" si="26"/>
        <v>8451925513.9394302</v>
      </c>
      <c r="AJ137" s="1197">
        <f t="shared" ca="1" si="26"/>
        <v>10162597536.10429</v>
      </c>
      <c r="AK137" s="1197">
        <f t="shared" ca="1" si="26"/>
        <v>11948131485.324459</v>
      </c>
      <c r="AL137" s="1197">
        <f t="shared" ca="1" si="26"/>
        <v>12504018718.493343</v>
      </c>
      <c r="AM137" s="1197">
        <f t="shared" si="26"/>
        <v>0</v>
      </c>
      <c r="AN137" s="1197">
        <f t="shared" si="26"/>
        <v>0</v>
      </c>
      <c r="AO137" s="1197">
        <f t="shared" si="26"/>
        <v>0</v>
      </c>
      <c r="AP137" s="1197">
        <f t="shared" si="26"/>
        <v>0</v>
      </c>
      <c r="AQ137" s="1197">
        <f t="shared" si="26"/>
        <v>0</v>
      </c>
      <c r="AR137" s="1197">
        <f t="shared" si="26"/>
        <v>0</v>
      </c>
      <c r="AS137" s="1197">
        <f t="shared" si="26"/>
        <v>0</v>
      </c>
      <c r="AT137" s="1197">
        <f t="shared" si="26"/>
        <v>0</v>
      </c>
      <c r="AU137" s="1197">
        <f t="shared" si="26"/>
        <v>0</v>
      </c>
      <c r="AV137" s="1197">
        <f t="shared" si="26"/>
        <v>0</v>
      </c>
      <c r="AW137" s="1197">
        <f t="shared" si="26"/>
        <v>0</v>
      </c>
      <c r="AX137" s="1197">
        <f t="shared" si="26"/>
        <v>0</v>
      </c>
      <c r="AY137" s="1197">
        <f t="shared" si="26"/>
        <v>0</v>
      </c>
      <c r="AZ137" s="1197">
        <f t="shared" si="26"/>
        <v>0</v>
      </c>
      <c r="BA137" s="79"/>
    </row>
    <row r="138" spans="2:53">
      <c r="B138" s="79" t="s">
        <v>1346</v>
      </c>
      <c r="C138" s="79"/>
      <c r="D138" s="79"/>
      <c r="E138" s="79"/>
      <c r="F138" s="79"/>
      <c r="G138" s="79"/>
      <c r="H138" s="79"/>
      <c r="I138" s="1198">
        <f ca="1">I125</f>
        <v>0</v>
      </c>
      <c r="J138" s="1198">
        <f t="shared" ref="J138:AZ138" ca="1" si="27">J125</f>
        <v>-11867265.333583435</v>
      </c>
      <c r="K138" s="1198">
        <f t="shared" ca="1" si="27"/>
        <v>-21954070.956888694</v>
      </c>
      <c r="L138" s="1198">
        <f t="shared" ca="1" si="27"/>
        <v>-32635695.011136003</v>
      </c>
      <c r="M138" s="1198">
        <f t="shared" ca="1" si="27"/>
        <v>-34492543.714780673</v>
      </c>
      <c r="N138" s="1198">
        <f t="shared" ca="1" si="27"/>
        <v>-102635612.149793</v>
      </c>
      <c r="O138" s="1198">
        <f t="shared" ca="1" si="27"/>
        <v>-333100921.65285969</v>
      </c>
      <c r="P138" s="1198">
        <f t="shared" ca="1" si="27"/>
        <v>-590425676.35390091</v>
      </c>
      <c r="Q138" s="1198">
        <f t="shared" ca="1" si="27"/>
        <v>-875704816.32407045</v>
      </c>
      <c r="R138" s="1198">
        <f t="shared" ca="1" si="27"/>
        <v>-926871174.00311816</v>
      </c>
      <c r="S138" s="1198">
        <f t="shared" ca="1" si="27"/>
        <v>-883673172.09400403</v>
      </c>
      <c r="T138" s="1198">
        <f t="shared" ca="1" si="27"/>
        <v>-840436321.61198187</v>
      </c>
      <c r="U138" s="1198">
        <f t="shared" ca="1" si="27"/>
        <v>-797260968.851789</v>
      </c>
      <c r="V138" s="1198">
        <f t="shared" ca="1" si="27"/>
        <v>-754089512.12337375</v>
      </c>
      <c r="W138" s="1198">
        <f t="shared" ca="1" si="27"/>
        <v>-711044421.24894714</v>
      </c>
      <c r="X138" s="1198">
        <f t="shared" ca="1" si="27"/>
        <v>-667943159.42416191</v>
      </c>
      <c r="Y138" s="1198">
        <f t="shared" ca="1" si="27"/>
        <v>-624910236.62625682</v>
      </c>
      <c r="Z138" s="1198">
        <f t="shared" ca="1" si="27"/>
        <v>-581585776.72109342</v>
      </c>
      <c r="AA138" s="1198">
        <f t="shared" ca="1" si="27"/>
        <v>-538419458.57861018</v>
      </c>
      <c r="AB138" s="1198">
        <f t="shared" ca="1" si="27"/>
        <v>-495169764.06967449</v>
      </c>
      <c r="AC138" s="1198">
        <f t="shared" ca="1" si="27"/>
        <v>-451987006.86995226</v>
      </c>
      <c r="AD138" s="1198">
        <f t="shared" ca="1" si="27"/>
        <v>-408774981.73811358</v>
      </c>
      <c r="AE138" s="1198">
        <f t="shared" ca="1" si="27"/>
        <v>-365760572.21365893</v>
      </c>
      <c r="AF138" s="1198">
        <f t="shared" ca="1" si="27"/>
        <v>-322643679.24378806</v>
      </c>
      <c r="AG138" s="1198">
        <f t="shared" ca="1" si="27"/>
        <v>-279601064.33776611</v>
      </c>
      <c r="AH138" s="1198">
        <f t="shared" ca="1" si="27"/>
        <v>-236515315.55237657</v>
      </c>
      <c r="AI138" s="1198">
        <f t="shared" ca="1" si="27"/>
        <v>-193670877.79564279</v>
      </c>
      <c r="AJ138" s="1198">
        <f t="shared" ca="1" si="27"/>
        <v>-150702777.50432438</v>
      </c>
      <c r="AK138" s="1198">
        <f t="shared" ca="1" si="27"/>
        <v>-107817111.83393937</v>
      </c>
      <c r="AL138" s="1198">
        <f t="shared" ca="1" si="27"/>
        <v>0</v>
      </c>
      <c r="AM138" s="1198">
        <f t="shared" si="27"/>
        <v>0</v>
      </c>
      <c r="AN138" s="1198">
        <f t="shared" si="27"/>
        <v>0</v>
      </c>
      <c r="AO138" s="1198">
        <f t="shared" si="27"/>
        <v>0</v>
      </c>
      <c r="AP138" s="1198">
        <f t="shared" si="27"/>
        <v>0</v>
      </c>
      <c r="AQ138" s="1198">
        <f t="shared" si="27"/>
        <v>0</v>
      </c>
      <c r="AR138" s="1198">
        <f t="shared" si="27"/>
        <v>0</v>
      </c>
      <c r="AS138" s="1198">
        <f t="shared" si="27"/>
        <v>0</v>
      </c>
      <c r="AT138" s="1198">
        <f t="shared" si="27"/>
        <v>0</v>
      </c>
      <c r="AU138" s="1198">
        <f t="shared" si="27"/>
        <v>0</v>
      </c>
      <c r="AV138" s="1198">
        <f t="shared" si="27"/>
        <v>0</v>
      </c>
      <c r="AW138" s="1198">
        <f t="shared" si="27"/>
        <v>0</v>
      </c>
      <c r="AX138" s="1198">
        <f t="shared" si="27"/>
        <v>0</v>
      </c>
      <c r="AY138" s="1198">
        <f t="shared" si="27"/>
        <v>0</v>
      </c>
      <c r="AZ138" s="1198">
        <f t="shared" si="27"/>
        <v>0</v>
      </c>
      <c r="BA138" s="79"/>
    </row>
    <row r="139" spans="2:53">
      <c r="B139" s="79" t="s">
        <v>966</v>
      </c>
      <c r="C139" s="79"/>
      <c r="D139" s="79"/>
      <c r="E139" s="79"/>
      <c r="F139" s="79"/>
      <c r="G139" s="79"/>
      <c r="H139" s="79"/>
      <c r="I139" s="1197">
        <f ca="1">I137-I138</f>
        <v>0</v>
      </c>
      <c r="J139" s="1197">
        <f t="shared" ref="J139:AW139" ca="1" si="28">J137-J138</f>
        <v>-121046106.40255105</v>
      </c>
      <c r="K139" s="1197">
        <f t="shared" ca="1" si="28"/>
        <v>780089512.43373656</v>
      </c>
      <c r="L139" s="1197">
        <f t="shared" ca="1" si="28"/>
        <v>1102370043.2598407</v>
      </c>
      <c r="M139" s="1197">
        <f t="shared" ca="1" si="28"/>
        <v>1535654171.4134576</v>
      </c>
      <c r="N139" s="1197">
        <f t="shared" ca="1" si="28"/>
        <v>1899236609.3770576</v>
      </c>
      <c r="O139" s="1197">
        <f t="shared" ca="1" si="28"/>
        <v>2317183326.4780722</v>
      </c>
      <c r="P139" s="1197">
        <f t="shared" ca="1" si="28"/>
        <v>2774468631.5580826</v>
      </c>
      <c r="Q139" s="1197">
        <f t="shared" ca="1" si="28"/>
        <v>3268406291.4233155</v>
      </c>
      <c r="R139" s="1197">
        <f t="shared" ca="1" si="28"/>
        <v>3575566616.8740668</v>
      </c>
      <c r="S139" s="1197">
        <f t="shared" ca="1" si="28"/>
        <v>4190996941.3347306</v>
      </c>
      <c r="T139" s="1197">
        <f t="shared" ca="1" si="28"/>
        <v>4784520669.8105392</v>
      </c>
      <c r="U139" s="1197">
        <f t="shared" ca="1" si="28"/>
        <v>5361168844.0154648</v>
      </c>
      <c r="V139" s="1197">
        <f t="shared" ca="1" si="28"/>
        <v>5929299253.5822115</v>
      </c>
      <c r="W139" s="1197">
        <f t="shared" ca="1" si="28"/>
        <v>6486911390.2424383</v>
      </c>
      <c r="X139" s="1197">
        <f t="shared" ca="1" si="28"/>
        <v>6535829120.9864006</v>
      </c>
      <c r="Y139" s="1197">
        <f t="shared" ca="1" si="28"/>
        <v>6608045134.6387157</v>
      </c>
      <c r="Z139" s="1197">
        <f t="shared" ca="1" si="28"/>
        <v>6704008006.7731714</v>
      </c>
      <c r="AA139" s="1197">
        <f t="shared" ca="1" si="28"/>
        <v>6813806356.850791</v>
      </c>
      <c r="AB139" s="1197">
        <f t="shared" ca="1" si="28"/>
        <v>6958882756.2516937</v>
      </c>
      <c r="AC139" s="1197">
        <f t="shared" ca="1" si="28"/>
        <v>7132929105.8620834</v>
      </c>
      <c r="AD139" s="1197">
        <f t="shared" ca="1" si="28"/>
        <v>7335751678.7779379</v>
      </c>
      <c r="AE139" s="1197">
        <f t="shared" ca="1" si="28"/>
        <v>7555911171.3143435</v>
      </c>
      <c r="AF139" s="1197">
        <f t="shared" ca="1" si="28"/>
        <v>7800655082.0786867</v>
      </c>
      <c r="AG139" s="1197">
        <f t="shared" ca="1" si="28"/>
        <v>8064954701.2006874</v>
      </c>
      <c r="AH139" s="1197">
        <f t="shared" ca="1" si="28"/>
        <v>8350269439.103117</v>
      </c>
      <c r="AI139" s="1197">
        <f t="shared" ca="1" si="28"/>
        <v>8645596391.7350731</v>
      </c>
      <c r="AJ139" s="1197">
        <f t="shared" ca="1" si="28"/>
        <v>10313300313.608614</v>
      </c>
      <c r="AK139" s="1197">
        <f t="shared" ca="1" si="28"/>
        <v>12055948597.158398</v>
      </c>
      <c r="AL139" s="1197">
        <f t="shared" ca="1" si="28"/>
        <v>12504018718.493343</v>
      </c>
      <c r="AM139" s="1197">
        <f t="shared" si="28"/>
        <v>0</v>
      </c>
      <c r="AN139" s="1197">
        <f t="shared" si="28"/>
        <v>0</v>
      </c>
      <c r="AO139" s="1197">
        <f t="shared" si="28"/>
        <v>0</v>
      </c>
      <c r="AP139" s="1197">
        <f t="shared" si="28"/>
        <v>0</v>
      </c>
      <c r="AQ139" s="1197">
        <f t="shared" si="28"/>
        <v>0</v>
      </c>
      <c r="AR139" s="1197">
        <f t="shared" si="28"/>
        <v>0</v>
      </c>
      <c r="AS139" s="1197">
        <f t="shared" si="28"/>
        <v>0</v>
      </c>
      <c r="AT139" s="1197">
        <f t="shared" si="28"/>
        <v>0</v>
      </c>
      <c r="AU139" s="1197">
        <f t="shared" si="28"/>
        <v>0</v>
      </c>
      <c r="AV139" s="1197">
        <f t="shared" si="28"/>
        <v>0</v>
      </c>
      <c r="AW139" s="1197">
        <f t="shared" si="28"/>
        <v>0</v>
      </c>
      <c r="BA139" s="1200"/>
    </row>
    <row r="140" spans="2:53">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c r="AO140" s="79"/>
      <c r="AP140" s="79"/>
      <c r="AQ140" s="79"/>
      <c r="AR140" s="79"/>
      <c r="AS140" s="79"/>
      <c r="AT140" s="79"/>
      <c r="AU140" s="79"/>
      <c r="AV140" s="79"/>
      <c r="AW140" s="79"/>
      <c r="BA140" s="1200"/>
    </row>
    <row r="141" spans="2:53">
      <c r="B141" s="79" t="s">
        <v>1378</v>
      </c>
      <c r="C141" s="79"/>
      <c r="D141" s="79"/>
      <c r="E141" s="79"/>
      <c r="F141" s="79"/>
      <c r="G141" s="79"/>
      <c r="H141" s="79"/>
      <c r="I141" s="1196">
        <f>IS!I9</f>
        <v>0</v>
      </c>
      <c r="J141" s="1196">
        <f>IS!J9</f>
        <v>0</v>
      </c>
      <c r="K141" s="1196">
        <f ca="1">IS!K9</f>
        <v>-29414131.261703771</v>
      </c>
      <c r="L141" s="1196">
        <f ca="1">IS!L9</f>
        <v>-106702586.72443059</v>
      </c>
      <c r="M141" s="1196">
        <f ca="1">IS!M9</f>
        <v>-109168783.44192578</v>
      </c>
      <c r="N141" s="1196">
        <f ca="1">IS!N9</f>
        <v>-111493998.38342088</v>
      </c>
      <c r="O141" s="1196">
        <f ca="1">IS!O9</f>
        <v>-114807428.10413587</v>
      </c>
      <c r="P141" s="1196">
        <f ca="1">IS!P9</f>
        <v>-117252871.77969016</v>
      </c>
      <c r="Q141" s="1196">
        <f ca="1">IS!Q9</f>
        <v>-120078554.21458776</v>
      </c>
      <c r="R141" s="1196">
        <f ca="1">IS!R9</f>
        <v>-122636411.26543796</v>
      </c>
      <c r="S141" s="1196">
        <f ca="1">IS!S9</f>
        <v>-126281261.90439415</v>
      </c>
      <c r="T141" s="1196">
        <f ca="1">IS!T9</f>
        <v>-128971392.10746129</v>
      </c>
      <c r="U141" s="1196">
        <f ca="1">IS!U9</f>
        <v>-132079777.68690053</v>
      </c>
      <c r="V141" s="1196">
        <f ca="1">IS!V9</f>
        <v>-134893585.21895877</v>
      </c>
      <c r="W141" s="1196">
        <f ca="1">IS!W9</f>
        <v>-138903050.04547429</v>
      </c>
      <c r="X141" s="1196">
        <f ca="1">IS!X9</f>
        <v>-141862383.78835806</v>
      </c>
      <c r="Y141" s="1196">
        <f ca="1">IS!Y9</f>
        <v>-145281795.03203517</v>
      </c>
      <c r="Z141" s="1196">
        <f ca="1">IS!Z9</f>
        <v>-148377200.68794605</v>
      </c>
      <c r="AA141" s="1196">
        <f ca="1">IS!AA9</f>
        <v>-152787802.84469527</v>
      </c>
      <c r="AB141" s="1196">
        <f ca="1">IS!AB9</f>
        <v>-156043317.95041707</v>
      </c>
      <c r="AC141" s="1196">
        <f ca="1">IS!AC9</f>
        <v>-159804919.69592088</v>
      </c>
      <c r="AD141" s="1196">
        <f ca="1">IS!AD9</f>
        <v>-163210145.66275007</v>
      </c>
      <c r="AE141" s="1196">
        <f ca="1">IS!AE9</f>
        <v>-168062072.88757193</v>
      </c>
      <c r="AF141" s="1196">
        <f ca="1">IS!AF9</f>
        <v>-171643455.51716417</v>
      </c>
      <c r="AG141" s="1196">
        <f ca="1">IS!AG9</f>
        <v>-175781540.76522607</v>
      </c>
      <c r="AH141" s="1196">
        <f ca="1">IS!AH9</f>
        <v>-179527642.77316809</v>
      </c>
      <c r="AI141" s="1196">
        <f ca="1">IS!AI9</f>
        <v>-184865115.85168853</v>
      </c>
      <c r="AJ141" s="1196">
        <f ca="1">IS!AJ9</f>
        <v>-188805032.99592233</v>
      </c>
      <c r="AK141" s="1196">
        <f ca="1">IS!AK9</f>
        <v>-193357337.57758921</v>
      </c>
      <c r="AL141" s="1196">
        <f ca="1">IS!AL9</f>
        <v>-198019526.98290899</v>
      </c>
      <c r="AM141" s="1196">
        <f>IS!AM9</f>
        <v>0</v>
      </c>
      <c r="AN141" s="1196">
        <f>IS!AN9</f>
        <v>0</v>
      </c>
      <c r="AO141" s="1196">
        <f>IS!AO9</f>
        <v>0</v>
      </c>
      <c r="AP141" s="1196">
        <f>IS!AP9</f>
        <v>0</v>
      </c>
      <c r="AQ141" s="1196">
        <f>IS!AQ9</f>
        <v>0</v>
      </c>
      <c r="AR141" s="1196">
        <f>IS!AR9</f>
        <v>0</v>
      </c>
      <c r="AS141" s="1196">
        <f>IS!AS9</f>
        <v>0</v>
      </c>
      <c r="AT141" s="1196">
        <f>IS!AT9</f>
        <v>0</v>
      </c>
      <c r="AU141" s="1196">
        <f>IS!AU9</f>
        <v>0</v>
      </c>
      <c r="AV141" s="1196">
        <f>IS!AV9</f>
        <v>0</v>
      </c>
      <c r="AW141" s="1196">
        <f>IS!AW9</f>
        <v>0</v>
      </c>
      <c r="BA141" s="1200"/>
    </row>
    <row r="142" spans="2:53">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c r="AO142" s="79"/>
      <c r="AP142" s="79"/>
      <c r="AQ142" s="79"/>
      <c r="AR142" s="79"/>
      <c r="AS142" s="79"/>
      <c r="AT142" s="79"/>
      <c r="AU142" s="79"/>
      <c r="AV142" s="79"/>
      <c r="AW142" s="79"/>
      <c r="BA142" s="79"/>
    </row>
    <row r="143" spans="2:53">
      <c r="B143" s="79" t="s">
        <v>1357</v>
      </c>
      <c r="C143" s="79"/>
      <c r="D143" s="79"/>
      <c r="E143" s="79"/>
      <c r="F143" s="79"/>
      <c r="G143" s="79"/>
      <c r="H143" s="79"/>
      <c r="I143" s="79"/>
      <c r="J143" s="79"/>
      <c r="K143" s="79"/>
      <c r="L143" s="79"/>
      <c r="M143" s="79"/>
      <c r="N143" s="79"/>
      <c r="O143" s="79"/>
      <c r="P143" s="79"/>
      <c r="Q143" s="79"/>
      <c r="R143" s="79"/>
      <c r="S143" s="79"/>
      <c r="T143" s="79"/>
      <c r="U143" s="79"/>
      <c r="V143" s="79"/>
      <c r="W143" s="79"/>
      <c r="X143" s="79"/>
      <c r="Y143" s="79"/>
      <c r="Z143" s="79"/>
      <c r="AA143" s="79"/>
      <c r="AB143" s="79"/>
      <c r="AC143" s="79"/>
      <c r="AD143" s="79"/>
      <c r="AE143" s="79"/>
      <c r="AF143" s="79"/>
      <c r="AG143" s="79"/>
      <c r="AH143" s="79"/>
      <c r="AI143" s="79"/>
      <c r="AJ143" s="79"/>
      <c r="AK143" s="79"/>
      <c r="AL143" s="79"/>
      <c r="AM143" s="79"/>
      <c r="AN143" s="79"/>
      <c r="AO143" s="79"/>
      <c r="AP143" s="79"/>
      <c r="AQ143" s="79"/>
      <c r="AR143" s="79"/>
      <c r="AS143" s="79"/>
      <c r="AT143" s="79"/>
      <c r="AU143" s="79"/>
      <c r="AV143" s="79"/>
      <c r="AW143" s="79"/>
    </row>
    <row r="144" spans="2:53" ht="11.25" thickBot="1"/>
    <row r="145" spans="2:52" ht="12.75">
      <c r="B145" s="1178" t="s">
        <v>1358</v>
      </c>
      <c r="C145" s="1179"/>
      <c r="D145" s="1179"/>
      <c r="E145" s="1179"/>
      <c r="F145" s="1179"/>
      <c r="G145" s="1179"/>
      <c r="H145" s="1179"/>
      <c r="I145" s="1179"/>
      <c r="J145" s="1179"/>
      <c r="K145" s="1179"/>
      <c r="L145" s="1179"/>
      <c r="M145" s="1179"/>
      <c r="N145" s="1179"/>
      <c r="O145" s="1179"/>
      <c r="P145" s="1179"/>
      <c r="Q145" s="1179"/>
      <c r="R145" s="1179"/>
      <c r="S145" s="1179"/>
      <c r="T145" s="1179"/>
      <c r="U145" s="1179"/>
      <c r="V145" s="1179"/>
      <c r="W145" s="1179"/>
      <c r="X145" s="1179"/>
      <c r="Y145" s="1179"/>
      <c r="Z145" s="1179"/>
      <c r="AA145" s="1179"/>
      <c r="AB145" s="1179"/>
      <c r="AC145" s="1179"/>
      <c r="AD145" s="1179"/>
      <c r="AE145" s="1179"/>
      <c r="AF145" s="1179"/>
      <c r="AG145" s="1179"/>
      <c r="AH145" s="1179"/>
      <c r="AI145" s="1179"/>
      <c r="AJ145" s="1179"/>
      <c r="AK145" s="1179"/>
      <c r="AL145" s="1179"/>
      <c r="AM145" s="1179"/>
      <c r="AN145" s="1179"/>
      <c r="AO145" s="1179"/>
      <c r="AP145" s="1179"/>
      <c r="AQ145" s="1179"/>
      <c r="AR145" s="1179"/>
      <c r="AS145" s="1179"/>
      <c r="AT145" s="1179"/>
      <c r="AU145" s="1179"/>
      <c r="AV145" s="1179"/>
      <c r="AW145" s="1180"/>
    </row>
    <row r="146" spans="2:52">
      <c r="B146" s="1181" t="s">
        <v>1379</v>
      </c>
      <c r="C146" s="79"/>
      <c r="D146" s="79"/>
      <c r="E146" s="79"/>
      <c r="F146" s="79"/>
      <c r="G146" s="79"/>
      <c r="H146" s="79"/>
      <c r="I146" s="1196">
        <f ca="1">BS!I9</f>
        <v>0</v>
      </c>
      <c r="J146" s="1196">
        <f ca="1">BS!J9</f>
        <v>0</v>
      </c>
      <c r="K146" s="1196">
        <f ca="1">BS!K9</f>
        <v>3992577839.4859338</v>
      </c>
      <c r="L146" s="1196">
        <f ca="1">BS!L9</f>
        <v>3844704586.1716399</v>
      </c>
      <c r="M146" s="1196">
        <f ca="1">BS!M9</f>
        <v>3696831332.8573461</v>
      </c>
      <c r="N146" s="1196">
        <f ca="1">BS!N9</f>
        <v>3549362104.8253317</v>
      </c>
      <c r="O146" s="1196">
        <f ca="1">BS!O9</f>
        <v>3401083719.3101768</v>
      </c>
      <c r="P146" s="1196">
        <f ca="1">BS!P9</f>
        <v>3253210465.995883</v>
      </c>
      <c r="Q146" s="1196">
        <f ca="1">BS!Q9</f>
        <v>3105337212.6815891</v>
      </c>
      <c r="R146" s="1196">
        <f ca="1">BS!R9</f>
        <v>2957867984.6495748</v>
      </c>
      <c r="S146" s="1196">
        <f ca="1">BS!S9</f>
        <v>2809589599.1344199</v>
      </c>
      <c r="T146" s="1196">
        <f ca="1">BS!T9</f>
        <v>2661716345.8201261</v>
      </c>
      <c r="U146" s="1196">
        <f ca="1">BS!U9</f>
        <v>2513843092.5058322</v>
      </c>
      <c r="V146" s="1196">
        <f ca="1">BS!V9</f>
        <v>2366373864.4738178</v>
      </c>
      <c r="W146" s="1196">
        <f ca="1">BS!W9</f>
        <v>2218095478.958663</v>
      </c>
      <c r="X146" s="1196">
        <f ca="1">BS!X9</f>
        <v>2070222225.6443691</v>
      </c>
      <c r="Y146" s="1196">
        <f ca="1">BS!Y9</f>
        <v>1922348972.3300753</v>
      </c>
      <c r="Z146" s="1196">
        <f ca="1">BS!Z9</f>
        <v>1774879744.2980609</v>
      </c>
      <c r="AA146" s="1196">
        <f ca="1">BS!AA9</f>
        <v>1626601358.7829061</v>
      </c>
      <c r="AB146" s="1196">
        <f ca="1">BS!AB9</f>
        <v>1478728105.4686122</v>
      </c>
      <c r="AC146" s="1196">
        <f ca="1">BS!AC9</f>
        <v>1330854852.1543183</v>
      </c>
      <c r="AD146" s="1196">
        <f ca="1">BS!AD9</f>
        <v>1183385624.122304</v>
      </c>
      <c r="AE146" s="1196">
        <f ca="1">BS!AE9</f>
        <v>1035107238.607149</v>
      </c>
      <c r="AF146" s="1196">
        <f ca="1">BS!AF9</f>
        <v>887233985.29285514</v>
      </c>
      <c r="AG146" s="1196">
        <f ca="1">BS!AG9</f>
        <v>739360731.97856128</v>
      </c>
      <c r="AH146" s="1196">
        <f ca="1">BS!AH9</f>
        <v>591891503.94654691</v>
      </c>
      <c r="AI146" s="1196">
        <f ca="1">BS!AI9</f>
        <v>443613118.43139195</v>
      </c>
      <c r="AJ146" s="1196">
        <f ca="1">BS!AJ9</f>
        <v>295739865.11709809</v>
      </c>
      <c r="AK146" s="1196">
        <f ca="1">BS!AK9</f>
        <v>147866611.80280426</v>
      </c>
      <c r="AL146" s="1196">
        <f ca="1">BS!AL9</f>
        <v>0</v>
      </c>
      <c r="AM146" s="1196">
        <f>BS!AM9</f>
        <v>0</v>
      </c>
      <c r="AN146" s="1196">
        <f>BS!AN9</f>
        <v>0</v>
      </c>
      <c r="AO146" s="1196">
        <f>BS!AO9</f>
        <v>0</v>
      </c>
      <c r="AP146" s="1196">
        <f>BS!AP9</f>
        <v>0</v>
      </c>
      <c r="AQ146" s="1196">
        <f>BS!AQ9</f>
        <v>0</v>
      </c>
      <c r="AR146" s="1196">
        <f>BS!AR9</f>
        <v>0</v>
      </c>
      <c r="AS146" s="1196">
        <f>BS!AS9</f>
        <v>0</v>
      </c>
      <c r="AT146" s="1196">
        <f>BS!AT9</f>
        <v>0</v>
      </c>
      <c r="AU146" s="1196">
        <f>BS!AU9</f>
        <v>0</v>
      </c>
      <c r="AV146" s="1196">
        <f>BS!AV9</f>
        <v>0</v>
      </c>
      <c r="AW146" s="1196">
        <f>BS!AW9</f>
        <v>0</v>
      </c>
    </row>
    <row r="147" spans="2:52">
      <c r="B147" s="1181" t="s">
        <v>1346</v>
      </c>
      <c r="C147" s="79"/>
      <c r="D147" s="79"/>
      <c r="E147" s="79"/>
      <c r="F147" s="79"/>
      <c r="G147" s="79"/>
      <c r="H147" s="79"/>
      <c r="I147" s="1196">
        <f ca="1">BS!I27</f>
        <v>0</v>
      </c>
      <c r="J147" s="1196">
        <f ca="1">BS!J27</f>
        <v>-11867265.333583435</v>
      </c>
      <c r="K147" s="1196">
        <f ca="1">BS!K27</f>
        <v>-21954070.956888694</v>
      </c>
      <c r="L147" s="1196">
        <f ca="1">BS!L27</f>
        <v>-32635695.011136003</v>
      </c>
      <c r="M147" s="1196">
        <f ca="1">BS!M27</f>
        <v>-34492543.714780673</v>
      </c>
      <c r="N147" s="1196">
        <f ca="1">BS!N27</f>
        <v>-102635612.149793</v>
      </c>
      <c r="O147" s="1196">
        <f ca="1">BS!O27</f>
        <v>-333100921.65285969</v>
      </c>
      <c r="P147" s="1196">
        <f ca="1">BS!P27</f>
        <v>-590425676.35390091</v>
      </c>
      <c r="Q147" s="1196">
        <f ca="1">BS!Q27</f>
        <v>-875704816.32407045</v>
      </c>
      <c r="R147" s="1196">
        <f ca="1">BS!R27</f>
        <v>-926871174.00311816</v>
      </c>
      <c r="S147" s="1196">
        <f ca="1">BS!S27</f>
        <v>-883673172.09400403</v>
      </c>
      <c r="T147" s="1196">
        <f ca="1">BS!T27</f>
        <v>-840436321.61198187</v>
      </c>
      <c r="U147" s="1196">
        <f ca="1">BS!U27</f>
        <v>-797260968.851789</v>
      </c>
      <c r="V147" s="1196">
        <f ca="1">BS!V27</f>
        <v>-754089512.12337375</v>
      </c>
      <c r="W147" s="1196">
        <f ca="1">BS!W27</f>
        <v>-711044421.24894714</v>
      </c>
      <c r="X147" s="1196">
        <f ca="1">BS!X27</f>
        <v>-667943159.42416191</v>
      </c>
      <c r="Y147" s="1196">
        <f ca="1">BS!Y27</f>
        <v>-624910236.62625682</v>
      </c>
      <c r="Z147" s="1196">
        <f ca="1">BS!Z27</f>
        <v>-581585776.72109342</v>
      </c>
      <c r="AA147" s="1196">
        <f ca="1">BS!AA27</f>
        <v>-538419458.57861018</v>
      </c>
      <c r="AB147" s="1196">
        <f ca="1">BS!AB27</f>
        <v>-495169764.06967449</v>
      </c>
      <c r="AC147" s="1196">
        <f ca="1">BS!AC27</f>
        <v>-451987006.86995226</v>
      </c>
      <c r="AD147" s="1196">
        <f ca="1">BS!AD27</f>
        <v>-408774981.73811358</v>
      </c>
      <c r="AE147" s="1196">
        <f ca="1">BS!AE27</f>
        <v>-365760572.21365893</v>
      </c>
      <c r="AF147" s="1196">
        <f ca="1">BS!AF27</f>
        <v>-322643679.24378806</v>
      </c>
      <c r="AG147" s="1196">
        <f ca="1">BS!AG27</f>
        <v>-279601064.33776611</v>
      </c>
      <c r="AH147" s="1196">
        <f ca="1">BS!AH27</f>
        <v>-236515315.55237657</v>
      </c>
      <c r="AI147" s="1196">
        <f ca="1">BS!AI27</f>
        <v>-193670877.79564279</v>
      </c>
      <c r="AJ147" s="1196">
        <f ca="1">BS!AJ27</f>
        <v>-150702777.50432438</v>
      </c>
      <c r="AK147" s="1196">
        <f ca="1">BS!AK27</f>
        <v>-107817111.83393937</v>
      </c>
      <c r="AL147" s="1196">
        <f ca="1">BS!AL27</f>
        <v>0</v>
      </c>
      <c r="AM147" s="1196">
        <f>BS!AM27</f>
        <v>0</v>
      </c>
      <c r="AN147" s="1196">
        <f>BS!AN27</f>
        <v>0</v>
      </c>
      <c r="AO147" s="1196">
        <f>BS!AO27</f>
        <v>0</v>
      </c>
      <c r="AP147" s="1196">
        <f>BS!AP27</f>
        <v>0</v>
      </c>
      <c r="AQ147" s="1196">
        <f>BS!AQ27</f>
        <v>0</v>
      </c>
      <c r="AR147" s="1196">
        <f>BS!AR27</f>
        <v>0</v>
      </c>
      <c r="AS147" s="1196">
        <f>BS!AS27</f>
        <v>0</v>
      </c>
      <c r="AT147" s="1196">
        <f>BS!AT27</f>
        <v>0</v>
      </c>
      <c r="AU147" s="1196">
        <f>BS!AU27</f>
        <v>0</v>
      </c>
      <c r="AV147" s="1196">
        <f>BS!AV27</f>
        <v>0</v>
      </c>
      <c r="AW147" s="1196">
        <f>BS!AW27</f>
        <v>0</v>
      </c>
      <c r="AX147" s="1196">
        <f>BS!AX27</f>
        <v>0</v>
      </c>
      <c r="AY147" s="1196">
        <f>BS!AY27</f>
        <v>0</v>
      </c>
      <c r="AZ147" s="1196">
        <f>BS!AZ27</f>
        <v>0</v>
      </c>
    </row>
    <row r="148" spans="2:52">
      <c r="B148" s="1181" t="s">
        <v>1359</v>
      </c>
      <c r="C148" s="79"/>
      <c r="D148" s="79"/>
      <c r="E148" s="79"/>
      <c r="F148" s="79"/>
      <c r="G148" s="79"/>
      <c r="H148" s="79"/>
      <c r="I148" s="1197">
        <f ca="1">I146+I147</f>
        <v>0</v>
      </c>
      <c r="J148" s="1197">
        <f ca="1">J146+J147</f>
        <v>-11867265.333583435</v>
      </c>
      <c r="K148" s="1197">
        <f ca="1">K146+K147</f>
        <v>3970623768.5290451</v>
      </c>
      <c r="L148" s="1197">
        <f ca="1">L146+L147</f>
        <v>3812068891.1605039</v>
      </c>
      <c r="M148" s="1197">
        <f ca="1">M146+M147</f>
        <v>3662338789.1425653</v>
      </c>
      <c r="N148" s="79"/>
      <c r="O148" s="79"/>
      <c r="P148" s="79"/>
      <c r="Q148" s="79"/>
      <c r="R148" s="79"/>
      <c r="S148" s="79"/>
      <c r="T148" s="79"/>
      <c r="U148" s="79"/>
      <c r="V148" s="79"/>
      <c r="W148" s="79"/>
      <c r="X148" s="79"/>
      <c r="Y148" s="79"/>
      <c r="Z148" s="79"/>
      <c r="AA148" s="79"/>
      <c r="AB148" s="79"/>
      <c r="AC148" s="79"/>
      <c r="AD148" s="79"/>
      <c r="AE148" s="79"/>
      <c r="AF148" s="79"/>
      <c r="AG148" s="79"/>
      <c r="AH148" s="79"/>
      <c r="AI148" s="79"/>
      <c r="AJ148" s="79"/>
      <c r="AK148" s="79"/>
      <c r="AL148" s="79"/>
      <c r="AM148" s="79"/>
      <c r="AN148" s="79"/>
      <c r="AO148" s="79"/>
      <c r="AP148" s="79"/>
      <c r="AQ148" s="79"/>
      <c r="AR148" s="79"/>
      <c r="AS148" s="79"/>
      <c r="AT148" s="79"/>
      <c r="AU148" s="79"/>
      <c r="AV148" s="79"/>
      <c r="AW148" s="1182"/>
    </row>
    <row r="149" spans="2:52">
      <c r="B149" s="1181"/>
      <c r="C149" s="79"/>
      <c r="D149" s="79"/>
      <c r="E149" s="79"/>
      <c r="F149" s="79"/>
      <c r="G149" s="79"/>
      <c r="H149" s="79"/>
      <c r="I149" s="79"/>
      <c r="J149" s="79"/>
      <c r="K149" s="79"/>
      <c r="L149" s="79"/>
      <c r="M149" s="79"/>
      <c r="N149" s="79"/>
      <c r="O149" s="79"/>
      <c r="P149" s="79"/>
      <c r="Q149" s="79"/>
      <c r="R149" s="79"/>
      <c r="S149" s="79"/>
      <c r="T149" s="79"/>
      <c r="U149" s="79"/>
      <c r="V149" s="79"/>
      <c r="W149" s="79"/>
      <c r="X149" s="79"/>
      <c r="Y149" s="79"/>
      <c r="Z149" s="79"/>
      <c r="AA149" s="79"/>
      <c r="AB149" s="79"/>
      <c r="AC149" s="79"/>
      <c r="AD149" s="79"/>
      <c r="AE149" s="79"/>
      <c r="AF149" s="79"/>
      <c r="AG149" s="79"/>
      <c r="AH149" s="79"/>
      <c r="AI149" s="79"/>
      <c r="AJ149" s="79"/>
      <c r="AK149" s="79"/>
      <c r="AL149" s="79"/>
      <c r="AM149" s="79"/>
      <c r="AN149" s="79"/>
      <c r="AO149" s="79"/>
      <c r="AP149" s="79"/>
      <c r="AQ149" s="79"/>
      <c r="AR149" s="79"/>
      <c r="AS149" s="79"/>
      <c r="AT149" s="79"/>
      <c r="AU149" s="79"/>
      <c r="AV149" s="79"/>
      <c r="AW149" s="1182"/>
    </row>
    <row r="150" spans="2:52">
      <c r="B150" s="1181" t="s">
        <v>1360</v>
      </c>
      <c r="C150" s="79"/>
      <c r="D150" s="79"/>
      <c r="E150" s="79"/>
      <c r="F150" s="79"/>
      <c r="G150" s="79"/>
      <c r="H150" s="79"/>
      <c r="I150" s="1196">
        <f ca="1">BS!I31</f>
        <v>0</v>
      </c>
      <c r="J150" s="1196">
        <f ca="1">BS!J31</f>
        <v>-1895542304.3210859</v>
      </c>
      <c r="K150" s="1196">
        <f ca="1">BS!K31</f>
        <v>-2898315764.9601583</v>
      </c>
      <c r="L150" s="1196">
        <f ca="1">BS!L31</f>
        <v>-2484270655.6801357</v>
      </c>
      <c r="M150" s="1196">
        <f ca="1">BS!M31</f>
        <v>-2070225546.4001131</v>
      </c>
      <c r="N150" s="1196">
        <f ca="1">BS!N31</f>
        <v>-1656180437.1200905</v>
      </c>
      <c r="O150" s="1196">
        <f ca="1">BS!O31</f>
        <v>-1242135327.8400679</v>
      </c>
      <c r="P150" s="1196">
        <f ca="1">BS!P31</f>
        <v>-828090218.56004524</v>
      </c>
      <c r="Q150" s="1196">
        <f ca="1">BS!Q31</f>
        <v>-414045109.28002262</v>
      </c>
      <c r="R150" s="1196">
        <f ca="1">BS!R31</f>
        <v>0</v>
      </c>
      <c r="S150" s="1196">
        <f ca="1">BS!S31</f>
        <v>0</v>
      </c>
      <c r="T150" s="1196">
        <f ca="1">BS!T31</f>
        <v>0</v>
      </c>
      <c r="U150" s="1196">
        <f ca="1">BS!U31</f>
        <v>0</v>
      </c>
      <c r="V150" s="1196">
        <f ca="1">BS!V31</f>
        <v>0</v>
      </c>
      <c r="W150" s="1196">
        <f ca="1">BS!W31</f>
        <v>0</v>
      </c>
      <c r="X150" s="1196">
        <f ca="1">BS!X31</f>
        <v>0</v>
      </c>
      <c r="Y150" s="1196">
        <f ca="1">BS!Y31</f>
        <v>0</v>
      </c>
      <c r="Z150" s="1196">
        <f ca="1">BS!Z31</f>
        <v>0</v>
      </c>
      <c r="AA150" s="1196">
        <f ca="1">BS!AA31</f>
        <v>0</v>
      </c>
      <c r="AB150" s="1196">
        <f ca="1">BS!AB31</f>
        <v>0</v>
      </c>
      <c r="AC150" s="1196">
        <f ca="1">BS!AC31</f>
        <v>0</v>
      </c>
      <c r="AD150" s="1196">
        <f ca="1">BS!AD31</f>
        <v>0</v>
      </c>
      <c r="AE150" s="1196">
        <f ca="1">BS!AE31</f>
        <v>0</v>
      </c>
      <c r="AF150" s="1196">
        <f ca="1">BS!AF31</f>
        <v>0</v>
      </c>
      <c r="AG150" s="1196">
        <f ca="1">BS!AG31</f>
        <v>0</v>
      </c>
      <c r="AH150" s="1196">
        <f ca="1">BS!AH31</f>
        <v>0</v>
      </c>
      <c r="AI150" s="1196">
        <f ca="1">BS!AI31</f>
        <v>0</v>
      </c>
      <c r="AJ150" s="1196">
        <f ca="1">BS!AJ31</f>
        <v>0</v>
      </c>
      <c r="AK150" s="1196">
        <f ca="1">BS!AK31</f>
        <v>0</v>
      </c>
      <c r="AL150" s="1196">
        <f ca="1">BS!AL31</f>
        <v>0</v>
      </c>
      <c r="AM150" s="1196">
        <f>BS!AM31</f>
        <v>0</v>
      </c>
      <c r="AN150" s="1196">
        <f>BS!AN31</f>
        <v>0</v>
      </c>
      <c r="AO150" s="1196">
        <f>BS!AO31</f>
        <v>0</v>
      </c>
      <c r="AP150" s="1196">
        <f>BS!AP31</f>
        <v>0</v>
      </c>
      <c r="AQ150" s="1196">
        <f>BS!AQ31</f>
        <v>0</v>
      </c>
      <c r="AR150" s="1196">
        <f>BS!AR31</f>
        <v>0</v>
      </c>
      <c r="AS150" s="1196">
        <f>BS!AS31</f>
        <v>0</v>
      </c>
      <c r="AT150" s="1196">
        <f>BS!AT31</f>
        <v>0</v>
      </c>
      <c r="AU150" s="1196">
        <f>BS!AU31</f>
        <v>0</v>
      </c>
      <c r="AV150" s="1196">
        <f>BS!AV31</f>
        <v>0</v>
      </c>
      <c r="AW150" s="1196">
        <f>BS!AW31</f>
        <v>0</v>
      </c>
    </row>
    <row r="151" spans="2:52">
      <c r="B151" s="1181"/>
      <c r="C151" s="79"/>
      <c r="D151" s="79"/>
      <c r="E151" s="79"/>
      <c r="F151" s="79"/>
      <c r="G151" s="79"/>
      <c r="H151" s="79"/>
      <c r="I151" s="79"/>
      <c r="J151" s="79"/>
      <c r="K151" s="79"/>
      <c r="L151" s="79"/>
      <c r="M151" s="79"/>
      <c r="N151" s="79"/>
      <c r="O151" s="79"/>
      <c r="P151" s="79"/>
      <c r="Q151" s="79"/>
      <c r="R151" s="79"/>
      <c r="S151" s="79"/>
      <c r="T151" s="79"/>
      <c r="U151" s="79"/>
      <c r="V151" s="79"/>
      <c r="W151" s="79"/>
      <c r="X151" s="79"/>
      <c r="Y151" s="79"/>
      <c r="Z151" s="79"/>
      <c r="AA151" s="79"/>
      <c r="AB151" s="79"/>
      <c r="AC151" s="79"/>
      <c r="AD151" s="79"/>
      <c r="AE151" s="79"/>
      <c r="AF151" s="79"/>
      <c r="AG151" s="79"/>
      <c r="AH151" s="79"/>
      <c r="AI151" s="79"/>
      <c r="AJ151" s="79"/>
      <c r="AK151" s="79"/>
      <c r="AL151" s="79"/>
      <c r="AM151" s="79"/>
      <c r="AN151" s="79"/>
      <c r="AO151" s="79"/>
      <c r="AP151" s="79"/>
      <c r="AQ151" s="79"/>
      <c r="AR151" s="79"/>
      <c r="AS151" s="79"/>
      <c r="AT151" s="79"/>
      <c r="AU151" s="79"/>
      <c r="AV151" s="79"/>
      <c r="AW151" s="1182"/>
    </row>
    <row r="152" spans="2:52" ht="11.25" thickBot="1">
      <c r="B152" s="1183" t="s">
        <v>1361</v>
      </c>
      <c r="C152" s="1184"/>
      <c r="D152" s="1184"/>
      <c r="E152" s="1184"/>
      <c r="F152" s="1184"/>
      <c r="G152" s="1184"/>
      <c r="H152" s="1184"/>
      <c r="I152" s="1202">
        <f ca="1">IFERROR(I148/I150,0)</f>
        <v>0</v>
      </c>
      <c r="J152" s="1202">
        <f t="shared" ref="J152:AZ152" ca="1" si="29">IFERROR(J148/J150,0)</f>
        <v>6.2606175058877713E-3</v>
      </c>
      <c r="K152" s="1202">
        <f t="shared" ca="1" si="29"/>
        <v>-1.3699762519090557</v>
      </c>
      <c r="L152" s="1202">
        <f t="shared" ca="1" si="29"/>
        <v>-1.5344821154830441</v>
      </c>
      <c r="M152" s="1202">
        <f t="shared" ca="1" si="29"/>
        <v>-1.7690530365210477</v>
      </c>
      <c r="N152" s="1202">
        <f t="shared" ca="1" si="29"/>
        <v>0</v>
      </c>
      <c r="O152" s="1202">
        <f t="shared" ca="1" si="29"/>
        <v>0</v>
      </c>
      <c r="P152" s="1202">
        <f t="shared" ca="1" si="29"/>
        <v>0</v>
      </c>
      <c r="Q152" s="1202">
        <f t="shared" ca="1" si="29"/>
        <v>0</v>
      </c>
      <c r="R152" s="1202">
        <f t="shared" ca="1" si="29"/>
        <v>0</v>
      </c>
      <c r="S152" s="1202">
        <f t="shared" ca="1" si="29"/>
        <v>0</v>
      </c>
      <c r="T152" s="1202">
        <f t="shared" ca="1" si="29"/>
        <v>0</v>
      </c>
      <c r="U152" s="1202">
        <f t="shared" ca="1" si="29"/>
        <v>0</v>
      </c>
      <c r="V152" s="1202">
        <f t="shared" ca="1" si="29"/>
        <v>0</v>
      </c>
      <c r="W152" s="1202">
        <f t="shared" ca="1" si="29"/>
        <v>0</v>
      </c>
      <c r="X152" s="1202">
        <f t="shared" ca="1" si="29"/>
        <v>0</v>
      </c>
      <c r="Y152" s="1202">
        <f t="shared" ca="1" si="29"/>
        <v>0</v>
      </c>
      <c r="Z152" s="1202">
        <f t="shared" ca="1" si="29"/>
        <v>0</v>
      </c>
      <c r="AA152" s="1202">
        <f t="shared" ca="1" si="29"/>
        <v>0</v>
      </c>
      <c r="AB152" s="1202">
        <f t="shared" ca="1" si="29"/>
        <v>0</v>
      </c>
      <c r="AC152" s="1202">
        <f t="shared" ca="1" si="29"/>
        <v>0</v>
      </c>
      <c r="AD152" s="1202">
        <f t="shared" ca="1" si="29"/>
        <v>0</v>
      </c>
      <c r="AE152" s="1202">
        <f t="shared" ca="1" si="29"/>
        <v>0</v>
      </c>
      <c r="AF152" s="1202">
        <f t="shared" ca="1" si="29"/>
        <v>0</v>
      </c>
      <c r="AG152" s="1202">
        <f t="shared" ca="1" si="29"/>
        <v>0</v>
      </c>
      <c r="AH152" s="1202">
        <f t="shared" ca="1" si="29"/>
        <v>0</v>
      </c>
      <c r="AI152" s="1202">
        <f t="shared" ca="1" si="29"/>
        <v>0</v>
      </c>
      <c r="AJ152" s="1202">
        <f t="shared" ca="1" si="29"/>
        <v>0</v>
      </c>
      <c r="AK152" s="1202">
        <f t="shared" ca="1" si="29"/>
        <v>0</v>
      </c>
      <c r="AL152" s="1202">
        <f t="shared" ca="1" si="29"/>
        <v>0</v>
      </c>
      <c r="AM152" s="1202">
        <f t="shared" si="29"/>
        <v>0</v>
      </c>
      <c r="AN152" s="1202">
        <f t="shared" si="29"/>
        <v>0</v>
      </c>
      <c r="AO152" s="1202">
        <f t="shared" si="29"/>
        <v>0</v>
      </c>
      <c r="AP152" s="1202">
        <f t="shared" si="29"/>
        <v>0</v>
      </c>
      <c r="AQ152" s="1202">
        <f t="shared" si="29"/>
        <v>0</v>
      </c>
      <c r="AR152" s="1202">
        <f t="shared" si="29"/>
        <v>0</v>
      </c>
      <c r="AS152" s="1202">
        <f t="shared" si="29"/>
        <v>0</v>
      </c>
      <c r="AT152" s="1202">
        <f t="shared" si="29"/>
        <v>0</v>
      </c>
      <c r="AU152" s="1202">
        <f t="shared" si="29"/>
        <v>0</v>
      </c>
      <c r="AV152" s="1202">
        <f t="shared" si="29"/>
        <v>0</v>
      </c>
      <c r="AW152" s="1202">
        <f t="shared" si="29"/>
        <v>0</v>
      </c>
      <c r="AX152" s="1202">
        <f t="shared" si="29"/>
        <v>0</v>
      </c>
      <c r="AY152" s="1202">
        <f t="shared" si="29"/>
        <v>0</v>
      </c>
      <c r="AZ152" s="1202">
        <f t="shared" si="29"/>
        <v>0</v>
      </c>
    </row>
    <row r="153" spans="2:52">
      <c r="B153" s="466"/>
      <c r="C153" s="466"/>
      <c r="D153" s="466"/>
      <c r="E153" s="466"/>
      <c r="F153" s="466"/>
      <c r="G153" s="466"/>
      <c r="H153" s="466"/>
      <c r="I153" s="466"/>
      <c r="J153" s="466"/>
      <c r="K153" s="466"/>
      <c r="L153" s="466"/>
      <c r="M153" s="466"/>
      <c r="N153" s="466"/>
      <c r="O153" s="466"/>
      <c r="P153" s="466"/>
      <c r="Q153" s="466"/>
      <c r="R153" s="466"/>
      <c r="S153" s="466"/>
      <c r="T153" s="466"/>
      <c r="U153" s="466"/>
      <c r="V153" s="466"/>
      <c r="W153" s="466"/>
      <c r="X153" s="466"/>
      <c r="Y153" s="466"/>
      <c r="Z153" s="466"/>
      <c r="AA153" s="466"/>
      <c r="AB153" s="466"/>
      <c r="AC153" s="466"/>
      <c r="AD153" s="466"/>
      <c r="AE153" s="466"/>
      <c r="AF153" s="466"/>
      <c r="AG153" s="466"/>
      <c r="AH153" s="466"/>
      <c r="AI153" s="466"/>
      <c r="AJ153" s="466"/>
      <c r="AK153" s="466"/>
      <c r="AL153" s="466"/>
      <c r="AM153" s="466"/>
      <c r="AN153" s="466"/>
      <c r="AO153" s="466"/>
      <c r="AP153" s="466"/>
      <c r="AQ153" s="466"/>
      <c r="AR153" s="466"/>
      <c r="AS153" s="466"/>
      <c r="AT153" s="466"/>
      <c r="AU153" s="466"/>
      <c r="AV153" s="466"/>
      <c r="AW153" s="1187"/>
    </row>
    <row r="154" spans="2:52">
      <c r="B154" s="27"/>
      <c r="C154" s="489"/>
      <c r="D154" s="489"/>
      <c r="E154" s="489"/>
      <c r="F154" s="489"/>
      <c r="G154" s="489"/>
      <c r="H154" s="489"/>
      <c r="I154" s="489"/>
      <c r="J154" s="489"/>
      <c r="K154" s="489"/>
      <c r="L154" s="489"/>
      <c r="M154" s="489"/>
      <c r="N154" s="489"/>
      <c r="O154" s="489"/>
      <c r="P154" s="489"/>
      <c r="Q154" s="489"/>
      <c r="R154" s="489"/>
      <c r="S154" s="489"/>
      <c r="T154" s="489"/>
      <c r="U154" s="489"/>
      <c r="V154" s="489"/>
      <c r="W154" s="489"/>
      <c r="X154" s="489"/>
      <c r="Y154" s="489"/>
      <c r="Z154" s="489"/>
      <c r="AA154" s="489"/>
      <c r="AB154" s="489"/>
      <c r="AC154" s="489"/>
      <c r="AD154" s="489"/>
      <c r="AE154" s="489"/>
      <c r="AF154" s="489"/>
      <c r="AG154" s="489"/>
      <c r="AH154" s="489"/>
      <c r="AI154" s="489"/>
      <c r="AJ154" s="489"/>
      <c r="AK154" s="489"/>
      <c r="AL154" s="489"/>
      <c r="AM154" s="489"/>
      <c r="AN154" s="489"/>
      <c r="AO154" s="489"/>
      <c r="AP154" s="489"/>
      <c r="AQ154" s="489"/>
      <c r="AR154" s="489"/>
      <c r="AS154" s="489"/>
      <c r="AT154" s="489"/>
      <c r="AU154" s="489"/>
      <c r="AV154" s="489"/>
      <c r="AW154" s="568"/>
    </row>
    <row r="155" spans="2:52" ht="12.75">
      <c r="B155" s="1189" t="s">
        <v>1362</v>
      </c>
      <c r="C155" s="79"/>
      <c r="D155" s="79"/>
      <c r="E155" s="79"/>
      <c r="F155" s="79"/>
      <c r="G155" s="79"/>
      <c r="H155" s="79"/>
      <c r="I155" s="79"/>
      <c r="J155" s="79"/>
      <c r="K155" s="79"/>
      <c r="L155" s="79"/>
      <c r="M155" s="79"/>
      <c r="N155" s="79"/>
      <c r="O155" s="79"/>
      <c r="P155" s="79"/>
      <c r="Q155" s="79"/>
      <c r="R155" s="79"/>
      <c r="S155" s="79"/>
      <c r="T155" s="79"/>
      <c r="U155" s="79"/>
      <c r="V155" s="79"/>
      <c r="W155" s="79"/>
      <c r="X155" s="79"/>
      <c r="Y155" s="79"/>
      <c r="Z155" s="79"/>
      <c r="AA155" s="79"/>
      <c r="AB155" s="79"/>
      <c r="AC155" s="79"/>
      <c r="AD155" s="79"/>
      <c r="AE155" s="79"/>
      <c r="AF155" s="79"/>
      <c r="AG155" s="79"/>
      <c r="AH155" s="79"/>
      <c r="AI155" s="79"/>
      <c r="AJ155" s="79"/>
      <c r="AK155" s="79"/>
      <c r="AL155" s="79"/>
      <c r="AM155" s="79"/>
      <c r="AN155" s="79"/>
      <c r="AO155" s="79"/>
      <c r="AP155" s="79"/>
      <c r="AQ155" s="79"/>
      <c r="AR155" s="79"/>
      <c r="AS155" s="79"/>
      <c r="AT155" s="79"/>
      <c r="AU155" s="79"/>
      <c r="AV155" s="79"/>
      <c r="AW155" s="1182"/>
    </row>
    <row r="156" spans="2:52">
      <c r="B156" s="1181" t="s">
        <v>1363</v>
      </c>
      <c r="C156" s="79"/>
      <c r="D156" s="79"/>
      <c r="E156" s="79"/>
      <c r="F156" s="79"/>
      <c r="G156" s="79"/>
      <c r="H156" s="79"/>
      <c r="I156" s="109">
        <f ca="1">IS!I20</f>
        <v>0</v>
      </c>
      <c r="J156" s="109">
        <f ca="1">IS!J20</f>
        <v>-144780637.06971791</v>
      </c>
      <c r="K156" s="109">
        <f ca="1">IS!K20</f>
        <v>600175382.53925037</v>
      </c>
      <c r="L156" s="109">
        <f ca="1">IS!L20</f>
        <v>722114414.97299385</v>
      </c>
      <c r="M156" s="109">
        <f ca="1">IS!M20</f>
        <v>923089326.14268708</v>
      </c>
      <c r="N156" s="109">
        <f ca="1">IS!N20</f>
        <v>1075561532.0887589</v>
      </c>
      <c r="O156" s="109">
        <f ca="1">IS!O20</f>
        <v>1220652373.6061265</v>
      </c>
      <c r="P156" s="109">
        <f ca="1">IS!P20</f>
        <v>1355464210.9276853</v>
      </c>
      <c r="Q156" s="109">
        <f ca="1">IS!Q20</f>
        <v>1494952418.9938285</v>
      </c>
      <c r="R156" s="109">
        <f ca="1">IS!R20</f>
        <v>1641029230.3674881</v>
      </c>
      <c r="S156" s="109">
        <f ca="1">IS!S20</f>
        <v>1786333917.6419415</v>
      </c>
      <c r="T156" s="109">
        <f ca="1">IS!T20</f>
        <v>1903480140.5634525</v>
      </c>
      <c r="U156" s="109">
        <f ca="1">IS!U20</f>
        <v>2025674285.5963249</v>
      </c>
      <c r="V156" s="109">
        <f ca="1">IS!V20</f>
        <v>2154389735.50982</v>
      </c>
      <c r="W156" s="109">
        <f ca="1">IS!W20</f>
        <v>2288430011.3618131</v>
      </c>
      <c r="X156" s="109">
        <f ca="1">IS!X20</f>
        <v>1561027819.9809756</v>
      </c>
      <c r="Y156" s="109">
        <f ca="1">IS!Y20</f>
        <v>1612184256.3094501</v>
      </c>
      <c r="Z156" s="109">
        <f ca="1">IS!Z20</f>
        <v>1666957078.8097529</v>
      </c>
      <c r="AA156" s="109">
        <f ca="1">IS!AA20</f>
        <v>1722656945.8543732</v>
      </c>
      <c r="AB156" s="109">
        <f ca="1">IS!AB20</f>
        <v>1781538899.1219995</v>
      </c>
      <c r="AC156" s="109">
        <f ca="1">IS!AC20</f>
        <v>1842534789.3021364</v>
      </c>
      <c r="AD156" s="109">
        <f ca="1">IS!AD20</f>
        <v>1906373522.2528372</v>
      </c>
      <c r="AE156" s="109">
        <f ca="1">IS!AE20</f>
        <v>1971426675.9354742</v>
      </c>
      <c r="AF156" s="109">
        <f ca="1">IS!AF20</f>
        <v>2039965488.9904046</v>
      </c>
      <c r="AG156" s="109">
        <f ca="1">IS!AG20</f>
        <v>2110586248.1463027</v>
      </c>
      <c r="AH156" s="109">
        <f ca="1">IS!AH20</f>
        <v>2184044282.4184613</v>
      </c>
      <c r="AI156" s="109">
        <f ca="1">IS!AI20</f>
        <v>2258807465.8421593</v>
      </c>
      <c r="AJ156" s="109">
        <f ca="1">IS!AJ20</f>
        <v>2337076254.8463063</v>
      </c>
      <c r="AK156" s="109">
        <f ca="1">IS!AK20</f>
        <v>2448687437.5841827</v>
      </c>
      <c r="AL156" s="109">
        <f ca="1">IS!AL20</f>
        <v>2564252352.0198951</v>
      </c>
      <c r="AM156" s="109">
        <f>IS!AM20</f>
        <v>0</v>
      </c>
      <c r="AN156" s="109">
        <f>IS!AN20</f>
        <v>0</v>
      </c>
      <c r="AO156" s="109">
        <f>IS!AO20</f>
        <v>0</v>
      </c>
      <c r="AP156" s="109">
        <f>IS!AP20</f>
        <v>0</v>
      </c>
      <c r="AQ156" s="109">
        <f>IS!AQ20</f>
        <v>0</v>
      </c>
      <c r="AR156" s="109">
        <f>IS!AR20</f>
        <v>0</v>
      </c>
      <c r="AS156" s="109">
        <f>IS!AS20</f>
        <v>0</v>
      </c>
      <c r="AT156" s="109">
        <f>IS!AT20</f>
        <v>0</v>
      </c>
      <c r="AU156" s="109">
        <f>IS!AU20</f>
        <v>0</v>
      </c>
      <c r="AV156" s="109">
        <f>IS!AV20</f>
        <v>0</v>
      </c>
      <c r="AW156" s="109">
        <f>IS!AW20</f>
        <v>0</v>
      </c>
    </row>
    <row r="157" spans="2:52">
      <c r="B157" s="1181" t="s">
        <v>297</v>
      </c>
      <c r="C157" s="79"/>
      <c r="D157" s="79"/>
      <c r="E157" s="79"/>
      <c r="F157" s="79"/>
      <c r="G157" s="79"/>
      <c r="H157" s="79"/>
      <c r="I157" s="109">
        <f>IS!I18</f>
        <v>0</v>
      </c>
      <c r="J157" s="109">
        <f ca="1">IS!J18</f>
        <v>0</v>
      </c>
      <c r="K157" s="109">
        <f ca="1">IS!K18</f>
        <v>0</v>
      </c>
      <c r="L157" s="109">
        <f ca="1">IS!L18</f>
        <v>-298816355.36739236</v>
      </c>
      <c r="M157" s="109">
        <f ca="1">IS!M18</f>
        <v>-256128304.60062197</v>
      </c>
      <c r="N157" s="109">
        <f ca="1">IS!N18</f>
        <v>-212857083.74140942</v>
      </c>
      <c r="O157" s="109">
        <f ca="1">IS!O18</f>
        <v>-171220017.32205963</v>
      </c>
      <c r="P157" s="109">
        <f ca="1">IS!P18</f>
        <v>-128064152.30031098</v>
      </c>
      <c r="Q157" s="109">
        <f ca="1">IS!Q18</f>
        <v>-85376101.533540666</v>
      </c>
      <c r="R157" s="109">
        <f ca="1">IS!R18</f>
        <v>-42571416.748281889</v>
      </c>
      <c r="S157" s="109">
        <f ca="1">IS!S18</f>
        <v>0</v>
      </c>
      <c r="T157" s="109">
        <f ca="1">IS!T18</f>
        <v>0</v>
      </c>
      <c r="U157" s="109">
        <f ca="1">IS!U18</f>
        <v>0</v>
      </c>
      <c r="V157" s="109">
        <f ca="1">IS!V18</f>
        <v>0</v>
      </c>
      <c r="W157" s="109">
        <f ca="1">IS!W18</f>
        <v>0</v>
      </c>
      <c r="X157" s="109">
        <f ca="1">IS!X18</f>
        <v>0</v>
      </c>
      <c r="Y157" s="109">
        <f ca="1">IS!Y18</f>
        <v>0</v>
      </c>
      <c r="Z157" s="109">
        <f ca="1">IS!Z18</f>
        <v>0</v>
      </c>
      <c r="AA157" s="109">
        <f ca="1">IS!AA18</f>
        <v>0</v>
      </c>
      <c r="AB157" s="109">
        <f ca="1">IS!AB18</f>
        <v>0</v>
      </c>
      <c r="AC157" s="109">
        <f ca="1">IS!AC18</f>
        <v>0</v>
      </c>
      <c r="AD157" s="109">
        <f ca="1">IS!AD18</f>
        <v>0</v>
      </c>
      <c r="AE157" s="109">
        <f ca="1">IS!AE18</f>
        <v>0</v>
      </c>
      <c r="AF157" s="109">
        <f ca="1">IS!AF18</f>
        <v>0</v>
      </c>
      <c r="AG157" s="109">
        <f ca="1">IS!AG18</f>
        <v>0</v>
      </c>
      <c r="AH157" s="109">
        <f ca="1">IS!AH18</f>
        <v>0</v>
      </c>
      <c r="AI157" s="109">
        <f ca="1">IS!AI18</f>
        <v>0</v>
      </c>
      <c r="AJ157" s="109">
        <f ca="1">IS!AJ18</f>
        <v>0</v>
      </c>
      <c r="AK157" s="109">
        <f ca="1">IS!AK18</f>
        <v>0</v>
      </c>
      <c r="AL157" s="109">
        <f ca="1">IS!AL18</f>
        <v>0</v>
      </c>
      <c r="AM157" s="109">
        <f>IS!AM18</f>
        <v>0</v>
      </c>
      <c r="AN157" s="109">
        <f>IS!AN18</f>
        <v>0</v>
      </c>
      <c r="AO157" s="109">
        <f>IS!AO18</f>
        <v>0</v>
      </c>
      <c r="AP157" s="109">
        <f>IS!AP18</f>
        <v>0</v>
      </c>
      <c r="AQ157" s="109">
        <f>IS!AQ18</f>
        <v>0</v>
      </c>
      <c r="AR157" s="109">
        <f>IS!AR18</f>
        <v>0</v>
      </c>
      <c r="AS157" s="109">
        <f>IS!AS18</f>
        <v>0</v>
      </c>
      <c r="AT157" s="109">
        <f>IS!AT18</f>
        <v>0</v>
      </c>
      <c r="AU157" s="109">
        <f>IS!AU18</f>
        <v>0</v>
      </c>
      <c r="AV157" s="109">
        <f>IS!AV18</f>
        <v>0</v>
      </c>
      <c r="AW157" s="109">
        <f>IS!AW18</f>
        <v>0</v>
      </c>
    </row>
    <row r="158" spans="2:52">
      <c r="B158" s="1181" t="s">
        <v>1364</v>
      </c>
      <c r="C158" s="79"/>
      <c r="D158" s="79"/>
      <c r="E158" s="79"/>
      <c r="F158" s="79"/>
      <c r="G158" s="79"/>
      <c r="H158" s="79"/>
      <c r="I158" s="109">
        <f ca="1">I156-I157</f>
        <v>0</v>
      </c>
      <c r="J158" s="109">
        <f t="shared" ref="J158:AW158" ca="1" si="30">J156-J157</f>
        <v>-144780637.06971791</v>
      </c>
      <c r="K158" s="109">
        <f t="shared" ca="1" si="30"/>
        <v>600175382.53925037</v>
      </c>
      <c r="L158" s="109">
        <f t="shared" ca="1" si="30"/>
        <v>1020930770.3403862</v>
      </c>
      <c r="M158" s="109">
        <f t="shared" ca="1" si="30"/>
        <v>1179217630.743309</v>
      </c>
      <c r="N158" s="109">
        <f t="shared" ca="1" si="30"/>
        <v>1288418615.8301682</v>
      </c>
      <c r="O158" s="109">
        <f t="shared" ca="1" si="30"/>
        <v>1391872390.9281862</v>
      </c>
      <c r="P158" s="109">
        <f t="shared" ca="1" si="30"/>
        <v>1483528363.2279963</v>
      </c>
      <c r="Q158" s="109">
        <f t="shared" ca="1" si="30"/>
        <v>1580328520.5273693</v>
      </c>
      <c r="R158" s="109">
        <f t="shared" ca="1" si="30"/>
        <v>1683600647.1157701</v>
      </c>
      <c r="S158" s="109">
        <f t="shared" ca="1" si="30"/>
        <v>1786333917.6419415</v>
      </c>
      <c r="T158" s="109">
        <f t="shared" ca="1" si="30"/>
        <v>1903480140.5634525</v>
      </c>
      <c r="U158" s="109">
        <f t="shared" ca="1" si="30"/>
        <v>2025674285.5963249</v>
      </c>
      <c r="V158" s="109">
        <f t="shared" ca="1" si="30"/>
        <v>2154389735.50982</v>
      </c>
      <c r="W158" s="109">
        <f t="shared" ca="1" si="30"/>
        <v>2288430011.3618131</v>
      </c>
      <c r="X158" s="109">
        <f t="shared" ca="1" si="30"/>
        <v>1561027819.9809756</v>
      </c>
      <c r="Y158" s="109">
        <f t="shared" ca="1" si="30"/>
        <v>1612184256.3094501</v>
      </c>
      <c r="Z158" s="109">
        <f t="shared" ca="1" si="30"/>
        <v>1666957078.8097529</v>
      </c>
      <c r="AA158" s="109">
        <f t="shared" ca="1" si="30"/>
        <v>1722656945.8543732</v>
      </c>
      <c r="AB158" s="109">
        <f t="shared" ca="1" si="30"/>
        <v>1781538899.1219995</v>
      </c>
      <c r="AC158" s="109">
        <f t="shared" ca="1" si="30"/>
        <v>1842534789.3021364</v>
      </c>
      <c r="AD158" s="109">
        <f t="shared" ca="1" si="30"/>
        <v>1906373522.2528372</v>
      </c>
      <c r="AE158" s="109">
        <f t="shared" ca="1" si="30"/>
        <v>1971426675.9354742</v>
      </c>
      <c r="AF158" s="109">
        <f t="shared" ca="1" si="30"/>
        <v>2039965488.9904046</v>
      </c>
      <c r="AG158" s="109">
        <f t="shared" ca="1" si="30"/>
        <v>2110586248.1463027</v>
      </c>
      <c r="AH158" s="109">
        <f t="shared" ca="1" si="30"/>
        <v>2184044282.4184613</v>
      </c>
      <c r="AI158" s="109">
        <f t="shared" ca="1" si="30"/>
        <v>2258807465.8421593</v>
      </c>
      <c r="AJ158" s="109">
        <f t="shared" ca="1" si="30"/>
        <v>2337076254.8463063</v>
      </c>
      <c r="AK158" s="109">
        <f t="shared" ca="1" si="30"/>
        <v>2448687437.5841827</v>
      </c>
      <c r="AL158" s="109">
        <f t="shared" ca="1" si="30"/>
        <v>2564252352.0198951</v>
      </c>
      <c r="AM158" s="109">
        <f t="shared" si="30"/>
        <v>0</v>
      </c>
      <c r="AN158" s="109">
        <f t="shared" si="30"/>
        <v>0</v>
      </c>
      <c r="AO158" s="109">
        <f t="shared" si="30"/>
        <v>0</v>
      </c>
      <c r="AP158" s="109">
        <f t="shared" si="30"/>
        <v>0</v>
      </c>
      <c r="AQ158" s="109">
        <f t="shared" si="30"/>
        <v>0</v>
      </c>
      <c r="AR158" s="109">
        <f t="shared" si="30"/>
        <v>0</v>
      </c>
      <c r="AS158" s="109">
        <f t="shared" si="30"/>
        <v>0</v>
      </c>
      <c r="AT158" s="109">
        <f t="shared" si="30"/>
        <v>0</v>
      </c>
      <c r="AU158" s="109">
        <f t="shared" si="30"/>
        <v>0</v>
      </c>
      <c r="AV158" s="109">
        <f t="shared" si="30"/>
        <v>0</v>
      </c>
      <c r="AW158" s="109">
        <f t="shared" si="30"/>
        <v>0</v>
      </c>
    </row>
    <row r="159" spans="2:52">
      <c r="B159" s="258"/>
      <c r="C159" s="489"/>
      <c r="D159" s="489"/>
      <c r="E159" s="489"/>
      <c r="F159" s="489"/>
      <c r="G159" s="489"/>
      <c r="H159" s="489"/>
      <c r="I159" s="489"/>
      <c r="J159" s="489"/>
      <c r="K159" s="489"/>
      <c r="L159" s="489"/>
      <c r="M159" s="489"/>
      <c r="N159" s="489"/>
      <c r="O159" s="489"/>
      <c r="P159" s="489"/>
      <c r="Q159" s="489"/>
      <c r="R159" s="489"/>
      <c r="S159" s="489"/>
      <c r="T159" s="489"/>
      <c r="U159" s="489"/>
      <c r="V159" s="489"/>
      <c r="W159" s="489"/>
      <c r="X159" s="489"/>
      <c r="Y159" s="489"/>
      <c r="Z159" s="489"/>
      <c r="AA159" s="489"/>
      <c r="AB159" s="489"/>
      <c r="AC159" s="489"/>
      <c r="AD159" s="489"/>
      <c r="AE159" s="489"/>
      <c r="AF159" s="489"/>
      <c r="AG159" s="489"/>
      <c r="AH159" s="489"/>
      <c r="AI159" s="489"/>
      <c r="AJ159" s="489"/>
      <c r="AK159" s="489"/>
      <c r="AL159" s="489"/>
      <c r="AM159" s="489"/>
      <c r="AN159" s="489"/>
      <c r="AO159" s="489"/>
      <c r="AP159" s="489"/>
      <c r="AQ159" s="489"/>
      <c r="AR159" s="489"/>
      <c r="AS159" s="489"/>
      <c r="AT159" s="489"/>
      <c r="AU159" s="489"/>
      <c r="AV159" s="489"/>
      <c r="AW159" s="568"/>
    </row>
    <row r="160" spans="2:52">
      <c r="B160" s="1181" t="s">
        <v>1365</v>
      </c>
      <c r="C160" s="79"/>
      <c r="D160" s="79"/>
      <c r="E160" s="79"/>
      <c r="F160" s="79"/>
      <c r="G160" s="79"/>
      <c r="H160" s="79"/>
      <c r="I160" s="1196">
        <f>IS!I18</f>
        <v>0</v>
      </c>
      <c r="J160" s="1196">
        <f ca="1">IS!J18</f>
        <v>0</v>
      </c>
      <c r="K160" s="1196">
        <f ca="1">IS!K18</f>
        <v>0</v>
      </c>
      <c r="L160" s="1196">
        <f ca="1">IS!L18</f>
        <v>-298816355.36739236</v>
      </c>
      <c r="M160" s="1196">
        <f ca="1">IS!M18</f>
        <v>-256128304.60062197</v>
      </c>
      <c r="N160" s="1196">
        <f ca="1">IS!N18</f>
        <v>-212857083.74140942</v>
      </c>
      <c r="O160" s="1196">
        <f ca="1">IS!O18</f>
        <v>-171220017.32205963</v>
      </c>
      <c r="P160" s="1196">
        <f ca="1">IS!P18</f>
        <v>-128064152.30031098</v>
      </c>
      <c r="Q160" s="1196">
        <f ca="1">IS!Q18</f>
        <v>-85376101.533540666</v>
      </c>
      <c r="R160" s="1196">
        <f ca="1">IS!R18</f>
        <v>-42571416.748281889</v>
      </c>
      <c r="S160" s="1196">
        <f ca="1">IS!S18</f>
        <v>0</v>
      </c>
      <c r="T160" s="1196">
        <f ca="1">IS!T18</f>
        <v>0</v>
      </c>
      <c r="U160" s="1196">
        <f ca="1">IS!U18</f>
        <v>0</v>
      </c>
      <c r="V160" s="1196">
        <f ca="1">IS!V18</f>
        <v>0</v>
      </c>
      <c r="W160" s="1196">
        <f ca="1">IS!W18</f>
        <v>0</v>
      </c>
      <c r="X160" s="1196">
        <f ca="1">IS!X18</f>
        <v>0</v>
      </c>
      <c r="Y160" s="1196">
        <f ca="1">IS!Y18</f>
        <v>0</v>
      </c>
      <c r="Z160" s="1196">
        <f ca="1">IS!Z18</f>
        <v>0</v>
      </c>
      <c r="AA160" s="1196">
        <f ca="1">IS!AA18</f>
        <v>0</v>
      </c>
      <c r="AB160" s="1196">
        <f ca="1">IS!AB18</f>
        <v>0</v>
      </c>
      <c r="AC160" s="1196">
        <f ca="1">IS!AC18</f>
        <v>0</v>
      </c>
      <c r="AD160" s="1196">
        <f ca="1">IS!AD18</f>
        <v>0</v>
      </c>
      <c r="AE160" s="1196">
        <f ca="1">IS!AE18</f>
        <v>0</v>
      </c>
      <c r="AF160" s="1196">
        <f ca="1">IS!AF18</f>
        <v>0</v>
      </c>
      <c r="AG160" s="1196">
        <f ca="1">IS!AG18</f>
        <v>0</v>
      </c>
      <c r="AH160" s="1196">
        <f ca="1">IS!AH18</f>
        <v>0</v>
      </c>
      <c r="AI160" s="1196">
        <f ca="1">IS!AI18</f>
        <v>0</v>
      </c>
      <c r="AJ160" s="1196">
        <f ca="1">IS!AJ18</f>
        <v>0</v>
      </c>
      <c r="AK160" s="1196">
        <f ca="1">IS!AK18</f>
        <v>0</v>
      </c>
      <c r="AL160" s="1196">
        <f ca="1">IS!AL18</f>
        <v>0</v>
      </c>
      <c r="AM160" s="1196">
        <f>IS!AM18</f>
        <v>0</v>
      </c>
      <c r="AN160" s="1196">
        <f>IS!AN18</f>
        <v>0</v>
      </c>
      <c r="AO160" s="1196">
        <f>IS!AO18</f>
        <v>0</v>
      </c>
      <c r="AP160" s="1196">
        <f>IS!AP18</f>
        <v>0</v>
      </c>
      <c r="AQ160" s="1196">
        <f>IS!AQ18</f>
        <v>0</v>
      </c>
      <c r="AR160" s="1196">
        <f>IS!AR18</f>
        <v>0</v>
      </c>
      <c r="AS160" s="1196">
        <f>IS!AS18</f>
        <v>0</v>
      </c>
      <c r="AT160" s="1196">
        <f>IS!AT18</f>
        <v>0</v>
      </c>
      <c r="AU160" s="1196">
        <f>IS!AU18</f>
        <v>0</v>
      </c>
      <c r="AV160" s="1196">
        <f>IS!AV18</f>
        <v>0</v>
      </c>
      <c r="AW160" s="1196">
        <f>IS!AW18</f>
        <v>0</v>
      </c>
    </row>
    <row r="161" spans="2:52">
      <c r="B161" s="258"/>
      <c r="C161" s="489"/>
      <c r="D161" s="489"/>
      <c r="E161" s="489"/>
      <c r="F161" s="489"/>
      <c r="G161" s="489"/>
      <c r="H161" s="489"/>
      <c r="I161" s="489"/>
      <c r="J161" s="489"/>
      <c r="K161" s="489"/>
      <c r="L161" s="489"/>
      <c r="M161" s="489"/>
      <c r="N161" s="489"/>
      <c r="O161" s="489"/>
      <c r="P161" s="489"/>
      <c r="Q161" s="489"/>
      <c r="R161" s="489"/>
      <c r="S161" s="489"/>
      <c r="T161" s="489"/>
      <c r="U161" s="489"/>
      <c r="V161" s="489"/>
      <c r="W161" s="489"/>
      <c r="X161" s="489"/>
      <c r="Y161" s="489"/>
      <c r="Z161" s="489"/>
      <c r="AA161" s="489"/>
      <c r="AB161" s="489"/>
      <c r="AC161" s="489"/>
      <c r="AD161" s="489"/>
      <c r="AE161" s="489"/>
      <c r="AF161" s="489"/>
      <c r="AG161" s="489"/>
      <c r="AH161" s="489"/>
      <c r="AI161" s="489"/>
      <c r="AJ161" s="489"/>
      <c r="AK161" s="489"/>
      <c r="AL161" s="489"/>
      <c r="AM161" s="489"/>
      <c r="AN161" s="489"/>
      <c r="AO161" s="489"/>
      <c r="AP161" s="489"/>
      <c r="AQ161" s="489"/>
      <c r="AR161" s="489"/>
      <c r="AS161" s="489"/>
      <c r="AT161" s="489"/>
      <c r="AU161" s="489"/>
      <c r="AV161" s="489"/>
      <c r="AW161" s="568"/>
    </row>
    <row r="162" spans="2:52" ht="11.25" thickBot="1">
      <c r="B162" s="1190" t="s">
        <v>1366</v>
      </c>
      <c r="C162" s="1184"/>
      <c r="D162" s="1184"/>
      <c r="E162" s="1184"/>
      <c r="F162" s="1184"/>
      <c r="G162" s="1184"/>
      <c r="H162" s="1184"/>
      <c r="I162" s="1202">
        <f ca="1">IFERROR(I158/I160,0)</f>
        <v>0</v>
      </c>
      <c r="J162" s="1202">
        <f t="shared" ref="J162:AW162" ca="1" si="31">IFERROR(J158/J160,0)</f>
        <v>0</v>
      </c>
      <c r="K162" s="1202">
        <f t="shared" ca="1" si="31"/>
        <v>0</v>
      </c>
      <c r="L162" s="1202">
        <f t="shared" ca="1" si="31"/>
        <v>-3.4165826334544498</v>
      </c>
      <c r="M162" s="1202">
        <f t="shared" ca="1" si="31"/>
        <v>-4.6040113863325258</v>
      </c>
      <c r="N162" s="1202">
        <f t="shared" ca="1" si="31"/>
        <v>-6.0529750440225447</v>
      </c>
      <c r="O162" s="1202">
        <f t="shared" ca="1" si="31"/>
        <v>-8.1291452523925205</v>
      </c>
      <c r="P162" s="1202">
        <f t="shared" ca="1" si="31"/>
        <v>-11.584259424519642</v>
      </c>
      <c r="Q162" s="1202">
        <f t="shared" ca="1" si="31"/>
        <v>-18.510197726778667</v>
      </c>
      <c r="R162" s="1202">
        <f t="shared" ca="1" si="31"/>
        <v>-39.547677190792982</v>
      </c>
      <c r="S162" s="1202">
        <f t="shared" ca="1" si="31"/>
        <v>0</v>
      </c>
      <c r="T162" s="1202">
        <f t="shared" ca="1" si="31"/>
        <v>0</v>
      </c>
      <c r="U162" s="1202">
        <f t="shared" ca="1" si="31"/>
        <v>0</v>
      </c>
      <c r="V162" s="1202">
        <f t="shared" ca="1" si="31"/>
        <v>0</v>
      </c>
      <c r="W162" s="1202">
        <f t="shared" ca="1" si="31"/>
        <v>0</v>
      </c>
      <c r="X162" s="1202">
        <f t="shared" ca="1" si="31"/>
        <v>0</v>
      </c>
      <c r="Y162" s="1202">
        <f t="shared" ca="1" si="31"/>
        <v>0</v>
      </c>
      <c r="Z162" s="1202">
        <f t="shared" ca="1" si="31"/>
        <v>0</v>
      </c>
      <c r="AA162" s="1202">
        <f t="shared" ca="1" si="31"/>
        <v>0</v>
      </c>
      <c r="AB162" s="1202">
        <f t="shared" ca="1" si="31"/>
        <v>0</v>
      </c>
      <c r="AC162" s="1202">
        <f t="shared" ca="1" si="31"/>
        <v>0</v>
      </c>
      <c r="AD162" s="1202">
        <f t="shared" ca="1" si="31"/>
        <v>0</v>
      </c>
      <c r="AE162" s="1202">
        <f t="shared" ca="1" si="31"/>
        <v>0</v>
      </c>
      <c r="AF162" s="1202">
        <f t="shared" ca="1" si="31"/>
        <v>0</v>
      </c>
      <c r="AG162" s="1202">
        <f t="shared" ca="1" si="31"/>
        <v>0</v>
      </c>
      <c r="AH162" s="1202">
        <f t="shared" ca="1" si="31"/>
        <v>0</v>
      </c>
      <c r="AI162" s="1202">
        <f t="shared" ca="1" si="31"/>
        <v>0</v>
      </c>
      <c r="AJ162" s="1202">
        <f t="shared" ca="1" si="31"/>
        <v>0</v>
      </c>
      <c r="AK162" s="1202">
        <f t="shared" ca="1" si="31"/>
        <v>0</v>
      </c>
      <c r="AL162" s="1202">
        <f t="shared" ca="1" si="31"/>
        <v>0</v>
      </c>
      <c r="AM162" s="1202">
        <f t="shared" si="31"/>
        <v>0</v>
      </c>
      <c r="AN162" s="1202">
        <f t="shared" si="31"/>
        <v>0</v>
      </c>
      <c r="AO162" s="1202">
        <f t="shared" si="31"/>
        <v>0</v>
      </c>
      <c r="AP162" s="1202">
        <f t="shared" si="31"/>
        <v>0</v>
      </c>
      <c r="AQ162" s="1202">
        <f t="shared" si="31"/>
        <v>0</v>
      </c>
      <c r="AR162" s="1202">
        <f t="shared" si="31"/>
        <v>0</v>
      </c>
      <c r="AS162" s="1202">
        <f t="shared" si="31"/>
        <v>0</v>
      </c>
      <c r="AT162" s="1202">
        <f t="shared" si="31"/>
        <v>0</v>
      </c>
      <c r="AU162" s="1202">
        <f t="shared" si="31"/>
        <v>0</v>
      </c>
      <c r="AV162" s="1202">
        <f t="shared" si="31"/>
        <v>0</v>
      </c>
      <c r="AW162" s="1202">
        <f t="shared" si="31"/>
        <v>0</v>
      </c>
    </row>
    <row r="164" spans="2:52" ht="11.25" thickBot="1"/>
    <row r="165" spans="2:52">
      <c r="B165" s="1188" t="s">
        <v>1367</v>
      </c>
      <c r="C165" s="1179"/>
      <c r="D165" s="1179"/>
      <c r="E165" s="1179"/>
      <c r="F165" s="1179"/>
      <c r="G165" s="1179"/>
      <c r="H165" s="1179"/>
      <c r="I165" s="1179"/>
      <c r="J165" s="1179"/>
      <c r="K165" s="1179"/>
      <c r="L165" s="1179"/>
      <c r="M165" s="1179"/>
      <c r="N165" s="1179"/>
      <c r="O165" s="1179"/>
      <c r="P165" s="1179"/>
      <c r="Q165" s="1179"/>
      <c r="R165" s="1179"/>
      <c r="S165" s="1179"/>
      <c r="T165" s="1179"/>
      <c r="U165" s="1179"/>
      <c r="V165" s="1179"/>
      <c r="W165" s="1179"/>
      <c r="X165" s="1179"/>
      <c r="Y165" s="1179"/>
      <c r="Z165" s="1179"/>
      <c r="AA165" s="1179"/>
      <c r="AB165" s="1179"/>
      <c r="AC165" s="1179"/>
      <c r="AD165" s="1179"/>
      <c r="AE165" s="1179"/>
      <c r="AF165" s="1179"/>
      <c r="AG165" s="1179"/>
      <c r="AH165" s="1179"/>
      <c r="AI165" s="1179"/>
      <c r="AJ165" s="1179"/>
      <c r="AK165" s="1179"/>
      <c r="AL165" s="1179"/>
      <c r="AM165" s="1179"/>
      <c r="AN165" s="1179"/>
      <c r="AO165" s="1179"/>
      <c r="AP165" s="1179"/>
      <c r="AQ165" s="1179"/>
      <c r="AR165" s="1179"/>
      <c r="AS165" s="1179"/>
      <c r="AT165" s="1179"/>
      <c r="AU165" s="1179"/>
      <c r="AV165" s="1179"/>
      <c r="AW165" s="1180"/>
    </row>
    <row r="166" spans="2:52">
      <c r="B166" s="1181" t="s">
        <v>1368</v>
      </c>
      <c r="C166" s="79"/>
      <c r="D166" s="79"/>
      <c r="E166" s="79"/>
      <c r="F166" s="79"/>
      <c r="G166" s="79"/>
      <c r="H166" s="1196">
        <f ca="1">IS!I14</f>
        <v>0</v>
      </c>
      <c r="I166" s="1196">
        <f ca="1">IS!J14</f>
        <v>-144780637.06971791</v>
      </c>
      <c r="J166" s="1196">
        <f ca="1">IS!K14</f>
        <v>600175382.53925037</v>
      </c>
      <c r="K166" s="1196">
        <f ca="1">IS!L14</f>
        <v>1006372249.6429477</v>
      </c>
      <c r="L166" s="1196">
        <f ca="1">IS!M14</f>
        <v>1159012669.7335572</v>
      </c>
      <c r="M166" s="1196">
        <f ca="1">IS!N14</f>
        <v>1258868677.0939729</v>
      </c>
      <c r="N166" s="1196">
        <f ca="1">IS!O14</f>
        <v>1354095949.5067325</v>
      </c>
      <c r="O166" s="1196">
        <f ca="1">IS!P14</f>
        <v>1436591646.4185386</v>
      </c>
      <c r="P166" s="1196">
        <f ca="1">IS!Q14</f>
        <v>1523164760.8129563</v>
      </c>
      <c r="Q166" s="1196">
        <f ca="1">IS!R14</f>
        <v>1615569121.424026</v>
      </c>
      <c r="R166" s="1196">
        <f ca="1">IS!S14</f>
        <v>1711147970.372494</v>
      </c>
      <c r="S166" s="1196">
        <f ca="1">IS!T14</f>
        <v>1814705617.6637578</v>
      </c>
      <c r="T166" s="1196">
        <f ca="1">IS!U14</f>
        <v>1923605912.62609</v>
      </c>
      <c r="U166" s="1196">
        <f ca="1">IS!V14</f>
        <v>2039749567.4874854</v>
      </c>
      <c r="V166" s="1196">
        <f ca="1">IS!W14</f>
        <v>2160431772.2549324</v>
      </c>
      <c r="W166" s="1196">
        <f ca="1">IS!X14</f>
        <v>1420998381.6899498</v>
      </c>
      <c r="X166" s="1196">
        <f ca="1">IS!Y14</f>
        <v>1469004302.9991755</v>
      </c>
      <c r="Y166" s="1196">
        <f ca="1">IS!Z14</f>
        <v>1522723863.6175473</v>
      </c>
      <c r="Z166" s="1196">
        <f ca="1">IS!AA14</f>
        <v>1575610589.2908399</v>
      </c>
      <c r="AA166" s="1196">
        <f ca="1">IS!AB14</f>
        <v>1632609886.2585571</v>
      </c>
      <c r="AB166" s="1196">
        <f ca="1">IS!AC14</f>
        <v>1690493454.7818089</v>
      </c>
      <c r="AC166" s="1196">
        <f ca="1">IS!AD14</f>
        <v>1750986779.474077</v>
      </c>
      <c r="AD166" s="1196">
        <f ca="1">IS!AE14</f>
        <v>1810725055.9042373</v>
      </c>
      <c r="AE166" s="1196">
        <f ca="1">IS!AF14</f>
        <v>1874910147.447772</v>
      </c>
      <c r="AF166" s="1196">
        <f ca="1">IS!AG14</f>
        <v>1940154244.431144</v>
      </c>
      <c r="AG166" s="1196">
        <f ca="1">IS!AH14</f>
        <v>2008275815.4038591</v>
      </c>
      <c r="AH166" s="1196">
        <f ca="1">IS!AI14</f>
        <v>2075736741.9715271</v>
      </c>
      <c r="AI166" s="1196">
        <f ca="1">IS!AJ14</f>
        <v>2148017740.8713617</v>
      </c>
      <c r="AJ166" s="1196">
        <f ca="1">IS!AK14</f>
        <v>2221555693.6482</v>
      </c>
      <c r="AK166" s="1196">
        <f ca="1">IS!AL14</f>
        <v>2297333110.8336287</v>
      </c>
      <c r="AL166" s="1196">
        <f>IS!AM14</f>
        <v>0</v>
      </c>
      <c r="AM166" s="1196">
        <f>IS!AN14</f>
        <v>0</v>
      </c>
      <c r="AN166" s="1196">
        <f>IS!AO14</f>
        <v>0</v>
      </c>
      <c r="AO166" s="1196">
        <f>IS!AP14</f>
        <v>0</v>
      </c>
      <c r="AP166" s="1196">
        <f>IS!AQ14</f>
        <v>0</v>
      </c>
      <c r="AQ166" s="1196">
        <f>IS!AR14</f>
        <v>0</v>
      </c>
      <c r="AR166" s="1196">
        <f>IS!AS14</f>
        <v>0</v>
      </c>
      <c r="AS166" s="1196">
        <f>IS!AT14</f>
        <v>0</v>
      </c>
      <c r="AT166" s="1196">
        <f>IS!AU14</f>
        <v>0</v>
      </c>
      <c r="AU166" s="1196">
        <f>IS!AV14</f>
        <v>0</v>
      </c>
      <c r="AV166" s="1196">
        <f>IS!AW14</f>
        <v>0</v>
      </c>
      <c r="AW166" s="1196">
        <f>IS!AX14</f>
        <v>0</v>
      </c>
      <c r="AX166" s="1196">
        <f>IS!AY14</f>
        <v>0</v>
      </c>
      <c r="AY166" s="1196">
        <f>IS!AZ14</f>
        <v>0</v>
      </c>
      <c r="AZ166" s="1196">
        <f>IS!BA14</f>
        <v>0</v>
      </c>
    </row>
    <row r="167" spans="2:52">
      <c r="B167" s="1181" t="s">
        <v>1369</v>
      </c>
      <c r="C167" s="79"/>
      <c r="D167" s="79"/>
      <c r="E167" s="79"/>
      <c r="F167" s="79"/>
      <c r="G167" s="79"/>
      <c r="H167" s="79">
        <f t="shared" ref="H167:AW167" si="32">1-Tax</f>
        <v>0.67</v>
      </c>
      <c r="I167" s="79">
        <f t="shared" si="32"/>
        <v>0.67</v>
      </c>
      <c r="J167" s="79">
        <f t="shared" si="32"/>
        <v>0.67</v>
      </c>
      <c r="K167" s="79">
        <f t="shared" si="32"/>
        <v>0.67</v>
      </c>
      <c r="L167" s="79">
        <f t="shared" si="32"/>
        <v>0.67</v>
      </c>
      <c r="M167" s="79">
        <f t="shared" si="32"/>
        <v>0.67</v>
      </c>
      <c r="N167" s="79">
        <f t="shared" si="32"/>
        <v>0.67</v>
      </c>
      <c r="O167" s="79">
        <f t="shared" si="32"/>
        <v>0.67</v>
      </c>
      <c r="P167" s="79">
        <f t="shared" si="32"/>
        <v>0.67</v>
      </c>
      <c r="Q167" s="79">
        <f t="shared" si="32"/>
        <v>0.67</v>
      </c>
      <c r="R167" s="79">
        <f t="shared" si="32"/>
        <v>0.67</v>
      </c>
      <c r="S167" s="79">
        <f t="shared" si="32"/>
        <v>0.67</v>
      </c>
      <c r="T167" s="79">
        <f t="shared" si="32"/>
        <v>0.67</v>
      </c>
      <c r="U167" s="79">
        <f t="shared" si="32"/>
        <v>0.67</v>
      </c>
      <c r="V167" s="79">
        <f t="shared" si="32"/>
        <v>0.67</v>
      </c>
      <c r="W167" s="79">
        <f t="shared" si="32"/>
        <v>0.67</v>
      </c>
      <c r="X167" s="79">
        <f t="shared" si="32"/>
        <v>0.67</v>
      </c>
      <c r="Y167" s="79">
        <f t="shared" si="32"/>
        <v>0.67</v>
      </c>
      <c r="Z167" s="79">
        <f t="shared" si="32"/>
        <v>0.67</v>
      </c>
      <c r="AA167" s="79">
        <f t="shared" si="32"/>
        <v>0.67</v>
      </c>
      <c r="AB167" s="79">
        <f t="shared" si="32"/>
        <v>0.67</v>
      </c>
      <c r="AC167" s="79">
        <f t="shared" si="32"/>
        <v>0.67</v>
      </c>
      <c r="AD167" s="79">
        <f t="shared" si="32"/>
        <v>0.67</v>
      </c>
      <c r="AE167" s="79">
        <f t="shared" si="32"/>
        <v>0.67</v>
      </c>
      <c r="AF167" s="79">
        <f t="shared" si="32"/>
        <v>0.67</v>
      </c>
      <c r="AG167" s="79">
        <f t="shared" si="32"/>
        <v>0.67</v>
      </c>
      <c r="AH167" s="79">
        <f t="shared" si="32"/>
        <v>0.67</v>
      </c>
      <c r="AI167" s="79">
        <f t="shared" si="32"/>
        <v>0.67</v>
      </c>
      <c r="AJ167" s="79">
        <f t="shared" si="32"/>
        <v>0.67</v>
      </c>
      <c r="AK167" s="79">
        <f t="shared" si="32"/>
        <v>0.67</v>
      </c>
      <c r="AL167" s="79">
        <f t="shared" si="32"/>
        <v>0.67</v>
      </c>
      <c r="AM167" s="79">
        <f t="shared" si="32"/>
        <v>0.67</v>
      </c>
      <c r="AN167" s="79">
        <f t="shared" si="32"/>
        <v>0.67</v>
      </c>
      <c r="AO167" s="79">
        <f t="shared" si="32"/>
        <v>0.67</v>
      </c>
      <c r="AP167" s="79">
        <f t="shared" si="32"/>
        <v>0.67</v>
      </c>
      <c r="AQ167" s="79">
        <f t="shared" si="32"/>
        <v>0.67</v>
      </c>
      <c r="AR167" s="79">
        <f t="shared" si="32"/>
        <v>0.67</v>
      </c>
      <c r="AS167" s="79">
        <f t="shared" si="32"/>
        <v>0.67</v>
      </c>
      <c r="AT167" s="79">
        <f t="shared" si="32"/>
        <v>0.67</v>
      </c>
      <c r="AU167" s="79">
        <f t="shared" si="32"/>
        <v>0.67</v>
      </c>
      <c r="AV167" s="79">
        <f t="shared" si="32"/>
        <v>0.67</v>
      </c>
      <c r="AW167" s="79">
        <f t="shared" si="32"/>
        <v>0.67</v>
      </c>
    </row>
    <row r="168" spans="2:52">
      <c r="B168" s="1181" t="s">
        <v>1370</v>
      </c>
      <c r="C168" s="79"/>
      <c r="D168" s="79"/>
      <c r="E168" s="79"/>
      <c r="F168" s="79"/>
      <c r="G168" s="79"/>
      <c r="H168" s="1197">
        <f t="shared" ref="H168:AZ168" ca="1" si="33">H166*H167</f>
        <v>0</v>
      </c>
      <c r="I168" s="1197">
        <f t="shared" ca="1" si="33"/>
        <v>-97003026.836711004</v>
      </c>
      <c r="J168" s="1197">
        <f t="shared" ca="1" si="33"/>
        <v>402117506.30129778</v>
      </c>
      <c r="K168" s="1197">
        <f t="shared" ca="1" si="33"/>
        <v>674269407.26077497</v>
      </c>
      <c r="L168" s="1197">
        <f t="shared" ca="1" si="33"/>
        <v>776538488.72148335</v>
      </c>
      <c r="M168" s="1197">
        <f t="shared" ca="1" si="33"/>
        <v>843442013.65296185</v>
      </c>
      <c r="N168" s="1197">
        <f t="shared" ca="1" si="33"/>
        <v>907244286.16951084</v>
      </c>
      <c r="O168" s="1197">
        <f t="shared" ca="1" si="33"/>
        <v>962516403.10042095</v>
      </c>
      <c r="P168" s="1197">
        <f t="shared" ca="1" si="33"/>
        <v>1020520389.7446808</v>
      </c>
      <c r="Q168" s="1197">
        <f t="shared" ca="1" si="33"/>
        <v>1082431311.3540976</v>
      </c>
      <c r="R168" s="1197">
        <f t="shared" ca="1" si="33"/>
        <v>1146469140.1495709</v>
      </c>
      <c r="S168" s="1197">
        <f t="shared" ca="1" si="33"/>
        <v>1215852763.8347178</v>
      </c>
      <c r="T168" s="1197">
        <f t="shared" ca="1" si="33"/>
        <v>1288815961.4594805</v>
      </c>
      <c r="U168" s="1197">
        <f t="shared" ca="1" si="33"/>
        <v>1366632210.2166152</v>
      </c>
      <c r="V168" s="1197">
        <f t="shared" ca="1" si="33"/>
        <v>1447489287.4108047</v>
      </c>
      <c r="W168" s="1197">
        <f t="shared" ca="1" si="33"/>
        <v>952068915.73226643</v>
      </c>
      <c r="X168" s="1197">
        <f t="shared" ca="1" si="33"/>
        <v>984232883.00944769</v>
      </c>
      <c r="Y168" s="1197">
        <f t="shared" ca="1" si="33"/>
        <v>1020224988.6237568</v>
      </c>
      <c r="Z168" s="1197">
        <f t="shared" ca="1" si="33"/>
        <v>1055659094.8248628</v>
      </c>
      <c r="AA168" s="1197">
        <f t="shared" ca="1" si="33"/>
        <v>1093848623.7932334</v>
      </c>
      <c r="AB168" s="1197">
        <f t="shared" ca="1" si="33"/>
        <v>1132630614.7038119</v>
      </c>
      <c r="AC168" s="1197">
        <f t="shared" ca="1" si="33"/>
        <v>1173161142.2476315</v>
      </c>
      <c r="AD168" s="1197">
        <f t="shared" ca="1" si="33"/>
        <v>1213185787.4558392</v>
      </c>
      <c r="AE168" s="1197">
        <f t="shared" ca="1" si="33"/>
        <v>1256189798.7900074</v>
      </c>
      <c r="AF168" s="1197">
        <f t="shared" ca="1" si="33"/>
        <v>1299903343.7688665</v>
      </c>
      <c r="AG168" s="1197">
        <f t="shared" ca="1" si="33"/>
        <v>1345544796.3205857</v>
      </c>
      <c r="AH168" s="1197">
        <f t="shared" ca="1" si="33"/>
        <v>1390743617.1209233</v>
      </c>
      <c r="AI168" s="1197">
        <f t="shared" ca="1" si="33"/>
        <v>1439171886.3838124</v>
      </c>
      <c r="AJ168" s="1197">
        <f t="shared" ca="1" si="33"/>
        <v>1488442314.7442942</v>
      </c>
      <c r="AK168" s="1197">
        <f t="shared" ca="1" si="33"/>
        <v>1539213184.2585313</v>
      </c>
      <c r="AL168" s="1197">
        <f t="shared" si="33"/>
        <v>0</v>
      </c>
      <c r="AM168" s="1197">
        <f t="shared" si="33"/>
        <v>0</v>
      </c>
      <c r="AN168" s="1197">
        <f t="shared" si="33"/>
        <v>0</v>
      </c>
      <c r="AO168" s="1197">
        <f t="shared" si="33"/>
        <v>0</v>
      </c>
      <c r="AP168" s="1197">
        <f t="shared" si="33"/>
        <v>0</v>
      </c>
      <c r="AQ168" s="1197">
        <f t="shared" si="33"/>
        <v>0</v>
      </c>
      <c r="AR168" s="1197">
        <f t="shared" si="33"/>
        <v>0</v>
      </c>
      <c r="AS168" s="1197">
        <f t="shared" si="33"/>
        <v>0</v>
      </c>
      <c r="AT168" s="1197">
        <f t="shared" si="33"/>
        <v>0</v>
      </c>
      <c r="AU168" s="1197">
        <f t="shared" si="33"/>
        <v>0</v>
      </c>
      <c r="AV168" s="1197">
        <f t="shared" si="33"/>
        <v>0</v>
      </c>
      <c r="AW168" s="1197">
        <f t="shared" si="33"/>
        <v>0</v>
      </c>
      <c r="AX168" s="1197">
        <f t="shared" si="33"/>
        <v>0</v>
      </c>
      <c r="AY168" s="1197">
        <f t="shared" si="33"/>
        <v>0</v>
      </c>
      <c r="AZ168" s="1197">
        <f t="shared" si="33"/>
        <v>0</v>
      </c>
    </row>
    <row r="169" spans="2:52">
      <c r="B169" s="1181" t="s">
        <v>1371</v>
      </c>
      <c r="C169" s="79"/>
      <c r="D169" s="79"/>
      <c r="E169" s="79"/>
      <c r="F169" s="79"/>
      <c r="G169" s="79"/>
      <c r="H169" s="109">
        <f>'Fixed Assets'!I35</f>
        <v>715288869.70235205</v>
      </c>
      <c r="I169" s="109">
        <f>'Fixed Assets'!J35</f>
        <v>2422388762.4588017</v>
      </c>
      <c r="J169" s="109">
        <f>'Fixed Assets'!K35</f>
        <v>1002773460.639074</v>
      </c>
      <c r="K169" s="109">
        <f>'Fixed Assets'!L35</f>
        <v>0</v>
      </c>
      <c r="L169" s="109">
        <f>'Fixed Assets'!M35</f>
        <v>0</v>
      </c>
      <c r="M169" s="109">
        <f>'Fixed Assets'!N35</f>
        <v>0</v>
      </c>
      <c r="N169" s="109">
        <f>'Fixed Assets'!O35</f>
        <v>0</v>
      </c>
      <c r="O169" s="109">
        <f>'Fixed Assets'!P35</f>
        <v>0</v>
      </c>
      <c r="P169" s="109">
        <f>'Fixed Assets'!Q35</f>
        <v>0</v>
      </c>
      <c r="Q169" s="109">
        <f>'Fixed Assets'!R35</f>
        <v>0</v>
      </c>
      <c r="R169" s="109">
        <f>'Fixed Assets'!S35</f>
        <v>0</v>
      </c>
      <c r="S169" s="109">
        <f>'Fixed Assets'!T35</f>
        <v>0</v>
      </c>
      <c r="T169" s="109">
        <f>'Fixed Assets'!U35</f>
        <v>0</v>
      </c>
      <c r="U169" s="109">
        <f>'Fixed Assets'!V35</f>
        <v>0</v>
      </c>
      <c r="V169" s="109">
        <f>'Fixed Assets'!W35</f>
        <v>0</v>
      </c>
      <c r="W169" s="109">
        <f>'Fixed Assets'!X35</f>
        <v>0</v>
      </c>
      <c r="X169" s="109">
        <f>'Fixed Assets'!Y35</f>
        <v>0</v>
      </c>
      <c r="Y169" s="109">
        <f>'Fixed Assets'!Z35</f>
        <v>0</v>
      </c>
      <c r="Z169" s="109">
        <f>'Fixed Assets'!AA35</f>
        <v>0</v>
      </c>
      <c r="AA169" s="109">
        <f>'Fixed Assets'!AB35</f>
        <v>0</v>
      </c>
      <c r="AB169" s="109">
        <f>'Fixed Assets'!AC35</f>
        <v>0</v>
      </c>
      <c r="AC169" s="109">
        <f>'Fixed Assets'!AD35</f>
        <v>0</v>
      </c>
      <c r="AD169" s="109">
        <f>'Fixed Assets'!AE35</f>
        <v>0</v>
      </c>
      <c r="AE169" s="109">
        <f>'Fixed Assets'!AF35</f>
        <v>0</v>
      </c>
      <c r="AF169" s="109">
        <f>'Fixed Assets'!AG35</f>
        <v>0</v>
      </c>
      <c r="AG169" s="109">
        <f>'Fixed Assets'!AH35</f>
        <v>0</v>
      </c>
      <c r="AH169" s="109">
        <f>'Fixed Assets'!AI35</f>
        <v>0</v>
      </c>
      <c r="AI169" s="109">
        <f>'Fixed Assets'!AJ35</f>
        <v>0</v>
      </c>
      <c r="AJ169" s="109">
        <f>'Fixed Assets'!AK35</f>
        <v>0</v>
      </c>
      <c r="AK169" s="109">
        <f>'Fixed Assets'!AL35</f>
        <v>0</v>
      </c>
      <c r="AL169" s="109">
        <f>'Fixed Assets'!AM35</f>
        <v>0</v>
      </c>
      <c r="AM169" s="109">
        <f>'Fixed Assets'!AN35</f>
        <v>0</v>
      </c>
      <c r="AN169" s="109">
        <f>'Fixed Assets'!AO35</f>
        <v>0</v>
      </c>
      <c r="AO169" s="109">
        <f>'Fixed Assets'!AP35</f>
        <v>0</v>
      </c>
      <c r="AP169" s="109">
        <f>'Fixed Assets'!AQ35</f>
        <v>0</v>
      </c>
      <c r="AQ169" s="109">
        <f>'Fixed Assets'!AR35</f>
        <v>0</v>
      </c>
      <c r="AR169" s="109">
        <f>'Fixed Assets'!AS35</f>
        <v>0</v>
      </c>
      <c r="AS169" s="109">
        <f>'Fixed Assets'!AT35</f>
        <v>0</v>
      </c>
      <c r="AT169" s="109">
        <f>'Fixed Assets'!AU35</f>
        <v>0</v>
      </c>
      <c r="AU169" s="109">
        <f>'Fixed Assets'!AV35</f>
        <v>0</v>
      </c>
      <c r="AV169" s="109">
        <f>'Fixed Assets'!AW35</f>
        <v>0</v>
      </c>
      <c r="AW169" s="109">
        <f>'Fixed Assets'!AX35</f>
        <v>0</v>
      </c>
    </row>
    <row r="170" spans="2:52">
      <c r="B170" s="1181" t="s">
        <v>1372</v>
      </c>
      <c r="C170" s="79"/>
      <c r="D170" s="79"/>
      <c r="E170" s="79"/>
      <c r="F170" s="79"/>
      <c r="G170" s="79"/>
      <c r="H170" s="79">
        <f>WACC</f>
        <v>9.800642619047617E-2</v>
      </c>
      <c r="I170" s="79">
        <f>WACC</f>
        <v>9.800642619047617E-2</v>
      </c>
      <c r="J170" s="79">
        <f>WACC</f>
        <v>9.800642619047617E-2</v>
      </c>
      <c r="K170" s="79"/>
      <c r="L170" s="79"/>
      <c r="M170" s="79"/>
      <c r="N170" s="79"/>
      <c r="O170" s="79"/>
      <c r="P170" s="79"/>
      <c r="Q170" s="79"/>
      <c r="R170" s="79"/>
      <c r="S170" s="79"/>
      <c r="T170" s="79"/>
      <c r="U170" s="79"/>
      <c r="V170" s="79"/>
      <c r="W170" s="79"/>
      <c r="X170" s="79"/>
      <c r="Y170" s="79"/>
      <c r="Z170" s="79"/>
      <c r="AA170" s="79"/>
      <c r="AB170" s="79"/>
      <c r="AC170" s="79"/>
      <c r="AD170" s="79"/>
      <c r="AE170" s="79"/>
      <c r="AF170" s="79"/>
      <c r="AG170" s="79"/>
      <c r="AH170" s="79"/>
      <c r="AI170" s="79"/>
      <c r="AJ170" s="79"/>
      <c r="AK170" s="79"/>
      <c r="AL170" s="79"/>
      <c r="AM170" s="79"/>
      <c r="AN170" s="79"/>
      <c r="AO170" s="79"/>
      <c r="AP170" s="79"/>
      <c r="AQ170" s="79"/>
      <c r="AR170" s="79"/>
      <c r="AS170" s="79"/>
      <c r="AT170" s="79"/>
      <c r="AU170" s="79"/>
      <c r="AV170" s="79"/>
      <c r="AW170" s="1182"/>
    </row>
    <row r="171" spans="2:52">
      <c r="B171" s="79" t="s">
        <v>1380</v>
      </c>
      <c r="C171" s="79"/>
      <c r="D171" s="79"/>
      <c r="E171" s="79"/>
      <c r="F171" s="79"/>
      <c r="G171" s="79"/>
      <c r="H171" s="42">
        <f>-(H169*H170)</f>
        <v>-70102905.813352689</v>
      </c>
      <c r="I171" s="42">
        <f>-(I169*I170)</f>
        <v>-237409665.45255747</v>
      </c>
      <c r="J171" s="42">
        <f>-(J169*J170)</f>
        <v>-98278243.155891761</v>
      </c>
      <c r="K171" s="42">
        <f>K169*K170</f>
        <v>0</v>
      </c>
      <c r="L171" s="42">
        <f>L169*L170</f>
        <v>0</v>
      </c>
      <c r="M171" s="42">
        <f>M169*M170</f>
        <v>0</v>
      </c>
      <c r="N171" s="42">
        <f>N169*N170</f>
        <v>0</v>
      </c>
      <c r="O171" s="79"/>
      <c r="P171" s="79"/>
      <c r="Q171" s="79"/>
      <c r="R171" s="79"/>
      <c r="S171" s="79"/>
      <c r="T171" s="79"/>
      <c r="U171" s="79"/>
      <c r="V171" s="79"/>
      <c r="W171" s="79"/>
      <c r="X171" s="79"/>
      <c r="Y171" s="79"/>
      <c r="Z171" s="79"/>
      <c r="AA171" s="79"/>
      <c r="AB171" s="79"/>
      <c r="AC171" s="79"/>
      <c r="AD171" s="79"/>
      <c r="AE171" s="79"/>
      <c r="AF171" s="79"/>
      <c r="AG171" s="79"/>
      <c r="AH171" s="79"/>
      <c r="AI171" s="79"/>
      <c r="AJ171" s="79"/>
      <c r="AK171" s="79"/>
      <c r="AL171" s="79"/>
      <c r="AM171" s="79"/>
      <c r="AN171" s="79"/>
      <c r="AO171" s="79"/>
      <c r="AP171" s="79"/>
      <c r="AQ171" s="79"/>
      <c r="AR171" s="79"/>
      <c r="AS171" s="79"/>
      <c r="AT171" s="79"/>
      <c r="AU171" s="79"/>
      <c r="AV171" s="79"/>
      <c r="AW171" s="1182"/>
    </row>
    <row r="172" spans="2:52">
      <c r="B172" s="1205"/>
      <c r="C172" s="1177"/>
      <c r="D172" s="1177"/>
      <c r="E172" s="1177"/>
      <c r="F172" s="1177"/>
      <c r="G172" s="1177"/>
      <c r="H172" s="1177"/>
      <c r="I172" s="1177"/>
      <c r="J172" s="1177"/>
      <c r="K172" s="1177"/>
      <c r="L172" s="1177"/>
      <c r="M172" s="1177"/>
      <c r="N172" s="1177"/>
      <c r="O172" s="1177"/>
      <c r="P172" s="1177"/>
      <c r="Q172" s="1177"/>
      <c r="R172" s="1177"/>
      <c r="S172" s="1177"/>
      <c r="T172" s="1177"/>
      <c r="U172" s="1177"/>
      <c r="V172" s="1177"/>
      <c r="W172" s="1177"/>
      <c r="X172" s="1177"/>
      <c r="Y172" s="1177"/>
      <c r="Z172" s="1177"/>
      <c r="AA172" s="1177"/>
      <c r="AB172" s="1177"/>
      <c r="AC172" s="1177"/>
      <c r="AD172" s="1177"/>
      <c r="AE172" s="1177"/>
      <c r="AF172" s="1177"/>
      <c r="AG172" s="1177"/>
      <c r="AH172" s="1177"/>
      <c r="AI172" s="1177"/>
      <c r="AJ172" s="1177"/>
      <c r="AK172" s="1177"/>
      <c r="AL172" s="1177"/>
      <c r="AM172" s="1177"/>
      <c r="AN172" s="1177"/>
      <c r="AO172" s="1177"/>
      <c r="AP172" s="1177"/>
      <c r="AQ172" s="1177"/>
      <c r="AR172" s="1177"/>
      <c r="AS172" s="1177"/>
      <c r="AT172" s="1177"/>
      <c r="AU172" s="1177"/>
      <c r="AV172" s="1177"/>
      <c r="AW172" s="1206"/>
    </row>
    <row r="173" spans="2:52">
      <c r="B173" s="1205"/>
      <c r="C173" s="1177"/>
      <c r="D173" s="1177"/>
      <c r="E173" s="1177"/>
      <c r="F173" s="1177"/>
      <c r="G173" s="1177"/>
      <c r="H173" s="1177"/>
      <c r="I173" s="1177"/>
      <c r="J173" s="1177"/>
      <c r="K173" s="1177"/>
      <c r="L173" s="1177"/>
      <c r="M173" s="1177"/>
      <c r="N173" s="1177"/>
      <c r="O173" s="1177"/>
      <c r="P173" s="1177"/>
      <c r="Q173" s="1177"/>
      <c r="R173" s="1177"/>
      <c r="S173" s="1177"/>
      <c r="T173" s="1177"/>
      <c r="U173" s="1177"/>
      <c r="V173" s="1177"/>
      <c r="W173" s="1177"/>
      <c r="X173" s="1177"/>
      <c r="Y173" s="1177"/>
      <c r="Z173" s="1177"/>
      <c r="AA173" s="1177"/>
      <c r="AB173" s="1177"/>
      <c r="AC173" s="1177"/>
      <c r="AD173" s="1177"/>
      <c r="AE173" s="1177"/>
      <c r="AF173" s="1177"/>
      <c r="AG173" s="1177"/>
      <c r="AH173" s="1177"/>
      <c r="AI173" s="1177"/>
      <c r="AJ173" s="1177"/>
      <c r="AK173" s="1177"/>
      <c r="AL173" s="1177"/>
      <c r="AM173" s="1177"/>
      <c r="AN173" s="1177"/>
      <c r="AO173" s="1177"/>
      <c r="AP173" s="1177"/>
      <c r="AQ173" s="1177"/>
      <c r="AR173" s="1177"/>
      <c r="AS173" s="1177"/>
      <c r="AT173" s="1177"/>
      <c r="AU173" s="1177"/>
      <c r="AV173" s="1177"/>
      <c r="AW173" s="1206"/>
    </row>
    <row r="174" spans="2:52">
      <c r="B174" s="1205"/>
      <c r="C174" s="1177"/>
      <c r="D174" s="1177"/>
      <c r="E174" s="1177"/>
      <c r="F174" s="1177"/>
      <c r="G174" s="1177"/>
      <c r="H174" s="1177"/>
      <c r="I174" s="1177"/>
      <c r="J174" s="1177"/>
      <c r="K174" s="1177"/>
      <c r="L174" s="1177"/>
      <c r="M174" s="1177"/>
      <c r="N174" s="1177"/>
      <c r="O174" s="1177"/>
      <c r="P174" s="1177"/>
      <c r="Q174" s="1177"/>
      <c r="R174" s="1177"/>
      <c r="S174" s="1177"/>
      <c r="T174" s="1177"/>
      <c r="U174" s="1177"/>
      <c r="V174" s="1177"/>
      <c r="W174" s="1177"/>
      <c r="X174" s="1177"/>
      <c r="Y174" s="1177"/>
      <c r="Z174" s="1177"/>
      <c r="AA174" s="1177"/>
      <c r="AB174" s="1177"/>
      <c r="AC174" s="1177"/>
      <c r="AD174" s="1177"/>
      <c r="AE174" s="1177"/>
      <c r="AF174" s="1177"/>
      <c r="AG174" s="1177"/>
      <c r="AH174" s="1177"/>
      <c r="AI174" s="1177"/>
      <c r="AJ174" s="1177"/>
      <c r="AK174" s="1177"/>
      <c r="AL174" s="1177"/>
      <c r="AM174" s="1177"/>
      <c r="AN174" s="1177"/>
      <c r="AO174" s="1177"/>
      <c r="AP174" s="1177"/>
      <c r="AQ174" s="1177"/>
      <c r="AR174" s="1177"/>
      <c r="AS174" s="1177"/>
      <c r="AT174" s="1177"/>
      <c r="AU174" s="1177"/>
      <c r="AV174" s="1177"/>
      <c r="AW174" s="1206"/>
    </row>
    <row r="175" spans="2:52" ht="11.25" thickBot="1">
      <c r="B175" s="1183" t="s">
        <v>1373</v>
      </c>
      <c r="C175" s="1184"/>
      <c r="D175" s="1203">
        <f ca="1">SUM(H175:AW175)</f>
        <v>31015766319.895771</v>
      </c>
      <c r="E175" s="1184"/>
      <c r="F175" s="1184"/>
      <c r="G175" s="1184"/>
      <c r="H175" s="1204">
        <f ca="1">H168+H171</f>
        <v>-70102905.813352689</v>
      </c>
      <c r="I175" s="1204">
        <f t="shared" ref="I175:AW175" ca="1" si="34">I168+I171</f>
        <v>-334412692.28926849</v>
      </c>
      <c r="J175" s="1204">
        <f t="shared" ca="1" si="34"/>
        <v>303839263.14540601</v>
      </c>
      <c r="K175" s="1204">
        <f t="shared" ca="1" si="34"/>
        <v>674269407.26077497</v>
      </c>
      <c r="L175" s="1204">
        <f t="shared" ca="1" si="34"/>
        <v>776538488.72148335</v>
      </c>
      <c r="M175" s="1204">
        <f t="shared" ca="1" si="34"/>
        <v>843442013.65296185</v>
      </c>
      <c r="N175" s="1204">
        <f t="shared" ca="1" si="34"/>
        <v>907244286.16951084</v>
      </c>
      <c r="O175" s="1204">
        <f t="shared" ca="1" si="34"/>
        <v>962516403.10042095</v>
      </c>
      <c r="P175" s="1204">
        <f t="shared" ca="1" si="34"/>
        <v>1020520389.7446808</v>
      </c>
      <c r="Q175" s="1204">
        <f t="shared" ca="1" si="34"/>
        <v>1082431311.3540976</v>
      </c>
      <c r="R175" s="1204">
        <f t="shared" ca="1" si="34"/>
        <v>1146469140.1495709</v>
      </c>
      <c r="S175" s="1204">
        <f t="shared" ca="1" si="34"/>
        <v>1215852763.8347178</v>
      </c>
      <c r="T175" s="1204">
        <f t="shared" ca="1" si="34"/>
        <v>1288815961.4594805</v>
      </c>
      <c r="U175" s="1204">
        <f t="shared" ca="1" si="34"/>
        <v>1366632210.2166152</v>
      </c>
      <c r="V175" s="1204">
        <f t="shared" ca="1" si="34"/>
        <v>1447489287.4108047</v>
      </c>
      <c r="W175" s="1204">
        <f t="shared" ca="1" si="34"/>
        <v>952068915.73226643</v>
      </c>
      <c r="X175" s="1204">
        <f t="shared" ca="1" si="34"/>
        <v>984232883.00944769</v>
      </c>
      <c r="Y175" s="1204">
        <f t="shared" ca="1" si="34"/>
        <v>1020224988.6237568</v>
      </c>
      <c r="Z175" s="1204">
        <f t="shared" ca="1" si="34"/>
        <v>1055659094.8248628</v>
      </c>
      <c r="AA175" s="1204">
        <f t="shared" ca="1" si="34"/>
        <v>1093848623.7932334</v>
      </c>
      <c r="AB175" s="1204">
        <f t="shared" ca="1" si="34"/>
        <v>1132630614.7038119</v>
      </c>
      <c r="AC175" s="1204">
        <f t="shared" ca="1" si="34"/>
        <v>1173161142.2476315</v>
      </c>
      <c r="AD175" s="1204">
        <f t="shared" ca="1" si="34"/>
        <v>1213185787.4558392</v>
      </c>
      <c r="AE175" s="1204">
        <f t="shared" ca="1" si="34"/>
        <v>1256189798.7900074</v>
      </c>
      <c r="AF175" s="1204">
        <f t="shared" ca="1" si="34"/>
        <v>1299903343.7688665</v>
      </c>
      <c r="AG175" s="1204">
        <f t="shared" ca="1" si="34"/>
        <v>1345544796.3205857</v>
      </c>
      <c r="AH175" s="1204">
        <f t="shared" ca="1" si="34"/>
        <v>1390743617.1209233</v>
      </c>
      <c r="AI175" s="1204">
        <f t="shared" ca="1" si="34"/>
        <v>1439171886.3838124</v>
      </c>
      <c r="AJ175" s="1204">
        <f t="shared" ca="1" si="34"/>
        <v>1488442314.7442942</v>
      </c>
      <c r="AK175" s="1204">
        <f t="shared" ca="1" si="34"/>
        <v>1539213184.2585313</v>
      </c>
      <c r="AL175" s="1204">
        <f t="shared" si="34"/>
        <v>0</v>
      </c>
      <c r="AM175" s="1204">
        <f t="shared" si="34"/>
        <v>0</v>
      </c>
      <c r="AN175" s="1204">
        <f t="shared" si="34"/>
        <v>0</v>
      </c>
      <c r="AO175" s="1204">
        <f t="shared" si="34"/>
        <v>0</v>
      </c>
      <c r="AP175" s="1204">
        <f t="shared" si="34"/>
        <v>0</v>
      </c>
      <c r="AQ175" s="1204">
        <f t="shared" si="34"/>
        <v>0</v>
      </c>
      <c r="AR175" s="1204">
        <f t="shared" si="34"/>
        <v>0</v>
      </c>
      <c r="AS175" s="1204">
        <f t="shared" si="34"/>
        <v>0</v>
      </c>
      <c r="AT175" s="1204">
        <f t="shared" si="34"/>
        <v>0</v>
      </c>
      <c r="AU175" s="1204">
        <f t="shared" si="34"/>
        <v>0</v>
      </c>
      <c r="AV175" s="1204">
        <f t="shared" si="34"/>
        <v>0</v>
      </c>
      <c r="AW175" s="1204">
        <f t="shared" si="34"/>
        <v>0</v>
      </c>
    </row>
    <row r="176" spans="2:52" ht="11.25" thickBot="1"/>
    <row r="177" spans="2:52">
      <c r="B177" s="1188" t="s">
        <v>1374</v>
      </c>
      <c r="C177" s="1179"/>
      <c r="D177" s="1179"/>
      <c r="E177" s="1179"/>
      <c r="F177" s="1179"/>
      <c r="G177" s="1179"/>
      <c r="H177" s="1179"/>
      <c r="I177" s="1179"/>
      <c r="J177" s="1179"/>
      <c r="K177" s="1179"/>
      <c r="L177" s="1179"/>
      <c r="M177" s="1179"/>
      <c r="N177" s="1179"/>
      <c r="O177" s="1179"/>
      <c r="P177" s="1179"/>
      <c r="Q177" s="1179"/>
      <c r="R177" s="1179"/>
      <c r="S177" s="1179"/>
      <c r="T177" s="1179"/>
      <c r="U177" s="1179"/>
      <c r="V177" s="1179"/>
      <c r="W177" s="1179"/>
      <c r="X177" s="1179"/>
      <c r="Y177" s="1179"/>
      <c r="Z177" s="1179"/>
      <c r="AA177" s="1179"/>
      <c r="AB177" s="1179"/>
      <c r="AC177" s="1179"/>
      <c r="AD177" s="1179"/>
      <c r="AE177" s="1179"/>
      <c r="AF177" s="1179"/>
      <c r="AG177" s="1179"/>
      <c r="AH177" s="1179"/>
      <c r="AI177" s="1179"/>
      <c r="AJ177" s="1179"/>
      <c r="AK177" s="1179"/>
      <c r="AL177" s="1179"/>
      <c r="AM177" s="1179"/>
      <c r="AN177" s="1179"/>
      <c r="AO177" s="1179"/>
      <c r="AP177" s="1179"/>
      <c r="AQ177" s="1179"/>
      <c r="AR177" s="1179"/>
      <c r="AS177" s="1179"/>
      <c r="AT177" s="1179"/>
      <c r="AU177" s="1179"/>
      <c r="AV177" s="1179"/>
      <c r="AW177" s="1180"/>
    </row>
    <row r="178" spans="2:52">
      <c r="B178" s="1181" t="s">
        <v>1375</v>
      </c>
      <c r="C178" s="79"/>
      <c r="D178" s="1198">
        <f ca="1">SUM(H178:AW178)</f>
        <v>31425178623.684109</v>
      </c>
      <c r="E178" s="79"/>
      <c r="F178" s="79"/>
      <c r="G178" s="79"/>
      <c r="H178" s="109">
        <f ca="1">Returns!I42</f>
        <v>-715288869.70235205</v>
      </c>
      <c r="I178" s="109">
        <f ca="1">Returns!J42</f>
        <v>-2555302134.1949363</v>
      </c>
      <c r="J178" s="109">
        <f ca="1">Returns!K42</f>
        <v>-369794299.88087118</v>
      </c>
      <c r="K178" s="109">
        <f ca="1">Returns!L42</f>
        <v>1098825625.1228125</v>
      </c>
      <c r="L178" s="109">
        <f ca="1">Returns!M42</f>
        <v>1287138816.7670498</v>
      </c>
      <c r="M178" s="109">
        <f ca="1">Returns!N42</f>
        <v>1235142969.2183952</v>
      </c>
      <c r="N178" s="109">
        <f ca="1">Returns!O42</f>
        <v>1311538698.7171669</v>
      </c>
      <c r="O178" s="109">
        <f ca="1">Returns!P42</f>
        <v>1378423205.9664679</v>
      </c>
      <c r="P178" s="109">
        <f ca="1">Returns!Q42</f>
        <v>1446283930.695797</v>
      </c>
      <c r="Q178" s="109">
        <f ca="1">Returns!R42</f>
        <v>1256061193.4168353</v>
      </c>
      <c r="R178" s="109">
        <f ca="1">Returns!S42</f>
        <v>1207884203.90569</v>
      </c>
      <c r="S178" s="109">
        <f ca="1">Returns!T42</f>
        <v>1272352254.8749526</v>
      </c>
      <c r="T178" s="109">
        <f ca="1">Returns!U42</f>
        <v>1340189102.7203531</v>
      </c>
      <c r="U178" s="109">
        <f ca="1">Returns!V42</f>
        <v>1413538180.374898</v>
      </c>
      <c r="V178" s="109">
        <f ca="1">Returns!W42</f>
        <v>1488162019.2188802</v>
      </c>
      <c r="W178" s="109">
        <f ca="1">Returns!X42</f>
        <v>1095516892.2922254</v>
      </c>
      <c r="X178" s="109">
        <f ca="1">Returns!Y42</f>
        <v>1029475513.2958392</v>
      </c>
      <c r="Y178" s="109">
        <f ca="1">Returns!Z42</f>
        <v>1064963715.097106</v>
      </c>
      <c r="Z178" s="109">
        <f ca="1">Returns!AA42</f>
        <v>1098639069.1592007</v>
      </c>
      <c r="AA178" s="109">
        <f ca="1">Returns!AB42</f>
        <v>1136243625.7467225</v>
      </c>
      <c r="AB178" s="109">
        <f ca="1">Returns!AC42</f>
        <v>1173806114.2695174</v>
      </c>
      <c r="AC178" s="109">
        <f ca="1">Returns!AD42</f>
        <v>1213404756.3520699</v>
      </c>
      <c r="AD178" s="109">
        <f ca="1">Returns!AE42</f>
        <v>1250661968.0802062</v>
      </c>
      <c r="AE178" s="109">
        <f ca="1">Returns!AF42</f>
        <v>1292310791.630621</v>
      </c>
      <c r="AF178" s="109">
        <f ca="1">Returns!AG42</f>
        <v>1334032388.9405365</v>
      </c>
      <c r="AG178" s="109">
        <f ca="1">Returns!AH42</f>
        <v>1378145502.7477803</v>
      </c>
      <c r="AH178" s="109">
        <f ca="1">Returns!AI42</f>
        <v>1419714231.8299141</v>
      </c>
      <c r="AI178" s="109">
        <f ca="1">Returns!AJ42</f>
        <v>1466299310.4180112</v>
      </c>
      <c r="AJ178" s="109">
        <f ca="1">Returns!AK42</f>
        <v>1502759440.8589549</v>
      </c>
      <c r="AK178" s="109">
        <f ca="1">Returns!AL42</f>
        <v>1874050405.7442648</v>
      </c>
      <c r="AL178" s="109">
        <f>Returns!AM42</f>
        <v>0</v>
      </c>
      <c r="AM178" s="109">
        <f>Returns!AN42</f>
        <v>0</v>
      </c>
      <c r="AN178" s="109">
        <f>Returns!AO42</f>
        <v>0</v>
      </c>
      <c r="AO178" s="109">
        <f>Returns!AP42</f>
        <v>0</v>
      </c>
      <c r="AP178" s="109">
        <f>Returns!AQ42</f>
        <v>0</v>
      </c>
      <c r="AQ178" s="109">
        <f>Returns!AR42</f>
        <v>0</v>
      </c>
      <c r="AR178" s="109">
        <f>Returns!AS42</f>
        <v>0</v>
      </c>
      <c r="AS178" s="109">
        <f>Returns!AT42</f>
        <v>0</v>
      </c>
      <c r="AT178" s="109">
        <f>Returns!AU42</f>
        <v>0</v>
      </c>
      <c r="AU178" s="109">
        <f>Returns!AV42</f>
        <v>0</v>
      </c>
      <c r="AV178" s="109">
        <f>Returns!AW42</f>
        <v>0</v>
      </c>
      <c r="AW178" s="109">
        <f>Returns!AX42</f>
        <v>0</v>
      </c>
      <c r="AX178" s="109">
        <f>Returns!AY42</f>
        <v>0</v>
      </c>
      <c r="AY178" s="109">
        <f>Returns!AZ42</f>
        <v>0</v>
      </c>
      <c r="AZ178" s="109">
        <f>Returns!BA42</f>
        <v>0</v>
      </c>
    </row>
    <row r="179" spans="2:52">
      <c r="B179" s="1181" t="s">
        <v>1376</v>
      </c>
      <c r="C179" s="79"/>
      <c r="D179" s="1198">
        <f>SUM(H179:AW179)</f>
        <v>4140451092.8002276</v>
      </c>
      <c r="E179" s="79"/>
      <c r="F179" s="79"/>
      <c r="G179" s="79"/>
      <c r="H179" s="79">
        <f>'Fixed Assets'!I35</f>
        <v>715288869.70235205</v>
      </c>
      <c r="I179" s="79">
        <f>'Fixed Assets'!J35</f>
        <v>2422388762.4588017</v>
      </c>
      <c r="J179" s="79">
        <f>'Fixed Assets'!K35</f>
        <v>1002773460.639074</v>
      </c>
      <c r="K179" s="79">
        <f>'Fixed Assets'!L35</f>
        <v>0</v>
      </c>
      <c r="L179" s="79"/>
      <c r="M179" s="79"/>
      <c r="N179" s="79"/>
      <c r="O179" s="79"/>
      <c r="P179" s="79"/>
      <c r="Q179" s="79"/>
      <c r="R179" s="79"/>
      <c r="S179" s="79"/>
      <c r="T179" s="79"/>
      <c r="U179" s="79"/>
      <c r="V179" s="79"/>
      <c r="W179" s="79"/>
      <c r="X179" s="79"/>
      <c r="Y179" s="79"/>
      <c r="Z179" s="79"/>
      <c r="AA179" s="79"/>
      <c r="AB179" s="79"/>
      <c r="AC179" s="79"/>
      <c r="AD179" s="79"/>
      <c r="AE179" s="79"/>
      <c r="AF179" s="79"/>
      <c r="AG179" s="79"/>
      <c r="AH179" s="79"/>
      <c r="AI179" s="79"/>
      <c r="AJ179" s="79"/>
      <c r="AK179" s="79"/>
      <c r="AL179" s="79"/>
      <c r="AM179" s="79"/>
      <c r="AN179" s="79"/>
      <c r="AO179" s="79"/>
      <c r="AP179" s="79"/>
      <c r="AQ179" s="79"/>
      <c r="AR179" s="79"/>
      <c r="AS179" s="79"/>
      <c r="AT179" s="79"/>
      <c r="AU179" s="79"/>
      <c r="AV179" s="79"/>
      <c r="AW179" s="1182"/>
    </row>
    <row r="180" spans="2:52" ht="11.25" thickBot="1">
      <c r="B180" s="1183" t="s">
        <v>1374</v>
      </c>
      <c r="C180" s="1184"/>
      <c r="D180" s="1207">
        <f ca="1">D178/D179</f>
        <v>7.5897958747366712</v>
      </c>
      <c r="E180" s="1184"/>
      <c r="F180" s="1184"/>
      <c r="G180" s="1184"/>
      <c r="H180" s="1184"/>
      <c r="I180" s="1184"/>
      <c r="J180" s="1184"/>
      <c r="K180" s="1184"/>
      <c r="L180" s="1184"/>
      <c r="M180" s="1184"/>
      <c r="N180" s="1184"/>
      <c r="O180" s="1184"/>
      <c r="P180" s="1184"/>
      <c r="Q180" s="1184"/>
      <c r="R180" s="1184"/>
      <c r="S180" s="1184"/>
      <c r="T180" s="1184"/>
      <c r="U180" s="1184"/>
      <c r="V180" s="1184"/>
      <c r="W180" s="1184"/>
      <c r="X180" s="1184"/>
      <c r="Y180" s="1184"/>
      <c r="Z180" s="1184"/>
      <c r="AA180" s="1184"/>
      <c r="AB180" s="1184"/>
      <c r="AC180" s="1184"/>
      <c r="AD180" s="1184"/>
      <c r="AE180" s="1184"/>
      <c r="AF180" s="1184"/>
      <c r="AG180" s="1184"/>
      <c r="AH180" s="1184"/>
      <c r="AI180" s="1184"/>
      <c r="AJ180" s="1184"/>
      <c r="AK180" s="1184"/>
      <c r="AL180" s="1184"/>
      <c r="AM180" s="1184"/>
      <c r="AN180" s="1184"/>
      <c r="AO180" s="1184"/>
      <c r="AP180" s="1184"/>
      <c r="AQ180" s="1184"/>
      <c r="AR180" s="1184"/>
      <c r="AS180" s="1184"/>
      <c r="AT180" s="1184"/>
      <c r="AU180" s="1184"/>
      <c r="AV180" s="1184"/>
      <c r="AW180" s="1185"/>
    </row>
  </sheetData>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9" tint="0.39997558519241921"/>
  </sheetPr>
  <dimension ref="A1:AX65"/>
  <sheetViews>
    <sheetView zoomScale="96" zoomScaleNormal="96" workbookViewId="0">
      <selection activeCell="A3" sqref="A3"/>
    </sheetView>
  </sheetViews>
  <sheetFormatPr defaultColWidth="9.14453125" defaultRowHeight="10.5"/>
  <cols>
    <col min="1" max="1" width="14.390625" style="2" customWidth="1"/>
    <col min="2" max="2" width="31.609375" style="2" customWidth="1"/>
    <col min="3" max="3" width="9.14453125" style="2"/>
    <col min="4" max="4" width="15.46875" style="2" customWidth="1"/>
    <col min="5" max="7" width="9.14453125" style="2"/>
    <col min="8" max="8" width="18.0234375" style="2" customWidth="1"/>
    <col min="9" max="9" width="15.06640625" style="2" bestFit="1" customWidth="1"/>
    <col min="10" max="10" width="13.98828125" style="2" customWidth="1"/>
    <col min="11" max="13" width="13.85546875" style="2" bestFit="1" customWidth="1"/>
    <col min="14" max="33" width="12.9140625" style="2" bestFit="1" customWidth="1"/>
    <col min="34" max="35" width="11.97265625" style="2" bestFit="1" customWidth="1"/>
    <col min="36" max="36" width="15.46875" style="2" customWidth="1"/>
    <col min="37" max="50" width="12.375" style="2" customWidth="1"/>
    <col min="51" max="16384" width="9.14453125" style="2"/>
  </cols>
  <sheetData>
    <row r="1" spans="1:49" s="2714" customFormat="1" ht="14.25">
      <c r="A1" s="3263" t="s">
        <v>672</v>
      </c>
      <c r="B1" s="3264"/>
      <c r="C1" s="3264"/>
      <c r="D1" s="3264"/>
      <c r="E1" s="3264"/>
      <c r="F1" s="3264"/>
      <c r="G1" s="3264"/>
      <c r="H1" s="3264"/>
      <c r="I1" s="3264"/>
      <c r="J1" s="3264"/>
      <c r="K1" s="3264"/>
      <c r="L1" s="3264"/>
      <c r="M1" s="3264"/>
      <c r="N1" s="3264"/>
      <c r="O1" s="3264"/>
      <c r="P1" s="3264"/>
      <c r="Q1" s="3264"/>
      <c r="R1" s="3264"/>
      <c r="S1" s="3264"/>
      <c r="T1" s="3264"/>
      <c r="U1" s="3264"/>
      <c r="V1" s="3264"/>
      <c r="W1" s="3264"/>
      <c r="X1" s="3264"/>
      <c r="Y1" s="3264"/>
      <c r="Z1" s="3264"/>
      <c r="AA1" s="3264"/>
      <c r="AB1" s="3264"/>
      <c r="AC1" s="3264"/>
      <c r="AD1" s="3264"/>
      <c r="AE1" s="3264"/>
      <c r="AF1" s="3264"/>
      <c r="AG1" s="3264"/>
      <c r="AH1" s="3264"/>
      <c r="AI1" s="3264"/>
      <c r="AJ1" s="3264"/>
      <c r="AK1" s="3264"/>
      <c r="AL1" s="3264"/>
      <c r="AM1" s="3264"/>
      <c r="AN1" s="3264"/>
      <c r="AO1" s="3264"/>
      <c r="AP1" s="3264"/>
      <c r="AQ1" s="3264"/>
      <c r="AR1" s="3264"/>
      <c r="AS1" s="3264"/>
      <c r="AT1" s="3264"/>
      <c r="AU1" s="3264"/>
      <c r="AV1" s="3264"/>
      <c r="AW1" s="3264"/>
    </row>
    <row r="2" spans="1:49" s="1663" customFormat="1" ht="11.25">
      <c r="A2" s="2725" t="s">
        <v>2397</v>
      </c>
      <c r="B2" s="2725"/>
      <c r="C2" s="2726"/>
      <c r="D2" s="2726"/>
      <c r="E2" s="2726"/>
      <c r="F2" s="2726"/>
      <c r="G2" s="2726"/>
      <c r="H2" s="2726" t="s">
        <v>0</v>
      </c>
      <c r="I2" s="3265">
        <f>'Timing &amp; Flags'!I2</f>
        <v>1</v>
      </c>
      <c r="J2" s="3265">
        <f>'Timing &amp; Flags'!J2</f>
        <v>2</v>
      </c>
      <c r="K2" s="3265">
        <f>'Timing &amp; Flags'!K2</f>
        <v>3</v>
      </c>
      <c r="L2" s="3265">
        <f>'Timing &amp; Flags'!L2</f>
        <v>4</v>
      </c>
      <c r="M2" s="3265">
        <f>'Timing &amp; Flags'!M2</f>
        <v>5</v>
      </c>
      <c r="N2" s="3265">
        <f>'Timing &amp; Flags'!N2</f>
        <v>6</v>
      </c>
      <c r="O2" s="3265">
        <f>'Timing &amp; Flags'!O2</f>
        <v>7</v>
      </c>
      <c r="P2" s="3265">
        <f>'Timing &amp; Flags'!P2</f>
        <v>8</v>
      </c>
      <c r="Q2" s="3265">
        <f>'Timing &amp; Flags'!Q2</f>
        <v>9</v>
      </c>
      <c r="R2" s="3265">
        <f>'Timing &amp; Flags'!R2</f>
        <v>10</v>
      </c>
      <c r="S2" s="3265">
        <f>'Timing &amp; Flags'!S2</f>
        <v>11</v>
      </c>
      <c r="T2" s="3265">
        <f>'Timing &amp; Flags'!T2</f>
        <v>12</v>
      </c>
      <c r="U2" s="3265">
        <f>'Timing &amp; Flags'!U2</f>
        <v>13</v>
      </c>
      <c r="V2" s="3265">
        <f>'Timing &amp; Flags'!V2</f>
        <v>14</v>
      </c>
      <c r="W2" s="3265">
        <f>'Timing &amp; Flags'!W2</f>
        <v>15</v>
      </c>
      <c r="X2" s="3265">
        <f>'Timing &amp; Flags'!X2</f>
        <v>16</v>
      </c>
      <c r="Y2" s="3265">
        <f>'Timing &amp; Flags'!Y2</f>
        <v>17</v>
      </c>
      <c r="Z2" s="3265">
        <f>'Timing &amp; Flags'!Z2</f>
        <v>18</v>
      </c>
      <c r="AA2" s="3265">
        <f>'Timing &amp; Flags'!AA2</f>
        <v>19</v>
      </c>
      <c r="AB2" s="3265">
        <f>'Timing &amp; Flags'!AB2</f>
        <v>20</v>
      </c>
      <c r="AC2" s="3265">
        <f>'Timing &amp; Flags'!AC2</f>
        <v>21</v>
      </c>
      <c r="AD2" s="3265">
        <f>'Timing &amp; Flags'!AD2</f>
        <v>22</v>
      </c>
      <c r="AE2" s="3265">
        <f>'Timing &amp; Flags'!AE2</f>
        <v>23</v>
      </c>
      <c r="AF2" s="3265">
        <f>'Timing &amp; Flags'!AF2</f>
        <v>24</v>
      </c>
      <c r="AG2" s="3265">
        <f>'Timing &amp; Flags'!AG2</f>
        <v>25</v>
      </c>
      <c r="AH2" s="3265">
        <f>'Timing &amp; Flags'!AH2</f>
        <v>26</v>
      </c>
      <c r="AI2" s="3265">
        <f>'Timing &amp; Flags'!AI2</f>
        <v>27</v>
      </c>
      <c r="AJ2" s="3265">
        <f>'Timing &amp; Flags'!AJ2</f>
        <v>28</v>
      </c>
      <c r="AK2" s="3265">
        <f>'Timing &amp; Flags'!AK2</f>
        <v>29</v>
      </c>
      <c r="AL2" s="3265">
        <f>'Timing &amp; Flags'!AL2</f>
        <v>30</v>
      </c>
      <c r="AM2" s="3265">
        <f>'Timing &amp; Flags'!AM2</f>
        <v>31</v>
      </c>
      <c r="AN2" s="3265">
        <f>'Timing &amp; Flags'!AN2</f>
        <v>32</v>
      </c>
      <c r="AO2" s="3265">
        <f>'Timing &amp; Flags'!AO2</f>
        <v>33</v>
      </c>
      <c r="AP2" s="3265">
        <f>'Timing &amp; Flags'!AP2</f>
        <v>34</v>
      </c>
      <c r="AQ2" s="3265">
        <f>'Timing &amp; Flags'!AQ2</f>
        <v>35</v>
      </c>
      <c r="AR2" s="3265">
        <f>'Timing &amp; Flags'!AR2</f>
        <v>36</v>
      </c>
      <c r="AS2" s="3265">
        <f>'Timing &amp; Flags'!AS2</f>
        <v>37</v>
      </c>
      <c r="AT2" s="3265">
        <f>'Timing &amp; Flags'!AT2</f>
        <v>38</v>
      </c>
      <c r="AU2" s="3265">
        <f>'Timing &amp; Flags'!AU2</f>
        <v>39</v>
      </c>
      <c r="AV2" s="3265">
        <f>'Timing &amp; Flags'!AV2</f>
        <v>40</v>
      </c>
      <c r="AW2" s="3265">
        <f>'Timing &amp; Flags'!AW2</f>
        <v>41</v>
      </c>
    </row>
    <row r="3" spans="1:49" s="1663" customFormat="1" ht="11.25">
      <c r="A3" s="2725" t="s">
        <v>2395</v>
      </c>
      <c r="B3" s="2726"/>
      <c r="C3" s="2726"/>
      <c r="D3" s="2726"/>
      <c r="E3" s="2726"/>
      <c r="F3" s="2726"/>
      <c r="G3" s="2726"/>
      <c r="H3" s="2726" t="s">
        <v>1</v>
      </c>
      <c r="I3" s="3266">
        <f>'Timing &amp; Flags'!I3</f>
        <v>46023</v>
      </c>
      <c r="J3" s="3266">
        <f>'Timing &amp; Flags'!J3</f>
        <v>46388</v>
      </c>
      <c r="K3" s="3266">
        <f>'Timing &amp; Flags'!K3</f>
        <v>46753</v>
      </c>
      <c r="L3" s="3266">
        <f>'Timing &amp; Flags'!L3</f>
        <v>47119</v>
      </c>
      <c r="M3" s="3266">
        <f>'Timing &amp; Flags'!M3</f>
        <v>47484</v>
      </c>
      <c r="N3" s="3266">
        <f>'Timing &amp; Flags'!N3</f>
        <v>47849</v>
      </c>
      <c r="O3" s="3266">
        <f>'Timing &amp; Flags'!O3</f>
        <v>48214</v>
      </c>
      <c r="P3" s="3266">
        <f>'Timing &amp; Flags'!P3</f>
        <v>48580</v>
      </c>
      <c r="Q3" s="3266">
        <f>'Timing &amp; Flags'!Q3</f>
        <v>48945</v>
      </c>
      <c r="R3" s="3266">
        <f>'Timing &amp; Flags'!R3</f>
        <v>49310</v>
      </c>
      <c r="S3" s="3266">
        <f>'Timing &amp; Flags'!S3</f>
        <v>49675</v>
      </c>
      <c r="T3" s="3266">
        <f>'Timing &amp; Flags'!T3</f>
        <v>50041</v>
      </c>
      <c r="U3" s="3266">
        <f>'Timing &amp; Flags'!U3</f>
        <v>50406</v>
      </c>
      <c r="V3" s="3266">
        <f>'Timing &amp; Flags'!V3</f>
        <v>50771</v>
      </c>
      <c r="W3" s="3266">
        <f>'Timing &amp; Flags'!W3</f>
        <v>51136</v>
      </c>
      <c r="X3" s="3266">
        <f>'Timing &amp; Flags'!X3</f>
        <v>51502</v>
      </c>
      <c r="Y3" s="3266">
        <f>'Timing &amp; Flags'!Y3</f>
        <v>51867</v>
      </c>
      <c r="Z3" s="3266">
        <f>'Timing &amp; Flags'!Z3</f>
        <v>52232</v>
      </c>
      <c r="AA3" s="3266">
        <f>'Timing &amp; Flags'!AA3</f>
        <v>52597</v>
      </c>
      <c r="AB3" s="3266">
        <f>'Timing &amp; Flags'!AB3</f>
        <v>52963</v>
      </c>
      <c r="AC3" s="3266">
        <f>'Timing &amp; Flags'!AC3</f>
        <v>53328</v>
      </c>
      <c r="AD3" s="3266">
        <f>'Timing &amp; Flags'!AD3</f>
        <v>53693</v>
      </c>
      <c r="AE3" s="3266">
        <f>'Timing &amp; Flags'!AE3</f>
        <v>54058</v>
      </c>
      <c r="AF3" s="3266">
        <f>'Timing &amp; Flags'!AF3</f>
        <v>54424</v>
      </c>
      <c r="AG3" s="3266">
        <f>'Timing &amp; Flags'!AG3</f>
        <v>54789</v>
      </c>
      <c r="AH3" s="3266">
        <f>'Timing &amp; Flags'!AH3</f>
        <v>55154</v>
      </c>
      <c r="AI3" s="3266">
        <f>'Timing &amp; Flags'!AI3</f>
        <v>55519</v>
      </c>
      <c r="AJ3" s="3266">
        <f>'Timing &amp; Flags'!AJ3</f>
        <v>55885</v>
      </c>
      <c r="AK3" s="3266">
        <f>'Timing &amp; Flags'!AK3</f>
        <v>56250</v>
      </c>
      <c r="AL3" s="3266">
        <f>'Timing &amp; Flags'!AL3</f>
        <v>56615</v>
      </c>
      <c r="AM3" s="3266">
        <f>'Timing &amp; Flags'!AM3</f>
        <v>56980</v>
      </c>
      <c r="AN3" s="3266">
        <f>'Timing &amp; Flags'!AN3</f>
        <v>57346</v>
      </c>
      <c r="AO3" s="3266">
        <f>'Timing &amp; Flags'!AO3</f>
        <v>57711</v>
      </c>
      <c r="AP3" s="3266">
        <f>'Timing &amp; Flags'!AP3</f>
        <v>58076</v>
      </c>
      <c r="AQ3" s="3266">
        <f>'Timing &amp; Flags'!AQ3</f>
        <v>58441</v>
      </c>
      <c r="AR3" s="3266">
        <f>'Timing &amp; Flags'!AR3</f>
        <v>58807</v>
      </c>
      <c r="AS3" s="3266">
        <f>'Timing &amp; Flags'!AS3</f>
        <v>59172</v>
      </c>
      <c r="AT3" s="3266">
        <f>'Timing &amp; Flags'!AT3</f>
        <v>59537</v>
      </c>
      <c r="AU3" s="3266">
        <f>'Timing &amp; Flags'!AU3</f>
        <v>59902</v>
      </c>
      <c r="AV3" s="3266">
        <f>'Timing &amp; Flags'!AV3</f>
        <v>60268</v>
      </c>
      <c r="AW3" s="3266">
        <f>'Timing &amp; Flags'!AW3</f>
        <v>60633</v>
      </c>
    </row>
    <row r="4" spans="1:49" s="1663" customFormat="1" ht="11.25">
      <c r="A4" s="2726" t="s">
        <v>849</v>
      </c>
      <c r="B4" s="2726"/>
      <c r="C4" s="2726"/>
      <c r="D4" s="2726"/>
      <c r="E4" s="2726"/>
      <c r="F4" s="2726"/>
      <c r="G4" s="2726"/>
      <c r="H4" s="2726" t="s">
        <v>2</v>
      </c>
      <c r="I4" s="3267">
        <f>'Timing &amp; Flags'!I4</f>
        <v>46387</v>
      </c>
      <c r="J4" s="3267">
        <f>'Timing &amp; Flags'!J4</f>
        <v>46752</v>
      </c>
      <c r="K4" s="3267">
        <f>'Timing &amp; Flags'!K4</f>
        <v>47118</v>
      </c>
      <c r="L4" s="3267">
        <f>'Timing &amp; Flags'!L4</f>
        <v>47483</v>
      </c>
      <c r="M4" s="3267">
        <f>'Timing &amp; Flags'!M4</f>
        <v>47848</v>
      </c>
      <c r="N4" s="3267">
        <f>'Timing &amp; Flags'!N4</f>
        <v>48213</v>
      </c>
      <c r="O4" s="3267">
        <f>'Timing &amp; Flags'!O4</f>
        <v>48579</v>
      </c>
      <c r="P4" s="3267">
        <f>'Timing &amp; Flags'!P4</f>
        <v>48944</v>
      </c>
      <c r="Q4" s="3267">
        <f>'Timing &amp; Flags'!Q4</f>
        <v>49309</v>
      </c>
      <c r="R4" s="3267">
        <f>'Timing &amp; Flags'!R4</f>
        <v>49674</v>
      </c>
      <c r="S4" s="3267">
        <f>'Timing &amp; Flags'!S4</f>
        <v>50040</v>
      </c>
      <c r="T4" s="3267">
        <f>'Timing &amp; Flags'!T4</f>
        <v>50405</v>
      </c>
      <c r="U4" s="3267">
        <f>'Timing &amp; Flags'!U4</f>
        <v>50770</v>
      </c>
      <c r="V4" s="3267">
        <f>'Timing &amp; Flags'!V4</f>
        <v>51135</v>
      </c>
      <c r="W4" s="3267">
        <f>'Timing &amp; Flags'!W4</f>
        <v>51501</v>
      </c>
      <c r="X4" s="3267">
        <f>'Timing &amp; Flags'!X4</f>
        <v>51866</v>
      </c>
      <c r="Y4" s="3267">
        <f>'Timing &amp; Flags'!Y4</f>
        <v>52231</v>
      </c>
      <c r="Z4" s="3267">
        <f>'Timing &amp; Flags'!Z4</f>
        <v>52596</v>
      </c>
      <c r="AA4" s="3267">
        <f>'Timing &amp; Flags'!AA4</f>
        <v>52962</v>
      </c>
      <c r="AB4" s="3267">
        <f>'Timing &amp; Flags'!AB4</f>
        <v>53327</v>
      </c>
      <c r="AC4" s="3267">
        <f>'Timing &amp; Flags'!AC4</f>
        <v>53692</v>
      </c>
      <c r="AD4" s="3267">
        <f>'Timing &amp; Flags'!AD4</f>
        <v>54057</v>
      </c>
      <c r="AE4" s="3267">
        <f>'Timing &amp; Flags'!AE4</f>
        <v>54423</v>
      </c>
      <c r="AF4" s="3267">
        <f>'Timing &amp; Flags'!AF4</f>
        <v>54788</v>
      </c>
      <c r="AG4" s="3267">
        <f>'Timing &amp; Flags'!AG4</f>
        <v>55153</v>
      </c>
      <c r="AH4" s="3267">
        <f>'Timing &amp; Flags'!AH4</f>
        <v>55518</v>
      </c>
      <c r="AI4" s="3267">
        <f>'Timing &amp; Flags'!AI4</f>
        <v>55884</v>
      </c>
      <c r="AJ4" s="3267">
        <f>'Timing &amp; Flags'!AJ4</f>
        <v>56249</v>
      </c>
      <c r="AK4" s="3267">
        <f>'Timing &amp; Flags'!AK4</f>
        <v>56614</v>
      </c>
      <c r="AL4" s="3267">
        <f>'Timing &amp; Flags'!AL4</f>
        <v>56979</v>
      </c>
      <c r="AM4" s="3267">
        <f>'Timing &amp; Flags'!AM4</f>
        <v>57345</v>
      </c>
      <c r="AN4" s="3267">
        <f>'Timing &amp; Flags'!AN4</f>
        <v>57710</v>
      </c>
      <c r="AO4" s="3267">
        <f>'Timing &amp; Flags'!AO4</f>
        <v>58075</v>
      </c>
      <c r="AP4" s="3267">
        <f>'Timing &amp; Flags'!AP4</f>
        <v>58440</v>
      </c>
      <c r="AQ4" s="3267">
        <f>'Timing &amp; Flags'!AQ4</f>
        <v>58806</v>
      </c>
      <c r="AR4" s="3267">
        <f>'Timing &amp; Flags'!AR4</f>
        <v>59171</v>
      </c>
      <c r="AS4" s="3267">
        <f>'Timing &amp; Flags'!AS4</f>
        <v>59536</v>
      </c>
      <c r="AT4" s="3267">
        <f>'Timing &amp; Flags'!AT4</f>
        <v>59901</v>
      </c>
      <c r="AU4" s="3267">
        <f>'Timing &amp; Flags'!AU4</f>
        <v>60267</v>
      </c>
      <c r="AV4" s="3267">
        <f>'Timing &amp; Flags'!AV4</f>
        <v>60632</v>
      </c>
      <c r="AW4" s="3267">
        <f>'Timing &amp; Flags'!AW4</f>
        <v>60997</v>
      </c>
    </row>
    <row r="5" spans="1:49" s="1663" customFormat="1" ht="11.25">
      <c r="A5" s="2726" t="s">
        <v>640</v>
      </c>
      <c r="B5" s="2726"/>
      <c r="C5" s="2726"/>
      <c r="D5" s="2726"/>
      <c r="E5" s="2726"/>
      <c r="F5" s="2726"/>
      <c r="G5" s="2726"/>
      <c r="H5" s="2726" t="s">
        <v>3</v>
      </c>
      <c r="I5" s="3268">
        <f ca="1">'Timing &amp; Flags'!I5</f>
        <v>365</v>
      </c>
      <c r="J5" s="3268">
        <f ca="1">'Timing &amp; Flags'!J5</f>
        <v>366</v>
      </c>
      <c r="K5" s="3268">
        <f ca="1">'Timing &amp; Flags'!K5</f>
        <v>365</v>
      </c>
      <c r="L5" s="3268">
        <f ca="1">'Timing &amp; Flags'!L5</f>
        <v>365</v>
      </c>
      <c r="M5" s="3268">
        <f ca="1">'Timing &amp; Flags'!M5</f>
        <v>365</v>
      </c>
      <c r="N5" s="3268">
        <f ca="1">'Timing &amp; Flags'!N5</f>
        <v>366</v>
      </c>
      <c r="O5" s="3268">
        <f ca="1">'Timing &amp; Flags'!O5</f>
        <v>365</v>
      </c>
      <c r="P5" s="3268">
        <f ca="1">'Timing &amp; Flags'!P5</f>
        <v>365</v>
      </c>
      <c r="Q5" s="3268">
        <f ca="1">'Timing &amp; Flags'!Q5</f>
        <v>365</v>
      </c>
      <c r="R5" s="3268">
        <f ca="1">'Timing &amp; Flags'!R5</f>
        <v>366</v>
      </c>
      <c r="S5" s="3268">
        <f ca="1">'Timing &amp; Flags'!S5</f>
        <v>365</v>
      </c>
      <c r="T5" s="3268">
        <f ca="1">'Timing &amp; Flags'!T5</f>
        <v>365</v>
      </c>
      <c r="U5" s="3268">
        <f ca="1">'Timing &amp; Flags'!U5</f>
        <v>365</v>
      </c>
      <c r="V5" s="3268">
        <f ca="1">'Timing &amp; Flags'!V5</f>
        <v>366</v>
      </c>
      <c r="W5" s="3268">
        <f ca="1">'Timing &amp; Flags'!W5</f>
        <v>365</v>
      </c>
      <c r="X5" s="3268">
        <f ca="1">'Timing &amp; Flags'!X5</f>
        <v>365</v>
      </c>
      <c r="Y5" s="3268">
        <f ca="1">'Timing &amp; Flags'!Y5</f>
        <v>365</v>
      </c>
      <c r="Z5" s="3268">
        <f ca="1">'Timing &amp; Flags'!Z5</f>
        <v>366</v>
      </c>
      <c r="AA5" s="3268">
        <f ca="1">'Timing &amp; Flags'!AA5</f>
        <v>365</v>
      </c>
      <c r="AB5" s="3268">
        <f ca="1">'Timing &amp; Flags'!AB5</f>
        <v>365</v>
      </c>
      <c r="AC5" s="3268">
        <f ca="1">'Timing &amp; Flags'!AC5</f>
        <v>365</v>
      </c>
      <c r="AD5" s="3268">
        <f ca="1">'Timing &amp; Flags'!AD5</f>
        <v>366</v>
      </c>
      <c r="AE5" s="3268">
        <f ca="1">'Timing &amp; Flags'!AE5</f>
        <v>365</v>
      </c>
      <c r="AF5" s="3268">
        <f ca="1">'Timing &amp; Flags'!AF5</f>
        <v>365</v>
      </c>
      <c r="AG5" s="3268">
        <f ca="1">'Timing &amp; Flags'!AG5</f>
        <v>365</v>
      </c>
      <c r="AH5" s="3268">
        <f ca="1">'Timing &amp; Flags'!AH5</f>
        <v>366</v>
      </c>
      <c r="AI5" s="3268">
        <f ca="1">'Timing &amp; Flags'!AI5</f>
        <v>365</v>
      </c>
      <c r="AJ5" s="3268">
        <f ca="1">'Timing &amp; Flags'!AJ5</f>
        <v>365</v>
      </c>
      <c r="AK5" s="3268">
        <f ca="1">'Timing &amp; Flags'!AK5</f>
        <v>365</v>
      </c>
      <c r="AL5" s="3268">
        <f ca="1">'Timing &amp; Flags'!AL5</f>
        <v>365</v>
      </c>
      <c r="AM5" s="3268">
        <f ca="1">'Timing &amp; Flags'!AM5</f>
        <v>365</v>
      </c>
      <c r="AN5" s="3268">
        <f ca="1">'Timing &amp; Flags'!AN5</f>
        <v>365</v>
      </c>
      <c r="AO5" s="3268">
        <f ca="1">'Timing &amp; Flags'!AO5</f>
        <v>365</v>
      </c>
      <c r="AP5" s="3268">
        <f ca="1">'Timing &amp; Flags'!AP5</f>
        <v>365</v>
      </c>
      <c r="AQ5" s="3268">
        <f ca="1">'Timing &amp; Flags'!AQ5</f>
        <v>365</v>
      </c>
      <c r="AR5" s="3268">
        <f ca="1">'Timing &amp; Flags'!AR5</f>
        <v>365</v>
      </c>
      <c r="AS5" s="3268">
        <f ca="1">'Timing &amp; Flags'!AS5</f>
        <v>365</v>
      </c>
      <c r="AT5" s="3268">
        <f ca="1">'Timing &amp; Flags'!AT5</f>
        <v>365</v>
      </c>
      <c r="AU5" s="3268">
        <f ca="1">'Timing &amp; Flags'!AU5</f>
        <v>365</v>
      </c>
      <c r="AV5" s="3268">
        <f ca="1">'Timing &amp; Flags'!AV5</f>
        <v>365</v>
      </c>
      <c r="AW5" s="3268">
        <f ca="1">'Timing &amp; Flags'!AW5</f>
        <v>365</v>
      </c>
    </row>
    <row r="7" spans="1:49">
      <c r="A7" s="6" t="s">
        <v>258</v>
      </c>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9" spans="1:49">
      <c r="B9" s="10" t="s">
        <v>210</v>
      </c>
    </row>
    <row r="10" spans="1:49">
      <c r="B10" s="586" t="s">
        <v>58</v>
      </c>
    </row>
    <row r="11" spans="1:49">
      <c r="B11" s="2" t="s">
        <v>59</v>
      </c>
      <c r="C11" s="15" t="s">
        <v>60</v>
      </c>
      <c r="D11" s="42">
        <f>SUM(I11:AI11)</f>
        <v>1</v>
      </c>
      <c r="I11" s="41">
        <f>'Timing &amp; Flags'!I36</f>
        <v>1</v>
      </c>
      <c r="J11" s="41">
        <f>'Timing &amp; Flags'!J36</f>
        <v>0</v>
      </c>
      <c r="K11" s="41">
        <f>'Timing &amp; Flags'!K36</f>
        <v>0</v>
      </c>
      <c r="L11" s="41">
        <f>'Timing &amp; Flags'!L36</f>
        <v>0</v>
      </c>
      <c r="M11" s="41">
        <f>'Timing &amp; Flags'!M36</f>
        <v>0</v>
      </c>
      <c r="N11" s="41">
        <f>'Timing &amp; Flags'!N36</f>
        <v>0</v>
      </c>
      <c r="O11" s="41">
        <f>'Timing &amp; Flags'!O36</f>
        <v>0</v>
      </c>
      <c r="P11" s="41">
        <f>'Timing &amp; Flags'!P36</f>
        <v>0</v>
      </c>
      <c r="Q11" s="41">
        <f>'Timing &amp; Flags'!Q36</f>
        <v>0</v>
      </c>
      <c r="R11" s="41">
        <f>'Timing &amp; Flags'!R36</f>
        <v>0</v>
      </c>
      <c r="S11" s="41">
        <f>'Timing &amp; Flags'!S36</f>
        <v>0</v>
      </c>
      <c r="T11" s="41">
        <f>'Timing &amp; Flags'!T36</f>
        <v>0</v>
      </c>
      <c r="U11" s="41">
        <f>'Timing &amp; Flags'!U36</f>
        <v>0</v>
      </c>
      <c r="V11" s="41">
        <f>'Timing &amp; Flags'!V36</f>
        <v>0</v>
      </c>
      <c r="W11" s="41">
        <f>'Timing &amp; Flags'!W36</f>
        <v>0</v>
      </c>
      <c r="X11" s="41">
        <f>'Timing &amp; Flags'!X36</f>
        <v>0</v>
      </c>
      <c r="Y11" s="41">
        <f>'Timing &amp; Flags'!Y36</f>
        <v>0</v>
      </c>
      <c r="Z11" s="41">
        <f>'Timing &amp; Flags'!Z36</f>
        <v>0</v>
      </c>
      <c r="AA11" s="41">
        <f>'Timing &amp; Flags'!AA36</f>
        <v>0</v>
      </c>
      <c r="AB11" s="41">
        <f>'Timing &amp; Flags'!AB36</f>
        <v>0</v>
      </c>
      <c r="AC11" s="41">
        <f>'Timing &amp; Flags'!AC36</f>
        <v>0</v>
      </c>
      <c r="AD11" s="41">
        <f>'Timing &amp; Flags'!AD36</f>
        <v>0</v>
      </c>
      <c r="AE11" s="41">
        <f>'Timing &amp; Flags'!AE36</f>
        <v>0</v>
      </c>
      <c r="AF11" s="41">
        <f>'Timing &amp; Flags'!AF36</f>
        <v>0</v>
      </c>
      <c r="AG11" s="41">
        <f>'Timing &amp; Flags'!AG36</f>
        <v>0</v>
      </c>
      <c r="AH11" s="41">
        <f>'Timing &amp; Flags'!AH36</f>
        <v>0</v>
      </c>
      <c r="AI11" s="41">
        <f>'Timing &amp; Flags'!AI36</f>
        <v>0</v>
      </c>
      <c r="AJ11" s="41">
        <f>'Timing &amp; Flags'!AJ36</f>
        <v>0</v>
      </c>
      <c r="AK11" s="41">
        <f>'Timing &amp; Flags'!AK36</f>
        <v>0</v>
      </c>
      <c r="AL11" s="41">
        <f>'Timing &amp; Flags'!AL36</f>
        <v>0</v>
      </c>
      <c r="AM11" s="41">
        <f>'Timing &amp; Flags'!AM36</f>
        <v>0</v>
      </c>
      <c r="AN11" s="41">
        <f>'Timing &amp; Flags'!AN36</f>
        <v>0</v>
      </c>
      <c r="AO11" s="41">
        <f>'Timing &amp; Flags'!AO36</f>
        <v>0</v>
      </c>
      <c r="AP11" s="41">
        <f>'Timing &amp; Flags'!AP36</f>
        <v>0</v>
      </c>
      <c r="AQ11" s="41">
        <f>'Timing &amp; Flags'!AQ36</f>
        <v>0</v>
      </c>
      <c r="AR11" s="41">
        <f>'Timing &amp; Flags'!AR36</f>
        <v>0</v>
      </c>
      <c r="AS11" s="41">
        <f>'Timing &amp; Flags'!AS36</f>
        <v>0</v>
      </c>
      <c r="AT11" s="41">
        <f>'Timing &amp; Flags'!AT36</f>
        <v>0</v>
      </c>
      <c r="AU11" s="41">
        <f>'Timing &amp; Flags'!AU36</f>
        <v>0</v>
      </c>
      <c r="AV11" s="41">
        <f>'Timing &amp; Flags'!AV36</f>
        <v>0</v>
      </c>
      <c r="AW11" s="41">
        <f>'Timing &amp; Flags'!AW36</f>
        <v>0</v>
      </c>
    </row>
    <row r="12" spans="1:49">
      <c r="B12" s="2" t="s">
        <v>61</v>
      </c>
      <c r="C12" s="15" t="s">
        <v>60</v>
      </c>
      <c r="D12" s="42">
        <f>SUM(I12:AI12)</f>
        <v>3</v>
      </c>
      <c r="I12" s="41">
        <f>'Timing &amp; Flags'!I37</f>
        <v>1</v>
      </c>
      <c r="J12" s="41">
        <f>'Timing &amp; Flags'!J37</f>
        <v>1</v>
      </c>
      <c r="K12" s="41">
        <f>'Timing &amp; Flags'!K37</f>
        <v>1</v>
      </c>
      <c r="L12" s="41">
        <f>'Timing &amp; Flags'!L37</f>
        <v>0</v>
      </c>
      <c r="M12" s="41">
        <f>'Timing &amp; Flags'!M37</f>
        <v>0</v>
      </c>
      <c r="N12" s="41">
        <f>'Timing &amp; Flags'!N37</f>
        <v>0</v>
      </c>
      <c r="O12" s="41">
        <f>'Timing &amp; Flags'!O37</f>
        <v>0</v>
      </c>
      <c r="P12" s="41">
        <f>'Timing &amp; Flags'!P37</f>
        <v>0</v>
      </c>
      <c r="Q12" s="41">
        <f>'Timing &amp; Flags'!Q37</f>
        <v>0</v>
      </c>
      <c r="R12" s="41">
        <f>'Timing &amp; Flags'!R37</f>
        <v>0</v>
      </c>
      <c r="S12" s="41">
        <f>'Timing &amp; Flags'!S37</f>
        <v>0</v>
      </c>
      <c r="T12" s="41">
        <f>'Timing &amp; Flags'!T37</f>
        <v>0</v>
      </c>
      <c r="U12" s="41">
        <f>'Timing &amp; Flags'!U37</f>
        <v>0</v>
      </c>
      <c r="V12" s="41">
        <f>'Timing &amp; Flags'!V37</f>
        <v>0</v>
      </c>
      <c r="W12" s="41">
        <f>'Timing &amp; Flags'!W37</f>
        <v>0</v>
      </c>
      <c r="X12" s="41">
        <f>'Timing &amp; Flags'!X37</f>
        <v>0</v>
      </c>
      <c r="Y12" s="41">
        <f>'Timing &amp; Flags'!Y37</f>
        <v>0</v>
      </c>
      <c r="Z12" s="41">
        <f>'Timing &amp; Flags'!Z37</f>
        <v>0</v>
      </c>
      <c r="AA12" s="41">
        <f>'Timing &amp; Flags'!AA37</f>
        <v>0</v>
      </c>
      <c r="AB12" s="41">
        <f>'Timing &amp; Flags'!AB37</f>
        <v>0</v>
      </c>
      <c r="AC12" s="41">
        <f>'Timing &amp; Flags'!AC37</f>
        <v>0</v>
      </c>
      <c r="AD12" s="41">
        <f>'Timing &amp; Flags'!AD37</f>
        <v>0</v>
      </c>
      <c r="AE12" s="41">
        <f>'Timing &amp; Flags'!AE37</f>
        <v>0</v>
      </c>
      <c r="AF12" s="41">
        <f>'Timing &amp; Flags'!AF37</f>
        <v>0</v>
      </c>
      <c r="AG12" s="41">
        <f>'Timing &amp; Flags'!AG37</f>
        <v>0</v>
      </c>
      <c r="AH12" s="41">
        <f>'Timing &amp; Flags'!AH37</f>
        <v>0</v>
      </c>
      <c r="AI12" s="41">
        <f>'Timing &amp; Flags'!AI37</f>
        <v>0</v>
      </c>
      <c r="AJ12" s="41">
        <f>'Timing &amp; Flags'!AJ37</f>
        <v>0</v>
      </c>
      <c r="AK12" s="41">
        <f>'Timing &amp; Flags'!AK37</f>
        <v>0</v>
      </c>
      <c r="AL12" s="41">
        <f>'Timing &amp; Flags'!AL37</f>
        <v>0</v>
      </c>
      <c r="AM12" s="41">
        <f>'Timing &amp; Flags'!AM37</f>
        <v>0</v>
      </c>
      <c r="AN12" s="41">
        <f>'Timing &amp; Flags'!AN37</f>
        <v>0</v>
      </c>
      <c r="AO12" s="41">
        <f>'Timing &amp; Flags'!AO37</f>
        <v>0</v>
      </c>
      <c r="AP12" s="41">
        <f>'Timing &amp; Flags'!AP37</f>
        <v>0</v>
      </c>
      <c r="AQ12" s="41">
        <f>'Timing &amp; Flags'!AQ37</f>
        <v>0</v>
      </c>
      <c r="AR12" s="41">
        <f>'Timing &amp; Flags'!AR37</f>
        <v>0</v>
      </c>
      <c r="AS12" s="41">
        <f>'Timing &amp; Flags'!AS37</f>
        <v>0</v>
      </c>
      <c r="AT12" s="41">
        <f>'Timing &amp; Flags'!AT37</f>
        <v>0</v>
      </c>
      <c r="AU12" s="41">
        <f>'Timing &amp; Flags'!AU37</f>
        <v>0</v>
      </c>
      <c r="AV12" s="41">
        <f>'Timing &amp; Flags'!AV37</f>
        <v>0</v>
      </c>
      <c r="AW12" s="41">
        <f>'Timing &amp; Flags'!AW37</f>
        <v>0</v>
      </c>
    </row>
    <row r="13" spans="1:49">
      <c r="B13" s="2" t="s">
        <v>62</v>
      </c>
      <c r="C13" s="15" t="s">
        <v>60</v>
      </c>
      <c r="D13" s="42">
        <f>SUM(I13:AI13)</f>
        <v>1</v>
      </c>
      <c r="I13" s="41">
        <f>'Timing &amp; Flags'!I38</f>
        <v>0</v>
      </c>
      <c r="J13" s="41">
        <f>'Timing &amp; Flags'!J38</f>
        <v>0</v>
      </c>
      <c r="K13" s="41">
        <f>'Timing &amp; Flags'!K38</f>
        <v>1</v>
      </c>
      <c r="L13" s="41">
        <f>'Timing &amp; Flags'!L38</f>
        <v>0</v>
      </c>
      <c r="M13" s="41">
        <f>'Timing &amp; Flags'!M38</f>
        <v>0</v>
      </c>
      <c r="N13" s="41">
        <f>'Timing &amp; Flags'!N38</f>
        <v>0</v>
      </c>
      <c r="O13" s="41">
        <f>'Timing &amp; Flags'!O38</f>
        <v>0</v>
      </c>
      <c r="P13" s="41">
        <f>'Timing &amp; Flags'!P38</f>
        <v>0</v>
      </c>
      <c r="Q13" s="41">
        <f>'Timing &amp; Flags'!Q38</f>
        <v>0</v>
      </c>
      <c r="R13" s="41">
        <f>'Timing &amp; Flags'!R38</f>
        <v>0</v>
      </c>
      <c r="S13" s="41">
        <f>'Timing &amp; Flags'!S38</f>
        <v>0</v>
      </c>
      <c r="T13" s="41">
        <f>'Timing &amp; Flags'!T38</f>
        <v>0</v>
      </c>
      <c r="U13" s="41">
        <f>'Timing &amp; Flags'!U38</f>
        <v>0</v>
      </c>
      <c r="V13" s="41">
        <f>'Timing &amp; Flags'!V38</f>
        <v>0</v>
      </c>
      <c r="W13" s="41">
        <f>'Timing &amp; Flags'!W38</f>
        <v>0</v>
      </c>
      <c r="X13" s="41">
        <f>'Timing &amp; Flags'!X38</f>
        <v>0</v>
      </c>
      <c r="Y13" s="41">
        <f>'Timing &amp; Flags'!Y38</f>
        <v>0</v>
      </c>
      <c r="Z13" s="41">
        <f>'Timing &amp; Flags'!Z38</f>
        <v>0</v>
      </c>
      <c r="AA13" s="41">
        <f>'Timing &amp; Flags'!AA38</f>
        <v>0</v>
      </c>
      <c r="AB13" s="41">
        <f>'Timing &amp; Flags'!AB38</f>
        <v>0</v>
      </c>
      <c r="AC13" s="41">
        <f>'Timing &amp; Flags'!AC38</f>
        <v>0</v>
      </c>
      <c r="AD13" s="41">
        <f>'Timing &amp; Flags'!AD38</f>
        <v>0</v>
      </c>
      <c r="AE13" s="41">
        <f>'Timing &amp; Flags'!AE38</f>
        <v>0</v>
      </c>
      <c r="AF13" s="41">
        <f>'Timing &amp; Flags'!AF38</f>
        <v>0</v>
      </c>
      <c r="AG13" s="41">
        <f>'Timing &amp; Flags'!AG38</f>
        <v>0</v>
      </c>
      <c r="AH13" s="41">
        <f>'Timing &amp; Flags'!AH38</f>
        <v>0</v>
      </c>
      <c r="AI13" s="41">
        <f>'Timing &amp; Flags'!AI38</f>
        <v>0</v>
      </c>
      <c r="AJ13" s="41">
        <f>'Timing &amp; Flags'!AJ38</f>
        <v>0</v>
      </c>
      <c r="AK13" s="41">
        <f>'Timing &amp; Flags'!AK38</f>
        <v>0</v>
      </c>
      <c r="AL13" s="41">
        <f>'Timing &amp; Flags'!AL38</f>
        <v>0</v>
      </c>
      <c r="AM13" s="41">
        <f>'Timing &amp; Flags'!AM38</f>
        <v>0</v>
      </c>
      <c r="AN13" s="41">
        <f>'Timing &amp; Flags'!AN38</f>
        <v>0</v>
      </c>
      <c r="AO13" s="41">
        <f>'Timing &amp; Flags'!AO38</f>
        <v>0</v>
      </c>
      <c r="AP13" s="41">
        <f>'Timing &amp; Flags'!AP38</f>
        <v>0</v>
      </c>
      <c r="AQ13" s="41">
        <f>'Timing &amp; Flags'!AQ38</f>
        <v>0</v>
      </c>
      <c r="AR13" s="41">
        <f>'Timing &amp; Flags'!AR38</f>
        <v>0</v>
      </c>
      <c r="AS13" s="41">
        <f>'Timing &amp; Flags'!AS38</f>
        <v>0</v>
      </c>
      <c r="AT13" s="41">
        <f>'Timing &amp; Flags'!AT38</f>
        <v>0</v>
      </c>
      <c r="AU13" s="41">
        <f>'Timing &amp; Flags'!AU38</f>
        <v>0</v>
      </c>
      <c r="AV13" s="41">
        <f>'Timing &amp; Flags'!AV38</f>
        <v>0</v>
      </c>
      <c r="AW13" s="41">
        <f>'Timing &amp; Flags'!AW38</f>
        <v>0</v>
      </c>
    </row>
    <row r="14" spans="1:49">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row>
    <row r="15" spans="1:49">
      <c r="B15" s="586" t="s">
        <v>64</v>
      </c>
      <c r="I15" s="41"/>
      <c r="J15" s="41"/>
      <c r="K15" s="41"/>
      <c r="L15" s="41"/>
      <c r="M15" s="41"/>
      <c r="N15" s="41"/>
      <c r="O15" s="41"/>
      <c r="P15" s="41"/>
      <c r="Q15" s="41"/>
      <c r="R15" s="41"/>
      <c r="S15" s="41"/>
      <c r="T15" s="41"/>
      <c r="U15" s="41"/>
      <c r="V15" s="41"/>
      <c r="W15" s="41"/>
      <c r="X15" s="41"/>
      <c r="Y15" s="41"/>
      <c r="Z15" s="41"/>
      <c r="AA15" s="41"/>
      <c r="AB15" s="41"/>
      <c r="AC15" s="41"/>
      <c r="AD15" s="41"/>
      <c r="AE15" s="41"/>
      <c r="AF15" s="41"/>
      <c r="AG15" s="41"/>
      <c r="AH15" s="41"/>
      <c r="AI15" s="41"/>
    </row>
    <row r="16" spans="1:49">
      <c r="B16" s="2" t="s">
        <v>65</v>
      </c>
      <c r="C16" s="15" t="s">
        <v>60</v>
      </c>
      <c r="D16" s="42">
        <f>SUM(I16:AI16)</f>
        <v>1</v>
      </c>
      <c r="I16" s="41">
        <f>'Timing &amp; Flags'!I42</f>
        <v>0</v>
      </c>
      <c r="J16" s="41">
        <f>'Timing &amp; Flags'!J42</f>
        <v>0</v>
      </c>
      <c r="K16" s="41">
        <f>'Timing &amp; Flags'!K42</f>
        <v>0</v>
      </c>
      <c r="L16" s="41">
        <f>'Timing &amp; Flags'!L42</f>
        <v>1</v>
      </c>
      <c r="M16" s="41">
        <f>'Timing &amp; Flags'!M42</f>
        <v>0</v>
      </c>
      <c r="N16" s="41">
        <f>'Timing &amp; Flags'!N42</f>
        <v>0</v>
      </c>
      <c r="O16" s="41">
        <f>'Timing &amp; Flags'!O42</f>
        <v>0</v>
      </c>
      <c r="P16" s="41">
        <f>'Timing &amp; Flags'!P42</f>
        <v>0</v>
      </c>
      <c r="Q16" s="41">
        <f>'Timing &amp; Flags'!Q42</f>
        <v>0</v>
      </c>
      <c r="R16" s="41">
        <f>'Timing &amp; Flags'!R42</f>
        <v>0</v>
      </c>
      <c r="S16" s="41">
        <f>'Timing &amp; Flags'!S42</f>
        <v>0</v>
      </c>
      <c r="T16" s="41">
        <f>'Timing &amp; Flags'!T42</f>
        <v>0</v>
      </c>
      <c r="U16" s="41">
        <f>'Timing &amp; Flags'!U42</f>
        <v>0</v>
      </c>
      <c r="V16" s="41">
        <f>'Timing &amp; Flags'!V42</f>
        <v>0</v>
      </c>
      <c r="W16" s="41">
        <f>'Timing &amp; Flags'!W42</f>
        <v>0</v>
      </c>
      <c r="X16" s="41">
        <f>'Timing &amp; Flags'!X42</f>
        <v>0</v>
      </c>
      <c r="Y16" s="41">
        <f>'Timing &amp; Flags'!Y42</f>
        <v>0</v>
      </c>
      <c r="Z16" s="41">
        <f>'Timing &amp; Flags'!Z42</f>
        <v>0</v>
      </c>
      <c r="AA16" s="41">
        <f>'Timing &amp; Flags'!AA42</f>
        <v>0</v>
      </c>
      <c r="AB16" s="41">
        <f>'Timing &amp; Flags'!AB42</f>
        <v>0</v>
      </c>
      <c r="AC16" s="41">
        <f>'Timing &amp; Flags'!AC42</f>
        <v>0</v>
      </c>
      <c r="AD16" s="41">
        <f>'Timing &amp; Flags'!AD42</f>
        <v>0</v>
      </c>
      <c r="AE16" s="41">
        <f>'Timing &amp; Flags'!AE42</f>
        <v>0</v>
      </c>
      <c r="AF16" s="41">
        <f>'Timing &amp; Flags'!AF42</f>
        <v>0</v>
      </c>
      <c r="AG16" s="41">
        <f>'Timing &amp; Flags'!AG42</f>
        <v>0</v>
      </c>
      <c r="AH16" s="41">
        <f>'Timing &amp; Flags'!AH42</f>
        <v>0</v>
      </c>
      <c r="AI16" s="41">
        <f>'Timing &amp; Flags'!AI42</f>
        <v>0</v>
      </c>
      <c r="AJ16" s="41">
        <f>'Timing &amp; Flags'!AJ42</f>
        <v>0</v>
      </c>
      <c r="AK16" s="41">
        <f>'Timing &amp; Flags'!AK42</f>
        <v>0</v>
      </c>
      <c r="AL16" s="41">
        <f>'Timing &amp; Flags'!AL42</f>
        <v>0</v>
      </c>
      <c r="AM16" s="41">
        <f>'Timing &amp; Flags'!AM42</f>
        <v>0</v>
      </c>
      <c r="AN16" s="41">
        <f>'Timing &amp; Flags'!AN42</f>
        <v>0</v>
      </c>
      <c r="AO16" s="41">
        <f>'Timing &amp; Flags'!AO42</f>
        <v>0</v>
      </c>
      <c r="AP16" s="41">
        <f>'Timing &amp; Flags'!AP42</f>
        <v>0</v>
      </c>
      <c r="AQ16" s="41">
        <f>'Timing &amp; Flags'!AQ42</f>
        <v>0</v>
      </c>
      <c r="AR16" s="41">
        <f>'Timing &amp; Flags'!AR42</f>
        <v>0</v>
      </c>
      <c r="AS16" s="41">
        <f>'Timing &amp; Flags'!AS42</f>
        <v>0</v>
      </c>
      <c r="AT16" s="41">
        <f>'Timing &amp; Flags'!AT42</f>
        <v>0</v>
      </c>
      <c r="AU16" s="41">
        <f>'Timing &amp; Flags'!AU42</f>
        <v>0</v>
      </c>
      <c r="AV16" s="41">
        <f>'Timing &amp; Flags'!AV42</f>
        <v>0</v>
      </c>
      <c r="AW16" s="41">
        <f>'Timing &amp; Flags'!AW42</f>
        <v>0</v>
      </c>
    </row>
    <row r="17" spans="1:50">
      <c r="B17" s="2" t="s">
        <v>66</v>
      </c>
      <c r="C17" s="15" t="s">
        <v>60</v>
      </c>
      <c r="D17" s="42">
        <f>SUM(I17:AI17)</f>
        <v>24</v>
      </c>
      <c r="I17" s="41">
        <f>'Timing &amp; Flags'!I43</f>
        <v>0</v>
      </c>
      <c r="J17" s="41">
        <f>'Timing &amp; Flags'!J43</f>
        <v>0</v>
      </c>
      <c r="K17" s="41">
        <f>'Timing &amp; Flags'!K43</f>
        <v>0</v>
      </c>
      <c r="L17" s="41">
        <f>'Timing &amp; Flags'!L43</f>
        <v>1</v>
      </c>
      <c r="M17" s="41">
        <f>'Timing &amp; Flags'!M43</f>
        <v>1</v>
      </c>
      <c r="N17" s="41">
        <f>'Timing &amp; Flags'!N43</f>
        <v>1</v>
      </c>
      <c r="O17" s="41">
        <f>'Timing &amp; Flags'!O43</f>
        <v>1</v>
      </c>
      <c r="P17" s="41">
        <f>'Timing &amp; Flags'!P43</f>
        <v>1</v>
      </c>
      <c r="Q17" s="41">
        <f>'Timing &amp; Flags'!Q43</f>
        <v>1</v>
      </c>
      <c r="R17" s="41">
        <f>'Timing &amp; Flags'!R43</f>
        <v>1</v>
      </c>
      <c r="S17" s="41">
        <f>'Timing &amp; Flags'!S43</f>
        <v>1</v>
      </c>
      <c r="T17" s="41">
        <f>'Timing &amp; Flags'!T43</f>
        <v>1</v>
      </c>
      <c r="U17" s="41">
        <f>'Timing &amp; Flags'!U43</f>
        <v>1</v>
      </c>
      <c r="V17" s="41">
        <f>'Timing &amp; Flags'!V43</f>
        <v>1</v>
      </c>
      <c r="W17" s="41">
        <f>'Timing &amp; Flags'!W43</f>
        <v>1</v>
      </c>
      <c r="X17" s="41">
        <f>'Timing &amp; Flags'!X43</f>
        <v>1</v>
      </c>
      <c r="Y17" s="41">
        <f>'Timing &amp; Flags'!Y43</f>
        <v>1</v>
      </c>
      <c r="Z17" s="41">
        <f>'Timing &amp; Flags'!Z43</f>
        <v>1</v>
      </c>
      <c r="AA17" s="41">
        <f>'Timing &amp; Flags'!AA43</f>
        <v>1</v>
      </c>
      <c r="AB17" s="41">
        <f>'Timing &amp; Flags'!AB43</f>
        <v>1</v>
      </c>
      <c r="AC17" s="41">
        <f>'Timing &amp; Flags'!AC43</f>
        <v>1</v>
      </c>
      <c r="AD17" s="41">
        <f>'Timing &amp; Flags'!AD43</f>
        <v>1</v>
      </c>
      <c r="AE17" s="41">
        <f>'Timing &amp; Flags'!AE43</f>
        <v>1</v>
      </c>
      <c r="AF17" s="41">
        <f>'Timing &amp; Flags'!AF43</f>
        <v>1</v>
      </c>
      <c r="AG17" s="41">
        <f>'Timing &amp; Flags'!AG43</f>
        <v>1</v>
      </c>
      <c r="AH17" s="41">
        <f>'Timing &amp; Flags'!AH43</f>
        <v>1</v>
      </c>
      <c r="AI17" s="41">
        <f>'Timing &amp; Flags'!AI43</f>
        <v>1</v>
      </c>
      <c r="AJ17" s="41">
        <f>'Timing &amp; Flags'!AJ43</f>
        <v>1</v>
      </c>
      <c r="AK17" s="41">
        <f>'Timing &amp; Flags'!AK43</f>
        <v>1</v>
      </c>
      <c r="AL17" s="41">
        <f>'Timing &amp; Flags'!AL43</f>
        <v>1</v>
      </c>
      <c r="AM17" s="41">
        <f>'Timing &amp; Flags'!AM43</f>
        <v>0</v>
      </c>
      <c r="AN17" s="41">
        <f>'Timing &amp; Flags'!AN43</f>
        <v>0</v>
      </c>
      <c r="AO17" s="41">
        <f>'Timing &amp; Flags'!AO43</f>
        <v>0</v>
      </c>
      <c r="AP17" s="41">
        <f>'Timing &amp; Flags'!AP43</f>
        <v>0</v>
      </c>
      <c r="AQ17" s="41">
        <f>'Timing &amp; Flags'!AQ43</f>
        <v>0</v>
      </c>
      <c r="AR17" s="41">
        <f>'Timing &amp; Flags'!AR43</f>
        <v>0</v>
      </c>
      <c r="AS17" s="41">
        <f>'Timing &amp; Flags'!AS43</f>
        <v>0</v>
      </c>
      <c r="AT17" s="41">
        <f>'Timing &amp; Flags'!AT43</f>
        <v>0</v>
      </c>
      <c r="AU17" s="41">
        <f>'Timing &amp; Flags'!AU43</f>
        <v>0</v>
      </c>
      <c r="AV17" s="41">
        <f>'Timing &amp; Flags'!AV43</f>
        <v>0</v>
      </c>
      <c r="AW17" s="41">
        <f>'Timing &amp; Flags'!AW43</f>
        <v>0</v>
      </c>
    </row>
    <row r="18" spans="1:50">
      <c r="B18" s="2" t="s">
        <v>67</v>
      </c>
      <c r="C18" s="15" t="s">
        <v>60</v>
      </c>
      <c r="D18" s="42">
        <f>SUM(I18:AI18)</f>
        <v>0</v>
      </c>
      <c r="I18" s="41">
        <f>'Timing &amp; Flags'!I44</f>
        <v>0</v>
      </c>
      <c r="J18" s="41">
        <f>'Timing &amp; Flags'!J44</f>
        <v>0</v>
      </c>
      <c r="K18" s="41">
        <f>'Timing &amp; Flags'!K44</f>
        <v>0</v>
      </c>
      <c r="L18" s="41">
        <f>'Timing &amp; Flags'!L44</f>
        <v>0</v>
      </c>
      <c r="M18" s="41">
        <f>'Timing &amp; Flags'!M44</f>
        <v>0</v>
      </c>
      <c r="N18" s="41">
        <f>'Timing &amp; Flags'!N44</f>
        <v>0</v>
      </c>
      <c r="O18" s="41">
        <f>'Timing &amp; Flags'!O44</f>
        <v>0</v>
      </c>
      <c r="P18" s="41">
        <f>'Timing &amp; Flags'!P44</f>
        <v>0</v>
      </c>
      <c r="Q18" s="41">
        <f>'Timing &amp; Flags'!Q44</f>
        <v>0</v>
      </c>
      <c r="R18" s="41">
        <f>'Timing &amp; Flags'!R44</f>
        <v>0</v>
      </c>
      <c r="S18" s="41">
        <f>'Timing &amp; Flags'!S44</f>
        <v>0</v>
      </c>
      <c r="T18" s="41">
        <f>'Timing &amp; Flags'!T44</f>
        <v>0</v>
      </c>
      <c r="U18" s="41">
        <f>'Timing &amp; Flags'!U44</f>
        <v>0</v>
      </c>
      <c r="V18" s="41">
        <f>'Timing &amp; Flags'!V44</f>
        <v>0</v>
      </c>
      <c r="W18" s="41">
        <f>'Timing &amp; Flags'!W44</f>
        <v>0</v>
      </c>
      <c r="X18" s="41">
        <f>'Timing &amp; Flags'!X44</f>
        <v>0</v>
      </c>
      <c r="Y18" s="41">
        <f>'Timing &amp; Flags'!Y44</f>
        <v>0</v>
      </c>
      <c r="Z18" s="41">
        <f>'Timing &amp; Flags'!Z44</f>
        <v>0</v>
      </c>
      <c r="AA18" s="41">
        <f>'Timing &amp; Flags'!AA44</f>
        <v>0</v>
      </c>
      <c r="AB18" s="41">
        <f>'Timing &amp; Flags'!AB44</f>
        <v>0</v>
      </c>
      <c r="AC18" s="41">
        <f>'Timing &amp; Flags'!AC44</f>
        <v>0</v>
      </c>
      <c r="AD18" s="41">
        <f>'Timing &amp; Flags'!AD44</f>
        <v>0</v>
      </c>
      <c r="AE18" s="41">
        <f>'Timing &amp; Flags'!AE44</f>
        <v>0</v>
      </c>
      <c r="AF18" s="41">
        <f>'Timing &amp; Flags'!AF44</f>
        <v>0</v>
      </c>
      <c r="AG18" s="41">
        <f>'Timing &amp; Flags'!AG44</f>
        <v>0</v>
      </c>
      <c r="AH18" s="41">
        <f>'Timing &amp; Flags'!AH44</f>
        <v>0</v>
      </c>
      <c r="AI18" s="41">
        <f>'Timing &amp; Flags'!AI44</f>
        <v>0</v>
      </c>
      <c r="AJ18" s="41">
        <f>'Timing &amp; Flags'!AJ44</f>
        <v>0</v>
      </c>
      <c r="AK18" s="41">
        <f>'Timing &amp; Flags'!AK44</f>
        <v>0</v>
      </c>
      <c r="AL18" s="41">
        <f>'Timing &amp; Flags'!AL44</f>
        <v>1</v>
      </c>
      <c r="AM18" s="41">
        <f>'Timing &amp; Flags'!AM44</f>
        <v>0</v>
      </c>
      <c r="AN18" s="41">
        <f>'Timing &amp; Flags'!AN44</f>
        <v>0</v>
      </c>
      <c r="AO18" s="41">
        <f>'Timing &amp; Flags'!AO44</f>
        <v>0</v>
      </c>
      <c r="AP18" s="41">
        <f>'Timing &amp; Flags'!AP44</f>
        <v>0</v>
      </c>
      <c r="AQ18" s="41">
        <f>'Timing &amp; Flags'!AQ44</f>
        <v>0</v>
      </c>
      <c r="AR18" s="41">
        <f>'Timing &amp; Flags'!AR44</f>
        <v>0</v>
      </c>
      <c r="AS18" s="41">
        <f>'Timing &amp; Flags'!AS44</f>
        <v>0</v>
      </c>
      <c r="AT18" s="41">
        <f>'Timing &amp; Flags'!AT44</f>
        <v>0</v>
      </c>
      <c r="AU18" s="41">
        <f>'Timing &amp; Flags'!AU44</f>
        <v>0</v>
      </c>
      <c r="AV18" s="41">
        <f>'Timing &amp; Flags'!AV44</f>
        <v>0</v>
      </c>
      <c r="AW18" s="41">
        <f>'Timing &amp; Flags'!AW44</f>
        <v>0</v>
      </c>
    </row>
    <row r="19" spans="1:50">
      <c r="I19" s="41"/>
      <c r="J19" s="41"/>
      <c r="K19" s="41"/>
      <c r="L19" s="41"/>
      <c r="M19" s="41"/>
      <c r="N19" s="41"/>
      <c r="O19" s="41"/>
      <c r="P19" s="41"/>
      <c r="Q19" s="41"/>
      <c r="R19" s="41"/>
      <c r="S19" s="41"/>
      <c r="T19" s="41"/>
      <c r="U19" s="41"/>
      <c r="V19" s="41"/>
      <c r="W19" s="41"/>
      <c r="X19" s="41"/>
      <c r="Y19" s="41"/>
      <c r="Z19" s="41"/>
      <c r="AA19" s="41"/>
      <c r="AB19" s="41"/>
      <c r="AC19" s="41"/>
      <c r="AD19" s="41"/>
      <c r="AE19" s="41"/>
      <c r="AF19" s="41"/>
      <c r="AG19" s="41"/>
      <c r="AH19" s="41"/>
      <c r="AI19" s="41"/>
      <c r="AJ19" s="41"/>
      <c r="AK19" s="41"/>
      <c r="AL19" s="41"/>
      <c r="AM19" s="41"/>
      <c r="AN19" s="41"/>
      <c r="AO19" s="41"/>
      <c r="AP19" s="41"/>
      <c r="AQ19" s="41"/>
      <c r="AR19" s="41"/>
      <c r="AS19" s="41"/>
      <c r="AT19" s="41"/>
      <c r="AU19" s="41"/>
      <c r="AV19" s="41"/>
      <c r="AW19" s="41"/>
    </row>
    <row r="20" spans="1:50">
      <c r="B20" s="2" t="s">
        <v>538</v>
      </c>
      <c r="C20" s="15" t="s">
        <v>60</v>
      </c>
      <c r="D20" s="42">
        <f>SUM(I20:AI20)</f>
        <v>27</v>
      </c>
      <c r="I20" s="41">
        <f>'Timing &amp; Flags'!I49</f>
        <v>1</v>
      </c>
      <c r="J20" s="41">
        <f>'Timing &amp; Flags'!J49</f>
        <v>1</v>
      </c>
      <c r="K20" s="41">
        <f>'Timing &amp; Flags'!K49</f>
        <v>1</v>
      </c>
      <c r="L20" s="41">
        <f>'Timing &amp; Flags'!L49</f>
        <v>1</v>
      </c>
      <c r="M20" s="41">
        <f>'Timing &amp; Flags'!M49</f>
        <v>1</v>
      </c>
      <c r="N20" s="41">
        <f>'Timing &amp; Flags'!N49</f>
        <v>1</v>
      </c>
      <c r="O20" s="41">
        <f>'Timing &amp; Flags'!O49</f>
        <v>1</v>
      </c>
      <c r="P20" s="41">
        <f>'Timing &amp; Flags'!P49</f>
        <v>1</v>
      </c>
      <c r="Q20" s="41">
        <f>'Timing &amp; Flags'!Q49</f>
        <v>1</v>
      </c>
      <c r="R20" s="41">
        <f>'Timing &amp; Flags'!R49</f>
        <v>1</v>
      </c>
      <c r="S20" s="41">
        <f>'Timing &amp; Flags'!S49</f>
        <v>1</v>
      </c>
      <c r="T20" s="41">
        <f>'Timing &amp; Flags'!T49</f>
        <v>1</v>
      </c>
      <c r="U20" s="41">
        <f>'Timing &amp; Flags'!U49</f>
        <v>1</v>
      </c>
      <c r="V20" s="41">
        <f>'Timing &amp; Flags'!V49</f>
        <v>1</v>
      </c>
      <c r="W20" s="41">
        <f>'Timing &amp; Flags'!W49</f>
        <v>1</v>
      </c>
      <c r="X20" s="41">
        <f>'Timing &amp; Flags'!X49</f>
        <v>1</v>
      </c>
      <c r="Y20" s="41">
        <f>'Timing &amp; Flags'!Y49</f>
        <v>1</v>
      </c>
      <c r="Z20" s="41">
        <f>'Timing &amp; Flags'!Z49</f>
        <v>1</v>
      </c>
      <c r="AA20" s="41">
        <f>'Timing &amp; Flags'!AA49</f>
        <v>1</v>
      </c>
      <c r="AB20" s="41">
        <f>'Timing &amp; Flags'!AB49</f>
        <v>1</v>
      </c>
      <c r="AC20" s="41">
        <f>'Timing &amp; Flags'!AC49</f>
        <v>1</v>
      </c>
      <c r="AD20" s="41">
        <f>'Timing &amp; Flags'!AD49</f>
        <v>1</v>
      </c>
      <c r="AE20" s="41">
        <f>'Timing &amp; Flags'!AE49</f>
        <v>1</v>
      </c>
      <c r="AF20" s="41">
        <f>'Timing &amp; Flags'!AF49</f>
        <v>1</v>
      </c>
      <c r="AG20" s="41">
        <f>'Timing &amp; Flags'!AG49</f>
        <v>1</v>
      </c>
      <c r="AH20" s="41">
        <f>'Timing &amp; Flags'!AH49</f>
        <v>1</v>
      </c>
      <c r="AI20" s="41">
        <f>'Timing &amp; Flags'!AI49</f>
        <v>1</v>
      </c>
      <c r="AJ20" s="41">
        <f>'Timing &amp; Flags'!AJ49</f>
        <v>1</v>
      </c>
      <c r="AK20" s="41">
        <f>'Timing &amp; Flags'!AK49</f>
        <v>1</v>
      </c>
      <c r="AL20" s="41">
        <f>'Timing &amp; Flags'!AL49</f>
        <v>1</v>
      </c>
      <c r="AM20" s="41">
        <f>'Timing &amp; Flags'!AM49</f>
        <v>0</v>
      </c>
      <c r="AN20" s="41">
        <f>'Timing &amp; Flags'!AN49</f>
        <v>0</v>
      </c>
      <c r="AO20" s="41">
        <f>'Timing &amp; Flags'!AO49</f>
        <v>0</v>
      </c>
      <c r="AP20" s="41">
        <f>'Timing &amp; Flags'!AP49</f>
        <v>0</v>
      </c>
      <c r="AQ20" s="41">
        <f>'Timing &amp; Flags'!AQ49</f>
        <v>0</v>
      </c>
      <c r="AR20" s="41">
        <f>'Timing &amp; Flags'!AR49</f>
        <v>0</v>
      </c>
      <c r="AS20" s="41">
        <f>'Timing &amp; Flags'!AS49</f>
        <v>0</v>
      </c>
      <c r="AT20" s="41">
        <f>'Timing &amp; Flags'!AT49</f>
        <v>0</v>
      </c>
      <c r="AU20" s="41">
        <f>'Timing &amp; Flags'!AU49</f>
        <v>0</v>
      </c>
      <c r="AV20" s="41">
        <f>'Timing &amp; Flags'!AV49</f>
        <v>0</v>
      </c>
      <c r="AW20" s="41">
        <f>'Timing &amp; Flags'!AW49</f>
        <v>0</v>
      </c>
    </row>
    <row r="21" spans="1:50">
      <c r="I21" s="41"/>
      <c r="J21" s="41"/>
      <c r="K21" s="41"/>
      <c r="L21" s="41"/>
      <c r="M21" s="41"/>
      <c r="N21" s="41"/>
      <c r="O21" s="41"/>
      <c r="P21" s="41"/>
      <c r="Q21" s="41"/>
      <c r="R21" s="41"/>
      <c r="S21" s="41"/>
      <c r="T21" s="41"/>
      <c r="U21" s="41"/>
      <c r="V21" s="41"/>
      <c r="W21" s="41"/>
      <c r="X21" s="41"/>
      <c r="Y21" s="41"/>
      <c r="Z21" s="41"/>
      <c r="AA21" s="41"/>
      <c r="AB21" s="41"/>
      <c r="AC21" s="41"/>
      <c r="AD21" s="41"/>
      <c r="AE21" s="41"/>
      <c r="AF21" s="41"/>
      <c r="AG21" s="41"/>
      <c r="AH21" s="41"/>
      <c r="AI21" s="41"/>
    </row>
    <row r="22" spans="1:50">
      <c r="B22" s="50" t="s">
        <v>69</v>
      </c>
      <c r="I22" s="41"/>
      <c r="J22" s="41"/>
      <c r="K22" s="41"/>
      <c r="L22" s="41"/>
      <c r="M22" s="41"/>
      <c r="N22" s="41"/>
      <c r="O22" s="41"/>
      <c r="P22" s="41"/>
      <c r="Q22" s="41"/>
      <c r="R22" s="41"/>
      <c r="S22" s="41"/>
      <c r="T22" s="41"/>
      <c r="U22" s="41"/>
      <c r="V22" s="41"/>
      <c r="W22" s="41"/>
      <c r="X22" s="41"/>
      <c r="Y22" s="41"/>
      <c r="Z22" s="41"/>
      <c r="AA22" s="41"/>
      <c r="AB22" s="41"/>
      <c r="AC22" s="41"/>
      <c r="AD22" s="41"/>
      <c r="AE22" s="41"/>
      <c r="AF22" s="41"/>
      <c r="AG22" s="41"/>
      <c r="AH22" s="41"/>
      <c r="AI22" s="41"/>
    </row>
    <row r="23" spans="1:50">
      <c r="B23" s="2" t="s">
        <v>56</v>
      </c>
      <c r="C23" s="15" t="s">
        <v>72</v>
      </c>
      <c r="D23" s="42">
        <f ca="1">SUM(I23:AI23)</f>
        <v>3.0000074855902388</v>
      </c>
      <c r="I23" s="104">
        <f ca="1">'Timing &amp; Flags'!I54</f>
        <v>1</v>
      </c>
      <c r="J23" s="104">
        <f ca="1">'Timing &amp; Flags'!J54</f>
        <v>0.99726775956284153</v>
      </c>
      <c r="K23" s="104">
        <f ca="1">'Timing &amp; Flags'!K54</f>
        <v>1.0027397260273974</v>
      </c>
      <c r="L23" s="104">
        <f>'Timing &amp; Flags'!L54</f>
        <v>0</v>
      </c>
      <c r="M23" s="104">
        <f>'Timing &amp; Flags'!M54</f>
        <v>0</v>
      </c>
      <c r="N23" s="104">
        <f>'Timing &amp; Flags'!N54</f>
        <v>0</v>
      </c>
      <c r="O23" s="104">
        <f>'Timing &amp; Flags'!O54</f>
        <v>0</v>
      </c>
      <c r="P23" s="104">
        <f>'Timing &amp; Flags'!P54</f>
        <v>0</v>
      </c>
      <c r="Q23" s="104">
        <f>'Timing &amp; Flags'!Q54</f>
        <v>0</v>
      </c>
      <c r="R23" s="104">
        <f>'Timing &amp; Flags'!R54</f>
        <v>0</v>
      </c>
      <c r="S23" s="104">
        <f>'Timing &amp; Flags'!S54</f>
        <v>0</v>
      </c>
      <c r="T23" s="104">
        <f>'Timing &amp; Flags'!T54</f>
        <v>0</v>
      </c>
      <c r="U23" s="104">
        <f>'Timing &amp; Flags'!U54</f>
        <v>0</v>
      </c>
      <c r="V23" s="104">
        <f>'Timing &amp; Flags'!V54</f>
        <v>0</v>
      </c>
      <c r="W23" s="104">
        <f>'Timing &amp; Flags'!W54</f>
        <v>0</v>
      </c>
      <c r="X23" s="104">
        <f>'Timing &amp; Flags'!X54</f>
        <v>0</v>
      </c>
      <c r="Y23" s="104">
        <f>'Timing &amp; Flags'!Y54</f>
        <v>0</v>
      </c>
      <c r="Z23" s="104">
        <f>'Timing &amp; Flags'!Z54</f>
        <v>0</v>
      </c>
      <c r="AA23" s="104">
        <f>'Timing &amp; Flags'!AA54</f>
        <v>0</v>
      </c>
      <c r="AB23" s="104">
        <f>'Timing &amp; Flags'!AB54</f>
        <v>0</v>
      </c>
      <c r="AC23" s="104">
        <f>'Timing &amp; Flags'!AC54</f>
        <v>0</v>
      </c>
      <c r="AD23" s="104">
        <f>'Timing &amp; Flags'!AD54</f>
        <v>0</v>
      </c>
      <c r="AE23" s="104">
        <f>'Timing &amp; Flags'!AE54</f>
        <v>0</v>
      </c>
      <c r="AF23" s="104">
        <f>'Timing &amp; Flags'!AF54</f>
        <v>0</v>
      </c>
      <c r="AG23" s="104">
        <f>'Timing &amp; Flags'!AG54</f>
        <v>0</v>
      </c>
      <c r="AH23" s="104">
        <f>'Timing &amp; Flags'!AH54</f>
        <v>0</v>
      </c>
      <c r="AI23" s="104">
        <f>'Timing &amp; Flags'!AI54</f>
        <v>0</v>
      </c>
      <c r="AJ23" s="104">
        <f>'Timing &amp; Flags'!AJ54</f>
        <v>0</v>
      </c>
      <c r="AK23" s="104">
        <f>'Timing &amp; Flags'!AK54</f>
        <v>0</v>
      </c>
      <c r="AL23" s="104">
        <f>'Timing &amp; Flags'!AL54</f>
        <v>0</v>
      </c>
      <c r="AM23" s="104">
        <f>'Timing &amp; Flags'!AM54</f>
        <v>0</v>
      </c>
      <c r="AN23" s="104">
        <f>'Timing &amp; Flags'!AN54</f>
        <v>0</v>
      </c>
      <c r="AO23" s="104">
        <f>'Timing &amp; Flags'!AO54</f>
        <v>0</v>
      </c>
      <c r="AP23" s="104">
        <f>'Timing &amp; Flags'!AP54</f>
        <v>0</v>
      </c>
      <c r="AQ23" s="104">
        <f>'Timing &amp; Flags'!AQ54</f>
        <v>0</v>
      </c>
      <c r="AR23" s="104">
        <f>'Timing &amp; Flags'!AR54</f>
        <v>0</v>
      </c>
      <c r="AS23" s="104">
        <f>'Timing &amp; Flags'!AS54</f>
        <v>0</v>
      </c>
      <c r="AT23" s="104">
        <f>'Timing &amp; Flags'!AT54</f>
        <v>0</v>
      </c>
      <c r="AU23" s="104">
        <f>'Timing &amp; Flags'!AU54</f>
        <v>0</v>
      </c>
      <c r="AV23" s="104">
        <f>'Timing &amp; Flags'!AV54</f>
        <v>0</v>
      </c>
      <c r="AW23" s="104">
        <f>'Timing &amp; Flags'!AW54</f>
        <v>0</v>
      </c>
    </row>
    <row r="24" spans="1:50">
      <c r="B24" s="27" t="s">
        <v>57</v>
      </c>
      <c r="C24" s="15" t="s">
        <v>72</v>
      </c>
      <c r="D24" s="131">
        <f ca="1">SUM(I24:AW24)</f>
        <v>27.00004491354143</v>
      </c>
      <c r="E24" s="27"/>
      <c r="F24" s="27"/>
      <c r="G24" s="27"/>
      <c r="H24" s="27"/>
      <c r="I24" s="39">
        <f>'Timing &amp; Flags'!I55</f>
        <v>0</v>
      </c>
      <c r="J24" s="39">
        <f>'Timing &amp; Flags'!J55</f>
        <v>0</v>
      </c>
      <c r="K24" s="39">
        <f>'Timing &amp; Flags'!K55</f>
        <v>0</v>
      </c>
      <c r="L24" s="39">
        <f ca="1">'Timing &amp; Flags'!L55</f>
        <v>1</v>
      </c>
      <c r="M24" s="39">
        <f ca="1">'Timing &amp; Flags'!M55</f>
        <v>1</v>
      </c>
      <c r="N24" s="39">
        <f ca="1">'Timing &amp; Flags'!N55</f>
        <v>0.99726775956284153</v>
      </c>
      <c r="O24" s="39">
        <f ca="1">'Timing &amp; Flags'!O55</f>
        <v>1.0027397260273974</v>
      </c>
      <c r="P24" s="39">
        <f ca="1">'Timing &amp; Flags'!P55</f>
        <v>1</v>
      </c>
      <c r="Q24" s="39">
        <f ca="1">'Timing &amp; Flags'!Q55</f>
        <v>1</v>
      </c>
      <c r="R24" s="39">
        <f ca="1">'Timing &amp; Flags'!R55</f>
        <v>0.99726775956284153</v>
      </c>
      <c r="S24" s="39">
        <f ca="1">'Timing &amp; Flags'!S55</f>
        <v>1.0027397260273974</v>
      </c>
      <c r="T24" s="39">
        <f ca="1">'Timing &amp; Flags'!T55</f>
        <v>1</v>
      </c>
      <c r="U24" s="39">
        <f ca="1">'Timing &amp; Flags'!U55</f>
        <v>1</v>
      </c>
      <c r="V24" s="39">
        <f ca="1">'Timing &amp; Flags'!V55</f>
        <v>0.99726775956284153</v>
      </c>
      <c r="W24" s="39">
        <f ca="1">'Timing &amp; Flags'!W55</f>
        <v>1.0027397260273974</v>
      </c>
      <c r="X24" s="39">
        <f ca="1">'Timing &amp; Flags'!X55</f>
        <v>1</v>
      </c>
      <c r="Y24" s="39">
        <f ca="1">'Timing &amp; Flags'!Y55</f>
        <v>1</v>
      </c>
      <c r="Z24" s="39">
        <f ca="1">'Timing &amp; Flags'!Z55</f>
        <v>0.99726775956284153</v>
      </c>
      <c r="AA24" s="39">
        <f ca="1">'Timing &amp; Flags'!AA55</f>
        <v>1.0027397260273974</v>
      </c>
      <c r="AB24" s="39">
        <f ca="1">'Timing &amp; Flags'!AB55</f>
        <v>1</v>
      </c>
      <c r="AC24" s="39">
        <f ca="1">'Timing &amp; Flags'!AC55</f>
        <v>1</v>
      </c>
      <c r="AD24" s="39">
        <f ca="1">'Timing &amp; Flags'!AD55</f>
        <v>0.99726775956284153</v>
      </c>
      <c r="AE24" s="39">
        <f ca="1">'Timing &amp; Flags'!AE55</f>
        <v>1.0027397260273974</v>
      </c>
      <c r="AF24" s="39">
        <f ca="1">'Timing &amp; Flags'!AF55</f>
        <v>1</v>
      </c>
      <c r="AG24" s="39">
        <f ca="1">'Timing &amp; Flags'!AG55</f>
        <v>1</v>
      </c>
      <c r="AH24" s="39">
        <f ca="1">'Timing &amp; Flags'!AH55</f>
        <v>0.99726775956284153</v>
      </c>
      <c r="AI24" s="39">
        <f ca="1">'Timing &amp; Flags'!AI55</f>
        <v>1.0027397260273974</v>
      </c>
      <c r="AJ24" s="39">
        <f ca="1">'Timing &amp; Flags'!AJ55</f>
        <v>1</v>
      </c>
      <c r="AK24" s="39">
        <f ca="1">'Timing &amp; Flags'!AK55</f>
        <v>1</v>
      </c>
      <c r="AL24" s="39">
        <f ca="1">'Timing &amp; Flags'!AL55</f>
        <v>1</v>
      </c>
      <c r="AM24" s="39">
        <f>'Timing &amp; Flags'!AM55</f>
        <v>0</v>
      </c>
      <c r="AN24" s="39">
        <f>'Timing &amp; Flags'!AN55</f>
        <v>0</v>
      </c>
      <c r="AO24" s="39">
        <f>'Timing &amp; Flags'!AO55</f>
        <v>0</v>
      </c>
      <c r="AP24" s="39">
        <f>'Timing &amp; Flags'!AP55</f>
        <v>0</v>
      </c>
      <c r="AQ24" s="39">
        <f>'Timing &amp; Flags'!AQ55</f>
        <v>0</v>
      </c>
      <c r="AR24" s="39">
        <f>'Timing &amp; Flags'!AR55</f>
        <v>0</v>
      </c>
      <c r="AS24" s="39">
        <f>'Timing &amp; Flags'!AS55</f>
        <v>0</v>
      </c>
      <c r="AT24" s="39">
        <f>'Timing &amp; Flags'!AT55</f>
        <v>0</v>
      </c>
      <c r="AU24" s="39">
        <f>'Timing &amp; Flags'!AU55</f>
        <v>0</v>
      </c>
      <c r="AV24" s="39">
        <f>'Timing &amp; Flags'!AV55</f>
        <v>0</v>
      </c>
      <c r="AW24" s="39">
        <f>'Timing &amp; Flags'!AW55</f>
        <v>0</v>
      </c>
    </row>
    <row r="25" spans="1:50">
      <c r="B25" s="2" t="s">
        <v>71</v>
      </c>
      <c r="C25" s="132" t="s">
        <v>72</v>
      </c>
      <c r="D25" s="42">
        <f ca="1">SUM(D23:D24)</f>
        <v>30.000052399131668</v>
      </c>
      <c r="I25" s="17">
        <f ca="1">SUM(I23:I24)</f>
        <v>1</v>
      </c>
      <c r="J25" s="17">
        <f t="shared" ref="J25:AW25" ca="1" si="0">SUM(J23:J24)</f>
        <v>0.99726775956284153</v>
      </c>
      <c r="K25" s="17">
        <f t="shared" ca="1" si="0"/>
        <v>1.0027397260273974</v>
      </c>
      <c r="L25" s="17">
        <f t="shared" ca="1" si="0"/>
        <v>1</v>
      </c>
      <c r="M25" s="17">
        <f t="shared" ca="1" si="0"/>
        <v>1</v>
      </c>
      <c r="N25" s="17">
        <f t="shared" ca="1" si="0"/>
        <v>0.99726775956284153</v>
      </c>
      <c r="O25" s="17">
        <f t="shared" ca="1" si="0"/>
        <v>1.0027397260273974</v>
      </c>
      <c r="P25" s="17">
        <f t="shared" ca="1" si="0"/>
        <v>1</v>
      </c>
      <c r="Q25" s="17">
        <f t="shared" ca="1" si="0"/>
        <v>1</v>
      </c>
      <c r="R25" s="17">
        <f t="shared" ca="1" si="0"/>
        <v>0.99726775956284153</v>
      </c>
      <c r="S25" s="17">
        <f t="shared" ca="1" si="0"/>
        <v>1.0027397260273974</v>
      </c>
      <c r="T25" s="17">
        <f t="shared" ca="1" si="0"/>
        <v>1</v>
      </c>
      <c r="U25" s="17">
        <f t="shared" ca="1" si="0"/>
        <v>1</v>
      </c>
      <c r="V25" s="17">
        <f t="shared" ca="1" si="0"/>
        <v>0.99726775956284153</v>
      </c>
      <c r="W25" s="17">
        <f t="shared" ca="1" si="0"/>
        <v>1.0027397260273974</v>
      </c>
      <c r="X25" s="17">
        <f t="shared" ca="1" si="0"/>
        <v>1</v>
      </c>
      <c r="Y25" s="17">
        <f t="shared" ca="1" si="0"/>
        <v>1</v>
      </c>
      <c r="Z25" s="17">
        <f t="shared" ca="1" si="0"/>
        <v>0.99726775956284153</v>
      </c>
      <c r="AA25" s="17">
        <f t="shared" ca="1" si="0"/>
        <v>1.0027397260273974</v>
      </c>
      <c r="AB25" s="17">
        <f t="shared" ca="1" si="0"/>
        <v>1</v>
      </c>
      <c r="AC25" s="17">
        <f t="shared" ca="1" si="0"/>
        <v>1</v>
      </c>
      <c r="AD25" s="17">
        <f t="shared" ca="1" si="0"/>
        <v>0.99726775956284153</v>
      </c>
      <c r="AE25" s="17">
        <f t="shared" ca="1" si="0"/>
        <v>1.0027397260273974</v>
      </c>
      <c r="AF25" s="17">
        <f t="shared" ca="1" si="0"/>
        <v>1</v>
      </c>
      <c r="AG25" s="17">
        <f t="shared" ca="1" si="0"/>
        <v>1</v>
      </c>
      <c r="AH25" s="17">
        <f t="shared" ca="1" si="0"/>
        <v>0.99726775956284153</v>
      </c>
      <c r="AI25" s="17">
        <f t="shared" ca="1" si="0"/>
        <v>1.0027397260273974</v>
      </c>
      <c r="AJ25" s="17">
        <f t="shared" ca="1" si="0"/>
        <v>1</v>
      </c>
      <c r="AK25" s="17">
        <f t="shared" ca="1" si="0"/>
        <v>1</v>
      </c>
      <c r="AL25" s="17">
        <f t="shared" ca="1" si="0"/>
        <v>1</v>
      </c>
      <c r="AM25" s="17">
        <f t="shared" si="0"/>
        <v>0</v>
      </c>
      <c r="AN25" s="17">
        <f t="shared" si="0"/>
        <v>0</v>
      </c>
      <c r="AO25" s="17">
        <f t="shared" si="0"/>
        <v>0</v>
      </c>
      <c r="AP25" s="17">
        <f t="shared" si="0"/>
        <v>0</v>
      </c>
      <c r="AQ25" s="17">
        <f t="shared" si="0"/>
        <v>0</v>
      </c>
      <c r="AR25" s="17">
        <f t="shared" si="0"/>
        <v>0</v>
      </c>
      <c r="AS25" s="17">
        <f t="shared" si="0"/>
        <v>0</v>
      </c>
      <c r="AT25" s="17">
        <f t="shared" si="0"/>
        <v>0</v>
      </c>
      <c r="AU25" s="17">
        <f t="shared" si="0"/>
        <v>0</v>
      </c>
      <c r="AV25" s="17">
        <f t="shared" si="0"/>
        <v>0</v>
      </c>
      <c r="AW25" s="17">
        <f t="shared" si="0"/>
        <v>0</v>
      </c>
    </row>
    <row r="26" spans="1:50">
      <c r="C26" s="577"/>
      <c r="D26" s="42"/>
      <c r="I26" s="1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row>
    <row r="27" spans="1:50">
      <c r="B27" s="2" t="s">
        <v>1822</v>
      </c>
      <c r="C27" s="577"/>
      <c r="D27" s="42"/>
      <c r="I27" s="107">
        <f>'Timing &amp; Flags'!I158</f>
        <v>0</v>
      </c>
      <c r="J27" s="107">
        <f>'Timing &amp; Flags'!J158</f>
        <v>0</v>
      </c>
      <c r="K27" s="107">
        <f ca="1">'Timing &amp; Flags'!K158</f>
        <v>1</v>
      </c>
      <c r="L27" s="107">
        <f ca="1">'Timing &amp; Flags'!L158</f>
        <v>1</v>
      </c>
      <c r="M27" s="107">
        <f ca="1">'Timing &amp; Flags'!M158</f>
        <v>1</v>
      </c>
      <c r="N27" s="107">
        <f ca="1">'Timing &amp; Flags'!N158</f>
        <v>0.99726775956284153</v>
      </c>
      <c r="O27" s="107">
        <f ca="1">'Timing &amp; Flags'!O158</f>
        <v>1.0027397260273974</v>
      </c>
      <c r="P27" s="107">
        <f ca="1">'Timing &amp; Flags'!P158</f>
        <v>1</v>
      </c>
      <c r="Q27" s="107">
        <f ca="1">'Timing &amp; Flags'!Q158</f>
        <v>1</v>
      </c>
      <c r="R27" s="107">
        <f ca="1">'Timing &amp; Flags'!R158</f>
        <v>0.99726775956284153</v>
      </c>
      <c r="S27" s="107">
        <f ca="1">'Timing &amp; Flags'!S158</f>
        <v>1.0027397260273974</v>
      </c>
      <c r="T27" s="107">
        <f ca="1">'Timing &amp; Flags'!T158</f>
        <v>1</v>
      </c>
      <c r="U27" s="107">
        <f ca="1">'Timing &amp; Flags'!U158</f>
        <v>1</v>
      </c>
      <c r="V27" s="107">
        <f ca="1">'Timing &amp; Flags'!V158</f>
        <v>0.99726775956284153</v>
      </c>
      <c r="W27" s="107">
        <f ca="1">'Timing &amp; Flags'!W158</f>
        <v>1.0027397260273974</v>
      </c>
      <c r="X27" s="107">
        <f ca="1">'Timing &amp; Flags'!X158</f>
        <v>1</v>
      </c>
      <c r="Y27" s="107">
        <f ca="1">'Timing &amp; Flags'!Y158</f>
        <v>1</v>
      </c>
      <c r="Z27" s="107">
        <f ca="1">'Timing &amp; Flags'!Z158</f>
        <v>0.99726775956284153</v>
      </c>
      <c r="AA27" s="107">
        <f ca="1">'Timing &amp; Flags'!AA158</f>
        <v>1.0027397260273974</v>
      </c>
      <c r="AB27" s="107">
        <f ca="1">'Timing &amp; Flags'!AB158</f>
        <v>1</v>
      </c>
      <c r="AC27" s="107">
        <f ca="1">'Timing &amp; Flags'!AC158</f>
        <v>1</v>
      </c>
      <c r="AD27" s="107">
        <f ca="1">'Timing &amp; Flags'!AD158</f>
        <v>0.99726775956284153</v>
      </c>
      <c r="AE27" s="107">
        <f ca="1">'Timing &amp; Flags'!AE158</f>
        <v>1.0027397260273974</v>
      </c>
      <c r="AF27" s="107">
        <f ca="1">'Timing &amp; Flags'!AF158</f>
        <v>1</v>
      </c>
      <c r="AG27" s="107">
        <f ca="1">'Timing &amp; Flags'!AG158</f>
        <v>1</v>
      </c>
      <c r="AH27" s="107">
        <f ca="1">'Timing &amp; Flags'!AH158</f>
        <v>0.99726775956284153</v>
      </c>
      <c r="AI27" s="107">
        <f ca="1">'Timing &amp; Flags'!AI158</f>
        <v>1.0027397260273974</v>
      </c>
      <c r="AJ27" s="107">
        <f ca="1">'Timing &amp; Flags'!AJ158</f>
        <v>1</v>
      </c>
      <c r="AK27" s="107">
        <f ca="1">'Timing &amp; Flags'!AK158</f>
        <v>1</v>
      </c>
      <c r="AL27" s="107">
        <f ca="1">'Timing &amp; Flags'!AL158</f>
        <v>1</v>
      </c>
      <c r="AM27" s="107">
        <f>'Timing &amp; Flags'!AM158</f>
        <v>0</v>
      </c>
      <c r="AN27" s="107">
        <f>'Timing &amp; Flags'!AN158</f>
        <v>0</v>
      </c>
      <c r="AO27" s="107">
        <f>'Timing &amp; Flags'!AO158</f>
        <v>0</v>
      </c>
      <c r="AP27" s="107">
        <f>'Timing &amp; Flags'!AP158</f>
        <v>0</v>
      </c>
      <c r="AQ27" s="107">
        <f>'Timing &amp; Flags'!AQ158</f>
        <v>0</v>
      </c>
      <c r="AR27" s="107">
        <f>'Timing &amp; Flags'!AR158</f>
        <v>0</v>
      </c>
      <c r="AS27" s="107">
        <f>'Timing &amp; Flags'!AS158</f>
        <v>0</v>
      </c>
      <c r="AT27" s="107">
        <f>'Timing &amp; Flags'!AT158</f>
        <v>0</v>
      </c>
      <c r="AU27" s="107">
        <f>'Timing &amp; Flags'!AU158</f>
        <v>0</v>
      </c>
      <c r="AV27" s="107">
        <f>'Timing &amp; Flags'!AV158</f>
        <v>0</v>
      </c>
      <c r="AW27" s="107">
        <f>'Timing &amp; Flags'!AW158</f>
        <v>0</v>
      </c>
    </row>
    <row r="28" spans="1:50">
      <c r="B28" s="5" t="s">
        <v>1873</v>
      </c>
      <c r="I28" s="107">
        <f>'Timing &amp; Flags'!I151</f>
        <v>1</v>
      </c>
      <c r="J28" s="107">
        <f>'Timing &amp; Flags'!J151</f>
        <v>1</v>
      </c>
    </row>
    <row r="29" spans="1:50">
      <c r="B29" s="8"/>
      <c r="K29" s="107">
        <f>'Timing &amp; Flags'!K151</f>
        <v>0</v>
      </c>
    </row>
    <row r="30" spans="1:50">
      <c r="A30" s="103" t="s">
        <v>259</v>
      </c>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row>
    <row r="31" spans="1:50">
      <c r="B31" s="5"/>
    </row>
    <row r="32" spans="1:50">
      <c r="B32" s="26" t="s">
        <v>262</v>
      </c>
    </row>
    <row r="33" spans="1:50">
      <c r="B33" s="5"/>
    </row>
    <row r="34" spans="1:50">
      <c r="B34" s="5" t="s">
        <v>263</v>
      </c>
      <c r="I34" s="41">
        <f>H37</f>
        <v>0</v>
      </c>
      <c r="J34" s="41">
        <f t="shared" ref="J34:AI34" si="1">I37</f>
        <v>715288869.70235205</v>
      </c>
      <c r="K34" s="41">
        <f>J37</f>
        <v>3137677632.1611538</v>
      </c>
      <c r="L34" s="41">
        <f t="shared" ca="1" si="1"/>
        <v>0</v>
      </c>
      <c r="M34" s="41">
        <f t="shared" ca="1" si="1"/>
        <v>0</v>
      </c>
      <c r="N34" s="41">
        <f t="shared" ca="1" si="1"/>
        <v>0</v>
      </c>
      <c r="O34" s="41">
        <f t="shared" ca="1" si="1"/>
        <v>0</v>
      </c>
      <c r="P34" s="41">
        <f t="shared" ca="1" si="1"/>
        <v>0</v>
      </c>
      <c r="Q34" s="41">
        <f t="shared" ca="1" si="1"/>
        <v>0</v>
      </c>
      <c r="R34" s="41">
        <f t="shared" ca="1" si="1"/>
        <v>0</v>
      </c>
      <c r="S34" s="41">
        <f t="shared" ca="1" si="1"/>
        <v>0</v>
      </c>
      <c r="T34" s="41">
        <f t="shared" ca="1" si="1"/>
        <v>0</v>
      </c>
      <c r="U34" s="41">
        <f t="shared" ca="1" si="1"/>
        <v>0</v>
      </c>
      <c r="V34" s="41">
        <f t="shared" ca="1" si="1"/>
        <v>0</v>
      </c>
      <c r="W34" s="41">
        <f t="shared" ca="1" si="1"/>
        <v>0</v>
      </c>
      <c r="X34" s="41">
        <f t="shared" ca="1" si="1"/>
        <v>0</v>
      </c>
      <c r="Y34" s="41">
        <f t="shared" ca="1" si="1"/>
        <v>0</v>
      </c>
      <c r="Z34" s="41">
        <f t="shared" ca="1" si="1"/>
        <v>0</v>
      </c>
      <c r="AA34" s="41">
        <f t="shared" ca="1" si="1"/>
        <v>0</v>
      </c>
      <c r="AB34" s="41">
        <f t="shared" ca="1" si="1"/>
        <v>0</v>
      </c>
      <c r="AC34" s="41">
        <f t="shared" ca="1" si="1"/>
        <v>0</v>
      </c>
      <c r="AD34" s="41">
        <f t="shared" ca="1" si="1"/>
        <v>0</v>
      </c>
      <c r="AE34" s="41">
        <f t="shared" ca="1" si="1"/>
        <v>0</v>
      </c>
      <c r="AF34" s="41">
        <f t="shared" ca="1" si="1"/>
        <v>0</v>
      </c>
      <c r="AG34" s="41">
        <f t="shared" ca="1" si="1"/>
        <v>0</v>
      </c>
      <c r="AH34" s="41">
        <f t="shared" ca="1" si="1"/>
        <v>0</v>
      </c>
      <c r="AI34" s="41">
        <f t="shared" ca="1" si="1"/>
        <v>0</v>
      </c>
      <c r="AJ34" s="41">
        <f t="shared" ref="AJ34:AW34" ca="1" si="2">AI37</f>
        <v>0</v>
      </c>
      <c r="AK34" s="41">
        <f t="shared" si="2"/>
        <v>0</v>
      </c>
      <c r="AL34" s="41">
        <f t="shared" si="2"/>
        <v>0</v>
      </c>
      <c r="AM34" s="41">
        <f t="shared" si="2"/>
        <v>0</v>
      </c>
      <c r="AN34" s="41">
        <f t="shared" si="2"/>
        <v>0</v>
      </c>
      <c r="AO34" s="41">
        <f t="shared" si="2"/>
        <v>0</v>
      </c>
      <c r="AP34" s="41">
        <f t="shared" si="2"/>
        <v>0</v>
      </c>
      <c r="AQ34" s="41">
        <f t="shared" si="2"/>
        <v>0</v>
      </c>
      <c r="AR34" s="41">
        <f t="shared" si="2"/>
        <v>0</v>
      </c>
      <c r="AS34" s="41">
        <f t="shared" si="2"/>
        <v>0</v>
      </c>
      <c r="AT34" s="41">
        <f t="shared" si="2"/>
        <v>0</v>
      </c>
      <c r="AU34" s="41">
        <f t="shared" si="2"/>
        <v>0</v>
      </c>
      <c r="AV34" s="41">
        <f t="shared" si="2"/>
        <v>0</v>
      </c>
      <c r="AW34" s="41">
        <f t="shared" si="2"/>
        <v>0</v>
      </c>
    </row>
    <row r="35" spans="1:50">
      <c r="B35" s="5" t="s">
        <v>264</v>
      </c>
      <c r="I35" s="41">
        <f>SUMIF('Project Cost Monthly'!$I$6:$CB$6,'Fixed Assets'!I2,'Project Cost Monthly'!$I$213:$CB$213)</f>
        <v>715288869.70235205</v>
      </c>
      <c r="J35" s="41">
        <f>SUMIF('Project Cost Monthly'!$I$6:$CB$6,'Fixed Assets'!J2,'Project Cost Monthly'!$I$213:$CB$213)</f>
        <v>2422388762.4588017</v>
      </c>
      <c r="K35" s="41">
        <f>SUMIF('Project Cost Monthly'!$I$6:$CB$6,'Fixed Assets'!K2,'Project Cost Monthly'!$I$213:$CB$213)</f>
        <v>1002773460.639074</v>
      </c>
      <c r="L35" s="41">
        <f>SUMIF('Project Cost Monthly'!$I$6:$CB$6,'Fixed Assets'!L2,'Project Cost Monthly'!$I$213:$CB$213)</f>
        <v>0</v>
      </c>
      <c r="M35" s="41">
        <f>SUMIF('Project Cost Monthly'!$I$6:$CB$6,'Fixed Assets'!M2,'Project Cost Monthly'!$I$213:$CB$213)</f>
        <v>0</v>
      </c>
      <c r="N35" s="41">
        <f>SUMIF('Project Cost Monthly'!$I$6:$CB$6,'Fixed Assets'!N2,'Project Cost Monthly'!$I$213:$CB$213)</f>
        <v>0</v>
      </c>
      <c r="O35" s="41">
        <f>SUMIF('Project Cost Monthly'!$I$6:$CB$6,'Fixed Assets'!O2,'Project Cost Monthly'!$I$213:$CB$213)</f>
        <v>0</v>
      </c>
      <c r="P35" s="41">
        <f>SUMIF('Project Cost Monthly'!$I$6:$AI$6,'Fixed Assets'!P2,'Project Cost Monthly'!$I$193:$AI$193)</f>
        <v>0</v>
      </c>
      <c r="Q35" s="41">
        <f>SUMIF('Project Cost Monthly'!$I$6:$AI$6,'Fixed Assets'!Q2,'Project Cost Monthly'!$I$193:$AI$193)</f>
        <v>0</v>
      </c>
      <c r="R35" s="41">
        <f>SUMIF('Project Cost Monthly'!$I$6:$AI$6,'Fixed Assets'!R2,'Project Cost Monthly'!$I$193:$AI$193)</f>
        <v>0</v>
      </c>
      <c r="S35" s="41">
        <f>SUMIF('Project Cost Monthly'!$I$6:$AI$6,'Fixed Assets'!S2,'Project Cost Monthly'!$I$193:$AI$193)</f>
        <v>0</v>
      </c>
      <c r="T35" s="41">
        <f>SUMIF('Project Cost Monthly'!$I$6:$AI$6,'Fixed Assets'!T2,'Project Cost Monthly'!$I$193:$AI$193)</f>
        <v>0</v>
      </c>
      <c r="U35" s="41">
        <f>SUMIF('Project Cost Monthly'!$I$6:$AI$6,'Fixed Assets'!U2,'Project Cost Monthly'!$I$193:$AI$193)</f>
        <v>0</v>
      </c>
      <c r="V35" s="41">
        <f>SUMIF('Project Cost Monthly'!$I$6:$AI$6,'Fixed Assets'!V2,'Project Cost Monthly'!$I$193:$AI$193)</f>
        <v>0</v>
      </c>
      <c r="W35" s="41">
        <f>SUMIF('Project Cost Monthly'!$I$6:$AI$6,'Fixed Assets'!W2,'Project Cost Monthly'!$I$193:$AI$193)</f>
        <v>0</v>
      </c>
      <c r="X35" s="41">
        <f>SUMIF('Project Cost Monthly'!$I$6:$AI$6,'Fixed Assets'!X2,'Project Cost Monthly'!$I$193:$AI$193)</f>
        <v>0</v>
      </c>
      <c r="Y35" s="41">
        <f>SUMIF('Project Cost Monthly'!$I$6:$AI$6,'Fixed Assets'!Y2,'Project Cost Monthly'!$I$193:$AI$193)</f>
        <v>0</v>
      </c>
      <c r="Z35" s="41">
        <f>SUMIF('Project Cost Monthly'!$I$6:$AI$6,'Fixed Assets'!Z2,'Project Cost Monthly'!$I$193:$AI$193)</f>
        <v>0</v>
      </c>
      <c r="AA35" s="41">
        <f>SUMIF('Project Cost Monthly'!$I$6:$AI$6,'Fixed Assets'!AA2,'Project Cost Monthly'!$I$193:$AI$193)</f>
        <v>0</v>
      </c>
      <c r="AB35" s="41">
        <f>SUMIF('Project Cost Monthly'!$I$6:$AI$6,'Fixed Assets'!AB2,'Project Cost Monthly'!$I$193:$AI$193)</f>
        <v>0</v>
      </c>
      <c r="AC35" s="41">
        <f>SUMIF('Project Cost Monthly'!$I$6:$AI$6,'Fixed Assets'!AC2,'Project Cost Monthly'!$I$193:$AI$193)</f>
        <v>0</v>
      </c>
      <c r="AD35" s="41">
        <f>SUMIF('Project Cost Monthly'!$I$6:$AI$6,'Fixed Assets'!AD2,'Project Cost Monthly'!$I$193:$AI$193)</f>
        <v>0</v>
      </c>
      <c r="AE35" s="41">
        <f>SUMIF('Project Cost Monthly'!$I$6:$AI$6,'Fixed Assets'!AE2,'Project Cost Monthly'!$I$193:$AI$193)</f>
        <v>0</v>
      </c>
      <c r="AF35" s="41">
        <f>SUMIF('Project Cost Monthly'!$I$6:$AI$6,'Fixed Assets'!AF2,'Project Cost Monthly'!$I$193:$AI$193)</f>
        <v>0</v>
      </c>
      <c r="AG35" s="41">
        <f>SUMIF('Project Cost Monthly'!$I$6:$AI$6,'Fixed Assets'!AG2,'Project Cost Monthly'!$I$193:$AI$193)</f>
        <v>0</v>
      </c>
      <c r="AH35" s="41">
        <f>SUMIF('Project Cost Monthly'!$I$6:$AI$6,'Fixed Assets'!AH2,'Project Cost Monthly'!$I$193:$AI$193)</f>
        <v>0</v>
      </c>
      <c r="AI35" s="41">
        <f>SUMIF('Project Cost Monthly'!$I$6:$AI$6,'Fixed Assets'!AI2,'Project Cost Monthly'!$I$193:$AI$193)</f>
        <v>0</v>
      </c>
      <c r="AJ35" s="41">
        <f>SUMIF('Project Cost Monthly'!$I$6:$AI$6,'Fixed Assets'!AJ2,'Project Cost Monthly'!$I$193:$AI$193)</f>
        <v>0</v>
      </c>
      <c r="AK35" s="41">
        <f>SUMIF('Project Cost Monthly'!$I$6:$AI$6,'Fixed Assets'!AK2,'Project Cost Monthly'!$I$193:$AI$193)</f>
        <v>0</v>
      </c>
      <c r="AL35" s="41">
        <f>SUMIF('Project Cost Monthly'!$I$6:$AI$6,'Fixed Assets'!AL2,'Project Cost Monthly'!$I$193:$AI$193)</f>
        <v>0</v>
      </c>
      <c r="AM35" s="41">
        <f>SUMIF('Project Cost Monthly'!$I$6:$AI$6,'Fixed Assets'!AM2,'Project Cost Monthly'!$I$193:$AI$193)</f>
        <v>0</v>
      </c>
      <c r="AN35" s="41">
        <f>SUMIF('Project Cost Monthly'!$I$6:$AI$6,'Fixed Assets'!AN2,'Project Cost Monthly'!$I$193:$AI$193)</f>
        <v>0</v>
      </c>
      <c r="AO35" s="41">
        <f>SUMIF('Project Cost Monthly'!$I$6:$AI$6,'Fixed Assets'!AO2,'Project Cost Monthly'!$I$193:$AI$193)</f>
        <v>0</v>
      </c>
      <c r="AP35" s="41">
        <f>SUMIF('Project Cost Monthly'!$I$6:$AI$6,'Fixed Assets'!AP2,'Project Cost Monthly'!$I$193:$AI$193)</f>
        <v>0</v>
      </c>
      <c r="AQ35" s="41">
        <f>SUMIF('Project Cost Monthly'!$I$6:$AI$6,'Fixed Assets'!AQ2,'Project Cost Monthly'!$I$193:$AI$193)</f>
        <v>0</v>
      </c>
      <c r="AR35" s="41">
        <f>SUMIF('Project Cost Monthly'!$I$6:$AI$6,'Fixed Assets'!AR2,'Project Cost Monthly'!$I$193:$AI$193)</f>
        <v>0</v>
      </c>
      <c r="AS35" s="41">
        <f>SUMIF('Project Cost Monthly'!$I$6:$AI$6,'Fixed Assets'!AS2,'Project Cost Monthly'!$I$193:$AI$193)</f>
        <v>0</v>
      </c>
      <c r="AT35" s="41">
        <f>SUMIF('Project Cost Monthly'!$I$6:$AI$6,'Fixed Assets'!AT2,'Project Cost Monthly'!$I$193:$AI$193)</f>
        <v>0</v>
      </c>
      <c r="AU35" s="41">
        <f>SUMIF('Project Cost Monthly'!$I$6:$AI$6,'Fixed Assets'!AU2,'Project Cost Monthly'!$I$193:$AI$193)</f>
        <v>0</v>
      </c>
      <c r="AV35" s="41">
        <f>SUMIF('Project Cost Monthly'!$I$6:$AI$6,'Fixed Assets'!AV2,'Project Cost Monthly'!$I$193:$AI$193)</f>
        <v>0</v>
      </c>
      <c r="AW35" s="41">
        <f>SUMIF('Project Cost Monthly'!$I$6:$AI$6,'Fixed Assets'!AW2,'Project Cost Monthly'!$I$193:$AI$193)</f>
        <v>0</v>
      </c>
    </row>
    <row r="36" spans="1:50">
      <c r="B36" s="133" t="s">
        <v>265</v>
      </c>
      <c r="C36" s="27"/>
      <c r="D36" s="27"/>
      <c r="E36" s="27"/>
      <c r="F36" s="27"/>
      <c r="G36" s="27"/>
      <c r="H36" s="27"/>
      <c r="I36" s="43">
        <f>-SUM(I34:I35)*I27</f>
        <v>0</v>
      </c>
      <c r="J36" s="43">
        <f>-SUM(J34:J35)*J27</f>
        <v>0</v>
      </c>
      <c r="K36" s="43">
        <f ca="1">-SUM(K34:K35)*K27</f>
        <v>-4140451092.8002276</v>
      </c>
      <c r="L36" s="43">
        <f ca="1">-SUM(L34:L35)*L27</f>
        <v>0</v>
      </c>
      <c r="M36" s="43">
        <f t="shared" ref="M36:AI36" ca="1" si="3">-SUM(M34:M35)*M16</f>
        <v>0</v>
      </c>
      <c r="N36" s="43">
        <f t="shared" ca="1" si="3"/>
        <v>0</v>
      </c>
      <c r="O36" s="43">
        <f ca="1">-SUM(O34:O35)*O16</f>
        <v>0</v>
      </c>
      <c r="P36" s="43">
        <f t="shared" ca="1" si="3"/>
        <v>0</v>
      </c>
      <c r="Q36" s="43">
        <f t="shared" ca="1" si="3"/>
        <v>0</v>
      </c>
      <c r="R36" s="43">
        <f t="shared" ca="1" si="3"/>
        <v>0</v>
      </c>
      <c r="S36" s="43">
        <f t="shared" ca="1" si="3"/>
        <v>0</v>
      </c>
      <c r="T36" s="43">
        <f t="shared" ca="1" si="3"/>
        <v>0</v>
      </c>
      <c r="U36" s="43">
        <f t="shared" ca="1" si="3"/>
        <v>0</v>
      </c>
      <c r="V36" s="43">
        <f t="shared" ca="1" si="3"/>
        <v>0</v>
      </c>
      <c r="W36" s="43">
        <f t="shared" ca="1" si="3"/>
        <v>0</v>
      </c>
      <c r="X36" s="43">
        <f t="shared" ca="1" si="3"/>
        <v>0</v>
      </c>
      <c r="Y36" s="43">
        <f t="shared" ca="1" si="3"/>
        <v>0</v>
      </c>
      <c r="Z36" s="43">
        <f t="shared" ca="1" si="3"/>
        <v>0</v>
      </c>
      <c r="AA36" s="43">
        <f t="shared" ca="1" si="3"/>
        <v>0</v>
      </c>
      <c r="AB36" s="43">
        <f t="shared" ca="1" si="3"/>
        <v>0</v>
      </c>
      <c r="AC36" s="43">
        <f t="shared" ca="1" si="3"/>
        <v>0</v>
      </c>
      <c r="AD36" s="43">
        <f t="shared" ca="1" si="3"/>
        <v>0</v>
      </c>
      <c r="AE36" s="43">
        <f t="shared" ca="1" si="3"/>
        <v>0</v>
      </c>
      <c r="AF36" s="43">
        <f t="shared" ca="1" si="3"/>
        <v>0</v>
      </c>
      <c r="AG36" s="43">
        <f t="shared" ca="1" si="3"/>
        <v>0</v>
      </c>
      <c r="AH36" s="43">
        <f t="shared" ca="1" si="3"/>
        <v>0</v>
      </c>
      <c r="AI36" s="43">
        <f t="shared" ca="1" si="3"/>
        <v>0</v>
      </c>
      <c r="AJ36" s="43">
        <f t="shared" ref="AJ36:AW36" ca="1" si="4">-SUM(AJ34:AJ35)*AJ16</f>
        <v>0</v>
      </c>
      <c r="AK36" s="43">
        <f t="shared" si="4"/>
        <v>0</v>
      </c>
      <c r="AL36" s="43">
        <f t="shared" si="4"/>
        <v>0</v>
      </c>
      <c r="AM36" s="43">
        <f t="shared" si="4"/>
        <v>0</v>
      </c>
      <c r="AN36" s="43">
        <f t="shared" si="4"/>
        <v>0</v>
      </c>
      <c r="AO36" s="43">
        <f t="shared" si="4"/>
        <v>0</v>
      </c>
      <c r="AP36" s="43">
        <f t="shared" si="4"/>
        <v>0</v>
      </c>
      <c r="AQ36" s="43">
        <f t="shared" si="4"/>
        <v>0</v>
      </c>
      <c r="AR36" s="43">
        <f t="shared" si="4"/>
        <v>0</v>
      </c>
      <c r="AS36" s="43">
        <f t="shared" si="4"/>
        <v>0</v>
      </c>
      <c r="AT36" s="43">
        <f t="shared" si="4"/>
        <v>0</v>
      </c>
      <c r="AU36" s="43">
        <f t="shared" si="4"/>
        <v>0</v>
      </c>
      <c r="AV36" s="43">
        <f t="shared" si="4"/>
        <v>0</v>
      </c>
      <c r="AW36" s="43">
        <f t="shared" si="4"/>
        <v>0</v>
      </c>
    </row>
    <row r="37" spans="1:50">
      <c r="B37" s="5" t="s">
        <v>266</v>
      </c>
      <c r="H37" s="135"/>
      <c r="I37" s="42">
        <f>SUM(I34:I36)</f>
        <v>715288869.70235205</v>
      </c>
      <c r="J37" s="42">
        <f>SUM(J34:J36)</f>
        <v>3137677632.1611538</v>
      </c>
      <c r="K37" s="42">
        <f ca="1">SUM(K34:K36)</f>
        <v>0</v>
      </c>
      <c r="L37" s="42">
        <f t="shared" ref="L37:AI37" ca="1" si="5">SUM(L34:L36)</f>
        <v>0</v>
      </c>
      <c r="M37" s="42">
        <f t="shared" ca="1" si="5"/>
        <v>0</v>
      </c>
      <c r="N37" s="42">
        <f t="shared" ca="1" si="5"/>
        <v>0</v>
      </c>
      <c r="O37" s="42">
        <f t="shared" ca="1" si="5"/>
        <v>0</v>
      </c>
      <c r="P37" s="42">
        <f t="shared" ca="1" si="5"/>
        <v>0</v>
      </c>
      <c r="Q37" s="42">
        <f t="shared" ca="1" si="5"/>
        <v>0</v>
      </c>
      <c r="R37" s="42">
        <f t="shared" ca="1" si="5"/>
        <v>0</v>
      </c>
      <c r="S37" s="42">
        <f t="shared" ca="1" si="5"/>
        <v>0</v>
      </c>
      <c r="T37" s="42">
        <f t="shared" ca="1" si="5"/>
        <v>0</v>
      </c>
      <c r="U37" s="42">
        <f t="shared" ca="1" si="5"/>
        <v>0</v>
      </c>
      <c r="V37" s="42">
        <f t="shared" ca="1" si="5"/>
        <v>0</v>
      </c>
      <c r="W37" s="42">
        <f t="shared" ca="1" si="5"/>
        <v>0</v>
      </c>
      <c r="X37" s="42">
        <f t="shared" ca="1" si="5"/>
        <v>0</v>
      </c>
      <c r="Y37" s="42">
        <f t="shared" ca="1" si="5"/>
        <v>0</v>
      </c>
      <c r="Z37" s="42">
        <f t="shared" ca="1" si="5"/>
        <v>0</v>
      </c>
      <c r="AA37" s="42">
        <f t="shared" ca="1" si="5"/>
        <v>0</v>
      </c>
      <c r="AB37" s="42">
        <f t="shared" ca="1" si="5"/>
        <v>0</v>
      </c>
      <c r="AC37" s="42">
        <f t="shared" ca="1" si="5"/>
        <v>0</v>
      </c>
      <c r="AD37" s="42">
        <f t="shared" ca="1" si="5"/>
        <v>0</v>
      </c>
      <c r="AE37" s="42">
        <f t="shared" ca="1" si="5"/>
        <v>0</v>
      </c>
      <c r="AF37" s="42">
        <f t="shared" ca="1" si="5"/>
        <v>0</v>
      </c>
      <c r="AG37" s="42">
        <f t="shared" ca="1" si="5"/>
        <v>0</v>
      </c>
      <c r="AH37" s="42">
        <f t="shared" ca="1" si="5"/>
        <v>0</v>
      </c>
      <c r="AI37" s="42">
        <f t="shared" ca="1" si="5"/>
        <v>0</v>
      </c>
    </row>
    <row r="38" spans="1:50">
      <c r="B38" s="5"/>
    </row>
    <row r="39" spans="1:50">
      <c r="B39" s="26" t="s">
        <v>188</v>
      </c>
    </row>
    <row r="40" spans="1:50">
      <c r="B40" s="5"/>
    </row>
    <row r="41" spans="1:50">
      <c r="B41" s="134" t="s">
        <v>267</v>
      </c>
      <c r="C41" s="2" t="s">
        <v>45</v>
      </c>
      <c r="D41" s="2">
        <v>28</v>
      </c>
    </row>
    <row r="42" spans="1:50">
      <c r="B42" s="5"/>
    </row>
    <row r="43" spans="1:50">
      <c r="B43" s="8" t="s">
        <v>268</v>
      </c>
    </row>
    <row r="44" spans="1:50">
      <c r="B44" s="3" t="s">
        <v>264</v>
      </c>
      <c r="D44" s="42">
        <f ca="1">SUM(I44:AX44)</f>
        <v>4140451092.8002276</v>
      </c>
      <c r="I44" s="42">
        <f>-I36</f>
        <v>0</v>
      </c>
      <c r="J44" s="42">
        <f t="shared" ref="J44:AI44" si="6">-J36</f>
        <v>0</v>
      </c>
      <c r="K44" s="42">
        <f ca="1">-K36</f>
        <v>4140451092.8002276</v>
      </c>
      <c r="L44" s="42">
        <f ca="1">-L36</f>
        <v>0</v>
      </c>
      <c r="M44" s="42">
        <f t="shared" ca="1" si="6"/>
        <v>0</v>
      </c>
      <c r="N44" s="42">
        <f t="shared" ca="1" si="6"/>
        <v>0</v>
      </c>
      <c r="O44" s="42">
        <f ca="1">-O36</f>
        <v>0</v>
      </c>
      <c r="P44" s="42">
        <f t="shared" ca="1" si="6"/>
        <v>0</v>
      </c>
      <c r="Q44" s="42">
        <f t="shared" ca="1" si="6"/>
        <v>0</v>
      </c>
      <c r="R44" s="42">
        <f t="shared" ca="1" si="6"/>
        <v>0</v>
      </c>
      <c r="S44" s="42">
        <f t="shared" ca="1" si="6"/>
        <v>0</v>
      </c>
      <c r="T44" s="42">
        <f t="shared" ca="1" si="6"/>
        <v>0</v>
      </c>
      <c r="U44" s="42">
        <f t="shared" ca="1" si="6"/>
        <v>0</v>
      </c>
      <c r="V44" s="42">
        <f t="shared" ca="1" si="6"/>
        <v>0</v>
      </c>
      <c r="W44" s="42">
        <f t="shared" ca="1" si="6"/>
        <v>0</v>
      </c>
      <c r="X44" s="42">
        <f t="shared" ca="1" si="6"/>
        <v>0</v>
      </c>
      <c r="Y44" s="42">
        <f t="shared" ca="1" si="6"/>
        <v>0</v>
      </c>
      <c r="Z44" s="42">
        <f t="shared" ca="1" si="6"/>
        <v>0</v>
      </c>
      <c r="AA44" s="42">
        <f t="shared" ca="1" si="6"/>
        <v>0</v>
      </c>
      <c r="AB44" s="42">
        <f t="shared" ca="1" si="6"/>
        <v>0</v>
      </c>
      <c r="AC44" s="42">
        <f t="shared" ca="1" si="6"/>
        <v>0</v>
      </c>
      <c r="AD44" s="42">
        <f t="shared" ca="1" si="6"/>
        <v>0</v>
      </c>
      <c r="AE44" s="42">
        <f t="shared" ca="1" si="6"/>
        <v>0</v>
      </c>
      <c r="AF44" s="42">
        <f t="shared" ca="1" si="6"/>
        <v>0</v>
      </c>
      <c r="AG44" s="42">
        <f t="shared" ca="1" si="6"/>
        <v>0</v>
      </c>
      <c r="AH44" s="42">
        <f t="shared" ca="1" si="6"/>
        <v>0</v>
      </c>
      <c r="AI44" s="42">
        <f t="shared" ca="1" si="6"/>
        <v>0</v>
      </c>
      <c r="AJ44" s="42">
        <f t="shared" ref="AJ44:AX44" ca="1" si="7">-AJ36</f>
        <v>0</v>
      </c>
      <c r="AK44" s="42">
        <f t="shared" si="7"/>
        <v>0</v>
      </c>
      <c r="AL44" s="42">
        <f t="shared" si="7"/>
        <v>0</v>
      </c>
      <c r="AM44" s="42">
        <f t="shared" si="7"/>
        <v>0</v>
      </c>
      <c r="AN44" s="42">
        <f t="shared" si="7"/>
        <v>0</v>
      </c>
      <c r="AO44" s="42">
        <f t="shared" si="7"/>
        <v>0</v>
      </c>
      <c r="AP44" s="42">
        <f t="shared" si="7"/>
        <v>0</v>
      </c>
      <c r="AQ44" s="42">
        <f t="shared" si="7"/>
        <v>0</v>
      </c>
      <c r="AR44" s="42">
        <f t="shared" si="7"/>
        <v>0</v>
      </c>
      <c r="AS44" s="42">
        <f t="shared" si="7"/>
        <v>0</v>
      </c>
      <c r="AT44" s="42">
        <f t="shared" si="7"/>
        <v>0</v>
      </c>
      <c r="AU44" s="42">
        <f t="shared" si="7"/>
        <v>0</v>
      </c>
      <c r="AV44" s="42">
        <f t="shared" si="7"/>
        <v>0</v>
      </c>
      <c r="AW44" s="42">
        <f t="shared" si="7"/>
        <v>0</v>
      </c>
      <c r="AX44" s="42">
        <f t="shared" si="7"/>
        <v>0</v>
      </c>
    </row>
    <row r="45" spans="1:50">
      <c r="B45" s="5" t="s">
        <v>269</v>
      </c>
      <c r="D45" s="42">
        <f ca="1">SUM(I45:AX45)</f>
        <v>-3992577839.4859338</v>
      </c>
      <c r="I45" s="42">
        <f ca="1">IF($D$41=0,0,-(SUM(OFFSET(I44,,,1,-MIN(I2,$D$41)))/$D$41)*I17)</f>
        <v>0</v>
      </c>
      <c r="J45" s="42">
        <f t="shared" ref="J45:AI45" ca="1" si="8">IF($D$41=0,0,-(SUM(OFFSET(J44,,,1,-MIN(J2,$D$41)))/$D$41)*J17)</f>
        <v>0</v>
      </c>
      <c r="K45" s="42">
        <f t="shared" ca="1" si="8"/>
        <v>0</v>
      </c>
      <c r="L45" s="42">
        <f t="shared" ca="1" si="8"/>
        <v>-147873253.31429383</v>
      </c>
      <c r="M45" s="42">
        <f t="shared" ca="1" si="8"/>
        <v>-147873253.31429383</v>
      </c>
      <c r="N45" s="42">
        <f t="shared" ca="1" si="8"/>
        <v>-147873253.31429383</v>
      </c>
      <c r="O45" s="42">
        <f t="shared" ca="1" si="8"/>
        <v>-147873253.31429383</v>
      </c>
      <c r="P45" s="42">
        <f t="shared" ca="1" si="8"/>
        <v>-147873253.31429383</v>
      </c>
      <c r="Q45" s="42">
        <f t="shared" ca="1" si="8"/>
        <v>-147873253.31429383</v>
      </c>
      <c r="R45" s="42">
        <f t="shared" ca="1" si="8"/>
        <v>-147873253.31429383</v>
      </c>
      <c r="S45" s="42">
        <f t="shared" ca="1" si="8"/>
        <v>-147873253.31429383</v>
      </c>
      <c r="T45" s="42">
        <f t="shared" ca="1" si="8"/>
        <v>-147873253.31429383</v>
      </c>
      <c r="U45" s="42">
        <f t="shared" ca="1" si="8"/>
        <v>-147873253.31429383</v>
      </c>
      <c r="V45" s="42">
        <f t="shared" ca="1" si="8"/>
        <v>-147873253.31429383</v>
      </c>
      <c r="W45" s="42">
        <f t="shared" ca="1" si="8"/>
        <v>-147873253.31429383</v>
      </c>
      <c r="X45" s="42">
        <f t="shared" ca="1" si="8"/>
        <v>-147873253.31429383</v>
      </c>
      <c r="Y45" s="42">
        <f t="shared" ca="1" si="8"/>
        <v>-147873253.31429383</v>
      </c>
      <c r="Z45" s="42">
        <f t="shared" ca="1" si="8"/>
        <v>-147873253.31429383</v>
      </c>
      <c r="AA45" s="42">
        <f t="shared" ca="1" si="8"/>
        <v>-147873253.31429383</v>
      </c>
      <c r="AB45" s="42">
        <f t="shared" ca="1" si="8"/>
        <v>-147873253.31429383</v>
      </c>
      <c r="AC45" s="42">
        <f t="shared" ca="1" si="8"/>
        <v>-147873253.31429383</v>
      </c>
      <c r="AD45" s="42">
        <f t="shared" ca="1" si="8"/>
        <v>-147873253.31429383</v>
      </c>
      <c r="AE45" s="42">
        <f t="shared" ca="1" si="8"/>
        <v>-147873253.31429383</v>
      </c>
      <c r="AF45" s="42">
        <f t="shared" ca="1" si="8"/>
        <v>-147873253.31429383</v>
      </c>
      <c r="AG45" s="42">
        <f t="shared" ca="1" si="8"/>
        <v>-147873253.31429383</v>
      </c>
      <c r="AH45" s="42">
        <f t="shared" ca="1" si="8"/>
        <v>-147873253.31429383</v>
      </c>
      <c r="AI45" s="42">
        <f t="shared" ca="1" si="8"/>
        <v>-147873253.31429383</v>
      </c>
      <c r="AJ45" s="42">
        <f t="shared" ref="AJ45:AX45" ca="1" si="9">IF($D$41=0,0,-(SUM(OFFSET(AJ44,,,1,-MIN(AJ2,$D$41)))/$D$41)*AJ17)</f>
        <v>-147873253.31429383</v>
      </c>
      <c r="AK45" s="42">
        <f t="shared" ca="1" si="9"/>
        <v>-147873253.31429383</v>
      </c>
      <c r="AL45" s="42">
        <f t="shared" ca="1" si="9"/>
        <v>-147873253.31429383</v>
      </c>
      <c r="AM45" s="42">
        <f t="shared" ca="1" si="9"/>
        <v>0</v>
      </c>
      <c r="AN45" s="42">
        <f t="shared" ca="1" si="9"/>
        <v>0</v>
      </c>
      <c r="AO45" s="42">
        <f t="shared" ca="1" si="9"/>
        <v>0</v>
      </c>
      <c r="AP45" s="42">
        <f t="shared" ca="1" si="9"/>
        <v>0</v>
      </c>
      <c r="AQ45" s="42">
        <f t="shared" ca="1" si="9"/>
        <v>0</v>
      </c>
      <c r="AR45" s="42">
        <f t="shared" ca="1" si="9"/>
        <v>0</v>
      </c>
      <c r="AS45" s="42">
        <f t="shared" ca="1" si="9"/>
        <v>0</v>
      </c>
      <c r="AT45" s="42">
        <f t="shared" ca="1" si="9"/>
        <v>0</v>
      </c>
      <c r="AU45" s="42">
        <f t="shared" ca="1" si="9"/>
        <v>0</v>
      </c>
      <c r="AV45" s="42">
        <f t="shared" ca="1" si="9"/>
        <v>0</v>
      </c>
      <c r="AW45" s="42">
        <f t="shared" ca="1" si="9"/>
        <v>0</v>
      </c>
      <c r="AX45" s="42">
        <f t="shared" ca="1" si="9"/>
        <v>0</v>
      </c>
    </row>
    <row r="46" spans="1:50">
      <c r="A46" s="12"/>
      <c r="B46" s="2" t="s">
        <v>270</v>
      </c>
      <c r="D46" s="104">
        <f ca="1">SUM(I46:AX46)</f>
        <v>1</v>
      </c>
      <c r="H46" s="135"/>
      <c r="I46" s="136">
        <f>MIN((1/$D$41)*I27,1-SUM($H$46:H46)*I17)</f>
        <v>0</v>
      </c>
      <c r="J46" s="136">
        <f>MIN((1/$D$41)*J27,1-SUM($H$46:I46)*J17)</f>
        <v>0</v>
      </c>
      <c r="K46" s="136">
        <f ca="1">MIN((1/$D$41)*K27,1-SUM($H$46:J46)*K17)</f>
        <v>3.5714285714285712E-2</v>
      </c>
      <c r="L46" s="136">
        <f ca="1">MIN((1/$D$41)*L27,1-SUM($H$46:K46)*L17)</f>
        <v>3.5714285714285712E-2</v>
      </c>
      <c r="M46" s="136">
        <f ca="1">MIN((1/$D$41)*M27,1-SUM($H$46:L46)*M17)</f>
        <v>3.5714285714285712E-2</v>
      </c>
      <c r="N46" s="136">
        <f ca="1">MIN((1/$D$41)*N27,1-SUM($H$46:M46)*N17)</f>
        <v>3.561670569867291E-2</v>
      </c>
      <c r="O46" s="136">
        <f ca="1">MIN((1/$D$41)*O27,1-SUM($H$46:N46)*O17)</f>
        <v>3.5812133072407049E-2</v>
      </c>
      <c r="P46" s="136">
        <f ca="1">MIN((1/$D$41)*P27,1-SUM($H$46:O46)*P17)</f>
        <v>3.5714285714285712E-2</v>
      </c>
      <c r="Q46" s="136">
        <f ca="1">MIN((1/$D$41)*Q27,1-SUM($H$46:P46)*Q17)</f>
        <v>3.5714285714285712E-2</v>
      </c>
      <c r="R46" s="136">
        <f ca="1">MIN((1/$D$41)*R27,1-SUM($H$46:Q46)*R17)</f>
        <v>3.561670569867291E-2</v>
      </c>
      <c r="S46" s="136">
        <f ca="1">MIN((1/$D$41)*S27,1-SUM($H$46:R46)*S17)</f>
        <v>3.5812133072407049E-2</v>
      </c>
      <c r="T46" s="136">
        <f ca="1">MIN((1/$D$41)*T27,1-SUM($H$46:S46)*T17)</f>
        <v>3.5714285714285712E-2</v>
      </c>
      <c r="U46" s="136">
        <f ca="1">MIN((1/$D$41)*U27,1-SUM($H$46:T46)*U17)</f>
        <v>3.5714285714285712E-2</v>
      </c>
      <c r="V46" s="136">
        <f ca="1">MIN((1/$D$41)*V27,1-SUM($H$46:U46)*V17)</f>
        <v>3.561670569867291E-2</v>
      </c>
      <c r="W46" s="136">
        <f ca="1">MIN((1/$D$41)*W27,1-SUM($H$46:V46)*W17)</f>
        <v>3.5812133072407049E-2</v>
      </c>
      <c r="X46" s="136">
        <f ca="1">MIN((1/$D$41)*X27,1-SUM($H$46:W46)*X17)</f>
        <v>3.5714285714285712E-2</v>
      </c>
      <c r="Y46" s="136">
        <f ca="1">MIN((1/$D$41)*Y27,1-SUM($H$46:X46)*Y17)</f>
        <v>3.5714285714285712E-2</v>
      </c>
      <c r="Z46" s="136">
        <f ca="1">MIN((1/$D$41)*Z27,1-SUM($H$46:Y46)*Z17)</f>
        <v>3.561670569867291E-2</v>
      </c>
      <c r="AA46" s="136">
        <f ca="1">MIN((1/$D$41)*AA27,1-SUM($H$46:Z46)*AA17)</f>
        <v>3.5812133072407049E-2</v>
      </c>
      <c r="AB46" s="136">
        <f ca="1">MIN((1/$D$41)*AB27,1-SUM($H$46:AA46)*AB17)</f>
        <v>3.5714285714285712E-2</v>
      </c>
      <c r="AC46" s="136">
        <f ca="1">MIN((1/$D$41)*AC27,1-SUM($H$46:AB46)*AC17)</f>
        <v>3.5714285714285712E-2</v>
      </c>
      <c r="AD46" s="136">
        <f ca="1">MIN((1/$D$41)*AD27,1-SUM($H$46:AC46)*AD17)</f>
        <v>3.561670569867291E-2</v>
      </c>
      <c r="AE46" s="136">
        <f ca="1">MIN((1/$D$41)*AE27,1-SUM($H$46:AD46)*AE17)</f>
        <v>3.5812133072407049E-2</v>
      </c>
      <c r="AF46" s="136">
        <f ca="1">MIN((1/$D$41)*AF27,1-SUM($H$46:AE46)*AF17)</f>
        <v>3.5714285714285712E-2</v>
      </c>
      <c r="AG46" s="136">
        <f ca="1">MIN((1/$D$41)*AG27,1-SUM($H$46:AF46)*AG17)</f>
        <v>3.5714285714285712E-2</v>
      </c>
      <c r="AH46" s="136">
        <f ca="1">MIN((1/$D$41)*AH27,1-SUM($H$46:AG46)*AH17)</f>
        <v>3.561670569867291E-2</v>
      </c>
      <c r="AI46" s="136">
        <f ca="1">MIN((1/$D$41)*AI27,1-SUM($H$46:AH46)*AI17)</f>
        <v>3.5812133072407049E-2</v>
      </c>
      <c r="AJ46" s="136">
        <f ca="1">MIN((1/$D$41)*AJ27,1-SUM($H$46:AI46)*AJ17)</f>
        <v>3.5714285714285712E-2</v>
      </c>
      <c r="AK46" s="136">
        <f ca="1">MIN((1/$D$41)*AK27,1-SUM($H$46:AJ46)*AK17)</f>
        <v>3.5714285714285712E-2</v>
      </c>
      <c r="AL46" s="136">
        <f ca="1">MIN((1/$D$41)*AL27,1-SUM($H$46:AK46)*AL17)</f>
        <v>3.571268165923458E-2</v>
      </c>
      <c r="AM46" s="136">
        <f ca="1">MIN((1/$D$41)*AM27,1-SUM($H$46:AL46)*AM17)</f>
        <v>0</v>
      </c>
      <c r="AN46" s="136">
        <f ca="1">MIN((1/$D$41)*AN27,1-SUM($H$46:AM46)*AN17)</f>
        <v>0</v>
      </c>
      <c r="AO46" s="136">
        <f ca="1">MIN((1/$D$41)*AO27,1-SUM($H$46:AN46)*AO17)</f>
        <v>0</v>
      </c>
      <c r="AP46" s="136">
        <f ca="1">MIN((1/$D$41)*AP27,1-SUM($H$46:AO46)*AP17)</f>
        <v>0</v>
      </c>
      <c r="AQ46" s="136">
        <f ca="1">MIN((1/$D$41)*AQ27,1-SUM($H$46:AP46)*AQ17)</f>
        <v>0</v>
      </c>
      <c r="AR46" s="136">
        <f ca="1">MIN((1/$D$41)*AR27,1-SUM($H$46:AQ46)*AR17)</f>
        <v>0</v>
      </c>
      <c r="AS46" s="136">
        <f ca="1">MIN((1/$D$41)*AS27,1-SUM($H$46:AR46)*AS17)</f>
        <v>0</v>
      </c>
      <c r="AT46" s="136">
        <f ca="1">MIN((1/$D$41)*AT27,1-SUM($H$46:AS46)*AT17)</f>
        <v>0</v>
      </c>
      <c r="AU46" s="136">
        <f ca="1">MIN((1/$D$41)*AU27,1-SUM($H$46:AT46)*AU17)</f>
        <v>0</v>
      </c>
      <c r="AV46" s="136">
        <f ca="1">MIN((1/$D$41)*AV27,1-SUM($H$46:AU46)*AV17)</f>
        <v>0</v>
      </c>
      <c r="AW46" s="136">
        <f ca="1">MIN((1/$D$41)*AW27,1-SUM($H$46:AV46)*AW17)</f>
        <v>0</v>
      </c>
      <c r="AX46" s="136">
        <f ca="1">MIN((1/$D$41)*AX27,1-SUM($H$46:AW46)*AX17)</f>
        <v>0</v>
      </c>
    </row>
    <row r="47" spans="1:50">
      <c r="B47" s="2" t="s">
        <v>271</v>
      </c>
      <c r="D47" s="42">
        <f ca="1">SUM(I47:AX47)</f>
        <v>-4140451092.8002276</v>
      </c>
      <c r="I47" s="42">
        <f t="shared" ref="I47:AI47" ca="1" si="10">-I46*$D$44</f>
        <v>0</v>
      </c>
      <c r="J47" s="42">
        <f ca="1">-J46*$D$44</f>
        <v>0</v>
      </c>
      <c r="K47" s="42">
        <f ca="1">-K46*$D$44</f>
        <v>-147873253.31429383</v>
      </c>
      <c r="L47" s="42">
        <f ca="1">-L46*$D$44</f>
        <v>-147873253.31429383</v>
      </c>
      <c r="M47" s="42">
        <f t="shared" ca="1" si="10"/>
        <v>-147873253.31429383</v>
      </c>
      <c r="N47" s="42">
        <f t="shared" ca="1" si="10"/>
        <v>-147469228.03201434</v>
      </c>
      <c r="O47" s="42">
        <f t="shared" ca="1" si="10"/>
        <v>-148278385.51515493</v>
      </c>
      <c r="P47" s="42">
        <f t="shared" ca="1" si="10"/>
        <v>-147873253.31429383</v>
      </c>
      <c r="Q47" s="42">
        <f t="shared" ca="1" si="10"/>
        <v>-147873253.31429383</v>
      </c>
      <c r="R47" s="42">
        <f t="shared" ca="1" si="10"/>
        <v>-147469228.03201434</v>
      </c>
      <c r="S47" s="42">
        <f t="shared" ca="1" si="10"/>
        <v>-148278385.51515493</v>
      </c>
      <c r="T47" s="42">
        <f t="shared" ca="1" si="10"/>
        <v>-147873253.31429383</v>
      </c>
      <c r="U47" s="42">
        <f t="shared" ca="1" si="10"/>
        <v>-147873253.31429383</v>
      </c>
      <c r="V47" s="42">
        <f t="shared" ca="1" si="10"/>
        <v>-147469228.03201434</v>
      </c>
      <c r="W47" s="42">
        <f t="shared" ca="1" si="10"/>
        <v>-148278385.51515493</v>
      </c>
      <c r="X47" s="42">
        <f t="shared" ca="1" si="10"/>
        <v>-147873253.31429383</v>
      </c>
      <c r="Y47" s="42">
        <f t="shared" ca="1" si="10"/>
        <v>-147873253.31429383</v>
      </c>
      <c r="Z47" s="42">
        <f t="shared" ca="1" si="10"/>
        <v>-147469228.03201434</v>
      </c>
      <c r="AA47" s="42">
        <f t="shared" ca="1" si="10"/>
        <v>-148278385.51515493</v>
      </c>
      <c r="AB47" s="42">
        <f t="shared" ca="1" si="10"/>
        <v>-147873253.31429383</v>
      </c>
      <c r="AC47" s="42">
        <f t="shared" ca="1" si="10"/>
        <v>-147873253.31429383</v>
      </c>
      <c r="AD47" s="42">
        <f t="shared" ca="1" si="10"/>
        <v>-147469228.03201434</v>
      </c>
      <c r="AE47" s="42">
        <f t="shared" ca="1" si="10"/>
        <v>-148278385.51515493</v>
      </c>
      <c r="AF47" s="42">
        <f t="shared" ca="1" si="10"/>
        <v>-147873253.31429383</v>
      </c>
      <c r="AG47" s="42">
        <f t="shared" ca="1" si="10"/>
        <v>-147873253.31429383</v>
      </c>
      <c r="AH47" s="42">
        <f t="shared" ca="1" si="10"/>
        <v>-147469228.03201434</v>
      </c>
      <c r="AI47" s="42">
        <f t="shared" ca="1" si="10"/>
        <v>-148278385.51515493</v>
      </c>
      <c r="AJ47" s="42">
        <f t="shared" ref="AJ47:AX47" ca="1" si="11">-AJ46*$D$44</f>
        <v>-147873253.31429383</v>
      </c>
      <c r="AK47" s="42">
        <f t="shared" ca="1" si="11"/>
        <v>-147873253.31429383</v>
      </c>
      <c r="AL47" s="42">
        <f t="shared" ca="1" si="11"/>
        <v>-147866611.80280447</v>
      </c>
      <c r="AM47" s="42">
        <f t="shared" ca="1" si="11"/>
        <v>0</v>
      </c>
      <c r="AN47" s="42">
        <f t="shared" ca="1" si="11"/>
        <v>0</v>
      </c>
      <c r="AO47" s="42">
        <f t="shared" ca="1" si="11"/>
        <v>0</v>
      </c>
      <c r="AP47" s="42">
        <f t="shared" ca="1" si="11"/>
        <v>0</v>
      </c>
      <c r="AQ47" s="42">
        <f t="shared" ca="1" si="11"/>
        <v>0</v>
      </c>
      <c r="AR47" s="42">
        <f t="shared" ca="1" si="11"/>
        <v>0</v>
      </c>
      <c r="AS47" s="42">
        <f t="shared" ca="1" si="11"/>
        <v>0</v>
      </c>
      <c r="AT47" s="42">
        <f t="shared" ca="1" si="11"/>
        <v>0</v>
      </c>
      <c r="AU47" s="42">
        <f t="shared" ca="1" si="11"/>
        <v>0</v>
      </c>
      <c r="AV47" s="42">
        <f t="shared" ca="1" si="11"/>
        <v>0</v>
      </c>
      <c r="AW47" s="42">
        <f t="shared" ca="1" si="11"/>
        <v>0</v>
      </c>
      <c r="AX47" s="42">
        <f t="shared" ca="1" si="11"/>
        <v>0</v>
      </c>
    </row>
    <row r="48" spans="1:50">
      <c r="B48" s="10"/>
    </row>
    <row r="49" spans="1:50">
      <c r="B49" s="29" t="s">
        <v>272</v>
      </c>
    </row>
    <row r="50" spans="1:50">
      <c r="B50" s="2" t="s">
        <v>263</v>
      </c>
      <c r="I50" s="42">
        <f>H53</f>
        <v>0</v>
      </c>
      <c r="J50" s="42">
        <f t="shared" ref="J50:AI50" ca="1" si="12">I53</f>
        <v>0</v>
      </c>
      <c r="K50" s="42">
        <f t="shared" ca="1" si="12"/>
        <v>0</v>
      </c>
      <c r="L50" s="42">
        <f ca="1">K53</f>
        <v>3992577839.4859338</v>
      </c>
      <c r="M50" s="42">
        <f t="shared" ca="1" si="12"/>
        <v>3844704586.1716399</v>
      </c>
      <c r="N50" s="42">
        <f t="shared" ca="1" si="12"/>
        <v>3696831332.8573461</v>
      </c>
      <c r="O50" s="42">
        <f t="shared" ca="1" si="12"/>
        <v>3549362104.8253317</v>
      </c>
      <c r="P50" s="42">
        <f t="shared" ca="1" si="12"/>
        <v>3401083719.3101768</v>
      </c>
      <c r="Q50" s="42">
        <f t="shared" ca="1" si="12"/>
        <v>3253210465.995883</v>
      </c>
      <c r="R50" s="42">
        <f t="shared" ca="1" si="12"/>
        <v>3105337212.6815891</v>
      </c>
      <c r="S50" s="42">
        <f t="shared" ca="1" si="12"/>
        <v>2957867984.6495748</v>
      </c>
      <c r="T50" s="42">
        <f t="shared" ca="1" si="12"/>
        <v>2809589599.1344199</v>
      </c>
      <c r="U50" s="42">
        <f t="shared" ca="1" si="12"/>
        <v>2661716345.8201261</v>
      </c>
      <c r="V50" s="42">
        <f t="shared" ca="1" si="12"/>
        <v>2513843092.5058322</v>
      </c>
      <c r="W50" s="42">
        <f t="shared" ca="1" si="12"/>
        <v>2366373864.4738178</v>
      </c>
      <c r="X50" s="42">
        <f t="shared" ca="1" si="12"/>
        <v>2218095478.958663</v>
      </c>
      <c r="Y50" s="42">
        <f t="shared" ca="1" si="12"/>
        <v>2070222225.6443691</v>
      </c>
      <c r="Z50" s="42">
        <f t="shared" ca="1" si="12"/>
        <v>1922348972.3300753</v>
      </c>
      <c r="AA50" s="42">
        <f t="shared" ca="1" si="12"/>
        <v>1774879744.2980609</v>
      </c>
      <c r="AB50" s="42">
        <f t="shared" ca="1" si="12"/>
        <v>1626601358.7829061</v>
      </c>
      <c r="AC50" s="42">
        <f t="shared" ca="1" si="12"/>
        <v>1478728105.4686122</v>
      </c>
      <c r="AD50" s="42">
        <f t="shared" ca="1" si="12"/>
        <v>1330854852.1543183</v>
      </c>
      <c r="AE50" s="42">
        <f t="shared" ca="1" si="12"/>
        <v>1183385624.122304</v>
      </c>
      <c r="AF50" s="42">
        <f t="shared" ca="1" si="12"/>
        <v>1035107238.607149</v>
      </c>
      <c r="AG50" s="42">
        <f t="shared" ca="1" si="12"/>
        <v>887233985.29285514</v>
      </c>
      <c r="AH50" s="42">
        <f t="shared" ca="1" si="12"/>
        <v>739360731.97856128</v>
      </c>
      <c r="AI50" s="42">
        <f t="shared" ca="1" si="12"/>
        <v>591891503.94654691</v>
      </c>
      <c r="AJ50" s="42">
        <f t="shared" ref="AJ50:AX50" ca="1" si="13">AI53</f>
        <v>443613118.43139195</v>
      </c>
      <c r="AK50" s="42">
        <f t="shared" ca="1" si="13"/>
        <v>295739865.11709809</v>
      </c>
      <c r="AL50" s="42">
        <f t="shared" ca="1" si="13"/>
        <v>147866611.80280426</v>
      </c>
      <c r="AM50" s="42">
        <f t="shared" ca="1" si="13"/>
        <v>0</v>
      </c>
      <c r="AN50" s="42">
        <f t="shared" ca="1" si="13"/>
        <v>0</v>
      </c>
      <c r="AO50" s="42">
        <f t="shared" ca="1" si="13"/>
        <v>0</v>
      </c>
      <c r="AP50" s="42">
        <f t="shared" ca="1" si="13"/>
        <v>0</v>
      </c>
      <c r="AQ50" s="42">
        <f t="shared" ca="1" si="13"/>
        <v>0</v>
      </c>
      <c r="AR50" s="42">
        <f t="shared" ca="1" si="13"/>
        <v>0</v>
      </c>
      <c r="AS50" s="42">
        <f t="shared" ca="1" si="13"/>
        <v>0</v>
      </c>
      <c r="AT50" s="42">
        <f t="shared" ca="1" si="13"/>
        <v>0</v>
      </c>
      <c r="AU50" s="42">
        <f t="shared" ca="1" si="13"/>
        <v>0</v>
      </c>
      <c r="AV50" s="42">
        <f t="shared" ca="1" si="13"/>
        <v>0</v>
      </c>
      <c r="AW50" s="42">
        <f t="shared" ca="1" si="13"/>
        <v>0</v>
      </c>
      <c r="AX50" s="42">
        <f t="shared" ca="1" si="13"/>
        <v>0</v>
      </c>
    </row>
    <row r="51" spans="1:50">
      <c r="B51" s="2" t="s">
        <v>264</v>
      </c>
      <c r="D51" s="42">
        <f ca="1">SUM(I51:AX51)</f>
        <v>4140451092.8002276</v>
      </c>
      <c r="I51" s="42">
        <f>I44</f>
        <v>0</v>
      </c>
      <c r="J51" s="42">
        <f t="shared" ref="J51:AI51" si="14">J44</f>
        <v>0</v>
      </c>
      <c r="K51" s="42">
        <f t="shared" ca="1" si="14"/>
        <v>4140451092.8002276</v>
      </c>
      <c r="L51" s="42">
        <f t="shared" ca="1" si="14"/>
        <v>0</v>
      </c>
      <c r="M51" s="42">
        <f t="shared" ca="1" si="14"/>
        <v>0</v>
      </c>
      <c r="N51" s="42">
        <f t="shared" ca="1" si="14"/>
        <v>0</v>
      </c>
      <c r="O51" s="42">
        <f t="shared" ca="1" si="14"/>
        <v>0</v>
      </c>
      <c r="P51" s="42">
        <f t="shared" ca="1" si="14"/>
        <v>0</v>
      </c>
      <c r="Q51" s="42">
        <f t="shared" ca="1" si="14"/>
        <v>0</v>
      </c>
      <c r="R51" s="42">
        <f t="shared" ca="1" si="14"/>
        <v>0</v>
      </c>
      <c r="S51" s="42">
        <f t="shared" ca="1" si="14"/>
        <v>0</v>
      </c>
      <c r="T51" s="42">
        <f t="shared" ca="1" si="14"/>
        <v>0</v>
      </c>
      <c r="U51" s="42">
        <f t="shared" ca="1" si="14"/>
        <v>0</v>
      </c>
      <c r="V51" s="42">
        <f t="shared" ca="1" si="14"/>
        <v>0</v>
      </c>
      <c r="W51" s="42">
        <f t="shared" ca="1" si="14"/>
        <v>0</v>
      </c>
      <c r="X51" s="42">
        <f t="shared" ca="1" si="14"/>
        <v>0</v>
      </c>
      <c r="Y51" s="42">
        <f t="shared" ca="1" si="14"/>
        <v>0</v>
      </c>
      <c r="Z51" s="42">
        <f t="shared" ca="1" si="14"/>
        <v>0</v>
      </c>
      <c r="AA51" s="42">
        <f t="shared" ca="1" si="14"/>
        <v>0</v>
      </c>
      <c r="AB51" s="42">
        <f t="shared" ca="1" si="14"/>
        <v>0</v>
      </c>
      <c r="AC51" s="42">
        <f t="shared" ca="1" si="14"/>
        <v>0</v>
      </c>
      <c r="AD51" s="42">
        <f t="shared" ca="1" si="14"/>
        <v>0</v>
      </c>
      <c r="AE51" s="42">
        <f t="shared" ca="1" si="14"/>
        <v>0</v>
      </c>
      <c r="AF51" s="42">
        <f t="shared" ca="1" si="14"/>
        <v>0</v>
      </c>
      <c r="AG51" s="42">
        <f t="shared" ca="1" si="14"/>
        <v>0</v>
      </c>
      <c r="AH51" s="42">
        <f t="shared" ca="1" si="14"/>
        <v>0</v>
      </c>
      <c r="AI51" s="42">
        <f t="shared" ca="1" si="14"/>
        <v>0</v>
      </c>
      <c r="AJ51" s="42">
        <f t="shared" ref="AJ51:AX51" ca="1" si="15">AJ44</f>
        <v>0</v>
      </c>
      <c r="AK51" s="42">
        <f t="shared" si="15"/>
        <v>0</v>
      </c>
      <c r="AL51" s="42">
        <f t="shared" si="15"/>
        <v>0</v>
      </c>
      <c r="AM51" s="42">
        <f t="shared" si="15"/>
        <v>0</v>
      </c>
      <c r="AN51" s="42">
        <f t="shared" si="15"/>
        <v>0</v>
      </c>
      <c r="AO51" s="42">
        <f t="shared" si="15"/>
        <v>0</v>
      </c>
      <c r="AP51" s="42">
        <f t="shared" si="15"/>
        <v>0</v>
      </c>
      <c r="AQ51" s="42">
        <f t="shared" si="15"/>
        <v>0</v>
      </c>
      <c r="AR51" s="42">
        <f t="shared" si="15"/>
        <v>0</v>
      </c>
      <c r="AS51" s="42">
        <f t="shared" si="15"/>
        <v>0</v>
      </c>
      <c r="AT51" s="42">
        <f t="shared" si="15"/>
        <v>0</v>
      </c>
      <c r="AU51" s="42">
        <f t="shared" si="15"/>
        <v>0</v>
      </c>
      <c r="AV51" s="42">
        <f t="shared" si="15"/>
        <v>0</v>
      </c>
      <c r="AW51" s="42">
        <f t="shared" si="15"/>
        <v>0</v>
      </c>
      <c r="AX51" s="42">
        <f t="shared" si="15"/>
        <v>0</v>
      </c>
    </row>
    <row r="52" spans="1:50">
      <c r="B52" s="27" t="s">
        <v>269</v>
      </c>
      <c r="C52" s="27"/>
      <c r="D52" s="108">
        <f ca="1">SUM(I52:AX52)</f>
        <v>-4140451092.8002276</v>
      </c>
      <c r="E52" s="27"/>
      <c r="F52" s="27"/>
      <c r="G52" s="27"/>
      <c r="H52" s="27"/>
      <c r="I52" s="108">
        <f ca="1">I47</f>
        <v>0</v>
      </c>
      <c r="J52" s="108">
        <f t="shared" ref="J52:AI52" ca="1" si="16">J47</f>
        <v>0</v>
      </c>
      <c r="K52" s="108">
        <f ca="1">K47</f>
        <v>-147873253.31429383</v>
      </c>
      <c r="L52" s="108">
        <f t="shared" ca="1" si="16"/>
        <v>-147873253.31429383</v>
      </c>
      <c r="M52" s="108">
        <f t="shared" ca="1" si="16"/>
        <v>-147873253.31429383</v>
      </c>
      <c r="N52" s="108">
        <f t="shared" ca="1" si="16"/>
        <v>-147469228.03201434</v>
      </c>
      <c r="O52" s="108">
        <f t="shared" ca="1" si="16"/>
        <v>-148278385.51515493</v>
      </c>
      <c r="P52" s="108">
        <f t="shared" ca="1" si="16"/>
        <v>-147873253.31429383</v>
      </c>
      <c r="Q52" s="108">
        <f t="shared" ca="1" si="16"/>
        <v>-147873253.31429383</v>
      </c>
      <c r="R52" s="108">
        <f t="shared" ca="1" si="16"/>
        <v>-147469228.03201434</v>
      </c>
      <c r="S52" s="108">
        <f t="shared" ca="1" si="16"/>
        <v>-148278385.51515493</v>
      </c>
      <c r="T52" s="108">
        <f t="shared" ca="1" si="16"/>
        <v>-147873253.31429383</v>
      </c>
      <c r="U52" s="108">
        <f t="shared" ca="1" si="16"/>
        <v>-147873253.31429383</v>
      </c>
      <c r="V52" s="108">
        <f t="shared" ca="1" si="16"/>
        <v>-147469228.03201434</v>
      </c>
      <c r="W52" s="108">
        <f t="shared" ca="1" si="16"/>
        <v>-148278385.51515493</v>
      </c>
      <c r="X52" s="108">
        <f t="shared" ca="1" si="16"/>
        <v>-147873253.31429383</v>
      </c>
      <c r="Y52" s="108">
        <f t="shared" ca="1" si="16"/>
        <v>-147873253.31429383</v>
      </c>
      <c r="Z52" s="108">
        <f t="shared" ca="1" si="16"/>
        <v>-147469228.03201434</v>
      </c>
      <c r="AA52" s="108">
        <f t="shared" ca="1" si="16"/>
        <v>-148278385.51515493</v>
      </c>
      <c r="AB52" s="108">
        <f t="shared" ca="1" si="16"/>
        <v>-147873253.31429383</v>
      </c>
      <c r="AC52" s="108">
        <f t="shared" ca="1" si="16"/>
        <v>-147873253.31429383</v>
      </c>
      <c r="AD52" s="108">
        <f t="shared" ca="1" si="16"/>
        <v>-147469228.03201434</v>
      </c>
      <c r="AE52" s="108">
        <f t="shared" ca="1" si="16"/>
        <v>-148278385.51515493</v>
      </c>
      <c r="AF52" s="108">
        <f t="shared" ca="1" si="16"/>
        <v>-147873253.31429383</v>
      </c>
      <c r="AG52" s="108">
        <f t="shared" ca="1" si="16"/>
        <v>-147873253.31429383</v>
      </c>
      <c r="AH52" s="108">
        <f t="shared" ca="1" si="16"/>
        <v>-147469228.03201434</v>
      </c>
      <c r="AI52" s="108">
        <f t="shared" ca="1" si="16"/>
        <v>-148278385.51515493</v>
      </c>
      <c r="AJ52" s="108">
        <f t="shared" ref="AJ52:AX52" ca="1" si="17">AJ47</f>
        <v>-147873253.31429383</v>
      </c>
      <c r="AK52" s="108">
        <f t="shared" ca="1" si="17"/>
        <v>-147873253.31429383</v>
      </c>
      <c r="AL52" s="108">
        <f t="shared" ca="1" si="17"/>
        <v>-147866611.80280447</v>
      </c>
      <c r="AM52" s="108">
        <f t="shared" ca="1" si="17"/>
        <v>0</v>
      </c>
      <c r="AN52" s="108">
        <f t="shared" ca="1" si="17"/>
        <v>0</v>
      </c>
      <c r="AO52" s="108">
        <f t="shared" ca="1" si="17"/>
        <v>0</v>
      </c>
      <c r="AP52" s="108">
        <f t="shared" ca="1" si="17"/>
        <v>0</v>
      </c>
      <c r="AQ52" s="108">
        <f t="shared" ca="1" si="17"/>
        <v>0</v>
      </c>
      <c r="AR52" s="108">
        <f t="shared" ca="1" si="17"/>
        <v>0</v>
      </c>
      <c r="AS52" s="108">
        <f t="shared" ca="1" si="17"/>
        <v>0</v>
      </c>
      <c r="AT52" s="108">
        <f t="shared" ca="1" si="17"/>
        <v>0</v>
      </c>
      <c r="AU52" s="108">
        <f t="shared" ca="1" si="17"/>
        <v>0</v>
      </c>
      <c r="AV52" s="108">
        <f t="shared" ca="1" si="17"/>
        <v>0</v>
      </c>
      <c r="AW52" s="108">
        <f t="shared" ca="1" si="17"/>
        <v>0</v>
      </c>
      <c r="AX52" s="108">
        <f t="shared" ca="1" si="17"/>
        <v>0</v>
      </c>
    </row>
    <row r="53" spans="1:50">
      <c r="B53" s="2" t="s">
        <v>266</v>
      </c>
      <c r="H53" s="135"/>
      <c r="I53" s="42">
        <f ca="1">SUM(I50:I52)</f>
        <v>0</v>
      </c>
      <c r="J53" s="42">
        <f t="shared" ref="J53:AX53" ca="1" si="18">SUM(J50:J52)</f>
        <v>0</v>
      </c>
      <c r="K53" s="42">
        <f t="shared" ca="1" si="18"/>
        <v>3992577839.4859338</v>
      </c>
      <c r="L53" s="42">
        <f t="shared" ca="1" si="18"/>
        <v>3844704586.1716399</v>
      </c>
      <c r="M53" s="42">
        <f t="shared" ca="1" si="18"/>
        <v>3696831332.8573461</v>
      </c>
      <c r="N53" s="42">
        <f t="shared" ca="1" si="18"/>
        <v>3549362104.8253317</v>
      </c>
      <c r="O53" s="42">
        <f t="shared" ca="1" si="18"/>
        <v>3401083719.3101768</v>
      </c>
      <c r="P53" s="42">
        <f t="shared" ca="1" si="18"/>
        <v>3253210465.995883</v>
      </c>
      <c r="Q53" s="42">
        <f t="shared" ca="1" si="18"/>
        <v>3105337212.6815891</v>
      </c>
      <c r="R53" s="42">
        <f t="shared" ca="1" si="18"/>
        <v>2957867984.6495748</v>
      </c>
      <c r="S53" s="42">
        <f t="shared" ca="1" si="18"/>
        <v>2809589599.1344199</v>
      </c>
      <c r="T53" s="42">
        <f t="shared" ca="1" si="18"/>
        <v>2661716345.8201261</v>
      </c>
      <c r="U53" s="42">
        <f t="shared" ca="1" si="18"/>
        <v>2513843092.5058322</v>
      </c>
      <c r="V53" s="42">
        <f t="shared" ca="1" si="18"/>
        <v>2366373864.4738178</v>
      </c>
      <c r="W53" s="42">
        <f t="shared" ca="1" si="18"/>
        <v>2218095478.958663</v>
      </c>
      <c r="X53" s="42">
        <f t="shared" ca="1" si="18"/>
        <v>2070222225.6443691</v>
      </c>
      <c r="Y53" s="42">
        <f t="shared" ca="1" si="18"/>
        <v>1922348972.3300753</v>
      </c>
      <c r="Z53" s="42">
        <f t="shared" ca="1" si="18"/>
        <v>1774879744.2980609</v>
      </c>
      <c r="AA53" s="42">
        <f t="shared" ca="1" si="18"/>
        <v>1626601358.7829061</v>
      </c>
      <c r="AB53" s="42">
        <f t="shared" ca="1" si="18"/>
        <v>1478728105.4686122</v>
      </c>
      <c r="AC53" s="42">
        <f t="shared" ca="1" si="18"/>
        <v>1330854852.1543183</v>
      </c>
      <c r="AD53" s="42">
        <f t="shared" ca="1" si="18"/>
        <v>1183385624.122304</v>
      </c>
      <c r="AE53" s="42">
        <f t="shared" ca="1" si="18"/>
        <v>1035107238.607149</v>
      </c>
      <c r="AF53" s="42">
        <f t="shared" ca="1" si="18"/>
        <v>887233985.29285514</v>
      </c>
      <c r="AG53" s="42">
        <f t="shared" ca="1" si="18"/>
        <v>739360731.97856128</v>
      </c>
      <c r="AH53" s="42">
        <f t="shared" ca="1" si="18"/>
        <v>591891503.94654691</v>
      </c>
      <c r="AI53" s="42">
        <f t="shared" ca="1" si="18"/>
        <v>443613118.43139195</v>
      </c>
      <c r="AJ53" s="42">
        <f t="shared" ca="1" si="18"/>
        <v>295739865.11709809</v>
      </c>
      <c r="AK53" s="42">
        <f t="shared" ca="1" si="18"/>
        <v>147866611.80280426</v>
      </c>
      <c r="AL53" s="42">
        <f t="shared" ca="1" si="18"/>
        <v>0</v>
      </c>
      <c r="AM53" s="42">
        <f t="shared" ca="1" si="18"/>
        <v>0</v>
      </c>
      <c r="AN53" s="42">
        <f t="shared" ca="1" si="18"/>
        <v>0</v>
      </c>
      <c r="AO53" s="42">
        <f t="shared" ca="1" si="18"/>
        <v>0</v>
      </c>
      <c r="AP53" s="42">
        <f t="shared" ca="1" si="18"/>
        <v>0</v>
      </c>
      <c r="AQ53" s="42">
        <f t="shared" ca="1" si="18"/>
        <v>0</v>
      </c>
      <c r="AR53" s="42">
        <f t="shared" ca="1" si="18"/>
        <v>0</v>
      </c>
      <c r="AS53" s="42">
        <f t="shared" ca="1" si="18"/>
        <v>0</v>
      </c>
      <c r="AT53" s="42">
        <f t="shared" ca="1" si="18"/>
        <v>0</v>
      </c>
      <c r="AU53" s="42">
        <f t="shared" ca="1" si="18"/>
        <v>0</v>
      </c>
      <c r="AV53" s="42">
        <f t="shared" ca="1" si="18"/>
        <v>0</v>
      </c>
      <c r="AW53" s="42">
        <f t="shared" ca="1" si="18"/>
        <v>0</v>
      </c>
      <c r="AX53" s="42">
        <f t="shared" ca="1" si="18"/>
        <v>0</v>
      </c>
    </row>
    <row r="55" spans="1:50">
      <c r="A55" s="130" t="s">
        <v>109</v>
      </c>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row>
    <row r="56" spans="1:50">
      <c r="B56" s="11"/>
    </row>
    <row r="58" spans="1:50">
      <c r="A58" s="12"/>
    </row>
    <row r="60" spans="1:50">
      <c r="M60" s="42">
        <f ca="1">0.65*L52</f>
        <v>-96117614.654290989</v>
      </c>
    </row>
    <row r="61" spans="1:50">
      <c r="M61" s="42"/>
    </row>
    <row r="62" spans="1:50">
      <c r="M62" s="42">
        <f ca="1">0.35*L52</f>
        <v>-51755638.660002835</v>
      </c>
    </row>
    <row r="65" spans="1:1">
      <c r="A65" s="12"/>
    </row>
  </sheetData>
  <sheetProtection formatCells="0" formatColumns="0" formatRows="0" insertColumns="0" insertRows="0" insertHyperlinks="0" deleteColumns="0" deleteRows="0" sort="0" autoFilter="0" pivotTables="0"/>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87280-882F-4CF4-88A8-0A9BCB1495EE}">
  <sheetPr codeName="Sheet32"/>
  <dimension ref="C2:M22"/>
  <sheetViews>
    <sheetView zoomScale="92" zoomScaleNormal="92" workbookViewId="0">
      <selection activeCell="G26" sqref="G26"/>
    </sheetView>
  </sheetViews>
  <sheetFormatPr defaultRowHeight="15"/>
  <cols>
    <col min="4" max="4" width="11.296875" bestFit="1" customWidth="1"/>
    <col min="7" max="7" width="37.26171875" customWidth="1"/>
    <col min="8" max="8" width="23.26953125" customWidth="1"/>
    <col min="9" max="9" width="19.90625" customWidth="1"/>
    <col min="10" max="10" width="11.296875" bestFit="1" customWidth="1"/>
  </cols>
  <sheetData>
    <row r="2" spans="3:13" ht="15.75" thickBot="1">
      <c r="J2">
        <v>1500</v>
      </c>
    </row>
    <row r="3" spans="3:13" ht="19.149999999999999" customHeight="1">
      <c r="G3" s="1670" t="s">
        <v>1290</v>
      </c>
      <c r="H3" s="1671" t="s">
        <v>1291</v>
      </c>
      <c r="I3" s="1672" t="s">
        <v>1292</v>
      </c>
    </row>
    <row r="4" spans="3:13" ht="15.75">
      <c r="G4" s="1673" t="s">
        <v>1391</v>
      </c>
      <c r="H4" s="1674"/>
      <c r="I4" s="1675">
        <f>'Methanol Data '!I45</f>
        <v>357.47680272448684</v>
      </c>
      <c r="J4" s="311">
        <f>I4*$J$2</f>
        <v>536215.20408673026</v>
      </c>
    </row>
    <row r="5" spans="3:13" ht="15.75">
      <c r="G5" s="1673" t="s">
        <v>1293</v>
      </c>
      <c r="H5" s="1674"/>
      <c r="I5" s="1676">
        <v>100</v>
      </c>
      <c r="J5" s="311">
        <f t="shared" ref="J5:J22" si="0">I5*$J$2</f>
        <v>150000</v>
      </c>
    </row>
    <row r="6" spans="3:13" ht="15.75">
      <c r="G6" s="1673" t="s">
        <v>1296</v>
      </c>
      <c r="H6" s="1674"/>
      <c r="I6" s="1675">
        <f>I4+I5</f>
        <v>457.47680272448684</v>
      </c>
      <c r="J6" s="311">
        <f t="shared" si="0"/>
        <v>686215.20408673026</v>
      </c>
    </row>
    <row r="7" spans="3:13" ht="15.75">
      <c r="C7">
        <f>313.5*1500</f>
        <v>470250</v>
      </c>
      <c r="G7" s="1673" t="s">
        <v>760</v>
      </c>
      <c r="H7" s="1674" t="s">
        <v>1295</v>
      </c>
      <c r="I7" s="1675">
        <f>0.06*I6</f>
        <v>27.44860816346921</v>
      </c>
      <c r="J7" s="311">
        <f t="shared" si="0"/>
        <v>41172.912245203814</v>
      </c>
    </row>
    <row r="8" spans="3:13" ht="15.75">
      <c r="G8" s="1673" t="s">
        <v>1294</v>
      </c>
      <c r="H8" s="1674"/>
      <c r="I8" s="1675">
        <f>I6+I7</f>
        <v>484.92541088795605</v>
      </c>
      <c r="J8" s="311">
        <f t="shared" si="0"/>
        <v>727388.11633193411</v>
      </c>
    </row>
    <row r="9" spans="3:13" ht="15.75">
      <c r="D9" s="398">
        <f>D10/20</f>
        <v>39544.468049766423</v>
      </c>
      <c r="G9" s="1677" t="s">
        <v>1297</v>
      </c>
      <c r="H9" s="1674" t="s">
        <v>1298</v>
      </c>
      <c r="I9" s="1675">
        <f>0.01*I6</f>
        <v>4.5747680272448683</v>
      </c>
      <c r="J9" s="311">
        <f t="shared" si="0"/>
        <v>6862.1520408673023</v>
      </c>
    </row>
    <row r="10" spans="3:13" ht="28.5">
      <c r="D10" s="978">
        <f>I19*1500</f>
        <v>790889.3609953284</v>
      </c>
      <c r="G10" s="1678" t="s">
        <v>1299</v>
      </c>
      <c r="H10" s="1674" t="s">
        <v>1300</v>
      </c>
      <c r="I10" s="1675">
        <f>0.01*I4</f>
        <v>3.5747680272448683</v>
      </c>
      <c r="J10" s="311">
        <f t="shared" si="0"/>
        <v>5362.1520408673023</v>
      </c>
    </row>
    <row r="11" spans="3:13" ht="28.5">
      <c r="G11" s="1678" t="s">
        <v>1301</v>
      </c>
      <c r="H11" s="1674" t="s">
        <v>1302</v>
      </c>
      <c r="I11" s="1679">
        <f>0.005*I8</f>
        <v>2.4246270544397803</v>
      </c>
      <c r="J11" s="311">
        <f t="shared" si="0"/>
        <v>3636.9405816596704</v>
      </c>
      <c r="K11">
        <f>0.17*400</f>
        <v>68</v>
      </c>
    </row>
    <row r="12" spans="3:13" ht="42.75">
      <c r="G12" s="1678" t="s">
        <v>1303</v>
      </c>
      <c r="H12" s="1680" t="s">
        <v>1304</v>
      </c>
      <c r="I12" s="1676">
        <v>15</v>
      </c>
      <c r="J12" s="311">
        <f t="shared" si="0"/>
        <v>22500</v>
      </c>
      <c r="L12">
        <v>17</v>
      </c>
      <c r="M12">
        <v>46</v>
      </c>
    </row>
    <row r="13" spans="3:13" ht="15.75">
      <c r="G13" s="1678" t="s">
        <v>1305</v>
      </c>
      <c r="H13" s="1680" t="s">
        <v>1306</v>
      </c>
      <c r="I13" s="1676">
        <v>0.3</v>
      </c>
      <c r="J13" s="311">
        <f t="shared" si="0"/>
        <v>450</v>
      </c>
      <c r="L13">
        <f>(100*46)/17</f>
        <v>270.58823529411762</v>
      </c>
    </row>
    <row r="14" spans="3:13" ht="15.75">
      <c r="G14" s="1681" t="s">
        <v>1307</v>
      </c>
      <c r="H14" s="1682" t="s">
        <v>1309</v>
      </c>
      <c r="I14" s="1683">
        <v>1</v>
      </c>
      <c r="J14" s="311">
        <f t="shared" si="0"/>
        <v>1500</v>
      </c>
    </row>
    <row r="15" spans="3:13" ht="15.75">
      <c r="G15" s="1681" t="s">
        <v>1308</v>
      </c>
      <c r="H15" s="1682" t="s">
        <v>1329</v>
      </c>
      <c r="I15" s="1683">
        <v>4.66</v>
      </c>
      <c r="J15" s="311">
        <f t="shared" si="0"/>
        <v>6990</v>
      </c>
      <c r="L15">
        <f>0.17*482</f>
        <v>81.940000000000012</v>
      </c>
    </row>
    <row r="16" spans="3:13" ht="15.75">
      <c r="G16" s="1681" t="s">
        <v>1310</v>
      </c>
      <c r="H16" s="1684" t="s">
        <v>1327</v>
      </c>
      <c r="I16" s="1683">
        <v>10</v>
      </c>
      <c r="J16" s="311">
        <f t="shared" si="0"/>
        <v>15000</v>
      </c>
    </row>
    <row r="17" spans="7:10" ht="15.75">
      <c r="G17" s="1681" t="s">
        <v>1311</v>
      </c>
      <c r="H17" s="1684" t="s">
        <v>1328</v>
      </c>
      <c r="I17" s="1683">
        <v>0.53</v>
      </c>
      <c r="J17" s="311">
        <f t="shared" si="0"/>
        <v>795</v>
      </c>
    </row>
    <row r="18" spans="7:10" ht="15.75">
      <c r="G18" s="1685" t="s">
        <v>1312</v>
      </c>
      <c r="H18" s="1686" t="s">
        <v>1330</v>
      </c>
      <c r="I18" s="1687">
        <v>0.27</v>
      </c>
      <c r="J18" s="311">
        <f t="shared" si="0"/>
        <v>405</v>
      </c>
    </row>
    <row r="19" spans="7:10" ht="16.5" thickBot="1">
      <c r="G19" s="1688" t="s">
        <v>1313</v>
      </c>
      <c r="H19" s="1689"/>
      <c r="I19" s="1690">
        <f>SUM(I8:I18)</f>
        <v>527.25957399688559</v>
      </c>
      <c r="J19" s="311">
        <f t="shared" si="0"/>
        <v>790889.3609953284</v>
      </c>
    </row>
    <row r="20" spans="7:10">
      <c r="G20" s="297" t="s">
        <v>1331</v>
      </c>
      <c r="H20" s="1158" t="s">
        <v>1392</v>
      </c>
      <c r="I20" s="1162">
        <f>1000/30</f>
        <v>33.333333333333336</v>
      </c>
      <c r="J20" s="311">
        <f t="shared" si="0"/>
        <v>50000</v>
      </c>
    </row>
    <row r="21" spans="7:10">
      <c r="G21" s="297" t="s">
        <v>1332</v>
      </c>
      <c r="H21" s="1161">
        <v>0.15</v>
      </c>
      <c r="I21" s="1162">
        <f>0.15*I19</f>
        <v>79.08893609953283</v>
      </c>
      <c r="J21" s="311">
        <f t="shared" si="0"/>
        <v>118633.40414929924</v>
      </c>
    </row>
    <row r="22" spans="7:10" ht="15.75" thickBot="1">
      <c r="G22" s="1159" t="s">
        <v>1333</v>
      </c>
      <c r="H22" s="396"/>
      <c r="I22" s="1160">
        <f>I19+I20+I21</f>
        <v>639.68184342975178</v>
      </c>
      <c r="J22" s="311">
        <f t="shared" si="0"/>
        <v>959522.76514462766</v>
      </c>
    </row>
  </sheetData>
  <pageMargins left="0.7" right="0.7" top="0.75" bottom="0.75" header="0.3" footer="0.3"/>
  <pageSetup orientation="portrait" r:id="rId1"/>
  <ignoredErrors>
    <ignoredError sqref="I7" formula="1"/>
  </ignoredError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theme="9" tint="0.39997558519241921"/>
  </sheetPr>
  <dimension ref="A1:XFD133"/>
  <sheetViews>
    <sheetView workbookViewId="0">
      <selection activeCell="K21" sqref="K21"/>
    </sheetView>
  </sheetViews>
  <sheetFormatPr defaultColWidth="9.14453125" defaultRowHeight="10.5"/>
  <cols>
    <col min="1" max="1" width="3.49609375" style="2" customWidth="1"/>
    <col min="2" max="2" width="29.99609375" style="2" customWidth="1"/>
    <col min="3" max="3" width="8.0703125" style="2" customWidth="1"/>
    <col min="4" max="4" width="14.52734375" style="2" customWidth="1"/>
    <col min="5" max="5" width="9.14453125" style="2"/>
    <col min="6" max="6" width="11.56640625" style="2" bestFit="1" customWidth="1"/>
    <col min="7" max="8" width="9.14453125" style="2"/>
    <col min="9" max="9" width="12.64453125" style="2" customWidth="1"/>
    <col min="10" max="10" width="12.5078125" style="2" customWidth="1"/>
    <col min="11" max="11" width="12.10546875" style="2" customWidth="1"/>
    <col min="12" max="17" width="11.97265625" style="2" bestFit="1" customWidth="1"/>
    <col min="18" max="35" width="10.625" style="2" bestFit="1" customWidth="1"/>
    <col min="36" max="49" width="12.10546875" style="2" customWidth="1"/>
    <col min="50" max="16384" width="9.14453125" style="2"/>
  </cols>
  <sheetData>
    <row r="1" spans="1:49" s="3265" customFormat="1" ht="14.25">
      <c r="A1" s="3259" t="s">
        <v>672</v>
      </c>
      <c r="B1" s="3260"/>
      <c r="C1" s="3260"/>
      <c r="D1" s="3260"/>
      <c r="E1" s="3260"/>
      <c r="F1" s="3260"/>
      <c r="G1" s="3260"/>
      <c r="H1" s="3260"/>
      <c r="I1" s="3260"/>
      <c r="J1" s="3260"/>
      <c r="K1" s="3260"/>
      <c r="L1" s="3260"/>
      <c r="M1" s="3260"/>
      <c r="N1" s="3260"/>
      <c r="O1" s="3260"/>
      <c r="P1" s="3260"/>
      <c r="Q1" s="3260"/>
      <c r="R1" s="3260"/>
      <c r="S1" s="3260"/>
      <c r="T1" s="3260"/>
      <c r="U1" s="3260"/>
      <c r="V1" s="3260"/>
      <c r="W1" s="3260"/>
      <c r="X1" s="3260"/>
      <c r="Y1" s="3260"/>
      <c r="Z1" s="3260"/>
      <c r="AA1" s="3260"/>
      <c r="AB1" s="3260"/>
      <c r="AC1" s="3260"/>
      <c r="AD1" s="3260"/>
      <c r="AE1" s="3260"/>
      <c r="AF1" s="3260"/>
      <c r="AG1" s="3260"/>
      <c r="AH1" s="3260"/>
      <c r="AI1" s="3260"/>
      <c r="AJ1" s="3260"/>
      <c r="AK1" s="3260"/>
      <c r="AL1" s="3260"/>
      <c r="AM1" s="3260"/>
      <c r="AN1" s="3260"/>
      <c r="AO1" s="3260"/>
      <c r="AP1" s="3260"/>
      <c r="AQ1" s="3260"/>
      <c r="AR1" s="3260"/>
      <c r="AS1" s="3260"/>
      <c r="AT1" s="3260"/>
      <c r="AU1" s="3260"/>
      <c r="AV1" s="3260"/>
      <c r="AW1" s="3260"/>
    </row>
    <row r="2" spans="1:49" s="135" customFormat="1" ht="11.25">
      <c r="A2" s="2704" t="s">
        <v>2397</v>
      </c>
      <c r="B2" s="2704"/>
      <c r="C2" s="2704"/>
      <c r="D2" s="2704"/>
      <c r="E2" s="2704"/>
      <c r="F2" s="2704"/>
      <c r="G2" s="2704"/>
      <c r="H2" s="2704" t="s">
        <v>0</v>
      </c>
      <c r="I2" s="2714">
        <f>'Timing &amp; Flags'!I2</f>
        <v>1</v>
      </c>
      <c r="J2" s="2714">
        <f>'Timing &amp; Flags'!J2</f>
        <v>2</v>
      </c>
      <c r="K2" s="2714">
        <f>'Timing &amp; Flags'!K2</f>
        <v>3</v>
      </c>
      <c r="L2" s="2714">
        <f>'Timing &amp; Flags'!L2</f>
        <v>4</v>
      </c>
      <c r="M2" s="2714">
        <f>'Timing &amp; Flags'!M2</f>
        <v>5</v>
      </c>
      <c r="N2" s="2714">
        <f>'Timing &amp; Flags'!N2</f>
        <v>6</v>
      </c>
      <c r="O2" s="2714">
        <f>'Timing &amp; Flags'!O2</f>
        <v>7</v>
      </c>
      <c r="P2" s="2714">
        <f>'Timing &amp; Flags'!P2</f>
        <v>8</v>
      </c>
      <c r="Q2" s="2714">
        <f>'Timing &amp; Flags'!Q2</f>
        <v>9</v>
      </c>
      <c r="R2" s="2714">
        <f>'Timing &amp; Flags'!R2</f>
        <v>10</v>
      </c>
      <c r="S2" s="2714">
        <f>'Timing &amp; Flags'!S2</f>
        <v>11</v>
      </c>
      <c r="T2" s="2714">
        <f>'Timing &amp; Flags'!T2</f>
        <v>12</v>
      </c>
      <c r="U2" s="2714">
        <f>'Timing &amp; Flags'!U2</f>
        <v>13</v>
      </c>
      <c r="V2" s="2714">
        <f>'Timing &amp; Flags'!V2</f>
        <v>14</v>
      </c>
      <c r="W2" s="2714">
        <f>'Timing &amp; Flags'!W2</f>
        <v>15</v>
      </c>
      <c r="X2" s="2714">
        <f>'Timing &amp; Flags'!X2</f>
        <v>16</v>
      </c>
      <c r="Y2" s="2714">
        <f>'Timing &amp; Flags'!Y2</f>
        <v>17</v>
      </c>
      <c r="Z2" s="2714">
        <f>'Timing &amp; Flags'!Z2</f>
        <v>18</v>
      </c>
      <c r="AA2" s="2714">
        <f>'Timing &amp; Flags'!AA2</f>
        <v>19</v>
      </c>
      <c r="AB2" s="2714">
        <f>'Timing &amp; Flags'!AB2</f>
        <v>20</v>
      </c>
      <c r="AC2" s="2714">
        <f>'Timing &amp; Flags'!AC2</f>
        <v>21</v>
      </c>
      <c r="AD2" s="2714">
        <f>'Timing &amp; Flags'!AD2</f>
        <v>22</v>
      </c>
      <c r="AE2" s="2714">
        <f>'Timing &amp; Flags'!AE2</f>
        <v>23</v>
      </c>
      <c r="AF2" s="2714">
        <f>'Timing &amp; Flags'!AF2</f>
        <v>24</v>
      </c>
      <c r="AG2" s="2714">
        <f>'Timing &amp; Flags'!AG2</f>
        <v>25</v>
      </c>
      <c r="AH2" s="2714">
        <f>'Timing &amp; Flags'!AH2</f>
        <v>26</v>
      </c>
      <c r="AI2" s="2714">
        <f>'Timing &amp; Flags'!AI2</f>
        <v>27</v>
      </c>
      <c r="AJ2" s="2714">
        <f>'Timing &amp; Flags'!AJ2</f>
        <v>28</v>
      </c>
      <c r="AK2" s="2714">
        <f>'Timing &amp; Flags'!AK2</f>
        <v>29</v>
      </c>
      <c r="AL2" s="2714">
        <f>'Timing &amp; Flags'!AL2</f>
        <v>30</v>
      </c>
      <c r="AM2" s="2714">
        <f>'Timing &amp; Flags'!AM2</f>
        <v>31</v>
      </c>
      <c r="AN2" s="2714">
        <f>'Timing &amp; Flags'!AN2</f>
        <v>32</v>
      </c>
      <c r="AO2" s="2714">
        <f>'Timing &amp; Flags'!AO2</f>
        <v>33</v>
      </c>
      <c r="AP2" s="2714">
        <f>'Timing &amp; Flags'!AP2</f>
        <v>34</v>
      </c>
      <c r="AQ2" s="2714">
        <f>'Timing &amp; Flags'!AQ2</f>
        <v>35</v>
      </c>
      <c r="AR2" s="2714">
        <f>'Timing &amp; Flags'!AR2</f>
        <v>36</v>
      </c>
      <c r="AS2" s="2714">
        <f>'Timing &amp; Flags'!AS2</f>
        <v>37</v>
      </c>
      <c r="AT2" s="2714">
        <f>'Timing &amp; Flags'!AT2</f>
        <v>38</v>
      </c>
      <c r="AU2" s="2714">
        <f>'Timing &amp; Flags'!AU2</f>
        <v>39</v>
      </c>
      <c r="AV2" s="2714">
        <f>'Timing &amp; Flags'!AV2</f>
        <v>40</v>
      </c>
      <c r="AW2" s="2714">
        <f>'Timing &amp; Flags'!AW2</f>
        <v>41</v>
      </c>
    </row>
    <row r="3" spans="1:49" s="135" customFormat="1" ht="11.25">
      <c r="A3" s="2704" t="s">
        <v>2395</v>
      </c>
      <c r="B3" s="2704"/>
      <c r="C3" s="2704"/>
      <c r="D3" s="2704"/>
      <c r="E3" s="2704"/>
      <c r="F3" s="2704"/>
      <c r="G3" s="2704"/>
      <c r="H3" s="2704" t="s">
        <v>1</v>
      </c>
      <c r="I3" s="2719">
        <f>'Timing &amp; Flags'!I3</f>
        <v>46023</v>
      </c>
      <c r="J3" s="2719">
        <f>'Timing &amp; Flags'!J3</f>
        <v>46388</v>
      </c>
      <c r="K3" s="2719">
        <f>'Timing &amp; Flags'!K3</f>
        <v>46753</v>
      </c>
      <c r="L3" s="2719">
        <f>'Timing &amp; Flags'!L3</f>
        <v>47119</v>
      </c>
      <c r="M3" s="2719">
        <f>'Timing &amp; Flags'!M3</f>
        <v>47484</v>
      </c>
      <c r="N3" s="2719">
        <f>'Timing &amp; Flags'!N3</f>
        <v>47849</v>
      </c>
      <c r="O3" s="2719">
        <f>'Timing &amp; Flags'!O3</f>
        <v>48214</v>
      </c>
      <c r="P3" s="2719">
        <f>'Timing &amp; Flags'!P3</f>
        <v>48580</v>
      </c>
      <c r="Q3" s="2719">
        <f>'Timing &amp; Flags'!Q3</f>
        <v>48945</v>
      </c>
      <c r="R3" s="2719">
        <f>'Timing &amp; Flags'!R3</f>
        <v>49310</v>
      </c>
      <c r="S3" s="2719">
        <f>'Timing &amp; Flags'!S3</f>
        <v>49675</v>
      </c>
      <c r="T3" s="2719">
        <f>'Timing &amp; Flags'!T3</f>
        <v>50041</v>
      </c>
      <c r="U3" s="2719">
        <f>'Timing &amp; Flags'!U3</f>
        <v>50406</v>
      </c>
      <c r="V3" s="2719">
        <f>'Timing &amp; Flags'!V3</f>
        <v>50771</v>
      </c>
      <c r="W3" s="2719">
        <f>'Timing &amp; Flags'!W3</f>
        <v>51136</v>
      </c>
      <c r="X3" s="2719">
        <f>'Timing &amp; Flags'!X3</f>
        <v>51502</v>
      </c>
      <c r="Y3" s="2719">
        <f>'Timing &amp; Flags'!Y3</f>
        <v>51867</v>
      </c>
      <c r="Z3" s="2719">
        <f>'Timing &amp; Flags'!Z3</f>
        <v>52232</v>
      </c>
      <c r="AA3" s="2719">
        <f>'Timing &amp; Flags'!AA3</f>
        <v>52597</v>
      </c>
      <c r="AB3" s="2719">
        <f>'Timing &amp; Flags'!AB3</f>
        <v>52963</v>
      </c>
      <c r="AC3" s="2719">
        <f>'Timing &amp; Flags'!AC3</f>
        <v>53328</v>
      </c>
      <c r="AD3" s="2719">
        <f>'Timing &amp; Flags'!AD3</f>
        <v>53693</v>
      </c>
      <c r="AE3" s="2719">
        <f>'Timing &amp; Flags'!AE3</f>
        <v>54058</v>
      </c>
      <c r="AF3" s="2719">
        <f>'Timing &amp; Flags'!AF3</f>
        <v>54424</v>
      </c>
      <c r="AG3" s="2719">
        <f>'Timing &amp; Flags'!AG3</f>
        <v>54789</v>
      </c>
      <c r="AH3" s="2719">
        <f>'Timing &amp; Flags'!AH3</f>
        <v>55154</v>
      </c>
      <c r="AI3" s="2719">
        <f>'Timing &amp; Flags'!AI3</f>
        <v>55519</v>
      </c>
      <c r="AJ3" s="2719">
        <f>'Timing &amp; Flags'!AJ3</f>
        <v>55885</v>
      </c>
      <c r="AK3" s="2719">
        <f>'Timing &amp; Flags'!AK3</f>
        <v>56250</v>
      </c>
      <c r="AL3" s="2719">
        <f>'Timing &amp; Flags'!AL3</f>
        <v>56615</v>
      </c>
      <c r="AM3" s="2719">
        <f>'Timing &amp; Flags'!AM3</f>
        <v>56980</v>
      </c>
      <c r="AN3" s="2719">
        <f>'Timing &amp; Flags'!AN3</f>
        <v>57346</v>
      </c>
      <c r="AO3" s="2719">
        <f>'Timing &amp; Flags'!AO3</f>
        <v>57711</v>
      </c>
      <c r="AP3" s="2719">
        <f>'Timing &amp; Flags'!AP3</f>
        <v>58076</v>
      </c>
      <c r="AQ3" s="2719">
        <f>'Timing &amp; Flags'!AQ3</f>
        <v>58441</v>
      </c>
      <c r="AR3" s="2719">
        <f>'Timing &amp; Flags'!AR3</f>
        <v>58807</v>
      </c>
      <c r="AS3" s="2719">
        <f>'Timing &amp; Flags'!AS3</f>
        <v>59172</v>
      </c>
      <c r="AT3" s="2719">
        <f>'Timing &amp; Flags'!AT3</f>
        <v>59537</v>
      </c>
      <c r="AU3" s="2719">
        <f>'Timing &amp; Flags'!AU3</f>
        <v>59902</v>
      </c>
      <c r="AV3" s="2719">
        <f>'Timing &amp; Flags'!AV3</f>
        <v>60268</v>
      </c>
      <c r="AW3" s="2719">
        <f>'Timing &amp; Flags'!AW3</f>
        <v>60633</v>
      </c>
    </row>
    <row r="4" spans="1:49" s="135" customFormat="1" ht="11.25">
      <c r="A4" s="2704" t="s">
        <v>849</v>
      </c>
      <c r="B4" s="2704"/>
      <c r="C4" s="2704"/>
      <c r="D4" s="2704"/>
      <c r="E4" s="2704"/>
      <c r="F4" s="2704"/>
      <c r="G4" s="2704"/>
      <c r="H4" s="2704" t="s">
        <v>2</v>
      </c>
      <c r="I4" s="2722">
        <f>'Timing &amp; Flags'!I4</f>
        <v>46387</v>
      </c>
      <c r="J4" s="2722">
        <f>'Timing &amp; Flags'!J4</f>
        <v>46752</v>
      </c>
      <c r="K4" s="2722">
        <f>'Timing &amp; Flags'!K4</f>
        <v>47118</v>
      </c>
      <c r="L4" s="2722">
        <f>'Timing &amp; Flags'!L4</f>
        <v>47483</v>
      </c>
      <c r="M4" s="2722">
        <f>'Timing &amp; Flags'!M4</f>
        <v>47848</v>
      </c>
      <c r="N4" s="2722">
        <f>'Timing &amp; Flags'!N4</f>
        <v>48213</v>
      </c>
      <c r="O4" s="2722">
        <f>'Timing &amp; Flags'!O4</f>
        <v>48579</v>
      </c>
      <c r="P4" s="2722">
        <f>'Timing &amp; Flags'!P4</f>
        <v>48944</v>
      </c>
      <c r="Q4" s="2722">
        <f>'Timing &amp; Flags'!Q4</f>
        <v>49309</v>
      </c>
      <c r="R4" s="2722">
        <f>'Timing &amp; Flags'!R4</f>
        <v>49674</v>
      </c>
      <c r="S4" s="2722">
        <f>'Timing &amp; Flags'!S4</f>
        <v>50040</v>
      </c>
      <c r="T4" s="2722">
        <f>'Timing &amp; Flags'!T4</f>
        <v>50405</v>
      </c>
      <c r="U4" s="2722">
        <f>'Timing &amp; Flags'!U4</f>
        <v>50770</v>
      </c>
      <c r="V4" s="2722">
        <f>'Timing &amp; Flags'!V4</f>
        <v>51135</v>
      </c>
      <c r="W4" s="2722">
        <f>'Timing &amp; Flags'!W4</f>
        <v>51501</v>
      </c>
      <c r="X4" s="2722">
        <f>'Timing &amp; Flags'!X4</f>
        <v>51866</v>
      </c>
      <c r="Y4" s="2722">
        <f>'Timing &amp; Flags'!Y4</f>
        <v>52231</v>
      </c>
      <c r="Z4" s="2722">
        <f>'Timing &amp; Flags'!Z4</f>
        <v>52596</v>
      </c>
      <c r="AA4" s="2722">
        <f>'Timing &amp; Flags'!AA4</f>
        <v>52962</v>
      </c>
      <c r="AB4" s="2722">
        <f>'Timing &amp; Flags'!AB4</f>
        <v>53327</v>
      </c>
      <c r="AC4" s="2722">
        <f>'Timing &amp; Flags'!AC4</f>
        <v>53692</v>
      </c>
      <c r="AD4" s="2722">
        <f>'Timing &amp; Flags'!AD4</f>
        <v>54057</v>
      </c>
      <c r="AE4" s="2722">
        <f>'Timing &amp; Flags'!AE4</f>
        <v>54423</v>
      </c>
      <c r="AF4" s="2722">
        <f>'Timing &amp; Flags'!AF4</f>
        <v>54788</v>
      </c>
      <c r="AG4" s="2722">
        <f>'Timing &amp; Flags'!AG4</f>
        <v>55153</v>
      </c>
      <c r="AH4" s="2722">
        <f>'Timing &amp; Flags'!AH4</f>
        <v>55518</v>
      </c>
      <c r="AI4" s="2722">
        <f>'Timing &amp; Flags'!AI4</f>
        <v>55884</v>
      </c>
      <c r="AJ4" s="2722">
        <f>'Timing &amp; Flags'!AJ4</f>
        <v>56249</v>
      </c>
      <c r="AK4" s="2722">
        <f>'Timing &amp; Flags'!AK4</f>
        <v>56614</v>
      </c>
      <c r="AL4" s="2722">
        <f>'Timing &amp; Flags'!AL4</f>
        <v>56979</v>
      </c>
      <c r="AM4" s="2722">
        <f>'Timing &amp; Flags'!AM4</f>
        <v>57345</v>
      </c>
      <c r="AN4" s="2722">
        <f>'Timing &amp; Flags'!AN4</f>
        <v>57710</v>
      </c>
      <c r="AO4" s="2722">
        <f>'Timing &amp; Flags'!AO4</f>
        <v>58075</v>
      </c>
      <c r="AP4" s="2722">
        <f>'Timing &amp; Flags'!AP4</f>
        <v>58440</v>
      </c>
      <c r="AQ4" s="2722">
        <f>'Timing &amp; Flags'!AQ4</f>
        <v>58806</v>
      </c>
      <c r="AR4" s="2722">
        <f>'Timing &amp; Flags'!AR4</f>
        <v>59171</v>
      </c>
      <c r="AS4" s="2722">
        <f>'Timing &amp; Flags'!AS4</f>
        <v>59536</v>
      </c>
      <c r="AT4" s="2722">
        <f>'Timing &amp; Flags'!AT4</f>
        <v>59901</v>
      </c>
      <c r="AU4" s="2722">
        <f>'Timing &amp; Flags'!AU4</f>
        <v>60267</v>
      </c>
      <c r="AV4" s="2722">
        <f>'Timing &amp; Flags'!AV4</f>
        <v>60632</v>
      </c>
      <c r="AW4" s="2722">
        <f>'Timing &amp; Flags'!AW4</f>
        <v>60997</v>
      </c>
    </row>
    <row r="5" spans="1:49" s="135" customFormat="1" ht="11.25">
      <c r="A5" s="2704" t="s">
        <v>640</v>
      </c>
      <c r="B5" s="2704"/>
      <c r="C5" s="2704"/>
      <c r="D5" s="2704"/>
      <c r="E5" s="2704"/>
      <c r="F5" s="2704"/>
      <c r="G5" s="2704"/>
      <c r="H5" s="2704" t="s">
        <v>3</v>
      </c>
      <c r="I5" s="2723">
        <f ca="1">'Timing &amp; Flags'!I5</f>
        <v>365</v>
      </c>
      <c r="J5" s="2723">
        <f ca="1">'Timing &amp; Flags'!J5</f>
        <v>366</v>
      </c>
      <c r="K5" s="2723">
        <f ca="1">'Timing &amp; Flags'!K5</f>
        <v>365</v>
      </c>
      <c r="L5" s="2723">
        <f ca="1">'Timing &amp; Flags'!L5</f>
        <v>365</v>
      </c>
      <c r="M5" s="2723">
        <f ca="1">'Timing &amp; Flags'!M5</f>
        <v>365</v>
      </c>
      <c r="N5" s="2723">
        <f ca="1">'Timing &amp; Flags'!N5</f>
        <v>366</v>
      </c>
      <c r="O5" s="2723">
        <f ca="1">'Timing &amp; Flags'!O5</f>
        <v>365</v>
      </c>
      <c r="P5" s="2723">
        <f ca="1">'Timing &amp; Flags'!P5</f>
        <v>365</v>
      </c>
      <c r="Q5" s="2723">
        <f ca="1">'Timing &amp; Flags'!Q5</f>
        <v>365</v>
      </c>
      <c r="R5" s="2723">
        <f ca="1">'Timing &amp; Flags'!R5</f>
        <v>366</v>
      </c>
      <c r="S5" s="2723">
        <f ca="1">'Timing &amp; Flags'!S5</f>
        <v>365</v>
      </c>
      <c r="T5" s="2723">
        <f ca="1">'Timing &amp; Flags'!T5</f>
        <v>365</v>
      </c>
      <c r="U5" s="2723">
        <f ca="1">'Timing &amp; Flags'!U5</f>
        <v>365</v>
      </c>
      <c r="V5" s="2723">
        <f ca="1">'Timing &amp; Flags'!V5</f>
        <v>366</v>
      </c>
      <c r="W5" s="2723">
        <f ca="1">'Timing &amp; Flags'!W5</f>
        <v>365</v>
      </c>
      <c r="X5" s="2723">
        <f ca="1">'Timing &amp; Flags'!X5</f>
        <v>365</v>
      </c>
      <c r="Y5" s="2723">
        <f ca="1">'Timing &amp; Flags'!Y5</f>
        <v>365</v>
      </c>
      <c r="Z5" s="2723">
        <f ca="1">'Timing &amp; Flags'!Z5</f>
        <v>366</v>
      </c>
      <c r="AA5" s="2723">
        <f ca="1">'Timing &amp; Flags'!AA5</f>
        <v>365</v>
      </c>
      <c r="AB5" s="2723">
        <f ca="1">'Timing &amp; Flags'!AB5</f>
        <v>365</v>
      </c>
      <c r="AC5" s="2723">
        <f ca="1">'Timing &amp; Flags'!AC5</f>
        <v>365</v>
      </c>
      <c r="AD5" s="2723">
        <f ca="1">'Timing &amp; Flags'!AD5</f>
        <v>366</v>
      </c>
      <c r="AE5" s="2723">
        <f ca="1">'Timing &amp; Flags'!AE5</f>
        <v>365</v>
      </c>
      <c r="AF5" s="2723">
        <f ca="1">'Timing &amp; Flags'!AF5</f>
        <v>365</v>
      </c>
      <c r="AG5" s="2723">
        <f ca="1">'Timing &amp; Flags'!AG5</f>
        <v>365</v>
      </c>
      <c r="AH5" s="2723">
        <f ca="1">'Timing &amp; Flags'!AH5</f>
        <v>366</v>
      </c>
      <c r="AI5" s="2723">
        <f ca="1">'Timing &amp; Flags'!AI5</f>
        <v>365</v>
      </c>
      <c r="AJ5" s="2723">
        <f ca="1">'Timing &amp; Flags'!AJ5</f>
        <v>365</v>
      </c>
      <c r="AK5" s="2723">
        <f ca="1">'Timing &amp; Flags'!AK5</f>
        <v>365</v>
      </c>
      <c r="AL5" s="2723">
        <f ca="1">'Timing &amp; Flags'!AL5</f>
        <v>365</v>
      </c>
      <c r="AM5" s="2723">
        <f ca="1">'Timing &amp; Flags'!AM5</f>
        <v>365</v>
      </c>
      <c r="AN5" s="2723">
        <f ca="1">'Timing &amp; Flags'!AN5</f>
        <v>365</v>
      </c>
      <c r="AO5" s="2723">
        <f ca="1">'Timing &amp; Flags'!AO5</f>
        <v>365</v>
      </c>
      <c r="AP5" s="2723">
        <f ca="1">'Timing &amp; Flags'!AP5</f>
        <v>365</v>
      </c>
      <c r="AQ5" s="2723">
        <f ca="1">'Timing &amp; Flags'!AQ5</f>
        <v>365</v>
      </c>
      <c r="AR5" s="2723">
        <f ca="1">'Timing &amp; Flags'!AR5</f>
        <v>365</v>
      </c>
      <c r="AS5" s="2723">
        <f ca="1">'Timing &amp; Flags'!AS5</f>
        <v>365</v>
      </c>
      <c r="AT5" s="2723">
        <f ca="1">'Timing &amp; Flags'!AT5</f>
        <v>365</v>
      </c>
      <c r="AU5" s="2723">
        <f ca="1">'Timing &amp; Flags'!AU5</f>
        <v>365</v>
      </c>
      <c r="AV5" s="2723">
        <f ca="1">'Timing &amp; Flags'!AV5</f>
        <v>365</v>
      </c>
      <c r="AW5" s="2723">
        <f ca="1">'Timing &amp; Flags'!AW5</f>
        <v>365</v>
      </c>
    </row>
    <row r="7" spans="1:49">
      <c r="A7" s="6" t="s">
        <v>258</v>
      </c>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9" spans="1:49">
      <c r="B9" s="10" t="s">
        <v>210</v>
      </c>
      <c r="D9" s="137"/>
      <c r="F9" s="13"/>
    </row>
    <row r="10" spans="1:49">
      <c r="B10" s="50" t="s">
        <v>58</v>
      </c>
    </row>
    <row r="11" spans="1:49">
      <c r="B11" s="2" t="s">
        <v>59</v>
      </c>
      <c r="C11" s="15" t="s">
        <v>60</v>
      </c>
      <c r="D11" s="37">
        <f>SUM(I11:AI11)</f>
        <v>1</v>
      </c>
      <c r="I11" s="41">
        <f>'Timing &amp; Flags'!I36</f>
        <v>1</v>
      </c>
      <c r="J11" s="41">
        <f>'Timing &amp; Flags'!J36</f>
        <v>0</v>
      </c>
      <c r="K11" s="41">
        <f>'Timing &amp; Flags'!K36</f>
        <v>0</v>
      </c>
      <c r="L11" s="41">
        <f>'Timing &amp; Flags'!L36</f>
        <v>0</v>
      </c>
      <c r="M11" s="41">
        <f>'Timing &amp; Flags'!M36</f>
        <v>0</v>
      </c>
      <c r="N11" s="41">
        <f>'Timing &amp; Flags'!N36</f>
        <v>0</v>
      </c>
      <c r="O11" s="41">
        <f>'Timing &amp; Flags'!O36</f>
        <v>0</v>
      </c>
      <c r="P11" s="41">
        <f>'Timing &amp; Flags'!P36</f>
        <v>0</v>
      </c>
      <c r="Q11" s="41">
        <f>'Timing &amp; Flags'!Q36</f>
        <v>0</v>
      </c>
      <c r="R11" s="41">
        <f>'Timing &amp; Flags'!R36</f>
        <v>0</v>
      </c>
      <c r="S11" s="41">
        <f>'Timing &amp; Flags'!S36</f>
        <v>0</v>
      </c>
      <c r="T11" s="41">
        <f>'Timing &amp; Flags'!T36</f>
        <v>0</v>
      </c>
      <c r="U11" s="41">
        <f>'Timing &amp; Flags'!U36</f>
        <v>0</v>
      </c>
      <c r="V11" s="41">
        <f>'Timing &amp; Flags'!V36</f>
        <v>0</v>
      </c>
      <c r="W11" s="41">
        <f>'Timing &amp; Flags'!W36</f>
        <v>0</v>
      </c>
      <c r="X11" s="41">
        <f>'Timing &amp; Flags'!X36</f>
        <v>0</v>
      </c>
      <c r="Y11" s="41">
        <f>'Timing &amp; Flags'!Y36</f>
        <v>0</v>
      </c>
      <c r="Z11" s="41">
        <f>'Timing &amp; Flags'!Z36</f>
        <v>0</v>
      </c>
      <c r="AA11" s="41">
        <f>'Timing &amp; Flags'!AA36</f>
        <v>0</v>
      </c>
      <c r="AB11" s="41">
        <f>'Timing &amp; Flags'!AB36</f>
        <v>0</v>
      </c>
      <c r="AC11" s="41">
        <f>'Timing &amp; Flags'!AC36</f>
        <v>0</v>
      </c>
      <c r="AD11" s="41">
        <f>'Timing &amp; Flags'!AD36</f>
        <v>0</v>
      </c>
      <c r="AE11" s="41">
        <f>'Timing &amp; Flags'!AE36</f>
        <v>0</v>
      </c>
      <c r="AF11" s="41">
        <f>'Timing &amp; Flags'!AF36</f>
        <v>0</v>
      </c>
      <c r="AG11" s="41">
        <f>'Timing &amp; Flags'!AG36</f>
        <v>0</v>
      </c>
      <c r="AH11" s="41">
        <f>'Timing &amp; Flags'!AH36</f>
        <v>0</v>
      </c>
      <c r="AI11" s="41">
        <f>'Timing &amp; Flags'!AI36</f>
        <v>0</v>
      </c>
      <c r="AJ11" s="41">
        <f>'Timing &amp; Flags'!AJ36</f>
        <v>0</v>
      </c>
      <c r="AK11" s="41">
        <f>'Timing &amp; Flags'!AK36</f>
        <v>0</v>
      </c>
      <c r="AL11" s="41">
        <f>'Timing &amp; Flags'!AL36</f>
        <v>0</v>
      </c>
      <c r="AM11" s="41">
        <f>'Timing &amp; Flags'!AM36</f>
        <v>0</v>
      </c>
      <c r="AN11" s="41">
        <f>'Timing &amp; Flags'!AN36</f>
        <v>0</v>
      </c>
      <c r="AO11" s="41">
        <f>'Timing &amp; Flags'!AO36</f>
        <v>0</v>
      </c>
      <c r="AP11" s="41">
        <f>'Timing &amp; Flags'!AP36</f>
        <v>0</v>
      </c>
      <c r="AQ11" s="41">
        <f>'Timing &amp; Flags'!AQ36</f>
        <v>0</v>
      </c>
      <c r="AR11" s="41">
        <f>'Timing &amp; Flags'!AR36</f>
        <v>0</v>
      </c>
      <c r="AS11" s="41">
        <f>'Timing &amp; Flags'!AS36</f>
        <v>0</v>
      </c>
      <c r="AT11" s="41">
        <f>'Timing &amp; Flags'!AT36</f>
        <v>0</v>
      </c>
      <c r="AU11" s="41">
        <f>'Timing &amp; Flags'!AU36</f>
        <v>0</v>
      </c>
      <c r="AV11" s="41">
        <f>'Timing &amp; Flags'!AV36</f>
        <v>0</v>
      </c>
      <c r="AW11" s="41">
        <f>'Timing &amp; Flags'!AW36</f>
        <v>0</v>
      </c>
    </row>
    <row r="12" spans="1:49">
      <c r="B12" s="2" t="s">
        <v>61</v>
      </c>
      <c r="C12" s="15" t="s">
        <v>60</v>
      </c>
      <c r="D12" s="37">
        <f>SUM(I12:AI12)</f>
        <v>3</v>
      </c>
      <c r="I12" s="41">
        <f>'Timing &amp; Flags'!I37</f>
        <v>1</v>
      </c>
      <c r="J12" s="41">
        <f>'Timing &amp; Flags'!J37</f>
        <v>1</v>
      </c>
      <c r="K12" s="41">
        <f>'Timing &amp; Flags'!K37</f>
        <v>1</v>
      </c>
      <c r="L12" s="41">
        <f>'Timing &amp; Flags'!L37</f>
        <v>0</v>
      </c>
      <c r="M12" s="41">
        <f>'Timing &amp; Flags'!M37</f>
        <v>0</v>
      </c>
      <c r="N12" s="41">
        <f>'Timing &amp; Flags'!N37</f>
        <v>0</v>
      </c>
      <c r="O12" s="41">
        <f>'Timing &amp; Flags'!O37</f>
        <v>0</v>
      </c>
      <c r="P12" s="41">
        <f>'Timing &amp; Flags'!P37</f>
        <v>0</v>
      </c>
      <c r="Q12" s="41">
        <f>'Timing &amp; Flags'!Q37</f>
        <v>0</v>
      </c>
      <c r="R12" s="41">
        <f>'Timing &amp; Flags'!R37</f>
        <v>0</v>
      </c>
      <c r="S12" s="41">
        <f>'Timing &amp; Flags'!S37</f>
        <v>0</v>
      </c>
      <c r="T12" s="41">
        <f>'Timing &amp; Flags'!T37</f>
        <v>0</v>
      </c>
      <c r="U12" s="41">
        <f>'Timing &amp; Flags'!U37</f>
        <v>0</v>
      </c>
      <c r="V12" s="41">
        <f>'Timing &amp; Flags'!V37</f>
        <v>0</v>
      </c>
      <c r="W12" s="41">
        <f>'Timing &amp; Flags'!W37</f>
        <v>0</v>
      </c>
      <c r="X12" s="41">
        <f>'Timing &amp; Flags'!X37</f>
        <v>0</v>
      </c>
      <c r="Y12" s="41">
        <f>'Timing &amp; Flags'!Y37</f>
        <v>0</v>
      </c>
      <c r="Z12" s="41">
        <f>'Timing &amp; Flags'!Z37</f>
        <v>0</v>
      </c>
      <c r="AA12" s="41">
        <f>'Timing &amp; Flags'!AA37</f>
        <v>0</v>
      </c>
      <c r="AB12" s="41">
        <f>'Timing &amp; Flags'!AB37</f>
        <v>0</v>
      </c>
      <c r="AC12" s="41">
        <f>'Timing &amp; Flags'!AC37</f>
        <v>0</v>
      </c>
      <c r="AD12" s="41">
        <f>'Timing &amp; Flags'!AD37</f>
        <v>0</v>
      </c>
      <c r="AE12" s="41">
        <f>'Timing &amp; Flags'!AE37</f>
        <v>0</v>
      </c>
      <c r="AF12" s="41">
        <f>'Timing &amp; Flags'!AF37</f>
        <v>0</v>
      </c>
      <c r="AG12" s="41">
        <f>'Timing &amp; Flags'!AG37</f>
        <v>0</v>
      </c>
      <c r="AH12" s="41">
        <f>'Timing &amp; Flags'!AH37</f>
        <v>0</v>
      </c>
      <c r="AI12" s="41">
        <f>'Timing &amp; Flags'!AI37</f>
        <v>0</v>
      </c>
      <c r="AJ12" s="41">
        <f>'Timing &amp; Flags'!AJ37</f>
        <v>0</v>
      </c>
      <c r="AK12" s="41">
        <f>'Timing &amp; Flags'!AK37</f>
        <v>0</v>
      </c>
      <c r="AL12" s="41">
        <f>'Timing &amp; Flags'!AL37</f>
        <v>0</v>
      </c>
      <c r="AM12" s="41">
        <f>'Timing &amp; Flags'!AM37</f>
        <v>0</v>
      </c>
      <c r="AN12" s="41">
        <f>'Timing &amp; Flags'!AN37</f>
        <v>0</v>
      </c>
      <c r="AO12" s="41">
        <f>'Timing &amp; Flags'!AO37</f>
        <v>0</v>
      </c>
      <c r="AP12" s="41">
        <f>'Timing &amp; Flags'!AP37</f>
        <v>0</v>
      </c>
      <c r="AQ12" s="41">
        <f>'Timing &amp; Flags'!AQ37</f>
        <v>0</v>
      </c>
      <c r="AR12" s="41">
        <f>'Timing &amp; Flags'!AR37</f>
        <v>0</v>
      </c>
      <c r="AS12" s="41">
        <f>'Timing &amp; Flags'!AS37</f>
        <v>0</v>
      </c>
      <c r="AT12" s="41">
        <f>'Timing &amp; Flags'!AT37</f>
        <v>0</v>
      </c>
      <c r="AU12" s="41">
        <f>'Timing &amp; Flags'!AU37</f>
        <v>0</v>
      </c>
      <c r="AV12" s="41">
        <f>'Timing &amp; Flags'!AV37</f>
        <v>0</v>
      </c>
      <c r="AW12" s="41">
        <f>'Timing &amp; Flags'!AW37</f>
        <v>0</v>
      </c>
    </row>
    <row r="13" spans="1:49">
      <c r="B13" s="2" t="s">
        <v>62</v>
      </c>
      <c r="C13" s="15" t="s">
        <v>60</v>
      </c>
      <c r="D13" s="37">
        <f>SUM(I13:AI13)</f>
        <v>1</v>
      </c>
      <c r="F13" s="14"/>
      <c r="I13" s="41">
        <f>'Timing &amp; Flags'!I38</f>
        <v>0</v>
      </c>
      <c r="J13" s="41">
        <f>'Timing &amp; Flags'!J38</f>
        <v>0</v>
      </c>
      <c r="K13" s="41">
        <f>'Timing &amp; Flags'!K38</f>
        <v>1</v>
      </c>
      <c r="L13" s="41">
        <f>'Timing &amp; Flags'!L38</f>
        <v>0</v>
      </c>
      <c r="M13" s="41">
        <f>'Timing &amp; Flags'!M38</f>
        <v>0</v>
      </c>
      <c r="N13" s="41">
        <f>'Timing &amp; Flags'!N38</f>
        <v>0</v>
      </c>
      <c r="O13" s="41">
        <f>'Timing &amp; Flags'!O38</f>
        <v>0</v>
      </c>
      <c r="P13" s="41">
        <f>'Timing &amp; Flags'!P38</f>
        <v>0</v>
      </c>
      <c r="Q13" s="41">
        <f>'Timing &amp; Flags'!Q38</f>
        <v>0</v>
      </c>
      <c r="R13" s="41">
        <f>'Timing &amp; Flags'!R38</f>
        <v>0</v>
      </c>
      <c r="S13" s="41">
        <f>'Timing &amp; Flags'!S38</f>
        <v>0</v>
      </c>
      <c r="T13" s="41">
        <f>'Timing &amp; Flags'!T38</f>
        <v>0</v>
      </c>
      <c r="U13" s="41">
        <f>'Timing &amp; Flags'!U38</f>
        <v>0</v>
      </c>
      <c r="V13" s="41">
        <f>'Timing &amp; Flags'!V38</f>
        <v>0</v>
      </c>
      <c r="W13" s="41">
        <f>'Timing &amp; Flags'!W38</f>
        <v>0</v>
      </c>
      <c r="X13" s="41">
        <f>'Timing &amp; Flags'!X38</f>
        <v>0</v>
      </c>
      <c r="Y13" s="41">
        <f>'Timing &amp; Flags'!Y38</f>
        <v>0</v>
      </c>
      <c r="Z13" s="41">
        <f>'Timing &amp; Flags'!Z38</f>
        <v>0</v>
      </c>
      <c r="AA13" s="41">
        <f>'Timing &amp; Flags'!AA38</f>
        <v>0</v>
      </c>
      <c r="AB13" s="41">
        <f>'Timing &amp; Flags'!AB38</f>
        <v>0</v>
      </c>
      <c r="AC13" s="41">
        <f>'Timing &amp; Flags'!AC38</f>
        <v>0</v>
      </c>
      <c r="AD13" s="41">
        <f>'Timing &amp; Flags'!AD38</f>
        <v>0</v>
      </c>
      <c r="AE13" s="41">
        <f>'Timing &amp; Flags'!AE38</f>
        <v>0</v>
      </c>
      <c r="AF13" s="41">
        <f>'Timing &amp; Flags'!AF38</f>
        <v>0</v>
      </c>
      <c r="AG13" s="41">
        <f>'Timing &amp; Flags'!AG38</f>
        <v>0</v>
      </c>
      <c r="AH13" s="41">
        <f>'Timing &amp; Flags'!AH38</f>
        <v>0</v>
      </c>
      <c r="AI13" s="41">
        <f>'Timing &amp; Flags'!AI38</f>
        <v>0</v>
      </c>
      <c r="AJ13" s="41">
        <f>'Timing &amp; Flags'!AJ38</f>
        <v>0</v>
      </c>
      <c r="AK13" s="41">
        <f>'Timing &amp; Flags'!AK38</f>
        <v>0</v>
      </c>
      <c r="AL13" s="41">
        <f>'Timing &amp; Flags'!AL38</f>
        <v>0</v>
      </c>
      <c r="AM13" s="41">
        <f>'Timing &amp; Flags'!AM38</f>
        <v>0</v>
      </c>
      <c r="AN13" s="41">
        <f>'Timing &amp; Flags'!AN38</f>
        <v>0</v>
      </c>
      <c r="AO13" s="41">
        <f>'Timing &amp; Flags'!AO38</f>
        <v>0</v>
      </c>
      <c r="AP13" s="41">
        <f>'Timing &amp; Flags'!AP38</f>
        <v>0</v>
      </c>
      <c r="AQ13" s="41">
        <f>'Timing &amp; Flags'!AQ38</f>
        <v>0</v>
      </c>
      <c r="AR13" s="41">
        <f>'Timing &amp; Flags'!AR38</f>
        <v>0</v>
      </c>
      <c r="AS13" s="41">
        <f>'Timing &amp; Flags'!AS38</f>
        <v>0</v>
      </c>
      <c r="AT13" s="41">
        <f>'Timing &amp; Flags'!AT38</f>
        <v>0</v>
      </c>
      <c r="AU13" s="41">
        <f>'Timing &amp; Flags'!AU38</f>
        <v>0</v>
      </c>
      <c r="AV13" s="41">
        <f>'Timing &amp; Flags'!AV38</f>
        <v>0</v>
      </c>
      <c r="AW13" s="41">
        <f>'Timing &amp; Flags'!AW38</f>
        <v>0</v>
      </c>
    </row>
    <row r="15" spans="1:49" ht="11.25">
      <c r="B15" s="50" t="s">
        <v>64</v>
      </c>
      <c r="D15" s="138"/>
    </row>
    <row r="16" spans="1:49">
      <c r="B16" s="2" t="s">
        <v>65</v>
      </c>
      <c r="C16" s="15" t="s">
        <v>60</v>
      </c>
      <c r="D16" s="37">
        <f>SUM(I16:AI16)</f>
        <v>1</v>
      </c>
      <c r="I16" s="41">
        <f>'Timing &amp; Flags'!I42</f>
        <v>0</v>
      </c>
      <c r="J16" s="41">
        <f>'Timing &amp; Flags'!J42</f>
        <v>0</v>
      </c>
      <c r="K16" s="41">
        <f>'Timing &amp; Flags'!K42</f>
        <v>0</v>
      </c>
      <c r="L16" s="41">
        <f>'Timing &amp; Flags'!L42</f>
        <v>1</v>
      </c>
      <c r="M16" s="41">
        <f>'Timing &amp; Flags'!M42</f>
        <v>0</v>
      </c>
      <c r="N16" s="41">
        <f>'Timing &amp; Flags'!N42</f>
        <v>0</v>
      </c>
      <c r="O16" s="41">
        <f>'Timing &amp; Flags'!O42</f>
        <v>0</v>
      </c>
      <c r="P16" s="41">
        <f>'Timing &amp; Flags'!P42</f>
        <v>0</v>
      </c>
      <c r="Q16" s="41">
        <f>'Timing &amp; Flags'!Q42</f>
        <v>0</v>
      </c>
      <c r="R16" s="41">
        <f>'Timing &amp; Flags'!R42</f>
        <v>0</v>
      </c>
      <c r="S16" s="41">
        <f>'Timing &amp; Flags'!S42</f>
        <v>0</v>
      </c>
      <c r="T16" s="41">
        <f>'Timing &amp; Flags'!T42</f>
        <v>0</v>
      </c>
      <c r="U16" s="41">
        <f>'Timing &amp; Flags'!U42</f>
        <v>0</v>
      </c>
      <c r="V16" s="41">
        <f>'Timing &amp; Flags'!V42</f>
        <v>0</v>
      </c>
      <c r="W16" s="41">
        <f>'Timing &amp; Flags'!W42</f>
        <v>0</v>
      </c>
      <c r="X16" s="41">
        <f>'Timing &amp; Flags'!X42</f>
        <v>0</v>
      </c>
      <c r="Y16" s="41">
        <f>'Timing &amp; Flags'!Y42</f>
        <v>0</v>
      </c>
      <c r="Z16" s="41">
        <f>'Timing &amp; Flags'!Z42</f>
        <v>0</v>
      </c>
      <c r="AA16" s="41">
        <f>'Timing &amp; Flags'!AA42</f>
        <v>0</v>
      </c>
      <c r="AB16" s="41">
        <f>'Timing &amp; Flags'!AB42</f>
        <v>0</v>
      </c>
      <c r="AC16" s="41">
        <f>'Timing &amp; Flags'!AC42</f>
        <v>0</v>
      </c>
      <c r="AD16" s="41">
        <f>'Timing &amp; Flags'!AD42</f>
        <v>0</v>
      </c>
      <c r="AE16" s="41">
        <f>'Timing &amp; Flags'!AE42</f>
        <v>0</v>
      </c>
      <c r="AF16" s="41">
        <f>'Timing &amp; Flags'!AF42</f>
        <v>0</v>
      </c>
      <c r="AG16" s="41">
        <f>'Timing &amp; Flags'!AG42</f>
        <v>0</v>
      </c>
      <c r="AH16" s="41">
        <f>'Timing &amp; Flags'!AH42</f>
        <v>0</v>
      </c>
      <c r="AI16" s="41">
        <f>'Timing &amp; Flags'!AI42</f>
        <v>0</v>
      </c>
      <c r="AJ16" s="41">
        <f>'Timing &amp; Flags'!AJ42</f>
        <v>0</v>
      </c>
      <c r="AK16" s="41">
        <f>'Timing &amp; Flags'!AK42</f>
        <v>0</v>
      </c>
      <c r="AL16" s="41">
        <f>'Timing &amp; Flags'!AL42</f>
        <v>0</v>
      </c>
      <c r="AM16" s="41">
        <f>'Timing &amp; Flags'!AM42</f>
        <v>0</v>
      </c>
      <c r="AN16" s="41">
        <f>'Timing &amp; Flags'!AN42</f>
        <v>0</v>
      </c>
      <c r="AO16" s="41">
        <f>'Timing &amp; Flags'!AO42</f>
        <v>0</v>
      </c>
      <c r="AP16" s="41">
        <f>'Timing &amp; Flags'!AP42</f>
        <v>0</v>
      </c>
      <c r="AQ16" s="41">
        <f>'Timing &amp; Flags'!AQ42</f>
        <v>0</v>
      </c>
      <c r="AR16" s="41">
        <f>'Timing &amp; Flags'!AR42</f>
        <v>0</v>
      </c>
      <c r="AS16" s="41">
        <f>'Timing &amp; Flags'!AS42</f>
        <v>0</v>
      </c>
      <c r="AT16" s="41">
        <f>'Timing &amp; Flags'!AT42</f>
        <v>0</v>
      </c>
      <c r="AU16" s="41">
        <f>'Timing &amp; Flags'!AU42</f>
        <v>0</v>
      </c>
      <c r="AV16" s="41">
        <f>'Timing &amp; Flags'!AV42</f>
        <v>0</v>
      </c>
      <c r="AW16" s="41">
        <f>'Timing &amp; Flags'!AW42</f>
        <v>0</v>
      </c>
    </row>
    <row r="17" spans="1:51">
      <c r="B17" s="2" t="s">
        <v>66</v>
      </c>
      <c r="C17" s="15" t="s">
        <v>60</v>
      </c>
      <c r="D17" s="37">
        <f>SUM(I17:AW17)</f>
        <v>27</v>
      </c>
      <c r="I17" s="41">
        <f>'Timing &amp; Flags'!I43</f>
        <v>0</v>
      </c>
      <c r="J17" s="41">
        <f>'Timing &amp; Flags'!J43</f>
        <v>0</v>
      </c>
      <c r="K17" s="41">
        <f>'Timing &amp; Flags'!K43</f>
        <v>0</v>
      </c>
      <c r="L17" s="41">
        <f>'Timing &amp; Flags'!L43</f>
        <v>1</v>
      </c>
      <c r="M17" s="41">
        <f>'Timing &amp; Flags'!M43</f>
        <v>1</v>
      </c>
      <c r="N17" s="41">
        <f>'Timing &amp; Flags'!N43</f>
        <v>1</v>
      </c>
      <c r="O17" s="41">
        <f>'Timing &amp; Flags'!O43</f>
        <v>1</v>
      </c>
      <c r="P17" s="41">
        <f>'Timing &amp; Flags'!P43</f>
        <v>1</v>
      </c>
      <c r="Q17" s="41">
        <f>'Timing &amp; Flags'!Q43</f>
        <v>1</v>
      </c>
      <c r="R17" s="41">
        <f>'Timing &amp; Flags'!R43</f>
        <v>1</v>
      </c>
      <c r="S17" s="41">
        <f>'Timing &amp; Flags'!S43</f>
        <v>1</v>
      </c>
      <c r="T17" s="41">
        <f>'Timing &amp; Flags'!T43</f>
        <v>1</v>
      </c>
      <c r="U17" s="41">
        <f>'Timing &amp; Flags'!U43</f>
        <v>1</v>
      </c>
      <c r="V17" s="41">
        <f>'Timing &amp; Flags'!V43</f>
        <v>1</v>
      </c>
      <c r="W17" s="41">
        <f>'Timing &amp; Flags'!W43</f>
        <v>1</v>
      </c>
      <c r="X17" s="41">
        <f>'Timing &amp; Flags'!X43</f>
        <v>1</v>
      </c>
      <c r="Y17" s="41">
        <f>'Timing &amp; Flags'!Y43</f>
        <v>1</v>
      </c>
      <c r="Z17" s="41">
        <f>'Timing &amp; Flags'!Z43</f>
        <v>1</v>
      </c>
      <c r="AA17" s="41">
        <f>'Timing &amp; Flags'!AA43</f>
        <v>1</v>
      </c>
      <c r="AB17" s="41">
        <f>'Timing &amp; Flags'!AB43</f>
        <v>1</v>
      </c>
      <c r="AC17" s="41">
        <f>'Timing &amp; Flags'!AC43</f>
        <v>1</v>
      </c>
      <c r="AD17" s="41">
        <f>'Timing &amp; Flags'!AD43</f>
        <v>1</v>
      </c>
      <c r="AE17" s="41">
        <f>'Timing &amp; Flags'!AE43</f>
        <v>1</v>
      </c>
      <c r="AF17" s="41">
        <f>'Timing &amp; Flags'!AF43</f>
        <v>1</v>
      </c>
      <c r="AG17" s="41">
        <f>'Timing &amp; Flags'!AG43</f>
        <v>1</v>
      </c>
      <c r="AH17" s="41">
        <f>'Timing &amp; Flags'!AH43</f>
        <v>1</v>
      </c>
      <c r="AI17" s="41">
        <f>'Timing &amp; Flags'!AI43</f>
        <v>1</v>
      </c>
      <c r="AJ17" s="41">
        <f>'Timing &amp; Flags'!AJ43</f>
        <v>1</v>
      </c>
      <c r="AK17" s="41">
        <f>'Timing &amp; Flags'!AK43</f>
        <v>1</v>
      </c>
      <c r="AL17" s="41">
        <f>'Timing &amp; Flags'!AL43</f>
        <v>1</v>
      </c>
      <c r="AM17" s="41">
        <f>'Timing &amp; Flags'!AM43</f>
        <v>0</v>
      </c>
      <c r="AN17" s="41">
        <f>'Timing &amp; Flags'!AN43</f>
        <v>0</v>
      </c>
      <c r="AO17" s="41">
        <f>'Timing &amp; Flags'!AO43</f>
        <v>0</v>
      </c>
      <c r="AP17" s="41">
        <f>'Timing &amp; Flags'!AP43</f>
        <v>0</v>
      </c>
      <c r="AQ17" s="41">
        <f>'Timing &amp; Flags'!AQ43</f>
        <v>0</v>
      </c>
      <c r="AR17" s="41">
        <f>'Timing &amp; Flags'!AR43</f>
        <v>0</v>
      </c>
      <c r="AS17" s="41">
        <f>'Timing &amp; Flags'!AS43</f>
        <v>0</v>
      </c>
      <c r="AT17" s="41">
        <f>'Timing &amp; Flags'!AT43</f>
        <v>0</v>
      </c>
      <c r="AU17" s="41">
        <f>'Timing &amp; Flags'!AU43</f>
        <v>0</v>
      </c>
      <c r="AV17" s="41">
        <f>'Timing &amp; Flags'!AV43</f>
        <v>0</v>
      </c>
      <c r="AW17" s="41">
        <f>'Timing &amp; Flags'!AW43</f>
        <v>0</v>
      </c>
    </row>
    <row r="18" spans="1:51">
      <c r="B18" s="2" t="s">
        <v>67</v>
      </c>
      <c r="C18" s="15" t="s">
        <v>60</v>
      </c>
      <c r="D18" s="37">
        <f>SUM(I18:AW18)</f>
        <v>1</v>
      </c>
      <c r="I18" s="41">
        <f>'Timing &amp; Flags'!I44</f>
        <v>0</v>
      </c>
      <c r="J18" s="41">
        <f>'Timing &amp; Flags'!J44</f>
        <v>0</v>
      </c>
      <c r="K18" s="41">
        <f>'Timing &amp; Flags'!K44</f>
        <v>0</v>
      </c>
      <c r="L18" s="41">
        <f>'Timing &amp; Flags'!L44</f>
        <v>0</v>
      </c>
      <c r="M18" s="41">
        <f>'Timing &amp; Flags'!M44</f>
        <v>0</v>
      </c>
      <c r="N18" s="41">
        <f>'Timing &amp; Flags'!N44</f>
        <v>0</v>
      </c>
      <c r="O18" s="41">
        <f>'Timing &amp; Flags'!O44</f>
        <v>0</v>
      </c>
      <c r="P18" s="41">
        <f>'Timing &amp; Flags'!P44</f>
        <v>0</v>
      </c>
      <c r="Q18" s="41">
        <f>'Timing &amp; Flags'!Q44</f>
        <v>0</v>
      </c>
      <c r="R18" s="41">
        <f>'Timing &amp; Flags'!R44</f>
        <v>0</v>
      </c>
      <c r="S18" s="41">
        <f>'Timing &amp; Flags'!S44</f>
        <v>0</v>
      </c>
      <c r="T18" s="41">
        <f>'Timing &amp; Flags'!T44</f>
        <v>0</v>
      </c>
      <c r="U18" s="41">
        <f>'Timing &amp; Flags'!U44</f>
        <v>0</v>
      </c>
      <c r="V18" s="41">
        <f>'Timing &amp; Flags'!V44</f>
        <v>0</v>
      </c>
      <c r="W18" s="41">
        <f>'Timing &amp; Flags'!W44</f>
        <v>0</v>
      </c>
      <c r="X18" s="41">
        <f>'Timing &amp; Flags'!X44</f>
        <v>0</v>
      </c>
      <c r="Y18" s="41">
        <f>'Timing &amp; Flags'!Y44</f>
        <v>0</v>
      </c>
      <c r="Z18" s="41">
        <f>'Timing &amp; Flags'!Z44</f>
        <v>0</v>
      </c>
      <c r="AA18" s="41">
        <f>'Timing &amp; Flags'!AA44</f>
        <v>0</v>
      </c>
      <c r="AB18" s="41">
        <f>'Timing &amp; Flags'!AB44</f>
        <v>0</v>
      </c>
      <c r="AC18" s="41">
        <f>'Timing &amp; Flags'!AC44</f>
        <v>0</v>
      </c>
      <c r="AD18" s="41">
        <f>'Timing &amp; Flags'!AD44</f>
        <v>0</v>
      </c>
      <c r="AE18" s="41">
        <f>'Timing &amp; Flags'!AE44</f>
        <v>0</v>
      </c>
      <c r="AF18" s="41">
        <f>'Timing &amp; Flags'!AF44</f>
        <v>0</v>
      </c>
      <c r="AG18" s="41">
        <f>'Timing &amp; Flags'!AG44</f>
        <v>0</v>
      </c>
      <c r="AH18" s="41">
        <f>'Timing &amp; Flags'!AH44</f>
        <v>0</v>
      </c>
      <c r="AI18" s="41">
        <f>'Timing &amp; Flags'!AI44</f>
        <v>0</v>
      </c>
      <c r="AJ18" s="41">
        <f>'Timing &amp; Flags'!AJ44</f>
        <v>0</v>
      </c>
      <c r="AK18" s="41">
        <f>'Timing &amp; Flags'!AK44</f>
        <v>0</v>
      </c>
      <c r="AL18" s="41">
        <f>'Timing &amp; Flags'!AL44</f>
        <v>1</v>
      </c>
      <c r="AM18" s="41">
        <f>'Timing &amp; Flags'!AM44</f>
        <v>0</v>
      </c>
      <c r="AN18" s="41">
        <f>'Timing &amp; Flags'!AN44</f>
        <v>0</v>
      </c>
      <c r="AO18" s="41">
        <f>'Timing &amp; Flags'!AO44</f>
        <v>0</v>
      </c>
      <c r="AP18" s="41">
        <f>'Timing &amp; Flags'!AP44</f>
        <v>0</v>
      </c>
      <c r="AQ18" s="41">
        <f>'Timing &amp; Flags'!AQ44</f>
        <v>0</v>
      </c>
      <c r="AR18" s="41">
        <f>'Timing &amp; Flags'!AR44</f>
        <v>0</v>
      </c>
      <c r="AS18" s="41">
        <f>'Timing &amp; Flags'!AS44</f>
        <v>0</v>
      </c>
      <c r="AT18" s="41">
        <f>'Timing &amp; Flags'!AT44</f>
        <v>0</v>
      </c>
      <c r="AU18" s="41">
        <f>'Timing &amp; Flags'!AU44</f>
        <v>0</v>
      </c>
      <c r="AV18" s="41">
        <f>'Timing &amp; Flags'!AV44</f>
        <v>0</v>
      </c>
      <c r="AW18" s="41">
        <f>'Timing &amp; Flags'!AW44</f>
        <v>0</v>
      </c>
    </row>
    <row r="20" spans="1:51">
      <c r="B20" s="2" t="s">
        <v>538</v>
      </c>
      <c r="C20" s="15" t="s">
        <v>60</v>
      </c>
      <c r="D20" s="37">
        <f>SUM(I20:AW20)</f>
        <v>30</v>
      </c>
      <c r="I20" s="2">
        <f>'Timing &amp; Flags'!I49</f>
        <v>1</v>
      </c>
      <c r="J20" s="2">
        <f>'Timing &amp; Flags'!J49</f>
        <v>1</v>
      </c>
      <c r="K20" s="2">
        <f>'Timing &amp; Flags'!K49</f>
        <v>1</v>
      </c>
      <c r="L20" s="2">
        <f>'Timing &amp; Flags'!L49</f>
        <v>1</v>
      </c>
      <c r="M20" s="2">
        <f>'Timing &amp; Flags'!M49</f>
        <v>1</v>
      </c>
      <c r="N20" s="2">
        <f>'Timing &amp; Flags'!N49</f>
        <v>1</v>
      </c>
      <c r="O20" s="2">
        <f>'Timing &amp; Flags'!O49</f>
        <v>1</v>
      </c>
      <c r="P20" s="2">
        <f>'Timing &amp; Flags'!P49</f>
        <v>1</v>
      </c>
      <c r="Q20" s="2">
        <f>'Timing &amp; Flags'!Q49</f>
        <v>1</v>
      </c>
      <c r="R20" s="2">
        <f>'Timing &amp; Flags'!R49</f>
        <v>1</v>
      </c>
      <c r="S20" s="2">
        <f>'Timing &amp; Flags'!S49</f>
        <v>1</v>
      </c>
      <c r="T20" s="2">
        <f>'Timing &amp; Flags'!T49</f>
        <v>1</v>
      </c>
      <c r="U20" s="2">
        <f>'Timing &amp; Flags'!U49</f>
        <v>1</v>
      </c>
      <c r="V20" s="2">
        <f>'Timing &amp; Flags'!V49</f>
        <v>1</v>
      </c>
      <c r="W20" s="2">
        <f>'Timing &amp; Flags'!W49</f>
        <v>1</v>
      </c>
      <c r="X20" s="2">
        <f>'Timing &amp; Flags'!X49</f>
        <v>1</v>
      </c>
      <c r="Y20" s="2">
        <f>'Timing &amp; Flags'!Y49</f>
        <v>1</v>
      </c>
      <c r="Z20" s="2">
        <f>'Timing &amp; Flags'!Z49</f>
        <v>1</v>
      </c>
      <c r="AA20" s="2">
        <f>'Timing &amp; Flags'!AA49</f>
        <v>1</v>
      </c>
      <c r="AB20" s="2">
        <f>'Timing &amp; Flags'!AB49</f>
        <v>1</v>
      </c>
      <c r="AC20" s="2">
        <f>'Timing &amp; Flags'!AC49</f>
        <v>1</v>
      </c>
      <c r="AD20" s="2">
        <f>'Timing &amp; Flags'!AD49</f>
        <v>1</v>
      </c>
      <c r="AE20" s="2">
        <f>'Timing &amp; Flags'!AE49</f>
        <v>1</v>
      </c>
      <c r="AF20" s="2">
        <f>'Timing &amp; Flags'!AF49</f>
        <v>1</v>
      </c>
      <c r="AG20" s="2">
        <f>'Timing &amp; Flags'!AG49</f>
        <v>1</v>
      </c>
      <c r="AH20" s="2">
        <f>'Timing &amp; Flags'!AH49</f>
        <v>1</v>
      </c>
      <c r="AI20" s="2">
        <f>'Timing &amp; Flags'!AI49</f>
        <v>1</v>
      </c>
      <c r="AJ20" s="2">
        <f>'Timing &amp; Flags'!AJ49</f>
        <v>1</v>
      </c>
      <c r="AK20" s="2">
        <f>'Timing &amp; Flags'!AK49</f>
        <v>1</v>
      </c>
      <c r="AL20" s="2">
        <f>'Timing &amp; Flags'!AL49</f>
        <v>1</v>
      </c>
      <c r="AM20" s="2">
        <f>'Timing &amp; Flags'!AM49</f>
        <v>0</v>
      </c>
      <c r="AN20" s="2">
        <f>'Timing &amp; Flags'!AN49</f>
        <v>0</v>
      </c>
      <c r="AO20" s="2">
        <f>'Timing &amp; Flags'!AO49</f>
        <v>0</v>
      </c>
      <c r="AP20" s="2">
        <f>'Timing &amp; Flags'!AP49</f>
        <v>0</v>
      </c>
      <c r="AQ20" s="2">
        <f>'Timing &amp; Flags'!AQ49</f>
        <v>0</v>
      </c>
      <c r="AR20" s="2">
        <f>'Timing &amp; Flags'!AR49</f>
        <v>0</v>
      </c>
      <c r="AS20" s="2">
        <f>'Timing &amp; Flags'!AS49</f>
        <v>0</v>
      </c>
      <c r="AT20" s="2">
        <f>'Timing &amp; Flags'!AT49</f>
        <v>0</v>
      </c>
      <c r="AU20" s="2">
        <f>'Timing &amp; Flags'!AU49</f>
        <v>0</v>
      </c>
      <c r="AV20" s="2">
        <f>'Timing &amp; Flags'!AV49</f>
        <v>0</v>
      </c>
      <c r="AW20" s="2">
        <f>'Timing &amp; Flags'!AW49</f>
        <v>0</v>
      </c>
    </row>
    <row r="22" spans="1:51">
      <c r="B22" s="50" t="s">
        <v>69</v>
      </c>
    </row>
    <row r="23" spans="1:51">
      <c r="B23" s="2" t="s">
        <v>56</v>
      </c>
      <c r="C23" s="15" t="s">
        <v>72</v>
      </c>
      <c r="D23" s="139">
        <f ca="1">SUM(I23:AL23)</f>
        <v>3.0000074855902388</v>
      </c>
      <c r="I23" s="17">
        <f ca="1">'Timing &amp; Flags'!I54</f>
        <v>1</v>
      </c>
      <c r="J23" s="17">
        <f ca="1">'Timing &amp; Flags'!J54</f>
        <v>0.99726775956284153</v>
      </c>
      <c r="K23" s="17">
        <f ca="1">'Timing &amp; Flags'!K54</f>
        <v>1.0027397260273974</v>
      </c>
      <c r="L23" s="17">
        <f>'Timing &amp; Flags'!L54</f>
        <v>0</v>
      </c>
      <c r="M23" s="17">
        <f>'Timing &amp; Flags'!M54</f>
        <v>0</v>
      </c>
      <c r="N23" s="17">
        <f>'Timing &amp; Flags'!N54</f>
        <v>0</v>
      </c>
      <c r="O23" s="17">
        <f>'Timing &amp; Flags'!O54</f>
        <v>0</v>
      </c>
      <c r="P23" s="17">
        <f>'Timing &amp; Flags'!P54</f>
        <v>0</v>
      </c>
      <c r="Q23" s="17">
        <f>'Timing &amp; Flags'!Q54</f>
        <v>0</v>
      </c>
      <c r="R23" s="17">
        <f>'Timing &amp; Flags'!R54</f>
        <v>0</v>
      </c>
      <c r="S23" s="17">
        <f>'Timing &amp; Flags'!S54</f>
        <v>0</v>
      </c>
      <c r="T23" s="17">
        <f>'Timing &amp; Flags'!T54</f>
        <v>0</v>
      </c>
      <c r="U23" s="17">
        <f>'Timing &amp; Flags'!U54</f>
        <v>0</v>
      </c>
      <c r="V23" s="17">
        <f>'Timing &amp; Flags'!V54</f>
        <v>0</v>
      </c>
      <c r="W23" s="17">
        <f>'Timing &amp; Flags'!W54</f>
        <v>0</v>
      </c>
      <c r="X23" s="17">
        <f>'Timing &amp; Flags'!X54</f>
        <v>0</v>
      </c>
      <c r="Y23" s="17">
        <f>'Timing &amp; Flags'!Y54</f>
        <v>0</v>
      </c>
      <c r="Z23" s="17">
        <f>'Timing &amp; Flags'!Z54</f>
        <v>0</v>
      </c>
      <c r="AA23" s="17">
        <f>'Timing &amp; Flags'!AA54</f>
        <v>0</v>
      </c>
      <c r="AB23" s="17">
        <f>'Timing &amp; Flags'!AB54</f>
        <v>0</v>
      </c>
      <c r="AC23" s="17">
        <f>'Timing &amp; Flags'!AC54</f>
        <v>0</v>
      </c>
      <c r="AD23" s="17">
        <f>'Timing &amp; Flags'!AD54</f>
        <v>0</v>
      </c>
      <c r="AE23" s="17">
        <f>'Timing &amp; Flags'!AE54</f>
        <v>0</v>
      </c>
      <c r="AF23" s="17">
        <f>'Timing &amp; Flags'!AF54</f>
        <v>0</v>
      </c>
      <c r="AG23" s="17">
        <f>'Timing &amp; Flags'!AG54</f>
        <v>0</v>
      </c>
      <c r="AH23" s="17">
        <f>'Timing &amp; Flags'!AH54</f>
        <v>0</v>
      </c>
      <c r="AI23" s="17">
        <f>'Timing &amp; Flags'!AI54</f>
        <v>0</v>
      </c>
      <c r="AJ23" s="17">
        <f>'Timing &amp; Flags'!AJ54</f>
        <v>0</v>
      </c>
      <c r="AK23" s="17">
        <f>'Timing &amp; Flags'!AK54</f>
        <v>0</v>
      </c>
      <c r="AL23" s="17">
        <f>'Timing &amp; Flags'!AL54</f>
        <v>0</v>
      </c>
      <c r="AM23" s="17">
        <f>'Timing &amp; Flags'!AM54</f>
        <v>0</v>
      </c>
      <c r="AN23" s="17">
        <f>'Timing &amp; Flags'!AN54</f>
        <v>0</v>
      </c>
      <c r="AO23" s="17">
        <f>'Timing &amp; Flags'!AO54</f>
        <v>0</v>
      </c>
      <c r="AP23" s="17">
        <f>'Timing &amp; Flags'!AP54</f>
        <v>0</v>
      </c>
      <c r="AQ23" s="17">
        <f>'Timing &amp; Flags'!AQ54</f>
        <v>0</v>
      </c>
      <c r="AR23" s="17">
        <f>'Timing &amp; Flags'!AR54</f>
        <v>0</v>
      </c>
      <c r="AS23" s="17">
        <f>'Timing &amp; Flags'!AS54</f>
        <v>0</v>
      </c>
      <c r="AT23" s="17">
        <f>'Timing &amp; Flags'!AT54</f>
        <v>0</v>
      </c>
      <c r="AU23" s="17">
        <f>'Timing &amp; Flags'!AU54</f>
        <v>0</v>
      </c>
      <c r="AV23" s="17">
        <f>'Timing &amp; Flags'!AV54</f>
        <v>0</v>
      </c>
      <c r="AW23" s="17">
        <f>'Timing &amp; Flags'!AW54</f>
        <v>0</v>
      </c>
      <c r="AX23" s="17">
        <f>'Timing &amp; Flags'!AX54</f>
        <v>0</v>
      </c>
      <c r="AY23" s="17">
        <f>'Timing &amp; Flags'!AY54</f>
        <v>0</v>
      </c>
    </row>
    <row r="24" spans="1:51">
      <c r="B24" s="27" t="s">
        <v>57</v>
      </c>
      <c r="C24" s="15" t="s">
        <v>72</v>
      </c>
      <c r="D24" s="139">
        <f ca="1">SUM(I24:AW24)</f>
        <v>27.00004491354143</v>
      </c>
      <c r="E24" s="27"/>
      <c r="F24" s="27"/>
      <c r="G24" s="27"/>
      <c r="H24" s="27"/>
      <c r="I24" s="116">
        <f>'Timing &amp; Flags'!I55</f>
        <v>0</v>
      </c>
      <c r="J24" s="116">
        <f>'Timing &amp; Flags'!J55</f>
        <v>0</v>
      </c>
      <c r="K24" s="116">
        <f>'Timing &amp; Flags'!K55</f>
        <v>0</v>
      </c>
      <c r="L24" s="116">
        <f ca="1">'Timing &amp; Flags'!L55</f>
        <v>1</v>
      </c>
      <c r="M24" s="116">
        <f ca="1">'Timing &amp; Flags'!M55</f>
        <v>1</v>
      </c>
      <c r="N24" s="116">
        <f ca="1">'Timing &amp; Flags'!N55</f>
        <v>0.99726775956284153</v>
      </c>
      <c r="O24" s="116">
        <f ca="1">'Timing &amp; Flags'!O55</f>
        <v>1.0027397260273974</v>
      </c>
      <c r="P24" s="116">
        <f ca="1">'Timing &amp; Flags'!P55</f>
        <v>1</v>
      </c>
      <c r="Q24" s="116">
        <f ca="1">'Timing &amp; Flags'!Q55</f>
        <v>1</v>
      </c>
      <c r="R24" s="116">
        <f ca="1">'Timing &amp; Flags'!R55</f>
        <v>0.99726775956284153</v>
      </c>
      <c r="S24" s="116">
        <f ca="1">'Timing &amp; Flags'!S55</f>
        <v>1.0027397260273974</v>
      </c>
      <c r="T24" s="116">
        <f ca="1">'Timing &amp; Flags'!T55</f>
        <v>1</v>
      </c>
      <c r="U24" s="116">
        <f ca="1">'Timing &amp; Flags'!U55</f>
        <v>1</v>
      </c>
      <c r="V24" s="116">
        <f ca="1">'Timing &amp; Flags'!V55</f>
        <v>0.99726775956284153</v>
      </c>
      <c r="W24" s="116">
        <f ca="1">'Timing &amp; Flags'!W55</f>
        <v>1.0027397260273974</v>
      </c>
      <c r="X24" s="116">
        <f ca="1">'Timing &amp; Flags'!X55</f>
        <v>1</v>
      </c>
      <c r="Y24" s="116">
        <f ca="1">'Timing &amp; Flags'!Y55</f>
        <v>1</v>
      </c>
      <c r="Z24" s="116">
        <f ca="1">'Timing &amp; Flags'!Z55</f>
        <v>0.99726775956284153</v>
      </c>
      <c r="AA24" s="116">
        <f ca="1">'Timing &amp; Flags'!AA55</f>
        <v>1.0027397260273974</v>
      </c>
      <c r="AB24" s="116">
        <f ca="1">'Timing &amp; Flags'!AB55</f>
        <v>1</v>
      </c>
      <c r="AC24" s="116">
        <f ca="1">'Timing &amp; Flags'!AC55</f>
        <v>1</v>
      </c>
      <c r="AD24" s="116">
        <f ca="1">'Timing &amp; Flags'!AD55</f>
        <v>0.99726775956284153</v>
      </c>
      <c r="AE24" s="116">
        <f ca="1">'Timing &amp; Flags'!AE55</f>
        <v>1.0027397260273974</v>
      </c>
      <c r="AF24" s="116">
        <f ca="1">'Timing &amp; Flags'!AF55</f>
        <v>1</v>
      </c>
      <c r="AG24" s="116">
        <f ca="1">'Timing &amp; Flags'!AG55</f>
        <v>1</v>
      </c>
      <c r="AH24" s="116">
        <f ca="1">'Timing &amp; Flags'!AH55</f>
        <v>0.99726775956284153</v>
      </c>
      <c r="AI24" s="116">
        <f ca="1">'Timing &amp; Flags'!AI55</f>
        <v>1.0027397260273974</v>
      </c>
      <c r="AJ24" s="116">
        <f ca="1">'Timing &amp; Flags'!AJ55</f>
        <v>1</v>
      </c>
      <c r="AK24" s="116">
        <f ca="1">'Timing &amp; Flags'!AK55</f>
        <v>1</v>
      </c>
      <c r="AL24" s="116">
        <f ca="1">'Timing &amp; Flags'!AL55</f>
        <v>1</v>
      </c>
      <c r="AM24" s="116">
        <f>'Timing &amp; Flags'!AM55</f>
        <v>0</v>
      </c>
      <c r="AN24" s="116">
        <f>'Timing &amp; Flags'!AN55</f>
        <v>0</v>
      </c>
      <c r="AO24" s="116">
        <f>'Timing &amp; Flags'!AO55</f>
        <v>0</v>
      </c>
      <c r="AP24" s="116">
        <f>'Timing &amp; Flags'!AP55</f>
        <v>0</v>
      </c>
      <c r="AQ24" s="116">
        <f>'Timing &amp; Flags'!AQ55</f>
        <v>0</v>
      </c>
      <c r="AR24" s="116">
        <f>'Timing &amp; Flags'!AR55</f>
        <v>0</v>
      </c>
      <c r="AS24" s="116">
        <f>'Timing &amp; Flags'!AS55</f>
        <v>0</v>
      </c>
      <c r="AT24" s="116">
        <f>'Timing &amp; Flags'!AT55</f>
        <v>0</v>
      </c>
      <c r="AU24" s="116">
        <f>'Timing &amp; Flags'!AU55</f>
        <v>0</v>
      </c>
      <c r="AV24" s="116">
        <f>'Timing &amp; Flags'!AV55</f>
        <v>0</v>
      </c>
      <c r="AW24" s="116">
        <f>'Timing &amp; Flags'!AW55</f>
        <v>0</v>
      </c>
      <c r="AX24" s="116">
        <f>'Timing &amp; Flags'!AX55</f>
        <v>0</v>
      </c>
    </row>
    <row r="25" spans="1:51">
      <c r="B25" s="2" t="s">
        <v>71</v>
      </c>
      <c r="C25" s="132" t="s">
        <v>72</v>
      </c>
      <c r="D25" s="140">
        <f ca="1">SUM(D23:D24)</f>
        <v>30.000052399131668</v>
      </c>
      <c r="I25" s="17">
        <f ca="1">SUM(I23:I24)</f>
        <v>1</v>
      </c>
      <c r="J25" s="17">
        <f t="shared" ref="J25:AX25" ca="1" si="0">SUM(J23:J24)</f>
        <v>0.99726775956284153</v>
      </c>
      <c r="K25" s="17">
        <f t="shared" ca="1" si="0"/>
        <v>1.0027397260273974</v>
      </c>
      <c r="L25" s="17">
        <f t="shared" ca="1" si="0"/>
        <v>1</v>
      </c>
      <c r="M25" s="17">
        <f t="shared" ca="1" si="0"/>
        <v>1</v>
      </c>
      <c r="N25" s="17">
        <f t="shared" ca="1" si="0"/>
        <v>0.99726775956284153</v>
      </c>
      <c r="O25" s="17">
        <f t="shared" ca="1" si="0"/>
        <v>1.0027397260273974</v>
      </c>
      <c r="P25" s="17">
        <f t="shared" ca="1" si="0"/>
        <v>1</v>
      </c>
      <c r="Q25" s="17">
        <f t="shared" ca="1" si="0"/>
        <v>1</v>
      </c>
      <c r="R25" s="17">
        <f t="shared" ca="1" si="0"/>
        <v>0.99726775956284153</v>
      </c>
      <c r="S25" s="17">
        <f t="shared" ca="1" si="0"/>
        <v>1.0027397260273974</v>
      </c>
      <c r="T25" s="17">
        <f t="shared" ca="1" si="0"/>
        <v>1</v>
      </c>
      <c r="U25" s="17">
        <f t="shared" ca="1" si="0"/>
        <v>1</v>
      </c>
      <c r="V25" s="17">
        <f t="shared" ca="1" si="0"/>
        <v>0.99726775956284153</v>
      </c>
      <c r="W25" s="17">
        <f t="shared" ca="1" si="0"/>
        <v>1.0027397260273974</v>
      </c>
      <c r="X25" s="17">
        <f t="shared" ca="1" si="0"/>
        <v>1</v>
      </c>
      <c r="Y25" s="17">
        <f t="shared" ca="1" si="0"/>
        <v>1</v>
      </c>
      <c r="Z25" s="17">
        <f t="shared" ca="1" si="0"/>
        <v>0.99726775956284153</v>
      </c>
      <c r="AA25" s="17">
        <f t="shared" ca="1" si="0"/>
        <v>1.0027397260273974</v>
      </c>
      <c r="AB25" s="17">
        <f t="shared" ca="1" si="0"/>
        <v>1</v>
      </c>
      <c r="AC25" s="17">
        <f t="shared" ca="1" si="0"/>
        <v>1</v>
      </c>
      <c r="AD25" s="17">
        <f t="shared" ca="1" si="0"/>
        <v>0.99726775956284153</v>
      </c>
      <c r="AE25" s="17">
        <f t="shared" ca="1" si="0"/>
        <v>1.0027397260273974</v>
      </c>
      <c r="AF25" s="17">
        <f t="shared" ca="1" si="0"/>
        <v>1</v>
      </c>
      <c r="AG25" s="17">
        <f t="shared" ca="1" si="0"/>
        <v>1</v>
      </c>
      <c r="AH25" s="17">
        <f t="shared" ca="1" si="0"/>
        <v>0.99726775956284153</v>
      </c>
      <c r="AI25" s="17">
        <f t="shared" ca="1" si="0"/>
        <v>1.0027397260273974</v>
      </c>
      <c r="AJ25" s="17">
        <f t="shared" ca="1" si="0"/>
        <v>1</v>
      </c>
      <c r="AK25" s="17">
        <f t="shared" ca="1" si="0"/>
        <v>1</v>
      </c>
      <c r="AL25" s="17">
        <f t="shared" ca="1" si="0"/>
        <v>1</v>
      </c>
      <c r="AM25" s="17">
        <f t="shared" si="0"/>
        <v>0</v>
      </c>
      <c r="AN25" s="17">
        <f t="shared" si="0"/>
        <v>0</v>
      </c>
      <c r="AO25" s="17">
        <f t="shared" si="0"/>
        <v>0</v>
      </c>
      <c r="AP25" s="17">
        <f t="shared" si="0"/>
        <v>0</v>
      </c>
      <c r="AQ25" s="17">
        <f t="shared" si="0"/>
        <v>0</v>
      </c>
      <c r="AR25" s="17">
        <f t="shared" si="0"/>
        <v>0</v>
      </c>
      <c r="AS25" s="17">
        <f t="shared" si="0"/>
        <v>0</v>
      </c>
      <c r="AT25" s="17">
        <f t="shared" si="0"/>
        <v>0</v>
      </c>
      <c r="AU25" s="17">
        <f t="shared" si="0"/>
        <v>0</v>
      </c>
      <c r="AV25" s="17">
        <f t="shared" si="0"/>
        <v>0</v>
      </c>
      <c r="AW25" s="17">
        <f t="shared" si="0"/>
        <v>0</v>
      </c>
      <c r="AX25" s="17">
        <f t="shared" si="0"/>
        <v>0</v>
      </c>
    </row>
    <row r="26" spans="1:51">
      <c r="B26" s="5"/>
    </row>
    <row r="27" spans="1:51">
      <c r="B27" s="8"/>
    </row>
    <row r="28" spans="1:51">
      <c r="A28" s="6" t="s">
        <v>285</v>
      </c>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row>
    <row r="29" spans="1:51">
      <c r="B29" s="5"/>
    </row>
    <row r="30" spans="1:51">
      <c r="B30" s="10" t="s">
        <v>286</v>
      </c>
    </row>
    <row r="31" spans="1:51">
      <c r="D31" s="49"/>
      <c r="I31" s="2">
        <f>IF(I2&lt;='Input '!$F$319,1,0)</f>
        <v>1</v>
      </c>
      <c r="J31" s="2">
        <f>IF(J2&lt;='Input '!$F$319,1,0)</f>
        <v>1</v>
      </c>
      <c r="K31" s="2">
        <f>IF(K2&lt;='Input '!$F$319,1,0)</f>
        <v>1</v>
      </c>
      <c r="L31" s="2">
        <f>IF(L2&lt;='Input '!$F$319,1,0)</f>
        <v>1</v>
      </c>
      <c r="M31" s="2">
        <f>IF(M2&lt;='Input '!$F$319,1,0)</f>
        <v>1</v>
      </c>
      <c r="N31" s="2">
        <f>IF(N2&lt;='Input '!$F$319,1,0)</f>
        <v>1</v>
      </c>
      <c r="O31" s="2">
        <f>IF(O2&lt;='Input '!$F$319,1,0)</f>
        <v>1</v>
      </c>
      <c r="P31" s="2">
        <f>IF(P2&lt;='Input '!$F$319,1,0)</f>
        <v>1</v>
      </c>
      <c r="Q31" s="2">
        <f>IF(Q2&lt;='Input '!$F$319,1,0)</f>
        <v>1</v>
      </c>
      <c r="R31" s="2">
        <f>IF(R2&lt;='Input '!$F$319,1,0)</f>
        <v>1</v>
      </c>
      <c r="S31" s="2">
        <f>IF(S2&lt;='Input '!$F$319,1,0)</f>
        <v>0</v>
      </c>
      <c r="T31" s="2">
        <f>IF(T2&lt;='Input '!$F$319,1,0)</f>
        <v>0</v>
      </c>
      <c r="U31" s="2">
        <f>IF(U2&lt;='Input '!$F$319,1,0)</f>
        <v>0</v>
      </c>
      <c r="V31" s="2">
        <f>IF(V2&lt;='Input '!$F$319,1,0)</f>
        <v>0</v>
      </c>
      <c r="W31" s="2">
        <f>IF(W2&lt;'Input '!$F$319,1,0)</f>
        <v>0</v>
      </c>
      <c r="X31" s="2">
        <f>IF(X2&lt;'Input '!$F$319,1,0)</f>
        <v>0</v>
      </c>
    </row>
    <row r="32" spans="1:51">
      <c r="B32" s="2" t="s">
        <v>287</v>
      </c>
      <c r="C32" s="15" t="s">
        <v>305</v>
      </c>
      <c r="D32" s="141" t="str">
        <f>'Input '!D319</f>
        <v>Straight Line</v>
      </c>
      <c r="F32" s="107">
        <f ca="1">D50/7</f>
        <v>414045109.28002262</v>
      </c>
    </row>
    <row r="33" spans="1:51 16384:16384">
      <c r="B33" s="2" t="s">
        <v>288</v>
      </c>
      <c r="C33" s="15" t="s">
        <v>306</v>
      </c>
      <c r="D33" s="141">
        <f>'Input '!F321</f>
        <v>1</v>
      </c>
    </row>
    <row r="34" spans="1:51 16384:16384">
      <c r="B34" s="2" t="s">
        <v>106</v>
      </c>
      <c r="C34" s="15" t="s">
        <v>102</v>
      </c>
      <c r="D34" s="159">
        <f>SUM(I34:AW34)</f>
        <v>7</v>
      </c>
      <c r="F34" s="107">
        <f ca="1">L49/9</f>
        <v>322035084.99557316</v>
      </c>
      <c r="I34" s="41">
        <f>'Timing &amp; Flags'!I139</f>
        <v>0</v>
      </c>
      <c r="J34" s="41">
        <f>'Timing &amp; Flags'!J139</f>
        <v>0</v>
      </c>
      <c r="K34" s="41">
        <f>'Timing &amp; Flags'!K139</f>
        <v>0</v>
      </c>
      <c r="L34" s="41">
        <f>'Timing &amp; Flags'!L139</f>
        <v>1</v>
      </c>
      <c r="M34" s="41">
        <f>'Timing &amp; Flags'!M139</f>
        <v>1</v>
      </c>
      <c r="N34" s="41">
        <f>'Timing &amp; Flags'!N139</f>
        <v>1</v>
      </c>
      <c r="O34" s="41">
        <f>'Timing &amp; Flags'!O139</f>
        <v>1</v>
      </c>
      <c r="P34" s="41">
        <f>'Timing &amp; Flags'!P139</f>
        <v>1</v>
      </c>
      <c r="Q34" s="41">
        <f>'Timing &amp; Flags'!Q139</f>
        <v>1</v>
      </c>
      <c r="R34" s="41">
        <f>'Timing &amp; Flags'!R139</f>
        <v>1</v>
      </c>
      <c r="S34" s="41">
        <f>'Timing &amp; Flags'!S139</f>
        <v>0</v>
      </c>
      <c r="T34" s="41">
        <f>'Timing &amp; Flags'!T139</f>
        <v>0</v>
      </c>
      <c r="U34" s="41">
        <f>'Timing &amp; Flags'!U139</f>
        <v>0</v>
      </c>
      <c r="V34" s="41">
        <f>'Timing &amp; Flags'!V139</f>
        <v>0</v>
      </c>
      <c r="W34" s="41">
        <f>'Timing &amp; Flags'!W139</f>
        <v>0</v>
      </c>
      <c r="X34" s="41">
        <f>'Timing &amp; Flags'!X139</f>
        <v>0</v>
      </c>
      <c r="Y34" s="41">
        <f>'Timing &amp; Flags'!Y139</f>
        <v>0</v>
      </c>
      <c r="Z34" s="41">
        <f>'Timing &amp; Flags'!Z139</f>
        <v>0</v>
      </c>
      <c r="AA34" s="41">
        <f>'Timing &amp; Flags'!AA139</f>
        <v>0</v>
      </c>
      <c r="AB34" s="41">
        <f>'Timing &amp; Flags'!AB139</f>
        <v>0</v>
      </c>
      <c r="AC34" s="41">
        <f>'Timing &amp; Flags'!AC139</f>
        <v>0</v>
      </c>
      <c r="AD34" s="41">
        <f>'Timing &amp; Flags'!AD139</f>
        <v>0</v>
      </c>
      <c r="AE34" s="41">
        <f>'Timing &amp; Flags'!AE139</f>
        <v>0</v>
      </c>
      <c r="AF34" s="41">
        <f>'Timing &amp; Flags'!AF139</f>
        <v>0</v>
      </c>
      <c r="AG34" s="41">
        <f>'Timing &amp; Flags'!AG139</f>
        <v>0</v>
      </c>
      <c r="AH34" s="41">
        <f>'Timing &amp; Flags'!AH139</f>
        <v>0</v>
      </c>
      <c r="AI34" s="41">
        <f>'Timing &amp; Flags'!AI139</f>
        <v>0</v>
      </c>
      <c r="AJ34" s="41">
        <f>'Timing &amp; Flags'!AJ139</f>
        <v>0</v>
      </c>
      <c r="AK34" s="41">
        <f>'Timing &amp; Flags'!AK139</f>
        <v>0</v>
      </c>
      <c r="AL34" s="41">
        <f>'Timing &amp; Flags'!AL139</f>
        <v>0</v>
      </c>
      <c r="AM34" s="41">
        <f>'Timing &amp; Flags'!AM139</f>
        <v>0</v>
      </c>
      <c r="AN34" s="41">
        <f>'Timing &amp; Flags'!AN139</f>
        <v>0</v>
      </c>
      <c r="AO34" s="41">
        <f>'Timing &amp; Flags'!AO139</f>
        <v>0</v>
      </c>
      <c r="AP34" s="41">
        <f>'Timing &amp; Flags'!AP139</f>
        <v>0</v>
      </c>
      <c r="AQ34" s="41">
        <f>'Timing &amp; Flags'!AQ139</f>
        <v>0</v>
      </c>
      <c r="AR34" s="41">
        <f>'Timing &amp; Flags'!AR139</f>
        <v>0</v>
      </c>
      <c r="AS34" s="41">
        <f>'Timing &amp; Flags'!AS139</f>
        <v>0</v>
      </c>
      <c r="AT34" s="41">
        <f>'Timing &amp; Flags'!AT139</f>
        <v>0</v>
      </c>
      <c r="AU34" s="41">
        <f>'Timing &amp; Flags'!AU139</f>
        <v>0</v>
      </c>
      <c r="AV34" s="41">
        <f>'Timing &amp; Flags'!AV139</f>
        <v>0</v>
      </c>
      <c r="AW34" s="41">
        <f>'Timing &amp; Flags'!AW139</f>
        <v>0</v>
      </c>
      <c r="AX34" s="41">
        <f>'Timing &amp; Flags'!AX139</f>
        <v>0</v>
      </c>
      <c r="AY34" s="41">
        <f>'Timing &amp; Flags'!AY139</f>
        <v>0</v>
      </c>
    </row>
    <row r="35" spans="1:51 16384:16384">
      <c r="B35" s="2" t="s">
        <v>289</v>
      </c>
      <c r="C35" s="15" t="s">
        <v>102</v>
      </c>
      <c r="D35" s="182">
        <f>MAX(I35:AW35)</f>
        <v>7</v>
      </c>
      <c r="I35" s="41">
        <f>'Timing &amp; Flags'!I140</f>
        <v>0</v>
      </c>
      <c r="J35" s="41">
        <f>'Timing &amp; Flags'!J140</f>
        <v>0</v>
      </c>
      <c r="K35" s="41">
        <f>'Timing &amp; Flags'!K140</f>
        <v>0</v>
      </c>
      <c r="L35" s="41">
        <f>'Timing &amp; Flags'!L140</f>
        <v>1</v>
      </c>
      <c r="M35" s="41">
        <f>'Timing &amp; Flags'!M140</f>
        <v>2</v>
      </c>
      <c r="N35" s="41">
        <f>'Timing &amp; Flags'!N140</f>
        <v>3</v>
      </c>
      <c r="O35" s="41">
        <f>'Timing &amp; Flags'!O140</f>
        <v>4</v>
      </c>
      <c r="P35" s="41">
        <f>'Timing &amp; Flags'!P140</f>
        <v>5</v>
      </c>
      <c r="Q35" s="41">
        <f>'Timing &amp; Flags'!Q140</f>
        <v>6</v>
      </c>
      <c r="R35" s="41">
        <f>'Timing &amp; Flags'!R140</f>
        <v>7</v>
      </c>
      <c r="S35" s="41">
        <f>'Timing &amp; Flags'!S140</f>
        <v>0</v>
      </c>
      <c r="T35" s="41">
        <f>'Timing &amp; Flags'!T140</f>
        <v>0</v>
      </c>
      <c r="U35" s="41">
        <f>'Timing &amp; Flags'!U140</f>
        <v>0</v>
      </c>
      <c r="V35" s="41">
        <f>'Timing &amp; Flags'!V140</f>
        <v>0</v>
      </c>
      <c r="W35" s="41">
        <f>'Timing &amp; Flags'!W140</f>
        <v>0</v>
      </c>
      <c r="X35" s="41">
        <f>'Timing &amp; Flags'!X140</f>
        <v>0</v>
      </c>
      <c r="Y35" s="41">
        <f>'Timing &amp; Flags'!Y140</f>
        <v>0</v>
      </c>
      <c r="Z35" s="41">
        <f>'Timing &amp; Flags'!Z140</f>
        <v>0</v>
      </c>
      <c r="AA35" s="41">
        <f>'Timing &amp; Flags'!AA140</f>
        <v>0</v>
      </c>
      <c r="AB35" s="41">
        <f>'Timing &amp; Flags'!AB140</f>
        <v>0</v>
      </c>
      <c r="AC35" s="41">
        <f>'Timing &amp; Flags'!AC140</f>
        <v>0</v>
      </c>
      <c r="AD35" s="41">
        <f>'Timing &amp; Flags'!AD140</f>
        <v>0</v>
      </c>
      <c r="AE35" s="41">
        <f>'Timing &amp; Flags'!AE140</f>
        <v>0</v>
      </c>
      <c r="AF35" s="41">
        <f>'Timing &amp; Flags'!AF140</f>
        <v>0</v>
      </c>
      <c r="AG35" s="41">
        <f>'Timing &amp; Flags'!AG140</f>
        <v>0</v>
      </c>
      <c r="AH35" s="41">
        <f>'Timing &amp; Flags'!AH140</f>
        <v>0</v>
      </c>
      <c r="AI35" s="41">
        <f>'Timing &amp; Flags'!AI140</f>
        <v>0</v>
      </c>
      <c r="AJ35" s="41">
        <f>'Timing &amp; Flags'!AJ140</f>
        <v>0</v>
      </c>
      <c r="AK35" s="41">
        <f>'Timing &amp; Flags'!AK140</f>
        <v>0</v>
      </c>
      <c r="AL35" s="41">
        <f>'Timing &amp; Flags'!AL140</f>
        <v>0</v>
      </c>
      <c r="AM35" s="41">
        <f>'Timing &amp; Flags'!AM140</f>
        <v>0</v>
      </c>
      <c r="AN35" s="41">
        <f>'Timing &amp; Flags'!AN140</f>
        <v>0</v>
      </c>
      <c r="AO35" s="41">
        <f>'Timing &amp; Flags'!AO140</f>
        <v>0</v>
      </c>
      <c r="AP35" s="41">
        <f>'Timing &amp; Flags'!AP140</f>
        <v>0</v>
      </c>
      <c r="AQ35" s="41">
        <f>'Timing &amp; Flags'!AQ140</f>
        <v>0</v>
      </c>
      <c r="AR35" s="41">
        <f>'Timing &amp; Flags'!AR140</f>
        <v>0</v>
      </c>
      <c r="AS35" s="41">
        <f>'Timing &amp; Flags'!AS140</f>
        <v>0</v>
      </c>
      <c r="AT35" s="41">
        <f>'Timing &amp; Flags'!AT140</f>
        <v>0</v>
      </c>
      <c r="AU35" s="41">
        <f>'Timing &amp; Flags'!AU140</f>
        <v>0</v>
      </c>
      <c r="AV35" s="41">
        <f>'Timing &amp; Flags'!AV140</f>
        <v>0</v>
      </c>
      <c r="AW35" s="41">
        <f>'Timing &amp; Flags'!AW140</f>
        <v>0</v>
      </c>
      <c r="AX35" s="41">
        <f>'Timing &amp; Flags'!AX140</f>
        <v>0</v>
      </c>
      <c r="AY35" s="41">
        <f>'Timing &amp; Flags'!AY140</f>
        <v>0</v>
      </c>
    </row>
    <row r="36" spans="1:51 16384:16384">
      <c r="B36" s="2" t="s">
        <v>290</v>
      </c>
      <c r="C36" s="15" t="s">
        <v>102</v>
      </c>
      <c r="D36" s="182">
        <f>MAX(I36:AW36)</f>
        <v>7</v>
      </c>
      <c r="I36" s="41">
        <f t="shared" ref="I36:AI36" si="1">($D$34-I35+1)*I34</f>
        <v>0</v>
      </c>
      <c r="J36" s="41">
        <f t="shared" si="1"/>
        <v>0</v>
      </c>
      <c r="K36" s="41">
        <f t="shared" si="1"/>
        <v>0</v>
      </c>
      <c r="L36" s="41">
        <f>($D$34-L35+1)*L34</f>
        <v>7</v>
      </c>
      <c r="M36" s="41">
        <f t="shared" si="1"/>
        <v>6</v>
      </c>
      <c r="N36" s="41">
        <f t="shared" si="1"/>
        <v>5</v>
      </c>
      <c r="O36" s="41">
        <f t="shared" si="1"/>
        <v>4</v>
      </c>
      <c r="P36" s="41">
        <f t="shared" si="1"/>
        <v>3</v>
      </c>
      <c r="Q36" s="41">
        <f t="shared" si="1"/>
        <v>2</v>
      </c>
      <c r="R36" s="41">
        <f t="shared" si="1"/>
        <v>1</v>
      </c>
      <c r="S36" s="41">
        <f t="shared" si="1"/>
        <v>0</v>
      </c>
      <c r="T36" s="41">
        <f t="shared" si="1"/>
        <v>0</v>
      </c>
      <c r="U36" s="41">
        <f t="shared" si="1"/>
        <v>0</v>
      </c>
      <c r="V36" s="41">
        <f t="shared" si="1"/>
        <v>0</v>
      </c>
      <c r="W36" s="41">
        <f t="shared" si="1"/>
        <v>0</v>
      </c>
      <c r="X36" s="41">
        <f t="shared" si="1"/>
        <v>0</v>
      </c>
      <c r="Y36" s="41">
        <f t="shared" si="1"/>
        <v>0</v>
      </c>
      <c r="Z36" s="41">
        <f t="shared" si="1"/>
        <v>0</v>
      </c>
      <c r="AA36" s="41">
        <f t="shared" si="1"/>
        <v>0</v>
      </c>
      <c r="AB36" s="41">
        <f t="shared" si="1"/>
        <v>0</v>
      </c>
      <c r="AC36" s="41">
        <f t="shared" si="1"/>
        <v>0</v>
      </c>
      <c r="AD36" s="41">
        <f t="shared" si="1"/>
        <v>0</v>
      </c>
      <c r="AE36" s="41">
        <f t="shared" si="1"/>
        <v>0</v>
      </c>
      <c r="AF36" s="41">
        <f t="shared" si="1"/>
        <v>0</v>
      </c>
      <c r="AG36" s="41">
        <f t="shared" si="1"/>
        <v>0</v>
      </c>
      <c r="AH36" s="41">
        <f t="shared" si="1"/>
        <v>0</v>
      </c>
      <c r="AI36" s="41">
        <f t="shared" si="1"/>
        <v>0</v>
      </c>
      <c r="AJ36" s="41">
        <f t="shared" ref="AJ36:AY36" si="2">($D$34-AJ35+1)*AJ34</f>
        <v>0</v>
      </c>
      <c r="AK36" s="41">
        <f t="shared" si="2"/>
        <v>0</v>
      </c>
      <c r="AL36" s="41">
        <f t="shared" si="2"/>
        <v>0</v>
      </c>
      <c r="AM36" s="41">
        <f t="shared" si="2"/>
        <v>0</v>
      </c>
      <c r="AN36" s="41">
        <f t="shared" si="2"/>
        <v>0</v>
      </c>
      <c r="AO36" s="41">
        <f t="shared" si="2"/>
        <v>0</v>
      </c>
      <c r="AP36" s="41">
        <f t="shared" si="2"/>
        <v>0</v>
      </c>
      <c r="AQ36" s="41">
        <f t="shared" si="2"/>
        <v>0</v>
      </c>
      <c r="AR36" s="41">
        <f t="shared" si="2"/>
        <v>0</v>
      </c>
      <c r="AS36" s="41">
        <f t="shared" si="2"/>
        <v>0</v>
      </c>
      <c r="AT36" s="41">
        <f t="shared" si="2"/>
        <v>0</v>
      </c>
      <c r="AU36" s="41">
        <f t="shared" si="2"/>
        <v>0</v>
      </c>
      <c r="AV36" s="41">
        <f t="shared" si="2"/>
        <v>0</v>
      </c>
      <c r="AW36" s="41">
        <f t="shared" si="2"/>
        <v>0</v>
      </c>
      <c r="AX36" s="41">
        <f t="shared" si="2"/>
        <v>0</v>
      </c>
      <c r="AY36" s="41">
        <f t="shared" si="2"/>
        <v>0</v>
      </c>
    </row>
    <row r="37" spans="1:51 16384:16384">
      <c r="B37" s="2" t="s">
        <v>291</v>
      </c>
      <c r="C37" s="15" t="s">
        <v>18</v>
      </c>
      <c r="D37" s="1694">
        <f>IF('Input '!F9=1,'Input '!F334,'Input '!F328)*Sens_IntRate</f>
        <v>0.10059999999999999</v>
      </c>
    </row>
    <row r="38" spans="1:51 16384:16384">
      <c r="B38" s="2" t="s">
        <v>2078</v>
      </c>
      <c r="D38" s="104">
        <f>D37*(1-Corporate_tax)</f>
        <v>7.0419999999999996E-2</v>
      </c>
    </row>
    <row r="39" spans="1:51 16384:16384">
      <c r="B39" s="29" t="s">
        <v>292</v>
      </c>
    </row>
    <row r="40" spans="1:51 16384:16384">
      <c r="B40" s="2" t="s">
        <v>158</v>
      </c>
      <c r="C40" s="15" t="str">
        <f>IF('Input '!$F$9=1,"US$","=N=")</f>
        <v>US$</v>
      </c>
      <c r="D40" s="42">
        <f ca="1">SUM(I40:AW40)</f>
        <v>2898315764.9601583</v>
      </c>
      <c r="I40" s="41">
        <f>IF(I34=0,0,SUM(I49:I51)/I36)</f>
        <v>0</v>
      </c>
      <c r="J40" s="41">
        <f t="shared" ref="J40:AI40" si="3">IF(J34=0,0,SUM(J49:J51)/J36)</f>
        <v>0</v>
      </c>
      <c r="K40" s="41">
        <f>IF(K34=0,0,SUM(I49:K51)/K36)</f>
        <v>0</v>
      </c>
      <c r="L40" s="41">
        <f ca="1">IF(L34=0,0,SUM(L49:L51)/L36)</f>
        <v>414045109.28002262</v>
      </c>
      <c r="M40" s="41">
        <f t="shared" ref="M40:R40" ca="1" si="4">IF(M34=0,0,SUM(M49:M51)/M36)</f>
        <v>414045109.28002262</v>
      </c>
      <c r="N40" s="41">
        <f t="shared" ca="1" si="4"/>
        <v>414045109.28002262</v>
      </c>
      <c r="O40" s="41">
        <f t="shared" ca="1" si="4"/>
        <v>414045109.28002262</v>
      </c>
      <c r="P40" s="41">
        <f t="shared" ca="1" si="4"/>
        <v>414045109.28002262</v>
      </c>
      <c r="Q40" s="41">
        <f t="shared" ca="1" si="4"/>
        <v>414045109.28002262</v>
      </c>
      <c r="R40" s="41">
        <f t="shared" ca="1" si="4"/>
        <v>414045109.28002262</v>
      </c>
      <c r="S40" s="41">
        <f>IF(S34=0,0,SUM(S49:S51)/S36)</f>
        <v>0</v>
      </c>
      <c r="T40" s="41">
        <f t="shared" si="3"/>
        <v>0</v>
      </c>
      <c r="U40" s="41">
        <f t="shared" si="3"/>
        <v>0</v>
      </c>
      <c r="V40" s="41">
        <f t="shared" si="3"/>
        <v>0</v>
      </c>
      <c r="W40" s="41">
        <f t="shared" si="3"/>
        <v>0</v>
      </c>
      <c r="X40" s="41">
        <f t="shared" si="3"/>
        <v>0</v>
      </c>
      <c r="Y40" s="41">
        <f t="shared" si="3"/>
        <v>0</v>
      </c>
      <c r="Z40" s="41">
        <f t="shared" si="3"/>
        <v>0</v>
      </c>
      <c r="AA40" s="41">
        <f t="shared" si="3"/>
        <v>0</v>
      </c>
      <c r="AB40" s="41">
        <f t="shared" si="3"/>
        <v>0</v>
      </c>
      <c r="AC40" s="41">
        <f t="shared" si="3"/>
        <v>0</v>
      </c>
      <c r="AD40" s="41">
        <f t="shared" si="3"/>
        <v>0</v>
      </c>
      <c r="AE40" s="41">
        <f t="shared" si="3"/>
        <v>0</v>
      </c>
      <c r="AF40" s="41">
        <f t="shared" si="3"/>
        <v>0</v>
      </c>
      <c r="AG40" s="41">
        <f t="shared" si="3"/>
        <v>0</v>
      </c>
      <c r="AH40" s="41">
        <f t="shared" si="3"/>
        <v>0</v>
      </c>
      <c r="AI40" s="41">
        <f t="shared" si="3"/>
        <v>0</v>
      </c>
      <c r="AJ40" s="41">
        <f t="shared" ref="AJ40:AY40" si="5">IF(AJ34=0,0,SUM(AJ49:AJ51)/AJ36)</f>
        <v>0</v>
      </c>
      <c r="AK40" s="41">
        <f t="shared" si="5"/>
        <v>0</v>
      </c>
      <c r="AL40" s="41">
        <f t="shared" si="5"/>
        <v>0</v>
      </c>
      <c r="AM40" s="41">
        <f t="shared" si="5"/>
        <v>0</v>
      </c>
      <c r="AN40" s="41">
        <f t="shared" si="5"/>
        <v>0</v>
      </c>
      <c r="AO40" s="41">
        <f t="shared" si="5"/>
        <v>0</v>
      </c>
      <c r="AP40" s="41">
        <f t="shared" si="5"/>
        <v>0</v>
      </c>
      <c r="AQ40" s="41">
        <f t="shared" si="5"/>
        <v>0</v>
      </c>
      <c r="AR40" s="41">
        <f t="shared" si="5"/>
        <v>0</v>
      </c>
      <c r="AS40" s="41">
        <f t="shared" si="5"/>
        <v>0</v>
      </c>
      <c r="AT40" s="41">
        <f t="shared" si="5"/>
        <v>0</v>
      </c>
      <c r="AU40" s="41">
        <f t="shared" si="5"/>
        <v>0</v>
      </c>
      <c r="AV40" s="41">
        <f t="shared" si="5"/>
        <v>0</v>
      </c>
      <c r="AW40" s="41">
        <f t="shared" si="5"/>
        <v>0</v>
      </c>
      <c r="AX40" s="41">
        <f t="shared" si="5"/>
        <v>0</v>
      </c>
      <c r="AY40" s="41">
        <f t="shared" si="5"/>
        <v>0</v>
      </c>
    </row>
    <row r="41" spans="1:51 16384:16384">
      <c r="B41" s="2" t="s">
        <v>159</v>
      </c>
      <c r="C41" s="15" t="str">
        <f>IF('Input '!$F$9=1,"US$","=N=")</f>
        <v>US$</v>
      </c>
      <c r="D41" s="42">
        <f ca="1">SUM(I41:AW41)</f>
        <v>2504976070.1026335</v>
      </c>
      <c r="F41" s="42"/>
      <c r="I41" s="41">
        <f>-IF(I34=0,0,PPMT($D$37,1,I36,SUM(I49:I51),0,0))</f>
        <v>0</v>
      </c>
      <c r="J41" s="41">
        <f t="shared" ref="J41:AI41" si="6">-IF(J34=0,0,PPMT($D$37,1,J36,SUM(J49:J51),0,0))</f>
        <v>0</v>
      </c>
      <c r="K41" s="41">
        <f t="shared" si="6"/>
        <v>0</v>
      </c>
      <c r="L41" s="41">
        <f ca="1">-IF(L34=0,0,PPMT($D$37,1,L36,SUM(L49:L51),0,0))</f>
        <v>304935956.90326834</v>
      </c>
      <c r="M41" s="41">
        <f t="shared" ca="1" si="6"/>
        <v>321492562.73057759</v>
      </c>
      <c r="N41" s="41">
        <f t="shared" ca="1" si="6"/>
        <v>338692937.40049958</v>
      </c>
      <c r="O41" s="41">
        <f t="shared" ca="1" si="6"/>
        <v>356543583.17383397</v>
      </c>
      <c r="P41" s="41">
        <f t="shared" ca="1" si="6"/>
        <v>375049878.26460528</v>
      </c>
      <c r="Q41" s="41">
        <f t="shared" ca="1" si="6"/>
        <v>394216042.34982634</v>
      </c>
      <c r="R41" s="41">
        <f t="shared" ca="1" si="6"/>
        <v>414045109.28002262</v>
      </c>
      <c r="S41" s="41">
        <f t="shared" si="6"/>
        <v>0</v>
      </c>
      <c r="T41" s="41">
        <f t="shared" si="6"/>
        <v>0</v>
      </c>
      <c r="U41" s="41">
        <f t="shared" si="6"/>
        <v>0</v>
      </c>
      <c r="V41" s="41">
        <f t="shared" si="6"/>
        <v>0</v>
      </c>
      <c r="W41" s="41">
        <f t="shared" si="6"/>
        <v>0</v>
      </c>
      <c r="X41" s="41">
        <f t="shared" si="6"/>
        <v>0</v>
      </c>
      <c r="Y41" s="41">
        <f t="shared" si="6"/>
        <v>0</v>
      </c>
      <c r="Z41" s="41">
        <f t="shared" si="6"/>
        <v>0</v>
      </c>
      <c r="AA41" s="41">
        <f t="shared" si="6"/>
        <v>0</v>
      </c>
      <c r="AB41" s="41">
        <f t="shared" si="6"/>
        <v>0</v>
      </c>
      <c r="AC41" s="41">
        <f t="shared" si="6"/>
        <v>0</v>
      </c>
      <c r="AD41" s="41">
        <f t="shared" si="6"/>
        <v>0</v>
      </c>
      <c r="AE41" s="41">
        <f t="shared" si="6"/>
        <v>0</v>
      </c>
      <c r="AF41" s="41">
        <f t="shared" si="6"/>
        <v>0</v>
      </c>
      <c r="AG41" s="41">
        <f t="shared" si="6"/>
        <v>0</v>
      </c>
      <c r="AH41" s="41">
        <f t="shared" si="6"/>
        <v>0</v>
      </c>
      <c r="AI41" s="41">
        <f t="shared" si="6"/>
        <v>0</v>
      </c>
      <c r="AJ41" s="41">
        <f t="shared" ref="AJ41:AY41" si="7">-IF(AJ34=0,0,PPMT($D$37,1,AJ36,SUM(AJ49:AJ51),0,0))</f>
        <v>0</v>
      </c>
      <c r="AK41" s="41">
        <f t="shared" si="7"/>
        <v>0</v>
      </c>
      <c r="AL41" s="41">
        <f t="shared" si="7"/>
        <v>0</v>
      </c>
      <c r="AM41" s="41">
        <f t="shared" si="7"/>
        <v>0</v>
      </c>
      <c r="AN41" s="41">
        <f t="shared" si="7"/>
        <v>0</v>
      </c>
      <c r="AO41" s="41">
        <f t="shared" si="7"/>
        <v>0</v>
      </c>
      <c r="AP41" s="41">
        <f t="shared" si="7"/>
        <v>0</v>
      </c>
      <c r="AQ41" s="41">
        <f t="shared" si="7"/>
        <v>0</v>
      </c>
      <c r="AR41" s="41">
        <f t="shared" si="7"/>
        <v>0</v>
      </c>
      <c r="AS41" s="41">
        <f t="shared" si="7"/>
        <v>0</v>
      </c>
      <c r="AT41" s="41">
        <f t="shared" si="7"/>
        <v>0</v>
      </c>
      <c r="AU41" s="41">
        <f t="shared" si="7"/>
        <v>0</v>
      </c>
      <c r="AV41" s="41">
        <f t="shared" si="7"/>
        <v>0</v>
      </c>
      <c r="AW41" s="41">
        <f t="shared" si="7"/>
        <v>0</v>
      </c>
      <c r="AX41" s="41">
        <f t="shared" si="7"/>
        <v>0</v>
      </c>
      <c r="AY41" s="41">
        <f t="shared" si="7"/>
        <v>0</v>
      </c>
    </row>
    <row r="42" spans="1:51 16384:16384">
      <c r="B42" s="2" t="s">
        <v>160</v>
      </c>
      <c r="C42" s="15" t="str">
        <f>IF('Input '!$F$9=1,"US$","=N=")</f>
        <v>US$</v>
      </c>
      <c r="D42" s="42">
        <f ca="1">SUM(I42:AW42)</f>
        <v>6602754550.1660624</v>
      </c>
      <c r="I42" s="41">
        <f>IF(OR(I34=0,$D$33=0),0,MIN(SUM(I49:I51),MAX(I45/$D$33-I57,0)))</f>
        <v>0</v>
      </c>
      <c r="J42" s="41">
        <f t="shared" ref="J42:AI42" si="8">IF(OR(J34=0,$D$33=0),0,MIN(SUM(J49:J51),MAX(J45/$D$33-J57,0)))</f>
        <v>0</v>
      </c>
      <c r="K42" s="41">
        <f t="shared" si="8"/>
        <v>0</v>
      </c>
      <c r="L42" s="41">
        <f ca="1">IF(OR(L34=0,$D$33=0),0,MIN(SUM(L49:L51),MAX(L45/$D$33-L57,0)))</f>
        <v>821813579.86525929</v>
      </c>
      <c r="M42" s="41">
        <f t="shared" ca="1" si="8"/>
        <v>1057426149.81538</v>
      </c>
      <c r="N42" s="41">
        <f ca="1">IF(OR(N34=0,$D$33=0),0,MIN(SUM(N49:N51),MAX(N45/$D$33-N57,0)))</f>
        <v>1056997247.1943016</v>
      </c>
      <c r="O42" s="41">
        <f t="shared" ca="1" si="8"/>
        <v>1182246917.6109853</v>
      </c>
      <c r="P42" s="41">
        <f t="shared" ca="1" si="8"/>
        <v>1242135327.8400679</v>
      </c>
      <c r="Q42" s="41">
        <f t="shared" ca="1" si="8"/>
        <v>828090218.56004524</v>
      </c>
      <c r="R42" s="41">
        <f t="shared" ca="1" si="8"/>
        <v>414045109.28002262</v>
      </c>
      <c r="S42" s="41">
        <f t="shared" si="8"/>
        <v>0</v>
      </c>
      <c r="T42" s="41">
        <f t="shared" si="8"/>
        <v>0</v>
      </c>
      <c r="U42" s="41">
        <f t="shared" si="8"/>
        <v>0</v>
      </c>
      <c r="V42" s="41">
        <f t="shared" si="8"/>
        <v>0</v>
      </c>
      <c r="W42" s="41">
        <f t="shared" si="8"/>
        <v>0</v>
      </c>
      <c r="X42" s="41">
        <f t="shared" si="8"/>
        <v>0</v>
      </c>
      <c r="Y42" s="41">
        <f t="shared" si="8"/>
        <v>0</v>
      </c>
      <c r="Z42" s="41">
        <f t="shared" si="8"/>
        <v>0</v>
      </c>
      <c r="AA42" s="41">
        <f t="shared" si="8"/>
        <v>0</v>
      </c>
      <c r="AB42" s="41">
        <f t="shared" si="8"/>
        <v>0</v>
      </c>
      <c r="AC42" s="41">
        <f t="shared" si="8"/>
        <v>0</v>
      </c>
      <c r="AD42" s="41">
        <f t="shared" si="8"/>
        <v>0</v>
      </c>
      <c r="AE42" s="41">
        <f t="shared" si="8"/>
        <v>0</v>
      </c>
      <c r="AF42" s="41">
        <f t="shared" si="8"/>
        <v>0</v>
      </c>
      <c r="AG42" s="41">
        <f t="shared" si="8"/>
        <v>0</v>
      </c>
      <c r="AH42" s="41">
        <f t="shared" si="8"/>
        <v>0</v>
      </c>
      <c r="AI42" s="41">
        <f t="shared" si="8"/>
        <v>0</v>
      </c>
      <c r="AJ42" s="41">
        <f t="shared" ref="AJ42:AY42" si="9">IF(OR(AJ34=0,$D$33=0),0,MIN(SUM(AJ49:AJ51),MAX(AJ45/$D$33-AJ57,0)))</f>
        <v>0</v>
      </c>
      <c r="AK42" s="41">
        <f t="shared" si="9"/>
        <v>0</v>
      </c>
      <c r="AL42" s="41">
        <f t="shared" si="9"/>
        <v>0</v>
      </c>
      <c r="AM42" s="41">
        <f t="shared" si="9"/>
        <v>0</v>
      </c>
      <c r="AN42" s="41">
        <f t="shared" si="9"/>
        <v>0</v>
      </c>
      <c r="AO42" s="41">
        <f t="shared" si="9"/>
        <v>0</v>
      </c>
      <c r="AP42" s="41">
        <f t="shared" si="9"/>
        <v>0</v>
      </c>
      <c r="AQ42" s="41">
        <f t="shared" si="9"/>
        <v>0</v>
      </c>
      <c r="AR42" s="41">
        <f t="shared" si="9"/>
        <v>0</v>
      </c>
      <c r="AS42" s="41">
        <f t="shared" si="9"/>
        <v>0</v>
      </c>
      <c r="AT42" s="41">
        <f t="shared" si="9"/>
        <v>0</v>
      </c>
      <c r="AU42" s="41">
        <f t="shared" si="9"/>
        <v>0</v>
      </c>
      <c r="AV42" s="41">
        <f t="shared" si="9"/>
        <v>0</v>
      </c>
      <c r="AW42" s="41">
        <f t="shared" si="9"/>
        <v>0</v>
      </c>
      <c r="AX42" s="41">
        <f t="shared" si="9"/>
        <v>0</v>
      </c>
      <c r="AY42" s="41">
        <f t="shared" si="9"/>
        <v>0</v>
      </c>
    </row>
    <row r="43" spans="1:51 16384:16384">
      <c r="B43" s="2" t="s">
        <v>161</v>
      </c>
      <c r="C43" s="15" t="str">
        <f>IF('Input '!$F$9=1,"US$","=N=")</f>
        <v>US$</v>
      </c>
      <c r="D43" s="42">
        <f ca="1">SUM(I43:AW43)</f>
        <v>2898315764.9601583</v>
      </c>
      <c r="I43" s="41">
        <f>SUM($I$50:I50)*(I35=$D$34)</f>
        <v>0</v>
      </c>
      <c r="J43" s="41">
        <f>SUM($I$50:J50)*(J35=$D$34)</f>
        <v>0</v>
      </c>
      <c r="K43" s="41">
        <f>SUM($I$50:K50)*(K35=$D$34)</f>
        <v>0</v>
      </c>
      <c r="L43" s="41">
        <f>SUM($I$50:L50)*(L35=$D$34)</f>
        <v>0</v>
      </c>
      <c r="M43" s="41">
        <f>SUM($I$50:M50)*(M35=$D$34)</f>
        <v>0</v>
      </c>
      <c r="N43" s="41">
        <f>SUM($I$50:N50)*(N35=$D$34)</f>
        <v>0</v>
      </c>
      <c r="O43" s="41">
        <f>SUM($I$50:O50)*(O35=$D$34)</f>
        <v>0</v>
      </c>
      <c r="P43" s="41">
        <f>SUM($I$50:P50)*(P35=$D$34)</f>
        <v>0</v>
      </c>
      <c r="Q43" s="41">
        <f>SUM($I$50:Q50)*(Q35=$D$34)</f>
        <v>0</v>
      </c>
      <c r="R43" s="41">
        <f>SUM($I$50:R50)*(R35=$D$34)</f>
        <v>2898315764.9601583</v>
      </c>
      <c r="S43" s="41">
        <f>SUM($I$50:S50)*(S35=$D$34)</f>
        <v>0</v>
      </c>
      <c r="T43" s="41">
        <f>SUM($I$50:T50)*(T35=$D$34)</f>
        <v>0</v>
      </c>
      <c r="U43" s="41">
        <f t="shared" ref="U43:AI43" ca="1" si="10">SUM(U49:U51)*(U35=$D$34)</f>
        <v>0</v>
      </c>
      <c r="V43" s="41">
        <f t="shared" ca="1" si="10"/>
        <v>0</v>
      </c>
      <c r="W43" s="41">
        <f t="shared" ca="1" si="10"/>
        <v>0</v>
      </c>
      <c r="X43" s="41">
        <f t="shared" ca="1" si="10"/>
        <v>0</v>
      </c>
      <c r="Y43" s="41">
        <f t="shared" ca="1" si="10"/>
        <v>0</v>
      </c>
      <c r="Z43" s="41">
        <f t="shared" ca="1" si="10"/>
        <v>0</v>
      </c>
      <c r="AA43" s="41">
        <f t="shared" ca="1" si="10"/>
        <v>0</v>
      </c>
      <c r="AB43" s="41">
        <f t="shared" ca="1" si="10"/>
        <v>0</v>
      </c>
      <c r="AC43" s="41">
        <f t="shared" ca="1" si="10"/>
        <v>0</v>
      </c>
      <c r="AD43" s="41">
        <f t="shared" ca="1" si="10"/>
        <v>0</v>
      </c>
      <c r="AE43" s="41">
        <f t="shared" ca="1" si="10"/>
        <v>0</v>
      </c>
      <c r="AF43" s="41">
        <f t="shared" ca="1" si="10"/>
        <v>0</v>
      </c>
      <c r="AG43" s="41">
        <f t="shared" ca="1" si="10"/>
        <v>0</v>
      </c>
      <c r="AH43" s="41">
        <f t="shared" ca="1" si="10"/>
        <v>0</v>
      </c>
      <c r="AI43" s="41">
        <f t="shared" ca="1" si="10"/>
        <v>0</v>
      </c>
      <c r="AJ43" s="41">
        <f t="shared" ref="AJ43:AY43" ca="1" si="11">SUM(AJ49:AJ51)*(AJ35=$D$34)</f>
        <v>0</v>
      </c>
      <c r="AK43" s="41">
        <f t="shared" ca="1" si="11"/>
        <v>0</v>
      </c>
      <c r="AL43" s="41">
        <f t="shared" ca="1" si="11"/>
        <v>0</v>
      </c>
      <c r="AM43" s="41">
        <f t="shared" ca="1" si="11"/>
        <v>0</v>
      </c>
      <c r="AN43" s="41">
        <f t="shared" ca="1" si="11"/>
        <v>0</v>
      </c>
      <c r="AO43" s="41">
        <f t="shared" ca="1" si="11"/>
        <v>0</v>
      </c>
      <c r="AP43" s="41">
        <f t="shared" ca="1" si="11"/>
        <v>0</v>
      </c>
      <c r="AQ43" s="41">
        <f t="shared" ca="1" si="11"/>
        <v>0</v>
      </c>
      <c r="AR43" s="41">
        <f t="shared" ca="1" si="11"/>
        <v>0</v>
      </c>
      <c r="AS43" s="41">
        <f t="shared" ca="1" si="11"/>
        <v>0</v>
      </c>
      <c r="AT43" s="41">
        <f t="shared" ca="1" si="11"/>
        <v>0</v>
      </c>
      <c r="AU43" s="41">
        <f t="shared" ca="1" si="11"/>
        <v>0</v>
      </c>
      <c r="AV43" s="41">
        <f t="shared" ca="1" si="11"/>
        <v>0</v>
      </c>
      <c r="AW43" s="41">
        <f t="shared" ca="1" si="11"/>
        <v>0</v>
      </c>
      <c r="AX43" s="41">
        <f t="shared" ca="1" si="11"/>
        <v>0</v>
      </c>
      <c r="AY43" s="41">
        <f t="shared" ca="1" si="11"/>
        <v>0</v>
      </c>
    </row>
    <row r="44" spans="1:51 16384:16384">
      <c r="A44" s="12"/>
    </row>
    <row r="45" spans="1:51 16384:16384">
      <c r="A45" s="9"/>
      <c r="B45" s="2" t="s">
        <v>293</v>
      </c>
      <c r="C45" s="15" t="str">
        <f>IF('Input '!$F$9=1,"US$","=N=")</f>
        <v>US$</v>
      </c>
      <c r="D45" s="42">
        <f ca="1">SUM(I45:AI45)</f>
        <v>33391283883.505978</v>
      </c>
      <c r="I45" s="41">
        <f ca="1">CF!I20</f>
        <v>0</v>
      </c>
      <c r="J45" s="41">
        <f ca="1">CF!J20</f>
        <v>-132913371.73613448</v>
      </c>
      <c r="K45" s="41">
        <f ca="1">CF!K20</f>
        <v>632979160.75820112</v>
      </c>
      <c r="L45" s="41">
        <f ca="1">CF!L20</f>
        <v>1113384145.8202512</v>
      </c>
      <c r="M45" s="41">
        <f ca="1">CF!M20</f>
        <v>1307343777.7768016</v>
      </c>
      <c r="N45" s="41">
        <f ca="1">CF!N20</f>
        <v>1264692907.9545906</v>
      </c>
      <c r="O45" s="41">
        <f ca="1">CF!O20</f>
        <v>1349315140.1386206</v>
      </c>
      <c r="P45" s="41">
        <f ca="1">CF!P20</f>
        <v>1425359922.7759254</v>
      </c>
      <c r="Q45" s="41">
        <f ca="1">CF!Q20</f>
        <v>1503447690.4102097</v>
      </c>
      <c r="R45" s="41">
        <f ca="1">CF!R20</f>
        <v>1324092719.1085794</v>
      </c>
      <c r="S45" s="41">
        <f ca="1">CF!S20</f>
        <v>1283070151.1751375</v>
      </c>
      <c r="T45" s="41">
        <f ca="1">CF!T20</f>
        <v>1361126777.7746472</v>
      </c>
      <c r="U45" s="41">
        <f ca="1">CF!U20</f>
        <v>1442257475.690588</v>
      </c>
      <c r="V45" s="41">
        <f ca="1">CF!V20</f>
        <v>1528178348.3972325</v>
      </c>
      <c r="W45" s="41">
        <f ca="1">CF!W20</f>
        <v>1616160258.3257608</v>
      </c>
      <c r="X45" s="41">
        <f ca="1">CF!X20</f>
        <v>1235546330.5832512</v>
      </c>
      <c r="Y45" s="41">
        <f ca="1">CF!Y20</f>
        <v>1172655466.6061137</v>
      </c>
      <c r="Z45" s="41">
        <f ca="1">CF!Z20</f>
        <v>1209196930.2893116</v>
      </c>
      <c r="AA45" s="41">
        <f ca="1">CF!AA20</f>
        <v>1245685425.722734</v>
      </c>
      <c r="AB45" s="41">
        <f ca="1">CF!AB20</f>
        <v>1285172638.6101649</v>
      </c>
      <c r="AC45" s="41">
        <f ca="1">CF!AC20</f>
        <v>1325847448.789845</v>
      </c>
      <c r="AD45" s="41">
        <f ca="1">CF!AD20</f>
        <v>1368791499.13083</v>
      </c>
      <c r="AE45" s="41">
        <f ca="1">CF!AE20</f>
        <v>1411363588.111443</v>
      </c>
      <c r="AF45" s="41">
        <f ca="1">CF!AF20</f>
        <v>1457366133.1732535</v>
      </c>
      <c r="AG45" s="41">
        <f ca="1">CF!AG20</f>
        <v>1504464392.6556954</v>
      </c>
      <c r="AH45" s="41">
        <f ca="1">CF!AH20</f>
        <v>1553913969.7623825</v>
      </c>
      <c r="AI45" s="41">
        <f ca="1">CF!AI20</f>
        <v>1602784955.700546</v>
      </c>
      <c r="AJ45" s="41">
        <f ca="1">CF!AJ20</f>
        <v>1655357824.3929558</v>
      </c>
      <c r="AK45" s="41">
        <f ca="1">CF!AK20</f>
        <v>1729891184.7949376</v>
      </c>
      <c r="AL45" s="41">
        <f ca="1">CF!AL20</f>
        <v>2140969646.930531</v>
      </c>
      <c r="AM45" s="41">
        <f>CF!AM20</f>
        <v>0</v>
      </c>
      <c r="AN45" s="41">
        <f>CF!AN20</f>
        <v>0</v>
      </c>
      <c r="AO45" s="41">
        <f>CF!AO20</f>
        <v>0</v>
      </c>
      <c r="AP45" s="41">
        <f>CF!AP20</f>
        <v>0</v>
      </c>
      <c r="AQ45" s="41">
        <f>CF!AQ20</f>
        <v>0</v>
      </c>
      <c r="AR45" s="41">
        <f>CF!AR20</f>
        <v>0</v>
      </c>
      <c r="AS45" s="41">
        <f>CF!AS20</f>
        <v>0</v>
      </c>
      <c r="AT45" s="41">
        <f>CF!AT20</f>
        <v>0</v>
      </c>
      <c r="AU45" s="41">
        <f>CF!AU20</f>
        <v>0</v>
      </c>
      <c r="AV45" s="41">
        <f>CF!AV20</f>
        <v>0</v>
      </c>
      <c r="AW45" s="41">
        <f>CF!AW20</f>
        <v>0</v>
      </c>
      <c r="AX45" s="41">
        <f>CF!AX20</f>
        <v>0</v>
      </c>
      <c r="AY45" s="41">
        <f>CF!AY20</f>
        <v>0</v>
      </c>
      <c r="XFD45" s="2">
        <f ca="1">SUM(A45:XFC45)</f>
        <v>72308786423.130402</v>
      </c>
    </row>
    <row r="46" spans="1:51 16384:16384">
      <c r="B46" s="2" t="s">
        <v>294</v>
      </c>
      <c r="C46" s="15" t="str">
        <f>IF('Input '!$F$9=1,"US$","=N=")</f>
        <v>US$</v>
      </c>
      <c r="D46" s="42">
        <f ca="1">SUM(I46:AI46)</f>
        <v>2898315764.9601583</v>
      </c>
      <c r="I46" s="41">
        <f>CHOOSE(MATCH($D$32,$B$40:$B$43,0),$I$40:$AI$40,$I$41:$AI$41,$I$42:$AI$42,$I$43:$AI$43)</f>
        <v>0</v>
      </c>
      <c r="J46" s="41">
        <f t="shared" ref="J46:AI46" si="12">CHOOSE(MATCH($D$32,$B$40:$B$43,0),$I$40:$AI$40,$I$41:$AI$41,$I$42:$AI$42,$I$43:$AI$43)</f>
        <v>0</v>
      </c>
      <c r="K46" s="41">
        <f t="shared" si="12"/>
        <v>0</v>
      </c>
      <c r="L46" s="41">
        <f ca="1">CHOOSE(MATCH($D$32,$B$40:$B$43,0),$I$40:$AI$40,$I$41:$AI$41,$I$42:$AI$42,$I$43:$AI$43)</f>
        <v>414045109.28002262</v>
      </c>
      <c r="M46" s="41">
        <f t="shared" ca="1" si="12"/>
        <v>414045109.28002262</v>
      </c>
      <c r="N46" s="41">
        <f t="shared" ca="1" si="12"/>
        <v>414045109.28002262</v>
      </c>
      <c r="O46" s="41">
        <f t="shared" ca="1" si="12"/>
        <v>414045109.28002262</v>
      </c>
      <c r="P46" s="41">
        <f t="shared" ca="1" si="12"/>
        <v>414045109.28002262</v>
      </c>
      <c r="Q46" s="41">
        <f t="shared" ca="1" si="12"/>
        <v>414045109.28002262</v>
      </c>
      <c r="R46" s="41">
        <f t="shared" ca="1" si="12"/>
        <v>414045109.28002262</v>
      </c>
      <c r="S46" s="41">
        <f>CHOOSE(MATCH($D$32,$B$40:$B$43,0),$I$40:$AI$40,$I$41:$AI$41,$I$42:$AI$42,$I$43:$AI$43)</f>
        <v>0</v>
      </c>
      <c r="T46" s="41">
        <f t="shared" si="12"/>
        <v>0</v>
      </c>
      <c r="U46" s="41">
        <f t="shared" si="12"/>
        <v>0</v>
      </c>
      <c r="V46" s="41">
        <f t="shared" si="12"/>
        <v>0</v>
      </c>
      <c r="W46" s="41">
        <f t="shared" si="12"/>
        <v>0</v>
      </c>
      <c r="X46" s="41">
        <f t="shared" si="12"/>
        <v>0</v>
      </c>
      <c r="Y46" s="41">
        <f t="shared" si="12"/>
        <v>0</v>
      </c>
      <c r="Z46" s="41">
        <f t="shared" si="12"/>
        <v>0</v>
      </c>
      <c r="AA46" s="41">
        <f t="shared" si="12"/>
        <v>0</v>
      </c>
      <c r="AB46" s="41">
        <f t="shared" si="12"/>
        <v>0</v>
      </c>
      <c r="AC46" s="41">
        <f t="shared" si="12"/>
        <v>0</v>
      </c>
      <c r="AD46" s="41">
        <f t="shared" si="12"/>
        <v>0</v>
      </c>
      <c r="AE46" s="41">
        <f t="shared" si="12"/>
        <v>0</v>
      </c>
      <c r="AF46" s="41">
        <f t="shared" si="12"/>
        <v>0</v>
      </c>
      <c r="AG46" s="41">
        <f t="shared" si="12"/>
        <v>0</v>
      </c>
      <c r="AH46" s="41">
        <f t="shared" si="12"/>
        <v>0</v>
      </c>
      <c r="AI46" s="41">
        <f t="shared" si="12"/>
        <v>0</v>
      </c>
    </row>
    <row r="48" spans="1:51 16384:16384">
      <c r="B48" s="29" t="s">
        <v>295</v>
      </c>
    </row>
    <row r="49" spans="1:52">
      <c r="B49" s="2" t="s">
        <v>263</v>
      </c>
      <c r="C49" s="15" t="str">
        <f>IF('Input '!$F$9=1,"US$","=N=")</f>
        <v>US$</v>
      </c>
      <c r="D49" s="42">
        <f ca="1">SUM(I49:AI49)</f>
        <v>13488805364.16172</v>
      </c>
      <c r="I49" s="41">
        <f>H53</f>
        <v>0</v>
      </c>
      <c r="J49" s="41">
        <f t="shared" ref="J49:AN49" ca="1" si="13">I53</f>
        <v>0</v>
      </c>
      <c r="K49" s="41">
        <f t="shared" ca="1" si="13"/>
        <v>1895542304.3210859</v>
      </c>
      <c r="L49" s="41">
        <f t="shared" ca="1" si="13"/>
        <v>2898315764.9601583</v>
      </c>
      <c r="M49" s="41">
        <f t="shared" ca="1" si="13"/>
        <v>2484270655.6801357</v>
      </c>
      <c r="N49" s="41">
        <f t="shared" ca="1" si="13"/>
        <v>2070225546.4001131</v>
      </c>
      <c r="O49" s="41">
        <f t="shared" ca="1" si="13"/>
        <v>1656180437.1200905</v>
      </c>
      <c r="P49" s="41">
        <f t="shared" ca="1" si="13"/>
        <v>1242135327.8400679</v>
      </c>
      <c r="Q49" s="41">
        <f t="shared" ca="1" si="13"/>
        <v>828090218.56004524</v>
      </c>
      <c r="R49" s="41">
        <f t="shared" ca="1" si="13"/>
        <v>414045109.28002262</v>
      </c>
      <c r="S49" s="41">
        <f t="shared" ca="1" si="13"/>
        <v>0</v>
      </c>
      <c r="T49" s="41">
        <f t="shared" ca="1" si="13"/>
        <v>0</v>
      </c>
      <c r="U49" s="41">
        <f t="shared" ca="1" si="13"/>
        <v>0</v>
      </c>
      <c r="V49" s="41">
        <f t="shared" ca="1" si="13"/>
        <v>0</v>
      </c>
      <c r="W49" s="41">
        <f t="shared" ca="1" si="13"/>
        <v>0</v>
      </c>
      <c r="X49" s="41">
        <f t="shared" ca="1" si="13"/>
        <v>0</v>
      </c>
      <c r="Y49" s="41">
        <f t="shared" ca="1" si="13"/>
        <v>0</v>
      </c>
      <c r="Z49" s="41">
        <f t="shared" ca="1" si="13"/>
        <v>0</v>
      </c>
      <c r="AA49" s="41">
        <f t="shared" ca="1" si="13"/>
        <v>0</v>
      </c>
      <c r="AB49" s="41">
        <f t="shared" ca="1" si="13"/>
        <v>0</v>
      </c>
      <c r="AC49" s="41">
        <f t="shared" ca="1" si="13"/>
        <v>0</v>
      </c>
      <c r="AD49" s="41">
        <f t="shared" ca="1" si="13"/>
        <v>0</v>
      </c>
      <c r="AE49" s="41">
        <f t="shared" ca="1" si="13"/>
        <v>0</v>
      </c>
      <c r="AF49" s="41">
        <f t="shared" ca="1" si="13"/>
        <v>0</v>
      </c>
      <c r="AG49" s="41">
        <f t="shared" ca="1" si="13"/>
        <v>0</v>
      </c>
      <c r="AH49" s="41">
        <f t="shared" ca="1" si="13"/>
        <v>0</v>
      </c>
      <c r="AI49" s="41">
        <f t="shared" ca="1" si="13"/>
        <v>0</v>
      </c>
      <c r="AJ49" s="41">
        <f t="shared" ca="1" si="13"/>
        <v>0</v>
      </c>
      <c r="AK49" s="41">
        <f t="shared" ca="1" si="13"/>
        <v>0</v>
      </c>
      <c r="AL49" s="41">
        <f t="shared" ca="1" si="13"/>
        <v>0</v>
      </c>
      <c r="AM49" s="41">
        <f t="shared" ca="1" si="13"/>
        <v>0</v>
      </c>
      <c r="AN49" s="41">
        <f t="shared" ca="1" si="13"/>
        <v>0</v>
      </c>
      <c r="AO49" s="41">
        <f t="shared" ref="AO49:AY49" ca="1" si="14">AN53*AO31</f>
        <v>0</v>
      </c>
      <c r="AP49" s="41">
        <f t="shared" ca="1" si="14"/>
        <v>0</v>
      </c>
      <c r="AQ49" s="41">
        <f t="shared" ca="1" si="14"/>
        <v>0</v>
      </c>
      <c r="AR49" s="41">
        <f t="shared" ca="1" si="14"/>
        <v>0</v>
      </c>
      <c r="AS49" s="41">
        <f t="shared" ca="1" si="14"/>
        <v>0</v>
      </c>
      <c r="AT49" s="41">
        <f t="shared" ca="1" si="14"/>
        <v>0</v>
      </c>
      <c r="AU49" s="41">
        <f t="shared" ca="1" si="14"/>
        <v>0</v>
      </c>
      <c r="AV49" s="41">
        <f t="shared" ca="1" si="14"/>
        <v>0</v>
      </c>
      <c r="AW49" s="41">
        <f t="shared" ca="1" si="14"/>
        <v>0</v>
      </c>
      <c r="AX49" s="41">
        <f t="shared" ca="1" si="14"/>
        <v>0</v>
      </c>
      <c r="AY49" s="41">
        <f t="shared" ca="1" si="14"/>
        <v>0</v>
      </c>
    </row>
    <row r="50" spans="1:52">
      <c r="B50" s="2" t="s">
        <v>238</v>
      </c>
      <c r="C50" s="15" t="str">
        <f>IF('Input '!$F$9=1,"US$","=N=")</f>
        <v>US$</v>
      </c>
      <c r="D50" s="42">
        <f ca="1">SUM(I50:AI50)</f>
        <v>2898315764.9601583</v>
      </c>
      <c r="I50" s="41">
        <f>SUMIF('Project Cost Monthly'!$H$6:$AY$6,'Debt Schedule'!I2,'Project Cost Monthly'!$H$257:$AY$257)</f>
        <v>0</v>
      </c>
      <c r="J50" s="41">
        <f>SUMIF('Project Cost Monthly'!$H$6:$CB$6,'Debt Schedule'!J2,'Project Cost Monthly'!$H$257:$CB$257)</f>
        <v>1895542304.3210859</v>
      </c>
      <c r="K50" s="41">
        <f>SUMIF('Project Cost Monthly'!$H$6:$CB$6,'Debt Schedule'!K2,'Project Cost Monthly'!$H$257:$CB$257)</f>
        <v>1002773460.6390723</v>
      </c>
      <c r="L50" s="41">
        <f>SUMIF('Project Cost Monthly'!$H$6:$CB$6,'Debt Schedule'!L2,'Project Cost Monthly'!$H$257:$CB$257)</f>
        <v>0</v>
      </c>
      <c r="M50" s="41">
        <f>SUMIF('Project Cost Monthly'!$H$6:$CB$6,'Debt Schedule'!M2,'Project Cost Monthly'!$H$257:$CB$257)</f>
        <v>0</v>
      </c>
      <c r="N50" s="41">
        <f>SUMIF('Project Cost Monthly'!$H$6:$CB$6,'Debt Schedule'!N2,'Project Cost Monthly'!$H$257:$CB$257)</f>
        <v>0</v>
      </c>
      <c r="O50" s="41">
        <f>SUMIF('Project Cost Monthly'!$H$6:$CB$6,'Debt Schedule'!O2,'Project Cost Monthly'!$H$257:$CB$257)</f>
        <v>0</v>
      </c>
      <c r="P50" s="41">
        <f>SUMIF('Project Cost Monthly'!$H$6:$CB$6,'Debt Schedule'!P2,'Project Cost Monthly'!$H$257:$CB$257)</f>
        <v>0</v>
      </c>
      <c r="Q50" s="41">
        <f>SUMIF('Project Cost Monthly'!$H$6:$CB$6,'Debt Schedule'!Q2,'Project Cost Monthly'!$H$257:$CB$257)</f>
        <v>0</v>
      </c>
      <c r="R50" s="41">
        <f>SUMIF('Project Cost Monthly'!$H$6:$CB$6,'Debt Schedule'!R2,'Project Cost Monthly'!$H$257:$CB$257)</f>
        <v>0</v>
      </c>
      <c r="S50" s="41">
        <f>SUMIF('Project Cost Monthly'!$H$6:$CB$6,'Debt Schedule'!S2,'Project Cost Monthly'!$H$257:$CB$257)</f>
        <v>0</v>
      </c>
      <c r="T50" s="41">
        <f>SUMIF('Project Cost Monthly'!$H$6:$CB$6,'Debt Schedule'!T2,'Project Cost Monthly'!$H$257:$CB$257)</f>
        <v>0</v>
      </c>
      <c r="U50" s="41">
        <f>SUMIF('Project Cost Monthly'!$H$6:$CB$6,'Debt Schedule'!U2,'Project Cost Monthly'!$H$257:$CB$257)</f>
        <v>0</v>
      </c>
      <c r="V50" s="41">
        <f>SUMIF('Project Cost Monthly'!$H$6:$CB$6,'Debt Schedule'!V2,'Project Cost Monthly'!$H$257:$CB$257)</f>
        <v>0</v>
      </c>
      <c r="W50" s="41">
        <f>SUMIF('Project Cost Monthly'!$H$6:$CB$6,'Debt Schedule'!W2,'Project Cost Monthly'!$H$257:$CB$257)</f>
        <v>0</v>
      </c>
      <c r="X50" s="41">
        <f>SUMIF('Project Cost Monthly'!$H$6:$CB$6,'Debt Schedule'!X2,'Project Cost Monthly'!$H$257:$CB$257)</f>
        <v>0</v>
      </c>
      <c r="Y50" s="41">
        <f>SUMIF('Project Cost Monthly'!$H$6:$CB$6,'Debt Schedule'!Y2,'Project Cost Monthly'!$H$257:$CB$257)</f>
        <v>0</v>
      </c>
      <c r="Z50" s="41">
        <f>SUMIF('Project Cost Monthly'!$H$6:$CB$6,'Debt Schedule'!Z2,'Project Cost Monthly'!$H$257:$CB$257)</f>
        <v>0</v>
      </c>
      <c r="AA50" s="41">
        <f>SUMIF('Project Cost Monthly'!$H$6:$CB$6,'Debt Schedule'!AA2,'Project Cost Monthly'!$H$257:$CB$257)</f>
        <v>0</v>
      </c>
      <c r="AB50" s="41">
        <f>SUMIF('Project Cost Monthly'!$H$6:$CB$6,'Debt Schedule'!AB2,'Project Cost Monthly'!$H$257:$CB$257)</f>
        <v>0</v>
      </c>
      <c r="AC50" s="41">
        <f>SUMIF('Project Cost Monthly'!$H$6:$CB$6,'Debt Schedule'!AC2,'Project Cost Monthly'!$H$257:$CB$257)</f>
        <v>0</v>
      </c>
      <c r="AD50" s="41">
        <f>SUMIF('Project Cost Monthly'!$H$6:$CB$6,'Debt Schedule'!AD2,'Project Cost Monthly'!$H$257:$CB$257)</f>
        <v>0</v>
      </c>
      <c r="AE50" s="41">
        <f>SUMIF('Project Cost Monthly'!$H$6:$CB$6,'Debt Schedule'!AE2,'Project Cost Monthly'!$H$257:$CB$257)</f>
        <v>0</v>
      </c>
      <c r="AF50" s="41">
        <f>SUMIF('Project Cost Monthly'!$H$6:$CB$6,'Debt Schedule'!AF2,'Project Cost Monthly'!$H$257:$CB$257)</f>
        <v>0</v>
      </c>
      <c r="AG50" s="41">
        <f>SUMIF('Project Cost Monthly'!$H$6:$CB$6,'Debt Schedule'!AG2,'Project Cost Monthly'!$H$257:$CB$257)</f>
        <v>0</v>
      </c>
      <c r="AH50" s="41">
        <f>SUMIF('Project Cost Monthly'!$H$6:$CB$6,'Debt Schedule'!AH2,'Project Cost Monthly'!$H$257:$CB$257)</f>
        <v>0</v>
      </c>
      <c r="AI50" s="41">
        <f ca="1">SUMIF('Project Cost Monthly'!$H$6:$AI$6,'Debt Schedule'!AI2,'Project Cost Monthly'!$I$258:$AI$258)</f>
        <v>0</v>
      </c>
      <c r="AJ50" s="41">
        <f ca="1">SUMIF('Project Cost Monthly'!$H$6:$AI$6,'Debt Schedule'!AJ2,'Project Cost Monthly'!$I$258:$AI$258)</f>
        <v>0</v>
      </c>
      <c r="AK50" s="41">
        <f ca="1">SUMIF('Project Cost Monthly'!$H$6:$AI$6,'Debt Schedule'!AK2,'Project Cost Monthly'!$I$258:$AI$258)</f>
        <v>0</v>
      </c>
      <c r="AL50" s="41">
        <f ca="1">SUMIF('Project Cost Monthly'!$H$6:$AI$6,'Debt Schedule'!AL2,'Project Cost Monthly'!$I$258:$AI$258)</f>
        <v>0</v>
      </c>
      <c r="AM50" s="41">
        <f ca="1">SUMIF('Project Cost Monthly'!$H$6:$AI$6,'Debt Schedule'!AM2,'Project Cost Monthly'!$I$258:$AI$258)</f>
        <v>0</v>
      </c>
      <c r="AN50" s="41">
        <f ca="1">SUMIF('Project Cost Monthly'!$H$6:$AI$6,'Debt Schedule'!AN2,'Project Cost Monthly'!$I$258:$AI$258)</f>
        <v>0</v>
      </c>
      <c r="AO50" s="41">
        <f ca="1">SUMIF('Project Cost Monthly'!$H$6:$AI$6,'Debt Schedule'!AO2,'Project Cost Monthly'!$I$258:$AI$258)</f>
        <v>0</v>
      </c>
      <c r="AP50" s="41">
        <f ca="1">SUMIF('Project Cost Monthly'!$H$6:$AI$6,'Debt Schedule'!AP2,'Project Cost Monthly'!$I$258:$AI$258)</f>
        <v>0</v>
      </c>
      <c r="AQ50" s="41">
        <f ca="1">SUMIF('Project Cost Monthly'!$H$6:$AI$6,'Debt Schedule'!AQ2,'Project Cost Monthly'!$I$258:$AI$258)</f>
        <v>0</v>
      </c>
      <c r="AR50" s="41">
        <f ca="1">SUMIF('Project Cost Monthly'!$H$6:$AI$6,'Debt Schedule'!AR2,'Project Cost Monthly'!$I$258:$AI$258)</f>
        <v>0</v>
      </c>
      <c r="AS50" s="41">
        <f ca="1">SUMIF('Project Cost Monthly'!$H$6:$AI$6,'Debt Schedule'!AS2,'Project Cost Monthly'!$I$258:$AI$258)</f>
        <v>0</v>
      </c>
      <c r="AT50" s="41">
        <f ca="1">SUMIF('Project Cost Monthly'!$H$6:$AI$6,'Debt Schedule'!AT2,'Project Cost Monthly'!$I$258:$AI$258)</f>
        <v>0</v>
      </c>
      <c r="AU50" s="41">
        <f ca="1">SUMIF('Project Cost Monthly'!$H$6:$AI$6,'Debt Schedule'!AU2,'Project Cost Monthly'!$I$258:$AI$258)</f>
        <v>0</v>
      </c>
      <c r="AV50" s="41">
        <f ca="1">SUMIF('Project Cost Monthly'!$H$6:$AI$6,'Debt Schedule'!AV2,'Project Cost Monthly'!$I$258:$AI$258)</f>
        <v>0</v>
      </c>
      <c r="AW50" s="41">
        <f ca="1">SUMIF('Project Cost Monthly'!$H$6:$AI$6,'Debt Schedule'!AW2,'Project Cost Monthly'!$I$258:$AI$258)</f>
        <v>0</v>
      </c>
      <c r="AX50" s="41">
        <f ca="1">SUMIF('Project Cost Monthly'!$H$6:$AI$6,'Debt Schedule'!AX2,'Project Cost Monthly'!$I$258:$AI$258)</f>
        <v>0</v>
      </c>
      <c r="AY50" s="41">
        <f ca="1">SUMIF('Project Cost Monthly'!$H$6:$AI$6,'Debt Schedule'!AY2,'Project Cost Monthly'!$I$258:$AI$258)</f>
        <v>0</v>
      </c>
    </row>
    <row r="51" spans="1:52">
      <c r="B51" s="2" t="s">
        <v>296</v>
      </c>
      <c r="C51" s="15" t="str">
        <f>IF('Input '!$F$9=1,"US$","=N=")</f>
        <v>US$</v>
      </c>
      <c r="D51" s="42">
        <f ca="1">SUM(I51:AI51)</f>
        <v>0</v>
      </c>
      <c r="I51" s="41">
        <f>IF(I2&lt;='Input '!$F$314,SUM(I49:I50)*$D$37*I24,0)</f>
        <v>0</v>
      </c>
      <c r="J51" s="41">
        <f ca="1">IF(J2&lt;='Input '!$F$314,SUM(J49:J50)*$D$37*J24,0)</f>
        <v>0</v>
      </c>
      <c r="K51" s="41">
        <f>IF(K2&lt;='Input '!$F$314,SUM(K49:K50)*$D$37*K24,0)</f>
        <v>0</v>
      </c>
      <c r="L51" s="41">
        <f>IF(L2&lt;='Input '!$F$314,SUM(L49:L50)*$D$37*L24,0)</f>
        <v>0</v>
      </c>
      <c r="M51" s="41">
        <f>IF(M2&lt;='Input '!$F$314,SUM(M49:M50)*$D$37*M24,0)</f>
        <v>0</v>
      </c>
      <c r="N51" s="41">
        <f>IF(N2&lt;='Input '!$F$314,SUM(N49:N50)*$D$37*N24,0)</f>
        <v>0</v>
      </c>
      <c r="O51" s="41">
        <f>IF(O2&lt;='Input '!$F$314,SUM(O49:O50)*$D$37*O24,0)</f>
        <v>0</v>
      </c>
      <c r="P51" s="41">
        <f>IF(P2&lt;='Input '!$F$314,SUM(P49:P50)*$D$37*P24,0)</f>
        <v>0</v>
      </c>
      <c r="Q51" s="41">
        <f>IF(Q2&lt;='Input '!$F$314,SUM(Q49:Q50)*$D$37*Q24,0)</f>
        <v>0</v>
      </c>
      <c r="R51" s="41">
        <f>IF(R2&lt;='Input '!$F$314,SUM(R49:R50)*$D$37*R24,0)</f>
        <v>0</v>
      </c>
      <c r="S51" s="41">
        <f>IF(S2&lt;='Input '!$F$314,SUM(S49:S50)*$D$37*S24,0)</f>
        <v>0</v>
      </c>
      <c r="T51" s="41">
        <f>IF(T2&lt;='Input '!$F$314,SUM(T49:T50)*$D$37*T24,0)</f>
        <v>0</v>
      </c>
      <c r="U51" s="41">
        <f>IF(U2&lt;='Input '!$F$314,SUM(U49:U50)*$D$37*U24,0)</f>
        <v>0</v>
      </c>
      <c r="V51" s="41">
        <f>IF(V2&lt;='Input '!$F$314,SUM(V49:V50)*$D$37*V24,0)</f>
        <v>0</v>
      </c>
      <c r="W51" s="41">
        <f>IF(W2&lt;='Input '!$F$314,SUM(W49:W50)*$D$37*W24,0)</f>
        <v>0</v>
      </c>
      <c r="X51" s="41">
        <f>IF(X2&lt;='Input '!$F$314,SUM(X49:X50)*$D$37*X24,0)</f>
        <v>0</v>
      </c>
      <c r="Y51" s="41">
        <f>IF(Y2&lt;='Input '!$F$314,SUM(Y49:Y50)*$D$37*Y24,0)</f>
        <v>0</v>
      </c>
      <c r="Z51" s="41">
        <f>IF(Z2&lt;='Input '!$F$314,SUM(Z49:Z50)*$D$37*Z24,0)</f>
        <v>0</v>
      </c>
      <c r="AA51" s="41">
        <f>IF(AA2&lt;='Input '!$F$314,SUM(AA49:AA50)*$D$37*AA24,0)</f>
        <v>0</v>
      </c>
      <c r="AB51" s="41">
        <f>IF(AB2&lt;='Input '!$F$314,SUM(AB49:AB50)*$D$37*AB24,0)</f>
        <v>0</v>
      </c>
      <c r="AC51" s="41">
        <f>IF(AC2&lt;='Input '!$F$314,SUM(AC49:AC50)*$D$37*AC24,0)</f>
        <v>0</v>
      </c>
      <c r="AD51" s="41">
        <f>IF(AD2&lt;='Input '!$F$314,SUM(AD49:AD50)*$D$37*AD24,0)</f>
        <v>0</v>
      </c>
      <c r="AE51" s="41">
        <f>IF(AE2&lt;='Input '!$F$314,SUM(AE49:AE50)*$D$37*AE24,0)</f>
        <v>0</v>
      </c>
      <c r="AF51" s="41">
        <f>IF(AF2&lt;='Input '!$F$314,SUM(AF49:AF50)*$D$37*AF24,0)</f>
        <v>0</v>
      </c>
      <c r="AG51" s="41">
        <f>IF(AG2&lt;='Input '!$F$314,SUM(AG49:AG50)*$D$37*AG24,0)</f>
        <v>0</v>
      </c>
      <c r="AH51" s="41">
        <f>IF(AH2&lt;='Input '!$F$314,SUM(AH49:AH50)*$D$37*AH24,0)</f>
        <v>0</v>
      </c>
      <c r="AI51" s="41">
        <f>IF(AI2&lt;='Input '!$F$314,SUM(AI49:AI50)*$D$37*AI24,0)</f>
        <v>0</v>
      </c>
      <c r="AJ51" s="41">
        <f>IF(AJ2&lt;='Input '!$F$314,SUM(AJ49:AJ50)*$D$37*AJ24,0)</f>
        <v>0</v>
      </c>
      <c r="AK51" s="41">
        <f>IF(AK2&lt;='Input '!$F$314,SUM(AK49:AK50)*$D$37*AK24,0)</f>
        <v>0</v>
      </c>
      <c r="AL51" s="41">
        <f>IF(AL2&lt;='Input '!$F$314,SUM(AL49:AL50)*$D$37*AL24,0)</f>
        <v>0</v>
      </c>
      <c r="AM51" s="41">
        <f>IF(AM2&lt;='Input '!$F$314,SUM(AM49:AM50)*$D$37*AM24,0)</f>
        <v>0</v>
      </c>
      <c r="AN51" s="41">
        <f>IF(AN2&lt;='Input '!$F$314,SUM(AN49:AN50)*$D$37*AN24,0)</f>
        <v>0</v>
      </c>
      <c r="AO51" s="41">
        <f>IF(AO2&lt;='Input '!$F$314,SUM(AO49:AO50)*$D$37*AO24,0)</f>
        <v>0</v>
      </c>
      <c r="AP51" s="41">
        <f>IF(AP2&lt;='Input '!$F$314,SUM(AP49:AP50)*$D$37*AP24,0)</f>
        <v>0</v>
      </c>
      <c r="AQ51" s="41">
        <f>IF(AQ2&lt;='Input '!$F$314,SUM(AQ49:AQ50)*$D$37*AQ24,0)</f>
        <v>0</v>
      </c>
      <c r="AR51" s="41">
        <f>IF(AR2&lt;='Input '!$F$314,SUM(AR49:AR50)*$D$37*AR24,0)</f>
        <v>0</v>
      </c>
      <c r="AS51" s="41">
        <f>IF(AS2&lt;='Input '!$F$314,SUM(AS49:AS50)*$D$37*AS24,0)</f>
        <v>0</v>
      </c>
      <c r="AT51" s="41">
        <f>IF(AT2&lt;='Input '!$F$314,SUM(AT49:AT50)*$D$37*AT24,0)</f>
        <v>0</v>
      </c>
      <c r="AU51" s="41">
        <f>IF(AU2&lt;='Input '!$F$314,SUM(AU49:AU50)*$D$37*AU24,0)</f>
        <v>0</v>
      </c>
      <c r="AV51" s="41">
        <f>IF(AV2&lt;='Input '!$F$314,SUM(AV49:AV50)*$D$37*AV24,0)</f>
        <v>0</v>
      </c>
      <c r="AW51" s="41">
        <f>IF(AW2&lt;='Input '!$F$314,SUM(AW49:AW50)*$D$37*AW24,0)</f>
        <v>0</v>
      </c>
      <c r="AX51" s="41">
        <f ca="1">IF(AX2&lt;='Input '!$F$314,SUM(AX49:AX50)*$D$37*AX24,0)</f>
        <v>0</v>
      </c>
      <c r="AY51" s="41">
        <f ca="1">IF(AY2&lt;='Input '!$F$314,SUM(AY49:AY50)*$D$37*AY24,0)</f>
        <v>0</v>
      </c>
    </row>
    <row r="52" spans="1:52">
      <c r="B52" s="27" t="s">
        <v>292</v>
      </c>
      <c r="C52" s="28" t="str">
        <f>IF('Input '!$F$9=1,"US$","=N=")</f>
        <v>US$</v>
      </c>
      <c r="D52" s="108">
        <f ca="1">SUM(I52:AY52)</f>
        <v>-2898315764.9601583</v>
      </c>
      <c r="E52" s="27"/>
      <c r="F52" s="27"/>
      <c r="G52" s="27"/>
      <c r="H52" s="27"/>
      <c r="I52" s="43">
        <f ca="1">-MAX(MIN(I46,I45),0)</f>
        <v>0</v>
      </c>
      <c r="J52" s="43">
        <f t="shared" ref="J52:AI52" ca="1" si="15">-MAX(MIN(J46,J45),0)</f>
        <v>0</v>
      </c>
      <c r="K52" s="43">
        <f ca="1">-MAX(MIN(K46,K45),0)</f>
        <v>0</v>
      </c>
      <c r="L52" s="43">
        <f ca="1">-MAX(MIN(L46,L45),0)</f>
        <v>-414045109.28002262</v>
      </c>
      <c r="M52" s="43">
        <f t="shared" ca="1" si="15"/>
        <v>-414045109.28002262</v>
      </c>
      <c r="N52" s="43">
        <f t="shared" ca="1" si="15"/>
        <v>-414045109.28002262</v>
      </c>
      <c r="O52" s="43">
        <f t="shared" ca="1" si="15"/>
        <v>-414045109.28002262</v>
      </c>
      <c r="P52" s="43">
        <f t="shared" ca="1" si="15"/>
        <v>-414045109.28002262</v>
      </c>
      <c r="Q52" s="43">
        <f t="shared" ca="1" si="15"/>
        <v>-414045109.28002262</v>
      </c>
      <c r="R52" s="43">
        <f t="shared" ca="1" si="15"/>
        <v>-414045109.28002262</v>
      </c>
      <c r="S52" s="43">
        <f t="shared" ca="1" si="15"/>
        <v>0</v>
      </c>
      <c r="T52" s="43">
        <f t="shared" ca="1" si="15"/>
        <v>0</v>
      </c>
      <c r="U52" s="43">
        <f t="shared" ca="1" si="15"/>
        <v>0</v>
      </c>
      <c r="V52" s="43">
        <f t="shared" ca="1" si="15"/>
        <v>0</v>
      </c>
      <c r="W52" s="43">
        <f t="shared" ca="1" si="15"/>
        <v>0</v>
      </c>
      <c r="X52" s="43">
        <f t="shared" ca="1" si="15"/>
        <v>0</v>
      </c>
      <c r="Y52" s="43">
        <f t="shared" ca="1" si="15"/>
        <v>0</v>
      </c>
      <c r="Z52" s="43">
        <f t="shared" ca="1" si="15"/>
        <v>0</v>
      </c>
      <c r="AA52" s="43">
        <f t="shared" ca="1" si="15"/>
        <v>0</v>
      </c>
      <c r="AB52" s="43">
        <f t="shared" ca="1" si="15"/>
        <v>0</v>
      </c>
      <c r="AC52" s="43">
        <f t="shared" ca="1" si="15"/>
        <v>0</v>
      </c>
      <c r="AD52" s="43">
        <f t="shared" ca="1" si="15"/>
        <v>0</v>
      </c>
      <c r="AE52" s="43">
        <f t="shared" ca="1" si="15"/>
        <v>0</v>
      </c>
      <c r="AF52" s="43">
        <f t="shared" ca="1" si="15"/>
        <v>0</v>
      </c>
      <c r="AG52" s="43">
        <f t="shared" ca="1" si="15"/>
        <v>0</v>
      </c>
      <c r="AH52" s="43">
        <f t="shared" ca="1" si="15"/>
        <v>0</v>
      </c>
      <c r="AI52" s="43">
        <f t="shared" ca="1" si="15"/>
        <v>0</v>
      </c>
      <c r="AJ52" s="43"/>
      <c r="AK52" s="43"/>
      <c r="AL52" s="43"/>
      <c r="AM52" s="43"/>
      <c r="AN52" s="43"/>
      <c r="AO52" s="43"/>
      <c r="AP52" s="43"/>
      <c r="AQ52" s="43"/>
      <c r="AR52" s="43"/>
      <c r="AS52" s="43"/>
      <c r="AT52" s="43"/>
      <c r="AU52" s="43"/>
      <c r="AV52" s="43"/>
      <c r="AW52" s="43"/>
      <c r="AX52" s="43"/>
      <c r="AY52" s="43"/>
      <c r="AZ52" s="43"/>
    </row>
    <row r="53" spans="1:52">
      <c r="B53" s="2" t="s">
        <v>266</v>
      </c>
      <c r="C53" s="15" t="str">
        <f>IF('Input '!$F$9=1,"US$","=N=")</f>
        <v>US$</v>
      </c>
      <c r="D53" s="42">
        <f ca="1">SUM(I53:AI53)</f>
        <v>13488805364.16172</v>
      </c>
      <c r="H53" s="135"/>
      <c r="I53" s="41">
        <f t="shared" ref="I53:AH53" ca="1" si="16">SUM(I49:I52)</f>
        <v>0</v>
      </c>
      <c r="J53" s="41">
        <f t="shared" ca="1" si="16"/>
        <v>1895542304.3210859</v>
      </c>
      <c r="K53" s="41">
        <f t="shared" ca="1" si="16"/>
        <v>2898315764.9601583</v>
      </c>
      <c r="L53" s="41">
        <f t="shared" ca="1" si="16"/>
        <v>2484270655.6801357</v>
      </c>
      <c r="M53" s="41">
        <f t="shared" ca="1" si="16"/>
        <v>2070225546.4001131</v>
      </c>
      <c r="N53" s="41">
        <f t="shared" ca="1" si="16"/>
        <v>1656180437.1200905</v>
      </c>
      <c r="O53" s="41">
        <f t="shared" ca="1" si="16"/>
        <v>1242135327.8400679</v>
      </c>
      <c r="P53" s="41">
        <f t="shared" ca="1" si="16"/>
        <v>828090218.56004524</v>
      </c>
      <c r="Q53" s="41">
        <f t="shared" ca="1" si="16"/>
        <v>414045109.28002262</v>
      </c>
      <c r="R53" s="41">
        <f ca="1">SUM(R49:R52)</f>
        <v>0</v>
      </c>
      <c r="S53" s="41">
        <f t="shared" ca="1" si="16"/>
        <v>0</v>
      </c>
      <c r="T53" s="41">
        <f t="shared" ca="1" si="16"/>
        <v>0</v>
      </c>
      <c r="U53" s="41">
        <f t="shared" ca="1" si="16"/>
        <v>0</v>
      </c>
      <c r="V53" s="41">
        <f t="shared" ca="1" si="16"/>
        <v>0</v>
      </c>
      <c r="W53" s="41">
        <f t="shared" ca="1" si="16"/>
        <v>0</v>
      </c>
      <c r="X53" s="41">
        <f t="shared" ca="1" si="16"/>
        <v>0</v>
      </c>
      <c r="Y53" s="41">
        <f t="shared" ca="1" si="16"/>
        <v>0</v>
      </c>
      <c r="Z53" s="41">
        <f t="shared" ca="1" si="16"/>
        <v>0</v>
      </c>
      <c r="AA53" s="41">
        <f t="shared" ca="1" si="16"/>
        <v>0</v>
      </c>
      <c r="AB53" s="41">
        <f t="shared" ca="1" si="16"/>
        <v>0</v>
      </c>
      <c r="AC53" s="41">
        <f t="shared" ca="1" si="16"/>
        <v>0</v>
      </c>
      <c r="AD53" s="41">
        <f t="shared" ca="1" si="16"/>
        <v>0</v>
      </c>
      <c r="AE53" s="41">
        <f t="shared" ca="1" si="16"/>
        <v>0</v>
      </c>
      <c r="AF53" s="41">
        <f t="shared" ca="1" si="16"/>
        <v>0</v>
      </c>
      <c r="AG53" s="41">
        <f t="shared" ca="1" si="16"/>
        <v>0</v>
      </c>
      <c r="AH53" s="41">
        <f t="shared" ca="1" si="16"/>
        <v>0</v>
      </c>
      <c r="AI53" s="41">
        <f t="shared" ref="AI53:AZ53" ca="1" si="17">SUM(AI49:AI52)</f>
        <v>0</v>
      </c>
      <c r="AJ53" s="41">
        <f t="shared" ca="1" si="17"/>
        <v>0</v>
      </c>
      <c r="AK53" s="41">
        <f t="shared" ca="1" si="17"/>
        <v>0</v>
      </c>
      <c r="AL53" s="41">
        <f t="shared" ca="1" si="17"/>
        <v>0</v>
      </c>
      <c r="AM53" s="41">
        <f t="shared" ca="1" si="17"/>
        <v>0</v>
      </c>
      <c r="AN53" s="41">
        <f t="shared" ca="1" si="17"/>
        <v>0</v>
      </c>
      <c r="AO53" s="41">
        <f t="shared" ca="1" si="17"/>
        <v>0</v>
      </c>
      <c r="AP53" s="41">
        <f t="shared" ca="1" si="17"/>
        <v>0</v>
      </c>
      <c r="AQ53" s="41">
        <f t="shared" ca="1" si="17"/>
        <v>0</v>
      </c>
      <c r="AR53" s="41">
        <f t="shared" ca="1" si="17"/>
        <v>0</v>
      </c>
      <c r="AS53" s="41">
        <f t="shared" ca="1" si="17"/>
        <v>0</v>
      </c>
      <c r="AT53" s="41">
        <f t="shared" ca="1" si="17"/>
        <v>0</v>
      </c>
      <c r="AU53" s="41">
        <f t="shared" ca="1" si="17"/>
        <v>0</v>
      </c>
      <c r="AV53" s="41">
        <f t="shared" ca="1" si="17"/>
        <v>0</v>
      </c>
      <c r="AW53" s="41">
        <f t="shared" ca="1" si="17"/>
        <v>0</v>
      </c>
      <c r="AX53" s="41">
        <f t="shared" ca="1" si="17"/>
        <v>0</v>
      </c>
      <c r="AY53" s="41">
        <f t="shared" ca="1" si="17"/>
        <v>0</v>
      </c>
      <c r="AZ53" s="41">
        <f t="shared" si="17"/>
        <v>0</v>
      </c>
    </row>
    <row r="54" spans="1:52">
      <c r="AI54" s="41">
        <f ca="1">SUM(AI49:AI52)</f>
        <v>0</v>
      </c>
      <c r="AJ54" s="41">
        <f t="shared" ref="AJ54:AY54" ca="1" si="18">SUM(AJ49:AJ52)</f>
        <v>0</v>
      </c>
      <c r="AK54" s="41">
        <f t="shared" ca="1" si="18"/>
        <v>0</v>
      </c>
      <c r="AL54" s="41">
        <f t="shared" ca="1" si="18"/>
        <v>0</v>
      </c>
      <c r="AM54" s="41">
        <f t="shared" ca="1" si="18"/>
        <v>0</v>
      </c>
      <c r="AN54" s="41">
        <f t="shared" ca="1" si="18"/>
        <v>0</v>
      </c>
      <c r="AO54" s="41">
        <f t="shared" ca="1" si="18"/>
        <v>0</v>
      </c>
      <c r="AP54" s="41">
        <f t="shared" ca="1" si="18"/>
        <v>0</v>
      </c>
      <c r="AQ54" s="41">
        <f t="shared" ca="1" si="18"/>
        <v>0</v>
      </c>
      <c r="AR54" s="41">
        <f t="shared" ca="1" si="18"/>
        <v>0</v>
      </c>
      <c r="AS54" s="41">
        <f t="shared" ca="1" si="18"/>
        <v>0</v>
      </c>
      <c r="AT54" s="41">
        <f t="shared" ca="1" si="18"/>
        <v>0</v>
      </c>
      <c r="AU54" s="41">
        <f t="shared" ca="1" si="18"/>
        <v>0</v>
      </c>
      <c r="AV54" s="41">
        <f t="shared" ca="1" si="18"/>
        <v>0</v>
      </c>
      <c r="AW54" s="41">
        <f t="shared" ca="1" si="18"/>
        <v>0</v>
      </c>
      <c r="AX54" s="41">
        <f t="shared" ca="1" si="18"/>
        <v>0</v>
      </c>
      <c r="AY54" s="41">
        <f t="shared" ca="1" si="18"/>
        <v>0</v>
      </c>
    </row>
    <row r="55" spans="1:52">
      <c r="B55" s="10" t="s">
        <v>297</v>
      </c>
    </row>
    <row r="56" spans="1:52">
      <c r="A56" s="12"/>
      <c r="B56" s="2" t="s">
        <v>263</v>
      </c>
      <c r="C56" s="15" t="str">
        <f>IF('Input '!$F$9=1,"US$","=N=")</f>
        <v>US$</v>
      </c>
      <c r="D56" s="42">
        <f ca="1">SUM(I56:AI56)</f>
        <v>0</v>
      </c>
      <c r="I56" s="53">
        <f t="shared" ref="I56:AY56" si="19">H59</f>
        <v>0</v>
      </c>
      <c r="J56" s="53">
        <f t="shared" si="19"/>
        <v>0</v>
      </c>
      <c r="K56" s="53">
        <f t="shared" si="19"/>
        <v>0</v>
      </c>
      <c r="L56" s="53">
        <f t="shared" ca="1" si="19"/>
        <v>0</v>
      </c>
      <c r="M56" s="53">
        <f ca="1">L59</f>
        <v>0</v>
      </c>
      <c r="N56" s="53">
        <f t="shared" ca="1" si="19"/>
        <v>0</v>
      </c>
      <c r="O56" s="53">
        <f t="shared" ca="1" si="19"/>
        <v>0</v>
      </c>
      <c r="P56" s="53">
        <f t="shared" ca="1" si="19"/>
        <v>0</v>
      </c>
      <c r="Q56" s="53">
        <f t="shared" ca="1" si="19"/>
        <v>0</v>
      </c>
      <c r="R56" s="53">
        <f t="shared" ca="1" si="19"/>
        <v>0</v>
      </c>
      <c r="S56" s="53">
        <f t="shared" ca="1" si="19"/>
        <v>0</v>
      </c>
      <c r="T56" s="53">
        <f t="shared" ca="1" si="19"/>
        <v>0</v>
      </c>
      <c r="U56" s="53">
        <f t="shared" ca="1" si="19"/>
        <v>0</v>
      </c>
      <c r="V56" s="53">
        <f t="shared" ca="1" si="19"/>
        <v>0</v>
      </c>
      <c r="W56" s="53">
        <f t="shared" ca="1" si="19"/>
        <v>0</v>
      </c>
      <c r="X56" s="53">
        <f t="shared" ca="1" si="19"/>
        <v>0</v>
      </c>
      <c r="Y56" s="53">
        <f t="shared" ca="1" si="19"/>
        <v>0</v>
      </c>
      <c r="Z56" s="53">
        <f t="shared" ca="1" si="19"/>
        <v>0</v>
      </c>
      <c r="AA56" s="53">
        <f t="shared" ca="1" si="19"/>
        <v>0</v>
      </c>
      <c r="AB56" s="53">
        <f t="shared" ca="1" si="19"/>
        <v>0</v>
      </c>
      <c r="AC56" s="53">
        <f t="shared" ca="1" si="19"/>
        <v>0</v>
      </c>
      <c r="AD56" s="53">
        <f t="shared" ca="1" si="19"/>
        <v>0</v>
      </c>
      <c r="AE56" s="53">
        <f t="shared" ca="1" si="19"/>
        <v>0</v>
      </c>
      <c r="AF56" s="53">
        <f t="shared" ca="1" si="19"/>
        <v>0</v>
      </c>
      <c r="AG56" s="53">
        <f t="shared" ca="1" si="19"/>
        <v>0</v>
      </c>
      <c r="AH56" s="53">
        <f t="shared" ca="1" si="19"/>
        <v>0</v>
      </c>
      <c r="AI56" s="53">
        <f t="shared" ca="1" si="19"/>
        <v>0</v>
      </c>
      <c r="AJ56" s="53">
        <f t="shared" ca="1" si="19"/>
        <v>0</v>
      </c>
      <c r="AK56" s="53">
        <f t="shared" si="19"/>
        <v>0</v>
      </c>
      <c r="AL56" s="53">
        <f t="shared" si="19"/>
        <v>0</v>
      </c>
      <c r="AM56" s="53">
        <f t="shared" si="19"/>
        <v>0</v>
      </c>
      <c r="AN56" s="53">
        <f t="shared" si="19"/>
        <v>0</v>
      </c>
      <c r="AO56" s="53">
        <f t="shared" si="19"/>
        <v>0</v>
      </c>
      <c r="AP56" s="53">
        <f t="shared" si="19"/>
        <v>0</v>
      </c>
      <c r="AQ56" s="53">
        <f t="shared" si="19"/>
        <v>0</v>
      </c>
      <c r="AR56" s="53">
        <f t="shared" si="19"/>
        <v>0</v>
      </c>
      <c r="AS56" s="53">
        <f t="shared" si="19"/>
        <v>0</v>
      </c>
      <c r="AT56" s="53">
        <f t="shared" si="19"/>
        <v>0</v>
      </c>
      <c r="AU56" s="53">
        <f t="shared" si="19"/>
        <v>0</v>
      </c>
      <c r="AV56" s="53">
        <f t="shared" si="19"/>
        <v>0</v>
      </c>
      <c r="AW56" s="53">
        <f t="shared" si="19"/>
        <v>0</v>
      </c>
      <c r="AX56" s="53">
        <f t="shared" si="19"/>
        <v>0</v>
      </c>
      <c r="AY56" s="53">
        <f t="shared" si="19"/>
        <v>0</v>
      </c>
    </row>
    <row r="57" spans="1:52">
      <c r="B57" s="2" t="s">
        <v>298</v>
      </c>
      <c r="C57" s="15" t="str">
        <f>IF('Input '!$F$9=1,"US$","=N=")</f>
        <v>US$</v>
      </c>
      <c r="D57" s="42">
        <f ca="1">SUM(I57:AY57)</f>
        <v>1166055899.3242471</v>
      </c>
      <c r="I57" s="53">
        <f>IF(I2&gt;'Input '!$F$314,SUM(I49:I50)*$D$37*I24,0)</f>
        <v>0</v>
      </c>
      <c r="J57" s="53">
        <f>IF(J2&gt;'Input '!$F$314,SUM(J49:J50)*$D$37*J24,0)</f>
        <v>0</v>
      </c>
      <c r="K57" s="53">
        <f ca="1">IF(K2&gt;'Input '!$F$314,SUM(K49:K50)*$D$37*K24,0)</f>
        <v>0</v>
      </c>
      <c r="L57" s="53">
        <f ca="1">IF(L2&gt;'Input '!$F$314,SUM(L49:L50)*$D$37*L24,0)</f>
        <v>291570565.95499194</v>
      </c>
      <c r="M57" s="53">
        <f ca="1">IF(M2&gt;'Input '!$F$314,SUM(M49:M50)*$D$37*M24,0)</f>
        <v>249917627.96142164</v>
      </c>
      <c r="N57" s="53">
        <f ca="1">IF(N2&gt;'Input '!$F$314,SUM(N49:N50)*$D$37*N24,0)</f>
        <v>207695660.76028892</v>
      </c>
      <c r="O57" s="53">
        <f ca="1">IF(O2&gt;'Input '!$F$314,SUM(O49:O50)*$D$37*O24,0)</f>
        <v>167068222.52763531</v>
      </c>
      <c r="P57" s="53">
        <f ca="1">IF(P2&gt;'Input '!$F$314,SUM(P49:P50)*$D$37*P24,0)</f>
        <v>124958813.98071082</v>
      </c>
      <c r="Q57" s="53">
        <f ca="1">IF(Q2&gt;'Input '!$F$314,SUM(Q49:Q50)*$D$37*Q24,0)</f>
        <v>83305875.987140551</v>
      </c>
      <c r="R57" s="53">
        <f ca="1">IF(R2&gt;'Input '!$F$314,SUM(R49:R50)*$D$37*R24,0)</f>
        <v>41539132.152057789</v>
      </c>
      <c r="S57" s="53">
        <f ca="1">IF(S2&gt;'Input '!$F$314,SUM(S49:S50)*$D$37*S24,0)</f>
        <v>0</v>
      </c>
      <c r="T57" s="53">
        <f ca="1">IF(T2&gt;'Input '!$F$314,SUM(T49:T50)*$D$37*T24,0)</f>
        <v>0</v>
      </c>
      <c r="U57" s="53">
        <f ca="1">IF(U2&gt;'Input '!$F$314,SUM(U49:U50)*$D$37*U24,0)</f>
        <v>0</v>
      </c>
      <c r="V57" s="53">
        <f ca="1">IF(V2&gt;'Input '!$F$314,SUM(V49:V50)*$D$37*V24,0)</f>
        <v>0</v>
      </c>
      <c r="W57" s="53">
        <f ca="1">IF(W2&gt;'Input '!$F$314,SUM(W49:W50)*$D$37*W24,0)</f>
        <v>0</v>
      </c>
      <c r="X57" s="53">
        <f ca="1">IF(X2&gt;'Input '!$F$314,SUM(X49:X50)*$D$37*X24,0)</f>
        <v>0</v>
      </c>
      <c r="Y57" s="53">
        <f ca="1">IF(Y2&gt;'Input '!$F$314,SUM(Y49:Y50)*$D$37*Y24,0)</f>
        <v>0</v>
      </c>
      <c r="Z57" s="53">
        <f ca="1">IF(Z2&gt;'Input '!$F$314,SUM(Z49:Z50)*$D$37*Z24,0)</f>
        <v>0</v>
      </c>
      <c r="AA57" s="53">
        <f ca="1">IF(AA2&gt;'Input '!$F$314,SUM(AA49:AA50)*$D$37*AA24,0)</f>
        <v>0</v>
      </c>
      <c r="AB57" s="53">
        <f ca="1">IF(AB2&gt;'Input '!$F$314,SUM(AB49:AB50)*$D$37*AB24,0)</f>
        <v>0</v>
      </c>
      <c r="AC57" s="53">
        <f ca="1">IF(AC2&gt;'Input '!$F$314,SUM(AC49:AC50)*$D$37*AC24,0)</f>
        <v>0</v>
      </c>
      <c r="AD57" s="53">
        <f ca="1">IF(AD2&gt;'Input '!$F$314,SUM(AD49:AD50)*$D$37*AD24,0)</f>
        <v>0</v>
      </c>
      <c r="AE57" s="53">
        <f ca="1">IF(AE2&gt;'Input '!$F$314,SUM(AE49:AE50)*$D$37*AE24,0)</f>
        <v>0</v>
      </c>
      <c r="AF57" s="53">
        <f ca="1">IF(AF2&gt;'Input '!$F$314,SUM(AF49:AF50)*$D$37*AF24,0)</f>
        <v>0</v>
      </c>
      <c r="AG57" s="53">
        <f ca="1">IF(AG2&gt;'Input '!$F$314,SUM(AG49:AG50)*$D$37*AG24,0)</f>
        <v>0</v>
      </c>
      <c r="AH57" s="53">
        <f ca="1">IF(AH2&gt;'Input '!$F$314,SUM(AH49:AH50)*$D$37*AH24,0)</f>
        <v>0</v>
      </c>
      <c r="AI57" s="53">
        <f ca="1">IF(AI2&gt;'Input '!$F$314,SUM(AI49:AI50)*$D$37*AI24,0)</f>
        <v>0</v>
      </c>
      <c r="AJ57" s="53">
        <f ca="1">IF(AJ2&gt;'Input '!$F$314,SUM(AJ49:AJ50)*$D$37*AJ24,0)</f>
        <v>0</v>
      </c>
      <c r="AK57" s="53">
        <f ca="1">IF(AK2&gt;'Input '!$F$314,SUM(AK49:AK50)*$D$37*AK24,0)</f>
        <v>0</v>
      </c>
      <c r="AL57" s="53">
        <f ca="1">IF(AL2&gt;'Input '!$F$314,SUM(AL49:AL50)*$D$37*AL24,0)</f>
        <v>0</v>
      </c>
      <c r="AM57" s="53">
        <f ca="1">IF(AM2&gt;'Input '!$F$314,SUM(AM49:AM50)*$D$37*AM24,0)</f>
        <v>0</v>
      </c>
      <c r="AN57" s="53">
        <f ca="1">IF(AN2&gt;'Input '!$F$314,SUM(AN49:AN50)*$D$37*AN24,0)</f>
        <v>0</v>
      </c>
      <c r="AO57" s="53">
        <f ca="1">IF(AO2&gt;'Input '!$F$314,SUM(AO49:AO50)*$D$37*AO24,0)</f>
        <v>0</v>
      </c>
      <c r="AP57" s="53">
        <f ca="1">IF(AP2&gt;'Input '!$F$314,SUM(AP49:AP50)*$D$37*AP24,0)</f>
        <v>0</v>
      </c>
      <c r="AQ57" s="53">
        <f ca="1">IF(AQ2&gt;'Input '!$F$314,SUM(AQ49:AQ50)*$D$37*AQ24,0)</f>
        <v>0</v>
      </c>
      <c r="AR57" s="53">
        <f ca="1">IF(AR2&gt;'Input '!$F$314,SUM(AR49:AR50)*$D$37*AR24,0)</f>
        <v>0</v>
      </c>
      <c r="AS57" s="53">
        <f ca="1">IF(AS2&gt;'Input '!$F$314,SUM(AS49:AS50)*$D$37*AS24,0)</f>
        <v>0</v>
      </c>
      <c r="AT57" s="53">
        <f ca="1">IF(AT2&gt;'Input '!$F$314,SUM(AT49:AT50)*$D$37*AT24,0)</f>
        <v>0</v>
      </c>
      <c r="AU57" s="53">
        <f ca="1">IF(AU2&gt;'Input '!$F$314,SUM(AU49:AU50)*$D$37*AU24,0)</f>
        <v>0</v>
      </c>
      <c r="AV57" s="53">
        <f ca="1">IF(AV2&gt;'Input '!$F$314,SUM(AV49:AV50)*$D$37*AV24,0)</f>
        <v>0</v>
      </c>
      <c r="AW57" s="53">
        <f ca="1">IF(AW2&gt;'Input '!$F$314,SUM(AW49:AW50)*$D$37*AW24,0)</f>
        <v>0</v>
      </c>
      <c r="AX57" s="53">
        <f>IF(AX2&gt;'Input '!$F$314,SUM(AX49:AX50)*$D$37*AX24,0)</f>
        <v>0</v>
      </c>
      <c r="AY57" s="53">
        <f>IF(AY2&gt;'Input '!$F$314,SUM(AY49:AY50)*$D$37*AY24,0)</f>
        <v>0</v>
      </c>
    </row>
    <row r="58" spans="1:52">
      <c r="B58" s="27" t="s">
        <v>299</v>
      </c>
      <c r="C58" s="28" t="str">
        <f>IF('Input '!$F$9=1,"US$","=N=")</f>
        <v>US$</v>
      </c>
      <c r="D58" s="108">
        <f ca="1">SUM(I58:AY58)</f>
        <v>-1166055899.3242471</v>
      </c>
      <c r="E58" s="27"/>
      <c r="F58" s="27"/>
      <c r="G58" s="27"/>
      <c r="H58" s="27"/>
      <c r="I58" s="43">
        <f t="shared" ref="I58:T58" si="20">-I57</f>
        <v>0</v>
      </c>
      <c r="J58" s="43">
        <f t="shared" si="20"/>
        <v>0</v>
      </c>
      <c r="K58" s="43">
        <f t="shared" ca="1" si="20"/>
        <v>0</v>
      </c>
      <c r="L58" s="43">
        <f t="shared" ca="1" si="20"/>
        <v>-291570565.95499194</v>
      </c>
      <c r="M58" s="43">
        <f t="shared" ca="1" si="20"/>
        <v>-249917627.96142164</v>
      </c>
      <c r="N58" s="43">
        <f t="shared" ca="1" si="20"/>
        <v>-207695660.76028892</v>
      </c>
      <c r="O58" s="43">
        <f t="shared" ca="1" si="20"/>
        <v>-167068222.52763531</v>
      </c>
      <c r="P58" s="43">
        <f t="shared" ca="1" si="20"/>
        <v>-124958813.98071082</v>
      </c>
      <c r="Q58" s="43">
        <f t="shared" ca="1" si="20"/>
        <v>-83305875.987140551</v>
      </c>
      <c r="R58" s="43">
        <f t="shared" ca="1" si="20"/>
        <v>-41539132.152057789</v>
      </c>
      <c r="S58" s="43">
        <f t="shared" ca="1" si="20"/>
        <v>0</v>
      </c>
      <c r="T58" s="43">
        <f t="shared" ca="1" si="20"/>
        <v>0</v>
      </c>
      <c r="U58" s="43">
        <f t="shared" ref="U58:AM58" ca="1" si="21">U57</f>
        <v>0</v>
      </c>
      <c r="V58" s="43">
        <f t="shared" ca="1" si="21"/>
        <v>0</v>
      </c>
      <c r="W58" s="43">
        <f t="shared" ca="1" si="21"/>
        <v>0</v>
      </c>
      <c r="X58" s="43">
        <f t="shared" ca="1" si="21"/>
        <v>0</v>
      </c>
      <c r="Y58" s="43">
        <f t="shared" ca="1" si="21"/>
        <v>0</v>
      </c>
      <c r="Z58" s="43">
        <f t="shared" ca="1" si="21"/>
        <v>0</v>
      </c>
      <c r="AA58" s="43">
        <f t="shared" ca="1" si="21"/>
        <v>0</v>
      </c>
      <c r="AB58" s="43">
        <f t="shared" ca="1" si="21"/>
        <v>0</v>
      </c>
      <c r="AC58" s="43">
        <f t="shared" ca="1" si="21"/>
        <v>0</v>
      </c>
      <c r="AD58" s="43">
        <f t="shared" ca="1" si="21"/>
        <v>0</v>
      </c>
      <c r="AE58" s="43">
        <f t="shared" ca="1" si="21"/>
        <v>0</v>
      </c>
      <c r="AF58" s="43">
        <f t="shared" ca="1" si="21"/>
        <v>0</v>
      </c>
      <c r="AG58" s="43">
        <f t="shared" ca="1" si="21"/>
        <v>0</v>
      </c>
      <c r="AH58" s="43">
        <f t="shared" ca="1" si="21"/>
        <v>0</v>
      </c>
      <c r="AI58" s="43">
        <f t="shared" ca="1" si="21"/>
        <v>0</v>
      </c>
      <c r="AJ58" s="43">
        <f t="shared" ca="1" si="21"/>
        <v>0</v>
      </c>
      <c r="AK58" s="43">
        <f t="shared" ca="1" si="21"/>
        <v>0</v>
      </c>
      <c r="AL58" s="43">
        <f t="shared" ca="1" si="21"/>
        <v>0</v>
      </c>
      <c r="AM58" s="43">
        <f t="shared" ca="1" si="21"/>
        <v>0</v>
      </c>
      <c r="AN58" s="43">
        <f t="shared" ref="AN58:AY58" ca="1" si="22">IF(AN57&lt;0.01,0,AN57)</f>
        <v>0</v>
      </c>
      <c r="AO58" s="43">
        <f t="shared" ca="1" si="22"/>
        <v>0</v>
      </c>
      <c r="AP58" s="43">
        <f t="shared" ca="1" si="22"/>
        <v>0</v>
      </c>
      <c r="AQ58" s="43">
        <f t="shared" ca="1" si="22"/>
        <v>0</v>
      </c>
      <c r="AR58" s="43">
        <f t="shared" ca="1" si="22"/>
        <v>0</v>
      </c>
      <c r="AS58" s="43">
        <f t="shared" ca="1" si="22"/>
        <v>0</v>
      </c>
      <c r="AT58" s="43">
        <f t="shared" ca="1" si="22"/>
        <v>0</v>
      </c>
      <c r="AU58" s="43">
        <f t="shared" ca="1" si="22"/>
        <v>0</v>
      </c>
      <c r="AV58" s="43">
        <f t="shared" ca="1" si="22"/>
        <v>0</v>
      </c>
      <c r="AW58" s="43">
        <f t="shared" ca="1" si="22"/>
        <v>0</v>
      </c>
      <c r="AX58" s="43">
        <f t="shared" si="22"/>
        <v>0</v>
      </c>
      <c r="AY58" s="43">
        <f t="shared" si="22"/>
        <v>0</v>
      </c>
    </row>
    <row r="59" spans="1:52">
      <c r="B59" s="2" t="s">
        <v>266</v>
      </c>
      <c r="C59" s="15" t="str">
        <f>IF('Input '!$F$9=1,"US$","=N=")</f>
        <v>US$</v>
      </c>
      <c r="D59" s="42">
        <f ca="1">SUM(I59:AI59)</f>
        <v>0</v>
      </c>
      <c r="H59" s="135"/>
      <c r="I59" s="42">
        <f>SUM(I56:I58)</f>
        <v>0</v>
      </c>
      <c r="J59" s="42">
        <f t="shared" ref="J59:AI59" si="23">SUM(J56:J58)</f>
        <v>0</v>
      </c>
      <c r="K59" s="42">
        <f t="shared" ca="1" si="23"/>
        <v>0</v>
      </c>
      <c r="L59" s="42">
        <f ca="1">SUM(L56:L58)</f>
        <v>0</v>
      </c>
      <c r="M59" s="42">
        <f t="shared" ca="1" si="23"/>
        <v>0</v>
      </c>
      <c r="N59" s="42">
        <f t="shared" ca="1" si="23"/>
        <v>0</v>
      </c>
      <c r="O59" s="42">
        <f t="shared" ca="1" si="23"/>
        <v>0</v>
      </c>
      <c r="P59" s="42">
        <f t="shared" ca="1" si="23"/>
        <v>0</v>
      </c>
      <c r="Q59" s="42">
        <f t="shared" ca="1" si="23"/>
        <v>0</v>
      </c>
      <c r="R59" s="42">
        <f t="shared" ca="1" si="23"/>
        <v>0</v>
      </c>
      <c r="S59" s="42">
        <f t="shared" ca="1" si="23"/>
        <v>0</v>
      </c>
      <c r="T59" s="42">
        <f t="shared" ca="1" si="23"/>
        <v>0</v>
      </c>
      <c r="U59" s="42">
        <f t="shared" ca="1" si="23"/>
        <v>0</v>
      </c>
      <c r="V59" s="42">
        <f t="shared" ca="1" si="23"/>
        <v>0</v>
      </c>
      <c r="W59" s="42">
        <f t="shared" ca="1" si="23"/>
        <v>0</v>
      </c>
      <c r="X59" s="42">
        <f t="shared" ca="1" si="23"/>
        <v>0</v>
      </c>
      <c r="Y59" s="42">
        <f t="shared" ca="1" si="23"/>
        <v>0</v>
      </c>
      <c r="Z59" s="42">
        <f t="shared" ca="1" si="23"/>
        <v>0</v>
      </c>
      <c r="AA59" s="42">
        <f t="shared" ca="1" si="23"/>
        <v>0</v>
      </c>
      <c r="AB59" s="42">
        <f t="shared" ca="1" si="23"/>
        <v>0</v>
      </c>
      <c r="AC59" s="42">
        <f t="shared" ca="1" si="23"/>
        <v>0</v>
      </c>
      <c r="AD59" s="42">
        <f t="shared" ca="1" si="23"/>
        <v>0</v>
      </c>
      <c r="AE59" s="42">
        <f t="shared" ca="1" si="23"/>
        <v>0</v>
      </c>
      <c r="AF59" s="42">
        <f t="shared" ca="1" si="23"/>
        <v>0</v>
      </c>
      <c r="AG59" s="42">
        <f t="shared" ca="1" si="23"/>
        <v>0</v>
      </c>
      <c r="AH59" s="42">
        <f t="shared" ca="1" si="23"/>
        <v>0</v>
      </c>
      <c r="AI59" s="42">
        <f t="shared" ca="1" si="23"/>
        <v>0</v>
      </c>
    </row>
    <row r="61" spans="1:52">
      <c r="B61" s="10" t="s">
        <v>300</v>
      </c>
    </row>
    <row r="63" spans="1:52">
      <c r="A63" s="12"/>
      <c r="B63" s="2" t="s">
        <v>301</v>
      </c>
      <c r="C63" s="15" t="s">
        <v>18</v>
      </c>
      <c r="D63" s="101">
        <f>'Input '!E338</f>
        <v>2.5000000000000001E-3</v>
      </c>
    </row>
    <row r="65" spans="1:51">
      <c r="B65" s="2" t="s">
        <v>263</v>
      </c>
      <c r="C65" s="15" t="str">
        <f>IF('Input '!$F$9=1,"US$","=N=")</f>
        <v>US$</v>
      </c>
      <c r="D65" s="42">
        <f ca="1">SUM(I65:AI65)</f>
        <v>0</v>
      </c>
      <c r="I65" s="41">
        <f>H68</f>
        <v>0</v>
      </c>
      <c r="J65" s="41">
        <f t="shared" ref="J65:AI65" si="24">I68</f>
        <v>0</v>
      </c>
      <c r="K65" s="41">
        <f t="shared" ca="1" si="24"/>
        <v>0</v>
      </c>
      <c r="L65" s="41">
        <f t="shared" ca="1" si="24"/>
        <v>0</v>
      </c>
      <c r="M65" s="41">
        <f t="shared" ca="1" si="24"/>
        <v>0</v>
      </c>
      <c r="N65" s="41">
        <f t="shared" ca="1" si="24"/>
        <v>0</v>
      </c>
      <c r="O65" s="41">
        <f t="shared" ca="1" si="24"/>
        <v>0</v>
      </c>
      <c r="P65" s="41">
        <f t="shared" ca="1" si="24"/>
        <v>0</v>
      </c>
      <c r="Q65" s="41">
        <f t="shared" ca="1" si="24"/>
        <v>0</v>
      </c>
      <c r="R65" s="41">
        <f t="shared" ca="1" si="24"/>
        <v>0</v>
      </c>
      <c r="S65" s="41">
        <f t="shared" ca="1" si="24"/>
        <v>0</v>
      </c>
      <c r="T65" s="41">
        <f t="shared" ca="1" si="24"/>
        <v>0</v>
      </c>
      <c r="U65" s="41">
        <f t="shared" ca="1" si="24"/>
        <v>0</v>
      </c>
      <c r="V65" s="41">
        <f t="shared" ca="1" si="24"/>
        <v>0</v>
      </c>
      <c r="W65" s="41">
        <f t="shared" ca="1" si="24"/>
        <v>0</v>
      </c>
      <c r="X65" s="41">
        <f t="shared" ca="1" si="24"/>
        <v>0</v>
      </c>
      <c r="Y65" s="41">
        <f t="shared" ca="1" si="24"/>
        <v>0</v>
      </c>
      <c r="Z65" s="41">
        <f t="shared" ca="1" si="24"/>
        <v>0</v>
      </c>
      <c r="AA65" s="41">
        <f t="shared" ca="1" si="24"/>
        <v>0</v>
      </c>
      <c r="AB65" s="41">
        <f t="shared" ca="1" si="24"/>
        <v>0</v>
      </c>
      <c r="AC65" s="41">
        <f t="shared" ca="1" si="24"/>
        <v>0</v>
      </c>
      <c r="AD65" s="41">
        <f t="shared" ca="1" si="24"/>
        <v>0</v>
      </c>
      <c r="AE65" s="41">
        <f t="shared" ca="1" si="24"/>
        <v>0</v>
      </c>
      <c r="AF65" s="41">
        <f t="shared" ca="1" si="24"/>
        <v>0</v>
      </c>
      <c r="AG65" s="41">
        <f t="shared" ca="1" si="24"/>
        <v>0</v>
      </c>
      <c r="AH65" s="41">
        <f t="shared" ca="1" si="24"/>
        <v>0</v>
      </c>
      <c r="AI65" s="41">
        <f t="shared" ca="1" si="24"/>
        <v>0</v>
      </c>
      <c r="AJ65" s="41">
        <f t="shared" ref="AJ65:AY65" ca="1" si="25">AI68</f>
        <v>0</v>
      </c>
      <c r="AK65" s="41">
        <f t="shared" si="25"/>
        <v>0</v>
      </c>
      <c r="AL65" s="41">
        <f t="shared" si="25"/>
        <v>0</v>
      </c>
      <c r="AM65" s="41">
        <f t="shared" si="25"/>
        <v>0</v>
      </c>
      <c r="AN65" s="41">
        <f t="shared" si="25"/>
        <v>0</v>
      </c>
      <c r="AO65" s="41">
        <f t="shared" si="25"/>
        <v>0</v>
      </c>
      <c r="AP65" s="41">
        <f t="shared" si="25"/>
        <v>0</v>
      </c>
      <c r="AQ65" s="41">
        <f t="shared" si="25"/>
        <v>0</v>
      </c>
      <c r="AR65" s="41">
        <f t="shared" si="25"/>
        <v>0</v>
      </c>
      <c r="AS65" s="41">
        <f t="shared" si="25"/>
        <v>0</v>
      </c>
      <c r="AT65" s="41">
        <f t="shared" si="25"/>
        <v>0</v>
      </c>
      <c r="AU65" s="41">
        <f t="shared" si="25"/>
        <v>0</v>
      </c>
      <c r="AV65" s="41">
        <f t="shared" si="25"/>
        <v>0</v>
      </c>
      <c r="AW65" s="41">
        <f t="shared" si="25"/>
        <v>0</v>
      </c>
      <c r="AX65" s="41">
        <f t="shared" si="25"/>
        <v>0</v>
      </c>
      <c r="AY65" s="41">
        <f t="shared" si="25"/>
        <v>0</v>
      </c>
    </row>
    <row r="66" spans="1:51">
      <c r="B66" s="2" t="s">
        <v>302</v>
      </c>
      <c r="C66" s="15" t="str">
        <f>IF('Input '!$F$9=1,"US$","=N=")</f>
        <v>US$</v>
      </c>
      <c r="D66" s="42">
        <f ca="1">SUM(I66:AY66)</f>
        <v>28977532.289369956</v>
      </c>
      <c r="I66" s="41">
        <f>IF(I2&gt;'Input '!$D$314,$D$63*SUM(I49:I51)*I24,0)</f>
        <v>0</v>
      </c>
      <c r="J66" s="41">
        <f ca="1">IF(J2&gt;'Input '!$D$314,$D$63*SUM(J49:J51)*J24,0)</f>
        <v>0</v>
      </c>
      <c r="K66" s="41">
        <f ca="1">IF(K2&gt;'Input '!$D$314,$D$63*SUM(K49:K51)*K24,0)</f>
        <v>0</v>
      </c>
      <c r="L66" s="41">
        <f ca="1">IF(L2&gt;'Input '!$D$314,$D$63*SUM(L49:L51)*L24,0)</f>
        <v>7245789.4124003956</v>
      </c>
      <c r="M66" s="41">
        <f ca="1">IF(M2&gt;'Input '!$D$314,$D$63*SUM(M49:M51)*M24,0)</f>
        <v>6210676.6392003391</v>
      </c>
      <c r="N66" s="41">
        <f ca="1">IF(N2&gt;'Input '!$D$314,$D$63*SUM(N49:N51)*N24,0)</f>
        <v>5161422.9811205007</v>
      </c>
      <c r="O66" s="41">
        <f ca="1">IF(O2&gt;'Input '!$D$314,$D$63*SUM(O49:O51)*O24,0)</f>
        <v>4151794.7944243373</v>
      </c>
      <c r="P66" s="41">
        <f ca="1">IF(P2&gt;'Input '!$D$314,$D$63*SUM(P49:P51)*P24,0)</f>
        <v>3105338.3196001695</v>
      </c>
      <c r="Q66" s="41">
        <f ca="1">IF(Q2&gt;'Input '!$D$314,$D$63*SUM(Q49:Q51)*Q24,0)</f>
        <v>2070225.5464001133</v>
      </c>
      <c r="R66" s="41">
        <f ca="1">IF(R2&gt;'Input '!$D$314,$D$63*SUM(R49:R51)*R24,0)</f>
        <v>1032284.5962241002</v>
      </c>
      <c r="S66" s="41">
        <f ca="1">IF(S2&gt;'Input '!$D$314,$D$63*SUM(S49:S51)*S24,0)</f>
        <v>0</v>
      </c>
      <c r="T66" s="41">
        <f ca="1">IF(T2&gt;'Input '!$D$314,$D$63*SUM(T49:T51)*T24,0)</f>
        <v>0</v>
      </c>
      <c r="U66" s="41">
        <f ca="1">IF(U2&gt;'Input '!$D$314,$D$63*SUM(U49:U51)*U24,0)</f>
        <v>0</v>
      </c>
      <c r="V66" s="41">
        <f ca="1">IF(V2&gt;'Input '!$D$314,$D$63*SUM(V49:V51)*V24,0)</f>
        <v>0</v>
      </c>
      <c r="W66" s="41">
        <f ca="1">IF(W2&gt;'Input '!$D$314,$D$63*SUM(W49:W51)*W24,0)</f>
        <v>0</v>
      </c>
      <c r="X66" s="41">
        <f ca="1">IF(X2&gt;'Input '!$D$314,$D$63*SUM(X49:X51)*X24,0)</f>
        <v>0</v>
      </c>
      <c r="Y66" s="41">
        <f ca="1">IF(Y2&gt;'Input '!$D$314,$D$63*SUM(Y49:Y51)*Y24,0)</f>
        <v>0</v>
      </c>
      <c r="Z66" s="41">
        <f ca="1">IF(Z2&gt;'Input '!$D$314,$D$63*SUM(Z49:Z51)*Z24,0)</f>
        <v>0</v>
      </c>
      <c r="AA66" s="41">
        <f ca="1">IF(AA2&gt;'Input '!$D$314,$D$63*SUM(AA49:AA51)*AA24,0)</f>
        <v>0</v>
      </c>
      <c r="AB66" s="41">
        <f ca="1">IF(AB2&gt;'Input '!$D$314,$D$63*SUM(AB49:AB51)*AB24,0)</f>
        <v>0</v>
      </c>
      <c r="AC66" s="41">
        <f ca="1">IF(AC2&gt;'Input '!$D$314,$D$63*SUM(AC49:AC51)*AC24,0)</f>
        <v>0</v>
      </c>
      <c r="AD66" s="41">
        <f ca="1">IF(AD2&gt;'Input '!$D$314,$D$63*SUM(AD49:AD51)*AD24,0)</f>
        <v>0</v>
      </c>
      <c r="AE66" s="41">
        <f ca="1">IF(AE2&gt;'Input '!$D$314,$D$63*SUM(AE49:AE51)*AE24,0)</f>
        <v>0</v>
      </c>
      <c r="AF66" s="41">
        <f ca="1">IF(AF2&gt;'Input '!$D$314,$D$63*SUM(AF49:AF51)*AF24,0)</f>
        <v>0</v>
      </c>
      <c r="AG66" s="41">
        <f ca="1">IF(AG2&gt;'Input '!$D$314,$D$63*SUM(AG49:AG51)*AG24,0)</f>
        <v>0</v>
      </c>
      <c r="AH66" s="41">
        <f ca="1">IF(AH2&gt;'Input '!$D$314,$D$63*SUM(AH49:AH51)*AH24,0)</f>
        <v>0</v>
      </c>
      <c r="AI66" s="41">
        <f ca="1">IF(AI2&gt;'Input '!$D$314,$D$63*SUM(AI49:AI51)*AI24,0)</f>
        <v>0</v>
      </c>
      <c r="AJ66" s="41">
        <f ca="1">IF(AJ2&gt;'Input '!$D$314,$D$63*SUM(AJ49:AJ51)*AJ24,0)</f>
        <v>0</v>
      </c>
      <c r="AK66" s="41">
        <f ca="1">IF(AK2&gt;'Input '!$D$314,$D$63*SUM(AK49:AK51)*AK24,0)</f>
        <v>0</v>
      </c>
      <c r="AL66" s="41">
        <f ca="1">IF(AL2&gt;'Input '!$D$314,$D$63*SUM(AL49:AL51)*AL24,0)</f>
        <v>0</v>
      </c>
      <c r="AM66" s="41">
        <f ca="1">IF(AM2&gt;'Input '!$D$314,$D$63*SUM(AM49:AM51)*AM24,0)</f>
        <v>0</v>
      </c>
      <c r="AN66" s="41">
        <f ca="1">IF(AN2&gt;'Input '!$D$314,$D$63*SUM(AN49:AN51)*AN24,0)</f>
        <v>0</v>
      </c>
      <c r="AO66" s="41">
        <f ca="1">IF(AO2&gt;'Input '!$D$314,$D$63*SUM(AO49:AO51)*AO24,0)</f>
        <v>0</v>
      </c>
      <c r="AP66" s="41">
        <f ca="1">IF(AP2&gt;'Input '!$D$314,$D$63*SUM(AP49:AP51)*AP24,0)</f>
        <v>0</v>
      </c>
      <c r="AQ66" s="41">
        <f ca="1">IF(AQ2&gt;'Input '!$D$314,$D$63*SUM(AQ49:AQ51)*AQ24,0)</f>
        <v>0</v>
      </c>
      <c r="AR66" s="41">
        <f ca="1">IF(AR2&gt;'Input '!$D$314,$D$63*SUM(AR49:AR51)*AR24,0)</f>
        <v>0</v>
      </c>
      <c r="AS66" s="41">
        <f ca="1">IF(AS2&gt;'Input '!$D$314,$D$63*SUM(AS49:AS51)*AS24,0)</f>
        <v>0</v>
      </c>
      <c r="AT66" s="41">
        <f ca="1">IF(AT2&gt;'Input '!$D$314,$D$63*SUM(AT49:AT51)*AT24,0)</f>
        <v>0</v>
      </c>
      <c r="AU66" s="41">
        <f ca="1">IF(AU2&gt;'Input '!$D$314,$D$63*SUM(AU49:AU51)*AU24,0)</f>
        <v>0</v>
      </c>
      <c r="AV66" s="41">
        <f ca="1">IF(AV2&gt;'Input '!$D$314,$D$63*SUM(AV49:AV51)*AV24,0)</f>
        <v>0</v>
      </c>
      <c r="AW66" s="41">
        <f ca="1">IF(AW2&gt;'Input '!$D$314,$D$63*SUM(AW49:AW51)*AW24,0)</f>
        <v>0</v>
      </c>
      <c r="AX66" s="41">
        <f>IF(AX2&gt;'Input '!$D$314,$D$63*SUM(AX49:AX51)*AX24,0)</f>
        <v>0</v>
      </c>
      <c r="AY66" s="41">
        <f>IF(AY2&gt;'Input '!$D$314,$D$63*SUM(AY49:AY51)*AY24,0)</f>
        <v>0</v>
      </c>
    </row>
    <row r="67" spans="1:51">
      <c r="B67" s="27" t="s">
        <v>303</v>
      </c>
      <c r="C67" s="28" t="str">
        <f>IF('Input '!$F$9=1,"US$","=N=")</f>
        <v>US$</v>
      </c>
      <c r="D67" s="108">
        <f ca="1">SUM(I67:AY67)</f>
        <v>-28977532.289369956</v>
      </c>
      <c r="E67" s="27"/>
      <c r="F67" s="27"/>
      <c r="G67" s="27"/>
      <c r="H67" s="27"/>
      <c r="I67" s="43">
        <f t="shared" ref="I67:AI67" si="26">-I66</f>
        <v>0</v>
      </c>
      <c r="J67" s="43">
        <f t="shared" ca="1" si="26"/>
        <v>0</v>
      </c>
      <c r="K67" s="43">
        <f t="shared" ca="1" si="26"/>
        <v>0</v>
      </c>
      <c r="L67" s="43">
        <f t="shared" ca="1" si="26"/>
        <v>-7245789.4124003956</v>
      </c>
      <c r="M67" s="43">
        <f t="shared" ca="1" si="26"/>
        <v>-6210676.6392003391</v>
      </c>
      <c r="N67" s="43">
        <f t="shared" ca="1" si="26"/>
        <v>-5161422.9811205007</v>
      </c>
      <c r="O67" s="43">
        <f t="shared" ca="1" si="26"/>
        <v>-4151794.7944243373</v>
      </c>
      <c r="P67" s="43">
        <f t="shared" ca="1" si="26"/>
        <v>-3105338.3196001695</v>
      </c>
      <c r="Q67" s="43">
        <f t="shared" ca="1" si="26"/>
        <v>-2070225.5464001133</v>
      </c>
      <c r="R67" s="43">
        <f t="shared" ca="1" si="26"/>
        <v>-1032284.5962241002</v>
      </c>
      <c r="S67" s="43">
        <f t="shared" ca="1" si="26"/>
        <v>0</v>
      </c>
      <c r="T67" s="43">
        <f t="shared" ca="1" si="26"/>
        <v>0</v>
      </c>
      <c r="U67" s="43">
        <f t="shared" ca="1" si="26"/>
        <v>0</v>
      </c>
      <c r="V67" s="43">
        <f t="shared" ca="1" si="26"/>
        <v>0</v>
      </c>
      <c r="W67" s="43">
        <f t="shared" ca="1" si="26"/>
        <v>0</v>
      </c>
      <c r="X67" s="43">
        <f t="shared" ca="1" si="26"/>
        <v>0</v>
      </c>
      <c r="Y67" s="43">
        <f t="shared" ca="1" si="26"/>
        <v>0</v>
      </c>
      <c r="Z67" s="43">
        <f t="shared" ca="1" si="26"/>
        <v>0</v>
      </c>
      <c r="AA67" s="43">
        <f t="shared" ca="1" si="26"/>
        <v>0</v>
      </c>
      <c r="AB67" s="43">
        <f t="shared" ca="1" si="26"/>
        <v>0</v>
      </c>
      <c r="AC67" s="43">
        <f t="shared" ca="1" si="26"/>
        <v>0</v>
      </c>
      <c r="AD67" s="43">
        <f t="shared" ca="1" si="26"/>
        <v>0</v>
      </c>
      <c r="AE67" s="43">
        <f t="shared" ca="1" si="26"/>
        <v>0</v>
      </c>
      <c r="AF67" s="43">
        <f t="shared" ca="1" si="26"/>
        <v>0</v>
      </c>
      <c r="AG67" s="43">
        <f t="shared" ca="1" si="26"/>
        <v>0</v>
      </c>
      <c r="AH67" s="43">
        <f t="shared" ca="1" si="26"/>
        <v>0</v>
      </c>
      <c r="AI67" s="43">
        <f t="shared" ca="1" si="26"/>
        <v>0</v>
      </c>
      <c r="AJ67" s="43">
        <f t="shared" ref="AJ67:AY67" ca="1" si="27">-AJ66</f>
        <v>0</v>
      </c>
      <c r="AK67" s="43">
        <f t="shared" ca="1" si="27"/>
        <v>0</v>
      </c>
      <c r="AL67" s="43">
        <f t="shared" ca="1" si="27"/>
        <v>0</v>
      </c>
      <c r="AM67" s="43">
        <f t="shared" ca="1" si="27"/>
        <v>0</v>
      </c>
      <c r="AN67" s="43">
        <f t="shared" ca="1" si="27"/>
        <v>0</v>
      </c>
      <c r="AO67" s="43">
        <f t="shared" ca="1" si="27"/>
        <v>0</v>
      </c>
      <c r="AP67" s="43">
        <f t="shared" ca="1" si="27"/>
        <v>0</v>
      </c>
      <c r="AQ67" s="43">
        <f t="shared" ca="1" si="27"/>
        <v>0</v>
      </c>
      <c r="AR67" s="43">
        <f t="shared" ca="1" si="27"/>
        <v>0</v>
      </c>
      <c r="AS67" s="43">
        <f t="shared" ca="1" si="27"/>
        <v>0</v>
      </c>
      <c r="AT67" s="43">
        <f t="shared" ca="1" si="27"/>
        <v>0</v>
      </c>
      <c r="AU67" s="43">
        <f t="shared" ca="1" si="27"/>
        <v>0</v>
      </c>
      <c r="AV67" s="43">
        <f t="shared" ca="1" si="27"/>
        <v>0</v>
      </c>
      <c r="AW67" s="43">
        <f t="shared" ca="1" si="27"/>
        <v>0</v>
      </c>
      <c r="AX67" s="43">
        <f t="shared" si="27"/>
        <v>0</v>
      </c>
      <c r="AY67" s="43">
        <f t="shared" si="27"/>
        <v>0</v>
      </c>
    </row>
    <row r="68" spans="1:51">
      <c r="B68" s="2" t="s">
        <v>266</v>
      </c>
      <c r="C68" s="15" t="str">
        <f>IF('Input '!$F$9=1,"US$","=N=")</f>
        <v>US$</v>
      </c>
      <c r="D68" s="42">
        <f ca="1">SUM(I68:AI68)</f>
        <v>0</v>
      </c>
      <c r="H68" s="135"/>
      <c r="I68" s="42">
        <f>SUM(I65:I67)</f>
        <v>0</v>
      </c>
      <c r="J68" s="42">
        <f t="shared" ref="J68:AI68" ca="1" si="28">SUM(J65:J67)</f>
        <v>0</v>
      </c>
      <c r="K68" s="42">
        <f t="shared" ca="1" si="28"/>
        <v>0</v>
      </c>
      <c r="L68" s="42">
        <f t="shared" ca="1" si="28"/>
        <v>0</v>
      </c>
      <c r="M68" s="42">
        <f t="shared" ca="1" si="28"/>
        <v>0</v>
      </c>
      <c r="N68" s="42">
        <f t="shared" ca="1" si="28"/>
        <v>0</v>
      </c>
      <c r="O68" s="42">
        <f t="shared" ca="1" si="28"/>
        <v>0</v>
      </c>
      <c r="P68" s="42">
        <f t="shared" ca="1" si="28"/>
        <v>0</v>
      </c>
      <c r="Q68" s="42">
        <f t="shared" ca="1" si="28"/>
        <v>0</v>
      </c>
      <c r="R68" s="42">
        <f t="shared" ca="1" si="28"/>
        <v>0</v>
      </c>
      <c r="S68" s="42">
        <f t="shared" ca="1" si="28"/>
        <v>0</v>
      </c>
      <c r="T68" s="42">
        <f t="shared" ca="1" si="28"/>
        <v>0</v>
      </c>
      <c r="U68" s="42">
        <f t="shared" ca="1" si="28"/>
        <v>0</v>
      </c>
      <c r="V68" s="42">
        <f t="shared" ca="1" si="28"/>
        <v>0</v>
      </c>
      <c r="W68" s="42">
        <f t="shared" ca="1" si="28"/>
        <v>0</v>
      </c>
      <c r="X68" s="42">
        <f t="shared" ca="1" si="28"/>
        <v>0</v>
      </c>
      <c r="Y68" s="42">
        <f t="shared" ca="1" si="28"/>
        <v>0</v>
      </c>
      <c r="Z68" s="42">
        <f t="shared" ca="1" si="28"/>
        <v>0</v>
      </c>
      <c r="AA68" s="42">
        <f t="shared" ca="1" si="28"/>
        <v>0</v>
      </c>
      <c r="AB68" s="42">
        <f t="shared" ca="1" si="28"/>
        <v>0</v>
      </c>
      <c r="AC68" s="42">
        <f t="shared" ca="1" si="28"/>
        <v>0</v>
      </c>
      <c r="AD68" s="42">
        <f t="shared" ca="1" si="28"/>
        <v>0</v>
      </c>
      <c r="AE68" s="42">
        <f t="shared" ca="1" si="28"/>
        <v>0</v>
      </c>
      <c r="AF68" s="42">
        <f t="shared" ca="1" si="28"/>
        <v>0</v>
      </c>
      <c r="AG68" s="42">
        <f t="shared" ca="1" si="28"/>
        <v>0</v>
      </c>
      <c r="AH68" s="42">
        <f t="shared" ca="1" si="28"/>
        <v>0</v>
      </c>
      <c r="AI68" s="42">
        <f t="shared" ca="1" si="28"/>
        <v>0</v>
      </c>
    </row>
    <row r="70" spans="1:51">
      <c r="B70" s="10" t="s">
        <v>304</v>
      </c>
    </row>
    <row r="71" spans="1:51">
      <c r="B71" s="10"/>
    </row>
    <row r="72" spans="1:51">
      <c r="B72" s="2" t="s">
        <v>286</v>
      </c>
      <c r="C72" s="15" t="str">
        <f>IF('Input '!$F$9=1,"US$","=N=")</f>
        <v>US$</v>
      </c>
      <c r="D72" s="42">
        <f ca="1">SUM(I72:AI72)</f>
        <v>2898315764.9601583</v>
      </c>
      <c r="I72" s="41">
        <f ca="1">-I52</f>
        <v>0</v>
      </c>
      <c r="J72" s="41">
        <f t="shared" ref="J72:AI72" ca="1" si="29">-J52</f>
        <v>0</v>
      </c>
      <c r="K72" s="41">
        <f t="shared" ca="1" si="29"/>
        <v>0</v>
      </c>
      <c r="L72" s="41">
        <f t="shared" ca="1" si="29"/>
        <v>414045109.28002262</v>
      </c>
      <c r="M72" s="41">
        <f t="shared" ca="1" si="29"/>
        <v>414045109.28002262</v>
      </c>
      <c r="N72" s="41">
        <f t="shared" ca="1" si="29"/>
        <v>414045109.28002262</v>
      </c>
      <c r="O72" s="41">
        <f t="shared" ca="1" si="29"/>
        <v>414045109.28002262</v>
      </c>
      <c r="P72" s="41">
        <f t="shared" ca="1" si="29"/>
        <v>414045109.28002262</v>
      </c>
      <c r="Q72" s="41">
        <f t="shared" ca="1" si="29"/>
        <v>414045109.28002262</v>
      </c>
      <c r="R72" s="41">
        <f t="shared" ca="1" si="29"/>
        <v>414045109.28002262</v>
      </c>
      <c r="S72" s="41">
        <f ca="1">-S52</f>
        <v>0</v>
      </c>
      <c r="T72" s="41">
        <f t="shared" ca="1" si="29"/>
        <v>0</v>
      </c>
      <c r="U72" s="41">
        <f t="shared" ca="1" si="29"/>
        <v>0</v>
      </c>
      <c r="V72" s="41">
        <f t="shared" ca="1" si="29"/>
        <v>0</v>
      </c>
      <c r="W72" s="41">
        <f t="shared" ca="1" si="29"/>
        <v>0</v>
      </c>
      <c r="X72" s="41">
        <f t="shared" ca="1" si="29"/>
        <v>0</v>
      </c>
      <c r="Y72" s="41">
        <f t="shared" ca="1" si="29"/>
        <v>0</v>
      </c>
      <c r="Z72" s="41">
        <f t="shared" ca="1" si="29"/>
        <v>0</v>
      </c>
      <c r="AA72" s="41">
        <f t="shared" ca="1" si="29"/>
        <v>0</v>
      </c>
      <c r="AB72" s="41">
        <f t="shared" ca="1" si="29"/>
        <v>0</v>
      </c>
      <c r="AC72" s="41">
        <f t="shared" ca="1" si="29"/>
        <v>0</v>
      </c>
      <c r="AD72" s="41">
        <f t="shared" ca="1" si="29"/>
        <v>0</v>
      </c>
      <c r="AE72" s="41">
        <f t="shared" ca="1" si="29"/>
        <v>0</v>
      </c>
      <c r="AF72" s="41">
        <f t="shared" ca="1" si="29"/>
        <v>0</v>
      </c>
      <c r="AG72" s="41">
        <f t="shared" ca="1" si="29"/>
        <v>0</v>
      </c>
      <c r="AH72" s="41">
        <f t="shared" ca="1" si="29"/>
        <v>0</v>
      </c>
      <c r="AI72" s="41">
        <f t="shared" ca="1" si="29"/>
        <v>0</v>
      </c>
      <c r="AJ72" s="41">
        <f>-AJ52</f>
        <v>0</v>
      </c>
      <c r="AK72" s="41">
        <f t="shared" ref="AK72:AY72" si="30">-AK52</f>
        <v>0</v>
      </c>
      <c r="AL72" s="41">
        <f t="shared" si="30"/>
        <v>0</v>
      </c>
      <c r="AM72" s="41">
        <f t="shared" si="30"/>
        <v>0</v>
      </c>
      <c r="AN72" s="41">
        <f t="shared" si="30"/>
        <v>0</v>
      </c>
      <c r="AO72" s="41">
        <f t="shared" si="30"/>
        <v>0</v>
      </c>
      <c r="AP72" s="41">
        <f t="shared" si="30"/>
        <v>0</v>
      </c>
      <c r="AQ72" s="41">
        <f t="shared" si="30"/>
        <v>0</v>
      </c>
      <c r="AR72" s="41">
        <f t="shared" si="30"/>
        <v>0</v>
      </c>
      <c r="AS72" s="41">
        <f t="shared" si="30"/>
        <v>0</v>
      </c>
      <c r="AT72" s="41">
        <f t="shared" si="30"/>
        <v>0</v>
      </c>
      <c r="AU72" s="41">
        <f t="shared" si="30"/>
        <v>0</v>
      </c>
      <c r="AV72" s="41">
        <f t="shared" si="30"/>
        <v>0</v>
      </c>
      <c r="AW72" s="41">
        <f t="shared" si="30"/>
        <v>0</v>
      </c>
      <c r="AX72" s="41">
        <f t="shared" si="30"/>
        <v>0</v>
      </c>
      <c r="AY72" s="41">
        <f t="shared" si="30"/>
        <v>0</v>
      </c>
    </row>
    <row r="73" spans="1:51">
      <c r="B73" s="2" t="s">
        <v>297</v>
      </c>
      <c r="C73" s="15" t="str">
        <f>IF('Input '!$F$9=1,"US$","=N=")</f>
        <v>US$</v>
      </c>
      <c r="D73" s="42">
        <f ca="1">SUM(I73:AI73)</f>
        <v>1166055899.3242471</v>
      </c>
      <c r="I73" s="41">
        <f>-I58</f>
        <v>0</v>
      </c>
      <c r="J73" s="41">
        <f t="shared" ref="J73:AI73" si="31">-J58</f>
        <v>0</v>
      </c>
      <c r="K73" s="41">
        <f t="shared" ca="1" si="31"/>
        <v>0</v>
      </c>
      <c r="L73" s="41">
        <f ca="1">-L58</f>
        <v>291570565.95499194</v>
      </c>
      <c r="M73" s="41">
        <f t="shared" ca="1" si="31"/>
        <v>249917627.96142164</v>
      </c>
      <c r="N73" s="41">
        <f t="shared" ca="1" si="31"/>
        <v>207695660.76028892</v>
      </c>
      <c r="O73" s="41">
        <f t="shared" ca="1" si="31"/>
        <v>167068222.52763531</v>
      </c>
      <c r="P73" s="41">
        <f t="shared" ca="1" si="31"/>
        <v>124958813.98071082</v>
      </c>
      <c r="Q73" s="41">
        <f t="shared" ca="1" si="31"/>
        <v>83305875.987140551</v>
      </c>
      <c r="R73" s="41">
        <f t="shared" ca="1" si="31"/>
        <v>41539132.152057789</v>
      </c>
      <c r="S73" s="41">
        <f t="shared" ca="1" si="31"/>
        <v>0</v>
      </c>
      <c r="T73" s="41">
        <f ca="1">-T58</f>
        <v>0</v>
      </c>
      <c r="U73" s="41">
        <f t="shared" ca="1" si="31"/>
        <v>0</v>
      </c>
      <c r="V73" s="41">
        <f t="shared" ca="1" si="31"/>
        <v>0</v>
      </c>
      <c r="W73" s="41">
        <f t="shared" ca="1" si="31"/>
        <v>0</v>
      </c>
      <c r="X73" s="41">
        <f t="shared" ca="1" si="31"/>
        <v>0</v>
      </c>
      <c r="Y73" s="41">
        <f t="shared" ca="1" si="31"/>
        <v>0</v>
      </c>
      <c r="Z73" s="41">
        <f t="shared" ca="1" si="31"/>
        <v>0</v>
      </c>
      <c r="AA73" s="41">
        <f t="shared" ca="1" si="31"/>
        <v>0</v>
      </c>
      <c r="AB73" s="41">
        <f t="shared" ca="1" si="31"/>
        <v>0</v>
      </c>
      <c r="AC73" s="41">
        <f t="shared" ca="1" si="31"/>
        <v>0</v>
      </c>
      <c r="AD73" s="41">
        <f t="shared" ca="1" si="31"/>
        <v>0</v>
      </c>
      <c r="AE73" s="41">
        <f t="shared" ca="1" si="31"/>
        <v>0</v>
      </c>
      <c r="AF73" s="41">
        <f t="shared" ca="1" si="31"/>
        <v>0</v>
      </c>
      <c r="AG73" s="41">
        <f t="shared" ca="1" si="31"/>
        <v>0</v>
      </c>
      <c r="AH73" s="41">
        <f t="shared" ca="1" si="31"/>
        <v>0</v>
      </c>
      <c r="AI73" s="41">
        <f t="shared" ca="1" si="31"/>
        <v>0</v>
      </c>
      <c r="AJ73" s="41">
        <f t="shared" ref="AJ73:AY73" ca="1" si="32">-AJ58</f>
        <v>0</v>
      </c>
      <c r="AK73" s="41">
        <f t="shared" ca="1" si="32"/>
        <v>0</v>
      </c>
      <c r="AL73" s="41">
        <f t="shared" ca="1" si="32"/>
        <v>0</v>
      </c>
      <c r="AM73" s="41">
        <f t="shared" ca="1" si="32"/>
        <v>0</v>
      </c>
      <c r="AN73" s="41">
        <f t="shared" ca="1" si="32"/>
        <v>0</v>
      </c>
      <c r="AO73" s="41">
        <f t="shared" ca="1" si="32"/>
        <v>0</v>
      </c>
      <c r="AP73" s="41">
        <f t="shared" ca="1" si="32"/>
        <v>0</v>
      </c>
      <c r="AQ73" s="41">
        <f t="shared" ca="1" si="32"/>
        <v>0</v>
      </c>
      <c r="AR73" s="41">
        <f t="shared" ca="1" si="32"/>
        <v>0</v>
      </c>
      <c r="AS73" s="41">
        <f t="shared" ca="1" si="32"/>
        <v>0</v>
      </c>
      <c r="AT73" s="41">
        <f t="shared" ca="1" si="32"/>
        <v>0</v>
      </c>
      <c r="AU73" s="41">
        <f t="shared" ca="1" si="32"/>
        <v>0</v>
      </c>
      <c r="AV73" s="41">
        <f t="shared" ca="1" si="32"/>
        <v>0</v>
      </c>
      <c r="AW73" s="41">
        <f t="shared" ca="1" si="32"/>
        <v>0</v>
      </c>
      <c r="AX73" s="41">
        <f t="shared" si="32"/>
        <v>0</v>
      </c>
      <c r="AY73" s="41">
        <f t="shared" si="32"/>
        <v>0</v>
      </c>
    </row>
    <row r="74" spans="1:51">
      <c r="B74" s="27" t="s">
        <v>174</v>
      </c>
      <c r="C74" s="28" t="str">
        <f>IF('Input '!$F$9=1,"US$","=N=")</f>
        <v>US$</v>
      </c>
      <c r="D74" s="108">
        <f ca="1">SUM(I74:AI74)</f>
        <v>28977532.289369956</v>
      </c>
      <c r="E74" s="27"/>
      <c r="F74" s="27"/>
      <c r="G74" s="27"/>
      <c r="H74" s="27"/>
      <c r="I74" s="43">
        <f>-I67</f>
        <v>0</v>
      </c>
      <c r="J74" s="43">
        <f t="shared" ref="J74:AI74" ca="1" si="33">-J67</f>
        <v>0</v>
      </c>
      <c r="K74" s="43">
        <f t="shared" ca="1" si="33"/>
        <v>0</v>
      </c>
      <c r="L74" s="43">
        <f t="shared" ca="1" si="33"/>
        <v>7245789.4124003956</v>
      </c>
      <c r="M74" s="43">
        <f t="shared" ca="1" si="33"/>
        <v>6210676.6392003391</v>
      </c>
      <c r="N74" s="43">
        <f t="shared" ca="1" si="33"/>
        <v>5161422.9811205007</v>
      </c>
      <c r="O74" s="43">
        <f t="shared" ca="1" si="33"/>
        <v>4151794.7944243373</v>
      </c>
      <c r="P74" s="43">
        <f t="shared" ca="1" si="33"/>
        <v>3105338.3196001695</v>
      </c>
      <c r="Q74" s="43">
        <f t="shared" ca="1" si="33"/>
        <v>2070225.5464001133</v>
      </c>
      <c r="R74" s="43">
        <f t="shared" ca="1" si="33"/>
        <v>1032284.5962241002</v>
      </c>
      <c r="S74" s="43">
        <f t="shared" ca="1" si="33"/>
        <v>0</v>
      </c>
      <c r="T74" s="43">
        <f t="shared" ca="1" si="33"/>
        <v>0</v>
      </c>
      <c r="U74" s="43">
        <f t="shared" ca="1" si="33"/>
        <v>0</v>
      </c>
      <c r="V74" s="43">
        <f t="shared" ca="1" si="33"/>
        <v>0</v>
      </c>
      <c r="W74" s="43">
        <f t="shared" ca="1" si="33"/>
        <v>0</v>
      </c>
      <c r="X74" s="43">
        <f t="shared" ca="1" si="33"/>
        <v>0</v>
      </c>
      <c r="Y74" s="43">
        <f t="shared" ca="1" si="33"/>
        <v>0</v>
      </c>
      <c r="Z74" s="43">
        <f t="shared" ca="1" si="33"/>
        <v>0</v>
      </c>
      <c r="AA74" s="43">
        <f t="shared" ca="1" si="33"/>
        <v>0</v>
      </c>
      <c r="AB74" s="43">
        <f t="shared" ca="1" si="33"/>
        <v>0</v>
      </c>
      <c r="AC74" s="43">
        <f t="shared" ca="1" si="33"/>
        <v>0</v>
      </c>
      <c r="AD74" s="43">
        <f t="shared" ca="1" si="33"/>
        <v>0</v>
      </c>
      <c r="AE74" s="43">
        <f t="shared" ca="1" si="33"/>
        <v>0</v>
      </c>
      <c r="AF74" s="43">
        <f t="shared" ca="1" si="33"/>
        <v>0</v>
      </c>
      <c r="AG74" s="43">
        <f t="shared" ca="1" si="33"/>
        <v>0</v>
      </c>
      <c r="AH74" s="43">
        <f t="shared" ca="1" si="33"/>
        <v>0</v>
      </c>
      <c r="AI74" s="43">
        <f t="shared" ca="1" si="33"/>
        <v>0</v>
      </c>
      <c r="AJ74" s="43">
        <f t="shared" ref="AJ74:AY74" ca="1" si="34">-AJ67</f>
        <v>0</v>
      </c>
      <c r="AK74" s="43">
        <f t="shared" ca="1" si="34"/>
        <v>0</v>
      </c>
      <c r="AL74" s="43">
        <f t="shared" ca="1" si="34"/>
        <v>0</v>
      </c>
      <c r="AM74" s="43">
        <f t="shared" ca="1" si="34"/>
        <v>0</v>
      </c>
      <c r="AN74" s="43">
        <f t="shared" ca="1" si="34"/>
        <v>0</v>
      </c>
      <c r="AO74" s="43">
        <f t="shared" ca="1" si="34"/>
        <v>0</v>
      </c>
      <c r="AP74" s="43">
        <f t="shared" ca="1" si="34"/>
        <v>0</v>
      </c>
      <c r="AQ74" s="43">
        <f t="shared" ca="1" si="34"/>
        <v>0</v>
      </c>
      <c r="AR74" s="43">
        <f t="shared" ca="1" si="34"/>
        <v>0</v>
      </c>
      <c r="AS74" s="43">
        <f t="shared" ca="1" si="34"/>
        <v>0</v>
      </c>
      <c r="AT74" s="43">
        <f t="shared" ca="1" si="34"/>
        <v>0</v>
      </c>
      <c r="AU74" s="43">
        <f t="shared" ca="1" si="34"/>
        <v>0</v>
      </c>
      <c r="AV74" s="43">
        <f t="shared" ca="1" si="34"/>
        <v>0</v>
      </c>
      <c r="AW74" s="43">
        <f t="shared" ca="1" si="34"/>
        <v>0</v>
      </c>
      <c r="AX74" s="43">
        <f t="shared" si="34"/>
        <v>0</v>
      </c>
      <c r="AY74" s="43">
        <f t="shared" si="34"/>
        <v>0</v>
      </c>
    </row>
    <row r="75" spans="1:51">
      <c r="B75" s="2" t="s">
        <v>304</v>
      </c>
      <c r="C75" s="15" t="str">
        <f>IF('Input '!$F$9=1,"US$","=N=")</f>
        <v>US$</v>
      </c>
      <c r="D75" s="42">
        <f ca="1">SUM(I75:AI75)</f>
        <v>4093349196.5737753</v>
      </c>
      <c r="I75" s="42">
        <f ca="1">SUM(I72:I74)</f>
        <v>0</v>
      </c>
      <c r="J75" s="41">
        <f t="shared" ref="J75:AY75" ca="1" si="35">SUM(J72:J74)</f>
        <v>0</v>
      </c>
      <c r="K75" s="41">
        <f t="shared" ca="1" si="35"/>
        <v>0</v>
      </c>
      <c r="L75" s="41">
        <f t="shared" ca="1" si="35"/>
        <v>712861464.64741492</v>
      </c>
      <c r="M75" s="41">
        <f t="shared" ca="1" si="35"/>
        <v>670173413.88064456</v>
      </c>
      <c r="N75" s="41">
        <f t="shared" ca="1" si="35"/>
        <v>626902193.02143204</v>
      </c>
      <c r="O75" s="41">
        <f t="shared" ca="1" si="35"/>
        <v>585265126.60208225</v>
      </c>
      <c r="P75" s="41">
        <f t="shared" ca="1" si="35"/>
        <v>542109261.58033371</v>
      </c>
      <c r="Q75" s="41">
        <f t="shared" ca="1" si="35"/>
        <v>499421210.81356329</v>
      </c>
      <c r="R75" s="41">
        <f t="shared" ca="1" si="35"/>
        <v>456616526.02830452</v>
      </c>
      <c r="S75" s="41">
        <f t="shared" ca="1" si="35"/>
        <v>0</v>
      </c>
      <c r="T75" s="41">
        <f t="shared" ca="1" si="35"/>
        <v>0</v>
      </c>
      <c r="U75" s="41">
        <f t="shared" ca="1" si="35"/>
        <v>0</v>
      </c>
      <c r="V75" s="41">
        <f t="shared" ca="1" si="35"/>
        <v>0</v>
      </c>
      <c r="W75" s="41">
        <f t="shared" ca="1" si="35"/>
        <v>0</v>
      </c>
      <c r="X75" s="41">
        <f t="shared" ca="1" si="35"/>
        <v>0</v>
      </c>
      <c r="Y75" s="41">
        <f t="shared" ca="1" si="35"/>
        <v>0</v>
      </c>
      <c r="Z75" s="41">
        <f t="shared" ca="1" si="35"/>
        <v>0</v>
      </c>
      <c r="AA75" s="41">
        <f t="shared" ca="1" si="35"/>
        <v>0</v>
      </c>
      <c r="AB75" s="41">
        <f t="shared" ca="1" si="35"/>
        <v>0</v>
      </c>
      <c r="AC75" s="41">
        <f t="shared" ca="1" si="35"/>
        <v>0</v>
      </c>
      <c r="AD75" s="41">
        <f t="shared" ca="1" si="35"/>
        <v>0</v>
      </c>
      <c r="AE75" s="41">
        <f t="shared" ca="1" si="35"/>
        <v>0</v>
      </c>
      <c r="AF75" s="41">
        <f t="shared" ca="1" si="35"/>
        <v>0</v>
      </c>
      <c r="AG75" s="41">
        <f t="shared" ca="1" si="35"/>
        <v>0</v>
      </c>
      <c r="AH75" s="41">
        <f t="shared" ca="1" si="35"/>
        <v>0</v>
      </c>
      <c r="AI75" s="41">
        <f t="shared" ca="1" si="35"/>
        <v>0</v>
      </c>
      <c r="AJ75" s="41">
        <f t="shared" ca="1" si="35"/>
        <v>0</v>
      </c>
      <c r="AK75" s="41">
        <f t="shared" ca="1" si="35"/>
        <v>0</v>
      </c>
      <c r="AL75" s="41">
        <f t="shared" ca="1" si="35"/>
        <v>0</v>
      </c>
      <c r="AM75" s="41">
        <f t="shared" ca="1" si="35"/>
        <v>0</v>
      </c>
      <c r="AN75" s="41">
        <f t="shared" ca="1" si="35"/>
        <v>0</v>
      </c>
      <c r="AO75" s="41">
        <f t="shared" ca="1" si="35"/>
        <v>0</v>
      </c>
      <c r="AP75" s="41">
        <f t="shared" ca="1" si="35"/>
        <v>0</v>
      </c>
      <c r="AQ75" s="41">
        <f t="shared" ca="1" si="35"/>
        <v>0</v>
      </c>
      <c r="AR75" s="41">
        <f t="shared" ca="1" si="35"/>
        <v>0</v>
      </c>
      <c r="AS75" s="41">
        <f t="shared" ca="1" si="35"/>
        <v>0</v>
      </c>
      <c r="AT75" s="41">
        <f t="shared" ca="1" si="35"/>
        <v>0</v>
      </c>
      <c r="AU75" s="41">
        <f t="shared" ca="1" si="35"/>
        <v>0</v>
      </c>
      <c r="AV75" s="41">
        <f t="shared" ca="1" si="35"/>
        <v>0</v>
      </c>
      <c r="AW75" s="41">
        <f t="shared" ca="1" si="35"/>
        <v>0</v>
      </c>
      <c r="AX75" s="41">
        <f t="shared" si="35"/>
        <v>0</v>
      </c>
      <c r="AY75" s="41">
        <f t="shared" si="35"/>
        <v>0</v>
      </c>
    </row>
    <row r="77" spans="1:51">
      <c r="A77" s="6" t="s">
        <v>308</v>
      </c>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row>
    <row r="79" spans="1:51">
      <c r="B79" s="10" t="s">
        <v>286</v>
      </c>
    </row>
    <row r="81" spans="2:52">
      <c r="B81" s="2" t="s">
        <v>287</v>
      </c>
      <c r="C81" s="15" t="s">
        <v>305</v>
      </c>
      <c r="D81" s="15" t="str">
        <f>'Input '!D318</f>
        <v>Straight Line</v>
      </c>
    </row>
    <row r="82" spans="2:52">
      <c r="B82" s="2" t="s">
        <v>106</v>
      </c>
      <c r="C82" s="15" t="s">
        <v>102</v>
      </c>
      <c r="D82" s="42">
        <f>SUM(I82:AI82)</f>
        <v>7</v>
      </c>
      <c r="I82" s="41">
        <f>'Timing &amp; Flags'!I134</f>
        <v>0</v>
      </c>
      <c r="J82" s="41">
        <f>'Timing &amp; Flags'!J134</f>
        <v>0</v>
      </c>
      <c r="K82" s="41">
        <f>'Timing &amp; Flags'!K134</f>
        <v>0</v>
      </c>
      <c r="L82" s="41">
        <f>'Timing &amp; Flags'!L134</f>
        <v>1</v>
      </c>
      <c r="M82" s="41">
        <f>'Timing &amp; Flags'!M134</f>
        <v>1</v>
      </c>
      <c r="N82" s="41">
        <f>'Timing &amp; Flags'!N134</f>
        <v>1</v>
      </c>
      <c r="O82" s="41">
        <f>'Timing &amp; Flags'!O134</f>
        <v>1</v>
      </c>
      <c r="P82" s="41">
        <f>'Timing &amp; Flags'!P134</f>
        <v>1</v>
      </c>
      <c r="Q82" s="41">
        <f>'Timing &amp; Flags'!Q134</f>
        <v>1</v>
      </c>
      <c r="R82" s="41">
        <f>'Timing &amp; Flags'!R134</f>
        <v>1</v>
      </c>
      <c r="S82" s="41">
        <f>'Timing &amp; Flags'!S134</f>
        <v>0</v>
      </c>
      <c r="T82" s="41">
        <f>'Timing &amp; Flags'!T134</f>
        <v>0</v>
      </c>
      <c r="U82" s="41">
        <f>'Timing &amp; Flags'!U134</f>
        <v>0</v>
      </c>
      <c r="V82" s="41">
        <f>'Timing &amp; Flags'!V134</f>
        <v>0</v>
      </c>
      <c r="W82" s="41">
        <f>'Timing &amp; Flags'!W134</f>
        <v>0</v>
      </c>
      <c r="X82" s="41">
        <f>'Timing &amp; Flags'!X134</f>
        <v>0</v>
      </c>
      <c r="Y82" s="41">
        <f>'Timing &amp; Flags'!Y134</f>
        <v>0</v>
      </c>
      <c r="Z82" s="41">
        <f>'Timing &amp; Flags'!Z134</f>
        <v>0</v>
      </c>
      <c r="AA82" s="41">
        <f>'Timing &amp; Flags'!AA134</f>
        <v>0</v>
      </c>
      <c r="AB82" s="41">
        <f>'Timing &amp; Flags'!AB134</f>
        <v>0</v>
      </c>
      <c r="AC82" s="41">
        <f>'Timing &amp; Flags'!AC134</f>
        <v>0</v>
      </c>
      <c r="AD82" s="41">
        <f>'Timing &amp; Flags'!AD134</f>
        <v>0</v>
      </c>
      <c r="AE82" s="41">
        <f>'Timing &amp; Flags'!AE134</f>
        <v>0</v>
      </c>
      <c r="AF82" s="41">
        <f>'Timing &amp; Flags'!AF134</f>
        <v>0</v>
      </c>
      <c r="AG82" s="41">
        <f>'Timing &amp; Flags'!AG134</f>
        <v>0</v>
      </c>
      <c r="AH82" s="41">
        <f>'Timing &amp; Flags'!AH134</f>
        <v>0</v>
      </c>
      <c r="AI82" s="41">
        <f>'Timing &amp; Flags'!AI134</f>
        <v>0</v>
      </c>
      <c r="AJ82" s="41">
        <f>'Timing &amp; Flags'!AJ134</f>
        <v>0</v>
      </c>
      <c r="AK82" s="41">
        <f>'Timing &amp; Flags'!AK134</f>
        <v>0</v>
      </c>
      <c r="AL82" s="41">
        <f>'Timing &amp; Flags'!AL134</f>
        <v>0</v>
      </c>
      <c r="AM82" s="41">
        <f>'Timing &amp; Flags'!AM134</f>
        <v>0</v>
      </c>
      <c r="AN82" s="41">
        <f>'Timing &amp; Flags'!AN134</f>
        <v>0</v>
      </c>
      <c r="AO82" s="41">
        <f>'Timing &amp; Flags'!AO134</f>
        <v>0</v>
      </c>
      <c r="AP82" s="41">
        <f>'Timing &amp; Flags'!AP134</f>
        <v>0</v>
      </c>
      <c r="AQ82" s="41">
        <f>'Timing &amp; Flags'!AQ134</f>
        <v>0</v>
      </c>
      <c r="AR82" s="41">
        <f>'Timing &amp; Flags'!AR134</f>
        <v>0</v>
      </c>
      <c r="AS82" s="41">
        <f>'Timing &amp; Flags'!AS134</f>
        <v>0</v>
      </c>
      <c r="AT82" s="41">
        <f>'Timing &amp; Flags'!AT134</f>
        <v>0</v>
      </c>
      <c r="AU82" s="41">
        <f>'Timing &amp; Flags'!AU134</f>
        <v>0</v>
      </c>
      <c r="AV82" s="41">
        <f>'Timing &amp; Flags'!AV134</f>
        <v>0</v>
      </c>
      <c r="AW82" s="41">
        <f>'Timing &amp; Flags'!AW134</f>
        <v>0</v>
      </c>
      <c r="AX82" s="41">
        <f>'Timing &amp; Flags'!AX134</f>
        <v>0</v>
      </c>
      <c r="AY82" s="41">
        <f>'Timing &amp; Flags'!AY134</f>
        <v>0</v>
      </c>
    </row>
    <row r="83" spans="2:52">
      <c r="B83" s="2" t="s">
        <v>289</v>
      </c>
      <c r="C83" s="15" t="s">
        <v>102</v>
      </c>
      <c r="D83" s="42">
        <f>MAX(I83:AI83)</f>
        <v>7</v>
      </c>
      <c r="I83" s="41">
        <f>'Timing &amp; Flags'!I135</f>
        <v>0</v>
      </c>
      <c r="J83" s="41">
        <f>'Timing &amp; Flags'!J135</f>
        <v>0</v>
      </c>
      <c r="K83" s="41">
        <f>'Timing &amp; Flags'!K135</f>
        <v>0</v>
      </c>
      <c r="L83" s="41">
        <f>'Timing &amp; Flags'!L135</f>
        <v>1</v>
      </c>
      <c r="M83" s="41">
        <f>'Timing &amp; Flags'!M135</f>
        <v>2</v>
      </c>
      <c r="N83" s="41">
        <f>'Timing &amp; Flags'!N135</f>
        <v>3</v>
      </c>
      <c r="O83" s="41">
        <f>'Timing &amp; Flags'!O135</f>
        <v>4</v>
      </c>
      <c r="P83" s="41">
        <f>'Timing &amp; Flags'!P135</f>
        <v>5</v>
      </c>
      <c r="Q83" s="41">
        <f>'Timing &amp; Flags'!Q135</f>
        <v>6</v>
      </c>
      <c r="R83" s="41">
        <f>'Timing &amp; Flags'!R135</f>
        <v>7</v>
      </c>
      <c r="S83" s="41">
        <f>'Timing &amp; Flags'!S135</f>
        <v>0</v>
      </c>
      <c r="T83" s="41">
        <f>'Timing &amp; Flags'!T135</f>
        <v>0</v>
      </c>
      <c r="U83" s="41">
        <f>'Timing &amp; Flags'!U135</f>
        <v>0</v>
      </c>
      <c r="V83" s="41">
        <f>'Timing &amp; Flags'!V135</f>
        <v>0</v>
      </c>
      <c r="W83" s="41">
        <f>'Timing &amp; Flags'!W135</f>
        <v>0</v>
      </c>
      <c r="X83" s="41">
        <f>'Timing &amp; Flags'!X135</f>
        <v>0</v>
      </c>
      <c r="Y83" s="41">
        <f>'Timing &amp; Flags'!Y135</f>
        <v>0</v>
      </c>
      <c r="Z83" s="41">
        <f>'Timing &amp; Flags'!Z135</f>
        <v>0</v>
      </c>
      <c r="AA83" s="41">
        <f>'Timing &amp; Flags'!AA135</f>
        <v>0</v>
      </c>
      <c r="AB83" s="41">
        <f>'Timing &amp; Flags'!AB135</f>
        <v>0</v>
      </c>
      <c r="AC83" s="41">
        <f>'Timing &amp; Flags'!AC135</f>
        <v>0</v>
      </c>
      <c r="AD83" s="41">
        <f>'Timing &amp; Flags'!AD135</f>
        <v>0</v>
      </c>
      <c r="AE83" s="41">
        <f>'Timing &amp; Flags'!AE135</f>
        <v>0</v>
      </c>
      <c r="AF83" s="41">
        <f>'Timing &amp; Flags'!AF135</f>
        <v>0</v>
      </c>
      <c r="AG83" s="41">
        <f>'Timing &amp; Flags'!AG135</f>
        <v>0</v>
      </c>
      <c r="AH83" s="41">
        <f>'Timing &amp; Flags'!AH135</f>
        <v>0</v>
      </c>
      <c r="AI83" s="41">
        <f>'Timing &amp; Flags'!AI135</f>
        <v>0</v>
      </c>
      <c r="AJ83" s="41">
        <f>'Timing &amp; Flags'!AJ135</f>
        <v>0</v>
      </c>
      <c r="AK83" s="41">
        <f>'Timing &amp; Flags'!AK135</f>
        <v>0</v>
      </c>
      <c r="AL83" s="41">
        <f>'Timing &amp; Flags'!AL135</f>
        <v>0</v>
      </c>
      <c r="AM83" s="41">
        <f>'Timing &amp; Flags'!AM135</f>
        <v>0</v>
      </c>
      <c r="AN83" s="41">
        <f>'Timing &amp; Flags'!AN135</f>
        <v>0</v>
      </c>
      <c r="AO83" s="41">
        <f>'Timing &amp; Flags'!AO135</f>
        <v>0</v>
      </c>
      <c r="AP83" s="41">
        <f>'Timing &amp; Flags'!AP135</f>
        <v>0</v>
      </c>
      <c r="AQ83" s="41">
        <f>'Timing &amp; Flags'!AQ135</f>
        <v>0</v>
      </c>
      <c r="AR83" s="41">
        <f>'Timing &amp; Flags'!AR135</f>
        <v>0</v>
      </c>
      <c r="AS83" s="41">
        <f>'Timing &amp; Flags'!AS135</f>
        <v>0</v>
      </c>
      <c r="AT83" s="41">
        <f>'Timing &amp; Flags'!AT135</f>
        <v>0</v>
      </c>
      <c r="AU83" s="41">
        <f>'Timing &amp; Flags'!AU135</f>
        <v>0</v>
      </c>
      <c r="AV83" s="41">
        <f>'Timing &amp; Flags'!AV135</f>
        <v>0</v>
      </c>
      <c r="AW83" s="41">
        <f>'Timing &amp; Flags'!AW135</f>
        <v>0</v>
      </c>
      <c r="AX83" s="41">
        <f>'Timing &amp; Flags'!AX135</f>
        <v>0</v>
      </c>
      <c r="AY83" s="41">
        <f>'Timing &amp; Flags'!AY135</f>
        <v>0</v>
      </c>
    </row>
    <row r="84" spans="2:52">
      <c r="B84" s="2" t="s">
        <v>290</v>
      </c>
      <c r="C84" s="15" t="s">
        <v>102</v>
      </c>
      <c r="D84" s="42">
        <f>MAX(I84:AI84)</f>
        <v>7</v>
      </c>
      <c r="I84" s="41">
        <f t="shared" ref="I84:AI84" si="36">($D$82-I83+1)*I82</f>
        <v>0</v>
      </c>
      <c r="J84" s="41">
        <f t="shared" si="36"/>
        <v>0</v>
      </c>
      <c r="K84" s="41">
        <f t="shared" si="36"/>
        <v>0</v>
      </c>
      <c r="L84" s="41">
        <f t="shared" si="36"/>
        <v>7</v>
      </c>
      <c r="M84" s="41">
        <f t="shared" si="36"/>
        <v>6</v>
      </c>
      <c r="N84" s="41">
        <f t="shared" si="36"/>
        <v>5</v>
      </c>
      <c r="O84" s="41">
        <f t="shared" si="36"/>
        <v>4</v>
      </c>
      <c r="P84" s="41">
        <f t="shared" si="36"/>
        <v>3</v>
      </c>
      <c r="Q84" s="41">
        <f t="shared" si="36"/>
        <v>2</v>
      </c>
      <c r="R84" s="41">
        <f t="shared" si="36"/>
        <v>1</v>
      </c>
      <c r="S84" s="41">
        <f t="shared" si="36"/>
        <v>0</v>
      </c>
      <c r="T84" s="41">
        <f t="shared" si="36"/>
        <v>0</v>
      </c>
      <c r="U84" s="41">
        <f t="shared" si="36"/>
        <v>0</v>
      </c>
      <c r="V84" s="41">
        <f t="shared" si="36"/>
        <v>0</v>
      </c>
      <c r="W84" s="41">
        <f t="shared" si="36"/>
        <v>0</v>
      </c>
      <c r="X84" s="41">
        <f t="shared" si="36"/>
        <v>0</v>
      </c>
      <c r="Y84" s="41">
        <f t="shared" si="36"/>
        <v>0</v>
      </c>
      <c r="Z84" s="41">
        <f t="shared" si="36"/>
        <v>0</v>
      </c>
      <c r="AA84" s="41">
        <f t="shared" si="36"/>
        <v>0</v>
      </c>
      <c r="AB84" s="41">
        <f t="shared" si="36"/>
        <v>0</v>
      </c>
      <c r="AC84" s="41">
        <f t="shared" si="36"/>
        <v>0</v>
      </c>
      <c r="AD84" s="41">
        <f t="shared" si="36"/>
        <v>0</v>
      </c>
      <c r="AE84" s="41">
        <f t="shared" si="36"/>
        <v>0</v>
      </c>
      <c r="AF84" s="41">
        <f t="shared" si="36"/>
        <v>0</v>
      </c>
      <c r="AG84" s="41">
        <f t="shared" si="36"/>
        <v>0</v>
      </c>
      <c r="AH84" s="41">
        <f t="shared" si="36"/>
        <v>0</v>
      </c>
      <c r="AI84" s="41">
        <f t="shared" si="36"/>
        <v>0</v>
      </c>
      <c r="AJ84" s="41">
        <f t="shared" ref="AJ84:AY84" si="37">($D$82-AJ83+1)*AJ82</f>
        <v>0</v>
      </c>
      <c r="AK84" s="41">
        <f t="shared" si="37"/>
        <v>0</v>
      </c>
      <c r="AL84" s="41">
        <f t="shared" si="37"/>
        <v>0</v>
      </c>
      <c r="AM84" s="41">
        <f t="shared" si="37"/>
        <v>0</v>
      </c>
      <c r="AN84" s="41">
        <f t="shared" si="37"/>
        <v>0</v>
      </c>
      <c r="AO84" s="41">
        <f t="shared" si="37"/>
        <v>0</v>
      </c>
      <c r="AP84" s="41">
        <f t="shared" si="37"/>
        <v>0</v>
      </c>
      <c r="AQ84" s="41">
        <f t="shared" si="37"/>
        <v>0</v>
      </c>
      <c r="AR84" s="41">
        <f t="shared" si="37"/>
        <v>0</v>
      </c>
      <c r="AS84" s="41">
        <f t="shared" si="37"/>
        <v>0</v>
      </c>
      <c r="AT84" s="41">
        <f t="shared" si="37"/>
        <v>0</v>
      </c>
      <c r="AU84" s="41">
        <f t="shared" si="37"/>
        <v>0</v>
      </c>
      <c r="AV84" s="41">
        <f t="shared" si="37"/>
        <v>0</v>
      </c>
      <c r="AW84" s="41">
        <f t="shared" si="37"/>
        <v>0</v>
      </c>
      <c r="AX84" s="41">
        <f t="shared" si="37"/>
        <v>0</v>
      </c>
      <c r="AY84" s="41">
        <f t="shared" si="37"/>
        <v>0</v>
      </c>
    </row>
    <row r="85" spans="2:52">
      <c r="B85" s="2" t="s">
        <v>291</v>
      </c>
      <c r="C85" s="15" t="s">
        <v>18</v>
      </c>
      <c r="D85" s="17">
        <f>'Input '!F327</f>
        <v>7.0419999999999996E-2</v>
      </c>
    </row>
    <row r="87" spans="2:52">
      <c r="B87" s="29" t="s">
        <v>292</v>
      </c>
    </row>
    <row r="88" spans="2:52">
      <c r="B88" s="2" t="s">
        <v>309</v>
      </c>
      <c r="C88" s="15" t="str">
        <f>IF('Input '!$F$9=1,"US$","=N=")</f>
        <v>US$</v>
      </c>
      <c r="D88" s="42">
        <f ca="1">SUM(I88:AI88)</f>
        <v>0</v>
      </c>
      <c r="I88" s="41">
        <f>IF(I82=0,0,SUM(I96:I98)/I84)</f>
        <v>0</v>
      </c>
      <c r="J88" s="41">
        <f t="shared" ref="J88:AI88" si="38">IF(J82=0,0,SUM(J96:J98)/J84)</f>
        <v>0</v>
      </c>
      <c r="K88" s="41">
        <f t="shared" si="38"/>
        <v>0</v>
      </c>
      <c r="L88" s="41">
        <f t="shared" ca="1" si="38"/>
        <v>0</v>
      </c>
      <c r="M88" s="41">
        <f t="shared" ca="1" si="38"/>
        <v>0</v>
      </c>
      <c r="N88" s="41">
        <f t="shared" ca="1" si="38"/>
        <v>0</v>
      </c>
      <c r="O88" s="41">
        <f t="shared" ca="1" si="38"/>
        <v>0</v>
      </c>
      <c r="P88" s="41">
        <f t="shared" ca="1" si="38"/>
        <v>0</v>
      </c>
      <c r="Q88" s="41">
        <f t="shared" ca="1" si="38"/>
        <v>0</v>
      </c>
      <c r="R88" s="41">
        <f t="shared" ca="1" si="38"/>
        <v>0</v>
      </c>
      <c r="S88" s="41">
        <f t="shared" si="38"/>
        <v>0</v>
      </c>
      <c r="T88" s="41">
        <f t="shared" si="38"/>
        <v>0</v>
      </c>
      <c r="U88" s="41">
        <f t="shared" si="38"/>
        <v>0</v>
      </c>
      <c r="V88" s="41">
        <f t="shared" si="38"/>
        <v>0</v>
      </c>
      <c r="W88" s="41">
        <f t="shared" si="38"/>
        <v>0</v>
      </c>
      <c r="X88" s="41">
        <f t="shared" si="38"/>
        <v>0</v>
      </c>
      <c r="Y88" s="41">
        <f t="shared" si="38"/>
        <v>0</v>
      </c>
      <c r="Z88" s="41">
        <f t="shared" si="38"/>
        <v>0</v>
      </c>
      <c r="AA88" s="41">
        <f t="shared" si="38"/>
        <v>0</v>
      </c>
      <c r="AB88" s="41">
        <f t="shared" si="38"/>
        <v>0</v>
      </c>
      <c r="AC88" s="41">
        <f t="shared" si="38"/>
        <v>0</v>
      </c>
      <c r="AD88" s="41">
        <f t="shared" si="38"/>
        <v>0</v>
      </c>
      <c r="AE88" s="41">
        <f t="shared" si="38"/>
        <v>0</v>
      </c>
      <c r="AF88" s="41">
        <f t="shared" si="38"/>
        <v>0</v>
      </c>
      <c r="AG88" s="41">
        <f t="shared" si="38"/>
        <v>0</v>
      </c>
      <c r="AH88" s="41">
        <f t="shared" si="38"/>
        <v>0</v>
      </c>
      <c r="AI88" s="41">
        <f t="shared" si="38"/>
        <v>0</v>
      </c>
      <c r="AJ88" s="41">
        <f t="shared" ref="AJ88:AY88" si="39">IF(AJ82=0,0,SUM(AJ96:AJ98)/AJ84)</f>
        <v>0</v>
      </c>
      <c r="AK88" s="41">
        <f t="shared" si="39"/>
        <v>0</v>
      </c>
      <c r="AL88" s="41">
        <f t="shared" si="39"/>
        <v>0</v>
      </c>
      <c r="AM88" s="41">
        <f t="shared" si="39"/>
        <v>0</v>
      </c>
      <c r="AN88" s="41">
        <f t="shared" si="39"/>
        <v>0</v>
      </c>
      <c r="AO88" s="41">
        <f t="shared" si="39"/>
        <v>0</v>
      </c>
      <c r="AP88" s="41">
        <f t="shared" si="39"/>
        <v>0</v>
      </c>
      <c r="AQ88" s="41">
        <f t="shared" si="39"/>
        <v>0</v>
      </c>
      <c r="AR88" s="41">
        <f t="shared" si="39"/>
        <v>0</v>
      </c>
      <c r="AS88" s="41">
        <f t="shared" si="39"/>
        <v>0</v>
      </c>
      <c r="AT88" s="41">
        <f t="shared" si="39"/>
        <v>0</v>
      </c>
      <c r="AU88" s="41">
        <f t="shared" si="39"/>
        <v>0</v>
      </c>
      <c r="AV88" s="41">
        <f t="shared" si="39"/>
        <v>0</v>
      </c>
      <c r="AW88" s="41">
        <f t="shared" si="39"/>
        <v>0</v>
      </c>
      <c r="AX88" s="41">
        <f t="shared" si="39"/>
        <v>0</v>
      </c>
      <c r="AY88" s="41">
        <f t="shared" si="39"/>
        <v>0</v>
      </c>
    </row>
    <row r="89" spans="2:52">
      <c r="B89" s="2" t="s">
        <v>159</v>
      </c>
      <c r="C89" s="15" t="str">
        <f>IF('Input '!$F$9=1,"US$","=N=")</f>
        <v>US$</v>
      </c>
      <c r="D89" s="42">
        <f ca="1">SUM(I89:AI89)</f>
        <v>0</v>
      </c>
      <c r="I89" s="41">
        <f>-IF(I82=0,0,PPMT($D$85,1,I84,SUM(I96:I98),0,0))</f>
        <v>0</v>
      </c>
      <c r="J89" s="41">
        <f t="shared" ref="J89:AI89" si="40">-IF(J82=0,0,PPMT($D$85,1,J84,SUM(J96:J98),0,0))</f>
        <v>0</v>
      </c>
      <c r="K89" s="41">
        <f t="shared" si="40"/>
        <v>0</v>
      </c>
      <c r="L89" s="41">
        <f t="shared" ca="1" si="40"/>
        <v>0</v>
      </c>
      <c r="M89" s="41">
        <f t="shared" ca="1" si="40"/>
        <v>0</v>
      </c>
      <c r="N89" s="41">
        <f t="shared" ca="1" si="40"/>
        <v>0</v>
      </c>
      <c r="O89" s="41">
        <f t="shared" ca="1" si="40"/>
        <v>0</v>
      </c>
      <c r="P89" s="41">
        <f t="shared" ca="1" si="40"/>
        <v>0</v>
      </c>
      <c r="Q89" s="41">
        <f t="shared" ca="1" si="40"/>
        <v>0</v>
      </c>
      <c r="R89" s="41">
        <f t="shared" ca="1" si="40"/>
        <v>0</v>
      </c>
      <c r="S89" s="41">
        <f t="shared" si="40"/>
        <v>0</v>
      </c>
      <c r="T89" s="41">
        <f t="shared" si="40"/>
        <v>0</v>
      </c>
      <c r="U89" s="41">
        <f t="shared" si="40"/>
        <v>0</v>
      </c>
      <c r="V89" s="41">
        <f t="shared" si="40"/>
        <v>0</v>
      </c>
      <c r="W89" s="41">
        <f t="shared" si="40"/>
        <v>0</v>
      </c>
      <c r="X89" s="41">
        <f t="shared" si="40"/>
        <v>0</v>
      </c>
      <c r="Y89" s="41">
        <f t="shared" si="40"/>
        <v>0</v>
      </c>
      <c r="Z89" s="41">
        <f t="shared" si="40"/>
        <v>0</v>
      </c>
      <c r="AA89" s="41">
        <f t="shared" si="40"/>
        <v>0</v>
      </c>
      <c r="AB89" s="41">
        <f t="shared" si="40"/>
        <v>0</v>
      </c>
      <c r="AC89" s="41">
        <f t="shared" si="40"/>
        <v>0</v>
      </c>
      <c r="AD89" s="41">
        <f t="shared" si="40"/>
        <v>0</v>
      </c>
      <c r="AE89" s="41">
        <f t="shared" si="40"/>
        <v>0</v>
      </c>
      <c r="AF89" s="41">
        <f t="shared" si="40"/>
        <v>0</v>
      </c>
      <c r="AG89" s="41">
        <f t="shared" si="40"/>
        <v>0</v>
      </c>
      <c r="AH89" s="41">
        <f t="shared" si="40"/>
        <v>0</v>
      </c>
      <c r="AI89" s="41">
        <f t="shared" si="40"/>
        <v>0</v>
      </c>
      <c r="AJ89" s="41">
        <f t="shared" ref="AJ89:AY89" si="41">-IF(AJ82=0,0,PPMT($D$85,1,AJ84,SUM(AJ96:AJ98),0,0))</f>
        <v>0</v>
      </c>
      <c r="AK89" s="41">
        <f t="shared" si="41"/>
        <v>0</v>
      </c>
      <c r="AL89" s="41">
        <f t="shared" si="41"/>
        <v>0</v>
      </c>
      <c r="AM89" s="41">
        <f t="shared" si="41"/>
        <v>0</v>
      </c>
      <c r="AN89" s="41">
        <f t="shared" si="41"/>
        <v>0</v>
      </c>
      <c r="AO89" s="41">
        <f t="shared" si="41"/>
        <v>0</v>
      </c>
      <c r="AP89" s="41">
        <f t="shared" si="41"/>
        <v>0</v>
      </c>
      <c r="AQ89" s="41">
        <f t="shared" si="41"/>
        <v>0</v>
      </c>
      <c r="AR89" s="41">
        <f t="shared" si="41"/>
        <v>0</v>
      </c>
      <c r="AS89" s="41">
        <f t="shared" si="41"/>
        <v>0</v>
      </c>
      <c r="AT89" s="41">
        <f t="shared" si="41"/>
        <v>0</v>
      </c>
      <c r="AU89" s="41">
        <f t="shared" si="41"/>
        <v>0</v>
      </c>
      <c r="AV89" s="41">
        <f t="shared" si="41"/>
        <v>0</v>
      </c>
      <c r="AW89" s="41">
        <f t="shared" si="41"/>
        <v>0</v>
      </c>
      <c r="AX89" s="41">
        <f t="shared" si="41"/>
        <v>0</v>
      </c>
      <c r="AY89" s="41">
        <f t="shared" si="41"/>
        <v>0</v>
      </c>
    </row>
    <row r="90" spans="2:52">
      <c r="B90" s="2" t="s">
        <v>161</v>
      </c>
      <c r="C90" s="15" t="str">
        <f>IF('Input '!$F$9=1,"US$","=N=")</f>
        <v>US$</v>
      </c>
      <c r="D90" s="42">
        <f ca="1">SUM(I90:AI90)</f>
        <v>0</v>
      </c>
      <c r="I90" s="41">
        <f ca="1">SUM(I96:I98)*(I83=$D$82)</f>
        <v>0</v>
      </c>
      <c r="J90" s="41">
        <f t="shared" ref="J90:AI90" ca="1" si="42">SUM(J96:J98)*(J83=$D$82)</f>
        <v>0</v>
      </c>
      <c r="K90" s="41">
        <f t="shared" ca="1" si="42"/>
        <v>0</v>
      </c>
      <c r="L90" s="41">
        <f t="shared" ca="1" si="42"/>
        <v>0</v>
      </c>
      <c r="M90" s="41">
        <f t="shared" ca="1" si="42"/>
        <v>0</v>
      </c>
      <c r="N90" s="41">
        <f t="shared" ca="1" si="42"/>
        <v>0</v>
      </c>
      <c r="O90" s="41">
        <f t="shared" ca="1" si="42"/>
        <v>0</v>
      </c>
      <c r="P90" s="41">
        <f t="shared" ca="1" si="42"/>
        <v>0</v>
      </c>
      <c r="Q90" s="41">
        <f t="shared" ca="1" si="42"/>
        <v>0</v>
      </c>
      <c r="R90" s="41">
        <f t="shared" ca="1" si="42"/>
        <v>0</v>
      </c>
      <c r="S90" s="41">
        <f t="shared" ca="1" si="42"/>
        <v>0</v>
      </c>
      <c r="T90" s="41">
        <f t="shared" ca="1" si="42"/>
        <v>0</v>
      </c>
      <c r="U90" s="41">
        <f t="shared" ca="1" si="42"/>
        <v>0</v>
      </c>
      <c r="V90" s="41">
        <f t="shared" ca="1" si="42"/>
        <v>0</v>
      </c>
      <c r="W90" s="41">
        <f t="shared" ca="1" si="42"/>
        <v>0</v>
      </c>
      <c r="X90" s="41">
        <f t="shared" ca="1" si="42"/>
        <v>0</v>
      </c>
      <c r="Y90" s="41">
        <f t="shared" ca="1" si="42"/>
        <v>0</v>
      </c>
      <c r="Z90" s="41">
        <f t="shared" ca="1" si="42"/>
        <v>0</v>
      </c>
      <c r="AA90" s="41">
        <f t="shared" ca="1" si="42"/>
        <v>0</v>
      </c>
      <c r="AB90" s="41">
        <f t="shared" ca="1" si="42"/>
        <v>0</v>
      </c>
      <c r="AC90" s="41">
        <f t="shared" ca="1" si="42"/>
        <v>0</v>
      </c>
      <c r="AD90" s="41">
        <f t="shared" ca="1" si="42"/>
        <v>0</v>
      </c>
      <c r="AE90" s="41">
        <f t="shared" ca="1" si="42"/>
        <v>0</v>
      </c>
      <c r="AF90" s="41">
        <f t="shared" ca="1" si="42"/>
        <v>0</v>
      </c>
      <c r="AG90" s="41">
        <f t="shared" ca="1" si="42"/>
        <v>0</v>
      </c>
      <c r="AH90" s="41">
        <f t="shared" ca="1" si="42"/>
        <v>0</v>
      </c>
      <c r="AI90" s="41">
        <f t="shared" ca="1" si="42"/>
        <v>0</v>
      </c>
      <c r="AJ90" s="41">
        <f t="shared" ref="AJ90:AY90" ca="1" si="43">SUM(AJ96:AJ98)*(AJ83=$D$82)</f>
        <v>0</v>
      </c>
      <c r="AK90" s="41">
        <f t="shared" ca="1" si="43"/>
        <v>0</v>
      </c>
      <c r="AL90" s="41">
        <f t="shared" ca="1" si="43"/>
        <v>0</v>
      </c>
      <c r="AM90" s="41">
        <f t="shared" ca="1" si="43"/>
        <v>0</v>
      </c>
      <c r="AN90" s="41">
        <f t="shared" ca="1" si="43"/>
        <v>0</v>
      </c>
      <c r="AO90" s="41">
        <f t="shared" ca="1" si="43"/>
        <v>0</v>
      </c>
      <c r="AP90" s="41">
        <f t="shared" ca="1" si="43"/>
        <v>0</v>
      </c>
      <c r="AQ90" s="41">
        <f t="shared" ca="1" si="43"/>
        <v>0</v>
      </c>
      <c r="AR90" s="41">
        <f t="shared" ca="1" si="43"/>
        <v>0</v>
      </c>
      <c r="AS90" s="41">
        <f t="shared" ca="1" si="43"/>
        <v>0</v>
      </c>
      <c r="AT90" s="41">
        <f t="shared" ca="1" si="43"/>
        <v>0</v>
      </c>
      <c r="AU90" s="41">
        <f t="shared" ca="1" si="43"/>
        <v>0</v>
      </c>
      <c r="AV90" s="41">
        <f t="shared" ca="1" si="43"/>
        <v>0</v>
      </c>
      <c r="AW90" s="41">
        <f t="shared" ca="1" si="43"/>
        <v>0</v>
      </c>
      <c r="AX90" s="41">
        <f t="shared" ca="1" si="43"/>
        <v>0</v>
      </c>
      <c r="AY90" s="41">
        <f t="shared" ca="1" si="43"/>
        <v>0</v>
      </c>
    </row>
    <row r="92" spans="2:52">
      <c r="B92" s="2" t="s">
        <v>293</v>
      </c>
      <c r="C92" s="15" t="str">
        <f>IF('Input '!$F$9=1,"US$","=N=")</f>
        <v>US$</v>
      </c>
      <c r="D92" s="42">
        <f ca="1">SUM(I92:AW92)</f>
        <v>34824153343.050629</v>
      </c>
      <c r="I92" s="41">
        <f ca="1">CF!I29</f>
        <v>0</v>
      </c>
      <c r="J92" s="41">
        <f ca="1">CF!J29</f>
        <v>-132913371.73613448</v>
      </c>
      <c r="K92" s="41">
        <f ca="1">CF!K29</f>
        <v>632979160.75820112</v>
      </c>
      <c r="L92" s="41">
        <f ca="1">CF!L29</f>
        <v>400522681.1728363</v>
      </c>
      <c r="M92" s="41">
        <f ca="1">CF!M29</f>
        <v>637170363.89615703</v>
      </c>
      <c r="N92" s="41">
        <f ca="1">CF!N29</f>
        <v>637790714.93315852</v>
      </c>
      <c r="O92" s="41">
        <f ca="1">CF!O29</f>
        <v>764050013.53653836</v>
      </c>
      <c r="P92" s="41">
        <f ca="1">CF!P29</f>
        <v>883250661.19559181</v>
      </c>
      <c r="Q92" s="41">
        <f ca="1">CF!Q29</f>
        <v>1004026479.5966463</v>
      </c>
      <c r="R92" s="41">
        <f ca="1">CF!R29</f>
        <v>867476193.08027482</v>
      </c>
      <c r="S92" s="41">
        <f ca="1">CF!S29</f>
        <v>1283070151.1751375</v>
      </c>
      <c r="T92" s="41">
        <f ca="1">CF!T29</f>
        <v>1361126777.7746472</v>
      </c>
      <c r="U92" s="41">
        <f ca="1">CF!U29</f>
        <v>1442257475.690588</v>
      </c>
      <c r="V92" s="41">
        <f ca="1">CF!V29</f>
        <v>1528178348.3972325</v>
      </c>
      <c r="W92" s="41">
        <f ca="1">CF!W29</f>
        <v>1616160258.3257608</v>
      </c>
      <c r="X92" s="41">
        <f ca="1">CF!X29</f>
        <v>1235546330.5832512</v>
      </c>
      <c r="Y92" s="41">
        <f ca="1">CF!Y29</f>
        <v>1172655466.6061137</v>
      </c>
      <c r="Z92" s="41">
        <f ca="1">CF!Z29</f>
        <v>1209196930.2893116</v>
      </c>
      <c r="AA92" s="41">
        <f ca="1">CF!AA29</f>
        <v>1245685425.722734</v>
      </c>
      <c r="AB92" s="41">
        <f ca="1">CF!AB29</f>
        <v>1285172638.6101649</v>
      </c>
      <c r="AC92" s="41">
        <f ca="1">CF!AC29</f>
        <v>1325847448.789845</v>
      </c>
      <c r="AD92" s="41">
        <f ca="1">CF!AD29</f>
        <v>1368791499.13083</v>
      </c>
      <c r="AE92" s="41">
        <f ca="1">CF!AE29</f>
        <v>1411363588.111443</v>
      </c>
      <c r="AF92" s="41">
        <f ca="1">CF!AF29</f>
        <v>1457366133.1732535</v>
      </c>
      <c r="AG92" s="41">
        <f ca="1">CF!AG29</f>
        <v>1504464392.6556954</v>
      </c>
      <c r="AH92" s="41">
        <f ca="1">CF!AH29</f>
        <v>1553913969.7623825</v>
      </c>
      <c r="AI92" s="41">
        <f ca="1">CF!AI29</f>
        <v>1602784955.700546</v>
      </c>
      <c r="AJ92" s="41">
        <f ca="1">CF!AJ29</f>
        <v>1655357824.3929558</v>
      </c>
      <c r="AK92" s="41">
        <f ca="1">CF!AK29</f>
        <v>1729891184.7949376</v>
      </c>
      <c r="AL92" s="41">
        <f ca="1">CF!AL29</f>
        <v>2140969646.930531</v>
      </c>
      <c r="AM92" s="41">
        <f>CF!AM29</f>
        <v>0</v>
      </c>
      <c r="AN92" s="41">
        <f>CF!AN29</f>
        <v>0</v>
      </c>
      <c r="AO92" s="41">
        <f>CF!AO29</f>
        <v>0</v>
      </c>
      <c r="AP92" s="41">
        <f>CF!AP29</f>
        <v>0</v>
      </c>
      <c r="AQ92" s="41">
        <f>CF!AQ29</f>
        <v>0</v>
      </c>
      <c r="AR92" s="41">
        <f>CF!AR29</f>
        <v>0</v>
      </c>
      <c r="AS92" s="41">
        <f>CF!AS29</f>
        <v>0</v>
      </c>
      <c r="AT92" s="41">
        <f>CF!AT29</f>
        <v>0</v>
      </c>
      <c r="AU92" s="41">
        <f>CF!AU29</f>
        <v>0</v>
      </c>
      <c r="AV92" s="41">
        <f>CF!AV29</f>
        <v>0</v>
      </c>
      <c r="AW92" s="41">
        <f>CF!AW29</f>
        <v>0</v>
      </c>
      <c r="AX92" s="41">
        <f>CF!AX29</f>
        <v>0</v>
      </c>
      <c r="AY92" s="41">
        <f>CF!AY29</f>
        <v>0</v>
      </c>
      <c r="AZ92" s="41">
        <f>CF!AZ29</f>
        <v>0</v>
      </c>
    </row>
    <row r="93" spans="2:52">
      <c r="B93" s="2" t="s">
        <v>294</v>
      </c>
      <c r="C93" s="15" t="str">
        <f>IF('Input '!$F$9=1,"US$","=N=")</f>
        <v>US$</v>
      </c>
      <c r="D93" s="42">
        <f ca="1">SUM(I93:AI93)</f>
        <v>0</v>
      </c>
      <c r="I93" s="41">
        <f>CHOOSE(MATCH($D$81,$B$88:$B$90,0),$I$88:$AY$88,$I$89:$AY$89,$I$90:$AY$90)</f>
        <v>0</v>
      </c>
      <c r="J93" s="41">
        <f t="shared" ref="J93:AW93" si="44">CHOOSE(MATCH($D$81,$B$88:$B$90,0),$I$88:$AY$88,$I$89:$AY$89,$I$90:$AY$90)</f>
        <v>0</v>
      </c>
      <c r="K93" s="41">
        <f t="shared" si="44"/>
        <v>0</v>
      </c>
      <c r="L93" s="41">
        <f t="shared" ca="1" si="44"/>
        <v>0</v>
      </c>
      <c r="M93" s="41">
        <f t="shared" ca="1" si="44"/>
        <v>0</v>
      </c>
      <c r="N93" s="41">
        <f t="shared" ca="1" si="44"/>
        <v>0</v>
      </c>
      <c r="O93" s="41">
        <f t="shared" ca="1" si="44"/>
        <v>0</v>
      </c>
      <c r="P93" s="41">
        <f t="shared" ca="1" si="44"/>
        <v>0</v>
      </c>
      <c r="Q93" s="41">
        <f t="shared" ca="1" si="44"/>
        <v>0</v>
      </c>
      <c r="R93" s="41">
        <f t="shared" ca="1" si="44"/>
        <v>0</v>
      </c>
      <c r="S93" s="41">
        <f t="shared" si="44"/>
        <v>0</v>
      </c>
      <c r="T93" s="41">
        <f t="shared" si="44"/>
        <v>0</v>
      </c>
      <c r="U93" s="41">
        <f t="shared" si="44"/>
        <v>0</v>
      </c>
      <c r="V93" s="41">
        <f t="shared" si="44"/>
        <v>0</v>
      </c>
      <c r="W93" s="41">
        <f t="shared" si="44"/>
        <v>0</v>
      </c>
      <c r="X93" s="41">
        <f t="shared" si="44"/>
        <v>0</v>
      </c>
      <c r="Y93" s="41">
        <f t="shared" si="44"/>
        <v>0</v>
      </c>
      <c r="Z93" s="41">
        <f t="shared" si="44"/>
        <v>0</v>
      </c>
      <c r="AA93" s="41">
        <f t="shared" si="44"/>
        <v>0</v>
      </c>
      <c r="AB93" s="41">
        <f t="shared" si="44"/>
        <v>0</v>
      </c>
      <c r="AC93" s="41">
        <f t="shared" si="44"/>
        <v>0</v>
      </c>
      <c r="AD93" s="41">
        <f t="shared" si="44"/>
        <v>0</v>
      </c>
      <c r="AE93" s="41">
        <f t="shared" si="44"/>
        <v>0</v>
      </c>
      <c r="AF93" s="41">
        <f t="shared" si="44"/>
        <v>0</v>
      </c>
      <c r="AG93" s="41">
        <f t="shared" si="44"/>
        <v>0</v>
      </c>
      <c r="AH93" s="41">
        <f t="shared" si="44"/>
        <v>0</v>
      </c>
      <c r="AI93" s="41">
        <f t="shared" si="44"/>
        <v>0</v>
      </c>
      <c r="AJ93" s="41">
        <f t="shared" si="44"/>
        <v>0</v>
      </c>
      <c r="AK93" s="41">
        <f t="shared" si="44"/>
        <v>0</v>
      </c>
      <c r="AL93" s="41">
        <f t="shared" si="44"/>
        <v>0</v>
      </c>
      <c r="AM93" s="41">
        <f t="shared" si="44"/>
        <v>0</v>
      </c>
      <c r="AN93" s="41">
        <f t="shared" si="44"/>
        <v>0</v>
      </c>
      <c r="AO93" s="41">
        <f t="shared" si="44"/>
        <v>0</v>
      </c>
      <c r="AP93" s="41">
        <f t="shared" si="44"/>
        <v>0</v>
      </c>
      <c r="AQ93" s="41">
        <f t="shared" si="44"/>
        <v>0</v>
      </c>
      <c r="AR93" s="41">
        <f t="shared" si="44"/>
        <v>0</v>
      </c>
      <c r="AS93" s="41">
        <f t="shared" si="44"/>
        <v>0</v>
      </c>
      <c r="AT93" s="41">
        <f t="shared" si="44"/>
        <v>0</v>
      </c>
      <c r="AU93" s="41">
        <f t="shared" si="44"/>
        <v>0</v>
      </c>
      <c r="AV93" s="41">
        <f t="shared" si="44"/>
        <v>0</v>
      </c>
      <c r="AW93" s="41">
        <f t="shared" si="44"/>
        <v>0</v>
      </c>
    </row>
    <row r="95" spans="2:52">
      <c r="B95" s="29" t="s">
        <v>295</v>
      </c>
    </row>
    <row r="96" spans="2:52">
      <c r="B96" s="2" t="s">
        <v>263</v>
      </c>
      <c r="C96" s="15" t="str">
        <f>IF('Input '!$F$9=1,"US$","=N=")</f>
        <v>US$</v>
      </c>
      <c r="D96" s="42">
        <f ca="1">SUM(I96:AI96)</f>
        <v>0</v>
      </c>
      <c r="I96" s="41">
        <f>H100*I17</f>
        <v>0</v>
      </c>
      <c r="J96" s="41">
        <f t="shared" ref="J96:AI96" ca="1" si="45">I100*J17</f>
        <v>0</v>
      </c>
      <c r="K96" s="41">
        <f t="shared" ca="1" si="45"/>
        <v>0</v>
      </c>
      <c r="L96" s="41">
        <f t="shared" ca="1" si="45"/>
        <v>0</v>
      </c>
      <c r="M96" s="41">
        <f t="shared" ca="1" si="45"/>
        <v>0</v>
      </c>
      <c r="N96" s="41">
        <f t="shared" ca="1" si="45"/>
        <v>0</v>
      </c>
      <c r="O96" s="41">
        <f t="shared" ca="1" si="45"/>
        <v>0</v>
      </c>
      <c r="P96" s="41">
        <f t="shared" ca="1" si="45"/>
        <v>0</v>
      </c>
      <c r="Q96" s="41">
        <f t="shared" ca="1" si="45"/>
        <v>0</v>
      </c>
      <c r="R96" s="41">
        <f t="shared" ca="1" si="45"/>
        <v>0</v>
      </c>
      <c r="S96" s="41">
        <f t="shared" ca="1" si="45"/>
        <v>0</v>
      </c>
      <c r="T96" s="41">
        <f t="shared" ca="1" si="45"/>
        <v>0</v>
      </c>
      <c r="U96" s="41">
        <f t="shared" ca="1" si="45"/>
        <v>0</v>
      </c>
      <c r="V96" s="41">
        <f t="shared" ca="1" si="45"/>
        <v>0</v>
      </c>
      <c r="W96" s="41">
        <f t="shared" ca="1" si="45"/>
        <v>0</v>
      </c>
      <c r="X96" s="41">
        <f t="shared" ca="1" si="45"/>
        <v>0</v>
      </c>
      <c r="Y96" s="41">
        <f t="shared" ca="1" si="45"/>
        <v>0</v>
      </c>
      <c r="Z96" s="41">
        <f t="shared" ca="1" si="45"/>
        <v>0</v>
      </c>
      <c r="AA96" s="41">
        <f t="shared" ca="1" si="45"/>
        <v>0</v>
      </c>
      <c r="AB96" s="41">
        <f t="shared" ca="1" si="45"/>
        <v>0</v>
      </c>
      <c r="AC96" s="41">
        <f t="shared" ca="1" si="45"/>
        <v>0</v>
      </c>
      <c r="AD96" s="41">
        <f t="shared" ca="1" si="45"/>
        <v>0</v>
      </c>
      <c r="AE96" s="41">
        <f t="shared" ca="1" si="45"/>
        <v>0</v>
      </c>
      <c r="AF96" s="41">
        <f t="shared" ca="1" si="45"/>
        <v>0</v>
      </c>
      <c r="AG96" s="41">
        <f t="shared" ca="1" si="45"/>
        <v>0</v>
      </c>
      <c r="AH96" s="41">
        <f t="shared" ca="1" si="45"/>
        <v>0</v>
      </c>
      <c r="AI96" s="41">
        <f t="shared" ca="1" si="45"/>
        <v>0</v>
      </c>
      <c r="AJ96" s="41">
        <f t="shared" ref="AJ96:AY96" ca="1" si="46">AI100*AJ17</f>
        <v>0</v>
      </c>
      <c r="AK96" s="41">
        <f t="shared" si="46"/>
        <v>0</v>
      </c>
      <c r="AL96" s="41">
        <f t="shared" si="46"/>
        <v>0</v>
      </c>
      <c r="AM96" s="41">
        <f t="shared" si="46"/>
        <v>0</v>
      </c>
      <c r="AN96" s="41">
        <f t="shared" si="46"/>
        <v>0</v>
      </c>
      <c r="AO96" s="41">
        <f t="shared" si="46"/>
        <v>0</v>
      </c>
      <c r="AP96" s="41">
        <f t="shared" si="46"/>
        <v>0</v>
      </c>
      <c r="AQ96" s="41">
        <f t="shared" si="46"/>
        <v>0</v>
      </c>
      <c r="AR96" s="41">
        <f t="shared" si="46"/>
        <v>0</v>
      </c>
      <c r="AS96" s="41">
        <f t="shared" si="46"/>
        <v>0</v>
      </c>
      <c r="AT96" s="41">
        <f t="shared" si="46"/>
        <v>0</v>
      </c>
      <c r="AU96" s="41">
        <f t="shared" si="46"/>
        <v>0</v>
      </c>
      <c r="AV96" s="41">
        <f t="shared" si="46"/>
        <v>0</v>
      </c>
      <c r="AW96" s="41">
        <f t="shared" si="46"/>
        <v>0</v>
      </c>
      <c r="AX96" s="41">
        <f t="shared" si="46"/>
        <v>0</v>
      </c>
      <c r="AY96" s="41">
        <f t="shared" si="46"/>
        <v>0</v>
      </c>
    </row>
    <row r="97" spans="2:51">
      <c r="B97" s="2" t="s">
        <v>238</v>
      </c>
      <c r="C97" s="15" t="str">
        <f>IF('Input '!$F$9=1,"US$","=N=")</f>
        <v>US$</v>
      </c>
      <c r="D97" s="42">
        <f ca="1">SUM(I97:AI97)</f>
        <v>0</v>
      </c>
      <c r="I97" s="41">
        <f ca="1">SUMIF('Project Cost Monthly'!$H$5:$AI$5,'Debt Schedule'!I2,'Project Cost Monthly'!$I$256:$AI$256)</f>
        <v>0</v>
      </c>
      <c r="J97" s="41">
        <f ca="1">SUMIF('Project Cost Monthly'!$H$5:$AI$5,'Debt Schedule'!J2,'Project Cost Monthly'!$I$256:$AI$256)</f>
        <v>0</v>
      </c>
      <c r="K97" s="41">
        <f ca="1">SUMIF('Project Cost Monthly'!$H$5:$AI$5,'Debt Schedule'!K2,'Project Cost Monthly'!$I$256:$AI$256)</f>
        <v>0</v>
      </c>
      <c r="L97" s="41">
        <f ca="1">SUMIF('Project Cost Monthly'!$H$5:$AI$5,'Debt Schedule'!L2,'Project Cost Monthly'!$I$256:$AI$256)</f>
        <v>0</v>
      </c>
      <c r="M97" s="41">
        <f ca="1">SUMIF('Project Cost Monthly'!$H$5:$AI$5,'Debt Schedule'!M2,'Project Cost Monthly'!$I$256:$AI$256)</f>
        <v>0</v>
      </c>
      <c r="N97" s="41">
        <f ca="1">SUMIF('Project Cost Monthly'!$H$5:$AI$5,'Debt Schedule'!N2,'Project Cost Monthly'!$I$256:$AI$256)</f>
        <v>0</v>
      </c>
      <c r="O97" s="41">
        <f ca="1">SUMIF('Project Cost Monthly'!$H$5:$AI$5,'Debt Schedule'!O2,'Project Cost Monthly'!$I$256:$AI$256)</f>
        <v>0</v>
      </c>
      <c r="P97" s="41">
        <f ca="1">SUMIF('Project Cost Monthly'!$H$5:$AI$5,'Debt Schedule'!P2,'Project Cost Monthly'!$I$256:$AI$256)</f>
        <v>0</v>
      </c>
      <c r="Q97" s="41">
        <f ca="1">SUMIF('Project Cost Monthly'!$H$5:$AI$5,'Debt Schedule'!Q2,'Project Cost Monthly'!$I$256:$AI$256)</f>
        <v>0</v>
      </c>
      <c r="R97" s="41">
        <f ca="1">SUMIF('Project Cost Monthly'!$H$5:$AI$5,'Debt Schedule'!R2,'Project Cost Monthly'!$I$256:$AI$256)</f>
        <v>0</v>
      </c>
      <c r="S97" s="41">
        <f ca="1">SUMIF('Project Cost Monthly'!$H$5:$AI$5,'Debt Schedule'!S2,'Project Cost Monthly'!$I$256:$AI$256)</f>
        <v>0</v>
      </c>
      <c r="T97" s="41">
        <f ca="1">SUMIF('Project Cost Monthly'!$H$5:$AI$5,'Debt Schedule'!T2,'Project Cost Monthly'!$I$256:$AI$256)</f>
        <v>0</v>
      </c>
      <c r="U97" s="41">
        <f ca="1">SUMIF('Project Cost Monthly'!$H$5:$AI$5,'Debt Schedule'!U2,'Project Cost Monthly'!$I$256:$AI$256)</f>
        <v>0</v>
      </c>
      <c r="V97" s="41">
        <f ca="1">SUMIF('Project Cost Monthly'!$H$5:$AI$5,'Debt Schedule'!V2,'Project Cost Monthly'!$I$256:$AI$256)</f>
        <v>0</v>
      </c>
      <c r="W97" s="41">
        <f ca="1">SUMIF('Project Cost Monthly'!$H$5:$AI$5,'Debt Schedule'!W2,'Project Cost Monthly'!$I$256:$AI$256)</f>
        <v>0</v>
      </c>
      <c r="X97" s="41">
        <f ca="1">SUMIF('Project Cost Monthly'!$H$5:$AI$5,'Debt Schedule'!X2,'Project Cost Monthly'!$I$256:$AI$256)</f>
        <v>0</v>
      </c>
      <c r="Y97" s="41">
        <f ca="1">SUMIF('Project Cost Monthly'!$H$5:$AI$5,'Debt Schedule'!Y2,'Project Cost Monthly'!$I$256:$AI$256)</f>
        <v>0</v>
      </c>
      <c r="Z97" s="41">
        <f ca="1">SUMIF('Project Cost Monthly'!$H$5:$AI$5,'Debt Schedule'!Z2,'Project Cost Monthly'!$I$256:$AI$256)</f>
        <v>0</v>
      </c>
      <c r="AA97" s="41">
        <f ca="1">SUMIF('Project Cost Monthly'!$H$5:$AI$5,'Debt Schedule'!AA2,'Project Cost Monthly'!$I$256:$AI$256)</f>
        <v>0</v>
      </c>
      <c r="AB97" s="41">
        <f ca="1">SUMIF('Project Cost Monthly'!$H$5:$AI$5,'Debt Schedule'!AB2,'Project Cost Monthly'!$I$256:$AI$256)</f>
        <v>0</v>
      </c>
      <c r="AC97" s="41">
        <f ca="1">SUMIF('Project Cost Monthly'!$H$5:$AI$5,'Debt Schedule'!AC2,'Project Cost Monthly'!$I$256:$AI$256)</f>
        <v>0</v>
      </c>
      <c r="AD97" s="41">
        <f ca="1">SUMIF('Project Cost Monthly'!$H$5:$AI$5,'Debt Schedule'!AD2,'Project Cost Monthly'!$I$256:$AI$256)</f>
        <v>0</v>
      </c>
      <c r="AE97" s="41">
        <f ca="1">SUMIF('Project Cost Monthly'!$H$5:$AI$5,'Debt Schedule'!AE2,'Project Cost Monthly'!$I$256:$AI$256)</f>
        <v>0</v>
      </c>
      <c r="AF97" s="41">
        <f ca="1">SUMIF('Project Cost Monthly'!$H$5:$AI$5,'Debt Schedule'!AF2,'Project Cost Monthly'!$I$256:$AI$256)</f>
        <v>0</v>
      </c>
      <c r="AG97" s="41">
        <f ca="1">SUMIF('Project Cost Monthly'!$H$5:$AI$5,'Debt Schedule'!AG2,'Project Cost Monthly'!$I$256:$AI$256)</f>
        <v>0</v>
      </c>
      <c r="AH97" s="41">
        <f ca="1">SUMIF('Project Cost Monthly'!$H$5:$AI$5,'Debt Schedule'!AH2,'Project Cost Monthly'!$I$256:$AI$256)</f>
        <v>0</v>
      </c>
      <c r="AI97" s="41">
        <f ca="1">SUMIF('Project Cost Monthly'!$H$5:$AI$5,'Debt Schedule'!AI2,'Project Cost Monthly'!$I$256:$AI$256)</f>
        <v>0</v>
      </c>
      <c r="AJ97" s="41">
        <f ca="1">SUMIF('Project Cost Monthly'!$H$5:$AI$5,'Debt Schedule'!AJ2,'Project Cost Monthly'!$I$256:$AI$256)</f>
        <v>0</v>
      </c>
      <c r="AK97" s="41">
        <f ca="1">SUMIF('Project Cost Monthly'!$H$5:$AI$5,'Debt Schedule'!AK2,'Project Cost Monthly'!$I$256:$AI$256)</f>
        <v>0</v>
      </c>
      <c r="AL97" s="41">
        <f ca="1">SUMIF('Project Cost Monthly'!$H$5:$AI$5,'Debt Schedule'!AL2,'Project Cost Monthly'!$I$256:$AI$256)</f>
        <v>0</v>
      </c>
      <c r="AM97" s="41">
        <f ca="1">SUMIF('Project Cost Monthly'!$H$5:$AI$5,'Debt Schedule'!AM2,'Project Cost Monthly'!$I$256:$AI$256)</f>
        <v>0</v>
      </c>
      <c r="AN97" s="41">
        <f ca="1">SUMIF('Project Cost Monthly'!$H$5:$AI$5,'Debt Schedule'!AN2,'Project Cost Monthly'!$I$256:$AI$256)</f>
        <v>0</v>
      </c>
      <c r="AO97" s="41">
        <f ca="1">SUMIF('Project Cost Monthly'!$H$5:$AI$5,'Debt Schedule'!AO2,'Project Cost Monthly'!$I$256:$AI$256)</f>
        <v>0</v>
      </c>
      <c r="AP97" s="41">
        <f ca="1">SUMIF('Project Cost Monthly'!$H$5:$AI$5,'Debt Schedule'!AP2,'Project Cost Monthly'!$I$256:$AI$256)</f>
        <v>0</v>
      </c>
      <c r="AQ97" s="41">
        <f ca="1">SUMIF('Project Cost Monthly'!$H$5:$AI$5,'Debt Schedule'!AQ2,'Project Cost Monthly'!$I$256:$AI$256)</f>
        <v>0</v>
      </c>
      <c r="AR97" s="41">
        <f ca="1">SUMIF('Project Cost Monthly'!$H$5:$AI$5,'Debt Schedule'!AR2,'Project Cost Monthly'!$I$256:$AI$256)</f>
        <v>0</v>
      </c>
      <c r="AS97" s="41">
        <f ca="1">SUMIF('Project Cost Monthly'!$H$5:$AI$5,'Debt Schedule'!AS2,'Project Cost Monthly'!$I$256:$AI$256)</f>
        <v>0</v>
      </c>
      <c r="AT97" s="41">
        <f ca="1">SUMIF('Project Cost Monthly'!$H$5:$AI$5,'Debt Schedule'!AT2,'Project Cost Monthly'!$I$256:$AI$256)</f>
        <v>0</v>
      </c>
      <c r="AU97" s="41">
        <f ca="1">SUMIF('Project Cost Monthly'!$H$5:$AI$5,'Debt Schedule'!AU2,'Project Cost Monthly'!$I$256:$AI$256)</f>
        <v>0</v>
      </c>
      <c r="AV97" s="41">
        <f ca="1">SUMIF('Project Cost Monthly'!$H$5:$AI$5,'Debt Schedule'!AV2,'Project Cost Monthly'!$I$256:$AI$256)</f>
        <v>0</v>
      </c>
      <c r="AW97" s="41">
        <f ca="1">SUMIF('Project Cost Monthly'!$H$5:$AI$5,'Debt Schedule'!AW2,'Project Cost Monthly'!$I$256:$AI$256)</f>
        <v>0</v>
      </c>
      <c r="AX97" s="41">
        <f ca="1">SUMIF('Project Cost Monthly'!$H$5:$AI$5,'Debt Schedule'!AX2,'Project Cost Monthly'!$I$256:$AI$256)</f>
        <v>0</v>
      </c>
      <c r="AY97" s="41">
        <f ca="1">SUMIF('Project Cost Monthly'!$H$5:$AI$5,'Debt Schedule'!AY2,'Project Cost Monthly'!$I$256:$AI$256)</f>
        <v>0</v>
      </c>
    </row>
    <row r="98" spans="2:51">
      <c r="B98" s="2" t="s">
        <v>296</v>
      </c>
      <c r="C98" s="15" t="str">
        <f>IF('Input '!$F$9=1,"US$","=N=")</f>
        <v>US$</v>
      </c>
      <c r="D98" s="42">
        <f ca="1">SUM(I98:AI98)</f>
        <v>0</v>
      </c>
      <c r="I98" s="41">
        <f ca="1">IF(I2&lt;='Input '!$F$313,SUM(I96:I97)*$D$37*I24,0)</f>
        <v>0</v>
      </c>
      <c r="J98" s="41">
        <f ca="1">IF(J2&lt;='Input '!$F$313,SUM(J96:J97)*$D$37*J24,0)</f>
        <v>0</v>
      </c>
      <c r="K98" s="41">
        <f>IF(K2&lt;='Input '!$F$313,SUM(K96:K97)*$D$37*K24,0)</f>
        <v>0</v>
      </c>
      <c r="L98" s="41">
        <f>IF(L2&lt;='Input '!$F$313,SUM(L96:L97)*$D$37*L24,0)</f>
        <v>0</v>
      </c>
      <c r="M98" s="41">
        <f>IF(M2&lt;='Input '!$F$313,SUM(M96:M97)*$D$37*M24,0)</f>
        <v>0</v>
      </c>
      <c r="N98" s="41">
        <f>IF(N2&lt;='Input '!$F$313,SUM(N96:N97)*$D$37*N24,0)</f>
        <v>0</v>
      </c>
      <c r="O98" s="41">
        <f>IF(O2&lt;='Input '!$F$313,SUM(O96:O97)*$D$37*O24,0)</f>
        <v>0</v>
      </c>
      <c r="P98" s="41">
        <f>IF(P2&lt;='Input '!$F$313,SUM(P96:P97)*$D$37*P24,0)</f>
        <v>0</v>
      </c>
      <c r="Q98" s="41">
        <f>IF(Q2&lt;='Input '!$F$313,SUM(Q96:Q97)*$D$37*Q24,0)</f>
        <v>0</v>
      </c>
      <c r="R98" s="41">
        <f>IF(R2&lt;='Input '!$F$313,SUM(R96:R97)*$D$37*R24,0)</f>
        <v>0</v>
      </c>
      <c r="S98" s="41">
        <f>IF(S2&lt;='Input '!$F$313,SUM(S96:S97)*$D$37*S24,0)</f>
        <v>0</v>
      </c>
      <c r="T98" s="41">
        <f>IF(T2&lt;='Input '!$F$313,SUM(T96:T97)*$D$37*T24,0)</f>
        <v>0</v>
      </c>
      <c r="U98" s="41">
        <f>IF(U2&lt;='Input '!$F$313,SUM(U96:U97)*$D$37*U24,0)</f>
        <v>0</v>
      </c>
      <c r="V98" s="41">
        <f>IF(V2&lt;='Input '!$F$313,SUM(V96:V97)*$D$37*V24,0)</f>
        <v>0</v>
      </c>
      <c r="W98" s="41">
        <f>IF(W2&lt;='Input '!$F$313,SUM(W96:W97)*$D$37*W24,0)</f>
        <v>0</v>
      </c>
      <c r="X98" s="41">
        <f>IF(X2&lt;='Input '!$F$313,SUM(X96:X97)*$D$37*X24,0)</f>
        <v>0</v>
      </c>
      <c r="Y98" s="41">
        <f>IF(Y2&lt;='Input '!$F$313,SUM(Y96:Y97)*$D$37*Y24,0)</f>
        <v>0</v>
      </c>
      <c r="Z98" s="41">
        <f>IF(Z2&lt;='Input '!$F$313,SUM(Z96:Z97)*$D$37*Z24,0)</f>
        <v>0</v>
      </c>
      <c r="AA98" s="41">
        <f>IF(AA2&lt;='Input '!$F$313,SUM(AA96:AA97)*$D$37*AA24,0)</f>
        <v>0</v>
      </c>
      <c r="AB98" s="41">
        <f>IF(AB2&lt;='Input '!$F$313,SUM(AB96:AB97)*$D$37*AB24,0)</f>
        <v>0</v>
      </c>
      <c r="AC98" s="41">
        <f>IF(AC2&lt;='Input '!$F$313,SUM(AC96:AC97)*$D$37*AC24,0)</f>
        <v>0</v>
      </c>
      <c r="AD98" s="41">
        <f>IF(AD2&lt;='Input '!$F$313,SUM(AD96:AD97)*$D$37*AD24,0)</f>
        <v>0</v>
      </c>
      <c r="AE98" s="41">
        <f>IF(AE2&lt;='Input '!$F$313,SUM(AE96:AE97)*$D$37*AE24,0)</f>
        <v>0</v>
      </c>
      <c r="AF98" s="41">
        <f>IF(AF2&lt;='Input '!$F$313,SUM(AF96:AF97)*$D$37*AF24,0)</f>
        <v>0</v>
      </c>
      <c r="AG98" s="41">
        <f>IF(AG2&lt;='Input '!$F$313,SUM(AG96:AG97)*$D$37*AG24,0)</f>
        <v>0</v>
      </c>
      <c r="AH98" s="41">
        <f>IF(AH2&lt;='Input '!$F$313,SUM(AH96:AH97)*$D$37*AH24,0)</f>
        <v>0</v>
      </c>
      <c r="AI98" s="41">
        <f>IF(AI2&lt;='Input '!$F$313,SUM(AI96:AI97)*$D$37*AI24,0)</f>
        <v>0</v>
      </c>
      <c r="AJ98" s="41">
        <f>IF(AJ2&lt;='Input '!$F$313,SUM(AJ96:AJ97)*$D$37*AJ24,0)</f>
        <v>0</v>
      </c>
      <c r="AK98" s="41">
        <f>IF(AK2&lt;='Input '!$F$313,SUM(AK96:AK97)*$D$37*AK24,0)</f>
        <v>0</v>
      </c>
      <c r="AL98" s="41">
        <f>IF(AL2&lt;='Input '!$F$313,SUM(AL96:AL97)*$D$37*AL24,0)</f>
        <v>0</v>
      </c>
      <c r="AM98" s="41">
        <f>IF(AM2&lt;='Input '!$F$313,SUM(AM96:AM97)*$D$37*AM24,0)</f>
        <v>0</v>
      </c>
      <c r="AN98" s="41">
        <f>IF(AN2&lt;='Input '!$F$313,SUM(AN96:AN97)*$D$37*AN24,0)</f>
        <v>0</v>
      </c>
      <c r="AO98" s="41">
        <f>IF(AO2&lt;='Input '!$F$313,SUM(AO96:AO97)*$D$37*AO24,0)</f>
        <v>0</v>
      </c>
      <c r="AP98" s="41">
        <f>IF(AP2&lt;='Input '!$F$313,SUM(AP96:AP97)*$D$37*AP24,0)</f>
        <v>0</v>
      </c>
      <c r="AQ98" s="41">
        <f>IF(AQ2&lt;='Input '!$F$313,SUM(AQ96:AQ97)*$D$37*AQ24,0)</f>
        <v>0</v>
      </c>
      <c r="AR98" s="41">
        <f>IF(AR2&lt;='Input '!$F$313,SUM(AR96:AR97)*$D$37*AR24,0)</f>
        <v>0</v>
      </c>
      <c r="AS98" s="41">
        <f>IF(AS2&lt;='Input '!$F$313,SUM(AS96:AS97)*$D$37*AS24,0)</f>
        <v>0</v>
      </c>
      <c r="AT98" s="41">
        <f>IF(AT2&lt;='Input '!$F$313,SUM(AT96:AT97)*$D$37*AT24,0)</f>
        <v>0</v>
      </c>
      <c r="AU98" s="41">
        <f>IF(AU2&lt;='Input '!$F$313,SUM(AU96:AU97)*$D$37*AU24,0)</f>
        <v>0</v>
      </c>
      <c r="AV98" s="41">
        <f>IF(AV2&lt;='Input '!$F$313,SUM(AV96:AV97)*$D$37*AV24,0)</f>
        <v>0</v>
      </c>
      <c r="AW98" s="41">
        <f>IF(AW2&lt;='Input '!$F$313,SUM(AW96:AW97)*$D$37*AW24,0)</f>
        <v>0</v>
      </c>
      <c r="AX98" s="41">
        <f ca="1">IF(AX2&lt;='Input '!$F$313,SUM(AX96:AX97)*$D$37*AX24,0)</f>
        <v>0</v>
      </c>
      <c r="AY98" s="41">
        <f ca="1">IF(AY2&lt;='Input '!$F$313,SUM(AY96:AY97)*$D$37*AY24,0)</f>
        <v>0</v>
      </c>
    </row>
    <row r="99" spans="2:51">
      <c r="B99" s="27" t="s">
        <v>292</v>
      </c>
      <c r="C99" s="28" t="str">
        <f>IF('Input '!$F$9=1,"US$","=N=")</f>
        <v>US$</v>
      </c>
      <c r="D99" s="108">
        <f ca="1">SUM(I99:AI99)</f>
        <v>0</v>
      </c>
      <c r="E99" s="27"/>
      <c r="F99" s="27"/>
      <c r="G99" s="27"/>
      <c r="H99" s="27"/>
      <c r="I99" s="149">
        <f t="shared" ref="I99:AI99" ca="1" si="47">-MAX(MIN(I93,I92),0)</f>
        <v>0</v>
      </c>
      <c r="J99" s="149">
        <f t="shared" ca="1" si="47"/>
        <v>0</v>
      </c>
      <c r="K99" s="149">
        <f t="shared" ca="1" si="47"/>
        <v>0</v>
      </c>
      <c r="L99" s="149">
        <f t="shared" ca="1" si="47"/>
        <v>0</v>
      </c>
      <c r="M99" s="149">
        <f t="shared" ca="1" si="47"/>
        <v>0</v>
      </c>
      <c r="N99" s="149">
        <f t="shared" ca="1" si="47"/>
        <v>0</v>
      </c>
      <c r="O99" s="149">
        <f t="shared" ca="1" si="47"/>
        <v>0</v>
      </c>
      <c r="P99" s="149">
        <f t="shared" ca="1" si="47"/>
        <v>0</v>
      </c>
      <c r="Q99" s="149">
        <f t="shared" ca="1" si="47"/>
        <v>0</v>
      </c>
      <c r="R99" s="149">
        <f t="shared" ca="1" si="47"/>
        <v>0</v>
      </c>
      <c r="S99" s="149">
        <f t="shared" ca="1" si="47"/>
        <v>0</v>
      </c>
      <c r="T99" s="149">
        <f t="shared" ca="1" si="47"/>
        <v>0</v>
      </c>
      <c r="U99" s="149">
        <f t="shared" ca="1" si="47"/>
        <v>0</v>
      </c>
      <c r="V99" s="149">
        <f t="shared" ca="1" si="47"/>
        <v>0</v>
      </c>
      <c r="W99" s="149">
        <f t="shared" ca="1" si="47"/>
        <v>0</v>
      </c>
      <c r="X99" s="149">
        <f t="shared" ca="1" si="47"/>
        <v>0</v>
      </c>
      <c r="Y99" s="149">
        <f t="shared" ca="1" si="47"/>
        <v>0</v>
      </c>
      <c r="Z99" s="149">
        <f t="shared" ca="1" si="47"/>
        <v>0</v>
      </c>
      <c r="AA99" s="149">
        <f t="shared" ca="1" si="47"/>
        <v>0</v>
      </c>
      <c r="AB99" s="149">
        <f t="shared" ca="1" si="47"/>
        <v>0</v>
      </c>
      <c r="AC99" s="149">
        <f t="shared" ca="1" si="47"/>
        <v>0</v>
      </c>
      <c r="AD99" s="149">
        <f t="shared" ca="1" si="47"/>
        <v>0</v>
      </c>
      <c r="AE99" s="149">
        <f t="shared" ca="1" si="47"/>
        <v>0</v>
      </c>
      <c r="AF99" s="149">
        <f t="shared" ca="1" si="47"/>
        <v>0</v>
      </c>
      <c r="AG99" s="149">
        <f t="shared" ca="1" si="47"/>
        <v>0</v>
      </c>
      <c r="AH99" s="149">
        <f t="shared" ca="1" si="47"/>
        <v>0</v>
      </c>
      <c r="AI99" s="149">
        <f t="shared" ca="1" si="47"/>
        <v>0</v>
      </c>
      <c r="AJ99" s="149">
        <f t="shared" ref="AJ99:AY99" ca="1" si="48">-MAX(MIN(AJ93,AJ92),0)</f>
        <v>0</v>
      </c>
      <c r="AK99" s="149">
        <f t="shared" ca="1" si="48"/>
        <v>0</v>
      </c>
      <c r="AL99" s="149">
        <f t="shared" ca="1" si="48"/>
        <v>0</v>
      </c>
      <c r="AM99" s="149">
        <f t="shared" si="48"/>
        <v>0</v>
      </c>
      <c r="AN99" s="149">
        <f t="shared" si="48"/>
        <v>0</v>
      </c>
      <c r="AO99" s="149">
        <f t="shared" si="48"/>
        <v>0</v>
      </c>
      <c r="AP99" s="149">
        <f t="shared" si="48"/>
        <v>0</v>
      </c>
      <c r="AQ99" s="149">
        <f t="shared" si="48"/>
        <v>0</v>
      </c>
      <c r="AR99" s="149">
        <f t="shared" si="48"/>
        <v>0</v>
      </c>
      <c r="AS99" s="149">
        <f t="shared" si="48"/>
        <v>0</v>
      </c>
      <c r="AT99" s="149">
        <f t="shared" si="48"/>
        <v>0</v>
      </c>
      <c r="AU99" s="149">
        <f t="shared" si="48"/>
        <v>0</v>
      </c>
      <c r="AV99" s="149">
        <f t="shared" si="48"/>
        <v>0</v>
      </c>
      <c r="AW99" s="149">
        <f t="shared" si="48"/>
        <v>0</v>
      </c>
      <c r="AX99" s="149">
        <f t="shared" si="48"/>
        <v>0</v>
      </c>
      <c r="AY99" s="149">
        <f t="shared" si="48"/>
        <v>0</v>
      </c>
    </row>
    <row r="100" spans="2:51">
      <c r="B100" s="2" t="s">
        <v>266</v>
      </c>
      <c r="C100" s="15" t="str">
        <f>IF('Input '!$F$9=1,"US$","=N=")</f>
        <v>US$</v>
      </c>
      <c r="D100" s="42">
        <f ca="1">SUM(I100:AI100)</f>
        <v>0</v>
      </c>
      <c r="H100" s="135"/>
      <c r="I100" s="42">
        <f ca="1">SUM(I96:I99)</f>
        <v>0</v>
      </c>
      <c r="J100" s="42">
        <f t="shared" ref="J100:AI100" ca="1" si="49">SUM(J96:J99)</f>
        <v>0</v>
      </c>
      <c r="K100" s="42">
        <f t="shared" ca="1" si="49"/>
        <v>0</v>
      </c>
      <c r="L100" s="42">
        <f t="shared" ca="1" si="49"/>
        <v>0</v>
      </c>
      <c r="M100" s="42">
        <f t="shared" ca="1" si="49"/>
        <v>0</v>
      </c>
      <c r="N100" s="42">
        <f t="shared" ca="1" si="49"/>
        <v>0</v>
      </c>
      <c r="O100" s="42">
        <f t="shared" ca="1" si="49"/>
        <v>0</v>
      </c>
      <c r="P100" s="42">
        <f t="shared" ca="1" si="49"/>
        <v>0</v>
      </c>
      <c r="Q100" s="42">
        <f t="shared" ca="1" si="49"/>
        <v>0</v>
      </c>
      <c r="R100" s="42">
        <f t="shared" ca="1" si="49"/>
        <v>0</v>
      </c>
      <c r="S100" s="42">
        <f t="shared" ca="1" si="49"/>
        <v>0</v>
      </c>
      <c r="T100" s="42">
        <f t="shared" ca="1" si="49"/>
        <v>0</v>
      </c>
      <c r="U100" s="42">
        <f t="shared" ca="1" si="49"/>
        <v>0</v>
      </c>
      <c r="V100" s="42">
        <f t="shared" ca="1" si="49"/>
        <v>0</v>
      </c>
      <c r="W100" s="42">
        <f t="shared" ca="1" si="49"/>
        <v>0</v>
      </c>
      <c r="X100" s="42">
        <f t="shared" ca="1" si="49"/>
        <v>0</v>
      </c>
      <c r="Y100" s="42">
        <f t="shared" ca="1" si="49"/>
        <v>0</v>
      </c>
      <c r="Z100" s="42">
        <f t="shared" ca="1" si="49"/>
        <v>0</v>
      </c>
      <c r="AA100" s="42">
        <f t="shared" ca="1" si="49"/>
        <v>0</v>
      </c>
      <c r="AB100" s="42">
        <f t="shared" ca="1" si="49"/>
        <v>0</v>
      </c>
      <c r="AC100" s="42">
        <f t="shared" ca="1" si="49"/>
        <v>0</v>
      </c>
      <c r="AD100" s="42">
        <f t="shared" ca="1" si="49"/>
        <v>0</v>
      </c>
      <c r="AE100" s="42">
        <f t="shared" ca="1" si="49"/>
        <v>0</v>
      </c>
      <c r="AF100" s="42">
        <f t="shared" ca="1" si="49"/>
        <v>0</v>
      </c>
      <c r="AG100" s="42">
        <f t="shared" ca="1" si="49"/>
        <v>0</v>
      </c>
      <c r="AH100" s="42">
        <f t="shared" ca="1" si="49"/>
        <v>0</v>
      </c>
      <c r="AI100" s="42">
        <f t="shared" ca="1" si="49"/>
        <v>0</v>
      </c>
    </row>
    <row r="102" spans="2:51">
      <c r="B102" s="10" t="s">
        <v>297</v>
      </c>
    </row>
    <row r="103" spans="2:51">
      <c r="B103" s="2" t="s">
        <v>263</v>
      </c>
      <c r="C103" s="15" t="str">
        <f>IF('Input '!$F$9=1,"US$","=N=")</f>
        <v>US$</v>
      </c>
      <c r="D103" s="42">
        <f ca="1">SUM(I103:AI103)</f>
        <v>0</v>
      </c>
      <c r="I103" s="41">
        <f t="shared" ref="I103:AI103" si="50">H106</f>
        <v>0</v>
      </c>
      <c r="J103" s="41">
        <f t="shared" si="50"/>
        <v>0</v>
      </c>
      <c r="K103" s="41">
        <f t="shared" si="50"/>
        <v>0</v>
      </c>
      <c r="L103" s="41">
        <f t="shared" ca="1" si="50"/>
        <v>0</v>
      </c>
      <c r="M103" s="41">
        <f t="shared" ca="1" si="50"/>
        <v>0</v>
      </c>
      <c r="N103" s="41">
        <f t="shared" ca="1" si="50"/>
        <v>0</v>
      </c>
      <c r="O103" s="41">
        <f t="shared" ca="1" si="50"/>
        <v>0</v>
      </c>
      <c r="P103" s="41">
        <f t="shared" ca="1" si="50"/>
        <v>0</v>
      </c>
      <c r="Q103" s="41">
        <f t="shared" ca="1" si="50"/>
        <v>0</v>
      </c>
      <c r="R103" s="41">
        <f t="shared" ca="1" si="50"/>
        <v>0</v>
      </c>
      <c r="S103" s="41">
        <f t="shared" ca="1" si="50"/>
        <v>0</v>
      </c>
      <c r="T103" s="41">
        <f t="shared" ca="1" si="50"/>
        <v>0</v>
      </c>
      <c r="U103" s="41">
        <f t="shared" ca="1" si="50"/>
        <v>0</v>
      </c>
      <c r="V103" s="41">
        <f t="shared" ca="1" si="50"/>
        <v>0</v>
      </c>
      <c r="W103" s="41">
        <f t="shared" ca="1" si="50"/>
        <v>0</v>
      </c>
      <c r="X103" s="41">
        <f t="shared" ca="1" si="50"/>
        <v>0</v>
      </c>
      <c r="Y103" s="41">
        <f t="shared" ca="1" si="50"/>
        <v>0</v>
      </c>
      <c r="Z103" s="41">
        <f t="shared" ca="1" si="50"/>
        <v>0</v>
      </c>
      <c r="AA103" s="41">
        <f t="shared" ca="1" si="50"/>
        <v>0</v>
      </c>
      <c r="AB103" s="41">
        <f t="shared" ca="1" si="50"/>
        <v>0</v>
      </c>
      <c r="AC103" s="41">
        <f t="shared" ca="1" si="50"/>
        <v>0</v>
      </c>
      <c r="AD103" s="41">
        <f t="shared" ca="1" si="50"/>
        <v>0</v>
      </c>
      <c r="AE103" s="41">
        <f t="shared" ca="1" si="50"/>
        <v>0</v>
      </c>
      <c r="AF103" s="41">
        <f t="shared" ca="1" si="50"/>
        <v>0</v>
      </c>
      <c r="AG103" s="41">
        <f t="shared" ca="1" si="50"/>
        <v>0</v>
      </c>
      <c r="AH103" s="41">
        <f t="shared" ca="1" si="50"/>
        <v>0</v>
      </c>
      <c r="AI103" s="41">
        <f t="shared" ca="1" si="50"/>
        <v>0</v>
      </c>
      <c r="AJ103" s="41">
        <f t="shared" ref="AJ103:AY103" ca="1" si="51">AI106</f>
        <v>0</v>
      </c>
      <c r="AK103" s="41">
        <f t="shared" si="51"/>
        <v>0</v>
      </c>
      <c r="AL103" s="41">
        <f t="shared" si="51"/>
        <v>0</v>
      </c>
      <c r="AM103" s="41">
        <f t="shared" si="51"/>
        <v>0</v>
      </c>
      <c r="AN103" s="41">
        <f t="shared" si="51"/>
        <v>0</v>
      </c>
      <c r="AO103" s="41">
        <f t="shared" si="51"/>
        <v>0</v>
      </c>
      <c r="AP103" s="41">
        <f t="shared" si="51"/>
        <v>0</v>
      </c>
      <c r="AQ103" s="41">
        <f t="shared" si="51"/>
        <v>0</v>
      </c>
      <c r="AR103" s="41">
        <f t="shared" si="51"/>
        <v>0</v>
      </c>
      <c r="AS103" s="41">
        <f t="shared" si="51"/>
        <v>0</v>
      </c>
      <c r="AT103" s="41">
        <f t="shared" si="51"/>
        <v>0</v>
      </c>
      <c r="AU103" s="41">
        <f t="shared" si="51"/>
        <v>0</v>
      </c>
      <c r="AV103" s="41">
        <f t="shared" si="51"/>
        <v>0</v>
      </c>
      <c r="AW103" s="41">
        <f t="shared" si="51"/>
        <v>0</v>
      </c>
      <c r="AX103" s="41">
        <f t="shared" si="51"/>
        <v>0</v>
      </c>
      <c r="AY103" s="41">
        <f t="shared" si="51"/>
        <v>0</v>
      </c>
    </row>
    <row r="104" spans="2:51">
      <c r="B104" s="2" t="s">
        <v>298</v>
      </c>
      <c r="C104" s="15" t="str">
        <f>IF('Input '!$F$9=1,"US$","=N=")</f>
        <v>US$</v>
      </c>
      <c r="D104" s="42">
        <f ca="1">SUM(I104:AI104)</f>
        <v>0</v>
      </c>
      <c r="I104" s="41">
        <f>IF(I2&gt;'Input '!$F$313,SUM(I96:I97)*$D$85*I24,0)</f>
        <v>0</v>
      </c>
      <c r="J104" s="41">
        <f>IF(J2&gt;'Input '!$F$313,SUM(J96:J97)*$D$85*J24,0)</f>
        <v>0</v>
      </c>
      <c r="K104" s="41">
        <f ca="1">IF(K2&gt;'Input '!$F$313,SUM(K96:K97)*$D$85*K24,0)</f>
        <v>0</v>
      </c>
      <c r="L104" s="41">
        <f ca="1">IF(L2&gt;'Input '!$F$313,SUM(L96:L97)*$D$85*L24,0)</f>
        <v>0</v>
      </c>
      <c r="M104" s="41">
        <f ca="1">IF(M2&gt;'Input '!$F$313,SUM(M96:M97)*$D$85*M24,0)</f>
        <v>0</v>
      </c>
      <c r="N104" s="41">
        <f ca="1">IF(N2&gt;'Input '!$F$313,SUM(N96:N97)*$D$85*N24,0)</f>
        <v>0</v>
      </c>
      <c r="O104" s="41">
        <f ca="1">IF(O2&gt;'Input '!$F$313,SUM(O96:O97)*$D$85*O24,0)</f>
        <v>0</v>
      </c>
      <c r="P104" s="41">
        <f ca="1">IF(P2&gt;'Input '!$F$313,SUM(P96:P97)*$D$85*P24,0)</f>
        <v>0</v>
      </c>
      <c r="Q104" s="41">
        <f ca="1">IF(Q2&gt;'Input '!$F$313,SUM(Q96:Q97)*$D$85*Q24,0)</f>
        <v>0</v>
      </c>
      <c r="R104" s="41">
        <f ca="1">IF(R2&gt;'Input '!$F$313,SUM(R96:R97)*$D$85*R24,0)</f>
        <v>0</v>
      </c>
      <c r="S104" s="41">
        <f ca="1">IF(S2&gt;'Input '!$F$313,SUM(S96:S97)*$D$85*S24,0)</f>
        <v>0</v>
      </c>
      <c r="T104" s="41">
        <f ca="1">IF(T2&gt;'Input '!$F$313,SUM(T96:T97)*$D$85*T24,0)</f>
        <v>0</v>
      </c>
      <c r="U104" s="41">
        <f ca="1">IF(U2&gt;'Input '!$F$313,SUM(U96:U97)*$D$85*U24,0)</f>
        <v>0</v>
      </c>
      <c r="V104" s="41">
        <f ca="1">IF(V2&gt;'Input '!$F$313,SUM(V96:V97)*$D$85*V24,0)</f>
        <v>0</v>
      </c>
      <c r="W104" s="41">
        <f ca="1">IF(W2&gt;'Input '!$F$313,SUM(W96:W97)*$D$85*W24,0)</f>
        <v>0</v>
      </c>
      <c r="X104" s="41">
        <f ca="1">IF(X2&gt;'Input '!$F$313,SUM(X96:X97)*$D$85*X24,0)</f>
        <v>0</v>
      </c>
      <c r="Y104" s="41">
        <f ca="1">IF(Y2&gt;'Input '!$F$313,SUM(Y96:Y97)*$D$85*Y24,0)</f>
        <v>0</v>
      </c>
      <c r="Z104" s="41">
        <f ca="1">IF(Z2&gt;'Input '!$F$313,SUM(Z96:Z97)*$D$85*Z24,0)</f>
        <v>0</v>
      </c>
      <c r="AA104" s="41">
        <f ca="1">IF(AA2&gt;'Input '!$F$313,SUM(AA96:AA97)*$D$85*AA24,0)</f>
        <v>0</v>
      </c>
      <c r="AB104" s="41">
        <f ca="1">IF(AB2&gt;'Input '!$F$313,SUM(AB96:AB97)*$D$85*AB24,0)</f>
        <v>0</v>
      </c>
      <c r="AC104" s="41">
        <f ca="1">IF(AC2&gt;'Input '!$F$313,SUM(AC96:AC97)*$D$85*AC24,0)</f>
        <v>0</v>
      </c>
      <c r="AD104" s="41">
        <f ca="1">IF(AD2&gt;'Input '!$F$313,SUM(AD96:AD97)*$D$85*AD24,0)</f>
        <v>0</v>
      </c>
      <c r="AE104" s="41">
        <f ca="1">IF(AE2&gt;'Input '!$F$313,SUM(AE96:AE97)*$D$85*AE24,0)</f>
        <v>0</v>
      </c>
      <c r="AF104" s="41">
        <f ca="1">IF(AF2&gt;'Input '!$F$313,SUM(AF96:AF97)*$D$85*AF24,0)</f>
        <v>0</v>
      </c>
      <c r="AG104" s="41">
        <f ca="1">IF(AG2&gt;'Input '!$F$313,SUM(AG96:AG97)*$D$85*AG24,0)</f>
        <v>0</v>
      </c>
      <c r="AH104" s="41">
        <f ca="1">IF(AH2&gt;'Input '!$F$313,SUM(AH96:AH97)*$D$85*AH24,0)</f>
        <v>0</v>
      </c>
      <c r="AI104" s="41">
        <f ca="1">IF(AI2&gt;'Input '!$F$313,SUM(AI96:AI97)*$D$85*AI24,0)</f>
        <v>0</v>
      </c>
      <c r="AJ104" s="41">
        <f ca="1">IF(AJ2&gt;'Input '!$F$313,SUM(AJ96:AJ97)*$D$85*AJ24,0)</f>
        <v>0</v>
      </c>
      <c r="AK104" s="41">
        <f ca="1">IF(AK2&gt;'Input '!$F$313,SUM(AK96:AK97)*$D$85*AK24,0)</f>
        <v>0</v>
      </c>
      <c r="AL104" s="41">
        <f ca="1">IF(AL2&gt;'Input '!$F$313,SUM(AL96:AL97)*$D$85*AL24,0)</f>
        <v>0</v>
      </c>
      <c r="AM104" s="41">
        <f ca="1">IF(AM2&gt;'Input '!$F$313,SUM(AM96:AM97)*$D$85*AM24,0)</f>
        <v>0</v>
      </c>
      <c r="AN104" s="41">
        <f ca="1">IF(AN2&gt;'Input '!$F$313,SUM(AN96:AN97)*$D$85*AN24,0)</f>
        <v>0</v>
      </c>
      <c r="AO104" s="41">
        <f ca="1">IF(AO2&gt;'Input '!$F$313,SUM(AO96:AO97)*$D$85*AO24,0)</f>
        <v>0</v>
      </c>
      <c r="AP104" s="41">
        <f ca="1">IF(AP2&gt;'Input '!$F$313,SUM(AP96:AP97)*$D$85*AP24,0)</f>
        <v>0</v>
      </c>
      <c r="AQ104" s="41">
        <f ca="1">IF(AQ2&gt;'Input '!$F$313,SUM(AQ96:AQ97)*$D$85*AQ24,0)</f>
        <v>0</v>
      </c>
      <c r="AR104" s="41">
        <f ca="1">IF(AR2&gt;'Input '!$F$313,SUM(AR96:AR97)*$D$85*AR24,0)</f>
        <v>0</v>
      </c>
      <c r="AS104" s="41">
        <f ca="1">IF(AS2&gt;'Input '!$F$313,SUM(AS96:AS97)*$D$85*AS24,0)</f>
        <v>0</v>
      </c>
      <c r="AT104" s="41">
        <f ca="1">IF(AT2&gt;'Input '!$F$313,SUM(AT96:AT97)*$D$85*AT24,0)</f>
        <v>0</v>
      </c>
      <c r="AU104" s="41">
        <f ca="1">IF(AU2&gt;'Input '!$F$313,SUM(AU96:AU97)*$D$85*AU24,0)</f>
        <v>0</v>
      </c>
      <c r="AV104" s="41">
        <f ca="1">IF(AV2&gt;'Input '!$F$313,SUM(AV96:AV97)*$D$85*AV24,0)</f>
        <v>0</v>
      </c>
      <c r="AW104" s="41">
        <f ca="1">IF(AW2&gt;'Input '!$F$313,SUM(AW96:AW97)*$D$85*AW24,0)</f>
        <v>0</v>
      </c>
      <c r="AX104" s="41">
        <f>IF(AX2&gt;'Input '!$F$313,SUM(AX96:AX97)*$D$85*AX24,0)</f>
        <v>0</v>
      </c>
      <c r="AY104" s="41">
        <f>IF(AY2&gt;'Input '!$F$313,SUM(AY96:AY97)*$D$85*AY24,0)</f>
        <v>0</v>
      </c>
    </row>
    <row r="105" spans="2:51">
      <c r="B105" s="27" t="s">
        <v>299</v>
      </c>
      <c r="C105" s="28" t="str">
        <f>IF('Input '!$F$9=1,"US$","=N=")</f>
        <v>US$</v>
      </c>
      <c r="D105" s="108">
        <f ca="1">SUM(I105:AI105)</f>
        <v>0</v>
      </c>
      <c r="E105" s="27"/>
      <c r="F105" s="27"/>
      <c r="G105" s="27"/>
      <c r="H105" s="27"/>
      <c r="I105" s="43">
        <f t="shared" ref="I105:AI105" si="52">-I104</f>
        <v>0</v>
      </c>
      <c r="J105" s="43">
        <f t="shared" si="52"/>
        <v>0</v>
      </c>
      <c r="K105" s="43">
        <f t="shared" ca="1" si="52"/>
        <v>0</v>
      </c>
      <c r="L105" s="43">
        <f t="shared" ca="1" si="52"/>
        <v>0</v>
      </c>
      <c r="M105" s="43">
        <f t="shared" ca="1" si="52"/>
        <v>0</v>
      </c>
      <c r="N105" s="43">
        <f t="shared" ca="1" si="52"/>
        <v>0</v>
      </c>
      <c r="O105" s="43">
        <f t="shared" ca="1" si="52"/>
        <v>0</v>
      </c>
      <c r="P105" s="43">
        <f t="shared" ca="1" si="52"/>
        <v>0</v>
      </c>
      <c r="Q105" s="43">
        <f t="shared" ca="1" si="52"/>
        <v>0</v>
      </c>
      <c r="R105" s="43">
        <f t="shared" ca="1" si="52"/>
        <v>0</v>
      </c>
      <c r="S105" s="43">
        <f t="shared" ca="1" si="52"/>
        <v>0</v>
      </c>
      <c r="T105" s="43">
        <f t="shared" ca="1" si="52"/>
        <v>0</v>
      </c>
      <c r="U105" s="43">
        <f t="shared" ca="1" si="52"/>
        <v>0</v>
      </c>
      <c r="V105" s="43">
        <f t="shared" ca="1" si="52"/>
        <v>0</v>
      </c>
      <c r="W105" s="43">
        <f t="shared" ca="1" si="52"/>
        <v>0</v>
      </c>
      <c r="X105" s="43">
        <f t="shared" ca="1" si="52"/>
        <v>0</v>
      </c>
      <c r="Y105" s="43">
        <f t="shared" ca="1" si="52"/>
        <v>0</v>
      </c>
      <c r="Z105" s="43">
        <f t="shared" ca="1" si="52"/>
        <v>0</v>
      </c>
      <c r="AA105" s="43">
        <f t="shared" ca="1" si="52"/>
        <v>0</v>
      </c>
      <c r="AB105" s="43">
        <f t="shared" ca="1" si="52"/>
        <v>0</v>
      </c>
      <c r="AC105" s="43">
        <f t="shared" ca="1" si="52"/>
        <v>0</v>
      </c>
      <c r="AD105" s="43">
        <f t="shared" ca="1" si="52"/>
        <v>0</v>
      </c>
      <c r="AE105" s="43">
        <f t="shared" ca="1" si="52"/>
        <v>0</v>
      </c>
      <c r="AF105" s="43">
        <f t="shared" ca="1" si="52"/>
        <v>0</v>
      </c>
      <c r="AG105" s="43">
        <f t="shared" ca="1" si="52"/>
        <v>0</v>
      </c>
      <c r="AH105" s="43">
        <f t="shared" ca="1" si="52"/>
        <v>0</v>
      </c>
      <c r="AI105" s="43">
        <f t="shared" ca="1" si="52"/>
        <v>0</v>
      </c>
      <c r="AJ105" s="43">
        <f t="shared" ref="AJ105:AY105" ca="1" si="53">-AJ104</f>
        <v>0</v>
      </c>
      <c r="AK105" s="43">
        <f t="shared" ca="1" si="53"/>
        <v>0</v>
      </c>
      <c r="AL105" s="43">
        <f t="shared" ca="1" si="53"/>
        <v>0</v>
      </c>
      <c r="AM105" s="43">
        <f t="shared" ca="1" si="53"/>
        <v>0</v>
      </c>
      <c r="AN105" s="43">
        <f t="shared" ca="1" si="53"/>
        <v>0</v>
      </c>
      <c r="AO105" s="43">
        <f t="shared" ca="1" si="53"/>
        <v>0</v>
      </c>
      <c r="AP105" s="43">
        <f t="shared" ca="1" si="53"/>
        <v>0</v>
      </c>
      <c r="AQ105" s="43">
        <f t="shared" ca="1" si="53"/>
        <v>0</v>
      </c>
      <c r="AR105" s="43">
        <f t="shared" ca="1" si="53"/>
        <v>0</v>
      </c>
      <c r="AS105" s="43">
        <f t="shared" ca="1" si="53"/>
        <v>0</v>
      </c>
      <c r="AT105" s="43">
        <f t="shared" ca="1" si="53"/>
        <v>0</v>
      </c>
      <c r="AU105" s="43">
        <f t="shared" ca="1" si="53"/>
        <v>0</v>
      </c>
      <c r="AV105" s="43">
        <f t="shared" ca="1" si="53"/>
        <v>0</v>
      </c>
      <c r="AW105" s="43">
        <f t="shared" ca="1" si="53"/>
        <v>0</v>
      </c>
      <c r="AX105" s="43">
        <f t="shared" si="53"/>
        <v>0</v>
      </c>
      <c r="AY105" s="43">
        <f t="shared" si="53"/>
        <v>0</v>
      </c>
    </row>
    <row r="106" spans="2:51">
      <c r="B106" s="2" t="s">
        <v>266</v>
      </c>
      <c r="C106" s="15" t="str">
        <f>IF('Input '!$F$9=1,"US$","=N=")</f>
        <v>US$</v>
      </c>
      <c r="D106" s="42">
        <f ca="1">SUM(I106:AI106)</f>
        <v>0</v>
      </c>
      <c r="H106" s="135"/>
      <c r="I106" s="42">
        <f>SUM(I103:I105)</f>
        <v>0</v>
      </c>
      <c r="J106" s="42">
        <f t="shared" ref="J106:AI106" si="54">SUM(J103:J105)</f>
        <v>0</v>
      </c>
      <c r="K106" s="42">
        <f t="shared" ca="1" si="54"/>
        <v>0</v>
      </c>
      <c r="L106" s="42">
        <f t="shared" ca="1" si="54"/>
        <v>0</v>
      </c>
      <c r="M106" s="42">
        <f t="shared" ca="1" si="54"/>
        <v>0</v>
      </c>
      <c r="N106" s="42">
        <f t="shared" ca="1" si="54"/>
        <v>0</v>
      </c>
      <c r="O106" s="42">
        <f t="shared" ca="1" si="54"/>
        <v>0</v>
      </c>
      <c r="P106" s="42">
        <f t="shared" ca="1" si="54"/>
        <v>0</v>
      </c>
      <c r="Q106" s="42">
        <f t="shared" ca="1" si="54"/>
        <v>0</v>
      </c>
      <c r="R106" s="42">
        <f t="shared" ca="1" si="54"/>
        <v>0</v>
      </c>
      <c r="S106" s="42">
        <f t="shared" ca="1" si="54"/>
        <v>0</v>
      </c>
      <c r="T106" s="42">
        <f t="shared" ca="1" si="54"/>
        <v>0</v>
      </c>
      <c r="U106" s="42">
        <f t="shared" ca="1" si="54"/>
        <v>0</v>
      </c>
      <c r="V106" s="42">
        <f t="shared" ca="1" si="54"/>
        <v>0</v>
      </c>
      <c r="W106" s="42">
        <f t="shared" ca="1" si="54"/>
        <v>0</v>
      </c>
      <c r="X106" s="42">
        <f t="shared" ca="1" si="54"/>
        <v>0</v>
      </c>
      <c r="Y106" s="42">
        <f t="shared" ca="1" si="54"/>
        <v>0</v>
      </c>
      <c r="Z106" s="42">
        <f t="shared" ca="1" si="54"/>
        <v>0</v>
      </c>
      <c r="AA106" s="42">
        <f t="shared" ca="1" si="54"/>
        <v>0</v>
      </c>
      <c r="AB106" s="42">
        <f t="shared" ca="1" si="54"/>
        <v>0</v>
      </c>
      <c r="AC106" s="42">
        <f t="shared" ca="1" si="54"/>
        <v>0</v>
      </c>
      <c r="AD106" s="42">
        <f t="shared" ca="1" si="54"/>
        <v>0</v>
      </c>
      <c r="AE106" s="42">
        <f t="shared" ca="1" si="54"/>
        <v>0</v>
      </c>
      <c r="AF106" s="42">
        <f t="shared" ca="1" si="54"/>
        <v>0</v>
      </c>
      <c r="AG106" s="42">
        <f t="shared" ca="1" si="54"/>
        <v>0</v>
      </c>
      <c r="AH106" s="42">
        <f t="shared" ca="1" si="54"/>
        <v>0</v>
      </c>
      <c r="AI106" s="42">
        <f t="shared" ca="1" si="54"/>
        <v>0</v>
      </c>
    </row>
    <row r="108" spans="2:51">
      <c r="B108" s="10" t="s">
        <v>300</v>
      </c>
    </row>
    <row r="110" spans="2:51">
      <c r="B110" s="2" t="s">
        <v>301</v>
      </c>
      <c r="C110" s="15" t="s">
        <v>18</v>
      </c>
      <c r="D110" s="99">
        <f>'Input '!E337</f>
        <v>0</v>
      </c>
    </row>
    <row r="112" spans="2:51">
      <c r="B112" s="2" t="s">
        <v>263</v>
      </c>
      <c r="C112" s="15" t="str">
        <f>IF('Input '!$F$9=1,"US$","=N=")</f>
        <v>US$</v>
      </c>
      <c r="D112" s="42">
        <f ca="1">SUM(I112:AI112)</f>
        <v>0</v>
      </c>
      <c r="I112" s="41">
        <f t="shared" ref="I112:AI112" si="55">H115</f>
        <v>0</v>
      </c>
      <c r="J112" s="41">
        <f t="shared" ca="1" si="55"/>
        <v>0</v>
      </c>
      <c r="K112" s="41">
        <f t="shared" ca="1" si="55"/>
        <v>0</v>
      </c>
      <c r="L112" s="41">
        <f t="shared" ca="1" si="55"/>
        <v>0</v>
      </c>
      <c r="M112" s="41">
        <f t="shared" ca="1" si="55"/>
        <v>0</v>
      </c>
      <c r="N112" s="41">
        <f t="shared" ca="1" si="55"/>
        <v>0</v>
      </c>
      <c r="O112" s="41">
        <f t="shared" ca="1" si="55"/>
        <v>0</v>
      </c>
      <c r="P112" s="41">
        <f t="shared" ca="1" si="55"/>
        <v>0</v>
      </c>
      <c r="Q112" s="41">
        <f t="shared" ca="1" si="55"/>
        <v>0</v>
      </c>
      <c r="R112" s="41">
        <f t="shared" ca="1" si="55"/>
        <v>0</v>
      </c>
      <c r="S112" s="41">
        <f t="shared" ca="1" si="55"/>
        <v>0</v>
      </c>
      <c r="T112" s="41">
        <f t="shared" ca="1" si="55"/>
        <v>0</v>
      </c>
      <c r="U112" s="41">
        <f t="shared" ca="1" si="55"/>
        <v>0</v>
      </c>
      <c r="V112" s="41">
        <f t="shared" ca="1" si="55"/>
        <v>0</v>
      </c>
      <c r="W112" s="41">
        <f t="shared" ca="1" si="55"/>
        <v>0</v>
      </c>
      <c r="X112" s="41">
        <f t="shared" ca="1" si="55"/>
        <v>0</v>
      </c>
      <c r="Y112" s="41">
        <f t="shared" ca="1" si="55"/>
        <v>0</v>
      </c>
      <c r="Z112" s="41">
        <f t="shared" ca="1" si="55"/>
        <v>0</v>
      </c>
      <c r="AA112" s="41">
        <f t="shared" ca="1" si="55"/>
        <v>0</v>
      </c>
      <c r="AB112" s="41">
        <f t="shared" ca="1" si="55"/>
        <v>0</v>
      </c>
      <c r="AC112" s="41">
        <f t="shared" ca="1" si="55"/>
        <v>0</v>
      </c>
      <c r="AD112" s="41">
        <f t="shared" ca="1" si="55"/>
        <v>0</v>
      </c>
      <c r="AE112" s="41">
        <f t="shared" ca="1" si="55"/>
        <v>0</v>
      </c>
      <c r="AF112" s="41">
        <f t="shared" ca="1" si="55"/>
        <v>0</v>
      </c>
      <c r="AG112" s="41">
        <f t="shared" ca="1" si="55"/>
        <v>0</v>
      </c>
      <c r="AH112" s="41">
        <f t="shared" ca="1" si="55"/>
        <v>0</v>
      </c>
      <c r="AI112" s="41">
        <f t="shared" ca="1" si="55"/>
        <v>0</v>
      </c>
      <c r="AJ112" s="41">
        <f t="shared" ref="AJ112:AY112" ca="1" si="56">AI115</f>
        <v>0</v>
      </c>
      <c r="AK112" s="41">
        <f t="shared" si="56"/>
        <v>0</v>
      </c>
      <c r="AL112" s="41">
        <f t="shared" si="56"/>
        <v>0</v>
      </c>
      <c r="AM112" s="41">
        <f t="shared" si="56"/>
        <v>0</v>
      </c>
      <c r="AN112" s="41">
        <f t="shared" si="56"/>
        <v>0</v>
      </c>
      <c r="AO112" s="41">
        <f t="shared" si="56"/>
        <v>0</v>
      </c>
      <c r="AP112" s="41">
        <f t="shared" si="56"/>
        <v>0</v>
      </c>
      <c r="AQ112" s="41">
        <f t="shared" si="56"/>
        <v>0</v>
      </c>
      <c r="AR112" s="41">
        <f t="shared" si="56"/>
        <v>0</v>
      </c>
      <c r="AS112" s="41">
        <f t="shared" si="56"/>
        <v>0</v>
      </c>
      <c r="AT112" s="41">
        <f t="shared" si="56"/>
        <v>0</v>
      </c>
      <c r="AU112" s="41">
        <f t="shared" si="56"/>
        <v>0</v>
      </c>
      <c r="AV112" s="41">
        <f t="shared" si="56"/>
        <v>0</v>
      </c>
      <c r="AW112" s="41">
        <f t="shared" si="56"/>
        <v>0</v>
      </c>
      <c r="AX112" s="41">
        <f t="shared" si="56"/>
        <v>0</v>
      </c>
      <c r="AY112" s="41">
        <f t="shared" si="56"/>
        <v>0</v>
      </c>
    </row>
    <row r="113" spans="1:51">
      <c r="B113" s="2" t="s">
        <v>302</v>
      </c>
      <c r="C113" s="15" t="str">
        <f>IF('Input '!$F$9=1,"US$","=N=")</f>
        <v>US$</v>
      </c>
      <c r="D113" s="42">
        <f ca="1">SUM(I113:AI113)</f>
        <v>0</v>
      </c>
      <c r="I113" s="41">
        <f ca="1">IF(I2&gt;'Input '!$D$338,$D$110*SUM(I96:I97)*I24,0)</f>
        <v>0</v>
      </c>
      <c r="J113" s="41">
        <f ca="1">IF(J2&gt;'Input '!$D$338,$D$110*SUM(J96:J97)*J24,0)</f>
        <v>0</v>
      </c>
      <c r="K113" s="41">
        <f ca="1">IF(K2&gt;'Input '!$D$338,$D$110*SUM(K96:K97)*K24,0)</f>
        <v>0</v>
      </c>
      <c r="L113" s="41">
        <f ca="1">IF(L2&gt;'Input '!$D$338,$D$110*SUM(L96:L97)*L24,0)</f>
        <v>0</v>
      </c>
      <c r="M113" s="41">
        <f ca="1">IF(M2&gt;'Input '!$D$338,$D$110*SUM(M96:M97)*M24,0)</f>
        <v>0</v>
      </c>
      <c r="N113" s="41">
        <f ca="1">IF(N2&gt;'Input '!$D$338,$D$110*SUM(N96:N97)*N24,0)</f>
        <v>0</v>
      </c>
      <c r="O113" s="41">
        <f ca="1">IF(O2&gt;'Input '!$D$338,$D$110*SUM(O96:O97)*O24,0)</f>
        <v>0</v>
      </c>
      <c r="P113" s="41">
        <f ca="1">IF(P2&gt;'Input '!$D$338,$D$110*SUM(P96:P97)*P24,0)</f>
        <v>0</v>
      </c>
      <c r="Q113" s="41">
        <f ca="1">IF(Q2&gt;'Input '!$D$338,$D$110*SUM(Q96:Q97)*Q24,0)</f>
        <v>0</v>
      </c>
      <c r="R113" s="41">
        <f ca="1">IF(R2&gt;'Input '!$D$338,$D$110*SUM(R96:R97)*R24,0)</f>
        <v>0</v>
      </c>
      <c r="S113" s="41">
        <f ca="1">IF(S2&gt;'Input '!$D$338,$D$110*SUM(S96:S97)*S24,0)</f>
        <v>0</v>
      </c>
      <c r="T113" s="41">
        <f ca="1">IF(T2&gt;'Input '!$D$338,$D$110*SUM(T96:T97)*T24,0)</f>
        <v>0</v>
      </c>
      <c r="U113" s="41">
        <f ca="1">IF(U2&gt;'Input '!$D$338,$D$110*SUM(U96:U97)*U24,0)</f>
        <v>0</v>
      </c>
      <c r="V113" s="41">
        <f ca="1">IF(V2&gt;'Input '!$D$338,$D$110*SUM(V96:V97)*V24,0)</f>
        <v>0</v>
      </c>
      <c r="W113" s="41">
        <f ca="1">IF(W2&gt;'Input '!$D$338,$D$110*SUM(W96:W97)*W24,0)</f>
        <v>0</v>
      </c>
      <c r="X113" s="41">
        <f ca="1">IF(X2&gt;'Input '!$D$338,$D$110*SUM(X96:X97)*X24,0)</f>
        <v>0</v>
      </c>
      <c r="Y113" s="41">
        <f ca="1">IF(Y2&gt;'Input '!$D$338,$D$110*SUM(Y96:Y97)*Y24,0)</f>
        <v>0</v>
      </c>
      <c r="Z113" s="41">
        <f ca="1">IF(Z2&gt;'Input '!$D$338,$D$110*SUM(Z96:Z97)*Z24,0)</f>
        <v>0</v>
      </c>
      <c r="AA113" s="41">
        <f ca="1">IF(AA2&gt;'Input '!$D$338,$D$110*SUM(AA96:AA97)*AA24,0)</f>
        <v>0</v>
      </c>
      <c r="AB113" s="41">
        <f ca="1">IF(AB2&gt;'Input '!$D$338,$D$110*SUM(AB96:AB97)*AB24,0)</f>
        <v>0</v>
      </c>
      <c r="AC113" s="41">
        <f ca="1">IF(AC2&gt;'Input '!$D$338,$D$110*SUM(AC96:AC97)*AC24,0)</f>
        <v>0</v>
      </c>
      <c r="AD113" s="41">
        <f ca="1">IF(AD2&gt;'Input '!$D$338,$D$110*SUM(AD96:AD97)*AD24,0)</f>
        <v>0</v>
      </c>
      <c r="AE113" s="41">
        <f ca="1">IF(AE2&gt;'Input '!$D$338,$D$110*SUM(AE96:AE97)*AE24,0)</f>
        <v>0</v>
      </c>
      <c r="AF113" s="41">
        <f ca="1">IF(AF2&gt;'Input '!$D$338,$D$110*SUM(AF96:AF97)*AF24,0)</f>
        <v>0</v>
      </c>
      <c r="AG113" s="41">
        <f ca="1">IF(AG2&gt;'Input '!$D$338,$D$110*SUM(AG96:AG97)*AG24,0)</f>
        <v>0</v>
      </c>
      <c r="AH113" s="41">
        <f ca="1">IF(AH2&gt;'Input '!$D$338,$D$110*SUM(AH96:AH97)*AH24,0)</f>
        <v>0</v>
      </c>
      <c r="AI113" s="41">
        <f ca="1">IF(AI2&gt;'Input '!$D$338,$D$110*SUM(AI96:AI97)*AI24,0)</f>
        <v>0</v>
      </c>
      <c r="AJ113" s="41">
        <f ca="1">IF(AJ2&gt;'Input '!$D$338,$D$110*SUM(AJ96:AJ97)*AJ24,0)</f>
        <v>0</v>
      </c>
      <c r="AK113" s="41">
        <f ca="1">IF(AK2&gt;'Input '!$D$338,$D$110*SUM(AK96:AK97)*AK24,0)</f>
        <v>0</v>
      </c>
      <c r="AL113" s="41">
        <f ca="1">IF(AL2&gt;'Input '!$D$338,$D$110*SUM(AL96:AL97)*AL24,0)</f>
        <v>0</v>
      </c>
      <c r="AM113" s="41">
        <f ca="1">IF(AM2&gt;'Input '!$D$338,$D$110*SUM(AM96:AM97)*AM24,0)</f>
        <v>0</v>
      </c>
      <c r="AN113" s="41">
        <f ca="1">IF(AN2&gt;'Input '!$D$338,$D$110*SUM(AN96:AN97)*AN24,0)</f>
        <v>0</v>
      </c>
      <c r="AO113" s="41">
        <f ca="1">IF(AO2&gt;'Input '!$D$338,$D$110*SUM(AO96:AO97)*AO24,0)</f>
        <v>0</v>
      </c>
      <c r="AP113" s="41">
        <f ca="1">IF(AP2&gt;'Input '!$D$338,$D$110*SUM(AP96:AP97)*AP24,0)</f>
        <v>0</v>
      </c>
      <c r="AQ113" s="41">
        <f ca="1">IF(AQ2&gt;'Input '!$D$338,$D$110*SUM(AQ96:AQ97)*AQ24,0)</f>
        <v>0</v>
      </c>
      <c r="AR113" s="41">
        <f ca="1">IF(AR2&gt;'Input '!$D$338,$D$110*SUM(AR96:AR97)*AR24,0)</f>
        <v>0</v>
      </c>
      <c r="AS113" s="41">
        <f ca="1">IF(AS2&gt;'Input '!$D$338,$D$110*SUM(AS96:AS97)*AS24,0)</f>
        <v>0</v>
      </c>
      <c r="AT113" s="41">
        <f ca="1">IF(AT2&gt;'Input '!$D$338,$D$110*SUM(AT96:AT97)*AT24,0)</f>
        <v>0</v>
      </c>
      <c r="AU113" s="41">
        <f ca="1">IF(AU2&gt;'Input '!$D$338,$D$110*SUM(AU96:AU97)*AU24,0)</f>
        <v>0</v>
      </c>
      <c r="AV113" s="41">
        <f ca="1">IF(AV2&gt;'Input '!$D$338,$D$110*SUM(AV96:AV97)*AV24,0)</f>
        <v>0</v>
      </c>
      <c r="AW113" s="41">
        <f ca="1">IF(AW2&gt;'Input '!$D$338,$D$110*SUM(AW96:AW97)*AW24,0)</f>
        <v>0</v>
      </c>
      <c r="AX113" s="41">
        <f>IF(AX2&gt;'Input '!$D$338,$D$110*SUM(AX96:AX97)*AX24,0)</f>
        <v>0</v>
      </c>
      <c r="AY113" s="41">
        <f>IF(AY2&gt;'Input '!$D$338,$D$110*SUM(AY96:AY97)*AY24,0)</f>
        <v>0</v>
      </c>
    </row>
    <row r="114" spans="1:51">
      <c r="B114" s="27" t="s">
        <v>303</v>
      </c>
      <c r="C114" s="28" t="str">
        <f>IF('Input '!$F$9=1,"US$","=N=")</f>
        <v>US$</v>
      </c>
      <c r="D114" s="108">
        <f ca="1">SUM(I114:AI114)</f>
        <v>0</v>
      </c>
      <c r="E114" s="27"/>
      <c r="F114" s="27"/>
      <c r="G114" s="27"/>
      <c r="H114" s="27"/>
      <c r="I114" s="43">
        <f t="shared" ref="I114:AI114" ca="1" si="57">-I113</f>
        <v>0</v>
      </c>
      <c r="J114" s="43">
        <f t="shared" ca="1" si="57"/>
        <v>0</v>
      </c>
      <c r="K114" s="43">
        <f t="shared" ca="1" si="57"/>
        <v>0</v>
      </c>
      <c r="L114" s="43">
        <f t="shared" ca="1" si="57"/>
        <v>0</v>
      </c>
      <c r="M114" s="43">
        <f t="shared" ca="1" si="57"/>
        <v>0</v>
      </c>
      <c r="N114" s="43">
        <f t="shared" ca="1" si="57"/>
        <v>0</v>
      </c>
      <c r="O114" s="43">
        <f t="shared" ca="1" si="57"/>
        <v>0</v>
      </c>
      <c r="P114" s="43">
        <f t="shared" ca="1" si="57"/>
        <v>0</v>
      </c>
      <c r="Q114" s="43">
        <f t="shared" ca="1" si="57"/>
        <v>0</v>
      </c>
      <c r="R114" s="43">
        <f t="shared" ca="1" si="57"/>
        <v>0</v>
      </c>
      <c r="S114" s="43">
        <f t="shared" ca="1" si="57"/>
        <v>0</v>
      </c>
      <c r="T114" s="43">
        <f t="shared" ca="1" si="57"/>
        <v>0</v>
      </c>
      <c r="U114" s="43">
        <f t="shared" ca="1" si="57"/>
        <v>0</v>
      </c>
      <c r="V114" s="43">
        <f t="shared" ca="1" si="57"/>
        <v>0</v>
      </c>
      <c r="W114" s="43">
        <f t="shared" ca="1" si="57"/>
        <v>0</v>
      </c>
      <c r="X114" s="43">
        <f t="shared" ca="1" si="57"/>
        <v>0</v>
      </c>
      <c r="Y114" s="43">
        <f t="shared" ca="1" si="57"/>
        <v>0</v>
      </c>
      <c r="Z114" s="43">
        <f t="shared" ca="1" si="57"/>
        <v>0</v>
      </c>
      <c r="AA114" s="43">
        <f t="shared" ca="1" si="57"/>
        <v>0</v>
      </c>
      <c r="AB114" s="43">
        <f t="shared" ca="1" si="57"/>
        <v>0</v>
      </c>
      <c r="AC114" s="43">
        <f t="shared" ca="1" si="57"/>
        <v>0</v>
      </c>
      <c r="AD114" s="43">
        <f t="shared" ca="1" si="57"/>
        <v>0</v>
      </c>
      <c r="AE114" s="43">
        <f t="shared" ca="1" si="57"/>
        <v>0</v>
      </c>
      <c r="AF114" s="43">
        <f t="shared" ca="1" si="57"/>
        <v>0</v>
      </c>
      <c r="AG114" s="43">
        <f t="shared" ca="1" si="57"/>
        <v>0</v>
      </c>
      <c r="AH114" s="43">
        <f t="shared" ca="1" si="57"/>
        <v>0</v>
      </c>
      <c r="AI114" s="43">
        <f t="shared" ca="1" si="57"/>
        <v>0</v>
      </c>
      <c r="AJ114" s="43">
        <f t="shared" ref="AJ114:AY114" ca="1" si="58">-AJ113</f>
        <v>0</v>
      </c>
      <c r="AK114" s="43">
        <f t="shared" ca="1" si="58"/>
        <v>0</v>
      </c>
      <c r="AL114" s="43">
        <f t="shared" ca="1" si="58"/>
        <v>0</v>
      </c>
      <c r="AM114" s="43">
        <f t="shared" ca="1" si="58"/>
        <v>0</v>
      </c>
      <c r="AN114" s="43">
        <f t="shared" ca="1" si="58"/>
        <v>0</v>
      </c>
      <c r="AO114" s="43">
        <f t="shared" ca="1" si="58"/>
        <v>0</v>
      </c>
      <c r="AP114" s="43">
        <f t="shared" ca="1" si="58"/>
        <v>0</v>
      </c>
      <c r="AQ114" s="43">
        <f t="shared" ca="1" si="58"/>
        <v>0</v>
      </c>
      <c r="AR114" s="43">
        <f t="shared" ca="1" si="58"/>
        <v>0</v>
      </c>
      <c r="AS114" s="43">
        <f t="shared" ca="1" si="58"/>
        <v>0</v>
      </c>
      <c r="AT114" s="43">
        <f t="shared" ca="1" si="58"/>
        <v>0</v>
      </c>
      <c r="AU114" s="43">
        <f t="shared" ca="1" si="58"/>
        <v>0</v>
      </c>
      <c r="AV114" s="43">
        <f t="shared" ca="1" si="58"/>
        <v>0</v>
      </c>
      <c r="AW114" s="43">
        <f t="shared" ca="1" si="58"/>
        <v>0</v>
      </c>
      <c r="AX114" s="43">
        <f t="shared" si="58"/>
        <v>0</v>
      </c>
      <c r="AY114" s="43">
        <f t="shared" si="58"/>
        <v>0</v>
      </c>
    </row>
    <row r="115" spans="1:51">
      <c r="B115" s="2" t="s">
        <v>266</v>
      </c>
      <c r="C115" s="15" t="str">
        <f>IF('Input '!$F$9=1,"US$","=N=")</f>
        <v>US$</v>
      </c>
      <c r="D115" s="42">
        <f ca="1">SUM(I115:AI115)</f>
        <v>0</v>
      </c>
      <c r="H115" s="135"/>
      <c r="I115" s="42">
        <f ca="1">SUM(I112:I114)</f>
        <v>0</v>
      </c>
      <c r="J115" s="42">
        <f t="shared" ref="J115:AI115" ca="1" si="59">SUM(J112:J114)</f>
        <v>0</v>
      </c>
      <c r="K115" s="42">
        <f t="shared" ca="1" si="59"/>
        <v>0</v>
      </c>
      <c r="L115" s="42">
        <f t="shared" ca="1" si="59"/>
        <v>0</v>
      </c>
      <c r="M115" s="42">
        <f t="shared" ca="1" si="59"/>
        <v>0</v>
      </c>
      <c r="N115" s="42">
        <f t="shared" ca="1" si="59"/>
        <v>0</v>
      </c>
      <c r="O115" s="42">
        <f t="shared" ca="1" si="59"/>
        <v>0</v>
      </c>
      <c r="P115" s="42">
        <f t="shared" ca="1" si="59"/>
        <v>0</v>
      </c>
      <c r="Q115" s="42">
        <f t="shared" ca="1" si="59"/>
        <v>0</v>
      </c>
      <c r="R115" s="42">
        <f t="shared" ca="1" si="59"/>
        <v>0</v>
      </c>
      <c r="S115" s="42">
        <f t="shared" ca="1" si="59"/>
        <v>0</v>
      </c>
      <c r="T115" s="42">
        <f t="shared" ca="1" si="59"/>
        <v>0</v>
      </c>
      <c r="U115" s="42">
        <f t="shared" ca="1" si="59"/>
        <v>0</v>
      </c>
      <c r="V115" s="42">
        <f t="shared" ca="1" si="59"/>
        <v>0</v>
      </c>
      <c r="W115" s="42">
        <f t="shared" ca="1" si="59"/>
        <v>0</v>
      </c>
      <c r="X115" s="42">
        <f t="shared" ca="1" si="59"/>
        <v>0</v>
      </c>
      <c r="Y115" s="42">
        <f t="shared" ca="1" si="59"/>
        <v>0</v>
      </c>
      <c r="Z115" s="42">
        <f t="shared" ca="1" si="59"/>
        <v>0</v>
      </c>
      <c r="AA115" s="42">
        <f t="shared" ca="1" si="59"/>
        <v>0</v>
      </c>
      <c r="AB115" s="42">
        <f t="shared" ca="1" si="59"/>
        <v>0</v>
      </c>
      <c r="AC115" s="42">
        <f t="shared" ca="1" si="59"/>
        <v>0</v>
      </c>
      <c r="AD115" s="42">
        <f t="shared" ca="1" si="59"/>
        <v>0</v>
      </c>
      <c r="AE115" s="42">
        <f t="shared" ca="1" si="59"/>
        <v>0</v>
      </c>
      <c r="AF115" s="42">
        <f t="shared" ca="1" si="59"/>
        <v>0</v>
      </c>
      <c r="AG115" s="42">
        <f t="shared" ca="1" si="59"/>
        <v>0</v>
      </c>
      <c r="AH115" s="42">
        <f t="shared" ca="1" si="59"/>
        <v>0</v>
      </c>
      <c r="AI115" s="42">
        <f t="shared" ca="1" si="59"/>
        <v>0</v>
      </c>
    </row>
    <row r="117" spans="1:51">
      <c r="B117" s="10" t="s">
        <v>304</v>
      </c>
    </row>
    <row r="118" spans="1:51">
      <c r="B118" s="2" t="s">
        <v>286</v>
      </c>
      <c r="C118" s="15" t="str">
        <f>IF('Input '!$F$9=1,"US$","=N=")</f>
        <v>US$</v>
      </c>
      <c r="D118" s="42">
        <f ca="1">SUM(I118:AI118)</f>
        <v>0</v>
      </c>
      <c r="I118" s="41">
        <f t="shared" ref="I118:AI118" ca="1" si="60">-I99</f>
        <v>0</v>
      </c>
      <c r="J118" s="41">
        <f t="shared" ca="1" si="60"/>
        <v>0</v>
      </c>
      <c r="K118" s="41">
        <f t="shared" ca="1" si="60"/>
        <v>0</v>
      </c>
      <c r="L118" s="41">
        <f t="shared" ca="1" si="60"/>
        <v>0</v>
      </c>
      <c r="M118" s="41">
        <f t="shared" ca="1" si="60"/>
        <v>0</v>
      </c>
      <c r="N118" s="41">
        <f t="shared" ca="1" si="60"/>
        <v>0</v>
      </c>
      <c r="O118" s="41">
        <f t="shared" ca="1" si="60"/>
        <v>0</v>
      </c>
      <c r="P118" s="41">
        <f t="shared" ca="1" si="60"/>
        <v>0</v>
      </c>
      <c r="Q118" s="41">
        <f t="shared" ca="1" si="60"/>
        <v>0</v>
      </c>
      <c r="R118" s="41">
        <f t="shared" ca="1" si="60"/>
        <v>0</v>
      </c>
      <c r="S118" s="41">
        <f t="shared" ca="1" si="60"/>
        <v>0</v>
      </c>
      <c r="T118" s="41">
        <f t="shared" ca="1" si="60"/>
        <v>0</v>
      </c>
      <c r="U118" s="41">
        <f t="shared" ca="1" si="60"/>
        <v>0</v>
      </c>
      <c r="V118" s="41">
        <f t="shared" ca="1" si="60"/>
        <v>0</v>
      </c>
      <c r="W118" s="41">
        <f t="shared" ca="1" si="60"/>
        <v>0</v>
      </c>
      <c r="X118" s="41">
        <f t="shared" ca="1" si="60"/>
        <v>0</v>
      </c>
      <c r="Y118" s="41">
        <f t="shared" ca="1" si="60"/>
        <v>0</v>
      </c>
      <c r="Z118" s="41">
        <f t="shared" ca="1" si="60"/>
        <v>0</v>
      </c>
      <c r="AA118" s="41">
        <f t="shared" ca="1" si="60"/>
        <v>0</v>
      </c>
      <c r="AB118" s="41">
        <f t="shared" ca="1" si="60"/>
        <v>0</v>
      </c>
      <c r="AC118" s="41">
        <f t="shared" ca="1" si="60"/>
        <v>0</v>
      </c>
      <c r="AD118" s="41">
        <f t="shared" ca="1" si="60"/>
        <v>0</v>
      </c>
      <c r="AE118" s="41">
        <f t="shared" ca="1" si="60"/>
        <v>0</v>
      </c>
      <c r="AF118" s="41">
        <f t="shared" ca="1" si="60"/>
        <v>0</v>
      </c>
      <c r="AG118" s="41">
        <f t="shared" ca="1" si="60"/>
        <v>0</v>
      </c>
      <c r="AH118" s="41">
        <f t="shared" ca="1" si="60"/>
        <v>0</v>
      </c>
      <c r="AI118" s="41">
        <f t="shared" ca="1" si="60"/>
        <v>0</v>
      </c>
      <c r="AJ118" s="41">
        <f t="shared" ref="AJ118:AY118" ca="1" si="61">-AJ99</f>
        <v>0</v>
      </c>
      <c r="AK118" s="41">
        <f t="shared" ca="1" si="61"/>
        <v>0</v>
      </c>
      <c r="AL118" s="41">
        <f t="shared" ca="1" si="61"/>
        <v>0</v>
      </c>
      <c r="AM118" s="41">
        <f t="shared" si="61"/>
        <v>0</v>
      </c>
      <c r="AN118" s="41">
        <f t="shared" si="61"/>
        <v>0</v>
      </c>
      <c r="AO118" s="41">
        <f t="shared" si="61"/>
        <v>0</v>
      </c>
      <c r="AP118" s="41">
        <f t="shared" si="61"/>
        <v>0</v>
      </c>
      <c r="AQ118" s="41">
        <f t="shared" si="61"/>
        <v>0</v>
      </c>
      <c r="AR118" s="41">
        <f t="shared" si="61"/>
        <v>0</v>
      </c>
      <c r="AS118" s="41">
        <f t="shared" si="61"/>
        <v>0</v>
      </c>
      <c r="AT118" s="41">
        <f t="shared" si="61"/>
        <v>0</v>
      </c>
      <c r="AU118" s="41">
        <f t="shared" si="61"/>
        <v>0</v>
      </c>
      <c r="AV118" s="41">
        <f t="shared" si="61"/>
        <v>0</v>
      </c>
      <c r="AW118" s="41">
        <f t="shared" si="61"/>
        <v>0</v>
      </c>
      <c r="AX118" s="41">
        <f t="shared" si="61"/>
        <v>0</v>
      </c>
      <c r="AY118" s="41">
        <f t="shared" si="61"/>
        <v>0</v>
      </c>
    </row>
    <row r="119" spans="1:51">
      <c r="B119" s="2" t="s">
        <v>297</v>
      </c>
      <c r="C119" s="15" t="str">
        <f>IF('Input '!$F$9=1,"US$","=N=")</f>
        <v>US$</v>
      </c>
      <c r="D119" s="42">
        <f ca="1">SUM(I119:AI119)</f>
        <v>0</v>
      </c>
      <c r="I119" s="41">
        <f t="shared" ref="I119:AI119" si="62">-I105</f>
        <v>0</v>
      </c>
      <c r="J119" s="41">
        <f t="shared" si="62"/>
        <v>0</v>
      </c>
      <c r="K119" s="41">
        <f t="shared" ca="1" si="62"/>
        <v>0</v>
      </c>
      <c r="L119" s="41">
        <f t="shared" ca="1" si="62"/>
        <v>0</v>
      </c>
      <c r="M119" s="41">
        <f t="shared" ca="1" si="62"/>
        <v>0</v>
      </c>
      <c r="N119" s="41">
        <f t="shared" ca="1" si="62"/>
        <v>0</v>
      </c>
      <c r="O119" s="41">
        <f t="shared" ca="1" si="62"/>
        <v>0</v>
      </c>
      <c r="P119" s="41">
        <f t="shared" ca="1" si="62"/>
        <v>0</v>
      </c>
      <c r="Q119" s="41">
        <f t="shared" ca="1" si="62"/>
        <v>0</v>
      </c>
      <c r="R119" s="41">
        <f t="shared" ca="1" si="62"/>
        <v>0</v>
      </c>
      <c r="S119" s="41">
        <f t="shared" ca="1" si="62"/>
        <v>0</v>
      </c>
      <c r="T119" s="41">
        <f t="shared" ca="1" si="62"/>
        <v>0</v>
      </c>
      <c r="U119" s="41">
        <f t="shared" ca="1" si="62"/>
        <v>0</v>
      </c>
      <c r="V119" s="41">
        <f t="shared" ca="1" si="62"/>
        <v>0</v>
      </c>
      <c r="W119" s="41">
        <f t="shared" ca="1" si="62"/>
        <v>0</v>
      </c>
      <c r="X119" s="41">
        <f t="shared" ca="1" si="62"/>
        <v>0</v>
      </c>
      <c r="Y119" s="41">
        <f t="shared" ca="1" si="62"/>
        <v>0</v>
      </c>
      <c r="Z119" s="41">
        <f t="shared" ca="1" si="62"/>
        <v>0</v>
      </c>
      <c r="AA119" s="41">
        <f t="shared" ca="1" si="62"/>
        <v>0</v>
      </c>
      <c r="AB119" s="41">
        <f t="shared" ca="1" si="62"/>
        <v>0</v>
      </c>
      <c r="AC119" s="41">
        <f t="shared" ca="1" si="62"/>
        <v>0</v>
      </c>
      <c r="AD119" s="41">
        <f t="shared" ca="1" si="62"/>
        <v>0</v>
      </c>
      <c r="AE119" s="41">
        <f t="shared" ca="1" si="62"/>
        <v>0</v>
      </c>
      <c r="AF119" s="41">
        <f t="shared" ca="1" si="62"/>
        <v>0</v>
      </c>
      <c r="AG119" s="41">
        <f t="shared" ca="1" si="62"/>
        <v>0</v>
      </c>
      <c r="AH119" s="41">
        <f t="shared" ca="1" si="62"/>
        <v>0</v>
      </c>
      <c r="AI119" s="41">
        <f t="shared" ca="1" si="62"/>
        <v>0</v>
      </c>
      <c r="AJ119" s="41">
        <f t="shared" ref="AJ119:AY119" ca="1" si="63">-AJ105</f>
        <v>0</v>
      </c>
      <c r="AK119" s="41">
        <f t="shared" ca="1" si="63"/>
        <v>0</v>
      </c>
      <c r="AL119" s="41">
        <f t="shared" ca="1" si="63"/>
        <v>0</v>
      </c>
      <c r="AM119" s="41">
        <f t="shared" ca="1" si="63"/>
        <v>0</v>
      </c>
      <c r="AN119" s="41">
        <f t="shared" ca="1" si="63"/>
        <v>0</v>
      </c>
      <c r="AO119" s="41">
        <f t="shared" ca="1" si="63"/>
        <v>0</v>
      </c>
      <c r="AP119" s="41">
        <f t="shared" ca="1" si="63"/>
        <v>0</v>
      </c>
      <c r="AQ119" s="41">
        <f t="shared" ca="1" si="63"/>
        <v>0</v>
      </c>
      <c r="AR119" s="41">
        <f t="shared" ca="1" si="63"/>
        <v>0</v>
      </c>
      <c r="AS119" s="41">
        <f t="shared" ca="1" si="63"/>
        <v>0</v>
      </c>
      <c r="AT119" s="41">
        <f t="shared" ca="1" si="63"/>
        <v>0</v>
      </c>
      <c r="AU119" s="41">
        <f t="shared" ca="1" si="63"/>
        <v>0</v>
      </c>
      <c r="AV119" s="41">
        <f t="shared" ca="1" si="63"/>
        <v>0</v>
      </c>
      <c r="AW119" s="41">
        <f t="shared" ca="1" si="63"/>
        <v>0</v>
      </c>
      <c r="AX119" s="41">
        <f t="shared" si="63"/>
        <v>0</v>
      </c>
      <c r="AY119" s="41">
        <f t="shared" si="63"/>
        <v>0</v>
      </c>
    </row>
    <row r="120" spans="1:51">
      <c r="B120" s="27" t="s">
        <v>174</v>
      </c>
      <c r="C120" s="28" t="str">
        <f>IF('Input '!$F$9=1,"US$","=N=")</f>
        <v>US$</v>
      </c>
      <c r="D120" s="108">
        <f ca="1">SUM(I120:AI120)</f>
        <v>0</v>
      </c>
      <c r="E120" s="27"/>
      <c r="F120" s="27"/>
      <c r="G120" s="27"/>
      <c r="H120" s="27"/>
      <c r="I120" s="43">
        <f t="shared" ref="I120:AI120" ca="1" si="64">-I114</f>
        <v>0</v>
      </c>
      <c r="J120" s="43">
        <f t="shared" ca="1" si="64"/>
        <v>0</v>
      </c>
      <c r="K120" s="43">
        <f t="shared" ca="1" si="64"/>
        <v>0</v>
      </c>
      <c r="L120" s="43">
        <f t="shared" ca="1" si="64"/>
        <v>0</v>
      </c>
      <c r="M120" s="43">
        <f t="shared" ca="1" si="64"/>
        <v>0</v>
      </c>
      <c r="N120" s="43">
        <f t="shared" ca="1" si="64"/>
        <v>0</v>
      </c>
      <c r="O120" s="43">
        <f t="shared" ca="1" si="64"/>
        <v>0</v>
      </c>
      <c r="P120" s="43">
        <f t="shared" ca="1" si="64"/>
        <v>0</v>
      </c>
      <c r="Q120" s="43">
        <f t="shared" ca="1" si="64"/>
        <v>0</v>
      </c>
      <c r="R120" s="43">
        <f t="shared" ca="1" si="64"/>
        <v>0</v>
      </c>
      <c r="S120" s="43">
        <f t="shared" ca="1" si="64"/>
        <v>0</v>
      </c>
      <c r="T120" s="43">
        <f t="shared" ca="1" si="64"/>
        <v>0</v>
      </c>
      <c r="U120" s="43">
        <f t="shared" ca="1" si="64"/>
        <v>0</v>
      </c>
      <c r="V120" s="43">
        <f t="shared" ca="1" si="64"/>
        <v>0</v>
      </c>
      <c r="W120" s="43">
        <f t="shared" ca="1" si="64"/>
        <v>0</v>
      </c>
      <c r="X120" s="43">
        <f t="shared" ca="1" si="64"/>
        <v>0</v>
      </c>
      <c r="Y120" s="43">
        <f t="shared" ca="1" si="64"/>
        <v>0</v>
      </c>
      <c r="Z120" s="43">
        <f t="shared" ca="1" si="64"/>
        <v>0</v>
      </c>
      <c r="AA120" s="43">
        <f t="shared" ca="1" si="64"/>
        <v>0</v>
      </c>
      <c r="AB120" s="43">
        <f t="shared" ca="1" si="64"/>
        <v>0</v>
      </c>
      <c r="AC120" s="43">
        <f t="shared" ca="1" si="64"/>
        <v>0</v>
      </c>
      <c r="AD120" s="43">
        <f t="shared" ca="1" si="64"/>
        <v>0</v>
      </c>
      <c r="AE120" s="43">
        <f t="shared" ca="1" si="64"/>
        <v>0</v>
      </c>
      <c r="AF120" s="43">
        <f t="shared" ca="1" si="64"/>
        <v>0</v>
      </c>
      <c r="AG120" s="43">
        <f t="shared" ca="1" si="64"/>
        <v>0</v>
      </c>
      <c r="AH120" s="43">
        <f t="shared" ca="1" si="64"/>
        <v>0</v>
      </c>
      <c r="AI120" s="43">
        <f t="shared" ca="1" si="64"/>
        <v>0</v>
      </c>
      <c r="AJ120" s="43">
        <f t="shared" ref="AJ120:AY120" ca="1" si="65">-AJ114</f>
        <v>0</v>
      </c>
      <c r="AK120" s="43">
        <f t="shared" ca="1" si="65"/>
        <v>0</v>
      </c>
      <c r="AL120" s="43">
        <f t="shared" ca="1" si="65"/>
        <v>0</v>
      </c>
      <c r="AM120" s="43">
        <f t="shared" ca="1" si="65"/>
        <v>0</v>
      </c>
      <c r="AN120" s="43">
        <f t="shared" ca="1" si="65"/>
        <v>0</v>
      </c>
      <c r="AO120" s="43">
        <f t="shared" ca="1" si="65"/>
        <v>0</v>
      </c>
      <c r="AP120" s="43">
        <f t="shared" ca="1" si="65"/>
        <v>0</v>
      </c>
      <c r="AQ120" s="43">
        <f t="shared" ca="1" si="65"/>
        <v>0</v>
      </c>
      <c r="AR120" s="43">
        <f t="shared" ca="1" si="65"/>
        <v>0</v>
      </c>
      <c r="AS120" s="43">
        <f t="shared" ca="1" si="65"/>
        <v>0</v>
      </c>
      <c r="AT120" s="43">
        <f t="shared" ca="1" si="65"/>
        <v>0</v>
      </c>
      <c r="AU120" s="43">
        <f t="shared" ca="1" si="65"/>
        <v>0</v>
      </c>
      <c r="AV120" s="43">
        <f t="shared" ca="1" si="65"/>
        <v>0</v>
      </c>
      <c r="AW120" s="43">
        <f t="shared" ca="1" si="65"/>
        <v>0</v>
      </c>
      <c r="AX120" s="43">
        <f t="shared" si="65"/>
        <v>0</v>
      </c>
      <c r="AY120" s="43">
        <f t="shared" si="65"/>
        <v>0</v>
      </c>
    </row>
    <row r="121" spans="1:51">
      <c r="B121" s="2" t="s">
        <v>304</v>
      </c>
      <c r="C121" s="15" t="str">
        <f>IF('Input '!$F$9=1,"US$","=N=")</f>
        <v>US$</v>
      </c>
      <c r="D121" s="42">
        <f ca="1">SUM(I121:AI121)</f>
        <v>0</v>
      </c>
      <c r="I121" s="41">
        <f t="shared" ref="I121:AY121" ca="1" si="66">SUM(I118:I120)</f>
        <v>0</v>
      </c>
      <c r="J121" s="41">
        <f t="shared" ca="1" si="66"/>
        <v>0</v>
      </c>
      <c r="K121" s="41">
        <f t="shared" ca="1" si="66"/>
        <v>0</v>
      </c>
      <c r="L121" s="41">
        <f t="shared" ca="1" si="66"/>
        <v>0</v>
      </c>
      <c r="M121" s="41">
        <f t="shared" ca="1" si="66"/>
        <v>0</v>
      </c>
      <c r="N121" s="41">
        <f t="shared" ca="1" si="66"/>
        <v>0</v>
      </c>
      <c r="O121" s="41">
        <f t="shared" ca="1" si="66"/>
        <v>0</v>
      </c>
      <c r="P121" s="41">
        <f t="shared" ca="1" si="66"/>
        <v>0</v>
      </c>
      <c r="Q121" s="41">
        <f t="shared" ca="1" si="66"/>
        <v>0</v>
      </c>
      <c r="R121" s="41">
        <f t="shared" ca="1" si="66"/>
        <v>0</v>
      </c>
      <c r="S121" s="41">
        <f t="shared" ca="1" si="66"/>
        <v>0</v>
      </c>
      <c r="T121" s="41">
        <f t="shared" ca="1" si="66"/>
        <v>0</v>
      </c>
      <c r="U121" s="41">
        <f t="shared" ca="1" si="66"/>
        <v>0</v>
      </c>
      <c r="V121" s="41">
        <f t="shared" ca="1" si="66"/>
        <v>0</v>
      </c>
      <c r="W121" s="41">
        <f t="shared" ca="1" si="66"/>
        <v>0</v>
      </c>
      <c r="X121" s="41">
        <f t="shared" ca="1" si="66"/>
        <v>0</v>
      </c>
      <c r="Y121" s="41">
        <f t="shared" ca="1" si="66"/>
        <v>0</v>
      </c>
      <c r="Z121" s="41">
        <f t="shared" ca="1" si="66"/>
        <v>0</v>
      </c>
      <c r="AA121" s="41">
        <f t="shared" ca="1" si="66"/>
        <v>0</v>
      </c>
      <c r="AB121" s="41">
        <f t="shared" ca="1" si="66"/>
        <v>0</v>
      </c>
      <c r="AC121" s="41">
        <f t="shared" ca="1" si="66"/>
        <v>0</v>
      </c>
      <c r="AD121" s="41">
        <f t="shared" ca="1" si="66"/>
        <v>0</v>
      </c>
      <c r="AE121" s="41">
        <f t="shared" ca="1" si="66"/>
        <v>0</v>
      </c>
      <c r="AF121" s="41">
        <f t="shared" ca="1" si="66"/>
        <v>0</v>
      </c>
      <c r="AG121" s="41">
        <f t="shared" ca="1" si="66"/>
        <v>0</v>
      </c>
      <c r="AH121" s="41">
        <f t="shared" ca="1" si="66"/>
        <v>0</v>
      </c>
      <c r="AI121" s="41">
        <f t="shared" ca="1" si="66"/>
        <v>0</v>
      </c>
      <c r="AJ121" s="41">
        <f t="shared" ca="1" si="66"/>
        <v>0</v>
      </c>
      <c r="AK121" s="41">
        <f t="shared" ca="1" si="66"/>
        <v>0</v>
      </c>
      <c r="AL121" s="41">
        <f t="shared" ca="1" si="66"/>
        <v>0</v>
      </c>
      <c r="AM121" s="41">
        <f t="shared" ca="1" si="66"/>
        <v>0</v>
      </c>
      <c r="AN121" s="41">
        <f t="shared" ca="1" si="66"/>
        <v>0</v>
      </c>
      <c r="AO121" s="41">
        <f t="shared" ca="1" si="66"/>
        <v>0</v>
      </c>
      <c r="AP121" s="41">
        <f t="shared" ca="1" si="66"/>
        <v>0</v>
      </c>
      <c r="AQ121" s="41">
        <f t="shared" ca="1" si="66"/>
        <v>0</v>
      </c>
      <c r="AR121" s="41">
        <f t="shared" ca="1" si="66"/>
        <v>0</v>
      </c>
      <c r="AS121" s="41">
        <f t="shared" ca="1" si="66"/>
        <v>0</v>
      </c>
      <c r="AT121" s="41">
        <f t="shared" ca="1" si="66"/>
        <v>0</v>
      </c>
      <c r="AU121" s="41">
        <f t="shared" ca="1" si="66"/>
        <v>0</v>
      </c>
      <c r="AV121" s="41">
        <f t="shared" ca="1" si="66"/>
        <v>0</v>
      </c>
      <c r="AW121" s="41">
        <f t="shared" ca="1" si="66"/>
        <v>0</v>
      </c>
      <c r="AX121" s="41">
        <f t="shared" si="66"/>
        <v>0</v>
      </c>
      <c r="AY121" s="41">
        <f t="shared" si="66"/>
        <v>0</v>
      </c>
    </row>
    <row r="123" spans="1:51">
      <c r="A123" s="130" t="s">
        <v>109</v>
      </c>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row>
    <row r="132" spans="11:20">
      <c r="K132" s="42">
        <f ca="1">SUM($L$92:L92)</f>
        <v>400522681.1728363</v>
      </c>
      <c r="L132" s="42">
        <f ca="1">SUM($L$92:M92)</f>
        <v>1037693045.0689933</v>
      </c>
      <c r="M132" s="42">
        <f ca="1">SUM($L$92:N92)</f>
        <v>1675483760.002152</v>
      </c>
      <c r="N132" s="42">
        <f ca="1">SUM($L$92:O92)</f>
        <v>2439533773.5386906</v>
      </c>
      <c r="O132" s="42">
        <f ca="1">SUM($L$92:P92)</f>
        <v>3322784434.7342825</v>
      </c>
      <c r="P132" s="42">
        <f ca="1">SUM($L$92:Q92)</f>
        <v>4326810914.3309288</v>
      </c>
      <c r="Q132" s="42">
        <f ca="1">SUM($L$92:R92)</f>
        <v>5194287107.4112034</v>
      </c>
      <c r="R132" s="42">
        <f ca="1">SUM($L$92:S92)</f>
        <v>6477357258.5863409</v>
      </c>
      <c r="S132" s="42">
        <f ca="1">SUM($L$92:T92)</f>
        <v>7838484036.3609886</v>
      </c>
      <c r="T132" s="42">
        <f ca="1">SUM($L$92:U92)</f>
        <v>9280741512.0515766</v>
      </c>
    </row>
    <row r="133" spans="11:20">
      <c r="K133" s="42">
        <f ca="1">SUM($L$75:L75)</f>
        <v>712861464.64741492</v>
      </c>
      <c r="L133" s="42">
        <f ca="1">SUM($L$75:M75)</f>
        <v>1383034878.5280595</v>
      </c>
      <c r="M133" s="42">
        <f ca="1">SUM($L$75:N75)</f>
        <v>2009937071.5494914</v>
      </c>
      <c r="N133" s="42">
        <f ca="1">SUM($L$75:O75)</f>
        <v>2595202198.1515737</v>
      </c>
      <c r="O133" s="42">
        <f ca="1">SUM($L$75:P75)</f>
        <v>3137311459.7319074</v>
      </c>
      <c r="P133" s="42">
        <f ca="1">SUM($L$75:Q75)</f>
        <v>3636732670.5454707</v>
      </c>
      <c r="Q133" s="42">
        <f ca="1">SUM($L$75:R75)</f>
        <v>4093349196.5737753</v>
      </c>
      <c r="R133" s="42">
        <f ca="1">SUM($L$75:S75)</f>
        <v>4093349196.5737753</v>
      </c>
      <c r="S133" s="42">
        <f ca="1">SUM($L$75:T75)</f>
        <v>4093349196.5737753</v>
      </c>
      <c r="T133" s="42">
        <f ca="1">SUM($L$75:U75)</f>
        <v>4093349196.5737753</v>
      </c>
    </row>
  </sheetData>
  <sheetProtection formatCells="0" formatColumns="0" formatRows="0" insertColumns="0" insertRows="0" insertHyperlinks="0" deleteColumns="0" deleteRows="0" sort="0" autoFilter="0" pivotTables="0"/>
  <pageMargins left="0.7" right="0.7" top="0.75" bottom="0.75" header="0.3" footer="0.3"/>
  <ignoredErrors>
    <ignoredError sqref="K40 D52" formula="1"/>
  </ignoredError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A418F-8F48-460A-84F7-9905AB589472}">
  <sheetPr codeName="Sheet39"/>
  <dimension ref="A1"/>
  <sheetViews>
    <sheetView workbookViewId="0"/>
  </sheetViews>
  <sheetFormatPr defaultRowHeight="15"/>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6964D-04EB-4A47-B1D2-FABA1F358046}">
  <sheetPr codeName="Sheet40"/>
  <dimension ref="A1"/>
  <sheetViews>
    <sheetView topLeftCell="A13" workbookViewId="0">
      <selection activeCell="E4" sqref="E4"/>
    </sheetView>
  </sheetViews>
  <sheetFormatPr defaultRowHeight="15"/>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dimension ref="A1:AZ103"/>
  <sheetViews>
    <sheetView zoomScaleNormal="100" workbookViewId="0">
      <selection activeCell="A2" sqref="A2:C5"/>
    </sheetView>
  </sheetViews>
  <sheetFormatPr defaultColWidth="9.14453125" defaultRowHeight="10.5"/>
  <cols>
    <col min="1" max="1" width="3.49609375" style="2" customWidth="1"/>
    <col min="2" max="2" width="32.1484375" style="2" customWidth="1"/>
    <col min="3" max="3" width="9.14453125" style="2"/>
    <col min="4" max="4" width="13.98828125" style="2" bestFit="1" customWidth="1"/>
    <col min="5" max="5" width="13.44921875" style="2" customWidth="1"/>
    <col min="6" max="6" width="11.97265625" style="2" bestFit="1" customWidth="1"/>
    <col min="7" max="7" width="2.41796875" style="2" customWidth="1"/>
    <col min="8" max="8" width="3.359375" style="2" customWidth="1"/>
    <col min="9" max="9" width="12.9140625" style="2" bestFit="1" customWidth="1"/>
    <col min="10" max="10" width="16.94921875" style="2" customWidth="1"/>
    <col min="11" max="17" width="11.97265625" style="2" bestFit="1" customWidth="1"/>
    <col min="18" max="18" width="13.31640625" style="2" customWidth="1"/>
    <col min="19" max="31" width="15.6015625" style="2" customWidth="1"/>
    <col min="32" max="35" width="18.4296875" style="2" customWidth="1"/>
    <col min="36" max="45" width="12.9140625" style="2" customWidth="1"/>
    <col min="46" max="46" width="16.6796875" style="2" customWidth="1"/>
    <col min="47" max="49" width="15.19921875" style="2" customWidth="1"/>
    <col min="50" max="16384" width="9.14453125" style="2"/>
  </cols>
  <sheetData>
    <row r="1" spans="1:52" s="2552" customFormat="1" ht="14.25">
      <c r="A1" s="2551" t="s">
        <v>672</v>
      </c>
      <c r="H1" s="2553"/>
      <c r="I1" s="2554"/>
    </row>
    <row r="2" spans="1:52" s="1066" customFormat="1" ht="11.25">
      <c r="A2" s="2545" t="s">
        <v>2252</v>
      </c>
      <c r="B2" s="2545"/>
      <c r="C2" s="2547"/>
      <c r="D2" s="2545"/>
      <c r="E2" s="2547"/>
      <c r="F2" s="2547"/>
      <c r="G2" s="2545"/>
      <c r="H2" s="2547" t="s">
        <v>0</v>
      </c>
      <c r="I2" s="2546">
        <f>'Timing &amp; Flags'!I2</f>
        <v>1</v>
      </c>
      <c r="J2" s="2546">
        <f>'Timing &amp; Flags'!J2</f>
        <v>2</v>
      </c>
      <c r="K2" s="2546">
        <f>'Timing &amp; Flags'!K2</f>
        <v>3</v>
      </c>
      <c r="L2" s="2546">
        <f>'Timing &amp; Flags'!L2</f>
        <v>4</v>
      </c>
      <c r="M2" s="2546">
        <f>'Timing &amp; Flags'!M2</f>
        <v>5</v>
      </c>
      <c r="N2" s="2546">
        <f>'Timing &amp; Flags'!N2</f>
        <v>6</v>
      </c>
      <c r="O2" s="2546">
        <f>'Timing &amp; Flags'!O2</f>
        <v>7</v>
      </c>
      <c r="P2" s="2546">
        <f>'Timing &amp; Flags'!P2</f>
        <v>8</v>
      </c>
      <c r="Q2" s="2546">
        <f>'Timing &amp; Flags'!Q2</f>
        <v>9</v>
      </c>
      <c r="R2" s="2546">
        <f>'Timing &amp; Flags'!R2</f>
        <v>10</v>
      </c>
      <c r="S2" s="2546">
        <f>'Timing &amp; Flags'!S2</f>
        <v>11</v>
      </c>
      <c r="T2" s="2546">
        <f>'Timing &amp; Flags'!T2</f>
        <v>12</v>
      </c>
      <c r="U2" s="2546">
        <f>'Timing &amp; Flags'!U2</f>
        <v>13</v>
      </c>
      <c r="V2" s="2546">
        <f>'Timing &amp; Flags'!V2</f>
        <v>14</v>
      </c>
      <c r="W2" s="2546">
        <f>'Timing &amp; Flags'!W2</f>
        <v>15</v>
      </c>
      <c r="X2" s="2546">
        <f>'Timing &amp; Flags'!X2</f>
        <v>16</v>
      </c>
      <c r="Y2" s="2546">
        <f>'Timing &amp; Flags'!Y2</f>
        <v>17</v>
      </c>
      <c r="Z2" s="2546">
        <f>'Timing &amp; Flags'!Z2</f>
        <v>18</v>
      </c>
      <c r="AA2" s="2546">
        <f>'Timing &amp; Flags'!AA2</f>
        <v>19</v>
      </c>
      <c r="AB2" s="2546">
        <f>'Timing &amp; Flags'!AB2</f>
        <v>20</v>
      </c>
      <c r="AC2" s="2546">
        <f>'Timing &amp; Flags'!AC2</f>
        <v>21</v>
      </c>
      <c r="AD2" s="2546">
        <f>'Timing &amp; Flags'!AD2</f>
        <v>22</v>
      </c>
      <c r="AE2" s="2546">
        <f>'Timing &amp; Flags'!AE2</f>
        <v>23</v>
      </c>
      <c r="AF2" s="2546">
        <f>'Timing &amp; Flags'!AF2</f>
        <v>24</v>
      </c>
      <c r="AG2" s="2546">
        <f>'Timing &amp; Flags'!AG2</f>
        <v>25</v>
      </c>
      <c r="AH2" s="2546">
        <f>'Timing &amp; Flags'!AH2</f>
        <v>26</v>
      </c>
      <c r="AI2" s="2546">
        <f>'Timing &amp; Flags'!AI2</f>
        <v>27</v>
      </c>
      <c r="AJ2" s="2546">
        <f>'Timing &amp; Flags'!AJ2</f>
        <v>28</v>
      </c>
      <c r="AK2" s="2546">
        <f>'Timing &amp; Flags'!AK2</f>
        <v>29</v>
      </c>
      <c r="AL2" s="2546">
        <f>'Timing &amp; Flags'!AL2</f>
        <v>30</v>
      </c>
      <c r="AM2" s="2546">
        <f>'Timing &amp; Flags'!AM2</f>
        <v>31</v>
      </c>
      <c r="AN2" s="2546">
        <f>'Timing &amp; Flags'!AN2</f>
        <v>32</v>
      </c>
      <c r="AO2" s="2546">
        <f>'Timing &amp; Flags'!AO2</f>
        <v>33</v>
      </c>
      <c r="AP2" s="2546">
        <f>'Timing &amp; Flags'!AP2</f>
        <v>34</v>
      </c>
      <c r="AQ2" s="2546">
        <f>'Timing &amp; Flags'!AQ2</f>
        <v>35</v>
      </c>
      <c r="AR2" s="2546">
        <f>'Timing &amp; Flags'!AR2</f>
        <v>36</v>
      </c>
      <c r="AS2" s="2546">
        <f>'Timing &amp; Flags'!AS2</f>
        <v>37</v>
      </c>
      <c r="AT2" s="2546">
        <f>'Timing &amp; Flags'!AT2</f>
        <v>38</v>
      </c>
      <c r="AU2" s="2546">
        <f>'Timing &amp; Flags'!AU2</f>
        <v>39</v>
      </c>
      <c r="AV2" s="2546">
        <f>'Timing &amp; Flags'!AV2</f>
        <v>40</v>
      </c>
      <c r="AW2" s="2546">
        <f>'Timing &amp; Flags'!AW2</f>
        <v>41</v>
      </c>
      <c r="AX2" s="2546"/>
    </row>
    <row r="3" spans="1:52" s="1066" customFormat="1" ht="11.25">
      <c r="A3" s="2545" t="s">
        <v>673</v>
      </c>
      <c r="B3" s="2547"/>
      <c r="C3" s="2547"/>
      <c r="D3" s="2545"/>
      <c r="E3" s="2547"/>
      <c r="F3" s="2547"/>
      <c r="G3" s="2545"/>
      <c r="H3" s="2547" t="s">
        <v>1</v>
      </c>
      <c r="I3" s="2548">
        <f>'Timing &amp; Flags'!I3</f>
        <v>46023</v>
      </c>
      <c r="J3" s="2548">
        <f>'Timing &amp; Flags'!J3</f>
        <v>46388</v>
      </c>
      <c r="K3" s="2548">
        <f>'Timing &amp; Flags'!K3</f>
        <v>46753</v>
      </c>
      <c r="L3" s="2548">
        <f>'Timing &amp; Flags'!L3</f>
        <v>47119</v>
      </c>
      <c r="M3" s="2548">
        <f>'Timing &amp; Flags'!M3</f>
        <v>47484</v>
      </c>
      <c r="N3" s="2548">
        <f>'Timing &amp; Flags'!N3</f>
        <v>47849</v>
      </c>
      <c r="O3" s="2548">
        <f>'Timing &amp; Flags'!O3</f>
        <v>48214</v>
      </c>
      <c r="P3" s="2548">
        <f>'Timing &amp; Flags'!P3</f>
        <v>48580</v>
      </c>
      <c r="Q3" s="2548">
        <f>'Timing &amp; Flags'!Q3</f>
        <v>48945</v>
      </c>
      <c r="R3" s="2548">
        <f>'Timing &amp; Flags'!R3</f>
        <v>49310</v>
      </c>
      <c r="S3" s="2548">
        <f>'Timing &amp; Flags'!S3</f>
        <v>49675</v>
      </c>
      <c r="T3" s="2548">
        <f>'Timing &amp; Flags'!T3</f>
        <v>50041</v>
      </c>
      <c r="U3" s="2548">
        <f>'Timing &amp; Flags'!U3</f>
        <v>50406</v>
      </c>
      <c r="V3" s="2548">
        <f>'Timing &amp; Flags'!V3</f>
        <v>50771</v>
      </c>
      <c r="W3" s="2548">
        <f>'Timing &amp; Flags'!W3</f>
        <v>51136</v>
      </c>
      <c r="X3" s="2548">
        <f>'Timing &amp; Flags'!X3</f>
        <v>51502</v>
      </c>
      <c r="Y3" s="2548">
        <f>'Timing &amp; Flags'!Y3</f>
        <v>51867</v>
      </c>
      <c r="Z3" s="2548">
        <f>'Timing &amp; Flags'!Z3</f>
        <v>52232</v>
      </c>
      <c r="AA3" s="2548">
        <f>'Timing &amp; Flags'!AA3</f>
        <v>52597</v>
      </c>
      <c r="AB3" s="2548">
        <f>'Timing &amp; Flags'!AB3</f>
        <v>52963</v>
      </c>
      <c r="AC3" s="2548">
        <f>'Timing &amp; Flags'!AC3</f>
        <v>53328</v>
      </c>
      <c r="AD3" s="2548">
        <f>'Timing &amp; Flags'!AD3</f>
        <v>53693</v>
      </c>
      <c r="AE3" s="2548">
        <f>'Timing &amp; Flags'!AE3</f>
        <v>54058</v>
      </c>
      <c r="AF3" s="2548">
        <f>'Timing &amp; Flags'!AF3</f>
        <v>54424</v>
      </c>
      <c r="AG3" s="2548">
        <f>'Timing &amp; Flags'!AG3</f>
        <v>54789</v>
      </c>
      <c r="AH3" s="2548">
        <f>'Timing &amp; Flags'!AH3</f>
        <v>55154</v>
      </c>
      <c r="AI3" s="2548">
        <f>'Timing &amp; Flags'!AI3</f>
        <v>55519</v>
      </c>
      <c r="AJ3" s="2548">
        <f>'Timing &amp; Flags'!AJ3</f>
        <v>55885</v>
      </c>
      <c r="AK3" s="2548">
        <f>'Timing &amp; Flags'!AK3</f>
        <v>56250</v>
      </c>
      <c r="AL3" s="2548">
        <f>'Timing &amp; Flags'!AL3</f>
        <v>56615</v>
      </c>
      <c r="AM3" s="2548">
        <f>'Timing &amp; Flags'!AM3</f>
        <v>56980</v>
      </c>
      <c r="AN3" s="2548">
        <f>'Timing &amp; Flags'!AN3</f>
        <v>57346</v>
      </c>
      <c r="AO3" s="2548">
        <f>'Timing &amp; Flags'!AO3</f>
        <v>57711</v>
      </c>
      <c r="AP3" s="2548">
        <f>'Timing &amp; Flags'!AP3</f>
        <v>58076</v>
      </c>
      <c r="AQ3" s="2548">
        <f>'Timing &amp; Flags'!AQ3</f>
        <v>58441</v>
      </c>
      <c r="AR3" s="2548">
        <f>'Timing &amp; Flags'!AR3</f>
        <v>58807</v>
      </c>
      <c r="AS3" s="2548">
        <f>'Timing &amp; Flags'!AS3</f>
        <v>59172</v>
      </c>
      <c r="AT3" s="2548">
        <f>'Timing &amp; Flags'!AT3</f>
        <v>59537</v>
      </c>
      <c r="AU3" s="2548">
        <f>'Timing &amp; Flags'!AU3</f>
        <v>59902</v>
      </c>
      <c r="AV3" s="2548">
        <f>'Timing &amp; Flags'!AV3</f>
        <v>60268</v>
      </c>
      <c r="AW3" s="2548">
        <f>'Timing &amp; Flags'!AW3</f>
        <v>60633</v>
      </c>
      <c r="AX3" s="2548"/>
    </row>
    <row r="4" spans="1:52" s="1066" customFormat="1" ht="11.25">
      <c r="A4" s="2547" t="s">
        <v>849</v>
      </c>
      <c r="B4" s="2547"/>
      <c r="C4" s="2547"/>
      <c r="D4" s="2545"/>
      <c r="E4" s="2547"/>
      <c r="F4" s="2547"/>
      <c r="G4" s="2545"/>
      <c r="H4" s="2547" t="s">
        <v>2</v>
      </c>
      <c r="I4" s="2549">
        <f>'Timing &amp; Flags'!I4</f>
        <v>46387</v>
      </c>
      <c r="J4" s="2549">
        <f>'Timing &amp; Flags'!J4</f>
        <v>46752</v>
      </c>
      <c r="K4" s="2549">
        <f>'Timing &amp; Flags'!K4</f>
        <v>47118</v>
      </c>
      <c r="L4" s="2549">
        <f>'Timing &amp; Flags'!L4</f>
        <v>47483</v>
      </c>
      <c r="M4" s="2549">
        <f>'Timing &amp; Flags'!M4</f>
        <v>47848</v>
      </c>
      <c r="N4" s="2549">
        <f>'Timing &amp; Flags'!N4</f>
        <v>48213</v>
      </c>
      <c r="O4" s="2549">
        <f>'Timing &amp; Flags'!O4</f>
        <v>48579</v>
      </c>
      <c r="P4" s="2549">
        <f>'Timing &amp; Flags'!P4</f>
        <v>48944</v>
      </c>
      <c r="Q4" s="2549">
        <f>'Timing &amp; Flags'!Q4</f>
        <v>49309</v>
      </c>
      <c r="R4" s="2549">
        <f>'Timing &amp; Flags'!R4</f>
        <v>49674</v>
      </c>
      <c r="S4" s="2549">
        <f>'Timing &amp; Flags'!S4</f>
        <v>50040</v>
      </c>
      <c r="T4" s="2549">
        <f>'Timing &amp; Flags'!T4</f>
        <v>50405</v>
      </c>
      <c r="U4" s="2549">
        <f>'Timing &amp; Flags'!U4</f>
        <v>50770</v>
      </c>
      <c r="V4" s="2549">
        <f>'Timing &amp; Flags'!V4</f>
        <v>51135</v>
      </c>
      <c r="W4" s="2549">
        <f>'Timing &amp; Flags'!W4</f>
        <v>51501</v>
      </c>
      <c r="X4" s="2549">
        <f>'Timing &amp; Flags'!X4</f>
        <v>51866</v>
      </c>
      <c r="Y4" s="2549">
        <f>'Timing &amp; Flags'!Y4</f>
        <v>52231</v>
      </c>
      <c r="Z4" s="2549">
        <f>'Timing &amp; Flags'!Z4</f>
        <v>52596</v>
      </c>
      <c r="AA4" s="2549">
        <f>'Timing &amp; Flags'!AA4</f>
        <v>52962</v>
      </c>
      <c r="AB4" s="2549">
        <f>'Timing &amp; Flags'!AB4</f>
        <v>53327</v>
      </c>
      <c r="AC4" s="2549">
        <f>'Timing &amp; Flags'!AC4</f>
        <v>53692</v>
      </c>
      <c r="AD4" s="2549">
        <f>'Timing &amp; Flags'!AD4</f>
        <v>54057</v>
      </c>
      <c r="AE4" s="2549">
        <f>'Timing &amp; Flags'!AE4</f>
        <v>54423</v>
      </c>
      <c r="AF4" s="2549">
        <f>'Timing &amp; Flags'!AF4</f>
        <v>54788</v>
      </c>
      <c r="AG4" s="2549">
        <f>'Timing &amp; Flags'!AG4</f>
        <v>55153</v>
      </c>
      <c r="AH4" s="2549">
        <f>'Timing &amp; Flags'!AH4</f>
        <v>55518</v>
      </c>
      <c r="AI4" s="2549">
        <f>'Timing &amp; Flags'!AI4</f>
        <v>55884</v>
      </c>
      <c r="AJ4" s="2549">
        <f>'Timing &amp; Flags'!AJ4</f>
        <v>56249</v>
      </c>
      <c r="AK4" s="2549">
        <f>'Timing &amp; Flags'!AK4</f>
        <v>56614</v>
      </c>
      <c r="AL4" s="2549">
        <f>'Timing &amp; Flags'!AL4</f>
        <v>56979</v>
      </c>
      <c r="AM4" s="2549">
        <f>'Timing &amp; Flags'!AM4</f>
        <v>57345</v>
      </c>
      <c r="AN4" s="2549">
        <f>'Timing &amp; Flags'!AN4</f>
        <v>57710</v>
      </c>
      <c r="AO4" s="2549">
        <f>'Timing &amp; Flags'!AO4</f>
        <v>58075</v>
      </c>
      <c r="AP4" s="2549">
        <f>'Timing &amp; Flags'!AP4</f>
        <v>58440</v>
      </c>
      <c r="AQ4" s="2549">
        <f>'Timing &amp; Flags'!AQ4</f>
        <v>58806</v>
      </c>
      <c r="AR4" s="2549">
        <f>'Timing &amp; Flags'!AR4</f>
        <v>59171</v>
      </c>
      <c r="AS4" s="2549">
        <f>'Timing &amp; Flags'!AS4</f>
        <v>59536</v>
      </c>
      <c r="AT4" s="2549">
        <f>'Timing &amp; Flags'!AT4</f>
        <v>59901</v>
      </c>
      <c r="AU4" s="2549">
        <f>'Timing &amp; Flags'!AU4</f>
        <v>60267</v>
      </c>
      <c r="AV4" s="2549">
        <f>'Timing &amp; Flags'!AV4</f>
        <v>60632</v>
      </c>
      <c r="AW4" s="2549">
        <f>'Timing &amp; Flags'!AW4</f>
        <v>60997</v>
      </c>
      <c r="AX4" s="2549"/>
    </row>
    <row r="5" spans="1:52" s="1066" customFormat="1" ht="11.25">
      <c r="A5" s="2547" t="s">
        <v>640</v>
      </c>
      <c r="B5" s="2547"/>
      <c r="C5" s="2547"/>
      <c r="D5" s="2545"/>
      <c r="E5" s="2547"/>
      <c r="F5" s="2547"/>
      <c r="G5" s="2545"/>
      <c r="H5" s="2547" t="s">
        <v>3</v>
      </c>
      <c r="I5" s="2550">
        <f ca="1">'Timing &amp; Flags'!I5</f>
        <v>365</v>
      </c>
      <c r="J5" s="2550">
        <f ca="1">'Timing &amp; Flags'!J5</f>
        <v>366</v>
      </c>
      <c r="K5" s="2550">
        <f ca="1">'Timing &amp; Flags'!K5</f>
        <v>365</v>
      </c>
      <c r="L5" s="2550">
        <f ca="1">'Timing &amp; Flags'!L5</f>
        <v>365</v>
      </c>
      <c r="M5" s="2550">
        <f ca="1">'Timing &amp; Flags'!M5</f>
        <v>365</v>
      </c>
      <c r="N5" s="2550">
        <f ca="1">'Timing &amp; Flags'!N5</f>
        <v>366</v>
      </c>
      <c r="O5" s="2550">
        <f ca="1">'Timing &amp; Flags'!O5</f>
        <v>365</v>
      </c>
      <c r="P5" s="2550">
        <f ca="1">'Timing &amp; Flags'!P5</f>
        <v>365</v>
      </c>
      <c r="Q5" s="2550">
        <f ca="1">'Timing &amp; Flags'!Q5</f>
        <v>365</v>
      </c>
      <c r="R5" s="2550">
        <f ca="1">'Timing &amp; Flags'!R5</f>
        <v>366</v>
      </c>
      <c r="S5" s="2550">
        <f ca="1">'Timing &amp; Flags'!S5</f>
        <v>365</v>
      </c>
      <c r="T5" s="2550">
        <f ca="1">'Timing &amp; Flags'!T5</f>
        <v>365</v>
      </c>
      <c r="U5" s="2550">
        <f ca="1">'Timing &amp; Flags'!U5</f>
        <v>365</v>
      </c>
      <c r="V5" s="2550">
        <f ca="1">'Timing &amp; Flags'!V5</f>
        <v>366</v>
      </c>
      <c r="W5" s="2550">
        <f ca="1">'Timing &amp; Flags'!W5</f>
        <v>365</v>
      </c>
      <c r="X5" s="2550">
        <f ca="1">'Timing &amp; Flags'!X5</f>
        <v>365</v>
      </c>
      <c r="Y5" s="2550">
        <f ca="1">'Timing &amp; Flags'!Y5</f>
        <v>365</v>
      </c>
      <c r="Z5" s="2550">
        <f ca="1">'Timing &amp; Flags'!Z5</f>
        <v>366</v>
      </c>
      <c r="AA5" s="2550">
        <f ca="1">'Timing &amp; Flags'!AA5</f>
        <v>365</v>
      </c>
      <c r="AB5" s="2550">
        <f ca="1">'Timing &amp; Flags'!AB5</f>
        <v>365</v>
      </c>
      <c r="AC5" s="2550">
        <f ca="1">'Timing &amp; Flags'!AC5</f>
        <v>365</v>
      </c>
      <c r="AD5" s="2550">
        <f ca="1">'Timing &amp; Flags'!AD5</f>
        <v>366</v>
      </c>
      <c r="AE5" s="2550">
        <f ca="1">'Timing &amp; Flags'!AE5</f>
        <v>365</v>
      </c>
      <c r="AF5" s="2550">
        <f ca="1">'Timing &amp; Flags'!AF5</f>
        <v>365</v>
      </c>
      <c r="AG5" s="2550">
        <f ca="1">'Timing &amp; Flags'!AG5</f>
        <v>365</v>
      </c>
      <c r="AH5" s="2550">
        <f ca="1">'Timing &amp; Flags'!AH5</f>
        <v>366</v>
      </c>
      <c r="AI5" s="2550">
        <f ca="1">'Timing &amp; Flags'!AI5</f>
        <v>365</v>
      </c>
      <c r="AJ5" s="2550">
        <f ca="1">'Timing &amp; Flags'!AJ5</f>
        <v>365</v>
      </c>
      <c r="AK5" s="2550">
        <f ca="1">'Timing &amp; Flags'!AK5</f>
        <v>365</v>
      </c>
      <c r="AL5" s="2550">
        <f ca="1">'Timing &amp; Flags'!AL5</f>
        <v>365</v>
      </c>
      <c r="AM5" s="2550">
        <f ca="1">'Timing &amp; Flags'!AM5</f>
        <v>365</v>
      </c>
      <c r="AN5" s="2550">
        <f ca="1">'Timing &amp; Flags'!AN5</f>
        <v>365</v>
      </c>
      <c r="AO5" s="2550">
        <f ca="1">'Timing &amp; Flags'!AO5</f>
        <v>365</v>
      </c>
      <c r="AP5" s="2550">
        <f ca="1">'Timing &amp; Flags'!AP5</f>
        <v>365</v>
      </c>
      <c r="AQ5" s="2550">
        <f ca="1">'Timing &amp; Flags'!AQ5</f>
        <v>365</v>
      </c>
      <c r="AR5" s="2550">
        <f ca="1">'Timing &amp; Flags'!AR5</f>
        <v>365</v>
      </c>
      <c r="AS5" s="2550">
        <f ca="1">'Timing &amp; Flags'!AS5</f>
        <v>365</v>
      </c>
      <c r="AT5" s="2550">
        <f ca="1">'Timing &amp; Flags'!AT5</f>
        <v>365</v>
      </c>
      <c r="AU5" s="2550">
        <f ca="1">'Timing &amp; Flags'!AU5</f>
        <v>365</v>
      </c>
      <c r="AV5" s="2550">
        <f ca="1">'Timing &amp; Flags'!AV5</f>
        <v>365</v>
      </c>
      <c r="AW5" s="2550">
        <f ca="1">'Timing &amp; Flags'!AW5</f>
        <v>365</v>
      </c>
      <c r="AX5" s="2550"/>
    </row>
    <row r="7" spans="1:52">
      <c r="A7" s="6" t="s">
        <v>539</v>
      </c>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row>
    <row r="9" spans="1:52">
      <c r="B9" s="29" t="s">
        <v>540</v>
      </c>
      <c r="F9" s="13"/>
    </row>
    <row r="10" spans="1:52">
      <c r="B10" s="2" t="s">
        <v>441</v>
      </c>
      <c r="C10" s="15" t="str">
        <f>IF('Input '!$F$9=1,"US$","=N=")</f>
        <v>US$</v>
      </c>
      <c r="D10" s="53">
        <f ca="1">SUM(I10:AW10)</f>
        <v>67303901887.30986</v>
      </c>
      <c r="I10" s="53">
        <f ca="1">CF!I7</f>
        <v>0</v>
      </c>
      <c r="J10" s="53">
        <f ca="1">CF!J7</f>
        <v>0</v>
      </c>
      <c r="K10" s="53">
        <f ca="1">CF!K7</f>
        <v>890000218.44370985</v>
      </c>
      <c r="L10" s="53">
        <f ca="1">CF!L7</f>
        <v>1485211623.7040534</v>
      </c>
      <c r="M10" s="53">
        <f ca="1">CF!M7</f>
        <v>1704941249.9265699</v>
      </c>
      <c r="N10" s="53">
        <f ca="1">CF!N7</f>
        <v>1824469254.9989414</v>
      </c>
      <c r="O10" s="53">
        <f ca="1">CF!O7</f>
        <v>1932334098.6108809</v>
      </c>
      <c r="P10" s="53">
        <f ca="1">CF!P7</f>
        <v>2029052734.09184</v>
      </c>
      <c r="Q10" s="53">
        <f ca="1">CF!Q7</f>
        <v>2127881413.3748755</v>
      </c>
      <c r="R10" s="53">
        <f ca="1">CF!R7</f>
        <v>2232890057.6206183</v>
      </c>
      <c r="S10" s="53">
        <f ca="1">CF!S7</f>
        <v>2341375640.5051837</v>
      </c>
      <c r="T10" s="53">
        <f ca="1">CF!T7</f>
        <v>2458217666.7113299</v>
      </c>
      <c r="U10" s="53">
        <f ca="1">CF!U7</f>
        <v>2580754334.0439091</v>
      </c>
      <c r="V10" s="53">
        <f ca="1">CF!V7</f>
        <v>2711046030.593502</v>
      </c>
      <c r="W10" s="53">
        <f ca="1">CF!W7</f>
        <v>2845829325.7378988</v>
      </c>
      <c r="X10" s="53">
        <f ca="1">CF!X7</f>
        <v>2228524181.7021866</v>
      </c>
      <c r="Y10" s="53">
        <f ca="1">CF!Y7</f>
        <v>2195466234.8899789</v>
      </c>
      <c r="Z10" s="53">
        <f ca="1">CF!Z7</f>
        <v>2262094699.7168884</v>
      </c>
      <c r="AA10" s="53">
        <f ca="1">CF!AA7</f>
        <v>2328405650.814569</v>
      </c>
      <c r="AB10" s="53">
        <f ca="1">CF!AB7</f>
        <v>2399045232.4526224</v>
      </c>
      <c r="AC10" s="53">
        <f ca="1">CF!AC7</f>
        <v>2471016589.4262013</v>
      </c>
      <c r="AD10" s="53">
        <f ca="1">CF!AD7</f>
        <v>2546007513.5856624</v>
      </c>
      <c r="AE10" s="53">
        <f ca="1">CF!AE7</f>
        <v>2620641073.2455821</v>
      </c>
      <c r="AF10" s="53">
        <f ca="1">CF!AF7</f>
        <v>2700146544.7139249</v>
      </c>
      <c r="AG10" s="53">
        <f ca="1">CF!AG7</f>
        <v>2781150941.0553427</v>
      </c>
      <c r="AH10" s="53">
        <f ca="1">CF!AH7</f>
        <v>2865553886.8668585</v>
      </c>
      <c r="AI10" s="53">
        <f ca="1">CF!AI7</f>
        <v>2949554615.7857585</v>
      </c>
      <c r="AJ10" s="53">
        <f ca="1">CF!AJ7</f>
        <v>3039038724.3665814</v>
      </c>
      <c r="AK10" s="53">
        <f ca="1">CF!AK7</f>
        <v>3130209886.097579</v>
      </c>
      <c r="AL10" s="53">
        <f ca="1">CF!AL7</f>
        <v>3623042464.2268</v>
      </c>
      <c r="AM10" s="53">
        <f>CF!AM7</f>
        <v>0</v>
      </c>
      <c r="AN10" s="53">
        <f>CF!AN7</f>
        <v>0</v>
      </c>
      <c r="AO10" s="53">
        <f>CF!AO7</f>
        <v>0</v>
      </c>
      <c r="AP10" s="53">
        <f>CF!AP7</f>
        <v>0</v>
      </c>
      <c r="AQ10" s="53">
        <f>CF!AQ7</f>
        <v>0</v>
      </c>
      <c r="AR10" s="53">
        <f>CF!AR7</f>
        <v>0</v>
      </c>
      <c r="AS10" s="53">
        <f>CF!AS7</f>
        <v>0</v>
      </c>
      <c r="AT10" s="53">
        <f>CF!AT7</f>
        <v>0</v>
      </c>
      <c r="AU10" s="53">
        <f>CF!AU7</f>
        <v>0</v>
      </c>
      <c r="AV10" s="53">
        <f>CF!AV7</f>
        <v>0</v>
      </c>
      <c r="AW10" s="53">
        <f>CF!AW7</f>
        <v>0</v>
      </c>
      <c r="AX10" s="53">
        <f>CF!AX7</f>
        <v>0</v>
      </c>
    </row>
    <row r="11" spans="1:52">
      <c r="B11" s="2" t="s">
        <v>1478</v>
      </c>
      <c r="C11" s="15" t="str">
        <f>IF('Input '!$F$9=1,"US$","=N=")</f>
        <v>US$</v>
      </c>
      <c r="D11" s="53">
        <f ca="1">SUM(I11:AW11)</f>
        <v>-12245491202.227028</v>
      </c>
      <c r="I11" s="53">
        <f ca="1">CF!I8</f>
        <v>0</v>
      </c>
      <c r="J11" s="53">
        <f ca="1">CF!J8</f>
        <v>-132913371.73613448</v>
      </c>
      <c r="K11" s="1531">
        <f ca="1">CF!K8</f>
        <v>-230024526.2535325</v>
      </c>
      <c r="L11" s="1531">
        <f ca="1">CF!L8</f>
        <v>-286035887.64826715</v>
      </c>
      <c r="M11" s="1531">
        <f ca="1">CF!M8</f>
        <v>-308836350.81766248</v>
      </c>
      <c r="N11" s="1531">
        <f ca="1">CF!N8</f>
        <v>-319016594.49428165</v>
      </c>
      <c r="O11" s="1531">
        <f ca="1">CF!O8</f>
        <v>-328338037.05235612</v>
      </c>
      <c r="P11" s="1531">
        <f ca="1">CF!P8</f>
        <v>-338158814.73946053</v>
      </c>
      <c r="Q11" s="1531">
        <f ca="1">CF!Q8</f>
        <v>-348200267.19251925</v>
      </c>
      <c r="R11" s="1531">
        <f ca="1">CF!R8</f>
        <v>-358623671.74999273</v>
      </c>
      <c r="S11" s="1531">
        <f ca="1">CF!S8</f>
        <v>-369115231.59579641</v>
      </c>
      <c r="T11" s="1531">
        <f ca="1">CF!T8</f>
        <v>-380168506.34129286</v>
      </c>
      <c r="U11" s="1531">
        <f ca="1">CF!U8</f>
        <v>-391470249.5424065</v>
      </c>
      <c r="V11" s="1531">
        <f ca="1">CF!V8</f>
        <v>-403201786.13964617</v>
      </c>
      <c r="W11" s="1531">
        <f ca="1">CF!W8</f>
        <v>-415010323.30152255</v>
      </c>
      <c r="X11" s="1531">
        <f ca="1">CF!X8</f>
        <v>-427450784.34453833</v>
      </c>
      <c r="Y11" s="1531">
        <f ca="1">CF!Y8</f>
        <v>-440170995.8857494</v>
      </c>
      <c r="Z11" s="1531">
        <f ca="1">CF!Z8</f>
        <v>-450214198.84952497</v>
      </c>
      <c r="AA11" s="1531">
        <f ca="1">CF!AA8</f>
        <v>-459965955.43224275</v>
      </c>
      <c r="AB11" s="1531">
        <f ca="1">CF!AB8</f>
        <v>-470319855.0355379</v>
      </c>
      <c r="AC11" s="1531">
        <f ca="1">CF!AC8</f>
        <v>-480880074.14354682</v>
      </c>
      <c r="AD11" s="1531">
        <f ca="1">CF!AD8</f>
        <v>-491867733.83495885</v>
      </c>
      <c r="AE11" s="1531">
        <f ca="1">CF!AE8</f>
        <v>-502849802.26632011</v>
      </c>
      <c r="AF11" s="1531">
        <f ca="1">CF!AF8</f>
        <v>-514499872.82172024</v>
      </c>
      <c r="AG11" s="1531">
        <f ca="1">CF!AG8</f>
        <v>-526385492.46331471</v>
      </c>
      <c r="AH11" s="1531">
        <f ca="1">CF!AH8</f>
        <v>-538748865.58131659</v>
      </c>
      <c r="AI11" s="1531">
        <f ca="1">CF!AI8</f>
        <v>-551115949.68476498</v>
      </c>
      <c r="AJ11" s="1531">
        <f ca="1">CF!AJ8</f>
        <v>-564224872.06602502</v>
      </c>
      <c r="AK11" s="1531">
        <f ca="1">CF!AK8</f>
        <v>-577602241.68494868</v>
      </c>
      <c r="AL11" s="1531">
        <f ca="1">CF!AL8</f>
        <v>-640080889.52764833</v>
      </c>
      <c r="AM11" s="1531">
        <f>CF!AM8</f>
        <v>0</v>
      </c>
      <c r="AN11" s="1531">
        <f>CF!AN8</f>
        <v>0</v>
      </c>
      <c r="AO11" s="1531">
        <f>CF!AO8</f>
        <v>0</v>
      </c>
      <c r="AP11" s="1531">
        <f>CF!AP8</f>
        <v>0</v>
      </c>
      <c r="AQ11" s="1531">
        <f>CF!AQ8</f>
        <v>0</v>
      </c>
      <c r="AR11" s="1531">
        <f>CF!AR8</f>
        <v>0</v>
      </c>
      <c r="AS11" s="1531">
        <f>CF!AS8</f>
        <v>0</v>
      </c>
      <c r="AT11" s="1531">
        <f>CF!AT8</f>
        <v>0</v>
      </c>
      <c r="AU11" s="1531">
        <f>CF!AU8</f>
        <v>0</v>
      </c>
      <c r="AV11" s="1531">
        <f>CF!AV8</f>
        <v>0</v>
      </c>
      <c r="AW11" s="1531">
        <f>CF!AW8</f>
        <v>0</v>
      </c>
      <c r="AX11" s="1531"/>
      <c r="AY11" s="1531"/>
    </row>
    <row r="12" spans="1:52">
      <c r="B12" s="2" t="s">
        <v>329</v>
      </c>
      <c r="C12" s="15" t="str">
        <f>$C$10</f>
        <v>US$</v>
      </c>
      <c r="D12" s="53">
        <f ca="1">SUM(I12:AW12)</f>
        <v>-4020113123.1518836</v>
      </c>
      <c r="I12" s="53">
        <f ca="1">CF!I9</f>
        <v>0</v>
      </c>
      <c r="J12" s="53">
        <f ca="1">CF!J9</f>
        <v>0</v>
      </c>
      <c r="K12" s="1531">
        <f ca="1">CF!K9</f>
        <v>-26996531.431974694</v>
      </c>
      <c r="L12" s="1531">
        <f ca="1">CF!L9</f>
        <v>-100350110.93297359</v>
      </c>
      <c r="M12" s="1531">
        <f ca="1">CF!M9</f>
        <v>-108966082.34185769</v>
      </c>
      <c r="N12" s="1531">
        <f ca="1">CF!N9</f>
        <v>-111327922.77816515</v>
      </c>
      <c r="O12" s="1531">
        <f ca="1">CF!O9</f>
        <v>-114510053.46318255</v>
      </c>
      <c r="P12" s="1531">
        <f ca="1">CF!P9</f>
        <v>-117051876.40909666</v>
      </c>
      <c r="Q12" s="1531">
        <f ca="1">CF!Q9</f>
        <v>-119846306.34322631</v>
      </c>
      <c r="R12" s="1531">
        <f ca="1">CF!R9</f>
        <v>-122453716.61703336</v>
      </c>
      <c r="S12" s="1531">
        <f ca="1">CF!S9</f>
        <v>-125954144.96185577</v>
      </c>
      <c r="T12" s="1531">
        <f ca="1">CF!T9</f>
        <v>-128750285.51542838</v>
      </c>
      <c r="U12" s="1531">
        <f ca="1">CF!U9</f>
        <v>-131824293.94064523</v>
      </c>
      <c r="V12" s="1531">
        <f ca="1">CF!V9</f>
        <v>-134692606.11015248</v>
      </c>
      <c r="W12" s="1531">
        <f ca="1">CF!W9</f>
        <v>-138543212.24809641</v>
      </c>
      <c r="X12" s="1531">
        <f ca="1">CF!X9</f>
        <v>-141619150.87798405</v>
      </c>
      <c r="Y12" s="1531">
        <f ca="1">CF!Y9</f>
        <v>-145000747.53255486</v>
      </c>
      <c r="Z12" s="1531">
        <f ca="1">CF!Z9</f>
        <v>-148156104.51247436</v>
      </c>
      <c r="AA12" s="1531">
        <f ca="1">CF!AA9</f>
        <v>-152391966.87118122</v>
      </c>
      <c r="AB12" s="1531">
        <f ca="1">CF!AB9</f>
        <v>-155775741.36638513</v>
      </c>
      <c r="AC12" s="1531">
        <f ca="1">CF!AC9</f>
        <v>-159495746.94971511</v>
      </c>
      <c r="AD12" s="1531">
        <f ca="1">CF!AD9</f>
        <v>-162966915.80463266</v>
      </c>
      <c r="AE12" s="1531">
        <f ca="1">CF!AE9</f>
        <v>-167626632.62034813</v>
      </c>
      <c r="AF12" s="1531">
        <f ca="1">CF!AF9</f>
        <v>-171349095.30103332</v>
      </c>
      <c r="AG12" s="1531">
        <f ca="1">CF!AG9</f>
        <v>-175441424.16949496</v>
      </c>
      <c r="AH12" s="1531">
        <f ca="1">CF!AH9</f>
        <v>-179260060.08910483</v>
      </c>
      <c r="AI12" s="1531">
        <f ca="1">CF!AI9</f>
        <v>-184386103.32316583</v>
      </c>
      <c r="AJ12" s="1531">
        <f ca="1">CF!AJ9</f>
        <v>-188481204.18954694</v>
      </c>
      <c r="AK12" s="1531">
        <f ca="1">CF!AK9</f>
        <v>-192983175.55717823</v>
      </c>
      <c r="AL12" s="1531">
        <f ca="1">CF!AL9</f>
        <v>-213911910.89339578</v>
      </c>
      <c r="AM12" s="1531">
        <f>CF!AM9</f>
        <v>0</v>
      </c>
      <c r="AN12" s="1531">
        <f>CF!AN9</f>
        <v>0</v>
      </c>
      <c r="AO12" s="1531">
        <f>CF!AO9</f>
        <v>0</v>
      </c>
      <c r="AP12" s="1531">
        <f>CF!AP9</f>
        <v>0</v>
      </c>
      <c r="AQ12" s="1531">
        <f>CF!AQ9</f>
        <v>0</v>
      </c>
      <c r="AR12" s="1531">
        <f>CF!AR9</f>
        <v>0</v>
      </c>
      <c r="AS12" s="1531">
        <f>CF!AS9</f>
        <v>0</v>
      </c>
      <c r="AT12" s="1531">
        <f>CF!AT9</f>
        <v>0</v>
      </c>
      <c r="AU12" s="1531">
        <f>CF!AU9</f>
        <v>0</v>
      </c>
      <c r="AV12" s="1531">
        <f>CF!AV9</f>
        <v>0</v>
      </c>
      <c r="AW12" s="1531">
        <f>CF!AW9</f>
        <v>0</v>
      </c>
      <c r="AX12" s="1531"/>
      <c r="AY12" s="1531"/>
    </row>
    <row r="13" spans="1:52">
      <c r="B13" s="2" t="s">
        <v>358</v>
      </c>
      <c r="C13" s="15" t="str">
        <f>$C$10</f>
        <v>US$</v>
      </c>
      <c r="D13" s="53">
        <f ca="1">SUM(I13:AX13)</f>
        <v>0</v>
      </c>
      <c r="I13" s="53">
        <f ca="1">CF!I10</f>
        <v>0</v>
      </c>
      <c r="J13" s="53">
        <f ca="1">CF!J10</f>
        <v>0</v>
      </c>
      <c r="K13" s="53">
        <f ca="1">CF!K10</f>
        <v>0</v>
      </c>
      <c r="L13" s="53">
        <f ca="1">CF!L10</f>
        <v>0</v>
      </c>
      <c r="M13" s="53">
        <f ca="1">CF!M10</f>
        <v>0</v>
      </c>
      <c r="N13" s="53">
        <f ca="1">CF!N10</f>
        <v>0</v>
      </c>
      <c r="O13" s="53">
        <f ca="1">CF!O10</f>
        <v>0</v>
      </c>
      <c r="P13" s="53">
        <f ca="1">CF!P10</f>
        <v>0</v>
      </c>
      <c r="Q13" s="53">
        <f ca="1">CF!Q10</f>
        <v>0</v>
      </c>
      <c r="R13" s="53">
        <f ca="1">CF!R10</f>
        <v>0</v>
      </c>
      <c r="S13" s="53">
        <f ca="1">CF!S10</f>
        <v>0</v>
      </c>
      <c r="T13" s="53">
        <f ca="1">CF!T10</f>
        <v>0</v>
      </c>
      <c r="U13" s="53">
        <f ca="1">CF!U10</f>
        <v>0</v>
      </c>
      <c r="V13" s="53">
        <f ca="1">CF!V10</f>
        <v>0</v>
      </c>
      <c r="W13" s="53">
        <f ca="1">CF!W10</f>
        <v>0</v>
      </c>
      <c r="X13" s="53">
        <f ca="1">CF!X10</f>
        <v>0</v>
      </c>
      <c r="Y13" s="53">
        <f ca="1">CF!Y10</f>
        <v>0</v>
      </c>
      <c r="Z13" s="53">
        <f ca="1">CF!Z10</f>
        <v>0</v>
      </c>
      <c r="AA13" s="53">
        <f ca="1">CF!AA10</f>
        <v>0</v>
      </c>
      <c r="AB13" s="53">
        <f ca="1">CF!AB10</f>
        <v>0</v>
      </c>
      <c r="AC13" s="53">
        <f ca="1">CF!AC10</f>
        <v>0</v>
      </c>
      <c r="AD13" s="53">
        <f ca="1">CF!AD10</f>
        <v>0</v>
      </c>
      <c r="AE13" s="53">
        <f ca="1">CF!AE10</f>
        <v>0</v>
      </c>
      <c r="AF13" s="53">
        <f ca="1">CF!AF10</f>
        <v>0</v>
      </c>
      <c r="AG13" s="53">
        <f ca="1">CF!AG10</f>
        <v>0</v>
      </c>
      <c r="AH13" s="53">
        <f ca="1">CF!AH10</f>
        <v>0</v>
      </c>
      <c r="AI13" s="53">
        <f ca="1">CF!AI10</f>
        <v>0</v>
      </c>
      <c r="AJ13" s="53">
        <f ca="1">CF!AJ10</f>
        <v>0</v>
      </c>
      <c r="AK13" s="53">
        <f ca="1">CF!AK10</f>
        <v>0</v>
      </c>
      <c r="AL13" s="53">
        <f ca="1">CF!AL10</f>
        <v>0</v>
      </c>
      <c r="AM13" s="53">
        <f>CF!AM10</f>
        <v>0</v>
      </c>
      <c r="AN13" s="53">
        <f>CF!AN10</f>
        <v>0</v>
      </c>
      <c r="AO13" s="53">
        <f>CF!AO10</f>
        <v>0</v>
      </c>
      <c r="AP13" s="53">
        <f>CF!AP10</f>
        <v>0</v>
      </c>
      <c r="AQ13" s="53">
        <f>CF!AQ10</f>
        <v>0</v>
      </c>
      <c r="AR13" s="53">
        <f>CF!AR10</f>
        <v>0</v>
      </c>
      <c r="AS13" s="53">
        <f>CF!AS10</f>
        <v>0</v>
      </c>
      <c r="AT13" s="53">
        <f>CF!AT10</f>
        <v>0</v>
      </c>
      <c r="AU13" s="53">
        <f>CF!AU10</f>
        <v>0</v>
      </c>
      <c r="AV13" s="53">
        <f>CF!AV10</f>
        <v>0</v>
      </c>
    </row>
    <row r="14" spans="1:52">
      <c r="B14" s="2" t="s">
        <v>541</v>
      </c>
      <c r="C14" s="15" t="str">
        <f>$C$10</f>
        <v>US$</v>
      </c>
      <c r="D14" s="53">
        <f ca="1">SUM(I14:AW14)</f>
        <v>-15472667845.4466</v>
      </c>
      <c r="F14" s="14"/>
      <c r="I14" s="53">
        <f ca="1">CF!I11</f>
        <v>0</v>
      </c>
      <c r="J14" s="53">
        <f ca="1">CF!J11</f>
        <v>0</v>
      </c>
      <c r="K14" s="53">
        <f ca="1">CF!K11</f>
        <v>0</v>
      </c>
      <c r="L14" s="53">
        <f ca="1">CF!L11</f>
        <v>0</v>
      </c>
      <c r="M14" s="53">
        <f ca="1">CF!M11</f>
        <v>0</v>
      </c>
      <c r="N14" s="1531">
        <f ca="1">CF!N11</f>
        <v>-158981768.50809935</v>
      </c>
      <c r="O14" s="1531">
        <f ca="1">CF!O11</f>
        <v>-177947309.37817538</v>
      </c>
      <c r="P14" s="1531">
        <f ca="1">CF!P11</f>
        <v>-195418836.97681487</v>
      </c>
      <c r="Q14" s="1531">
        <f ca="1">CF!Q11</f>
        <v>-213550909.14333284</v>
      </c>
      <c r="R14" s="1531">
        <f ca="1">CF!R11</f>
        <v>-495751475.83675665</v>
      </c>
      <c r="S14" s="1531">
        <f ca="1">CF!S11</f>
        <v>-638422060.04184175</v>
      </c>
      <c r="T14" s="1531">
        <f ca="1">CF!T11</f>
        <v>-676946619.97965622</v>
      </c>
      <c r="U14" s="1531">
        <f ca="1">CF!U11</f>
        <v>-717270687.84050417</v>
      </c>
      <c r="V14" s="1531">
        <f ca="1">CF!V11</f>
        <v>-759613457.96880531</v>
      </c>
      <c r="W14" s="1531">
        <f ca="1">CF!W11</f>
        <v>-804113770.96939933</v>
      </c>
      <c r="X14" s="1531">
        <f ca="1">CF!X11</f>
        <v>-563937354.18743896</v>
      </c>
      <c r="Y14" s="1531">
        <f ca="1">CF!Y11</f>
        <v>-580818978.17583549</v>
      </c>
      <c r="Z14" s="1531">
        <f ca="1">CF!Z11</f>
        <v>-598760681.25778317</v>
      </c>
      <c r="AA14" s="1531">
        <f ca="1">CF!AA11</f>
        <v>-617408659.35194421</v>
      </c>
      <c r="AB14" s="1531">
        <f ca="1">CF!AB11</f>
        <v>-636706010.30397677</v>
      </c>
      <c r="AC14" s="1531">
        <f ca="1">CF!AC11</f>
        <v>-656834654.06342196</v>
      </c>
      <c r="AD14" s="1531">
        <f ca="1">CF!AD11</f>
        <v>-677768107.59400094</v>
      </c>
      <c r="AE14" s="1531">
        <f ca="1">CF!AE11</f>
        <v>-699502670.2787075</v>
      </c>
      <c r="AF14" s="1531">
        <f ca="1">CF!AF11</f>
        <v>-721986784.96055043</v>
      </c>
      <c r="AG14" s="1531">
        <f ca="1">CF!AG11</f>
        <v>-745291635.48199677</v>
      </c>
      <c r="AH14" s="1531">
        <f ca="1">CF!AH11</f>
        <v>-769399458.44865692</v>
      </c>
      <c r="AI14" s="1531">
        <f ca="1">CF!AI11</f>
        <v>-794338330.94791365</v>
      </c>
      <c r="AJ14" s="1531">
        <f ca="1">CF!AJ11</f>
        <v>-820033337.69299805</v>
      </c>
      <c r="AK14" s="1531">
        <f ca="1">CF!AK11</f>
        <v>-856865027.99649727</v>
      </c>
      <c r="AL14" s="1531">
        <f ca="1">CF!AL11</f>
        <v>-894999258.06149077</v>
      </c>
      <c r="AM14" s="1531">
        <f>CF!AM11</f>
        <v>0</v>
      </c>
      <c r="AN14" s="1531">
        <f>CF!AN11</f>
        <v>0</v>
      </c>
      <c r="AO14" s="1531">
        <f>CF!AO11</f>
        <v>0</v>
      </c>
      <c r="AP14" s="1531">
        <f>CF!AP11</f>
        <v>0</v>
      </c>
      <c r="AQ14" s="1531">
        <f>CF!AQ11</f>
        <v>0</v>
      </c>
      <c r="AR14" s="1531">
        <f>CF!AR11</f>
        <v>0</v>
      </c>
      <c r="AS14" s="1531">
        <f>CF!AS11</f>
        <v>0</v>
      </c>
      <c r="AT14" s="1531">
        <f>CF!AT11</f>
        <v>0</v>
      </c>
      <c r="AU14" s="1531">
        <f>CF!AU11</f>
        <v>0</v>
      </c>
      <c r="AV14" s="1531">
        <f>CF!AV11</f>
        <v>0</v>
      </c>
      <c r="AW14" s="1531">
        <f>CF!AW11</f>
        <v>0</v>
      </c>
      <c r="AX14" s="53">
        <f>CF!AX11</f>
        <v>0</v>
      </c>
    </row>
    <row r="15" spans="1:52">
      <c r="B15" s="27" t="s">
        <v>486</v>
      </c>
      <c r="C15" s="28" t="str">
        <f>$C$10</f>
        <v>US$</v>
      </c>
      <c r="D15" s="43">
        <f ca="1">SUM(I15:AW15)</f>
        <v>-4140451092.8002276</v>
      </c>
      <c r="E15" s="27"/>
      <c r="F15" s="27"/>
      <c r="G15" s="27"/>
      <c r="H15" s="27"/>
      <c r="I15" s="43">
        <f>CF!I16</f>
        <v>-715288869.70235205</v>
      </c>
      <c r="J15" s="43">
        <f>CF!J16</f>
        <v>-2422388762.4588017</v>
      </c>
      <c r="K15" s="43">
        <f ca="1">CF!K16</f>
        <v>-1002773460.6390738</v>
      </c>
      <c r="L15" s="43">
        <f ca="1">CF!L16</f>
        <v>0</v>
      </c>
      <c r="M15" s="43">
        <f ca="1">CF!M16</f>
        <v>0</v>
      </c>
      <c r="N15" s="43">
        <f ca="1">CF!N16</f>
        <v>0</v>
      </c>
      <c r="O15" s="43">
        <f ca="1">CF!O16</f>
        <v>0</v>
      </c>
      <c r="P15" s="43">
        <f ca="1">CF!P16</f>
        <v>0</v>
      </c>
      <c r="Q15" s="43">
        <f ca="1">CF!Q16</f>
        <v>0</v>
      </c>
      <c r="R15" s="43">
        <f ca="1">CF!R16</f>
        <v>0</v>
      </c>
      <c r="S15" s="43">
        <f ca="1">CF!S16</f>
        <v>0</v>
      </c>
      <c r="T15" s="43">
        <f ca="1">CF!T16</f>
        <v>0</v>
      </c>
      <c r="U15" s="43">
        <f ca="1">CF!U16</f>
        <v>0</v>
      </c>
      <c r="V15" s="43">
        <f ca="1">CF!V16</f>
        <v>0</v>
      </c>
      <c r="W15" s="43">
        <f ca="1">CF!W16</f>
        <v>0</v>
      </c>
      <c r="X15" s="43">
        <f ca="1">CF!X16</f>
        <v>0</v>
      </c>
      <c r="Y15" s="43">
        <f ca="1">CF!Y16</f>
        <v>0</v>
      </c>
      <c r="Z15" s="43">
        <f ca="1">CF!Z16</f>
        <v>0</v>
      </c>
      <c r="AA15" s="43">
        <f ca="1">CF!AA16</f>
        <v>0</v>
      </c>
      <c r="AB15" s="43">
        <f ca="1">CF!AB16</f>
        <v>0</v>
      </c>
      <c r="AC15" s="43">
        <f ca="1">CF!AC16</f>
        <v>0</v>
      </c>
      <c r="AD15" s="43">
        <f ca="1">CF!AD16</f>
        <v>0</v>
      </c>
      <c r="AE15" s="43">
        <f ca="1">CF!AE16</f>
        <v>0</v>
      </c>
      <c r="AF15" s="43">
        <f ca="1">CF!AF16</f>
        <v>0</v>
      </c>
      <c r="AG15" s="43">
        <f ca="1">CF!AG16</f>
        <v>0</v>
      </c>
      <c r="AH15" s="43">
        <f ca="1">CF!AH16</f>
        <v>0</v>
      </c>
      <c r="AI15" s="43">
        <f ca="1">CF!AI16</f>
        <v>0</v>
      </c>
      <c r="AJ15" s="43">
        <f ca="1">CF!AJ16</f>
        <v>0</v>
      </c>
      <c r="AK15" s="43">
        <f>CF!AK16</f>
        <v>0</v>
      </c>
      <c r="AL15" s="43">
        <f>CF!AL16</f>
        <v>0</v>
      </c>
      <c r="AM15" s="43">
        <f>CF!AM16</f>
        <v>0</v>
      </c>
      <c r="AN15" s="43">
        <f>CF!AN16</f>
        <v>0</v>
      </c>
      <c r="AO15" s="43">
        <f>CF!AO16</f>
        <v>0</v>
      </c>
      <c r="AP15" s="43">
        <f>CF!AP16</f>
        <v>0</v>
      </c>
      <c r="AQ15" s="43">
        <f>CF!AQ16</f>
        <v>0</v>
      </c>
      <c r="AR15" s="43">
        <f>CF!AR16</f>
        <v>0</v>
      </c>
      <c r="AS15" s="43">
        <f>CF!AS16</f>
        <v>0</v>
      </c>
      <c r="AT15" s="43">
        <f>CF!AT16</f>
        <v>0</v>
      </c>
      <c r="AU15" s="43">
        <f>CF!AU16</f>
        <v>0</v>
      </c>
      <c r="AV15" s="43">
        <f>CF!AV16</f>
        <v>0</v>
      </c>
      <c r="AW15" s="43">
        <f>CF!AW16</f>
        <v>0</v>
      </c>
      <c r="AX15" s="43">
        <f>CF!AX16</f>
        <v>0</v>
      </c>
      <c r="AY15" s="43">
        <f>CF!AY16</f>
        <v>0</v>
      </c>
      <c r="AZ15" s="43">
        <f>CF!AZ16</f>
        <v>0</v>
      </c>
    </row>
    <row r="16" spans="1:52">
      <c r="B16" s="2" t="s">
        <v>542</v>
      </c>
      <c r="C16" s="15" t="str">
        <f>$C$10</f>
        <v>US$</v>
      </c>
      <c r="D16" s="53">
        <f ca="1">SUM(I16:AX16)</f>
        <v>31425178623.684109</v>
      </c>
      <c r="I16" s="42">
        <f ca="1">SUM(I10:I15)</f>
        <v>-715288869.70235205</v>
      </c>
      <c r="J16" s="42">
        <f t="shared" ref="J16:AX16" ca="1" si="0">SUM(J10:J15)</f>
        <v>-2555302134.1949363</v>
      </c>
      <c r="K16" s="42">
        <f ca="1">SUM(K10:K15)</f>
        <v>-369794299.88087118</v>
      </c>
      <c r="L16" s="42">
        <f ca="1">SUM(L10:L15)</f>
        <v>1098825625.1228125</v>
      </c>
      <c r="M16" s="42">
        <f t="shared" ca="1" si="0"/>
        <v>1287138816.7670498</v>
      </c>
      <c r="N16" s="42">
        <f t="shared" ca="1" si="0"/>
        <v>1235142969.2183952</v>
      </c>
      <c r="O16" s="42">
        <f t="shared" ca="1" si="0"/>
        <v>1311538698.7171669</v>
      </c>
      <c r="P16" s="42">
        <f t="shared" ca="1" si="0"/>
        <v>1378423205.9664679</v>
      </c>
      <c r="Q16" s="42">
        <f t="shared" ca="1" si="0"/>
        <v>1446283930.695797</v>
      </c>
      <c r="R16" s="42">
        <f t="shared" ca="1" si="0"/>
        <v>1256061193.4168353</v>
      </c>
      <c r="S16" s="42">
        <f t="shared" ca="1" si="0"/>
        <v>1207884203.90569</v>
      </c>
      <c r="T16" s="42">
        <f t="shared" ca="1" si="0"/>
        <v>1272352254.8749526</v>
      </c>
      <c r="U16" s="42">
        <f t="shared" ca="1" si="0"/>
        <v>1340189102.7203531</v>
      </c>
      <c r="V16" s="42">
        <f t="shared" ca="1" si="0"/>
        <v>1413538180.374898</v>
      </c>
      <c r="W16" s="42">
        <f t="shared" ca="1" si="0"/>
        <v>1488162019.2188802</v>
      </c>
      <c r="X16" s="42">
        <f t="shared" ca="1" si="0"/>
        <v>1095516892.2922254</v>
      </c>
      <c r="Y16" s="42">
        <f t="shared" ca="1" si="0"/>
        <v>1029475513.2958392</v>
      </c>
      <c r="Z16" s="42">
        <f t="shared" ca="1" si="0"/>
        <v>1064963715.097106</v>
      </c>
      <c r="AA16" s="42">
        <f t="shared" ca="1" si="0"/>
        <v>1098639069.1592007</v>
      </c>
      <c r="AB16" s="42">
        <f t="shared" ca="1" si="0"/>
        <v>1136243625.7467225</v>
      </c>
      <c r="AC16" s="42">
        <f t="shared" ca="1" si="0"/>
        <v>1173806114.2695174</v>
      </c>
      <c r="AD16" s="42">
        <f t="shared" ca="1" si="0"/>
        <v>1213404756.3520699</v>
      </c>
      <c r="AE16" s="42">
        <f t="shared" ca="1" si="0"/>
        <v>1250661968.0802062</v>
      </c>
      <c r="AF16" s="42">
        <f t="shared" ca="1" si="0"/>
        <v>1292310791.630621</v>
      </c>
      <c r="AG16" s="42">
        <f t="shared" ca="1" si="0"/>
        <v>1334032388.9405365</v>
      </c>
      <c r="AH16" s="42">
        <f t="shared" ca="1" si="0"/>
        <v>1378145502.7477803</v>
      </c>
      <c r="AI16" s="42">
        <f t="shared" ca="1" si="0"/>
        <v>1419714231.8299141</v>
      </c>
      <c r="AJ16" s="42">
        <f t="shared" ca="1" si="0"/>
        <v>1466299310.4180112</v>
      </c>
      <c r="AK16" s="42">
        <f t="shared" ca="1" si="0"/>
        <v>1502759440.8589549</v>
      </c>
      <c r="AL16" s="42">
        <f t="shared" ca="1" si="0"/>
        <v>1874050405.7442648</v>
      </c>
      <c r="AM16" s="42">
        <f t="shared" si="0"/>
        <v>0</v>
      </c>
      <c r="AN16" s="42">
        <f t="shared" si="0"/>
        <v>0</v>
      </c>
      <c r="AO16" s="42">
        <f t="shared" si="0"/>
        <v>0</v>
      </c>
      <c r="AP16" s="42">
        <f t="shared" si="0"/>
        <v>0</v>
      </c>
      <c r="AQ16" s="42">
        <f t="shared" si="0"/>
        <v>0</v>
      </c>
      <c r="AR16" s="42">
        <f t="shared" si="0"/>
        <v>0</v>
      </c>
      <c r="AS16" s="42">
        <f t="shared" si="0"/>
        <v>0</v>
      </c>
      <c r="AT16" s="42">
        <f t="shared" si="0"/>
        <v>0</v>
      </c>
      <c r="AU16" s="42">
        <f t="shared" si="0"/>
        <v>0</v>
      </c>
      <c r="AV16" s="42">
        <f t="shared" si="0"/>
        <v>0</v>
      </c>
      <c r="AW16" s="42">
        <f t="shared" si="0"/>
        <v>0</v>
      </c>
      <c r="AX16" s="42">
        <f t="shared" si="0"/>
        <v>0</v>
      </c>
    </row>
    <row r="17" spans="1:52">
      <c r="C17" s="15"/>
      <c r="D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row>
    <row r="18" spans="1:52">
      <c r="C18" s="15"/>
      <c r="D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row>
    <row r="19" spans="1:52">
      <c r="B19" s="29" t="s">
        <v>543</v>
      </c>
      <c r="C19" s="15"/>
      <c r="D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row>
    <row r="20" spans="1:52">
      <c r="B20" s="2" t="s">
        <v>544</v>
      </c>
      <c r="C20" s="15" t="str">
        <f>$C$10</f>
        <v>US$</v>
      </c>
      <c r="D20" s="53">
        <f>SUM(I20:AX20)</f>
        <v>-1242135327.8400679</v>
      </c>
      <c r="I20" s="53">
        <f>-CF!I19</f>
        <v>-715288869.70235205</v>
      </c>
      <c r="J20" s="53">
        <f>-CF!J19</f>
        <v>-526846458.1377157</v>
      </c>
      <c r="K20" s="53">
        <f>-CF!K19</f>
        <v>0</v>
      </c>
      <c r="L20" s="53">
        <f>-CF!L19</f>
        <v>0</v>
      </c>
      <c r="M20" s="53">
        <f>-CF!M19</f>
        <v>0</v>
      </c>
      <c r="N20" s="53">
        <f>-CF!N19</f>
        <v>0</v>
      </c>
      <c r="O20" s="53">
        <f>-CF!O19</f>
        <v>0</v>
      </c>
      <c r="P20" s="53">
        <f>-CF!P19</f>
        <v>0</v>
      </c>
      <c r="Q20" s="53">
        <f>-CF!Q19</f>
        <v>0</v>
      </c>
      <c r="R20" s="53">
        <f>-CF!R19</f>
        <v>0</v>
      </c>
      <c r="S20" s="53">
        <f>-CF!S19</f>
        <v>0</v>
      </c>
      <c r="T20" s="53">
        <f>-CF!T19</f>
        <v>0</v>
      </c>
      <c r="U20" s="53">
        <f>-CF!U19</f>
        <v>0</v>
      </c>
      <c r="V20" s="53">
        <f>-CF!V19</f>
        <v>0</v>
      </c>
      <c r="W20" s="53">
        <f>-CF!W19</f>
        <v>0</v>
      </c>
      <c r="X20" s="53">
        <f>-CF!X19</f>
        <v>0</v>
      </c>
      <c r="Y20" s="53">
        <f>-CF!Y19</f>
        <v>0</v>
      </c>
      <c r="Z20" s="53">
        <f>-CF!Z19</f>
        <v>0</v>
      </c>
      <c r="AA20" s="53">
        <f>-CF!AA19</f>
        <v>0</v>
      </c>
      <c r="AB20" s="53">
        <f>-CF!AB19</f>
        <v>0</v>
      </c>
      <c r="AC20" s="53">
        <f>-CF!AC19</f>
        <v>0</v>
      </c>
      <c r="AD20" s="53">
        <f>-CF!AD19</f>
        <v>0</v>
      </c>
      <c r="AE20" s="53">
        <f>-CF!AE19</f>
        <v>0</v>
      </c>
      <c r="AF20" s="53">
        <f>-CF!AF19</f>
        <v>0</v>
      </c>
      <c r="AG20" s="53">
        <f>-CF!AG19</f>
        <v>0</v>
      </c>
      <c r="AH20" s="53">
        <f>-CF!AH19</f>
        <v>0</v>
      </c>
      <c r="AI20" s="53">
        <f>-CF!AI19</f>
        <v>0</v>
      </c>
      <c r="AJ20" s="53">
        <f>-CF!AJ19</f>
        <v>0</v>
      </c>
      <c r="AK20" s="53">
        <f>-CF!AK19</f>
        <v>0</v>
      </c>
      <c r="AL20" s="53">
        <f>-CF!AL19</f>
        <v>0</v>
      </c>
      <c r="AM20" s="53">
        <f>-CF!AM19</f>
        <v>0</v>
      </c>
      <c r="AN20" s="53">
        <f>-CF!AN19</f>
        <v>0</v>
      </c>
      <c r="AO20" s="53">
        <f>-CF!AO19</f>
        <v>0</v>
      </c>
      <c r="AP20" s="53">
        <f>-CF!AP19</f>
        <v>0</v>
      </c>
      <c r="AQ20" s="53">
        <f>-CF!AQ19</f>
        <v>0</v>
      </c>
      <c r="AR20" s="53">
        <f>-CF!AR19</f>
        <v>0</v>
      </c>
      <c r="AS20" s="53">
        <f>-CF!AS19</f>
        <v>0</v>
      </c>
      <c r="AT20" s="53">
        <f>-CF!AT19</f>
        <v>0</v>
      </c>
      <c r="AU20" s="53">
        <f>-CF!AU19</f>
        <v>0</v>
      </c>
      <c r="AV20" s="53">
        <f>-CF!AV19</f>
        <v>0</v>
      </c>
    </row>
    <row r="21" spans="1:52">
      <c r="B21" s="2" t="s">
        <v>500</v>
      </c>
      <c r="C21" s="15" t="str">
        <f>$C$10</f>
        <v>US$</v>
      </c>
      <c r="D21" s="53">
        <f ca="1">SUM(I21:AX21)</f>
        <v>21210912668.453354</v>
      </c>
      <c r="I21" s="53">
        <f ca="1">-CF!I35</f>
        <v>0</v>
      </c>
      <c r="J21" s="53">
        <f ca="1">-CF!J35</f>
        <v>0</v>
      </c>
      <c r="K21" s="53">
        <f ca="1">-CF!K35</f>
        <v>0</v>
      </c>
      <c r="L21" s="53">
        <f ca="1">-CF!L35</f>
        <v>155025276.2896556</v>
      </c>
      <c r="M21" s="53">
        <f ca="1">-CF!M35</f>
        <v>227347039.43063083</v>
      </c>
      <c r="N21" s="53">
        <f ca="1">-CF!N35</f>
        <v>288124209.36050177</v>
      </c>
      <c r="O21" s="53">
        <f ca="1">-CF!O35</f>
        <v>361289591.41360027</v>
      </c>
      <c r="P21" s="53">
        <f ca="1">-CF!P35</f>
        <v>438596621.84971422</v>
      </c>
      <c r="Q21" s="53">
        <f ca="1">-CF!Q35</f>
        <v>523411100.51175404</v>
      </c>
      <c r="R21" s="53">
        <f ca="1">-CF!R35</f>
        <v>573449769.13911676</v>
      </c>
      <c r="S21" s="53">
        <f ca="1">-CF!S35</f>
        <v>683330946.14545572</v>
      </c>
      <c r="T21" s="53">
        <f ca="1">-CF!T35</f>
        <v>783133296.44681394</v>
      </c>
      <c r="U21" s="53">
        <f ca="1">-CF!U35</f>
        <v>882001923.3333801</v>
      </c>
      <c r="V21" s="53">
        <f ca="1">-CF!V35</f>
        <v>976253719.36866021</v>
      </c>
      <c r="W21" s="53">
        <f ca="1">-CF!W35</f>
        <v>1077859338.8075821</v>
      </c>
      <c r="X21" s="53">
        <f ca="1">-CF!X35</f>
        <v>1098567416.7028735</v>
      </c>
      <c r="Y21" s="53">
        <f ca="1">-CF!Y35</f>
        <v>1109680624.1883595</v>
      </c>
      <c r="Z21" s="53">
        <f ca="1">-CF!Z35</f>
        <v>1121535370.4584107</v>
      </c>
      <c r="AA21" s="53">
        <f ca="1">-CF!AA35</f>
        <v>1146362716.9640911</v>
      </c>
      <c r="AB21" s="53">
        <f ca="1">-CF!AB35</f>
        <v>1149854305.7021184</v>
      </c>
      <c r="AC21" s="53">
        <f ca="1">-CF!AC35</f>
        <v>1161885476.5317512</v>
      </c>
      <c r="AD21" s="53">
        <f ca="1">-CF!AD35</f>
        <v>1175309556.3305271</v>
      </c>
      <c r="AE21" s="53">
        <f ca="1">-CF!AE35</f>
        <v>1202981110.8956997</v>
      </c>
      <c r="AF21" s="53">
        <f ca="1">-CF!AF35</f>
        <v>1223598212.6286387</v>
      </c>
      <c r="AG21" s="53">
        <f ca="1">-CF!AG35</f>
        <v>1251506969.0331321</v>
      </c>
      <c r="AH21" s="53">
        <f ca="1">-CF!AH35</f>
        <v>1279109353.3478193</v>
      </c>
      <c r="AI21" s="53">
        <f ca="1">-CF!AI35</f>
        <v>1320698723.5730693</v>
      </c>
      <c r="AJ21" s="53">
        <f ca="1">-CF!AJ35</f>
        <v>0</v>
      </c>
      <c r="AK21" s="53">
        <f ca="1">-CF!AK35</f>
        <v>0</v>
      </c>
      <c r="AL21" s="53">
        <f ca="1">-CF!AL35</f>
        <v>0</v>
      </c>
      <c r="AM21" s="53">
        <f>-CF!AM35</f>
        <v>0</v>
      </c>
      <c r="AN21" s="53">
        <f>-CF!AN35</f>
        <v>0</v>
      </c>
      <c r="AO21" s="53">
        <f>-CF!AO35</f>
        <v>0</v>
      </c>
      <c r="AP21" s="53">
        <f>-CF!AP35</f>
        <v>0</v>
      </c>
      <c r="AQ21" s="53">
        <f>-CF!AQ35</f>
        <v>0</v>
      </c>
      <c r="AR21" s="53">
        <f>-CF!AR35</f>
        <v>0</v>
      </c>
      <c r="AS21" s="53">
        <f>-CF!AS35</f>
        <v>0</v>
      </c>
      <c r="AT21" s="53">
        <f>-CF!AT35</f>
        <v>0</v>
      </c>
      <c r="AU21" s="53">
        <f>-CF!AU35</f>
        <v>0</v>
      </c>
      <c r="AV21" s="53">
        <f>-CF!AV35</f>
        <v>0</v>
      </c>
    </row>
    <row r="22" spans="1:52">
      <c r="B22" s="27" t="s">
        <v>545</v>
      </c>
      <c r="C22" s="28" t="str">
        <f>$C$10</f>
        <v>US$</v>
      </c>
      <c r="D22" s="43">
        <f>SUM(I22:AI22)</f>
        <v>0</v>
      </c>
      <c r="E22" s="27"/>
      <c r="F22" s="27"/>
      <c r="G22" s="27"/>
      <c r="H22" s="27"/>
      <c r="I22" s="43">
        <f>-CF!I38</f>
        <v>0</v>
      </c>
      <c r="J22" s="43">
        <f>-CF!J38</f>
        <v>0</v>
      </c>
      <c r="K22" s="43">
        <f>-CF!K38</f>
        <v>0</v>
      </c>
      <c r="L22" s="43">
        <f>-CF!L38</f>
        <v>0</v>
      </c>
      <c r="M22" s="43">
        <f>-CF!M38</f>
        <v>0</v>
      </c>
      <c r="N22" s="43">
        <f>-CF!N38</f>
        <v>0</v>
      </c>
      <c r="O22" s="43">
        <f>-CF!O38</f>
        <v>0</v>
      </c>
      <c r="P22" s="43">
        <f>-CF!P38</f>
        <v>0</v>
      </c>
      <c r="Q22" s="43">
        <f>-CF!Q38</f>
        <v>0</v>
      </c>
      <c r="R22" s="43">
        <f>-CF!R38</f>
        <v>0</v>
      </c>
      <c r="S22" s="43">
        <f>-CF!S38</f>
        <v>0</v>
      </c>
      <c r="T22" s="43">
        <f>-CF!T38</f>
        <v>0</v>
      </c>
      <c r="U22" s="43">
        <f>-CF!U38</f>
        <v>0</v>
      </c>
      <c r="V22" s="43">
        <f>-CF!V38</f>
        <v>0</v>
      </c>
      <c r="W22" s="43">
        <f>-CF!W38</f>
        <v>0</v>
      </c>
      <c r="X22" s="43">
        <f>-CF!X38</f>
        <v>0</v>
      </c>
      <c r="Y22" s="43">
        <f>-CF!Y38</f>
        <v>0</v>
      </c>
      <c r="Z22" s="43">
        <f>-CF!Z38</f>
        <v>0</v>
      </c>
      <c r="AA22" s="43">
        <f>-CF!AA38</f>
        <v>0</v>
      </c>
      <c r="AB22" s="43">
        <f>-CF!AB38</f>
        <v>0</v>
      </c>
      <c r="AC22" s="43">
        <f>-CF!AC38</f>
        <v>0</v>
      </c>
      <c r="AD22" s="43">
        <f>-CF!AD38</f>
        <v>0</v>
      </c>
      <c r="AE22" s="43">
        <f>-CF!AE38</f>
        <v>0</v>
      </c>
      <c r="AF22" s="43">
        <f>-CF!AF38</f>
        <v>0</v>
      </c>
      <c r="AG22" s="43">
        <f>-CF!AG38</f>
        <v>0</v>
      </c>
      <c r="AH22" s="43">
        <f>-CF!AH38</f>
        <v>0</v>
      </c>
      <c r="AI22" s="43">
        <f>-CF!AI38</f>
        <v>0</v>
      </c>
      <c r="AJ22" s="43">
        <f>-CF!AJ38</f>
        <v>0</v>
      </c>
      <c r="AK22" s="43">
        <f>-CF!AK38</f>
        <v>0</v>
      </c>
      <c r="AL22" s="43">
        <f>-CF!AL38</f>
        <v>1242135327.8400679</v>
      </c>
      <c r="AM22" s="43">
        <f>-CF!AM38</f>
        <v>0</v>
      </c>
      <c r="AN22" s="43">
        <f>-CF!AN38</f>
        <v>0</v>
      </c>
      <c r="AO22" s="43">
        <f>-CF!AO38</f>
        <v>0</v>
      </c>
      <c r="AP22" s="43">
        <f>-CF!AP38</f>
        <v>0</v>
      </c>
      <c r="AQ22" s="43">
        <f>-CF!AQ38</f>
        <v>0</v>
      </c>
      <c r="AR22" s="43">
        <f>-CF!AR38</f>
        <v>0</v>
      </c>
      <c r="AS22" s="43">
        <f>-CF!AS38</f>
        <v>0</v>
      </c>
      <c r="AT22" s="43">
        <f>-CF!AT38</f>
        <v>0</v>
      </c>
      <c r="AU22" s="43">
        <f>-CF!AU38</f>
        <v>0</v>
      </c>
      <c r="AV22" s="43">
        <f>-CF!AV38</f>
        <v>0</v>
      </c>
      <c r="AW22" s="43">
        <f>-CF!AW38</f>
        <v>0</v>
      </c>
      <c r="AX22" s="43">
        <f>-CF!AX38</f>
        <v>0</v>
      </c>
      <c r="AY22" s="43">
        <f>-CF!AY38</f>
        <v>0</v>
      </c>
      <c r="AZ22" s="43">
        <f>-CF!AZ38</f>
        <v>0</v>
      </c>
    </row>
    <row r="23" spans="1:52">
      <c r="B23" s="2" t="s">
        <v>546</v>
      </c>
      <c r="C23" s="15" t="str">
        <f>$C$10</f>
        <v>US$</v>
      </c>
      <c r="D23" s="53">
        <f ca="1">SUM(I23:AI23)</f>
        <v>19968777340.613289</v>
      </c>
      <c r="I23" s="53">
        <f ca="1">SUM(I20:I22)</f>
        <v>-715288869.70235205</v>
      </c>
      <c r="J23" s="53">
        <f t="shared" ref="J23:AV23" ca="1" si="1">SUM(J20:J22)</f>
        <v>-526846458.1377157</v>
      </c>
      <c r="K23" s="53">
        <f t="shared" ca="1" si="1"/>
        <v>0</v>
      </c>
      <c r="L23" s="53">
        <f t="shared" ca="1" si="1"/>
        <v>155025276.2896556</v>
      </c>
      <c r="M23" s="53">
        <f t="shared" ca="1" si="1"/>
        <v>227347039.43063083</v>
      </c>
      <c r="N23" s="53">
        <f t="shared" ca="1" si="1"/>
        <v>288124209.36050177</v>
      </c>
      <c r="O23" s="53">
        <f t="shared" ca="1" si="1"/>
        <v>361289591.41360027</v>
      </c>
      <c r="P23" s="53">
        <f t="shared" ca="1" si="1"/>
        <v>438596621.84971422</v>
      </c>
      <c r="Q23" s="53">
        <f t="shared" ca="1" si="1"/>
        <v>523411100.51175404</v>
      </c>
      <c r="R23" s="53">
        <f t="shared" ca="1" si="1"/>
        <v>573449769.13911676</v>
      </c>
      <c r="S23" s="53">
        <f t="shared" ca="1" si="1"/>
        <v>683330946.14545572</v>
      </c>
      <c r="T23" s="53">
        <f t="shared" ca="1" si="1"/>
        <v>783133296.44681394</v>
      </c>
      <c r="U23" s="53">
        <f t="shared" ca="1" si="1"/>
        <v>882001923.3333801</v>
      </c>
      <c r="V23" s="53">
        <f t="shared" ca="1" si="1"/>
        <v>976253719.36866021</v>
      </c>
      <c r="W23" s="53">
        <f t="shared" ca="1" si="1"/>
        <v>1077859338.8075821</v>
      </c>
      <c r="X23" s="53">
        <f t="shared" ca="1" si="1"/>
        <v>1098567416.7028735</v>
      </c>
      <c r="Y23" s="53">
        <f t="shared" ca="1" si="1"/>
        <v>1109680624.1883595</v>
      </c>
      <c r="Z23" s="53">
        <f t="shared" ca="1" si="1"/>
        <v>1121535370.4584107</v>
      </c>
      <c r="AA23" s="53">
        <f t="shared" ca="1" si="1"/>
        <v>1146362716.9640911</v>
      </c>
      <c r="AB23" s="53">
        <f t="shared" ca="1" si="1"/>
        <v>1149854305.7021184</v>
      </c>
      <c r="AC23" s="53">
        <f t="shared" ca="1" si="1"/>
        <v>1161885476.5317512</v>
      </c>
      <c r="AD23" s="53">
        <f t="shared" ca="1" si="1"/>
        <v>1175309556.3305271</v>
      </c>
      <c r="AE23" s="53">
        <f t="shared" ca="1" si="1"/>
        <v>1202981110.8956997</v>
      </c>
      <c r="AF23" s="53">
        <f t="shared" ca="1" si="1"/>
        <v>1223598212.6286387</v>
      </c>
      <c r="AG23" s="53">
        <f t="shared" ca="1" si="1"/>
        <v>1251506969.0331321</v>
      </c>
      <c r="AH23" s="53">
        <f t="shared" ca="1" si="1"/>
        <v>1279109353.3478193</v>
      </c>
      <c r="AI23" s="53">
        <f t="shared" ca="1" si="1"/>
        <v>1320698723.5730693</v>
      </c>
      <c r="AJ23" s="53">
        <f t="shared" ca="1" si="1"/>
        <v>0</v>
      </c>
      <c r="AK23" s="53">
        <f t="shared" ca="1" si="1"/>
        <v>0</v>
      </c>
      <c r="AL23" s="53">
        <f t="shared" ca="1" si="1"/>
        <v>1242135327.8400679</v>
      </c>
      <c r="AM23" s="53">
        <f t="shared" si="1"/>
        <v>0</v>
      </c>
      <c r="AN23" s="53">
        <f t="shared" si="1"/>
        <v>0</v>
      </c>
      <c r="AO23" s="53">
        <f t="shared" si="1"/>
        <v>0</v>
      </c>
      <c r="AP23" s="53">
        <f t="shared" si="1"/>
        <v>0</v>
      </c>
      <c r="AQ23" s="53">
        <f t="shared" si="1"/>
        <v>0</v>
      </c>
      <c r="AR23" s="53">
        <f t="shared" si="1"/>
        <v>0</v>
      </c>
      <c r="AS23" s="53">
        <f t="shared" si="1"/>
        <v>0</v>
      </c>
      <c r="AT23" s="53">
        <f t="shared" si="1"/>
        <v>0</v>
      </c>
      <c r="AU23" s="53">
        <f t="shared" si="1"/>
        <v>0</v>
      </c>
      <c r="AV23" s="53">
        <f t="shared" si="1"/>
        <v>0</v>
      </c>
    </row>
    <row r="24" spans="1:52">
      <c r="C24" s="15"/>
      <c r="D24" s="53"/>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row>
    <row r="25" spans="1:52">
      <c r="C25" s="15"/>
      <c r="D25" s="53"/>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row>
    <row r="26" spans="1:52">
      <c r="B26" s="29" t="s">
        <v>547</v>
      </c>
      <c r="C26" s="15"/>
      <c r="D26" s="42"/>
      <c r="I26" s="1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row>
    <row r="27" spans="1:52">
      <c r="B27" s="2" t="s">
        <v>544</v>
      </c>
      <c r="C27" s="15" t="str">
        <f>$C$10</f>
        <v>US$</v>
      </c>
      <c r="D27" s="53">
        <f>SUM(I27:AI27)</f>
        <v>-1242135327.8400679</v>
      </c>
      <c r="I27" s="53">
        <f>-CF!I19</f>
        <v>-715288869.70235205</v>
      </c>
      <c r="J27" s="53">
        <f>-CF!J19</f>
        <v>-526846458.1377157</v>
      </c>
      <c r="K27" s="53">
        <f>-CF!K19</f>
        <v>0</v>
      </c>
      <c r="L27" s="53">
        <f>-CF!L19</f>
        <v>0</v>
      </c>
      <c r="M27" s="53">
        <f>-CF!M19</f>
        <v>0</v>
      </c>
      <c r="N27" s="53">
        <f>-CF!N19</f>
        <v>0</v>
      </c>
      <c r="O27" s="53">
        <f>-CF!O19</f>
        <v>0</v>
      </c>
      <c r="P27" s="53">
        <f>-CF!P19</f>
        <v>0</v>
      </c>
      <c r="Q27" s="53">
        <f>-CF!Q19</f>
        <v>0</v>
      </c>
      <c r="R27" s="53">
        <f>-CF!R19</f>
        <v>0</v>
      </c>
      <c r="S27" s="53">
        <f>-CF!S19</f>
        <v>0</v>
      </c>
      <c r="T27" s="53">
        <f>-CF!T19</f>
        <v>0</v>
      </c>
      <c r="U27" s="53">
        <f>-CF!U19</f>
        <v>0</v>
      </c>
      <c r="V27" s="53">
        <f>-CF!V19</f>
        <v>0</v>
      </c>
      <c r="W27" s="53">
        <f>-CF!W19</f>
        <v>0</v>
      </c>
      <c r="X27" s="53">
        <f>-CF!X19</f>
        <v>0</v>
      </c>
      <c r="Y27" s="53">
        <f>-CF!Y19</f>
        <v>0</v>
      </c>
      <c r="Z27" s="53">
        <f>-CF!Z19</f>
        <v>0</v>
      </c>
      <c r="AA27" s="53">
        <f>-CF!AA19</f>
        <v>0</v>
      </c>
      <c r="AB27" s="53">
        <f>-CF!AB19</f>
        <v>0</v>
      </c>
      <c r="AC27" s="53">
        <f>-CF!AC19</f>
        <v>0</v>
      </c>
      <c r="AD27" s="53">
        <f>-CF!AD19</f>
        <v>0</v>
      </c>
      <c r="AE27" s="53">
        <f>-CF!AE19</f>
        <v>0</v>
      </c>
      <c r="AF27" s="53">
        <f>-CF!AF19</f>
        <v>0</v>
      </c>
      <c r="AG27" s="53">
        <f>-CF!AG19</f>
        <v>0</v>
      </c>
      <c r="AH27" s="53">
        <f>-CF!AH19</f>
        <v>0</v>
      </c>
      <c r="AI27" s="53">
        <f>-CF!AI19</f>
        <v>0</v>
      </c>
      <c r="AJ27" s="53">
        <f>-CF!AJ19</f>
        <v>0</v>
      </c>
      <c r="AK27" s="53">
        <f>-CF!AK19</f>
        <v>0</v>
      </c>
      <c r="AL27" s="53">
        <f>-CF!AL19</f>
        <v>0</v>
      </c>
      <c r="AM27" s="53">
        <f>-CF!AM19</f>
        <v>0</v>
      </c>
      <c r="AN27" s="53">
        <f>-CF!AN19</f>
        <v>0</v>
      </c>
      <c r="AO27" s="53">
        <f>-CF!AO19</f>
        <v>0</v>
      </c>
      <c r="AP27" s="53">
        <f>-CF!AP19</f>
        <v>0</v>
      </c>
      <c r="AQ27" s="53">
        <f>-CF!AQ19</f>
        <v>0</v>
      </c>
      <c r="AR27" s="53">
        <f>-CF!AR19</f>
        <v>0</v>
      </c>
      <c r="AS27" s="53">
        <f>-CF!AS19</f>
        <v>0</v>
      </c>
      <c r="AT27" s="53">
        <f>-CF!AT19</f>
        <v>0</v>
      </c>
      <c r="AU27" s="53">
        <f>-CF!AU19</f>
        <v>0</v>
      </c>
      <c r="AV27" s="53">
        <f>-CF!AV19</f>
        <v>0</v>
      </c>
    </row>
    <row r="28" spans="1:52">
      <c r="A28" s="220"/>
      <c r="B28" s="27" t="s">
        <v>548</v>
      </c>
      <c r="C28" s="28" t="str">
        <f>$C$10</f>
        <v>US$</v>
      </c>
      <c r="D28" s="43">
        <f ca="1">SUM(I28:AI28)</f>
        <v>145459012847.45868</v>
      </c>
      <c r="E28" s="221"/>
      <c r="F28" s="221"/>
      <c r="G28" s="221"/>
      <c r="H28" s="221"/>
      <c r="I28" s="192">
        <f ca="1">(CF!I33+CF!I41)*(CF!I33+CF!I41&gt;0)</f>
        <v>0</v>
      </c>
      <c r="J28" s="192">
        <f ca="1">(CF!J33+CF!J41)*(CF!J33+CF!J41&gt;0)</f>
        <v>0</v>
      </c>
      <c r="K28" s="192">
        <f ca="1">(CF!K33+CF!K41)*(CF!K33+CF!K41&gt;0)</f>
        <v>632979160.75820112</v>
      </c>
      <c r="L28" s="192">
        <f ca="1">(CF!L33+CF!L41)*(CF!L33+CF!L41&gt;0)</f>
        <v>1033501841.9310374</v>
      </c>
      <c r="M28" s="192">
        <f ca="1">(CF!M33+CF!M41)*(CF!M33+CF!M41&gt;0)</f>
        <v>1515646929.537539</v>
      </c>
      <c r="N28" s="192">
        <f ca="1">(CF!N33+CF!N41)*(CF!N33+CF!N41&gt;0)</f>
        <v>1926090605.0400667</v>
      </c>
      <c r="O28" s="192">
        <f ca="1">(CF!O33+CF!O41)*(CF!O33+CF!O41&gt;0)</f>
        <v>2402016409.2161036</v>
      </c>
      <c r="P28" s="192">
        <f ca="1">(CF!P33+CF!P41)*(CF!P33+CF!P41&gt;0)</f>
        <v>2923977478.998095</v>
      </c>
      <c r="Q28" s="192">
        <f ca="1">(CF!Q33+CF!Q41)*(CF!Q33+CF!Q41&gt;0)</f>
        <v>3489407336.7450271</v>
      </c>
      <c r="R28" s="192">
        <f ca="1">(CF!R33+CF!R41)*(CF!R33+CF!R41&gt;0)</f>
        <v>3833472429.3135481</v>
      </c>
      <c r="S28" s="192">
        <f ca="1">(CF!S33+CF!S41)*(CF!S33+CF!S41&gt;0)</f>
        <v>4543092811.3495684</v>
      </c>
      <c r="T28" s="192">
        <f ca="1">(CF!T33+CF!T41)*(CF!T33+CF!T41&gt;0)</f>
        <v>5220888642.9787598</v>
      </c>
      <c r="U28" s="192">
        <f ca="1">(CF!U33+CF!U41)*(CF!U33+CF!U41&gt;0)</f>
        <v>5880012822.2225342</v>
      </c>
      <c r="V28" s="192">
        <f ca="1">(CF!V33+CF!V41)*(CF!V33+CF!V41&gt;0)</f>
        <v>6526189247.2863865</v>
      </c>
      <c r="W28" s="192">
        <f ca="1">(CF!W33+CF!W41)*(CF!W33+CF!W41&gt;0)</f>
        <v>7166095786.2434874</v>
      </c>
      <c r="X28" s="192">
        <f ca="1">(CF!X33+CF!X41)*(CF!X33+CF!X41&gt;0)</f>
        <v>7323782778.0191565</v>
      </c>
      <c r="Y28" s="192">
        <f ca="1">(CF!Y33+CF!Y41)*(CF!Y33+CF!Y41&gt;0)</f>
        <v>7397870827.9223967</v>
      </c>
      <c r="Z28" s="192">
        <f ca="1">(CF!Z33+CF!Z41)*(CF!Z33+CF!Z41&gt;0)</f>
        <v>7497387134.0233488</v>
      </c>
      <c r="AA28" s="192">
        <f ca="1">(CF!AA33+CF!AA41)*(CF!AA33+CF!AA41&gt;0)</f>
        <v>7621537189.287672</v>
      </c>
      <c r="AB28" s="192">
        <f ca="1">(CF!AB33+CF!AB41)*(CF!AB33+CF!AB41&gt;0)</f>
        <v>7760347110.9337463</v>
      </c>
      <c r="AC28" s="192">
        <f ca="1">(CF!AC33+CF!AC41)*(CF!AC33+CF!AC41&gt;0)</f>
        <v>7936340254.0214729</v>
      </c>
      <c r="AD28" s="192">
        <f ca="1">(CF!AD33+CF!AD41)*(CF!AD33+CF!AD41&gt;0)</f>
        <v>8143246276.6205521</v>
      </c>
      <c r="AE28" s="192">
        <f ca="1">(CF!AE33+CF!AE41)*(CF!AE33+CF!AE41&gt;0)</f>
        <v>8379300308.4014683</v>
      </c>
      <c r="AF28" s="192">
        <f ca="1">(CF!AF33+CF!AF41)*(CF!AF33+CF!AF41&gt;0)</f>
        <v>8633685330.6790218</v>
      </c>
      <c r="AG28" s="192">
        <f ca="1">(CF!AG33+CF!AG41)*(CF!AG33+CF!AG41&gt;0)</f>
        <v>8914551510.7060795</v>
      </c>
      <c r="AH28" s="192">
        <f ca="1">(CF!AH33+CF!AH41)*(CF!AH33+CF!AH41&gt;0)</f>
        <v>9216958511.4353294</v>
      </c>
      <c r="AI28" s="192">
        <f ca="1">(CF!AI33+CF!AI41)*(CF!AI33+CF!AI41&gt;0)</f>
        <v>9540634113.7880554</v>
      </c>
      <c r="AJ28" s="192">
        <f ca="1">(CF!AJ33+CF!AJ41)*(CF!AJ33+CF!AJ41&gt;0)</f>
        <v>9875293214.6079426</v>
      </c>
      <c r="AK28" s="192">
        <f ca="1">(CF!AK33+CF!AK41)*(CF!AK33+CF!AK41&gt;0)</f>
        <v>11605184399.40288</v>
      </c>
      <c r="AL28" s="192">
        <f ca="1">(CF!AL33+CF!AL41)*(CF!AL33+CF!AL41&gt;0)</f>
        <v>13746154046.33341</v>
      </c>
      <c r="AM28" s="192">
        <f>(CF!AM33+CF!AM41)*(CF!AM33+CF!AM41&gt;0)</f>
        <v>0</v>
      </c>
      <c r="AN28" s="192">
        <f>(CF!AN33+CF!AN41)*(CF!AN33+CF!AN41&gt;0)</f>
        <v>0</v>
      </c>
      <c r="AO28" s="192">
        <f>(CF!AO33+CF!AO41)*(CF!AO33+CF!AO41&gt;0)</f>
        <v>0</v>
      </c>
      <c r="AP28" s="192">
        <f>(CF!AP33+CF!AP41)*(CF!AP33+CF!AP41&gt;0)</f>
        <v>0</v>
      </c>
      <c r="AQ28" s="192">
        <f>(CF!AQ33+CF!AQ41)*(CF!AQ33+CF!AQ41&gt;0)</f>
        <v>0</v>
      </c>
      <c r="AR28" s="192">
        <f>(CF!AR33+CF!AR41)*(CF!AR33+CF!AR41&gt;0)</f>
        <v>0</v>
      </c>
      <c r="AS28" s="192">
        <f>(CF!AS33+CF!AS41)*(CF!AS33+CF!AS41&gt;0)</f>
        <v>0</v>
      </c>
      <c r="AT28" s="192">
        <f>(CF!AT33+CF!AT41)*(CF!AT33+CF!AT41&gt;0)</f>
        <v>0</v>
      </c>
      <c r="AU28" s="192">
        <f>(CF!AU33+CF!AU41)*(CF!AU33+CF!AU41&gt;0)</f>
        <v>0</v>
      </c>
      <c r="AV28" s="192">
        <f>(CF!AV33+CF!AV41)*(CF!AV33+CF!AV41&gt;0)</f>
        <v>0</v>
      </c>
      <c r="AW28" s="192">
        <f>(CF!AW33+CF!AW41)*(CF!AW33+CF!AW41&gt;0)</f>
        <v>0</v>
      </c>
      <c r="AX28" s="192">
        <f>(CF!AX33+CF!AX41)*(CF!AX33+CF!AX41&gt;0)</f>
        <v>0</v>
      </c>
      <c r="AY28" s="192">
        <f>(CF!AY33+CF!AY41)*(CF!AY33+CF!AY41&gt;0)</f>
        <v>0</v>
      </c>
      <c r="AZ28" s="192">
        <f>(CF!AZ33+CF!AZ41)*(CF!AZ33+CF!AZ41&gt;0)</f>
        <v>0</v>
      </c>
    </row>
    <row r="29" spans="1:52">
      <c r="B29" s="2" t="s">
        <v>546</v>
      </c>
      <c r="C29" s="15" t="str">
        <f>$C$10</f>
        <v>US$</v>
      </c>
      <c r="D29" s="53">
        <f ca="1">SUM(I29:AI29)</f>
        <v>144216877519.61859</v>
      </c>
      <c r="I29" s="42">
        <f ca="1">SUM(I27:I28)</f>
        <v>-715288869.70235205</v>
      </c>
      <c r="J29" s="42">
        <f t="shared" ref="J29:AW29" ca="1" si="2">SUM(J27:J28)</f>
        <v>-526846458.1377157</v>
      </c>
      <c r="K29" s="42">
        <f t="shared" ca="1" si="2"/>
        <v>632979160.75820112</v>
      </c>
      <c r="L29" s="42">
        <f t="shared" ca="1" si="2"/>
        <v>1033501841.9310374</v>
      </c>
      <c r="M29" s="42">
        <f t="shared" ca="1" si="2"/>
        <v>1515646929.537539</v>
      </c>
      <c r="N29" s="42">
        <f t="shared" ca="1" si="2"/>
        <v>1926090605.0400667</v>
      </c>
      <c r="O29" s="42">
        <f t="shared" ca="1" si="2"/>
        <v>2402016409.2161036</v>
      </c>
      <c r="P29" s="42">
        <f t="shared" ca="1" si="2"/>
        <v>2923977478.998095</v>
      </c>
      <c r="Q29" s="42">
        <f t="shared" ca="1" si="2"/>
        <v>3489407336.7450271</v>
      </c>
      <c r="R29" s="42">
        <f t="shared" ca="1" si="2"/>
        <v>3833472429.3135481</v>
      </c>
      <c r="S29" s="42">
        <f t="shared" ca="1" si="2"/>
        <v>4543092811.3495684</v>
      </c>
      <c r="T29" s="42">
        <f t="shared" ca="1" si="2"/>
        <v>5220888642.9787598</v>
      </c>
      <c r="U29" s="42">
        <f t="shared" ca="1" si="2"/>
        <v>5880012822.2225342</v>
      </c>
      <c r="V29" s="42">
        <f t="shared" ca="1" si="2"/>
        <v>6526189247.2863865</v>
      </c>
      <c r="W29" s="42">
        <f t="shared" ca="1" si="2"/>
        <v>7166095786.2434874</v>
      </c>
      <c r="X29" s="42">
        <f t="shared" ca="1" si="2"/>
        <v>7323782778.0191565</v>
      </c>
      <c r="Y29" s="42">
        <f t="shared" ca="1" si="2"/>
        <v>7397870827.9223967</v>
      </c>
      <c r="Z29" s="42">
        <f t="shared" ca="1" si="2"/>
        <v>7497387134.0233488</v>
      </c>
      <c r="AA29" s="42">
        <f t="shared" ca="1" si="2"/>
        <v>7621537189.287672</v>
      </c>
      <c r="AB29" s="42">
        <f t="shared" ca="1" si="2"/>
        <v>7760347110.9337463</v>
      </c>
      <c r="AC29" s="42">
        <f t="shared" ca="1" si="2"/>
        <v>7936340254.0214729</v>
      </c>
      <c r="AD29" s="42">
        <f t="shared" ca="1" si="2"/>
        <v>8143246276.6205521</v>
      </c>
      <c r="AE29" s="42">
        <f t="shared" ca="1" si="2"/>
        <v>8379300308.4014683</v>
      </c>
      <c r="AF29" s="42">
        <f t="shared" ca="1" si="2"/>
        <v>8633685330.6790218</v>
      </c>
      <c r="AG29" s="42">
        <f t="shared" ca="1" si="2"/>
        <v>8914551510.7060795</v>
      </c>
      <c r="AH29" s="42">
        <f t="shared" ca="1" si="2"/>
        <v>9216958511.4353294</v>
      </c>
      <c r="AI29" s="42">
        <f t="shared" ca="1" si="2"/>
        <v>9540634113.7880554</v>
      </c>
      <c r="AJ29" s="42">
        <f t="shared" ca="1" si="2"/>
        <v>9875293214.6079426</v>
      </c>
      <c r="AK29" s="42">
        <f t="shared" ca="1" si="2"/>
        <v>11605184399.40288</v>
      </c>
      <c r="AL29" s="42">
        <f t="shared" ca="1" si="2"/>
        <v>13746154046.33341</v>
      </c>
      <c r="AM29" s="42">
        <f t="shared" si="2"/>
        <v>0</v>
      </c>
      <c r="AN29" s="42">
        <f t="shared" si="2"/>
        <v>0</v>
      </c>
      <c r="AO29" s="42">
        <f t="shared" si="2"/>
        <v>0</v>
      </c>
      <c r="AP29" s="42">
        <f t="shared" si="2"/>
        <v>0</v>
      </c>
      <c r="AQ29" s="42">
        <f t="shared" si="2"/>
        <v>0</v>
      </c>
      <c r="AR29" s="42">
        <f t="shared" si="2"/>
        <v>0</v>
      </c>
      <c r="AS29" s="42">
        <f t="shared" si="2"/>
        <v>0</v>
      </c>
      <c r="AT29" s="42">
        <f t="shared" si="2"/>
        <v>0</v>
      </c>
      <c r="AU29" s="42">
        <f t="shared" si="2"/>
        <v>0</v>
      </c>
      <c r="AV29" s="42">
        <f t="shared" si="2"/>
        <v>0</v>
      </c>
      <c r="AW29" s="42">
        <f t="shared" si="2"/>
        <v>0</v>
      </c>
    </row>
    <row r="30" spans="1:52">
      <c r="B30" s="5"/>
      <c r="C30" s="15"/>
    </row>
    <row r="31" spans="1:52">
      <c r="B31" s="5"/>
    </row>
    <row r="32" spans="1:52">
      <c r="A32" s="6" t="s">
        <v>549</v>
      </c>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row>
    <row r="33" spans="1:49">
      <c r="B33" s="187"/>
    </row>
    <row r="34" spans="1:49">
      <c r="B34" s="29" t="s">
        <v>550</v>
      </c>
    </row>
    <row r="36" spans="1:49">
      <c r="B36" s="2" t="s">
        <v>551</v>
      </c>
      <c r="C36" s="15" t="s">
        <v>41</v>
      </c>
      <c r="D36" s="68">
        <f>'Input '!E395</f>
        <v>46023</v>
      </c>
      <c r="I36" s="223">
        <f>I2</f>
        <v>1</v>
      </c>
      <c r="J36" s="223">
        <f t="shared" ref="J36:AW36" si="3">J2</f>
        <v>2</v>
      </c>
      <c r="K36" s="223">
        <f t="shared" si="3"/>
        <v>3</v>
      </c>
      <c r="L36" s="223">
        <f t="shared" si="3"/>
        <v>4</v>
      </c>
      <c r="M36" s="223">
        <f t="shared" si="3"/>
        <v>5</v>
      </c>
      <c r="N36" s="223">
        <f t="shared" si="3"/>
        <v>6</v>
      </c>
      <c r="O36" s="223">
        <f t="shared" si="3"/>
        <v>7</v>
      </c>
      <c r="P36" s="223">
        <f t="shared" si="3"/>
        <v>8</v>
      </c>
      <c r="Q36" s="223">
        <f t="shared" si="3"/>
        <v>9</v>
      </c>
      <c r="R36" s="223">
        <f t="shared" si="3"/>
        <v>10</v>
      </c>
      <c r="S36" s="223">
        <f t="shared" si="3"/>
        <v>11</v>
      </c>
      <c r="T36" s="223">
        <f t="shared" si="3"/>
        <v>12</v>
      </c>
      <c r="U36" s="223">
        <f t="shared" si="3"/>
        <v>13</v>
      </c>
      <c r="V36" s="223">
        <f t="shared" si="3"/>
        <v>14</v>
      </c>
      <c r="W36" s="223">
        <f t="shared" si="3"/>
        <v>15</v>
      </c>
      <c r="X36" s="223">
        <f t="shared" si="3"/>
        <v>16</v>
      </c>
      <c r="Y36" s="223">
        <f t="shared" si="3"/>
        <v>17</v>
      </c>
      <c r="Z36" s="223">
        <f t="shared" si="3"/>
        <v>18</v>
      </c>
      <c r="AA36" s="223">
        <f t="shared" si="3"/>
        <v>19</v>
      </c>
      <c r="AB36" s="223">
        <f t="shared" si="3"/>
        <v>20</v>
      </c>
      <c r="AC36" s="223">
        <f t="shared" si="3"/>
        <v>21</v>
      </c>
      <c r="AD36" s="223">
        <f t="shared" si="3"/>
        <v>22</v>
      </c>
      <c r="AE36" s="223">
        <f t="shared" si="3"/>
        <v>23</v>
      </c>
      <c r="AF36" s="223">
        <f t="shared" si="3"/>
        <v>24</v>
      </c>
      <c r="AG36" s="223">
        <f t="shared" si="3"/>
        <v>25</v>
      </c>
      <c r="AH36" s="223">
        <f t="shared" si="3"/>
        <v>26</v>
      </c>
      <c r="AI36" s="223">
        <f t="shared" si="3"/>
        <v>27</v>
      </c>
      <c r="AJ36" s="223">
        <f t="shared" si="3"/>
        <v>28</v>
      </c>
      <c r="AK36" s="223">
        <f t="shared" si="3"/>
        <v>29</v>
      </c>
      <c r="AL36" s="223">
        <f t="shared" si="3"/>
        <v>30</v>
      </c>
      <c r="AM36" s="223">
        <f t="shared" si="3"/>
        <v>31</v>
      </c>
      <c r="AN36" s="223">
        <f t="shared" si="3"/>
        <v>32</v>
      </c>
      <c r="AO36" s="223">
        <f t="shared" si="3"/>
        <v>33</v>
      </c>
      <c r="AP36" s="223">
        <f t="shared" si="3"/>
        <v>34</v>
      </c>
      <c r="AQ36" s="223">
        <f t="shared" si="3"/>
        <v>35</v>
      </c>
      <c r="AR36" s="223">
        <f t="shared" si="3"/>
        <v>36</v>
      </c>
      <c r="AS36" s="223">
        <f t="shared" si="3"/>
        <v>37</v>
      </c>
      <c r="AT36" s="223">
        <f t="shared" si="3"/>
        <v>38</v>
      </c>
      <c r="AU36" s="223">
        <f t="shared" si="3"/>
        <v>39</v>
      </c>
      <c r="AV36" s="223">
        <f t="shared" si="3"/>
        <v>40</v>
      </c>
      <c r="AW36" s="223">
        <f t="shared" si="3"/>
        <v>41</v>
      </c>
    </row>
    <row r="37" spans="1:49">
      <c r="B37" s="2" t="s">
        <v>552</v>
      </c>
      <c r="C37" s="15" t="s">
        <v>19</v>
      </c>
      <c r="I37" s="223">
        <f>I4-$D$36+1</f>
        <v>365</v>
      </c>
      <c r="J37" s="223">
        <f t="shared" ref="J37:AV37" si="4">J4-$D$36+1</f>
        <v>730</v>
      </c>
      <c r="K37" s="223">
        <f t="shared" si="4"/>
        <v>1096</v>
      </c>
      <c r="L37" s="223">
        <f t="shared" si="4"/>
        <v>1461</v>
      </c>
      <c r="M37" s="223">
        <f t="shared" si="4"/>
        <v>1826</v>
      </c>
      <c r="N37" s="223">
        <f t="shared" si="4"/>
        <v>2191</v>
      </c>
      <c r="O37" s="223">
        <f t="shared" si="4"/>
        <v>2557</v>
      </c>
      <c r="P37" s="223">
        <f t="shared" si="4"/>
        <v>2922</v>
      </c>
      <c r="Q37" s="223">
        <f t="shared" si="4"/>
        <v>3287</v>
      </c>
      <c r="R37" s="223">
        <f t="shared" si="4"/>
        <v>3652</v>
      </c>
      <c r="S37" s="223">
        <f t="shared" si="4"/>
        <v>4018</v>
      </c>
      <c r="T37" s="223">
        <f t="shared" si="4"/>
        <v>4383</v>
      </c>
      <c r="U37" s="223">
        <f t="shared" si="4"/>
        <v>4748</v>
      </c>
      <c r="V37" s="223">
        <f t="shared" si="4"/>
        <v>5113</v>
      </c>
      <c r="W37" s="223">
        <f t="shared" si="4"/>
        <v>5479</v>
      </c>
      <c r="X37" s="223">
        <f t="shared" si="4"/>
        <v>5844</v>
      </c>
      <c r="Y37" s="223">
        <f t="shared" si="4"/>
        <v>6209</v>
      </c>
      <c r="Z37" s="223">
        <f t="shared" si="4"/>
        <v>6574</v>
      </c>
      <c r="AA37" s="223">
        <f t="shared" si="4"/>
        <v>6940</v>
      </c>
      <c r="AB37" s="223">
        <f t="shared" si="4"/>
        <v>7305</v>
      </c>
      <c r="AC37" s="223">
        <f t="shared" si="4"/>
        <v>7670</v>
      </c>
      <c r="AD37" s="223">
        <f t="shared" si="4"/>
        <v>8035</v>
      </c>
      <c r="AE37" s="223">
        <f t="shared" si="4"/>
        <v>8401</v>
      </c>
      <c r="AF37" s="223">
        <f t="shared" si="4"/>
        <v>8766</v>
      </c>
      <c r="AG37" s="223">
        <f t="shared" si="4"/>
        <v>9131</v>
      </c>
      <c r="AH37" s="223">
        <f t="shared" si="4"/>
        <v>9496</v>
      </c>
      <c r="AI37" s="223">
        <f t="shared" si="4"/>
        <v>9862</v>
      </c>
      <c r="AJ37" s="223">
        <f t="shared" si="4"/>
        <v>10227</v>
      </c>
      <c r="AK37" s="223">
        <f t="shared" si="4"/>
        <v>10592</v>
      </c>
      <c r="AL37" s="223">
        <f t="shared" si="4"/>
        <v>10957</v>
      </c>
      <c r="AM37" s="223">
        <f t="shared" si="4"/>
        <v>11323</v>
      </c>
      <c r="AN37" s="223">
        <f t="shared" si="4"/>
        <v>11688</v>
      </c>
      <c r="AO37" s="223">
        <f t="shared" si="4"/>
        <v>12053</v>
      </c>
      <c r="AP37" s="223">
        <f t="shared" si="4"/>
        <v>12418</v>
      </c>
      <c r="AQ37" s="223">
        <f t="shared" si="4"/>
        <v>12784</v>
      </c>
      <c r="AR37" s="223">
        <f t="shared" si="4"/>
        <v>13149</v>
      </c>
      <c r="AS37" s="223">
        <f t="shared" si="4"/>
        <v>13514</v>
      </c>
      <c r="AT37" s="223">
        <f t="shared" si="4"/>
        <v>13879</v>
      </c>
      <c r="AU37" s="223">
        <f t="shared" si="4"/>
        <v>14245</v>
      </c>
      <c r="AV37" s="223">
        <f t="shared" si="4"/>
        <v>14610</v>
      </c>
      <c r="AW37" s="223">
        <f>AW4-$D$36+1</f>
        <v>14975</v>
      </c>
    </row>
    <row r="38" spans="1:49">
      <c r="B38" s="2" t="s">
        <v>553</v>
      </c>
      <c r="C38" s="15" t="s">
        <v>557</v>
      </c>
      <c r="I38" s="226">
        <f>IF(I37&lt;0,0,(1/(1+'Input '!$E$403)^(Returns!I37/Days_Year)))</f>
        <v>0.91074148215096651</v>
      </c>
      <c r="J38" s="226">
        <f>IF(J37&lt;0,0,(1/(1+'Input '!$E$403)^(Returns!J37/Days_Year)))</f>
        <v>0.82945004731053928</v>
      </c>
      <c r="K38" s="226">
        <f>IF(K37&lt;0,0,(1/(1+'Input '!$E$403)^(Returns!K37/Days_Year)))</f>
        <v>0.75522108780587105</v>
      </c>
      <c r="L38" s="226">
        <f>IF(L37&lt;0,0,(1/(1+'Input '!$E$403)^(Returns!L37/Days_Year)))</f>
        <v>0.68781117285998417</v>
      </c>
      <c r="M38" s="226">
        <f>IF(M37&lt;0,0,(1/(1+'Input '!$E$403)^(Returns!M37/Days_Year)))</f>
        <v>0.62641816701049657</v>
      </c>
      <c r="N38" s="226">
        <f>IF(N37&lt;0,0,(1/(1+'Input '!$E$403)^(Returns!N37/Days_Year)))</f>
        <v>0.57050500986943142</v>
      </c>
      <c r="O38" s="226">
        <f>IF(O37&lt;0,0,(1/(1+'Input '!$E$403)^(Returns!O37/Days_Year)))</f>
        <v>0.5194495021723492</v>
      </c>
      <c r="P38" s="226">
        <f>IF(P37&lt;0,0,(1/(1+'Input '!$E$403)^(Returns!P37/Days_Year)))</f>
        <v>0.47308420951102709</v>
      </c>
      <c r="Q38" s="226">
        <f>IF(Q37&lt;0,0,(1/(1+'Input '!$E$403)^(Returns!Q37/Days_Year)))</f>
        <v>0.43085741415229117</v>
      </c>
      <c r="R38" s="226">
        <f>IF(R37&lt;0,0,(1/(1+'Input '!$E$403)^(Returns!R37/Days_Year)))</f>
        <v>0.39239971996079048</v>
      </c>
      <c r="S38" s="226">
        <f>IF(S37&lt;0,0,(1/(1+'Input '!$E$403)^(Returns!S37/Days_Year)))</f>
        <v>0.35728317133069848</v>
      </c>
      <c r="T38" s="226">
        <f>IF(T37&lt;0,0,(1/(1+'Input '!$E$403)^(Returns!T37/Days_Year)))</f>
        <v>0.32539260500531808</v>
      </c>
      <c r="U38" s="226">
        <f>IF(U37&lt;0,0,(1/(1+'Input '!$E$403)^(Returns!U37/Days_Year)))</f>
        <v>0.29634854336350736</v>
      </c>
      <c r="V38" s="226">
        <f>IF(V37&lt;0,0,(1/(1+'Input '!$E$403)^(Returns!V37/Days_Year)))</f>
        <v>0.2698969116161607</v>
      </c>
      <c r="W38" s="226">
        <f>IF(W37&lt;0,0,(1/(1+'Input '!$E$403)^(Returns!W37/Days_Year)))</f>
        <v>0.24574335711610243</v>
      </c>
      <c r="X38" s="226">
        <f>IF(X37&lt;0,0,(1/(1+'Input '!$E$403)^(Returns!X37/Days_Year)))</f>
        <v>0.22380866928867338</v>
      </c>
      <c r="Y38" s="226">
        <f>IF(Y37&lt;0,0,(1/(1+'Input '!$E$403)^(Returns!Y37/Days_Year)))</f>
        <v>0.20383183918620187</v>
      </c>
      <c r="Z38" s="226">
        <f>IF(Z37&lt;0,0,(1/(1+'Input '!$E$403)^(Returns!Z37/Days_Year)))</f>
        <v>0.18563811132999894</v>
      </c>
      <c r="AA38" s="226">
        <f>IF(AA37&lt;0,0,(1/(1+'Input '!$E$403)^(Returns!AA37/Days_Year)))</f>
        <v>0.16902502668057634</v>
      </c>
      <c r="AB38" s="226">
        <f>IF(AB37&lt;0,0,(1/(1+'Input '!$E$403)^(Returns!AB37/Days_Year)))</f>
        <v>0.15393810331967475</v>
      </c>
      <c r="AC38" s="226">
        <f>IF(AC37&lt;0,0,(1/(1+'Input '!$E$403)^(Returns!AC37/Days_Year)))</f>
        <v>0.14019781637686923</v>
      </c>
      <c r="AD38" s="226">
        <f>IF(AD37&lt;0,0,(1/(1+'Input '!$E$403)^(Returns!AD37/Days_Year)))</f>
        <v>0.1276839670813989</v>
      </c>
      <c r="AE38" s="226">
        <f>IF(AE37&lt;0,0,(1/(1+'Input '!$E$403)^(Returns!AE37/Days_Year)))</f>
        <v>0.11625730184385734</v>
      </c>
      <c r="AF38" s="226">
        <f>IF(AF37&lt;0,0,(1/(1+'Input '!$E$403)^(Returns!AF37/Days_Year)))</f>
        <v>0.10588034739214695</v>
      </c>
      <c r="AG38" s="226">
        <f>IF(AG37&lt;0,0,(1/(1+'Input '!$E$403)^(Returns!AG37/Days_Year)))</f>
        <v>9.6429624514583118E-2</v>
      </c>
      <c r="AH38" s="226">
        <f>IF(AH37&lt;0,0,(1/(1+'Input '!$E$403)^(Returns!AH37/Days_Year)))</f>
        <v>8.7822459153672594E-2</v>
      </c>
      <c r="AI38" s="226">
        <f>IF(AI37&lt;0,0,(1/(1+'Input '!$E$403)^(Returns!AI37/Days_Year)))</f>
        <v>7.9963071134760713E-2</v>
      </c>
      <c r="AJ38" s="226">
        <f>IF(AJ37&lt;0,0,(1/(1+'Input '!$E$403)^(Returns!AJ37/Days_Year)))</f>
        <v>7.2825685922615138E-2</v>
      </c>
      <c r="AK38" s="226">
        <f>IF(AK37&lt;0,0,(1/(1+'Input '!$E$403)^(Returns!AK37/Days_Year)))</f>
        <v>6.6325373135823276E-2</v>
      </c>
      <c r="AL38" s="226">
        <f>IF(AL37&lt;0,0,(1/(1+'Input '!$E$403)^(Returns!AL37/Days_Year)))</f>
        <v>6.040526863393561E-2</v>
      </c>
      <c r="AM38" s="226">
        <f>IF(AM37&lt;0,0,(1/(1+'Input '!$E$403)^(Returns!AM37/Days_Year)))</f>
        <v>5.4999493742686124E-2</v>
      </c>
      <c r="AN38" s="226">
        <f>IF(AN37&lt;0,0,(1/(1+'Input '!$E$403)^(Returns!AN37/Days_Year)))</f>
        <v>5.0090320448766754E-2</v>
      </c>
      <c r="AO38" s="226">
        <f>IF(AO37&lt;0,0,(1/(1+'Input '!$E$403)^(Returns!AO37/Days_Year)))</f>
        <v>4.5619332686926702E-2</v>
      </c>
      <c r="AP38" s="226">
        <f>IF(AP37&lt;0,0,(1/(1+'Input '!$E$403)^(Returns!AP37/Days_Year)))</f>
        <v>4.1547418666029665E-2</v>
      </c>
      <c r="AQ38" s="226">
        <f>IF(AQ37&lt;0,0,(1/(1+'Input '!$E$403)^(Returns!AQ37/Days_Year)))</f>
        <v>3.7829266297862318E-2</v>
      </c>
      <c r="AR38" s="226">
        <f>IF(AR37&lt;0,0,(1/(1+'Input '!$E$403)^(Returns!AR37/Days_Year)))</f>
        <v>3.4452682056798731E-2</v>
      </c>
      <c r="AS38" s="226">
        <f>IF(AS37&lt;0,0,(1/(1+'Input '!$E$403)^(Returns!AS37/Days_Year)))</f>
        <v>3.1377486720484883E-2</v>
      </c>
      <c r="AT38" s="226">
        <f>IF(AT37&lt;0,0,(1/(1+'Input '!$E$403)^(Returns!AT37/Days_Year)))</f>
        <v>2.8576778761986669E-2</v>
      </c>
      <c r="AU38" s="226">
        <f>IF(AU37&lt;0,0,(1/(1+'Input '!$E$403)^(Returns!AU37/Days_Year)))</f>
        <v>2.6019392020765343E-2</v>
      </c>
      <c r="AV38" s="226">
        <f>IF(AV37&lt;0,0,(1/(1+'Input '!$E$403)^(Returns!AV37/Days_Year)))</f>
        <v>2.369693965365886E-2</v>
      </c>
      <c r="AW38" s="226">
        <f>IF(AW37&lt;0,0,(1/(1+'Input '!$E$403)^(Returns!AW37/Days_Year)))</f>
        <v>2.1581785942615287E-2</v>
      </c>
    </row>
    <row r="40" spans="1:49">
      <c r="B40" s="29" t="s">
        <v>540</v>
      </c>
    </row>
    <row r="41" spans="1:49">
      <c r="B41" s="2" t="s">
        <v>521</v>
      </c>
      <c r="C41" s="15" t="str">
        <f>$C$10</f>
        <v>US$</v>
      </c>
      <c r="D41" s="53">
        <f ca="1">SUM(I41:AV41)</f>
        <v>46897846469.130707</v>
      </c>
      <c r="I41" s="53">
        <f ca="1">I42-I14</f>
        <v>-715288869.70235205</v>
      </c>
      <c r="J41" s="53">
        <f ca="1">J42-J14</f>
        <v>-2555302134.1949363</v>
      </c>
      <c r="K41" s="53">
        <f ca="1">K42-K14</f>
        <v>-369794299.88087118</v>
      </c>
      <c r="L41" s="53">
        <f ca="1">L42-L14</f>
        <v>1098825625.1228125</v>
      </c>
      <c r="M41" s="53">
        <f t="shared" ref="M41:AF41" ca="1" si="5">M42-M14</f>
        <v>1287138816.7670498</v>
      </c>
      <c r="N41" s="53">
        <f t="shared" ca="1" si="5"/>
        <v>1394124737.7264946</v>
      </c>
      <c r="O41" s="53">
        <f t="shared" ca="1" si="5"/>
        <v>1489486008.0953422</v>
      </c>
      <c r="P41" s="53">
        <f t="shared" ca="1" si="5"/>
        <v>1573842042.9432826</v>
      </c>
      <c r="Q41" s="53">
        <f t="shared" ca="1" si="5"/>
        <v>1659834839.8391299</v>
      </c>
      <c r="R41" s="53">
        <f t="shared" ca="1" si="5"/>
        <v>1751812669.253592</v>
      </c>
      <c r="S41" s="53">
        <f t="shared" ca="1" si="5"/>
        <v>1846306263.9475317</v>
      </c>
      <c r="T41" s="53">
        <f t="shared" ca="1" si="5"/>
        <v>1949298874.8546088</v>
      </c>
      <c r="U41" s="53">
        <f t="shared" ca="1" si="5"/>
        <v>2057459790.5608573</v>
      </c>
      <c r="V41" s="53">
        <f t="shared" ca="1" si="5"/>
        <v>2173151638.3437033</v>
      </c>
      <c r="W41" s="53">
        <f t="shared" ca="1" si="5"/>
        <v>2292275790.1882796</v>
      </c>
      <c r="X41" s="53">
        <f t="shared" ca="1" si="5"/>
        <v>1659454246.4796643</v>
      </c>
      <c r="Y41" s="53">
        <f t="shared" ca="1" si="5"/>
        <v>1610294491.4716747</v>
      </c>
      <c r="Z41" s="53">
        <f t="shared" ca="1" si="5"/>
        <v>1663724396.3548892</v>
      </c>
      <c r="AA41" s="53">
        <f t="shared" ca="1" si="5"/>
        <v>1716047728.5111449</v>
      </c>
      <c r="AB41" s="53">
        <f t="shared" ca="1" si="5"/>
        <v>1772949636.0506992</v>
      </c>
      <c r="AC41" s="53">
        <f t="shared" ca="1" si="5"/>
        <v>1830640768.3329394</v>
      </c>
      <c r="AD41" s="53">
        <f t="shared" ca="1" si="5"/>
        <v>1891172863.9460707</v>
      </c>
      <c r="AE41" s="53">
        <f t="shared" ca="1" si="5"/>
        <v>1950164638.3589137</v>
      </c>
      <c r="AF41" s="53">
        <f t="shared" ca="1" si="5"/>
        <v>2014297576.5911713</v>
      </c>
      <c r="AG41" s="53">
        <f t="shared" ref="AG41:AL41" ca="1" si="6">AG42-AG14</f>
        <v>2079324024.4225333</v>
      </c>
      <c r="AH41" s="53">
        <f t="shared" ca="1" si="6"/>
        <v>2147544961.1964374</v>
      </c>
      <c r="AI41" s="53">
        <f t="shared" ca="1" si="6"/>
        <v>2214052562.7778277</v>
      </c>
      <c r="AJ41" s="53">
        <f t="shared" ca="1" si="6"/>
        <v>2286332648.1110091</v>
      </c>
      <c r="AK41" s="53">
        <f t="shared" ca="1" si="6"/>
        <v>2359624468.8554521</v>
      </c>
      <c r="AL41" s="53">
        <f t="shared" ca="1" si="6"/>
        <v>2769049663.8057556</v>
      </c>
      <c r="AM41" s="53">
        <f t="shared" ref="AM41:AV41" si="7">AM42-AM14</f>
        <v>0</v>
      </c>
      <c r="AN41" s="53">
        <f t="shared" si="7"/>
        <v>0</v>
      </c>
      <c r="AO41" s="53">
        <f t="shared" si="7"/>
        <v>0</v>
      </c>
      <c r="AP41" s="53">
        <f t="shared" si="7"/>
        <v>0</v>
      </c>
      <c r="AQ41" s="53">
        <f t="shared" si="7"/>
        <v>0</v>
      </c>
      <c r="AR41" s="53">
        <f t="shared" si="7"/>
        <v>0</v>
      </c>
      <c r="AS41" s="53">
        <f t="shared" si="7"/>
        <v>0</v>
      </c>
      <c r="AT41" s="53">
        <f t="shared" si="7"/>
        <v>0</v>
      </c>
      <c r="AU41" s="53">
        <f t="shared" si="7"/>
        <v>0</v>
      </c>
      <c r="AV41" s="53">
        <f t="shared" si="7"/>
        <v>0</v>
      </c>
      <c r="AW41" s="53">
        <f>AW42-AW14</f>
        <v>0</v>
      </c>
    </row>
    <row r="42" spans="1:49">
      <c r="B42" s="2" t="s">
        <v>526</v>
      </c>
      <c r="C42" s="15" t="str">
        <f>$C$10</f>
        <v>US$</v>
      </c>
      <c r="D42" s="53">
        <f ca="1">SUM(I42:AX42)</f>
        <v>31425178623.684109</v>
      </c>
      <c r="I42" s="53">
        <f ca="1">I16</f>
        <v>-715288869.70235205</v>
      </c>
      <c r="J42" s="53">
        <f ca="1">J16</f>
        <v>-2555302134.1949363</v>
      </c>
      <c r="K42" s="53">
        <f t="shared" ref="K42:AF42" ca="1" si="8">K16</f>
        <v>-369794299.88087118</v>
      </c>
      <c r="L42" s="53">
        <f ca="1">L16</f>
        <v>1098825625.1228125</v>
      </c>
      <c r="M42" s="53">
        <f t="shared" ca="1" si="8"/>
        <v>1287138816.7670498</v>
      </c>
      <c r="N42" s="53">
        <f ca="1">N16</f>
        <v>1235142969.2183952</v>
      </c>
      <c r="O42" s="53">
        <f t="shared" ca="1" si="8"/>
        <v>1311538698.7171669</v>
      </c>
      <c r="P42" s="53">
        <f t="shared" ca="1" si="8"/>
        <v>1378423205.9664679</v>
      </c>
      <c r="Q42" s="53">
        <f t="shared" ca="1" si="8"/>
        <v>1446283930.695797</v>
      </c>
      <c r="R42" s="53">
        <f t="shared" ca="1" si="8"/>
        <v>1256061193.4168353</v>
      </c>
      <c r="S42" s="53">
        <f t="shared" ca="1" si="8"/>
        <v>1207884203.90569</v>
      </c>
      <c r="T42" s="53">
        <f t="shared" ca="1" si="8"/>
        <v>1272352254.8749526</v>
      </c>
      <c r="U42" s="53">
        <f t="shared" ca="1" si="8"/>
        <v>1340189102.7203531</v>
      </c>
      <c r="V42" s="53">
        <f t="shared" ca="1" si="8"/>
        <v>1413538180.374898</v>
      </c>
      <c r="W42" s="53">
        <f t="shared" ca="1" si="8"/>
        <v>1488162019.2188802</v>
      </c>
      <c r="X42" s="53">
        <f t="shared" ca="1" si="8"/>
        <v>1095516892.2922254</v>
      </c>
      <c r="Y42" s="53">
        <f t="shared" ca="1" si="8"/>
        <v>1029475513.2958392</v>
      </c>
      <c r="Z42" s="53">
        <f t="shared" ca="1" si="8"/>
        <v>1064963715.097106</v>
      </c>
      <c r="AA42" s="53">
        <f t="shared" ca="1" si="8"/>
        <v>1098639069.1592007</v>
      </c>
      <c r="AB42" s="53">
        <f t="shared" ca="1" si="8"/>
        <v>1136243625.7467225</v>
      </c>
      <c r="AC42" s="53">
        <f t="shared" ca="1" si="8"/>
        <v>1173806114.2695174</v>
      </c>
      <c r="AD42" s="53">
        <f t="shared" ca="1" si="8"/>
        <v>1213404756.3520699</v>
      </c>
      <c r="AE42" s="53">
        <f t="shared" ca="1" si="8"/>
        <v>1250661968.0802062</v>
      </c>
      <c r="AF42" s="53">
        <f t="shared" ca="1" si="8"/>
        <v>1292310791.630621</v>
      </c>
      <c r="AG42" s="53">
        <f t="shared" ref="AG42:AL42" ca="1" si="9">AG16</f>
        <v>1334032388.9405365</v>
      </c>
      <c r="AH42" s="53">
        <f t="shared" ca="1" si="9"/>
        <v>1378145502.7477803</v>
      </c>
      <c r="AI42" s="53">
        <f t="shared" ca="1" si="9"/>
        <v>1419714231.8299141</v>
      </c>
      <c r="AJ42" s="53">
        <f t="shared" ca="1" si="9"/>
        <v>1466299310.4180112</v>
      </c>
      <c r="AK42" s="53">
        <f t="shared" ca="1" si="9"/>
        <v>1502759440.8589549</v>
      </c>
      <c r="AL42" s="53">
        <f t="shared" ca="1" si="9"/>
        <v>1874050405.7442648</v>
      </c>
      <c r="AM42" s="53">
        <f t="shared" ref="AM42:AV42" si="10">AM16</f>
        <v>0</v>
      </c>
      <c r="AN42" s="53">
        <f t="shared" si="10"/>
        <v>0</v>
      </c>
      <c r="AO42" s="53">
        <f t="shared" si="10"/>
        <v>0</v>
      </c>
      <c r="AP42" s="53">
        <f t="shared" si="10"/>
        <v>0</v>
      </c>
      <c r="AQ42" s="53">
        <f t="shared" si="10"/>
        <v>0</v>
      </c>
      <c r="AR42" s="53">
        <f t="shared" si="10"/>
        <v>0</v>
      </c>
      <c r="AS42" s="53">
        <f t="shared" si="10"/>
        <v>0</v>
      </c>
      <c r="AT42" s="53">
        <f t="shared" si="10"/>
        <v>0</v>
      </c>
      <c r="AU42" s="53">
        <f t="shared" si="10"/>
        <v>0</v>
      </c>
      <c r="AV42" s="53">
        <f t="shared" si="10"/>
        <v>0</v>
      </c>
      <c r="AW42" s="53">
        <f>AW16</f>
        <v>0</v>
      </c>
    </row>
    <row r="43" spans="1:49">
      <c r="AK43" s="42"/>
    </row>
    <row r="44" spans="1:49">
      <c r="B44" s="50" t="s">
        <v>549</v>
      </c>
      <c r="D44" s="13" t="s">
        <v>558</v>
      </c>
      <c r="E44" s="13" t="s">
        <v>559</v>
      </c>
      <c r="AK44" s="42"/>
    </row>
    <row r="45" spans="1:49">
      <c r="A45" s="220"/>
      <c r="B45" s="2" t="s">
        <v>521</v>
      </c>
      <c r="D45" s="118">
        <f ca="1">NPV(WACC,Returns!I41:AW41)</f>
        <v>8856944904.9978371</v>
      </c>
      <c r="E45" s="99">
        <f ca="1">IRR(I41:AW41)</f>
        <v>0.29715136708803835</v>
      </c>
      <c r="F45" s="99"/>
      <c r="AK45" s="42"/>
    </row>
    <row r="46" spans="1:49">
      <c r="B46" s="2" t="s">
        <v>526</v>
      </c>
      <c r="D46" s="118">
        <f ca="1">NPV(WACC,I42:AW42)</f>
        <v>5960307674.4236288</v>
      </c>
      <c r="E46" s="99">
        <f ca="1">IRR(I42:AW42)</f>
        <v>0.26404188661314043</v>
      </c>
      <c r="F46" s="99"/>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row>
    <row r="47" spans="1:49">
      <c r="AK47" s="42"/>
    </row>
    <row r="48" spans="1:49">
      <c r="AK48" s="42"/>
    </row>
    <row r="49" spans="1:49">
      <c r="B49" s="29" t="s">
        <v>554</v>
      </c>
      <c r="F49" s="42"/>
      <c r="AK49" s="42"/>
    </row>
    <row r="50" spans="1:49">
      <c r="F50" s="42">
        <f>SUM(I47:AW47)</f>
        <v>0</v>
      </c>
      <c r="AK50" s="42"/>
    </row>
    <row r="51" spans="1:49">
      <c r="B51" s="2" t="s">
        <v>551</v>
      </c>
      <c r="C51" s="15" t="s">
        <v>41</v>
      </c>
      <c r="D51" s="68">
        <f>'Input '!E395</f>
        <v>46023</v>
      </c>
      <c r="AK51" s="42">
        <f>SUM(I51:AI51)</f>
        <v>0</v>
      </c>
    </row>
    <row r="52" spans="1:49">
      <c r="B52" s="2" t="s">
        <v>552</v>
      </c>
      <c r="C52" s="15" t="s">
        <v>19</v>
      </c>
      <c r="I52" s="223">
        <f>I4-$D$36+1</f>
        <v>365</v>
      </c>
      <c r="J52" s="223">
        <f t="shared" ref="J52:AW52" si="11">J4-$D$36+1</f>
        <v>730</v>
      </c>
      <c r="K52" s="223">
        <f t="shared" si="11"/>
        <v>1096</v>
      </c>
      <c r="L52" s="223">
        <f t="shared" si="11"/>
        <v>1461</v>
      </c>
      <c r="M52" s="223">
        <f t="shared" si="11"/>
        <v>1826</v>
      </c>
      <c r="N52" s="223">
        <f t="shared" si="11"/>
        <v>2191</v>
      </c>
      <c r="O52" s="223">
        <f t="shared" si="11"/>
        <v>2557</v>
      </c>
      <c r="P52" s="223">
        <f t="shared" si="11"/>
        <v>2922</v>
      </c>
      <c r="Q52" s="223">
        <f t="shared" si="11"/>
        <v>3287</v>
      </c>
      <c r="R52" s="223">
        <f t="shared" si="11"/>
        <v>3652</v>
      </c>
      <c r="S52" s="223">
        <f t="shared" si="11"/>
        <v>4018</v>
      </c>
      <c r="T52" s="223">
        <f t="shared" si="11"/>
        <v>4383</v>
      </c>
      <c r="U52" s="223">
        <f t="shared" si="11"/>
        <v>4748</v>
      </c>
      <c r="V52" s="223">
        <f t="shared" si="11"/>
        <v>5113</v>
      </c>
      <c r="W52" s="223">
        <f t="shared" si="11"/>
        <v>5479</v>
      </c>
      <c r="X52" s="223">
        <f t="shared" si="11"/>
        <v>5844</v>
      </c>
      <c r="Y52" s="223">
        <f t="shared" si="11"/>
        <v>6209</v>
      </c>
      <c r="Z52" s="223">
        <f t="shared" si="11"/>
        <v>6574</v>
      </c>
      <c r="AA52" s="223">
        <f t="shared" si="11"/>
        <v>6940</v>
      </c>
      <c r="AB52" s="223">
        <f t="shared" si="11"/>
        <v>7305</v>
      </c>
      <c r="AC52" s="223">
        <f t="shared" si="11"/>
        <v>7670</v>
      </c>
      <c r="AD52" s="223">
        <f t="shared" si="11"/>
        <v>8035</v>
      </c>
      <c r="AE52" s="223">
        <f t="shared" si="11"/>
        <v>8401</v>
      </c>
      <c r="AF52" s="223">
        <f t="shared" si="11"/>
        <v>8766</v>
      </c>
      <c r="AG52" s="223">
        <f t="shared" si="11"/>
        <v>9131</v>
      </c>
      <c r="AH52" s="223">
        <f t="shared" si="11"/>
        <v>9496</v>
      </c>
      <c r="AI52" s="223">
        <f t="shared" si="11"/>
        <v>9862</v>
      </c>
      <c r="AJ52" s="223">
        <f t="shared" si="11"/>
        <v>10227</v>
      </c>
      <c r="AK52" s="223">
        <f t="shared" si="11"/>
        <v>10592</v>
      </c>
      <c r="AL52" s="223">
        <f t="shared" si="11"/>
        <v>10957</v>
      </c>
      <c r="AM52" s="223">
        <f t="shared" si="11"/>
        <v>11323</v>
      </c>
      <c r="AN52" s="223">
        <f t="shared" si="11"/>
        <v>11688</v>
      </c>
      <c r="AO52" s="223">
        <f t="shared" si="11"/>
        <v>12053</v>
      </c>
      <c r="AP52" s="223">
        <f t="shared" si="11"/>
        <v>12418</v>
      </c>
      <c r="AQ52" s="223">
        <f t="shared" si="11"/>
        <v>12784</v>
      </c>
      <c r="AR52" s="223">
        <f t="shared" si="11"/>
        <v>13149</v>
      </c>
      <c r="AS52" s="223">
        <f t="shared" si="11"/>
        <v>13514</v>
      </c>
      <c r="AT52" s="223">
        <f t="shared" si="11"/>
        <v>13879</v>
      </c>
      <c r="AU52" s="223">
        <f t="shared" si="11"/>
        <v>14245</v>
      </c>
      <c r="AV52" s="223">
        <f t="shared" si="11"/>
        <v>14610</v>
      </c>
      <c r="AW52" s="223">
        <f t="shared" si="11"/>
        <v>14975</v>
      </c>
    </row>
    <row r="53" spans="1:49">
      <c r="B53" s="2" t="s">
        <v>553</v>
      </c>
      <c r="C53" s="15" t="s">
        <v>557</v>
      </c>
      <c r="I53" s="226">
        <f>IF(I52&lt;0,0,(1/(1+'Input '!$E$404)^(Returns!I52/Days_Year)))</f>
        <v>0.86030774204797589</v>
      </c>
      <c r="J53" s="226">
        <f>IF(J52&lt;0,0,(1/(1+'Input '!$E$404)^(Returns!J52/Days_Year)))</f>
        <v>0.7401294110276867</v>
      </c>
      <c r="K53" s="226">
        <f>IF(K52&lt;0,0,(1/(1+'Input '!$E$404)^(Returns!K52/Days_Year)))</f>
        <v>0.63647663154504541</v>
      </c>
      <c r="L53" s="226">
        <f>IF(L52&lt;0,0,(1/(1+'Input '!$E$404)^(Returns!L52/Days_Year)))</f>
        <v>0.5475657737508195</v>
      </c>
      <c r="M53" s="226">
        <f>IF(M52&lt;0,0,(1/(1+'Input '!$E$404)^(Returns!M52/Days_Year)))</f>
        <v>0.47107507443832036</v>
      </c>
      <c r="N53" s="226">
        <f>IF(N52&lt;0,0,(1/(1+'Input '!$E$404)^(Returns!N52/Days_Year)))</f>
        <v>0.40526953362511364</v>
      </c>
      <c r="O53" s="226">
        <f>IF(O52&lt;0,0,(1/(1+'Input '!$E$404)^(Returns!O52/Days_Year)))</f>
        <v>0.34851281922627808</v>
      </c>
      <c r="P53" s="226">
        <f>IF(P52&lt;0,0,(1/(1+'Input '!$E$404)^(Returns!P52/Days_Year)))</f>
        <v>0.29982827658333366</v>
      </c>
      <c r="Q53" s="226">
        <f>IF(Q52&lt;0,0,(1/(1+'Input '!$E$404)^(Returns!Q52/Days_Year)))</f>
        <v>0.25794458762954381</v>
      </c>
      <c r="R53" s="226">
        <f>IF(R52&lt;0,0,(1/(1+'Input '!$E$404)^(Returns!R52/Days_Year)))</f>
        <v>0.22191172575706908</v>
      </c>
      <c r="S53" s="226">
        <f>IF(S52&lt;0,0,(1/(1+'Input '!$E$404)^(Returns!S52/Days_Year)))</f>
        <v>0.19083369152171648</v>
      </c>
      <c r="T53" s="226">
        <f>IF(T52&lt;0,0,(1/(1+'Input '!$E$404)^(Returns!T52/Days_Year)))</f>
        <v>0.16417570225972786</v>
      </c>
      <c r="U53" s="226">
        <f>IF(U52&lt;0,0,(1/(1+'Input '!$E$404)^(Returns!U52/Days_Year)))</f>
        <v>0.14124162771020723</v>
      </c>
      <c r="V53" s="226">
        <f>IF(V52&lt;0,0,(1/(1+'Input '!$E$404)^(Returns!V52/Days_Year)))</f>
        <v>0.12151126581854922</v>
      </c>
      <c r="W53" s="226">
        <f>IF(W52&lt;0,0,(1/(1+'Input '!$E$404)^(Returns!W52/Days_Year)))</f>
        <v>0.10449399795581389</v>
      </c>
      <c r="X53" s="226">
        <f>IF(X52&lt;0,0,(1/(1+'Input '!$E$404)^(Returns!X52/Days_Year)))</f>
        <v>8.9896995438932037E-2</v>
      </c>
      <c r="Y53" s="226">
        <f>IF(Y52&lt;0,0,(1/(1+'Input '!$E$404)^(Returns!Y52/Days_Year)))</f>
        <v>7.733908116296484E-2</v>
      </c>
      <c r="Z53" s="226">
        <f>IF(Z52&lt;0,0,(1/(1+'Input '!$E$404)^(Returns!Z52/Days_Year)))</f>
        <v>6.6535410287375418E-2</v>
      </c>
      <c r="AA53" s="226">
        <f>IF(AA52&lt;0,0,(1/(1+'Input '!$E$404)^(Returns!AA52/Days_Year)))</f>
        <v>5.7217336842991781E-2</v>
      </c>
      <c r="AB53" s="226">
        <f>IF(AB52&lt;0,0,(1/(1+'Input '!$E$404)^(Returns!AB52/Days_Year)))</f>
        <v>4.9224517865392739E-2</v>
      </c>
      <c r="AC53" s="226">
        <f>IF(AC52&lt;0,0,(1/(1+'Input '!$E$404)^(Returns!AC52/Days_Year)))</f>
        <v>4.2348233818176269E-2</v>
      </c>
      <c r="AD53" s="226">
        <f>IF(AD52&lt;0,0,(1/(1+'Input '!$E$404)^(Returns!AD52/Days_Year)))</f>
        <v>3.6432513415834963E-2</v>
      </c>
      <c r="AE53" s="226">
        <f>IF(AE52&lt;0,0,(1/(1+'Input '!$E$404)^(Returns!AE52/Days_Year)))</f>
        <v>3.1330255320394088E-2</v>
      </c>
      <c r="AF53" s="226">
        <f>IF(AF52&lt;0,0,(1/(1+'Input '!$E$404)^(Returns!AF52/Days_Year)))</f>
        <v>2.6953661212474812E-2</v>
      </c>
      <c r="AG53" s="226">
        <f>IF(AG52&lt;0,0,(1/(1+'Input '!$E$404)^(Returns!AG52/Days_Year)))</f>
        <v>2.3188443417630319E-2</v>
      </c>
      <c r="AH53" s="226">
        <f>IF(AH52&lt;0,0,(1/(1+'Input '!$E$404)^(Returns!AH52/Days_Year)))</f>
        <v>1.9949197398228785E-2</v>
      </c>
      <c r="AI53" s="226">
        <f>IF(AI52&lt;0,0,(1/(1+'Input '!$E$404)^(Returns!AI52/Days_Year)))</f>
        <v>1.7155375496322317E-2</v>
      </c>
      <c r="AJ53" s="226">
        <f>IF(AJ52&lt;0,0,(1/(1+'Input '!$E$404)^(Returns!AJ52/Days_Year)))</f>
        <v>1.4758902357226213E-2</v>
      </c>
      <c r="AK53" s="226">
        <f>IF(AK52&lt;0,0,(1/(1+'Input '!$E$404)^(Returns!AK52/Days_Year)))</f>
        <v>1.2697197962051838E-2</v>
      </c>
      <c r="AL53" s="226">
        <f>IF(AL52&lt;0,0,(1/(1+'Input '!$E$404)^(Returns!AL52/Days_Year)))</f>
        <v>1.092349770906898E-2</v>
      </c>
      <c r="AM53" s="226">
        <f>IF(AM52&lt;0,0,(1/(1+'Input '!$E$404)^(Returns!AM52/Days_Year)))</f>
        <v>9.3936964576295731E-3</v>
      </c>
      <c r="AN53" s="226">
        <f>IF(AN52&lt;0,0,(1/(1+'Input '!$E$404)^(Returns!AN52/Days_Year)))</f>
        <v>8.0814697889473701E-3</v>
      </c>
      <c r="AO53" s="226">
        <f>IF(AO52&lt;0,0,(1/(1+'Input '!$E$404)^(Returns!AO52/Days_Year)))</f>
        <v>6.9525510265582456E-3</v>
      </c>
      <c r="AP53" s="226">
        <f>IF(AP52&lt;0,0,(1/(1+'Input '!$E$404)^(Returns!AP52/Days_Year)))</f>
        <v>5.9813334751316624E-3</v>
      </c>
      <c r="AQ53" s="226">
        <f>IF(AQ52&lt;0,0,(1/(1+'Input '!$E$404)^(Returns!AQ52/Days_Year)))</f>
        <v>5.1436666692022759E-3</v>
      </c>
      <c r="AR53" s="226">
        <f>IF(AR52&lt;0,0,(1/(1+'Input '!$E$404)^(Returns!AR52/Days_Year)))</f>
        <v>4.4251362580288401E-3</v>
      </c>
      <c r="AS53" s="226">
        <f>IF(AS52&lt;0,0,(1/(1+'Input '!$E$404)^(Returns!AS52/Days_Year)))</f>
        <v>3.8069789823994217E-3</v>
      </c>
      <c r="AT53" s="226">
        <f>IF(AT52&lt;0,0,(1/(1+'Input '!$E$404)^(Returns!AT52/Days_Year)))</f>
        <v>3.2751734923721484E-3</v>
      </c>
      <c r="AU53" s="226">
        <f>IF(AU52&lt;0,0,(1/(1+'Input '!$E$404)^(Returns!AU52/Days_Year)))</f>
        <v>2.8164958196380432E-3</v>
      </c>
      <c r="AV53" s="226">
        <f>IF(AV52&lt;0,0,(1/(1+'Input '!$E$404)^(Returns!AV52/Days_Year)))</f>
        <v>2.4230531590803688E-3</v>
      </c>
      <c r="AW53" s="226">
        <f>IF(AW52&lt;0,0,(1/(1+'Input '!$E$404)^(Returns!AW52/Days_Year)))</f>
        <v>2.0845713921506456E-3</v>
      </c>
    </row>
    <row r="54" spans="1:49">
      <c r="AK54" s="42">
        <f>SUM(I54:AI54)</f>
        <v>0</v>
      </c>
    </row>
    <row r="55" spans="1:49">
      <c r="B55" s="50" t="s">
        <v>555</v>
      </c>
      <c r="AK55" s="42">
        <f>SUM(I55:AI55)</f>
        <v>0</v>
      </c>
    </row>
    <row r="56" spans="1:49">
      <c r="B56" s="222" t="s">
        <v>521</v>
      </c>
      <c r="C56" s="15" t="str">
        <f>$C$10</f>
        <v>US$</v>
      </c>
      <c r="D56" s="53">
        <f ca="1">SUM(I56:AW56)</f>
        <v>36683580513.899956</v>
      </c>
      <c r="I56" s="53">
        <f ca="1">I57-I14</f>
        <v>-715288869.70235205</v>
      </c>
      <c r="J56" s="53">
        <f t="shared" ref="J56:AW56" ca="1" si="12">J57-J14</f>
        <v>-526846458.1377157</v>
      </c>
      <c r="K56" s="53">
        <f t="shared" ca="1" si="12"/>
        <v>0</v>
      </c>
      <c r="L56" s="53">
        <f t="shared" ca="1" si="12"/>
        <v>155025276.2896556</v>
      </c>
      <c r="M56" s="53">
        <f t="shared" ca="1" si="12"/>
        <v>227347039.43063083</v>
      </c>
      <c r="N56" s="53">
        <f ca="1">N57-N14</f>
        <v>447105977.86860108</v>
      </c>
      <c r="O56" s="53">
        <f t="shared" ca="1" si="12"/>
        <v>539236900.7917757</v>
      </c>
      <c r="P56" s="53">
        <f t="shared" ca="1" si="12"/>
        <v>634015458.82652903</v>
      </c>
      <c r="Q56" s="53">
        <f t="shared" ca="1" si="12"/>
        <v>736962009.65508687</v>
      </c>
      <c r="R56" s="53">
        <f t="shared" ca="1" si="12"/>
        <v>1069201244.9758735</v>
      </c>
      <c r="S56" s="53">
        <f t="shared" ca="1" si="12"/>
        <v>1321753006.1872973</v>
      </c>
      <c r="T56" s="53">
        <f t="shared" ca="1" si="12"/>
        <v>1460079916.4264703</v>
      </c>
      <c r="U56" s="53">
        <f t="shared" ca="1" si="12"/>
        <v>1599272611.1738844</v>
      </c>
      <c r="V56" s="53">
        <f t="shared" ca="1" si="12"/>
        <v>1735867177.3374655</v>
      </c>
      <c r="W56" s="53">
        <f t="shared" ca="1" si="12"/>
        <v>1881973109.7769814</v>
      </c>
      <c r="X56" s="53">
        <f t="shared" ca="1" si="12"/>
        <v>1662504770.8903124</v>
      </c>
      <c r="Y56" s="53">
        <f t="shared" ca="1" si="12"/>
        <v>1690499602.3641949</v>
      </c>
      <c r="Z56" s="53">
        <f t="shared" ca="1" si="12"/>
        <v>1720296051.7161939</v>
      </c>
      <c r="AA56" s="53">
        <f t="shared" ca="1" si="12"/>
        <v>1763771376.3160353</v>
      </c>
      <c r="AB56" s="53">
        <f t="shared" ca="1" si="12"/>
        <v>1786560316.0060952</v>
      </c>
      <c r="AC56" s="53">
        <f t="shared" ca="1" si="12"/>
        <v>1818720130.5951731</v>
      </c>
      <c r="AD56" s="53">
        <f t="shared" ca="1" si="12"/>
        <v>1853077663.9245281</v>
      </c>
      <c r="AE56" s="53">
        <f t="shared" ca="1" si="12"/>
        <v>1902483781.1744072</v>
      </c>
      <c r="AF56" s="53">
        <f t="shared" ca="1" si="12"/>
        <v>1945584997.5891891</v>
      </c>
      <c r="AG56" s="53">
        <f t="shared" ca="1" si="12"/>
        <v>1996798604.5151289</v>
      </c>
      <c r="AH56" s="53">
        <f t="shared" ca="1" si="12"/>
        <v>2048508811.7964764</v>
      </c>
      <c r="AI56" s="53">
        <f t="shared" ca="1" si="12"/>
        <v>2115037054.520983</v>
      </c>
      <c r="AJ56" s="53">
        <f t="shared" ca="1" si="12"/>
        <v>820033337.69299805</v>
      </c>
      <c r="AK56" s="53">
        <f t="shared" ca="1" si="12"/>
        <v>856865027.99649727</v>
      </c>
      <c r="AL56" s="53">
        <f t="shared" ca="1" si="12"/>
        <v>2137134585.9015586</v>
      </c>
      <c r="AM56" s="53">
        <f t="shared" si="12"/>
        <v>0</v>
      </c>
      <c r="AN56" s="53">
        <f t="shared" si="12"/>
        <v>0</v>
      </c>
      <c r="AO56" s="53">
        <f t="shared" si="12"/>
        <v>0</v>
      </c>
      <c r="AP56" s="53">
        <f t="shared" si="12"/>
        <v>0</v>
      </c>
      <c r="AQ56" s="53">
        <f t="shared" si="12"/>
        <v>0</v>
      </c>
      <c r="AR56" s="53">
        <f t="shared" si="12"/>
        <v>0</v>
      </c>
      <c r="AS56" s="53">
        <f t="shared" si="12"/>
        <v>0</v>
      </c>
      <c r="AT56" s="53">
        <f t="shared" si="12"/>
        <v>0</v>
      </c>
      <c r="AU56" s="53">
        <f t="shared" si="12"/>
        <v>0</v>
      </c>
      <c r="AV56" s="53">
        <f t="shared" si="12"/>
        <v>0</v>
      </c>
      <c r="AW56" s="53">
        <f t="shared" si="12"/>
        <v>0</v>
      </c>
    </row>
    <row r="57" spans="1:49">
      <c r="A57" s="220"/>
      <c r="B57" s="222" t="s">
        <v>526</v>
      </c>
      <c r="C57" s="15" t="str">
        <f>$C$10</f>
        <v>US$</v>
      </c>
      <c r="D57" s="53">
        <f ca="1">SUM(I57:AI57)</f>
        <v>19968777340.613289</v>
      </c>
      <c r="I57" s="42">
        <f ca="1">I23</f>
        <v>-715288869.70235205</v>
      </c>
      <c r="J57" s="42">
        <f t="shared" ref="J57:AW57" ca="1" si="13">J23</f>
        <v>-526846458.1377157</v>
      </c>
      <c r="K57" s="42">
        <f t="shared" ca="1" si="13"/>
        <v>0</v>
      </c>
      <c r="L57" s="42">
        <f t="shared" ca="1" si="13"/>
        <v>155025276.2896556</v>
      </c>
      <c r="M57" s="42">
        <f t="shared" ca="1" si="13"/>
        <v>227347039.43063083</v>
      </c>
      <c r="N57" s="42">
        <f t="shared" ca="1" si="13"/>
        <v>288124209.36050177</v>
      </c>
      <c r="O57" s="42">
        <f t="shared" ca="1" si="13"/>
        <v>361289591.41360027</v>
      </c>
      <c r="P57" s="42">
        <f t="shared" ca="1" si="13"/>
        <v>438596621.84971422</v>
      </c>
      <c r="Q57" s="42">
        <f t="shared" ca="1" si="13"/>
        <v>523411100.51175404</v>
      </c>
      <c r="R57" s="42">
        <f t="shared" ca="1" si="13"/>
        <v>573449769.13911676</v>
      </c>
      <c r="S57" s="42">
        <f t="shared" ca="1" si="13"/>
        <v>683330946.14545572</v>
      </c>
      <c r="T57" s="42">
        <f t="shared" ca="1" si="13"/>
        <v>783133296.44681394</v>
      </c>
      <c r="U57" s="42">
        <f t="shared" ca="1" si="13"/>
        <v>882001923.3333801</v>
      </c>
      <c r="V57" s="42">
        <f t="shared" ca="1" si="13"/>
        <v>976253719.36866021</v>
      </c>
      <c r="W57" s="42">
        <f t="shared" ca="1" si="13"/>
        <v>1077859338.8075821</v>
      </c>
      <c r="X57" s="42">
        <f t="shared" ca="1" si="13"/>
        <v>1098567416.7028735</v>
      </c>
      <c r="Y57" s="42">
        <f t="shared" ca="1" si="13"/>
        <v>1109680624.1883595</v>
      </c>
      <c r="Z57" s="42">
        <f t="shared" ca="1" si="13"/>
        <v>1121535370.4584107</v>
      </c>
      <c r="AA57" s="42">
        <f t="shared" ca="1" si="13"/>
        <v>1146362716.9640911</v>
      </c>
      <c r="AB57" s="42">
        <f t="shared" ca="1" si="13"/>
        <v>1149854305.7021184</v>
      </c>
      <c r="AC57" s="42">
        <f t="shared" ca="1" si="13"/>
        <v>1161885476.5317512</v>
      </c>
      <c r="AD57" s="42">
        <f t="shared" ca="1" si="13"/>
        <v>1175309556.3305271</v>
      </c>
      <c r="AE57" s="42">
        <f t="shared" ca="1" si="13"/>
        <v>1202981110.8956997</v>
      </c>
      <c r="AF57" s="42">
        <f t="shared" ca="1" si="13"/>
        <v>1223598212.6286387</v>
      </c>
      <c r="AG57" s="42">
        <f t="shared" ca="1" si="13"/>
        <v>1251506969.0331321</v>
      </c>
      <c r="AH57" s="42">
        <f t="shared" ca="1" si="13"/>
        <v>1279109353.3478193</v>
      </c>
      <c r="AI57" s="42">
        <f t="shared" ca="1" si="13"/>
        <v>1320698723.5730693</v>
      </c>
      <c r="AJ57" s="42">
        <f t="shared" ca="1" si="13"/>
        <v>0</v>
      </c>
      <c r="AK57" s="42">
        <f t="shared" ca="1" si="13"/>
        <v>0</v>
      </c>
      <c r="AL57" s="42">
        <f t="shared" ca="1" si="13"/>
        <v>1242135327.8400679</v>
      </c>
      <c r="AM57" s="42">
        <f t="shared" si="13"/>
        <v>0</v>
      </c>
      <c r="AN57" s="42">
        <f t="shared" si="13"/>
        <v>0</v>
      </c>
      <c r="AO57" s="42">
        <f t="shared" si="13"/>
        <v>0</v>
      </c>
      <c r="AP57" s="42">
        <f t="shared" si="13"/>
        <v>0</v>
      </c>
      <c r="AQ57" s="42">
        <f t="shared" si="13"/>
        <v>0</v>
      </c>
      <c r="AR57" s="42">
        <f t="shared" si="13"/>
        <v>0</v>
      </c>
      <c r="AS57" s="42">
        <f t="shared" si="13"/>
        <v>0</v>
      </c>
      <c r="AT57" s="42">
        <f>AT23</f>
        <v>0</v>
      </c>
      <c r="AU57" s="42">
        <f t="shared" si="13"/>
        <v>0</v>
      </c>
      <c r="AV57" s="42">
        <f t="shared" si="13"/>
        <v>0</v>
      </c>
      <c r="AW57" s="42">
        <f t="shared" si="13"/>
        <v>0</v>
      </c>
    </row>
    <row r="58" spans="1:49">
      <c r="AK58" s="42">
        <f>SUM(I58:AI58)</f>
        <v>0</v>
      </c>
    </row>
    <row r="60" spans="1:49">
      <c r="B60" s="50" t="s">
        <v>549</v>
      </c>
      <c r="D60" s="82" t="s">
        <v>558</v>
      </c>
      <c r="E60" s="82" t="s">
        <v>559</v>
      </c>
      <c r="F60" s="82" t="s">
        <v>560</v>
      </c>
    </row>
    <row r="61" spans="1:49">
      <c r="B61" s="222" t="s">
        <v>521</v>
      </c>
      <c r="D61" s="118">
        <f ca="1">NPV('Input '!$E$404,Returns!I56:AW56)</f>
        <v>2312919587.7694035</v>
      </c>
      <c r="E61" s="99">
        <f ca="1">IRR(I56:AW56)</f>
        <v>0.3063659955128839</v>
      </c>
      <c r="F61" s="99">
        <f ca="1">MIRR(I56:AW56,0.1,0.18)</f>
        <v>0.20960719427444752</v>
      </c>
      <c r="I61" s="227" t="str">
        <f ca="1">IF(ISERROR(IRR($I56:I56)),"n/a",(IRR($I56:I56)))</f>
        <v>n/a</v>
      </c>
      <c r="J61" s="227" t="str">
        <f ca="1">IF(ISERROR(IRR($I56:J56)),"n/a",(IRR($I56:J56)))</f>
        <v>n/a</v>
      </c>
      <c r="K61" s="227" t="str">
        <f ca="1">IF(ISERROR(IRR($I56:K56)),"n/a",(IRR($I56:K56)))</f>
        <v>n/a</v>
      </c>
      <c r="L61" s="227">
        <f ca="1">IF(ISERROR(IRR($I56:L56)),"n/a",(IRR($I56:L56)))</f>
        <v>-0.56912950807766105</v>
      </c>
      <c r="M61" s="227">
        <f ca="1">IF(ISERROR(IRR($I56:M56)),"n/a",(IRR($I56:M56)))</f>
        <v>-0.31058266483593244</v>
      </c>
      <c r="N61" s="227">
        <f ca="1">IF(ISERROR(IRR($I56:N56)),"n/a",(IRR($I56:N56)))</f>
        <v>-9.7276029392564078E-2</v>
      </c>
      <c r="O61" s="227">
        <f ca="1">IF(ISERROR(IRR($I56:O56)),"n/a",(IRR($I56:O56)))</f>
        <v>2.1466153309590341E-2</v>
      </c>
      <c r="P61" s="227">
        <f ca="1">IF(ISERROR(IRR($I56:P56)),"n/a",(IRR($I56:P56)))</f>
        <v>9.7242808156963845E-2</v>
      </c>
      <c r="Q61" s="227">
        <f ca="1">IF(ISERROR(IRR($I56:Q56)),"n/a",(IRR($I56:Q56)))</f>
        <v>0.14879400416832245</v>
      </c>
      <c r="R61" s="227">
        <f ca="1">IF(ISERROR(IRR($I56:R56)),"n/a",(IRR($I56:R56)))</f>
        <v>0.19317962739562278</v>
      </c>
      <c r="S61" s="227">
        <f ca="1">IF(ISERROR(IRR($I56:S56)),"n/a",(IRR($I56:S56)))</f>
        <v>0.22596287039536356</v>
      </c>
      <c r="T61" s="227">
        <f ca="1">IF(ISERROR(IRR($I56:T56)),"n/a",(IRR($I56:T56)))</f>
        <v>0.24856916086241077</v>
      </c>
      <c r="U61" s="227">
        <f ca="1">IF(ISERROR(IRR($I56:U56)),"n/a",(IRR($I56:U56)))</f>
        <v>0.2646936108043012</v>
      </c>
      <c r="V61" s="227">
        <f ca="1">IF(ISERROR(IRR($I56:V56)),"n/a",(IRR($I56:V56)))</f>
        <v>0.27643831774932348</v>
      </c>
      <c r="W61" s="227">
        <f ca="1">IF(ISERROR(IRR($I56:W56)),"n/a",(IRR($I56:W56)))</f>
        <v>0.28517827656810657</v>
      </c>
      <c r="X61" s="227">
        <f ca="1">IF(ISERROR(IRR($I56:X56)),"n/a",(IRR($I56:X56)))</f>
        <v>0.29061769812172056</v>
      </c>
      <c r="Y61" s="227">
        <f ca="1">IF(ISERROR(IRR($I56:Y56)),"n/a",(IRR($I56:Y56)))</f>
        <v>0.29460441363522127</v>
      </c>
      <c r="Z61" s="227">
        <f ca="1">IF(ISERROR(IRR($I56:Z56)),"n/a",(IRR($I56:Z56)))</f>
        <v>0.29756228047218225</v>
      </c>
      <c r="AA61" s="227">
        <f ca="1">IF(ISERROR(IRR($I56:AA56)),"n/a",(IRR($I56:AA56)))</f>
        <v>0.29979301251708046</v>
      </c>
      <c r="AB61" s="227">
        <f ca="1">IF(ISERROR(IRR($I56:AB56)),"n/a",(IRR($I56:AB56)))</f>
        <v>0.30146708512813647</v>
      </c>
      <c r="AC61" s="227">
        <f ca="1">IF(ISERROR(IRR($I56:AC56)),"n/a",(IRR($I56:AC56)))</f>
        <v>0.30273726173053261</v>
      </c>
      <c r="AD61" s="227">
        <f ca="1">IF(ISERROR(IRR($I56:AD56)),"n/a",(IRR($I56:AD56)))</f>
        <v>0.30370642958910876</v>
      </c>
      <c r="AE61" s="227">
        <f ca="1">IF(ISERROR(IRR($I56:AE56)),"n/a",(IRR($I56:AE56)))</f>
        <v>0.30445440514441247</v>
      </c>
      <c r="AF61" s="227">
        <f ca="1">IF(ISERROR(IRR($I56:AF56)),"n/a",(IRR($I56:AF56)))</f>
        <v>0.30503119921240884</v>
      </c>
      <c r="AG61" s="227">
        <f ca="1">IF(ISERROR(IRR($I56:AG56)),"n/a",(IRR($I56:AG56)))</f>
        <v>0.30547872928903241</v>
      </c>
      <c r="AH61" s="227">
        <f ca="1">IF(ISERROR(IRR($I56:AH56)),"n/a",(IRR($I56:AH56)))</f>
        <v>0.30582654901880768</v>
      </c>
      <c r="AI61" s="227">
        <f ca="1">IF(ISERROR(IRR($I56:AI56)),"n/a",(IRR($I56:AI56)))</f>
        <v>0.30609907416334026</v>
      </c>
      <c r="AJ61" s="227">
        <f ca="1">IF(ISERROR(IRR($I56:AJ56)),"n/a",(IRR($I56:AJ56)))</f>
        <v>0.30617954025880367</v>
      </c>
      <c r="AK61" s="227">
        <f ca="1">IF(ISERROR(IRR($I56:AK56)),"n/a",(IRR($I56:AK56)))</f>
        <v>0.30624376134336306</v>
      </c>
      <c r="AL61" s="227">
        <f ca="1">IF(ISERROR(IRR($I56:AL56)),"n/a",(IRR($I56:AL56)))</f>
        <v>0.3063659955128839</v>
      </c>
      <c r="AM61" s="227">
        <f ca="1">IF(ISERROR(IRR($I56:AM56)),"n/a",(IRR($I56:AM56)))</f>
        <v>0.3063659955128839</v>
      </c>
      <c r="AN61" s="227">
        <f ca="1">IF(ISERROR(IRR($I56:AN56)),"n/a",(IRR($I56:AN56)))</f>
        <v>0.3063659955128839</v>
      </c>
      <c r="AO61" s="227">
        <f ca="1">IF(ISERROR(IRR($I56:AO56)),"n/a",(IRR($I56:AO56)))</f>
        <v>0.3063659955128839</v>
      </c>
      <c r="AP61" s="227">
        <f ca="1">IF(ISERROR(IRR($I56:AP56)),"n/a",(IRR($I56:AP56)))</f>
        <v>0.3063659955128839</v>
      </c>
      <c r="AQ61" s="227">
        <f ca="1">IF(ISERROR(IRR($I56:AQ56)),"n/a",(IRR($I56:AQ56)))</f>
        <v>0.3063659955128839</v>
      </c>
      <c r="AR61" s="227">
        <f ca="1">IF(ISERROR(IRR($I56:AR56)),"n/a",(IRR($I56:AR56)))</f>
        <v>0.3063659955128839</v>
      </c>
      <c r="AS61" s="227">
        <f ca="1">IF(ISERROR(IRR($I56:AS56)),"n/a",(IRR($I56:AS56)))</f>
        <v>0.3063659955128839</v>
      </c>
      <c r="AT61" s="227">
        <f ca="1">IF(ISERROR(IRR($I56:AT56)),"n/a",(IRR($I56:AT56)))</f>
        <v>0.3063659955128839</v>
      </c>
      <c r="AU61" s="227">
        <f ca="1">IF(ISERROR(IRR($I56:AU56)),"n/a",(IRR($I56:AU56)))</f>
        <v>0.3063659955128839</v>
      </c>
      <c r="AV61" s="227">
        <f ca="1">IF(ISERROR(IRR($I56:AV56)),"n/a",(IRR($I56:AV56)))</f>
        <v>0.3063659955128839</v>
      </c>
      <c r="AW61" s="227">
        <f ca="1">IF(ISERROR(IRR($I56:AW56)),"n/a",(IRR($I56:AW56)))</f>
        <v>0.3063659955128839</v>
      </c>
    </row>
    <row r="62" spans="1:49">
      <c r="B62" s="222" t="s">
        <v>526</v>
      </c>
      <c r="D62" s="118">
        <f ca="1">NPV('Input '!$E$404,Returns!I57:AW57)</f>
        <v>1075436673.7856736</v>
      </c>
      <c r="E62" s="99">
        <f ca="1">IRR(I57:AW57)</f>
        <v>0.24681771688760357</v>
      </c>
      <c r="F62" s="99">
        <f ca="1">MIRR(I57:AW57,0.1,0.18)</f>
        <v>0.19576464924454773</v>
      </c>
      <c r="I62" s="227" t="str">
        <f ca="1">IF(ISERROR(IRR($I57:I57)),"n/a",(IRR($I57:I57)))</f>
        <v>n/a</v>
      </c>
      <c r="J62" s="227" t="str">
        <f ca="1">IF(ISERROR(IRR($I57:J57)),"n/a",(IRR($I57:J57)))</f>
        <v>n/a</v>
      </c>
      <c r="K62" s="227" t="str">
        <f ca="1">IF(ISERROR(IRR($I57:K57)),"n/a",(IRR($I57:K57)))</f>
        <v>n/a</v>
      </c>
      <c r="L62" s="227">
        <f ca="1">IF(ISERROR(IRR($I57:L57)),"n/a",(IRR($I57:L57)))</f>
        <v>-0.56912950807766105</v>
      </c>
      <c r="M62" s="227">
        <f ca="1">IF(ISERROR(IRR($I57:M57)),"n/a",(IRR($I57:M57)))</f>
        <v>-0.31058266483593244</v>
      </c>
      <c r="N62" s="227">
        <f ca="1">IF(ISERROR(IRR($I57:N57)),"n/a",(IRR($I57:N57)))</f>
        <v>-0.1496331926118325</v>
      </c>
      <c r="O62" s="227">
        <f ca="1">IF(ISERROR(IRR($I57:O57)),"n/a",(IRR($I57:O57)))</f>
        <v>-4.107361862826242E-2</v>
      </c>
      <c r="P62" s="227">
        <f ca="1">IF(ISERROR(IRR($I57:P57)),"n/a",(IRR($I57:P57)))</f>
        <v>3.4129365166512438E-2</v>
      </c>
      <c r="Q62" s="227">
        <f ca="1">IF(ISERROR(IRR($I57:Q57)),"n/a",(IRR($I57:Q57)))</f>
        <v>8.7916940480770922E-2</v>
      </c>
      <c r="R62" s="227">
        <f ca="1">IF(ISERROR(IRR($I57:R57)),"n/a",(IRR($I57:R57)))</f>
        <v>0.12504559178056862</v>
      </c>
      <c r="S62" s="227">
        <f ca="1">IF(ISERROR(IRR($I57:S57)),"n/a",(IRR($I57:S57)))</f>
        <v>0.15391998586580158</v>
      </c>
      <c r="T62" s="227">
        <f ca="1">IF(ISERROR(IRR($I57:T57)),"n/a",(IRR($I57:T57)))</f>
        <v>0.17595000410325423</v>
      </c>
      <c r="U62" s="227">
        <f ca="1">IF(ISERROR(IRR($I57:U57)),"n/a",(IRR($I57:U57)))</f>
        <v>0.19284769757200415</v>
      </c>
      <c r="V62" s="227">
        <f ca="1">IF(ISERROR(IRR($I57:V57)),"n/a",(IRR($I57:V57)))</f>
        <v>0.20585568191015513</v>
      </c>
      <c r="W62" s="227">
        <f ca="1">IF(ISERROR(IRR($I57:W57)),"n/a",(IRR($I57:W57)))</f>
        <v>0.21602655632623358</v>
      </c>
      <c r="X62" s="227">
        <f ca="1">IF(ISERROR(IRR($I57:X57)),"n/a",(IRR($I57:X57)))</f>
        <v>0.22351055168251954</v>
      </c>
      <c r="Y62" s="227">
        <f ca="1">IF(ISERROR(IRR($I57:Y57)),"n/a",(IRR($I57:Y57)))</f>
        <v>0.229077823665915</v>
      </c>
      <c r="Z62" s="227">
        <f ca="1">IF(ISERROR(IRR($I57:Z57)),"n/a",(IRR($I57:Z57)))</f>
        <v>0.2332859497232842</v>
      </c>
      <c r="AA62" s="227">
        <f ca="1">IF(ISERROR(IRR($I57:AA57)),"n/a",(IRR($I57:AA57)))</f>
        <v>0.23654040101998985</v>
      </c>
      <c r="AB62" s="227">
        <f ca="1">IF(ISERROR(IRR($I57:AB57)),"n/a",(IRR($I57:AB57)))</f>
        <v>0.23903375293326357</v>
      </c>
      <c r="AC62" s="227">
        <f ca="1">IF(ISERROR(IRR($I57:AC57)),"n/a",(IRR($I57:AC57)))</f>
        <v>0.24097361334075917</v>
      </c>
      <c r="AD62" s="227">
        <f ca="1">IF(ISERROR(IRR($I57:AD57)),"n/a",(IRR($I57:AD57)))</f>
        <v>0.24249412279243043</v>
      </c>
      <c r="AE62" s="227">
        <f ca="1">IF(ISERROR(IRR($I57:AE57)),"n/a",(IRR($I57:AE57)))</f>
        <v>0.24370619868305221</v>
      </c>
      <c r="AF62" s="227">
        <f ca="1">IF(ISERROR(IRR($I57:AF57)),"n/a",(IRR($I57:AF57)))</f>
        <v>0.24467036396752739</v>
      </c>
      <c r="AG62" s="227">
        <f ca="1">IF(ISERROR(IRR($I57:AG57)),"n/a",(IRR($I57:AG57)))</f>
        <v>0.24544434026743667</v>
      </c>
      <c r="AH62" s="227">
        <f ca="1">IF(ISERROR(IRR($I57:AH57)),"n/a",(IRR($I57:AH57)))</f>
        <v>0.24606702337831865</v>
      </c>
      <c r="AI62" s="227">
        <f ca="1">IF(ISERROR(IRR($I57:AI57)),"n/a",(IRR($I57:AI57)))</f>
        <v>0.24657435463409105</v>
      </c>
      <c r="AJ62" s="227">
        <f ca="1">IF(ISERROR(IRR($I57:AJ57)),"n/a",(IRR($I57:AJ57)))</f>
        <v>0.24657435463409105</v>
      </c>
      <c r="AK62" s="227">
        <f ca="1">IF(ISERROR(IRR($I57:AK57)),"n/a",(IRR($I57:AK57)))</f>
        <v>0.24657435463409105</v>
      </c>
      <c r="AL62" s="227">
        <f ca="1">IF(ISERROR(IRR($I57:AL57)),"n/a",(IRR($I57:AL57)))</f>
        <v>0.24681771688760357</v>
      </c>
      <c r="AM62" s="227">
        <f ca="1">IF(ISERROR(IRR($I57:AM57)),"n/a",(IRR($I57:AM57)))</f>
        <v>0.24681771688760357</v>
      </c>
      <c r="AN62" s="227">
        <f ca="1">IF(ISERROR(IRR($I57:AN57)),"n/a",(IRR($I57:AN57)))</f>
        <v>0.24681771688760357</v>
      </c>
      <c r="AO62" s="227">
        <f ca="1">IF(ISERROR(IRR($I57:AO57)),"n/a",(IRR($I57:AO57)))</f>
        <v>0.24681771688760357</v>
      </c>
      <c r="AP62" s="227">
        <f ca="1">IF(ISERROR(IRR($I57:AP57)),"n/a",(IRR($I57:AP57)))</f>
        <v>0.24681771688760357</v>
      </c>
      <c r="AQ62" s="227">
        <f ca="1">IF(ISERROR(IRR($I57:AQ57)),"n/a",(IRR($I57:AQ57)))</f>
        <v>0.24681771688760357</v>
      </c>
      <c r="AR62" s="227">
        <f ca="1">IF(ISERROR(IRR($I57:AR57)),"n/a",(IRR($I57:AR57)))</f>
        <v>0.24681771688760357</v>
      </c>
      <c r="AS62" s="227">
        <f ca="1">IF(ISERROR(IRR($I57:AS57)),"n/a",(IRR($I57:AS57)))</f>
        <v>0.24681771688760357</v>
      </c>
      <c r="AT62" s="227">
        <f ca="1">IF(ISERROR(IRR($I57:AT57)),"n/a",(IRR($I57:AT57)))</f>
        <v>0.24681771688760357</v>
      </c>
      <c r="AU62" s="227">
        <f ca="1">IF(ISERROR(IRR($I57:AU57)),"n/a",(IRR($I57:AU57)))</f>
        <v>0.24681771688760357</v>
      </c>
      <c r="AV62" s="227">
        <f ca="1">IF(ISERROR(IRR($I57:AV57)),"n/a",(IRR($I57:AV57)))</f>
        <v>0.24681771688760357</v>
      </c>
      <c r="AW62" s="227">
        <f ca="1">IF(ISERROR(IRR($I57:AW57)),"n/a",(IRR($I57:AW57)))</f>
        <v>0.24681771688760357</v>
      </c>
    </row>
    <row r="64" spans="1:49">
      <c r="A64" s="220"/>
    </row>
    <row r="65" spans="1:50">
      <c r="B65" s="50" t="s">
        <v>556</v>
      </c>
    </row>
    <row r="66" spans="1:50">
      <c r="B66" s="222" t="s">
        <v>521</v>
      </c>
      <c r="C66" s="15" t="str">
        <f>$C$10</f>
        <v>US$</v>
      </c>
      <c r="I66" s="42">
        <f ca="1">I67-I14</f>
        <v>-715288869.70235205</v>
      </c>
      <c r="J66" s="42">
        <f t="shared" ref="J66:AI66" ca="1" si="14">J67-J14</f>
        <v>-526846458.1377157</v>
      </c>
      <c r="K66" s="42">
        <f ca="1">K67-K14</f>
        <v>632979160.75820112</v>
      </c>
      <c r="L66" s="42">
        <f t="shared" ca="1" si="14"/>
        <v>1033501841.9310374</v>
      </c>
      <c r="M66" s="42">
        <f t="shared" ca="1" si="14"/>
        <v>1515646929.537539</v>
      </c>
      <c r="N66" s="42">
        <f t="shared" ca="1" si="14"/>
        <v>2085072373.548166</v>
      </c>
      <c r="O66" s="42">
        <f t="shared" ca="1" si="14"/>
        <v>2579963718.5942788</v>
      </c>
      <c r="P66" s="42">
        <f t="shared" ca="1" si="14"/>
        <v>3119396315.9749098</v>
      </c>
      <c r="Q66" s="42">
        <f t="shared" ca="1" si="14"/>
        <v>3702958245.88836</v>
      </c>
      <c r="R66" s="42">
        <f t="shared" ca="1" si="14"/>
        <v>4329223905.1503048</v>
      </c>
      <c r="S66" s="42">
        <f ca="1">S67-S14</f>
        <v>5181514871.3914099</v>
      </c>
      <c r="T66" s="42">
        <f ca="1">T67-T14</f>
        <v>5897835262.958416</v>
      </c>
      <c r="U66" s="42">
        <f ca="1">U67-U14</f>
        <v>6597283510.0630379</v>
      </c>
      <c r="V66" s="42">
        <f t="shared" ca="1" si="14"/>
        <v>7285802705.2551918</v>
      </c>
      <c r="W66" s="42">
        <f t="shared" ca="1" si="14"/>
        <v>7970209557.2128868</v>
      </c>
      <c r="X66" s="42">
        <f t="shared" ca="1" si="14"/>
        <v>7887720132.2065954</v>
      </c>
      <c r="Y66" s="42">
        <f t="shared" ca="1" si="14"/>
        <v>7978689806.0982323</v>
      </c>
      <c r="Z66" s="42">
        <f t="shared" ca="1" si="14"/>
        <v>8096147815.2811317</v>
      </c>
      <c r="AA66" s="42">
        <f t="shared" ca="1" si="14"/>
        <v>8238945848.639616</v>
      </c>
      <c r="AB66" s="42">
        <f t="shared" ca="1" si="14"/>
        <v>8397053121.2377234</v>
      </c>
      <c r="AC66" s="42">
        <f t="shared" ca="1" si="14"/>
        <v>8593174908.0848942</v>
      </c>
      <c r="AD66" s="42">
        <f t="shared" ca="1" si="14"/>
        <v>8821014384.2145538</v>
      </c>
      <c r="AE66" s="42">
        <f t="shared" ca="1" si="14"/>
        <v>9078802978.6801758</v>
      </c>
      <c r="AF66" s="42">
        <f t="shared" ca="1" si="14"/>
        <v>9355672115.6395721</v>
      </c>
      <c r="AG66" s="42">
        <f t="shared" ca="1" si="14"/>
        <v>9659843146.188076</v>
      </c>
      <c r="AH66" s="42">
        <f t="shared" ca="1" si="14"/>
        <v>9986357969.8839855</v>
      </c>
      <c r="AI66" s="42">
        <f t="shared" ca="1" si="14"/>
        <v>10334972444.73597</v>
      </c>
      <c r="AJ66" s="42">
        <f ca="1">AJ67-AJ14</f>
        <v>10695326552.300941</v>
      </c>
      <c r="AK66" s="42">
        <f t="shared" ref="AK66:AV66" ca="1" si="15">AK67-AK14</f>
        <v>12462049427.399378</v>
      </c>
      <c r="AL66" s="42">
        <f t="shared" ca="1" si="15"/>
        <v>14641153304.394901</v>
      </c>
      <c r="AM66" s="42">
        <f t="shared" si="15"/>
        <v>0</v>
      </c>
      <c r="AN66" s="42">
        <f t="shared" si="15"/>
        <v>0</v>
      </c>
      <c r="AO66" s="42">
        <f t="shared" si="15"/>
        <v>0</v>
      </c>
      <c r="AP66" s="42">
        <f t="shared" si="15"/>
        <v>0</v>
      </c>
      <c r="AQ66" s="42">
        <f t="shared" si="15"/>
        <v>0</v>
      </c>
      <c r="AR66" s="42">
        <f t="shared" si="15"/>
        <v>0</v>
      </c>
      <c r="AS66" s="42">
        <f t="shared" si="15"/>
        <v>0</v>
      </c>
      <c r="AT66" s="42">
        <f t="shared" si="15"/>
        <v>0</v>
      </c>
      <c r="AU66" s="42">
        <f t="shared" si="15"/>
        <v>0</v>
      </c>
      <c r="AV66" s="42">
        <f t="shared" si="15"/>
        <v>0</v>
      </c>
      <c r="AW66" s="42">
        <f>AW67-AW14</f>
        <v>0</v>
      </c>
      <c r="AX66" s="42">
        <f>AX67-AX14</f>
        <v>0</v>
      </c>
    </row>
    <row r="67" spans="1:50">
      <c r="B67" s="222" t="s">
        <v>526</v>
      </c>
      <c r="C67" s="15" t="str">
        <f>$C$10</f>
        <v>US$</v>
      </c>
      <c r="I67" s="42">
        <f ca="1">I29</f>
        <v>-715288869.70235205</v>
      </c>
      <c r="J67" s="42">
        <f t="shared" ref="J67:AK67" ca="1" si="16">J29</f>
        <v>-526846458.1377157</v>
      </c>
      <c r="K67" s="42">
        <f ca="1">K29</f>
        <v>632979160.75820112</v>
      </c>
      <c r="L67" s="42">
        <f t="shared" ca="1" si="16"/>
        <v>1033501841.9310374</v>
      </c>
      <c r="M67" s="42">
        <f t="shared" ca="1" si="16"/>
        <v>1515646929.537539</v>
      </c>
      <c r="N67" s="42">
        <f t="shared" ca="1" si="16"/>
        <v>1926090605.0400667</v>
      </c>
      <c r="O67" s="42">
        <f t="shared" ca="1" si="16"/>
        <v>2402016409.2161036</v>
      </c>
      <c r="P67" s="42">
        <f t="shared" ca="1" si="16"/>
        <v>2923977478.998095</v>
      </c>
      <c r="Q67" s="42">
        <f t="shared" ca="1" si="16"/>
        <v>3489407336.7450271</v>
      </c>
      <c r="R67" s="42">
        <f t="shared" ca="1" si="16"/>
        <v>3833472429.3135481</v>
      </c>
      <c r="S67" s="42">
        <f t="shared" ca="1" si="16"/>
        <v>4543092811.3495684</v>
      </c>
      <c r="T67" s="42">
        <f ca="1">T29</f>
        <v>5220888642.9787598</v>
      </c>
      <c r="U67" s="42">
        <f ca="1">U29</f>
        <v>5880012822.2225342</v>
      </c>
      <c r="V67" s="42">
        <f t="shared" ca="1" si="16"/>
        <v>6526189247.2863865</v>
      </c>
      <c r="W67" s="42">
        <f t="shared" ca="1" si="16"/>
        <v>7166095786.2434874</v>
      </c>
      <c r="X67" s="42">
        <f t="shared" ca="1" si="16"/>
        <v>7323782778.0191565</v>
      </c>
      <c r="Y67" s="42">
        <f t="shared" ca="1" si="16"/>
        <v>7397870827.9223967</v>
      </c>
      <c r="Z67" s="42">
        <f t="shared" ca="1" si="16"/>
        <v>7497387134.0233488</v>
      </c>
      <c r="AA67" s="42">
        <f t="shared" ca="1" si="16"/>
        <v>7621537189.287672</v>
      </c>
      <c r="AB67" s="42">
        <f t="shared" ca="1" si="16"/>
        <v>7760347110.9337463</v>
      </c>
      <c r="AC67" s="42">
        <f t="shared" ca="1" si="16"/>
        <v>7936340254.0214729</v>
      </c>
      <c r="AD67" s="42">
        <f t="shared" ca="1" si="16"/>
        <v>8143246276.6205521</v>
      </c>
      <c r="AE67" s="42">
        <f t="shared" ca="1" si="16"/>
        <v>8379300308.4014683</v>
      </c>
      <c r="AF67" s="42">
        <f t="shared" ca="1" si="16"/>
        <v>8633685330.6790218</v>
      </c>
      <c r="AG67" s="42">
        <f t="shared" ca="1" si="16"/>
        <v>8914551510.7060795</v>
      </c>
      <c r="AH67" s="42">
        <f t="shared" ca="1" si="16"/>
        <v>9216958511.4353294</v>
      </c>
      <c r="AI67" s="42">
        <f t="shared" ca="1" si="16"/>
        <v>9540634113.7880554</v>
      </c>
      <c r="AJ67" s="42">
        <f ca="1">AJ29</f>
        <v>9875293214.6079426</v>
      </c>
      <c r="AK67" s="42">
        <f t="shared" ca="1" si="16"/>
        <v>11605184399.40288</v>
      </c>
      <c r="AL67" s="42">
        <f t="shared" ref="AL67:AV67" ca="1" si="17">AL29</f>
        <v>13746154046.33341</v>
      </c>
      <c r="AM67" s="42">
        <f t="shared" si="17"/>
        <v>0</v>
      </c>
      <c r="AN67" s="42">
        <f t="shared" si="17"/>
        <v>0</v>
      </c>
      <c r="AO67" s="42">
        <f t="shared" si="17"/>
        <v>0</v>
      </c>
      <c r="AP67" s="42">
        <f t="shared" si="17"/>
        <v>0</v>
      </c>
      <c r="AQ67" s="42">
        <f t="shared" si="17"/>
        <v>0</v>
      </c>
      <c r="AR67" s="42">
        <f t="shared" si="17"/>
        <v>0</v>
      </c>
      <c r="AS67" s="42">
        <f t="shared" si="17"/>
        <v>0</v>
      </c>
      <c r="AT67" s="42">
        <f t="shared" si="17"/>
        <v>0</v>
      </c>
      <c r="AU67" s="42">
        <f t="shared" si="17"/>
        <v>0</v>
      </c>
      <c r="AV67" s="42">
        <f t="shared" si="17"/>
        <v>0</v>
      </c>
      <c r="AW67" s="42">
        <f>AW29</f>
        <v>0</v>
      </c>
      <c r="AX67" s="42">
        <f>AX29</f>
        <v>0</v>
      </c>
    </row>
    <row r="70" spans="1:50">
      <c r="B70" s="50" t="s">
        <v>549</v>
      </c>
      <c r="D70" s="82" t="s">
        <v>558</v>
      </c>
      <c r="E70" s="82" t="s">
        <v>559</v>
      </c>
      <c r="F70" s="2" t="s">
        <v>1288</v>
      </c>
    </row>
    <row r="71" spans="1:50" ht="12" customHeight="1">
      <c r="B71" s="222" t="s">
        <v>521</v>
      </c>
      <c r="C71" s="15"/>
      <c r="D71" s="118">
        <f ca="1">NPV('Input '!$E$404,Returns!I66:AW66)</f>
        <v>14948590002.5301</v>
      </c>
      <c r="E71" s="99">
        <f ca="1">IRR(I66:AW66)</f>
        <v>0.72826709707801207</v>
      </c>
      <c r="F71" s="99">
        <f ca="1">MIRR(I66:AW66,0.1,0.18)</f>
        <v>0.25814043562946343</v>
      </c>
      <c r="G71" s="49"/>
      <c r="I71" s="227" t="str">
        <f ca="1">IF(ISERROR(IRR($I66:I66)),"n/a",(IRR($I66:I66)))</f>
        <v>n/a</v>
      </c>
      <c r="J71" s="227" t="str">
        <f ca="1">IF(ISERROR(IRR($I66:J66)),"n/a",(IRR($I66:J66)))</f>
        <v>n/a</v>
      </c>
      <c r="K71" s="227">
        <f ca="1">IF(ISERROR(IRR($I66:K66)),"n/a",(IRR($I66:K66)))</f>
        <v>-0.35805022486632743</v>
      </c>
      <c r="L71" s="227">
        <f ca="1">IF(ISERROR(IRR($I66:L66)),"n/a",(IRR($I66:L66)))</f>
        <v>0.14317145403834219</v>
      </c>
      <c r="M71" s="227">
        <f ca="1">IF(ISERROR(IRR($I66:M66)),"n/a",(IRR($I66:M66)))</f>
        <v>0.40118558022915574</v>
      </c>
      <c r="N71" s="227">
        <f ca="1">IF(ISERROR(IRR($I66:N66)),"n/a",(IRR($I66:N66)))</f>
        <v>0.5412422178886358</v>
      </c>
      <c r="O71" s="227">
        <f ca="1">IF(ISERROR(IRR($I66:O66)),"n/a",(IRR($I66:O66)))</f>
        <v>0.61702817761273843</v>
      </c>
      <c r="P71" s="227">
        <f ca="1">IF(ISERROR(IRR($I66:P66)),"n/a",(IRR($I66:P66)))</f>
        <v>0.66048135613470649</v>
      </c>
      <c r="Q71" s="227">
        <f ca="1">IF(ISERROR(IRR($I66:Q66)),"n/a",(IRR($I66:Q66)))</f>
        <v>0.68632071282497531</v>
      </c>
      <c r="R71" s="227">
        <f ca="1">IF(ISERROR(IRR($I66:R66)),"n/a",(IRR($I66:R66)))</f>
        <v>0.70205886155655106</v>
      </c>
      <c r="S71" s="227">
        <f ca="1">IF(ISERROR(IRR($I66:S66)),"n/a",(IRR($I66:S66)))</f>
        <v>0.71214356675268831</v>
      </c>
      <c r="T71" s="227">
        <f ca="1">IF(ISERROR(IRR($I66:T66)),"n/a",(IRR($I66:T66)))</f>
        <v>0.7184142727042897</v>
      </c>
      <c r="U71" s="227">
        <f ca="1">IF(ISERROR(IRR($I66:U66)),"n/a",(IRR($I66:U66)))</f>
        <v>0.72230967224286613</v>
      </c>
      <c r="V71" s="227">
        <f ca="1">IF(ISERROR(IRR($I66:V66)),"n/a",(IRR($I66:V66)))</f>
        <v>0.72472789940035942</v>
      </c>
      <c r="W71" s="227">
        <f ca="1">IF(ISERROR(IRR($I66:W66)),"n/a",(IRR($I66:W66)))</f>
        <v>0.72622802916006113</v>
      </c>
      <c r="X71" s="227">
        <f ca="1">IF(ISERROR(IRR($I66:X66)),"n/a",(IRR($I66:X66)))</f>
        <v>0.7270756270787786</v>
      </c>
      <c r="Y71" s="227">
        <f ca="1">IF(ISERROR(IRR($I66:Y66)),"n/a",(IRR($I66:Y66)))</f>
        <v>0.72756758075045602</v>
      </c>
      <c r="Z71" s="227">
        <f ca="1">IF(ISERROR(IRR($I66:Z66)),"n/a",(IRR($I66:Z66)))</f>
        <v>0.72785489409096127</v>
      </c>
      <c r="AA71" s="227">
        <f ca="1">IF(ISERROR(IRR($I66:AA66)),"n/a",(IRR($I66:AA66)))</f>
        <v>0.7280235019540946</v>
      </c>
      <c r="AB71" s="227">
        <f ca="1">IF(ISERROR(IRR($I66:AB66)),"n/a",(IRR($I66:AB66)))</f>
        <v>0.72812272170076464</v>
      </c>
      <c r="AC71" s="227">
        <f ca="1">IF(ISERROR(IRR($I66:AC66)),"n/a",(IRR($I66:AC66)))</f>
        <v>0.72818139357816003</v>
      </c>
      <c r="AD71" s="227">
        <f ca="1">IF(ISERROR(IRR($I66:AD66)),"n/a",(IRR($I66:AD66)))</f>
        <v>0.72821621246245449</v>
      </c>
      <c r="AE71" s="227">
        <f ca="1">IF(ISERROR(IRR($I66:AE66)),"n/a",(IRR($I66:AE66)))</f>
        <v>0.72823693680715262</v>
      </c>
      <c r="AF71" s="227">
        <f ca="1">IF(ISERROR(IRR($I66:AF66)),"n/a",(IRR($I66:AF66)))</f>
        <v>0.72824928971247194</v>
      </c>
      <c r="AG71" s="227">
        <f ca="1">IF(ISERROR(IRR($I66:AG66)),"n/a",(IRR($I66:AG66)))</f>
        <v>0.72825666808374501</v>
      </c>
      <c r="AH71" s="227">
        <f ca="1">IF(ISERROR(IRR($I66:AH66)),"n/a",(IRR($I66:AH66)))</f>
        <v>0.72826108102564913</v>
      </c>
      <c r="AI71" s="227">
        <f ca="1">IF(ISERROR(IRR($I66:AI66)),"n/a",(IRR($I66:AI66)))</f>
        <v>0.72826372332925327</v>
      </c>
      <c r="AJ71" s="227">
        <f ca="1">IF(ISERROR(IRR($I66:AJ66)),"n/a",(IRR($I66:AJ66)))</f>
        <v>0.72826530542737089</v>
      </c>
      <c r="AK71" s="227">
        <f ca="1">IF(ISERROR(IRR($I66:AK66)),"n/a",(IRR($I66:AK66)))</f>
        <v>0.72826637203007571</v>
      </c>
      <c r="AL71" s="227">
        <f ca="1">IF(ISERROR(IRR($I66:AL66)),"n/a",(IRR($I66:AL66)))</f>
        <v>0.72826709707801207</v>
      </c>
      <c r="AM71" s="227">
        <f ca="1">IF(ISERROR(IRR($I66:AM66)),"n/a",(IRR($I66:AM66)))</f>
        <v>0.72826709707801207</v>
      </c>
      <c r="AN71" s="227">
        <f ca="1">IF(ISERROR(IRR($I66:AN66)),"n/a",(IRR($I66:AN66)))</f>
        <v>0.72826709707801207</v>
      </c>
      <c r="AO71" s="227">
        <f ca="1">IF(ISERROR(IRR($I66:AO66)),"n/a",(IRR($I66:AO66)))</f>
        <v>0.72826709707801207</v>
      </c>
      <c r="AP71" s="227">
        <f ca="1">IF(ISERROR(IRR($I66:AP66)),"n/a",(IRR($I66:AP66)))</f>
        <v>0.72826709707801207</v>
      </c>
      <c r="AQ71" s="227">
        <f ca="1">IF(ISERROR(IRR($I66:AQ66)),"n/a",(IRR($I66:AQ66)))</f>
        <v>0.72826709707801207</v>
      </c>
      <c r="AR71" s="227">
        <f ca="1">IF(ISERROR(IRR($I66:AR66)),"n/a",(IRR($I66:AR66)))</f>
        <v>0.72826709707801207</v>
      </c>
      <c r="AS71" s="227">
        <f ca="1">IF(ISERROR(IRR($I66:AS66)),"n/a",(IRR($I66:AS66)))</f>
        <v>0.72826709707801207</v>
      </c>
      <c r="AT71" s="227">
        <f ca="1">IF(ISERROR(IRR($I66:AT66)),"n/a",(IRR($I66:AT66)))</f>
        <v>0.72826709707801207</v>
      </c>
      <c r="AU71" s="227">
        <f ca="1">IF(ISERROR(IRR($I66:AU66)),"n/a",(IRR($I66:AU66)))</f>
        <v>0.72826709707801207</v>
      </c>
      <c r="AV71" s="227">
        <f ca="1">IF(ISERROR(IRR($I66:AV66)),"n/a",(IRR($I66:AV66)))</f>
        <v>0.72826709707801207</v>
      </c>
      <c r="AW71" s="227">
        <f ca="1">IF(ISERROR(IRR($I66:AW66)),"n/a",(IRR($I66:AW66)))</f>
        <v>0.72826709707801207</v>
      </c>
    </row>
    <row r="72" spans="1:50">
      <c r="B72" s="222" t="s">
        <v>526</v>
      </c>
      <c r="C72" s="15"/>
      <c r="D72" s="118">
        <f ca="1">NPV('Input '!$E$404,Returns!I67:AW67)</f>
        <v>13711107088.546371</v>
      </c>
      <c r="E72" s="99">
        <f ca="1">IRR(I67:AW67)</f>
        <v>0.71470340712294478</v>
      </c>
      <c r="F72" s="99">
        <f ca="1">MIRR(I67:AW67,0.1,0.18)</f>
        <v>0.2556401170538587</v>
      </c>
      <c r="G72" s="49"/>
      <c r="I72" s="227" t="str">
        <f ca="1">IF(ISERROR(IRR($I67:I67)),"n/a",(IRR($I67:I67)))</f>
        <v>n/a</v>
      </c>
      <c r="J72" s="227" t="str">
        <f ca="1">IF(ISERROR(IRR($I67:J67)),"n/a",(IRR($I67:J67)))</f>
        <v>n/a</v>
      </c>
      <c r="K72" s="227">
        <f ca="1">IF(ISERROR(IRR($I67:K67)),"n/a",(IRR($I67:K67)))</f>
        <v>-0.35805022486632743</v>
      </c>
      <c r="L72" s="227">
        <f ca="1">IF(ISERROR(IRR($I67:L67)),"n/a",(IRR($I67:L67)))</f>
        <v>0.14317145403834219</v>
      </c>
      <c r="M72" s="227">
        <f ca="1">IF(ISERROR(IRR($I67:M67)),"n/a",(IRR($I67:M67)))</f>
        <v>0.40118558022915574</v>
      </c>
      <c r="N72" s="227">
        <f ca="1">IF(ISERROR(IRR($I67:N67)),"n/a",(IRR($I67:N67)))</f>
        <v>0.53261538515455875</v>
      </c>
      <c r="O72" s="227">
        <f ca="1">IF(ISERROR(IRR($I67:O67)),"n/a",(IRR($I67:O67)))</f>
        <v>0.6058572371472708</v>
      </c>
      <c r="P72" s="227">
        <f ca="1">IF(ISERROR(IRR($I67:P67)),"n/a",(IRR($I67:P67)))</f>
        <v>0.64860695053348438</v>
      </c>
      <c r="Q72" s="227">
        <f ca="1">IF(ISERROR(IRR($I67:Q67)),"n/a",(IRR($I67:Q67)))</f>
        <v>0.67435026144204357</v>
      </c>
      <c r="R72" s="227">
        <f ca="1">IF(ISERROR(IRR($I67:R67)),"n/a",(IRR($I67:R67)))</f>
        <v>0.68922057581087115</v>
      </c>
      <c r="S72" s="227">
        <f ca="1">IF(ISERROR(IRR($I67:S67)),"n/a",(IRR($I67:S67)))</f>
        <v>0.69876671032213356</v>
      </c>
      <c r="T72" s="227">
        <f ca="1">IF(ISERROR(IRR($I67:T67)),"n/a",(IRR($I67:T67)))</f>
        <v>0.70482098617703737</v>
      </c>
      <c r="U72" s="227">
        <f ca="1">IF(ISERROR(IRR($I67:U67)),"n/a",(IRR($I67:U67)))</f>
        <v>0.70864101034047722</v>
      </c>
      <c r="V72" s="227">
        <f ca="1">IF(ISERROR(IRR($I67:V67)),"n/a",(IRR($I67:V67)))</f>
        <v>0.71104365940670022</v>
      </c>
      <c r="W72" s="227">
        <f ca="1">IF(ISERROR(IRR($I67:W67)),"n/a",(IRR($I67:W67)))</f>
        <v>0.71255140922636362</v>
      </c>
      <c r="X72" s="227">
        <f ca="1">IF(ISERROR(IRR($I67:X67)),"n/a",(IRR($I67:X67)))</f>
        <v>0.71343779036624455</v>
      </c>
      <c r="Y72" s="227">
        <f ca="1">IF(ISERROR(IRR($I67:Y67)),"n/a",(IRR($I67:Y67)))</f>
        <v>0.71395534876155575</v>
      </c>
      <c r="Z72" s="227">
        <f ca="1">IF(ISERROR(IRR($I67:Z67)),"n/a",(IRR($I67:Z67)))</f>
        <v>0.71425952314027708</v>
      </c>
      <c r="AA72" s="227">
        <f ca="1">IF(ISERROR(IRR($I67:AA67)),"n/a",(IRR($I67:AA67)))</f>
        <v>0.71443920465142208</v>
      </c>
      <c r="AB72" s="227">
        <f ca="1">IF(ISERROR(IRR($I67:AB67)),"n/a",(IRR($I67:AB67)))</f>
        <v>0.71454565755246113</v>
      </c>
      <c r="AC72" s="227">
        <f ca="1">IF(ISERROR(IRR($I67:AC67)),"n/a",(IRR($I67:AC67)))</f>
        <v>0.71460905535737651</v>
      </c>
      <c r="AD72" s="227">
        <f ca="1">IF(ISERROR(IRR($I67:AD67)),"n/a",(IRR($I67:AD67)))</f>
        <v>0.71464695710755421</v>
      </c>
      <c r="AE72" s="227">
        <f ca="1">IF(ISERROR(IRR($I67:AE67)),"n/a",(IRR($I67:AE67)))</f>
        <v>0.71466968838085698</v>
      </c>
      <c r="AF72" s="227">
        <f ca="1">IF(ISERROR(IRR($I67:AF67)),"n/a",(IRR($I67:AF67)))</f>
        <v>0.71468334238241993</v>
      </c>
      <c r="AG72" s="227">
        <f ca="1">IF(ISERROR(IRR($I67:AG67)),"n/a",(IRR($I67:AG67)))</f>
        <v>0.71469156235715658</v>
      </c>
      <c r="AH72" s="227">
        <f ca="1">IF(ISERROR(IRR($I67:AH67)),"n/a",(IRR($I67:AH67)))</f>
        <v>0.71469651804251133</v>
      </c>
      <c r="AI72" s="227">
        <f ca="1">IF(ISERROR(IRR($I67:AI67)),"n/a",(IRR($I67:AI67)))</f>
        <v>0.71469950935998927</v>
      </c>
      <c r="AJ72" s="227">
        <f ca="1">IF(ISERROR(IRR($I67:AJ67)),"n/a",(IRR($I67:AJ67)))</f>
        <v>0.71470131495246725</v>
      </c>
      <c r="AK72" s="227">
        <f ca="1">IF(ISERROR(IRR($I67:AK67)),"n/a",(IRR($I67:AK67)))</f>
        <v>0.71470255236656266</v>
      </c>
      <c r="AL72" s="227">
        <f ca="1">IF(ISERROR(IRR($I67:AL67)),"n/a",(IRR($I67:AL67)))</f>
        <v>0.71470340712294478</v>
      </c>
      <c r="AM72" s="227">
        <f ca="1">IF(ISERROR(IRR($I67:AM67)),"n/a",(IRR($I67:AM67)))</f>
        <v>0.71470340712294478</v>
      </c>
      <c r="AN72" s="227">
        <f ca="1">IF(ISERROR(IRR($I67:AN67)),"n/a",(IRR($I67:AN67)))</f>
        <v>0.71470340712294478</v>
      </c>
      <c r="AO72" s="227">
        <f ca="1">IF(ISERROR(IRR($I67:AO67)),"n/a",(IRR($I67:AO67)))</f>
        <v>0.71470340712294478</v>
      </c>
      <c r="AP72" s="227">
        <f ca="1">IF(ISERROR(IRR($I67:AP67)),"n/a",(IRR($I67:AP67)))</f>
        <v>0.71470340712294478</v>
      </c>
      <c r="AQ72" s="227">
        <f ca="1">IF(ISERROR(IRR($I67:AQ67)),"n/a",(IRR($I67:AQ67)))</f>
        <v>0.71470340712294478</v>
      </c>
      <c r="AR72" s="227">
        <f ca="1">IF(ISERROR(IRR($I67:AR67)),"n/a",(IRR($I67:AR67)))</f>
        <v>0.71470340712294478</v>
      </c>
      <c r="AS72" s="227">
        <f ca="1">IF(ISERROR(IRR($I67:AS67)),"n/a",(IRR($I67:AS67)))</f>
        <v>0.71470340712294478</v>
      </c>
      <c r="AT72" s="227">
        <f ca="1">IF(ISERROR(IRR($I67:AT67)),"n/a",(IRR($I67:AT67)))</f>
        <v>0.71470340712294478</v>
      </c>
      <c r="AU72" s="227">
        <f ca="1">IF(ISERROR(IRR($I67:AU67)),"n/a",(IRR($I67:AU67)))</f>
        <v>0.71470340712294478</v>
      </c>
      <c r="AV72" s="227">
        <f ca="1">IF(ISERROR(IRR($I67:AV67)),"n/a",(IRR($I67:AV67)))</f>
        <v>0.71470340712294478</v>
      </c>
      <c r="AW72" s="227">
        <f ca="1">IF(ISERROR(IRR($I67:AW67)),"n/a",(IRR($I67:AW67)))</f>
        <v>0.71470340712294478</v>
      </c>
    </row>
    <row r="75" spans="1:50">
      <c r="A75" s="130" t="s">
        <v>109</v>
      </c>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row>
    <row r="76" spans="1:50">
      <c r="B76" s="2" t="s">
        <v>1270</v>
      </c>
      <c r="C76" s="2">
        <f>12/12</f>
        <v>1</v>
      </c>
    </row>
    <row r="77" spans="1:50">
      <c r="B77" s="2" t="s">
        <v>1383</v>
      </c>
    </row>
    <row r="79" spans="1:50">
      <c r="B79" s="29" t="s">
        <v>540</v>
      </c>
    </row>
    <row r="80" spans="1:50">
      <c r="B80" s="2" t="s">
        <v>1381</v>
      </c>
      <c r="C80" s="2">
        <f ca="1">MAX(I80:AQ80)</f>
        <v>5</v>
      </c>
      <c r="I80" s="2">
        <f ca="1">IF(SUM($I41:I$41)&gt;0,0,$C$76+H80)</f>
        <v>1</v>
      </c>
      <c r="J80" s="2">
        <f ca="1">IF(SUM($I41:J$41)&gt;0,0,$C$76+I80)</f>
        <v>2</v>
      </c>
      <c r="K80" s="2">
        <f ca="1">IF(SUM($I41:K$41)&gt;0,0,$C$76+J80)</f>
        <v>3</v>
      </c>
      <c r="L80" s="2">
        <f ca="1">IF(SUM($I41:L$41)&gt;0,0,$C$76+K80)</f>
        <v>4</v>
      </c>
      <c r="M80" s="2">
        <f ca="1">IF(SUM($I41:M$41)&gt;0,0,$C$76+L80)</f>
        <v>5</v>
      </c>
      <c r="N80" s="2">
        <f ca="1">IF(SUM($I41:N$41)&gt;0,0,$C$76+M80)</f>
        <v>0</v>
      </c>
      <c r="O80" s="2">
        <f ca="1">IF(SUM($I41:O$41)&gt;0,0,$C$76+N80)</f>
        <v>0</v>
      </c>
      <c r="P80" s="2">
        <f ca="1">IF(SUM($I41:P$41)&gt;0,0,$C$76+O80)</f>
        <v>0</v>
      </c>
      <c r="Q80" s="2">
        <f ca="1">IF(SUM($I41:Q$41)&gt;0,0,$C$76+P80)</f>
        <v>0</v>
      </c>
      <c r="R80" s="2">
        <f ca="1">IF(SUM($I41:R$41)&gt;0,0,$C$76+Q80)</f>
        <v>0</v>
      </c>
      <c r="S80" s="2">
        <f ca="1">IF(SUM($I41:S$41)&gt;0,0,$C$76+R80)</f>
        <v>0</v>
      </c>
      <c r="T80" s="2">
        <f ca="1">IF(SUM($I41:T$41)&gt;0,0,$C$76+S80)</f>
        <v>0</v>
      </c>
      <c r="U80" s="2">
        <f ca="1">IF(SUM($I41:U$41)&gt;0,0,$C$76+T80)</f>
        <v>0</v>
      </c>
      <c r="V80" s="2">
        <f ca="1">IF(SUM($I41:V$41)&gt;0,0,$C$76+U80)</f>
        <v>0</v>
      </c>
      <c r="W80" s="2">
        <f ca="1">IF(SUM($I41:W$41)&gt;0,0,$C$76+V80)</f>
        <v>0</v>
      </c>
      <c r="X80" s="2">
        <f ca="1">IF(SUM($I41:X$41)&gt;0,0,$C$76+W80)</f>
        <v>0</v>
      </c>
      <c r="Y80" s="2">
        <f ca="1">IF(SUM($I41:Y$41)&gt;0,0,$C$76+X80)</f>
        <v>0</v>
      </c>
      <c r="Z80" s="2">
        <f ca="1">IF(SUM($I41:Z$41)&gt;0,0,$C$76+Y80)</f>
        <v>0</v>
      </c>
      <c r="AA80" s="2">
        <f ca="1">IF(SUM($I41:AA$41)&gt;0,0,$C$76+Z80)</f>
        <v>0</v>
      </c>
      <c r="AB80" s="2">
        <f ca="1">IF(SUM($I41:AB$41)&gt;0,0,$C$76+AA80)</f>
        <v>0</v>
      </c>
      <c r="AC80" s="2">
        <f ca="1">IF(SUM($I41:AC$41)&gt;0,0,$C$76+AB80)</f>
        <v>0</v>
      </c>
      <c r="AD80" s="2">
        <f ca="1">IF(SUM($I41:AD$41)&gt;0,0,$C$76+AC80)</f>
        <v>0</v>
      </c>
      <c r="AE80" s="2">
        <f ca="1">IF(SUM($I41:AE$41)&gt;0,0,$C$76+AD80)</f>
        <v>0</v>
      </c>
      <c r="AF80" s="2">
        <f ca="1">IF(SUM($I41:AF$41)&gt;0,0,$C$76+AE80)</f>
        <v>0</v>
      </c>
      <c r="AG80" s="2">
        <f ca="1">IF(SUM($I41:AG$41)&gt;0,0,$C$76+AF80)</f>
        <v>0</v>
      </c>
      <c r="AH80" s="2">
        <f ca="1">IF(SUM($I41:AH$41)&gt;0,0,$C$76+AG80)</f>
        <v>0</v>
      </c>
      <c r="AI80" s="2">
        <f ca="1">IF(SUM($I41:AI$41)&gt;0,0,$C$76+AH80)</f>
        <v>0</v>
      </c>
      <c r="AJ80" s="2">
        <f ca="1">IF(SUM($I41:AJ$41)&gt;0,0,$C$76+AI80)</f>
        <v>0</v>
      </c>
      <c r="AK80" s="2">
        <f ca="1">IF(SUM($I41:AK$41)&gt;0,0,$C$76+AJ80)</f>
        <v>0</v>
      </c>
      <c r="AL80" s="2">
        <f ca="1">IF(SUM($I41:AL$41)&gt;0,0,$C$76+AK80)</f>
        <v>0</v>
      </c>
      <c r="AM80" s="2">
        <f ca="1">IF(SUM($I41:AM$41)&gt;0,0,$C$76+AL80)</f>
        <v>0</v>
      </c>
      <c r="AN80" s="2">
        <f ca="1">IF(SUM($I41:AN$41)&gt;0,0,$C$76+AM80)</f>
        <v>0</v>
      </c>
      <c r="AO80" s="2">
        <f ca="1">IF(SUM($I41:AO$41)&gt;0,0,$C$76+AN80)</f>
        <v>0</v>
      </c>
      <c r="AP80" s="2">
        <f ca="1">IF(SUM($I41:AP$41)&gt;0,0,$C$76+AO80)</f>
        <v>0</v>
      </c>
      <c r="AQ80" s="2">
        <f ca="1">IF(SUM($I41:AQ$41)&gt;0,0,$C$76+AP80)</f>
        <v>0</v>
      </c>
      <c r="AR80" s="2">
        <f ca="1">IF(SUM($I41:AR$41)&gt;0,0,$C$76+AQ80)</f>
        <v>0</v>
      </c>
      <c r="AS80" s="2">
        <f ca="1">IF(SUM($I41:AS$41)&gt;0,0,$C$76+AR80)</f>
        <v>0</v>
      </c>
      <c r="AT80" s="2">
        <f ca="1">IF(SUM($I41:AT$41)&gt;0,0,$C$76+AS80)</f>
        <v>0</v>
      </c>
      <c r="AU80" s="2">
        <f ca="1">IF(SUM($I41:AU$41)&gt;0,0,$C$76+AT80)</f>
        <v>0</v>
      </c>
      <c r="AV80" s="2">
        <f ca="1">IF(SUM($I41:AV$41)&gt;0,0,$C$76+AU80)</f>
        <v>0</v>
      </c>
      <c r="AW80" s="2">
        <f ca="1">IF(SUM($I41:AW$41)&gt;0,0,$C$76+AV80)</f>
        <v>0</v>
      </c>
      <c r="AX80" s="2">
        <f ca="1">IF(SUM($I41:AX$41)&gt;0,0,$C$76+AW80)</f>
        <v>0</v>
      </c>
    </row>
    <row r="81" spans="2:50">
      <c r="B81" s="2" t="s">
        <v>1382</v>
      </c>
      <c r="C81" s="2">
        <f ca="1">MAX(I81:AX81)</f>
        <v>6</v>
      </c>
      <c r="I81" s="2">
        <f ca="1">IF(SUM($I$42:I42)&gt;0,0,$C$76+H81)</f>
        <v>1</v>
      </c>
      <c r="J81" s="2">
        <f ca="1">IF(SUM($I$42:J42)&gt;0,0,$C$76+I81)</f>
        <v>2</v>
      </c>
      <c r="K81" s="2">
        <f ca="1">IF(SUM($I$42:K42)&gt;0,0,$C$76+J81)</f>
        <v>3</v>
      </c>
      <c r="L81" s="2">
        <f ca="1">IF(SUM($I$42:L42)&gt;0,0,$C$76+K81)</f>
        <v>4</v>
      </c>
      <c r="M81" s="2">
        <f ca="1">IF(SUM($I$42:M42)&gt;0,0,$C$76+L81)</f>
        <v>5</v>
      </c>
      <c r="N81" s="2">
        <f ca="1">IF(SUM($I$42:N42)&gt;0,0,$C$76+M81)</f>
        <v>6</v>
      </c>
      <c r="O81" s="2">
        <f ca="1">IF(SUM($I$42:O42)&gt;0,0,$C$76+N81)</f>
        <v>0</v>
      </c>
      <c r="P81" s="2">
        <f ca="1">IF(SUM($I$42:P42)&gt;0,0,$C$76+O81)</f>
        <v>0</v>
      </c>
      <c r="Q81" s="2">
        <f ca="1">IF(SUM($I$42:Q42)&gt;0,0,$C$76+P81)</f>
        <v>0</v>
      </c>
      <c r="R81" s="2">
        <f ca="1">IF(SUM($I$42:R42)&gt;0,0,$C$76+Q81)</f>
        <v>0</v>
      </c>
      <c r="S81" s="2">
        <f ca="1">IF(SUM($I$42:S42)&gt;0,0,$C$76+R81)</f>
        <v>0</v>
      </c>
      <c r="T81" s="2">
        <f ca="1">IF(SUM($I$42:T42)&gt;0,0,$C$76+S81)</f>
        <v>0</v>
      </c>
      <c r="U81" s="2">
        <f ca="1">IF(SUM($I$42:U42)&gt;0,0,$C$76+T81)</f>
        <v>0</v>
      </c>
      <c r="V81" s="2">
        <f ca="1">IF(SUM($I$42:V42)&gt;0,0,$C$76+U81)</f>
        <v>0</v>
      </c>
      <c r="W81" s="2">
        <f ca="1">IF(SUM($I$42:W42)&gt;0,0,$C$76+V81)</f>
        <v>0</v>
      </c>
      <c r="X81" s="2">
        <f ca="1">IF(SUM($I$42:X42)&gt;0,0,$C$76+W81)</f>
        <v>0</v>
      </c>
      <c r="Y81" s="2">
        <f ca="1">IF(SUM($I$42:Y42)&gt;0,0,$C$76+X81)</f>
        <v>0</v>
      </c>
      <c r="Z81" s="2">
        <f ca="1">IF(SUM($I$42:Z42)&gt;0,0,$C$76+Y81)</f>
        <v>0</v>
      </c>
      <c r="AA81" s="2">
        <f ca="1">IF(SUM($I$42:AA42)&gt;0,0,$C$76+Z81)</f>
        <v>0</v>
      </c>
      <c r="AB81" s="2">
        <f ca="1">IF(SUM($I$42:AB42)&gt;0,0,$C$76+AA81)</f>
        <v>0</v>
      </c>
      <c r="AC81" s="2">
        <f ca="1">IF(SUM($I$42:AC42)&gt;0,0,$C$76+AB81)</f>
        <v>0</v>
      </c>
      <c r="AD81" s="2">
        <f ca="1">IF(SUM($I$42:AD42)&gt;0,0,$C$76+AC81)</f>
        <v>0</v>
      </c>
      <c r="AE81" s="2">
        <f ca="1">IF(SUM($I$42:AE42)&gt;0,0,$C$76+AD81)</f>
        <v>0</v>
      </c>
      <c r="AF81" s="2">
        <f ca="1">IF(SUM($I$42:AF42)&gt;0,0,$C$76+AE81)</f>
        <v>0</v>
      </c>
      <c r="AG81" s="2">
        <f ca="1">IF(SUM($I$42:AG42)&gt;0,0,$C$76+AF81)</f>
        <v>0</v>
      </c>
      <c r="AH81" s="2">
        <f ca="1">IF(SUM($I$42:AH42)&gt;0,0,$C$76+AG81)</f>
        <v>0</v>
      </c>
      <c r="AI81" s="2">
        <f ca="1">IF(SUM($I$42:AI42)&gt;0,0,$C$76+AH81)</f>
        <v>0</v>
      </c>
      <c r="AJ81" s="2">
        <f ca="1">IF(SUM($I$42:AJ42)&gt;0,0,$C$76+AI81)</f>
        <v>0</v>
      </c>
      <c r="AK81" s="2">
        <f ca="1">IF(SUM($I$42:AK42)&gt;0,0,$C$76+AJ81)</f>
        <v>0</v>
      </c>
      <c r="AL81" s="2">
        <f ca="1">IF(SUM($I$42:AL42)&gt;0,0,$C$76+AK81)</f>
        <v>0</v>
      </c>
      <c r="AM81" s="2">
        <f ca="1">IF(SUM($I$42:AM42)&gt;0,0,$C$76+AL81)</f>
        <v>0</v>
      </c>
      <c r="AN81" s="2">
        <f ca="1">IF(SUM($I$42:AN42)&gt;0,0,$C$76+AM81)</f>
        <v>0</v>
      </c>
      <c r="AO81" s="2">
        <f ca="1">IF(SUM($I$42:AO42)&gt;0,0,$C$76+AN81)</f>
        <v>0</v>
      </c>
      <c r="AP81" s="2">
        <f ca="1">IF(SUM($I$42:AP42)&gt;0,0,$C$76+AO81)</f>
        <v>0</v>
      </c>
      <c r="AQ81" s="2">
        <f ca="1">IF(SUM($I$42:AQ42)&gt;0,0,$C$76+AP81)</f>
        <v>0</v>
      </c>
      <c r="AR81" s="2">
        <f ca="1">IF(SUM($I$42:AR42)&gt;0,0,$C$76+AQ81)</f>
        <v>0</v>
      </c>
      <c r="AS81" s="2">
        <f ca="1">IF(SUM($I$42:AS42)&gt;0,0,$C$76+AR81)</f>
        <v>0</v>
      </c>
      <c r="AT81" s="2">
        <f ca="1">IF(SUM($I$42:AT42)&gt;0,0,$C$76+AS81)</f>
        <v>0</v>
      </c>
      <c r="AU81" s="2">
        <f ca="1">IF(SUM($I$42:AU42)&gt;0,0,$C$76+AT81)</f>
        <v>0</v>
      </c>
      <c r="AV81" s="2">
        <f ca="1">IF(SUM($I$42:AV42)&gt;0,0,$C$76+AU81)</f>
        <v>0</v>
      </c>
      <c r="AW81" s="2">
        <f ca="1">IF(SUM($I$42:AW42)&gt;0,0,$C$76+AV81)</f>
        <v>0</v>
      </c>
      <c r="AX81" s="2">
        <f ca="1">IF(SUM($I$42:AX42)&gt;0,0,$C$76+AW81)</f>
        <v>0</v>
      </c>
    </row>
    <row r="84" spans="2:50">
      <c r="B84" s="29" t="s">
        <v>555</v>
      </c>
    </row>
    <row r="85" spans="2:50">
      <c r="B85" s="2" t="s">
        <v>1381</v>
      </c>
    </row>
    <row r="86" spans="2:50">
      <c r="B86" s="2" t="s">
        <v>1382</v>
      </c>
      <c r="C86" s="2">
        <f t="shared" ref="C86:C91" ca="1" si="18">MAX(I86:AX86)</f>
        <v>6</v>
      </c>
      <c r="I86" s="2">
        <f ca="1">IF(SUM($I$56:I56)&gt;0,0,$C$76+H86)</f>
        <v>1</v>
      </c>
      <c r="J86" s="2">
        <f ca="1">IF(SUM($I$56:J56)&gt;0,0,$C$76+I86)</f>
        <v>2</v>
      </c>
      <c r="K86" s="2">
        <f ca="1">IF(SUM($I$56:K56)&gt;0,0,$C$76+J86)</f>
        <v>3</v>
      </c>
      <c r="L86" s="2">
        <f ca="1">IF(SUM($I$56:L56)&gt;0,0,$C$76+K86)</f>
        <v>4</v>
      </c>
      <c r="M86" s="2">
        <f ca="1">IF(SUM($I$56:M56)&gt;0,0,$C$76+L86)</f>
        <v>5</v>
      </c>
      <c r="N86" s="2">
        <f ca="1">IF(SUM($I$56:N56)&gt;0,0,$C$76+M86)</f>
        <v>6</v>
      </c>
      <c r="O86" s="2">
        <f ca="1">IF(SUM($I$56:O56)&gt;0,0,$C$76+N86)</f>
        <v>0</v>
      </c>
      <c r="P86" s="2">
        <f ca="1">IF(SUM($I$56:P56)&gt;0,0,$C$76+O86)</f>
        <v>0</v>
      </c>
      <c r="Q86" s="2">
        <f ca="1">IF(SUM($I$56:Q56)&gt;0,0,$C$76+P86)</f>
        <v>0</v>
      </c>
      <c r="R86" s="2">
        <f ca="1">IF(SUM($I$56:R56)&gt;0,0,$C$76+Q86)</f>
        <v>0</v>
      </c>
      <c r="S86" s="2">
        <f ca="1">IF(SUM($I$56:S56)&gt;0,0,$C$76+R86)</f>
        <v>0</v>
      </c>
      <c r="T86" s="2">
        <f ca="1">IF(SUM($I$56:T56)&gt;0,0,$C$76+S86)</f>
        <v>0</v>
      </c>
      <c r="U86" s="2">
        <f ca="1">IF(SUM($I$56:U56)&gt;0,0,$C$76+T86)</f>
        <v>0</v>
      </c>
      <c r="V86" s="2">
        <f ca="1">IF(SUM($I$56:V56)&gt;0,0,$C$76+U86)</f>
        <v>0</v>
      </c>
      <c r="W86" s="2">
        <f ca="1">IF(SUM($I$56:W56)&gt;0,0,$C$76+V86)</f>
        <v>0</v>
      </c>
      <c r="X86" s="2">
        <f ca="1">IF(SUM($I$56:X56)&gt;0,0,$C$76+W86)</f>
        <v>0</v>
      </c>
      <c r="Y86" s="2">
        <f ca="1">IF(SUM($I$56:Y56)&gt;0,0,$C$76+X86)</f>
        <v>0</v>
      </c>
      <c r="Z86" s="2">
        <f ca="1">IF(SUM($I$56:Z56)&gt;0,0,$C$76+Y86)</f>
        <v>0</v>
      </c>
      <c r="AA86" s="2">
        <f ca="1">IF(SUM($I$56:AA56)&gt;0,0,$C$76+Z86)</f>
        <v>0</v>
      </c>
      <c r="AB86" s="2">
        <f ca="1">IF(SUM($I$56:AB56)&gt;0,0,$C$76+AA86)</f>
        <v>0</v>
      </c>
      <c r="AC86" s="2">
        <f ca="1">IF(SUM($I$56:AC56)&gt;0,0,$C$76+AB86)</f>
        <v>0</v>
      </c>
      <c r="AD86" s="2">
        <f ca="1">IF(SUM($I$56:AD56)&gt;0,0,$C$76+AC86)</f>
        <v>0</v>
      </c>
      <c r="AE86" s="2">
        <f ca="1">IF(SUM($I$56:AE56)&gt;0,0,$C$76+AD86)</f>
        <v>0</v>
      </c>
      <c r="AF86" s="2">
        <f ca="1">IF(SUM($I$56:AF56)&gt;0,0,$C$76+AE86)</f>
        <v>0</v>
      </c>
      <c r="AG86" s="2">
        <f ca="1">IF(SUM($I$56:AG56)&gt;0,0,$C$76+AF86)</f>
        <v>0</v>
      </c>
      <c r="AH86" s="2">
        <f ca="1">IF(SUM($I$56:AH56)&gt;0,0,$C$76+AG86)</f>
        <v>0</v>
      </c>
      <c r="AI86" s="2">
        <f ca="1">IF(SUM($I$56:AI56)&gt;0,0,$C$76+AH86)</f>
        <v>0</v>
      </c>
      <c r="AJ86" s="2">
        <f ca="1">IF(SUM($I$56:AJ56)&gt;0,0,$C$76+AI86)</f>
        <v>0</v>
      </c>
      <c r="AK86" s="2">
        <f ca="1">IF(SUM($I$56:AK56)&gt;0,0,$C$76+AJ86)</f>
        <v>0</v>
      </c>
      <c r="AL86" s="2">
        <f ca="1">IF(SUM($I$56:AL56)&gt;0,0,$C$76+AK86)</f>
        <v>0</v>
      </c>
      <c r="AM86" s="2">
        <f ca="1">IF(SUM($I$56:AM56)&gt;0,0,$C$76+AL86)</f>
        <v>0</v>
      </c>
      <c r="AN86" s="2">
        <f ca="1">IF(SUM($I$56:AN56)&gt;0,0,$C$76+AM86)</f>
        <v>0</v>
      </c>
      <c r="AO86" s="2">
        <f ca="1">IF(SUM($I$56:AO56)&gt;0,0,$C$76+AN86)</f>
        <v>0</v>
      </c>
      <c r="AP86" s="2">
        <f ca="1">IF(SUM($I$56:AP56)&gt;0,0,$C$76+AO86)</f>
        <v>0</v>
      </c>
      <c r="AQ86" s="2">
        <f ca="1">IF(SUM($I$56:AQ56)&gt;0,0,$C$76+AP86)</f>
        <v>0</v>
      </c>
      <c r="AR86" s="2">
        <f ca="1">IF(SUM($I$56:AR56)&gt;0,0,$C$76+AQ86)</f>
        <v>0</v>
      </c>
      <c r="AS86" s="2">
        <f ca="1">IF(SUM($I$56:AS56)&gt;0,0,$C$76+AR86)</f>
        <v>0</v>
      </c>
      <c r="AT86" s="2">
        <f ca="1">IF(SUM($I$56:AT56)&gt;0,0,$C$76+AS86)</f>
        <v>0</v>
      </c>
      <c r="AU86" s="2">
        <f ca="1">IF(SUM($I$56:AU56)&gt;0,0,$C$76+AT86)</f>
        <v>0</v>
      </c>
      <c r="AV86" s="2">
        <f ca="1">IF(SUM($I$56:AV56)&gt;0,0,$C$76+AU86)</f>
        <v>0</v>
      </c>
      <c r="AW86" s="2">
        <f ca="1">IF(SUM($I$56:AW56)&gt;0,0,$C$76+AV86)</f>
        <v>0</v>
      </c>
      <c r="AX86" s="2">
        <f ca="1">IF(SUM($I$56:AX56)&gt;0,0,$C$76+AW86)</f>
        <v>0</v>
      </c>
    </row>
    <row r="87" spans="2:50">
      <c r="C87" s="2">
        <f ca="1">MAX(I87:AX87)</f>
        <v>7</v>
      </c>
      <c r="I87" s="2">
        <f ca="1">IF(SUM($I$57:I57)&gt;0,0,$C$76+H87)</f>
        <v>1</v>
      </c>
      <c r="J87" s="2">
        <f ca="1">IF(SUM($I$57:J57)&gt;0,0,$C$76+I87)</f>
        <v>2</v>
      </c>
      <c r="K87" s="2">
        <f ca="1">IF(SUM($I$57:K57)&gt;0,0,$C$76+J87)</f>
        <v>3</v>
      </c>
      <c r="L87" s="2">
        <f ca="1">IF(SUM($I$57:L57)&gt;0,0,$C$76+K87)</f>
        <v>4</v>
      </c>
      <c r="M87" s="2">
        <f ca="1">IF(SUM($I$57:M57)&gt;0,0,$C$76+L87)</f>
        <v>5</v>
      </c>
      <c r="N87" s="2">
        <f ca="1">IF(SUM($I$57:N57)&gt;0,0,$C$76+M87)</f>
        <v>6</v>
      </c>
      <c r="O87" s="2">
        <f ca="1">IF(SUM($I$57:O57)&gt;0,0,$C$76+N87)</f>
        <v>7</v>
      </c>
      <c r="P87" s="2">
        <f ca="1">IF(SUM($I$57:P57)&gt;0,0,$C$76+O87)</f>
        <v>0</v>
      </c>
      <c r="Q87" s="2">
        <f ca="1">IF(SUM($I$57:Q57)&gt;0,0,$C$76+P87)</f>
        <v>0</v>
      </c>
      <c r="R87" s="2">
        <f ca="1">IF(SUM($I$57:R57)&gt;0,0,$C$76+Q87)</f>
        <v>0</v>
      </c>
      <c r="S87" s="2">
        <f ca="1">IF(SUM($I$57:S57)&gt;0,0,$C$76+R87)</f>
        <v>0</v>
      </c>
      <c r="T87" s="2">
        <f ca="1">IF(SUM($I$57:T57)&gt;0,0,$C$76+S87)</f>
        <v>0</v>
      </c>
      <c r="U87" s="2">
        <f ca="1">IF(SUM($I$57:U57)&gt;0,0,$C$76+T87)</f>
        <v>0</v>
      </c>
      <c r="V87" s="2">
        <f ca="1">IF(SUM($I$57:V57)&gt;0,0,$C$76+U87)</f>
        <v>0</v>
      </c>
      <c r="W87" s="2">
        <f ca="1">IF(SUM($I$57:W57)&gt;0,0,$C$76+V87)</f>
        <v>0</v>
      </c>
      <c r="X87" s="2">
        <f ca="1">IF(SUM($I$57:X57)&gt;0,0,$C$76+W87)</f>
        <v>0</v>
      </c>
      <c r="Y87" s="2">
        <f ca="1">IF(SUM($I$57:Y57)&gt;0,0,$C$76+X87)</f>
        <v>0</v>
      </c>
      <c r="Z87" s="2">
        <f ca="1">IF(SUM($I$57:Z57)&gt;0,0,$C$76+Y87)</f>
        <v>0</v>
      </c>
      <c r="AA87" s="2">
        <f ca="1">IF(SUM($I$57:AA57)&gt;0,0,$C$76+Z87)</f>
        <v>0</v>
      </c>
      <c r="AB87" s="2">
        <f ca="1">IF(SUM($I$57:AB57)&gt;0,0,$C$76+AA87)</f>
        <v>0</v>
      </c>
      <c r="AC87" s="2">
        <f ca="1">IF(SUM($I$57:AC57)&gt;0,0,$C$76+AB87)</f>
        <v>0</v>
      </c>
      <c r="AD87" s="2">
        <f ca="1">IF(SUM($I$57:AD57)&gt;0,0,$C$76+AC87)</f>
        <v>0</v>
      </c>
      <c r="AE87" s="2">
        <f ca="1">IF(SUM($I$57:AE57)&gt;0,0,$C$76+AD87)</f>
        <v>0</v>
      </c>
      <c r="AF87" s="2">
        <f ca="1">IF(SUM($I$57:AF57)&gt;0,0,$C$76+AE87)</f>
        <v>0</v>
      </c>
      <c r="AG87" s="2">
        <f ca="1">IF(SUM($I$57:AG57)&gt;0,0,$C$76+AF87)</f>
        <v>0</v>
      </c>
      <c r="AH87" s="2">
        <f ca="1">IF(SUM($I$57:AH57)&gt;0,0,$C$76+AG87)</f>
        <v>0</v>
      </c>
      <c r="AI87" s="2">
        <f ca="1">IF(SUM($I$57:AI57)&gt;0,0,$C$76+AH87)</f>
        <v>0</v>
      </c>
      <c r="AJ87" s="2">
        <f ca="1">IF(SUM($I$57:AJ57)&gt;0,0,$C$76+AI87)</f>
        <v>0</v>
      </c>
      <c r="AK87" s="2">
        <f ca="1">IF(SUM($I$57:AK57)&gt;0,0,$C$76+AJ87)</f>
        <v>0</v>
      </c>
      <c r="AL87" s="2">
        <f ca="1">IF(SUM($I$57:AL57)&gt;0,0,$C$76+AK87)</f>
        <v>0</v>
      </c>
      <c r="AM87" s="2">
        <f ca="1">IF(SUM($I$57:AM57)&gt;0,0,$C$76+AL87)</f>
        <v>0</v>
      </c>
      <c r="AN87" s="2">
        <f ca="1">IF(SUM($I$57:AN57)&gt;0,0,$C$76+AM87)</f>
        <v>0</v>
      </c>
      <c r="AO87" s="2">
        <f ca="1">IF(SUM($I$57:AO57)&gt;0,0,$C$76+AN87)</f>
        <v>0</v>
      </c>
      <c r="AP87" s="2">
        <f ca="1">IF(SUM($I$57:AP57)&gt;0,0,$C$76+AO87)</f>
        <v>0</v>
      </c>
      <c r="AQ87" s="2">
        <f ca="1">IF(SUM($I$57:AQ57)&gt;0,0,$C$76+AP87)</f>
        <v>0</v>
      </c>
      <c r="AR87" s="2">
        <f ca="1">IF(SUM($I$57:AR57)&gt;0,0,$C$76+AQ87)</f>
        <v>0</v>
      </c>
      <c r="AS87" s="2">
        <f ca="1">IF(SUM($I$57:AS57)&gt;0,0,$C$76+AR87)</f>
        <v>0</v>
      </c>
      <c r="AT87" s="2">
        <f ca="1">IF(SUM($I$57:AT57)&gt;0,0,$C$76+AS87)</f>
        <v>0</v>
      </c>
      <c r="AU87" s="2">
        <f ca="1">IF(SUM($I$57:AU57)&gt;0,0,$C$76+AT87)</f>
        <v>0</v>
      </c>
      <c r="AV87" s="2">
        <f ca="1">IF(SUM($I$57:AV57)&gt;0,0,$C$76+AU87)</f>
        <v>0</v>
      </c>
      <c r="AW87" s="2">
        <f ca="1">IF(SUM($I$57:AW57)&gt;0,0,$C$76+AV87)</f>
        <v>0</v>
      </c>
      <c r="AX87" s="2">
        <f ca="1">IF(SUM($I$57:AX57)&gt;0,0,$C$76+AW87)</f>
        <v>0</v>
      </c>
    </row>
    <row r="89" spans="2:50">
      <c r="B89" s="50" t="s">
        <v>556</v>
      </c>
    </row>
    <row r="90" spans="2:50">
      <c r="B90" s="2" t="s">
        <v>1381</v>
      </c>
      <c r="C90" s="2">
        <f t="shared" ca="1" si="18"/>
        <v>3</v>
      </c>
      <c r="I90" s="2">
        <f ca="1">IF(SUM($I$66:I66)&gt;0,0,$C$76+H90)</f>
        <v>1</v>
      </c>
      <c r="J90" s="2">
        <f ca="1">IF(SUM($I$66:J66)&gt;0,0,$C$76+I90)</f>
        <v>2</v>
      </c>
      <c r="K90" s="2">
        <f ca="1">IF(SUM($I$66:K66)&gt;0,0,$C$76+J90)</f>
        <v>3</v>
      </c>
      <c r="L90" s="2">
        <f ca="1">IF(SUM($I$66:L66)&gt;0,0,$C$76+K90)</f>
        <v>0</v>
      </c>
      <c r="M90" s="2">
        <f ca="1">IF(SUM($I$66:M66)&gt;0,0,$C$76+L90)</f>
        <v>0</v>
      </c>
      <c r="N90" s="2">
        <f ca="1">IF(SUM($I$66:N66)&gt;0,0,$C$76+M90)</f>
        <v>0</v>
      </c>
      <c r="O90" s="2">
        <f ca="1">IF(SUM($I$66:O66)&gt;0,0,$C$76+N90)</f>
        <v>0</v>
      </c>
      <c r="P90" s="2">
        <f ca="1">IF(SUM($I$66:P66)&gt;0,0,$C$76+O90)</f>
        <v>0</v>
      </c>
      <c r="Q90" s="2">
        <f ca="1">IF(SUM($I$66:Q66)&gt;0,0,$C$76+P90)</f>
        <v>0</v>
      </c>
      <c r="R90" s="2">
        <f ca="1">IF(SUM($I$66:R66)&gt;0,0,$C$76+Q90)</f>
        <v>0</v>
      </c>
      <c r="S90" s="2">
        <f ca="1">IF(SUM($I$66:S66)&gt;0,0,$C$76+R90)</f>
        <v>0</v>
      </c>
      <c r="T90" s="2">
        <f ca="1">IF(SUM($I$66:T66)&gt;0,0,$C$76+S90)</f>
        <v>0</v>
      </c>
      <c r="U90" s="2">
        <f ca="1">IF(SUM($I$66:U66)&gt;0,0,$C$76+T90)</f>
        <v>0</v>
      </c>
      <c r="V90" s="2">
        <f ca="1">IF(SUM($I$66:V66)&gt;0,0,$C$76+U90)</f>
        <v>0</v>
      </c>
      <c r="W90" s="2">
        <f ca="1">IF(SUM($I$66:W66)&gt;0,0,$C$76+V90)</f>
        <v>0</v>
      </c>
      <c r="X90" s="2">
        <f ca="1">IF(SUM($I$66:X66)&gt;0,0,$C$76+W90)</f>
        <v>0</v>
      </c>
      <c r="Y90" s="2">
        <f ca="1">IF(SUM($I$66:Y66)&gt;0,0,$C$76+X90)</f>
        <v>0</v>
      </c>
      <c r="Z90" s="2">
        <f ca="1">IF(SUM($I$66:Z66)&gt;0,0,$C$76+Y90)</f>
        <v>0</v>
      </c>
      <c r="AA90" s="2">
        <f ca="1">IF(SUM($I$66:AA66)&gt;0,0,$C$76+Z90)</f>
        <v>0</v>
      </c>
      <c r="AB90" s="2">
        <f ca="1">IF(SUM($I$66:AB66)&gt;0,0,$C$76+AA90)</f>
        <v>0</v>
      </c>
      <c r="AC90" s="2">
        <f ca="1">IF(SUM($I$66:AC66)&gt;0,0,$C$76+AB90)</f>
        <v>0</v>
      </c>
      <c r="AD90" s="2">
        <f ca="1">IF(SUM($I$66:AD66)&gt;0,0,$C$76+AC90)</f>
        <v>0</v>
      </c>
      <c r="AE90" s="2">
        <f ca="1">IF(SUM($I$66:AE66)&gt;0,0,$C$76+AD90)</f>
        <v>0</v>
      </c>
      <c r="AF90" s="2">
        <f ca="1">IF(SUM($I$66:AF66)&gt;0,0,$C$76+AE90)</f>
        <v>0</v>
      </c>
      <c r="AG90" s="2">
        <f ca="1">IF(SUM($I$66:AG66)&gt;0,0,$C$76+AF90)</f>
        <v>0</v>
      </c>
      <c r="AH90" s="2">
        <f ca="1">IF(SUM($I$66:AH66)&gt;0,0,$C$76+AG90)</f>
        <v>0</v>
      </c>
      <c r="AI90" s="2">
        <f ca="1">IF(SUM($I$66:AI66)&gt;0,0,$C$76+AH90)</f>
        <v>0</v>
      </c>
      <c r="AJ90" s="2">
        <f ca="1">IF(SUM($I$66:AJ66)&gt;0,0,$C$76+AI90)</f>
        <v>0</v>
      </c>
      <c r="AK90" s="2">
        <f ca="1">IF(SUM($I$66:AK66)&gt;0,0,$C$76+AJ90)</f>
        <v>0</v>
      </c>
      <c r="AL90" s="2">
        <f ca="1">IF(SUM($I$66:AL66)&gt;0,0,$C$76+AK90)</f>
        <v>0</v>
      </c>
      <c r="AM90" s="2">
        <f ca="1">IF(SUM($I$66:AM66)&gt;0,0,$C$76+AL90)</f>
        <v>0</v>
      </c>
      <c r="AN90" s="2">
        <f ca="1">IF(SUM($I$66:AN66)&gt;0,0,$C$76+AM90)</f>
        <v>0</v>
      </c>
      <c r="AO90" s="2">
        <f ca="1">IF(SUM($I$66:AO66)&gt;0,0,$C$76+AN90)</f>
        <v>0</v>
      </c>
      <c r="AP90" s="2">
        <f ca="1">IF(SUM($I$66:AP66)&gt;0,0,$C$76+AO90)</f>
        <v>0</v>
      </c>
      <c r="AQ90" s="2">
        <f ca="1">IF(SUM($I$66:AQ66)&gt;0,0,$C$76+AP90)</f>
        <v>0</v>
      </c>
      <c r="AR90" s="2">
        <f ca="1">IF(SUM($I$66:AR66)&gt;0,0,$C$76+AQ90)</f>
        <v>0</v>
      </c>
      <c r="AS90" s="2">
        <f ca="1">IF(SUM($I$66:AS66)&gt;0,0,$C$76+AR90)</f>
        <v>0</v>
      </c>
      <c r="AT90" s="2">
        <f ca="1">IF(SUM($I$66:AT66)&gt;0,0,$C$76+AS90)</f>
        <v>0</v>
      </c>
      <c r="AU90" s="2">
        <f ca="1">IF(SUM($I$66:AU66)&gt;0,0,$C$76+AT90)</f>
        <v>0</v>
      </c>
      <c r="AV90" s="2">
        <f ca="1">IF(SUM($I$66:AV66)&gt;0,0,$C$76+AU90)</f>
        <v>0</v>
      </c>
      <c r="AW90" s="2">
        <f ca="1">IF(SUM($I$66:AW66)&gt;0,0,$C$76+AV90)</f>
        <v>0</v>
      </c>
      <c r="AX90" s="2">
        <f ca="1">IF(SUM($I$66:AX66)&gt;0,0,$C$76+AW90)</f>
        <v>0</v>
      </c>
    </row>
    <row r="91" spans="2:50">
      <c r="B91" s="2" t="s">
        <v>1382</v>
      </c>
      <c r="C91" s="2">
        <f t="shared" ca="1" si="18"/>
        <v>3</v>
      </c>
      <c r="I91" s="2">
        <f ca="1">IF(SUM($I$67:I67)&gt;0,0,$C$76+H91)</f>
        <v>1</v>
      </c>
      <c r="J91" s="2">
        <f ca="1">IF(SUM($I$67:J67)&gt;0,0,$C$76+I91)</f>
        <v>2</v>
      </c>
      <c r="K91" s="2">
        <f ca="1">IF(SUM($I$67:K67)&gt;0,0,$C$76+J91)</f>
        <v>3</v>
      </c>
      <c r="L91" s="2">
        <f ca="1">IF(SUM($I$67:L67)&gt;0,0,$C$76+K91)</f>
        <v>0</v>
      </c>
      <c r="M91" s="2">
        <f ca="1">IF(SUM($I$67:M67)&gt;0,0,$C$76+L91)</f>
        <v>0</v>
      </c>
      <c r="N91" s="2">
        <f ca="1">IF(SUM($I$67:N67)&gt;0,0,$C$76+M91)</f>
        <v>0</v>
      </c>
      <c r="O91" s="2">
        <f ca="1">IF(SUM($I$67:O67)&gt;0,0,$C$76+N91)</f>
        <v>0</v>
      </c>
      <c r="P91" s="2">
        <f ca="1">IF(SUM($I$67:P67)&gt;0,0,$C$76+O91)</f>
        <v>0</v>
      </c>
      <c r="Q91" s="2">
        <f ca="1">IF(SUM($I$67:Q67)&gt;0,0,$C$76+P91)</f>
        <v>0</v>
      </c>
      <c r="R91" s="2">
        <f ca="1">IF(SUM($I$67:R67)&gt;0,0,$C$76+Q91)</f>
        <v>0</v>
      </c>
      <c r="S91" s="2">
        <f ca="1">IF(SUM($I$67:S67)&gt;0,0,$C$76+R91)</f>
        <v>0</v>
      </c>
      <c r="T91" s="2">
        <f ca="1">IF(SUM($I$67:T67)&gt;0,0,$C$76+S91)</f>
        <v>0</v>
      </c>
      <c r="U91" s="2">
        <f ca="1">IF(SUM($I$67:U67)&gt;0,0,$C$76+T91)</f>
        <v>0</v>
      </c>
      <c r="V91" s="2">
        <f ca="1">IF(SUM($I$67:V67)&gt;0,0,$C$76+U91)</f>
        <v>0</v>
      </c>
      <c r="W91" s="2">
        <f ca="1">IF(SUM($I$67:W67)&gt;0,0,$C$76+V91)</f>
        <v>0</v>
      </c>
      <c r="X91" s="2">
        <f ca="1">IF(SUM($I$67:X67)&gt;0,0,$C$76+W91)</f>
        <v>0</v>
      </c>
      <c r="Y91" s="2">
        <f ca="1">IF(SUM($I$67:Y67)&gt;0,0,$C$76+X91)</f>
        <v>0</v>
      </c>
      <c r="Z91" s="2">
        <f ca="1">IF(SUM($I$67:Z67)&gt;0,0,$C$76+Y91)</f>
        <v>0</v>
      </c>
      <c r="AA91" s="2">
        <f ca="1">IF(SUM($I$67:AA67)&gt;0,0,$C$76+Z91)</f>
        <v>0</v>
      </c>
      <c r="AB91" s="2">
        <f ca="1">IF(SUM($I$67:AB67)&gt;0,0,$C$76+AA91)</f>
        <v>0</v>
      </c>
      <c r="AC91" s="2">
        <f ca="1">IF(SUM($I$67:AC67)&gt;0,0,$C$76+AB91)</f>
        <v>0</v>
      </c>
      <c r="AD91" s="2">
        <f ca="1">IF(SUM($I$67:AD67)&gt;0,0,$C$76+AC91)</f>
        <v>0</v>
      </c>
      <c r="AE91" s="2">
        <f ca="1">IF(SUM($I$67:AE67)&gt;0,0,$C$76+AD91)</f>
        <v>0</v>
      </c>
      <c r="AF91" s="2">
        <f ca="1">IF(SUM($I$67:AF67)&gt;0,0,$C$76+AE91)</f>
        <v>0</v>
      </c>
      <c r="AG91" s="2">
        <f ca="1">IF(SUM($I$67:AG67)&gt;0,0,$C$76+AF91)</f>
        <v>0</v>
      </c>
      <c r="AH91" s="2">
        <f ca="1">IF(SUM($I$67:AH67)&gt;0,0,$C$76+AG91)</f>
        <v>0</v>
      </c>
      <c r="AI91" s="2">
        <f ca="1">IF(SUM($I$67:AI67)&gt;0,0,$C$76+AH91)</f>
        <v>0</v>
      </c>
      <c r="AJ91" s="2">
        <f ca="1">IF(SUM($I$67:AJ67)&gt;0,0,$C$76+AI91)</f>
        <v>0</v>
      </c>
      <c r="AK91" s="2">
        <f ca="1">IF(SUM($I$67:AK67)&gt;0,0,$C$76+AJ91)</f>
        <v>0</v>
      </c>
      <c r="AL91" s="2">
        <f ca="1">IF(SUM($I$67:AL67)&gt;0,0,$C$76+AK91)</f>
        <v>0</v>
      </c>
      <c r="AM91" s="2">
        <f ca="1">IF(SUM($I$67:AM67)&gt;0,0,$C$76+AL91)</f>
        <v>0</v>
      </c>
      <c r="AN91" s="2">
        <f ca="1">IF(SUM($I$67:AN67)&gt;0,0,$C$76+AM91)</f>
        <v>0</v>
      </c>
      <c r="AO91" s="2">
        <f ca="1">IF(SUM($I$67:AO67)&gt;0,0,$C$76+AN91)</f>
        <v>0</v>
      </c>
      <c r="AP91" s="2">
        <f ca="1">IF(SUM($I$67:AP67)&gt;0,0,$C$76+AO91)</f>
        <v>0</v>
      </c>
      <c r="AQ91" s="2">
        <f ca="1">IF(SUM($I$67:AQ67)&gt;0,0,$C$76+AP91)</f>
        <v>0</v>
      </c>
      <c r="AR91" s="2">
        <f ca="1">IF(SUM($I$67:AR67)&gt;0,0,$C$76+AQ91)</f>
        <v>0</v>
      </c>
      <c r="AS91" s="2">
        <f ca="1">IF(SUM($I$67:AS67)&gt;0,0,$C$76+AR91)</f>
        <v>0</v>
      </c>
      <c r="AT91" s="2">
        <f ca="1">IF(SUM($I$67:AT67)&gt;0,0,$C$76+AS91)</f>
        <v>0</v>
      </c>
      <c r="AU91" s="2">
        <f ca="1">IF(SUM($I$67:AU67)&gt;0,0,$C$76+AT91)</f>
        <v>0</v>
      </c>
      <c r="AV91" s="2">
        <f ca="1">IF(SUM($I$67:AV67)&gt;0,0,$C$76+AU91)</f>
        <v>0</v>
      </c>
      <c r="AW91" s="2">
        <f ca="1">IF(SUM($I$67:AW67)&gt;0,0,$C$76+AV91)</f>
        <v>0</v>
      </c>
      <c r="AX91" s="2">
        <f ca="1">IF(SUM($I$67:AX67)&gt;0,0,$C$76+AW91)</f>
        <v>0</v>
      </c>
    </row>
    <row r="102" spans="5:51">
      <c r="E102" s="188">
        <f ca="1">SUM(I101:AY102)</f>
        <v>8847557323.8136673</v>
      </c>
      <c r="I102" s="41">
        <f ca="1">I41*I38</f>
        <v>-651443245.35880971</v>
      </c>
      <c r="J102" s="188">
        <f t="shared" ref="J102:AY102" ca="1" si="19">J41*J38</f>
        <v>-2119495476.1007118</v>
      </c>
      <c r="K102" s="188">
        <f t="shared" ca="1" si="19"/>
        <v>-279276453.42044204</v>
      </c>
      <c r="L102" s="188">
        <f t="shared" ca="1" si="19"/>
        <v>755784541.98432696</v>
      </c>
      <c r="M102" s="188">
        <f t="shared" ca="1" si="19"/>
        <v>806287138.28727472</v>
      </c>
      <c r="N102" s="188">
        <f t="shared" ca="1" si="19"/>
        <v>795355147.25587225</v>
      </c>
      <c r="O102" s="188">
        <f t="shared" ca="1" si="19"/>
        <v>773712765.39780521</v>
      </c>
      <c r="P102" s="188">
        <f t="shared" ca="1" si="19"/>
        <v>744559818.78104281</v>
      </c>
      <c r="Q102" s="188">
        <f t="shared" ca="1" si="19"/>
        <v>715152147.01296985</v>
      </c>
      <c r="R102" s="188">
        <f t="shared" ca="1" si="19"/>
        <v>687410800.83887434</v>
      </c>
      <c r="S102" s="188">
        <f t="shared" ca="1" si="19"/>
        <v>659654157.2309078</v>
      </c>
      <c r="T102" s="188">
        <f t="shared" ca="1" si="19"/>
        <v>634287438.82287669</v>
      </c>
      <c r="U102" s="188">
        <f t="shared" ca="1" si="19"/>
        <v>609725211.96169698</v>
      </c>
      <c r="V102" s="188">
        <f t="shared" ca="1" si="19"/>
        <v>586526915.66256535</v>
      </c>
      <c r="W102" s="188">
        <f t="shared" ca="1" si="19"/>
        <v>563311548.11683428</v>
      </c>
      <c r="X102" s="188">
        <f t="shared" ca="1" si="19"/>
        <v>371400246.65005177</v>
      </c>
      <c r="Y102" s="188">
        <f t="shared" ca="1" si="19"/>
        <v>328229287.82808113</v>
      </c>
      <c r="Z102" s="188">
        <f t="shared" ca="1" si="19"/>
        <v>308850654.71296418</v>
      </c>
      <c r="AA102" s="188">
        <f t="shared" ca="1" si="19"/>
        <v>290055013.0967387</v>
      </c>
      <c r="AB102" s="188">
        <f t="shared" ca="1" si="19"/>
        <v>272924504.25495231</v>
      </c>
      <c r="AC102" s="188">
        <f t="shared" ca="1" si="19"/>
        <v>256651838.29075223</v>
      </c>
      <c r="AD102" s="188">
        <f t="shared" ca="1" si="19"/>
        <v>241472453.70532495</v>
      </c>
      <c r="AE102" s="188">
        <f t="shared" ca="1" si="19"/>
        <v>226720879.0069091</v>
      </c>
      <c r="AF102" s="188">
        <f t="shared" ca="1" si="19"/>
        <v>213274527.16063294</v>
      </c>
      <c r="AG102" s="188">
        <f t="shared" ca="1" si="19"/>
        <v>200508434.91921675</v>
      </c>
      <c r="AH102" s="188">
        <f t="shared" ca="1" si="19"/>
        <v>188602679.63534951</v>
      </c>
      <c r="AI102" s="188">
        <f t="shared" ca="1" si="19"/>
        <v>177042442.57350269</v>
      </c>
      <c r="AJ102" s="188">
        <f t="shared" ca="1" si="19"/>
        <v>166503743.34595332</v>
      </c>
      <c r="AK102" s="188">
        <f t="shared" ca="1" si="19"/>
        <v>156502973.35725668</v>
      </c>
      <c r="AL102" s="188">
        <f t="shared" ca="1" si="19"/>
        <v>167265188.80289575</v>
      </c>
      <c r="AM102" s="188">
        <f t="shared" si="19"/>
        <v>0</v>
      </c>
      <c r="AN102" s="188">
        <f t="shared" si="19"/>
        <v>0</v>
      </c>
      <c r="AO102" s="188">
        <f t="shared" si="19"/>
        <v>0</v>
      </c>
      <c r="AP102" s="188">
        <f t="shared" si="19"/>
        <v>0</v>
      </c>
      <c r="AQ102" s="188">
        <f t="shared" si="19"/>
        <v>0</v>
      </c>
      <c r="AR102" s="188">
        <f t="shared" si="19"/>
        <v>0</v>
      </c>
      <c r="AS102" s="188">
        <f t="shared" si="19"/>
        <v>0</v>
      </c>
      <c r="AT102" s="188">
        <f t="shared" si="19"/>
        <v>0</v>
      </c>
      <c r="AU102" s="188">
        <f t="shared" si="19"/>
        <v>0</v>
      </c>
      <c r="AV102" s="188">
        <f t="shared" si="19"/>
        <v>0</v>
      </c>
      <c r="AW102" s="188">
        <f t="shared" si="19"/>
        <v>0</v>
      </c>
      <c r="AX102" s="188">
        <f t="shared" si="19"/>
        <v>0</v>
      </c>
      <c r="AY102" s="188">
        <f t="shared" si="19"/>
        <v>0</v>
      </c>
    </row>
    <row r="103" spans="5:51">
      <c r="E103" s="188">
        <f ca="1">SUM(I103:AY103)</f>
        <v>5953783495.6123991</v>
      </c>
      <c r="I103" s="41">
        <f ca="1">I42*I38</f>
        <v>-651443245.35880971</v>
      </c>
      <c r="J103" s="41">
        <f t="shared" ref="J103:AY103" ca="1" si="20">J42*J38</f>
        <v>-2119495476.1007118</v>
      </c>
      <c r="K103" s="41">
        <f t="shared" ca="1" si="20"/>
        <v>-279276453.42044204</v>
      </c>
      <c r="L103" s="41">
        <f t="shared" ca="1" si="20"/>
        <v>755784541.98432696</v>
      </c>
      <c r="M103" s="41">
        <f t="shared" ca="1" si="20"/>
        <v>806287138.28727472</v>
      </c>
      <c r="N103" s="41">
        <f t="shared" ca="1" si="20"/>
        <v>704655251.8440994</v>
      </c>
      <c r="O103" s="41">
        <f t="shared" ca="1" si="20"/>
        <v>681278124.12840307</v>
      </c>
      <c r="P103" s="41">
        <f t="shared" ca="1" si="20"/>
        <v>652110252.76630211</v>
      </c>
      <c r="Q103" s="41">
        <f t="shared" ca="1" si="20"/>
        <v>623142154.50960255</v>
      </c>
      <c r="R103" s="41">
        <f t="shared" ca="1" si="20"/>
        <v>492878060.55038249</v>
      </c>
      <c r="S103" s="41">
        <f t="shared" ca="1" si="20"/>
        <v>431556698.97168094</v>
      </c>
      <c r="T103" s="41">
        <f t="shared" ca="1" si="20"/>
        <v>414014014.69815123</v>
      </c>
      <c r="U103" s="41">
        <f t="shared" ca="1" si="20"/>
        <v>397163088.42282259</v>
      </c>
      <c r="V103" s="41">
        <f t="shared" ca="1" si="20"/>
        <v>381509589.33471245</v>
      </c>
      <c r="W103" s="41">
        <f t="shared" ca="1" si="20"/>
        <v>365705930.53552538</v>
      </c>
      <c r="X103" s="41">
        <f t="shared" ca="1" si="20"/>
        <v>245186177.84718582</v>
      </c>
      <c r="Y103" s="41">
        <f t="shared" ca="1" si="20"/>
        <v>209839887.27225012</v>
      </c>
      <c r="Z103" s="41">
        <f t="shared" ca="1" si="20"/>
        <v>197697852.70560583</v>
      </c>
      <c r="AA103" s="41">
        <f t="shared" ca="1" si="20"/>
        <v>185697497.97695744</v>
      </c>
      <c r="AB103" s="41">
        <f t="shared" ca="1" si="20"/>
        <v>174911188.65652081</v>
      </c>
      <c r="AC103" s="41">
        <f t="shared" ca="1" si="20"/>
        <v>164565054.0704042</v>
      </c>
      <c r="AD103" s="41">
        <f t="shared" ca="1" si="20"/>
        <v>154932332.96647054</v>
      </c>
      <c r="AE103" s="41">
        <f t="shared" ca="1" si="20"/>
        <v>145398585.92773321</v>
      </c>
      <c r="AF103" s="41">
        <f t="shared" ca="1" si="20"/>
        <v>136830315.55647057</v>
      </c>
      <c r="AG103" s="41">
        <f t="shared" ca="1" si="20"/>
        <v>128640242.35582824</v>
      </c>
      <c r="AH103" s="41">
        <f t="shared" ca="1" si="20"/>
        <v>121032127.12288451</v>
      </c>
      <c r="AI103" s="41">
        <f t="shared" ca="1" si="20"/>
        <v>113524710.11084758</v>
      </c>
      <c r="AJ103" s="41">
        <f t="shared" ca="1" si="20"/>
        <v>106784253.04904924</v>
      </c>
      <c r="AK103" s="41">
        <f t="shared" ca="1" si="20"/>
        <v>99671080.648351341</v>
      </c>
      <c r="AL103" s="41">
        <f t="shared" ca="1" si="20"/>
        <v>113202518.19251834</v>
      </c>
      <c r="AM103" s="41">
        <f t="shared" si="20"/>
        <v>0</v>
      </c>
      <c r="AN103" s="41">
        <f t="shared" si="20"/>
        <v>0</v>
      </c>
      <c r="AO103" s="41">
        <f t="shared" si="20"/>
        <v>0</v>
      </c>
      <c r="AP103" s="41">
        <f t="shared" si="20"/>
        <v>0</v>
      </c>
      <c r="AQ103" s="41">
        <f t="shared" si="20"/>
        <v>0</v>
      </c>
      <c r="AR103" s="41">
        <f t="shared" si="20"/>
        <v>0</v>
      </c>
      <c r="AS103" s="41">
        <f t="shared" si="20"/>
        <v>0</v>
      </c>
      <c r="AT103" s="41">
        <f t="shared" si="20"/>
        <v>0</v>
      </c>
      <c r="AU103" s="41">
        <f t="shared" si="20"/>
        <v>0</v>
      </c>
      <c r="AV103" s="41">
        <f t="shared" si="20"/>
        <v>0</v>
      </c>
      <c r="AW103" s="41">
        <f t="shared" si="20"/>
        <v>0</v>
      </c>
      <c r="AX103" s="41">
        <f t="shared" si="20"/>
        <v>0</v>
      </c>
      <c r="AY103" s="41">
        <f t="shared" si="20"/>
        <v>0</v>
      </c>
    </row>
  </sheetData>
  <sheetProtection formatCells="0" formatColumns="0" formatRows="0" insertColumns="0" insertRows="0" insertHyperlinks="0" deleteColumns="0" deleteRows="0" sort="0" autoFilter="0" pivotTables="0"/>
  <pageMargins left="0.7" right="0.7" top="0.75" bottom="0.75" header="0.3" footer="0.3"/>
  <pageSetup orientation="portrait" r:id="rId1"/>
  <ignoredErrors>
    <ignoredError sqref="D13" formula="1"/>
    <ignoredError sqref="E72" evalError="1"/>
  </ignoredError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4DB72-B075-4E7F-8E5C-77C15348EFAE}">
  <sheetPr codeName="Sheet33">
    <tabColor theme="9" tint="0.39997558519241921"/>
  </sheetPr>
  <dimension ref="B3:Q73"/>
  <sheetViews>
    <sheetView topLeftCell="A36" zoomScale="136" zoomScaleNormal="136" workbookViewId="0">
      <selection activeCell="D73" sqref="D73"/>
    </sheetView>
  </sheetViews>
  <sheetFormatPr defaultRowHeight="15"/>
  <cols>
    <col min="2" max="2" width="28.3828125" customWidth="1"/>
    <col min="3" max="3" width="18.16015625" customWidth="1"/>
    <col min="7" max="7" width="11.56640625" bestFit="1" customWidth="1"/>
    <col min="8" max="8" width="9.55078125" bestFit="1" customWidth="1"/>
    <col min="9" max="9" width="9.68359375" bestFit="1" customWidth="1"/>
    <col min="10" max="12" width="16.94921875" style="978" bestFit="1" customWidth="1"/>
    <col min="13" max="16" width="15.87109375" customWidth="1"/>
  </cols>
  <sheetData>
    <row r="3" spans="2:17">
      <c r="B3" s="960" t="s">
        <v>1118</v>
      </c>
      <c r="G3">
        <v>1</v>
      </c>
      <c r="H3">
        <v>2</v>
      </c>
      <c r="I3">
        <v>3</v>
      </c>
      <c r="J3" s="978">
        <v>4</v>
      </c>
      <c r="K3" s="978">
        <v>5</v>
      </c>
      <c r="L3" s="978">
        <v>6</v>
      </c>
      <c r="M3">
        <v>7</v>
      </c>
      <c r="N3">
        <v>8</v>
      </c>
      <c r="O3">
        <v>9</v>
      </c>
      <c r="P3">
        <v>10</v>
      </c>
    </row>
    <row r="4" spans="2:17">
      <c r="F4">
        <v>2024</v>
      </c>
      <c r="G4">
        <v>2025</v>
      </c>
      <c r="H4">
        <f t="shared" ref="H4:P4" si="0">G4+1</f>
        <v>2026</v>
      </c>
      <c r="I4">
        <f t="shared" si="0"/>
        <v>2027</v>
      </c>
      <c r="J4" s="978">
        <f t="shared" si="0"/>
        <v>2028</v>
      </c>
      <c r="K4" s="978">
        <f t="shared" si="0"/>
        <v>2029</v>
      </c>
      <c r="L4" s="978">
        <f t="shared" si="0"/>
        <v>2030</v>
      </c>
      <c r="M4">
        <f t="shared" si="0"/>
        <v>2031</v>
      </c>
      <c r="N4">
        <f t="shared" si="0"/>
        <v>2032</v>
      </c>
      <c r="O4">
        <f t="shared" si="0"/>
        <v>2033</v>
      </c>
      <c r="P4">
        <f t="shared" si="0"/>
        <v>2034</v>
      </c>
    </row>
    <row r="5" spans="2:17">
      <c r="B5" t="s">
        <v>888</v>
      </c>
      <c r="F5">
        <v>1250</v>
      </c>
      <c r="G5" s="311">
        <f>'Data 2'!F10</f>
        <v>1321.25</v>
      </c>
      <c r="H5" s="311">
        <f>'Data 2'!F11</f>
        <v>1396.56125</v>
      </c>
      <c r="I5" s="311">
        <f>'Data 2'!F11</f>
        <v>1396.56125</v>
      </c>
      <c r="J5" s="978">
        <f>'Data 2'!F12</f>
        <v>1476.1652412499998</v>
      </c>
      <c r="K5" s="978">
        <f>'Data 2'!F13</f>
        <v>1560.3066600012496</v>
      </c>
      <c r="L5" s="978">
        <f>'Data 2'!F14</f>
        <v>1649.2441396213208</v>
      </c>
      <c r="M5" s="311">
        <f>'Data 2'!F15</f>
        <v>1743.251055579736</v>
      </c>
      <c r="N5" s="311">
        <f>'Data 2'!F16</f>
        <v>1842.6163657477807</v>
      </c>
      <c r="O5" s="311">
        <f>'Data 2'!F17</f>
        <v>1947.6454985954042</v>
      </c>
      <c r="P5" s="311">
        <f>'Data 2'!F18</f>
        <v>2058.661292015342</v>
      </c>
    </row>
    <row r="6" spans="2:17">
      <c r="B6" t="s">
        <v>1125</v>
      </c>
      <c r="G6" s="973">
        <f>'Data 2'!C9</f>
        <v>0.2631</v>
      </c>
      <c r="H6" s="973">
        <f>'Data 2'!C10</f>
        <v>0.22969999999999999</v>
      </c>
      <c r="I6" s="973">
        <f>'Data 2'!C11</f>
        <v>0.16020000000000001</v>
      </c>
      <c r="J6" s="395">
        <f>'Data 2'!C12</f>
        <v>0.15380000000000002</v>
      </c>
      <c r="K6" s="395">
        <f>'Data 2'!C13</f>
        <v>0.14000000000000001</v>
      </c>
      <c r="L6" s="395">
        <f>'Data 2'!C14</f>
        <v>0.14000000000000001</v>
      </c>
      <c r="M6" s="395">
        <f>'Data 2'!C15</f>
        <v>0.12</v>
      </c>
      <c r="N6" s="395">
        <f>'Data 2'!C16</f>
        <v>0.12</v>
      </c>
      <c r="O6" s="395">
        <f>'Data 2'!C17</f>
        <v>0.12</v>
      </c>
      <c r="P6" s="395">
        <f>'Data 2'!C22</f>
        <v>0.12</v>
      </c>
    </row>
    <row r="7" spans="2:17">
      <c r="F7">
        <v>1</v>
      </c>
      <c r="G7" s="978">
        <f t="shared" ref="G7:P7" si="1">(1+G6/2)</f>
        <v>1.1315500000000001</v>
      </c>
      <c r="H7" s="978">
        <f t="shared" si="1"/>
        <v>1.1148499999999999</v>
      </c>
      <c r="I7" s="978">
        <f t="shared" si="1"/>
        <v>1.0801000000000001</v>
      </c>
      <c r="J7" s="978">
        <f t="shared" si="1"/>
        <v>1.0769</v>
      </c>
      <c r="K7" s="978">
        <f t="shared" si="1"/>
        <v>1.07</v>
      </c>
      <c r="L7" s="978">
        <f t="shared" si="1"/>
        <v>1.07</v>
      </c>
      <c r="M7" s="978">
        <f t="shared" si="1"/>
        <v>1.06</v>
      </c>
      <c r="N7" s="978">
        <f t="shared" si="1"/>
        <v>1.06</v>
      </c>
      <c r="O7" s="978">
        <f t="shared" si="1"/>
        <v>1.06</v>
      </c>
      <c r="P7" s="978">
        <f t="shared" si="1"/>
        <v>1.06</v>
      </c>
    </row>
    <row r="8" spans="2:17">
      <c r="B8" t="s">
        <v>1128</v>
      </c>
      <c r="F8">
        <v>1</v>
      </c>
      <c r="G8" s="395">
        <v>0.02</v>
      </c>
      <c r="H8" s="395">
        <v>0.02</v>
      </c>
      <c r="I8" s="395">
        <v>0.02</v>
      </c>
      <c r="J8" s="395">
        <v>0.02</v>
      </c>
      <c r="K8" s="395">
        <v>0.02</v>
      </c>
      <c r="L8" s="395">
        <v>0.02</v>
      </c>
      <c r="M8" s="395">
        <v>0.02</v>
      </c>
      <c r="N8" s="395">
        <v>0.02</v>
      </c>
      <c r="O8" s="395">
        <v>0.02</v>
      </c>
      <c r="P8" s="395">
        <v>0.02</v>
      </c>
      <c r="Q8" s="395"/>
    </row>
    <row r="9" spans="2:17">
      <c r="F9">
        <v>1</v>
      </c>
      <c r="G9" s="978">
        <f t="shared" ref="G9:P9" si="2">(1+G8)</f>
        <v>1.02</v>
      </c>
      <c r="H9" s="978">
        <f t="shared" si="2"/>
        <v>1.02</v>
      </c>
      <c r="I9" s="978">
        <f t="shared" si="2"/>
        <v>1.02</v>
      </c>
      <c r="J9" s="978">
        <f t="shared" si="2"/>
        <v>1.02</v>
      </c>
      <c r="K9" s="978">
        <f t="shared" si="2"/>
        <v>1.02</v>
      </c>
      <c r="L9" s="978">
        <f t="shared" si="2"/>
        <v>1.02</v>
      </c>
      <c r="M9" s="978">
        <f t="shared" si="2"/>
        <v>1.02</v>
      </c>
      <c r="N9" s="978">
        <f t="shared" si="2"/>
        <v>1.02</v>
      </c>
      <c r="O9" s="978">
        <f t="shared" si="2"/>
        <v>1.02</v>
      </c>
      <c r="P9" s="978">
        <f t="shared" si="2"/>
        <v>1.02</v>
      </c>
    </row>
    <row r="10" spans="2:17">
      <c r="G10" s="978"/>
      <c r="H10" s="978"/>
      <c r="I10" s="978"/>
      <c r="M10" s="978"/>
      <c r="N10" s="978"/>
      <c r="O10" s="978"/>
      <c r="P10" s="978"/>
    </row>
    <row r="11" spans="2:17">
      <c r="B11" t="s">
        <v>869</v>
      </c>
      <c r="G11" s="978"/>
      <c r="H11" s="978"/>
      <c r="I11" s="978"/>
      <c r="M11" s="978"/>
      <c r="N11" s="978"/>
      <c r="O11" s="978"/>
      <c r="P11" s="978"/>
    </row>
    <row r="12" spans="2:17">
      <c r="G12" s="978"/>
      <c r="H12" s="978"/>
      <c r="I12" s="978"/>
      <c r="M12" s="978"/>
      <c r="N12" s="978"/>
      <c r="O12" s="978"/>
      <c r="P12" s="978"/>
    </row>
    <row r="13" spans="2:17" hidden="1">
      <c r="G13" s="978"/>
      <c r="H13" s="978"/>
      <c r="I13" s="978"/>
      <c r="M13" s="978"/>
      <c r="N13" s="978"/>
      <c r="O13" s="978"/>
      <c r="P13" s="978"/>
    </row>
    <row r="14" spans="2:17" hidden="1">
      <c r="G14" s="978"/>
      <c r="H14" s="978"/>
      <c r="I14" s="978"/>
      <c r="M14" s="978"/>
      <c r="N14" s="978"/>
      <c r="O14" s="978"/>
      <c r="P14" s="978"/>
    </row>
    <row r="15" spans="2:17" hidden="1">
      <c r="G15" s="978"/>
      <c r="H15" s="978"/>
      <c r="I15" s="978"/>
      <c r="M15" s="978"/>
      <c r="N15" s="978"/>
      <c r="O15" s="978"/>
      <c r="P15" s="978"/>
    </row>
    <row r="17" spans="2:17">
      <c r="B17" t="s">
        <v>1126</v>
      </c>
      <c r="C17" t="s">
        <v>1124</v>
      </c>
      <c r="D17" s="979">
        <v>497000</v>
      </c>
      <c r="F17">
        <f>D17*F7</f>
        <v>497000</v>
      </c>
      <c r="G17" s="413">
        <f>F17*G7</f>
        <v>562380.35</v>
      </c>
      <c r="H17" s="413">
        <f t="shared" ref="H17:P17" si="3">G17*H7</f>
        <v>626969.73319749988</v>
      </c>
      <c r="I17" s="413">
        <f t="shared" si="3"/>
        <v>677190.00882661971</v>
      </c>
      <c r="J17" s="978">
        <f t="shared" si="3"/>
        <v>729265.92050538678</v>
      </c>
      <c r="K17" s="978">
        <f t="shared" si="3"/>
        <v>780314.53494076384</v>
      </c>
      <c r="L17" s="978">
        <f t="shared" si="3"/>
        <v>834936.5523866174</v>
      </c>
      <c r="M17" s="413">
        <f t="shared" si="3"/>
        <v>885032.74552981451</v>
      </c>
      <c r="N17" s="413">
        <f t="shared" si="3"/>
        <v>938134.71026160347</v>
      </c>
      <c r="O17" s="413">
        <f t="shared" si="3"/>
        <v>994422.79287729971</v>
      </c>
      <c r="P17" s="413">
        <f t="shared" si="3"/>
        <v>1054088.1604499377</v>
      </c>
    </row>
    <row r="18" spans="2:17">
      <c r="B18" t="s">
        <v>1127</v>
      </c>
      <c r="C18" t="s">
        <v>1124</v>
      </c>
      <c r="D18" s="980">
        <f>D17/F5</f>
        <v>397.6</v>
      </c>
      <c r="F18" s="311">
        <f t="shared" ref="F18:P18" si="4">F17/F5</f>
        <v>397.6</v>
      </c>
      <c r="G18" s="311">
        <f t="shared" si="4"/>
        <v>425.64264900662249</v>
      </c>
      <c r="H18" s="311">
        <f t="shared" si="4"/>
        <v>448.93822823560362</v>
      </c>
      <c r="I18" s="311">
        <f t="shared" si="4"/>
        <v>484.89818031727555</v>
      </c>
      <c r="J18" s="978">
        <f t="shared" si="4"/>
        <v>494.02729459193387</v>
      </c>
      <c r="K18" s="978">
        <f t="shared" si="4"/>
        <v>500.10331619051021</v>
      </c>
      <c r="L18" s="978">
        <f t="shared" si="4"/>
        <v>506.25406653154778</v>
      </c>
      <c r="M18" s="311">
        <f t="shared" si="4"/>
        <v>507.6909276475314</v>
      </c>
      <c r="N18" s="311">
        <f t="shared" si="4"/>
        <v>509.13186689345639</v>
      </c>
      <c r="O18" s="311">
        <f t="shared" si="4"/>
        <v>510.5768958439582</v>
      </c>
      <c r="P18" s="311">
        <f t="shared" si="4"/>
        <v>512.02602610652389</v>
      </c>
    </row>
    <row r="19" spans="2:17">
      <c r="B19" t="s">
        <v>867</v>
      </c>
      <c r="C19" t="s">
        <v>1129</v>
      </c>
      <c r="D19" s="980">
        <f>'Assumption '!J68</f>
        <v>339.64357142857142</v>
      </c>
      <c r="F19" s="311">
        <f>D19</f>
        <v>339.64357142857142</v>
      </c>
      <c r="G19" s="311">
        <f>F19*G9</f>
        <v>346.43644285714288</v>
      </c>
      <c r="H19" s="311">
        <f t="shared" ref="H19:P19" si="5">G19*H9</f>
        <v>353.36517171428574</v>
      </c>
      <c r="I19" s="311">
        <f t="shared" si="5"/>
        <v>360.43247514857148</v>
      </c>
      <c r="J19" s="978">
        <f t="shared" si="5"/>
        <v>367.6411246515429</v>
      </c>
      <c r="K19" s="978">
        <f t="shared" si="5"/>
        <v>374.99394714457378</v>
      </c>
      <c r="L19" s="978">
        <f t="shared" si="5"/>
        <v>382.49382608746527</v>
      </c>
      <c r="M19" s="311">
        <f t="shared" si="5"/>
        <v>390.14370260921459</v>
      </c>
      <c r="N19" s="311">
        <f t="shared" si="5"/>
        <v>397.94657666139886</v>
      </c>
      <c r="O19" s="311">
        <f t="shared" si="5"/>
        <v>405.90550819462686</v>
      </c>
      <c r="P19" s="311">
        <f t="shared" si="5"/>
        <v>414.0236183585194</v>
      </c>
    </row>
    <row r="22" spans="2:17">
      <c r="B22" t="s">
        <v>863</v>
      </c>
      <c r="C22" t="s">
        <v>1112</v>
      </c>
      <c r="D22" s="413">
        <f>'Urea Data  '!M19</f>
        <v>286.40714285714284</v>
      </c>
      <c r="F22" s="311">
        <f>D22*F9</f>
        <v>286.40714285714284</v>
      </c>
      <c r="G22" s="311">
        <f>F22*G9</f>
        <v>292.13528571428571</v>
      </c>
      <c r="H22" s="311">
        <f t="shared" ref="H22:P22" si="6">G22*H9</f>
        <v>297.97799142857144</v>
      </c>
      <c r="I22" s="311">
        <f t="shared" si="6"/>
        <v>303.9375512571429</v>
      </c>
      <c r="J22" s="978">
        <f t="shared" si="6"/>
        <v>310.01630228228578</v>
      </c>
      <c r="K22" s="978">
        <f t="shared" si="6"/>
        <v>316.21662832793152</v>
      </c>
      <c r="L22" s="978">
        <f t="shared" si="6"/>
        <v>322.54096089449013</v>
      </c>
      <c r="M22" s="311">
        <f t="shared" si="6"/>
        <v>328.99178011237996</v>
      </c>
      <c r="N22" s="311">
        <f t="shared" si="6"/>
        <v>335.57161571462757</v>
      </c>
      <c r="O22" s="311">
        <f t="shared" si="6"/>
        <v>342.28304802892012</v>
      </c>
      <c r="P22" s="311">
        <f t="shared" si="6"/>
        <v>349.12870898949853</v>
      </c>
    </row>
    <row r="23" spans="2:17">
      <c r="B23" t="s">
        <v>863</v>
      </c>
      <c r="C23" t="s">
        <v>1130</v>
      </c>
      <c r="D23" s="413">
        <f>'Urea Data  '!M19</f>
        <v>286.40714285714284</v>
      </c>
      <c r="F23" s="311">
        <f>D23*F9</f>
        <v>286.40714285714284</v>
      </c>
      <c r="G23" s="311">
        <f>F23*F9</f>
        <v>286.40714285714284</v>
      </c>
      <c r="H23" s="311">
        <f t="shared" ref="H23:P23" si="7">G23*G9</f>
        <v>292.13528571428571</v>
      </c>
      <c r="I23" s="311">
        <f t="shared" si="7"/>
        <v>297.97799142857144</v>
      </c>
      <c r="J23" s="978">
        <f t="shared" si="7"/>
        <v>303.9375512571429</v>
      </c>
      <c r="K23" s="978">
        <f t="shared" si="7"/>
        <v>310.01630228228578</v>
      </c>
      <c r="L23" s="978">
        <f t="shared" si="7"/>
        <v>316.21662832793152</v>
      </c>
      <c r="M23" s="311">
        <f t="shared" si="7"/>
        <v>322.54096089449013</v>
      </c>
      <c r="N23" s="311">
        <f t="shared" si="7"/>
        <v>328.99178011237996</v>
      </c>
      <c r="O23" s="311">
        <f t="shared" si="7"/>
        <v>335.57161571462757</v>
      </c>
      <c r="P23" s="311">
        <f t="shared" si="7"/>
        <v>342.28304802892012</v>
      </c>
    </row>
    <row r="24" spans="2:17">
      <c r="D24" s="398"/>
      <c r="F24" s="311"/>
      <c r="G24" s="311"/>
      <c r="H24" s="311"/>
      <c r="I24" s="311"/>
      <c r="M24" s="311"/>
      <c r="N24" s="311"/>
      <c r="O24" s="311"/>
      <c r="P24" s="311"/>
    </row>
    <row r="26" spans="2:17">
      <c r="B26" t="s">
        <v>1135</v>
      </c>
      <c r="G26">
        <f t="shared" ref="G26:P26" si="8">IF(G3&lt;=3,1,0)</f>
        <v>1</v>
      </c>
      <c r="H26">
        <f t="shared" si="8"/>
        <v>1</v>
      </c>
      <c r="I26">
        <f t="shared" si="8"/>
        <v>1</v>
      </c>
      <c r="J26" s="978">
        <f t="shared" si="8"/>
        <v>0</v>
      </c>
      <c r="K26" s="978">
        <f t="shared" si="8"/>
        <v>0</v>
      </c>
      <c r="L26" s="978">
        <f t="shared" si="8"/>
        <v>0</v>
      </c>
      <c r="M26">
        <f t="shared" si="8"/>
        <v>0</v>
      </c>
      <c r="N26">
        <f t="shared" si="8"/>
        <v>0</v>
      </c>
      <c r="O26">
        <f t="shared" si="8"/>
        <v>0</v>
      </c>
      <c r="P26">
        <f t="shared" si="8"/>
        <v>0</v>
      </c>
    </row>
    <row r="27" spans="2:17">
      <c r="B27" t="s">
        <v>1136</v>
      </c>
      <c r="G27" s="978">
        <f>IF(G26=1,0,1)</f>
        <v>0</v>
      </c>
      <c r="H27" s="978">
        <f t="shared" ref="H27:P27" si="9">IF(H26=1,0,1)</f>
        <v>0</v>
      </c>
      <c r="I27" s="978">
        <f t="shared" si="9"/>
        <v>0</v>
      </c>
      <c r="J27" s="978">
        <f t="shared" si="9"/>
        <v>1</v>
      </c>
      <c r="K27" s="978">
        <f t="shared" si="9"/>
        <v>1</v>
      </c>
      <c r="L27" s="978">
        <f t="shared" si="9"/>
        <v>1</v>
      </c>
      <c r="M27" s="978">
        <f t="shared" si="9"/>
        <v>1</v>
      </c>
      <c r="N27" s="978">
        <f t="shared" si="9"/>
        <v>1</v>
      </c>
      <c r="O27" s="978">
        <f t="shared" si="9"/>
        <v>1</v>
      </c>
      <c r="P27" s="978">
        <f t="shared" si="9"/>
        <v>1</v>
      </c>
    </row>
    <row r="28" spans="2:17">
      <c r="B28" t="s">
        <v>1134</v>
      </c>
      <c r="C28" s="423">
        <v>0.75</v>
      </c>
    </row>
    <row r="29" spans="2:17">
      <c r="B29" t="s">
        <v>1131</v>
      </c>
      <c r="F29" s="978"/>
      <c r="G29" s="395">
        <f>IF(G3=4,0.75,MIN(F29*(1+0.08),0.95))</f>
        <v>0</v>
      </c>
      <c r="H29" s="395">
        <f>IF(H3=4,0.75,MIN(G29*(1+0.08),0.95))</f>
        <v>0</v>
      </c>
      <c r="I29" s="395">
        <f>IF(I3=4,0.75,MIN(H29*(1+0.08),0.95))</f>
        <v>0</v>
      </c>
      <c r="J29" s="395">
        <f t="shared" ref="J29:P29" si="10">IF(J3=4,0.75,MIN(I29*(1+0.095),0.95))</f>
        <v>0.75</v>
      </c>
      <c r="K29" s="395">
        <f t="shared" si="10"/>
        <v>0.82125000000000004</v>
      </c>
      <c r="L29" s="395">
        <f t="shared" si="10"/>
        <v>0.89926875000000006</v>
      </c>
      <c r="M29" s="395">
        <f t="shared" si="10"/>
        <v>0.95</v>
      </c>
      <c r="N29" s="395">
        <f t="shared" si="10"/>
        <v>0.95</v>
      </c>
      <c r="O29" s="395">
        <f t="shared" si="10"/>
        <v>0.95</v>
      </c>
      <c r="P29" s="395">
        <f t="shared" si="10"/>
        <v>0.95</v>
      </c>
      <c r="Q29" s="395"/>
    </row>
    <row r="31" spans="2:17">
      <c r="B31" t="s">
        <v>1133</v>
      </c>
      <c r="C31" s="311">
        <v>3000000</v>
      </c>
      <c r="G31" s="311">
        <f>$C$31*G29</f>
        <v>0</v>
      </c>
      <c r="H31" s="311">
        <f t="shared" ref="H31:P31" si="11">$C$31*H29</f>
        <v>0</v>
      </c>
      <c r="I31" s="311">
        <f t="shared" si="11"/>
        <v>0</v>
      </c>
      <c r="J31" s="311">
        <f t="shared" si="11"/>
        <v>2250000</v>
      </c>
      <c r="K31" s="311">
        <f t="shared" si="11"/>
        <v>2463750</v>
      </c>
      <c r="L31" s="311">
        <f t="shared" si="11"/>
        <v>2697806.25</v>
      </c>
      <c r="M31" s="311">
        <f t="shared" si="11"/>
        <v>2850000</v>
      </c>
      <c r="N31" s="311">
        <f t="shared" si="11"/>
        <v>2850000</v>
      </c>
      <c r="O31" s="311">
        <f t="shared" si="11"/>
        <v>2850000</v>
      </c>
      <c r="P31" s="311">
        <f t="shared" si="11"/>
        <v>2850000</v>
      </c>
    </row>
    <row r="32" spans="2:17">
      <c r="B32" t="s">
        <v>1132</v>
      </c>
      <c r="C32" s="311">
        <v>500000</v>
      </c>
      <c r="G32" s="413">
        <f t="shared" ref="G32:P32" si="12">$C$32*G29</f>
        <v>0</v>
      </c>
      <c r="H32" s="413">
        <f t="shared" si="12"/>
        <v>0</v>
      </c>
      <c r="I32" s="413">
        <f t="shared" si="12"/>
        <v>0</v>
      </c>
      <c r="J32" s="413">
        <f t="shared" si="12"/>
        <v>375000</v>
      </c>
      <c r="K32" s="413">
        <f t="shared" si="12"/>
        <v>410625</v>
      </c>
      <c r="L32" s="413">
        <f t="shared" si="12"/>
        <v>449634.37500000006</v>
      </c>
      <c r="M32" s="413">
        <f t="shared" si="12"/>
        <v>475000</v>
      </c>
      <c r="N32" s="413">
        <f t="shared" si="12"/>
        <v>475000</v>
      </c>
      <c r="O32" s="413">
        <f t="shared" si="12"/>
        <v>475000</v>
      </c>
      <c r="P32" s="413">
        <f t="shared" si="12"/>
        <v>475000</v>
      </c>
    </row>
    <row r="36" spans="2:16">
      <c r="B36" t="s">
        <v>1137</v>
      </c>
      <c r="C36" s="423">
        <v>0.3</v>
      </c>
      <c r="G36" s="413">
        <f>G31*$C$36</f>
        <v>0</v>
      </c>
      <c r="H36" s="413">
        <f>H31*$C$36</f>
        <v>0</v>
      </c>
      <c r="I36" s="413">
        <f>I31*$C$36</f>
        <v>0</v>
      </c>
      <c r="J36" s="413">
        <f>J31*$C$36</f>
        <v>675000</v>
      </c>
      <c r="K36" s="413">
        <f t="shared" ref="K36:P36" si="13">K31*$C$36</f>
        <v>739125</v>
      </c>
      <c r="L36" s="413">
        <f t="shared" si="13"/>
        <v>809341.875</v>
      </c>
      <c r="M36" s="413">
        <f t="shared" si="13"/>
        <v>855000</v>
      </c>
      <c r="N36" s="413">
        <f t="shared" si="13"/>
        <v>855000</v>
      </c>
      <c r="O36" s="413">
        <f t="shared" si="13"/>
        <v>855000</v>
      </c>
      <c r="P36" s="413">
        <f t="shared" si="13"/>
        <v>855000</v>
      </c>
    </row>
    <row r="37" spans="2:16">
      <c r="B37" t="s">
        <v>1138</v>
      </c>
      <c r="C37" s="423">
        <v>0.7</v>
      </c>
      <c r="G37" s="413">
        <f>$C$37*G31</f>
        <v>0</v>
      </c>
      <c r="H37" s="413">
        <f>$C$37*H31</f>
        <v>0</v>
      </c>
      <c r="I37" s="413">
        <f>$C$37*I31</f>
        <v>0</v>
      </c>
      <c r="J37" s="413">
        <f>$C$37*J31</f>
        <v>1575000</v>
      </c>
      <c r="K37" s="413">
        <f t="shared" ref="K37:P37" si="14">$C$37*K31</f>
        <v>1724625</v>
      </c>
      <c r="L37" s="413">
        <f t="shared" si="14"/>
        <v>1888464.3749999998</v>
      </c>
      <c r="M37" s="413">
        <f t="shared" si="14"/>
        <v>1994999.9999999998</v>
      </c>
      <c r="N37" s="413">
        <f t="shared" si="14"/>
        <v>1994999.9999999998</v>
      </c>
      <c r="O37" s="413">
        <f t="shared" si="14"/>
        <v>1994999.9999999998</v>
      </c>
      <c r="P37" s="413">
        <f t="shared" si="14"/>
        <v>1994999.9999999998</v>
      </c>
    </row>
    <row r="38" spans="2:16" ht="15.75" thickBot="1">
      <c r="B38" s="981" t="s">
        <v>655</v>
      </c>
      <c r="C38" s="982">
        <f>SUM(C36:C37)</f>
        <v>1</v>
      </c>
      <c r="D38" s="981"/>
      <c r="E38" s="981"/>
      <c r="F38" s="981"/>
      <c r="G38" s="983">
        <f t="shared" ref="G38:P38" si="15">SUM(G36:G37)</f>
        <v>0</v>
      </c>
      <c r="H38" s="983">
        <f t="shared" si="15"/>
        <v>0</v>
      </c>
      <c r="I38" s="983">
        <f t="shared" si="15"/>
        <v>0</v>
      </c>
      <c r="J38" s="983">
        <f t="shared" si="15"/>
        <v>2250000</v>
      </c>
      <c r="K38" s="983">
        <f t="shared" si="15"/>
        <v>2463750</v>
      </c>
      <c r="L38" s="983">
        <f t="shared" si="15"/>
        <v>2697806.25</v>
      </c>
      <c r="M38" s="983">
        <f t="shared" si="15"/>
        <v>2850000</v>
      </c>
      <c r="N38" s="983">
        <f t="shared" si="15"/>
        <v>2850000</v>
      </c>
      <c r="O38" s="983">
        <f t="shared" si="15"/>
        <v>2850000</v>
      </c>
      <c r="P38" s="983">
        <f t="shared" si="15"/>
        <v>2850000</v>
      </c>
    </row>
    <row r="39" spans="2:16" ht="15.75" thickTop="1"/>
    <row r="41" spans="2:16">
      <c r="B41" t="s">
        <v>1139</v>
      </c>
      <c r="C41" s="423">
        <v>0.3</v>
      </c>
      <c r="G41" s="413">
        <f>G32*$C$41</f>
        <v>0</v>
      </c>
      <c r="H41" s="413">
        <f>H32*$C$41</f>
        <v>0</v>
      </c>
      <c r="I41" s="413">
        <f>I32*$C$41</f>
        <v>0</v>
      </c>
      <c r="J41" s="413">
        <f>J32*$C$41</f>
        <v>112500</v>
      </c>
      <c r="K41" s="413">
        <f t="shared" ref="K41:P41" si="16">K32*$C$41</f>
        <v>123187.5</v>
      </c>
      <c r="L41" s="413">
        <f t="shared" si="16"/>
        <v>134890.3125</v>
      </c>
      <c r="M41" s="413">
        <f t="shared" si="16"/>
        <v>142500</v>
      </c>
      <c r="N41" s="413">
        <f t="shared" si="16"/>
        <v>142500</v>
      </c>
      <c r="O41" s="413">
        <f t="shared" si="16"/>
        <v>142500</v>
      </c>
      <c r="P41" s="413">
        <f t="shared" si="16"/>
        <v>142500</v>
      </c>
    </row>
    <row r="42" spans="2:16">
      <c r="B42" t="s">
        <v>1140</v>
      </c>
      <c r="C42" s="423">
        <v>0.7</v>
      </c>
      <c r="G42" s="413">
        <f>G32*$C$42</f>
        <v>0</v>
      </c>
      <c r="H42" s="413">
        <f>H32*$C$42</f>
        <v>0</v>
      </c>
      <c r="I42" s="413">
        <f>I32*$C$42</f>
        <v>0</v>
      </c>
      <c r="J42" s="413">
        <f>J32*$C$42</f>
        <v>262500</v>
      </c>
      <c r="K42" s="413">
        <f t="shared" ref="K42:P42" si="17">K32*$C$42</f>
        <v>287437.5</v>
      </c>
      <c r="L42" s="413">
        <f t="shared" si="17"/>
        <v>314744.0625</v>
      </c>
      <c r="M42" s="413">
        <f t="shared" si="17"/>
        <v>332500</v>
      </c>
      <c r="N42" s="413">
        <f t="shared" si="17"/>
        <v>332500</v>
      </c>
      <c r="O42" s="413">
        <f t="shared" si="17"/>
        <v>332500</v>
      </c>
      <c r="P42" s="413">
        <f t="shared" si="17"/>
        <v>332500</v>
      </c>
    </row>
    <row r="43" spans="2:16" ht="15.75" thickBot="1">
      <c r="B43" s="981" t="s">
        <v>655</v>
      </c>
      <c r="C43" s="982">
        <f>SUM(C41:C42)</f>
        <v>1</v>
      </c>
      <c r="D43" s="981"/>
      <c r="E43" s="981"/>
      <c r="F43" s="981"/>
      <c r="G43" s="983">
        <f t="shared" ref="G43:P43" si="18">SUM(G41:G42)</f>
        <v>0</v>
      </c>
      <c r="H43" s="983">
        <f t="shared" si="18"/>
        <v>0</v>
      </c>
      <c r="I43" s="983">
        <f t="shared" si="18"/>
        <v>0</v>
      </c>
      <c r="J43" s="983">
        <f t="shared" si="18"/>
        <v>375000</v>
      </c>
      <c r="K43" s="983">
        <f t="shared" si="18"/>
        <v>410625</v>
      </c>
      <c r="L43" s="983">
        <f t="shared" si="18"/>
        <v>449634.375</v>
      </c>
      <c r="M43" s="983">
        <f t="shared" si="18"/>
        <v>475000</v>
      </c>
      <c r="N43" s="983">
        <f t="shared" si="18"/>
        <v>475000</v>
      </c>
      <c r="O43" s="983">
        <f t="shared" si="18"/>
        <v>475000</v>
      </c>
      <c r="P43" s="983">
        <f t="shared" si="18"/>
        <v>475000</v>
      </c>
    </row>
    <row r="44" spans="2:16" ht="15.75" thickTop="1"/>
    <row r="45" spans="2:16">
      <c r="B45" t="s">
        <v>1142</v>
      </c>
      <c r="C45" s="423">
        <v>0.2</v>
      </c>
      <c r="G45" s="395">
        <f>IF(G3=4,$C$45,IF(G3=5,$C$46,IF(G3=6,$C$47,0)))</f>
        <v>0</v>
      </c>
      <c r="H45" s="395">
        <f t="shared" ref="H45:P45" si="19">IF(H3=4,$C$45,IF(H3=5,$C$46,IF(H3=6,$C$47,0)))</f>
        <v>0</v>
      </c>
      <c r="I45" s="395">
        <f t="shared" si="19"/>
        <v>0</v>
      </c>
      <c r="J45" s="395">
        <f t="shared" si="19"/>
        <v>0.2</v>
      </c>
      <c r="K45" s="395">
        <f t="shared" si="19"/>
        <v>0.1</v>
      </c>
      <c r="L45" s="395">
        <f t="shared" si="19"/>
        <v>0.05</v>
      </c>
      <c r="M45" s="395">
        <f t="shared" si="19"/>
        <v>0</v>
      </c>
      <c r="N45" s="395">
        <f t="shared" si="19"/>
        <v>0</v>
      </c>
      <c r="O45" s="395">
        <f t="shared" si="19"/>
        <v>0</v>
      </c>
      <c r="P45" s="395">
        <f t="shared" si="19"/>
        <v>0</v>
      </c>
    </row>
    <row r="46" spans="2:16">
      <c r="B46" s="959" t="s">
        <v>1141</v>
      </c>
      <c r="C46" s="423">
        <v>0.1</v>
      </c>
    </row>
    <row r="47" spans="2:16">
      <c r="B47" s="959" t="s">
        <v>1143</v>
      </c>
      <c r="C47" s="423">
        <v>0.05</v>
      </c>
    </row>
    <row r="48" spans="2:16">
      <c r="B48" s="959"/>
      <c r="C48" s="423"/>
    </row>
    <row r="49" spans="2:16">
      <c r="B49" s="986" t="s">
        <v>867</v>
      </c>
      <c r="C49" s="423"/>
    </row>
    <row r="50" spans="2:16">
      <c r="B50" t="s">
        <v>1145</v>
      </c>
      <c r="G50" s="413">
        <f>G19*G27</f>
        <v>0</v>
      </c>
      <c r="H50" s="413">
        <f t="shared" ref="H50:P50" si="20">H19*H27</f>
        <v>0</v>
      </c>
      <c r="I50" s="413">
        <f t="shared" si="20"/>
        <v>0</v>
      </c>
      <c r="J50" s="413">
        <f t="shared" si="20"/>
        <v>367.6411246515429</v>
      </c>
      <c r="K50" s="413">
        <f t="shared" si="20"/>
        <v>374.99394714457378</v>
      </c>
      <c r="L50" s="413">
        <f t="shared" si="20"/>
        <v>382.49382608746527</v>
      </c>
      <c r="M50" s="413">
        <f t="shared" si="20"/>
        <v>390.14370260921459</v>
      </c>
      <c r="N50" s="413">
        <f t="shared" si="20"/>
        <v>397.94657666139886</v>
      </c>
      <c r="O50" s="413">
        <f t="shared" si="20"/>
        <v>405.90550819462686</v>
      </c>
      <c r="P50" s="413">
        <f t="shared" si="20"/>
        <v>414.0236183585194</v>
      </c>
    </row>
    <row r="51" spans="2:16">
      <c r="B51" t="s">
        <v>1146</v>
      </c>
      <c r="G51" s="413">
        <f>G18*(1-G45)*G27</f>
        <v>0</v>
      </c>
      <c r="H51" s="413">
        <f t="shared" ref="H51:P51" si="21">H18*(1-H45)*H27</f>
        <v>0</v>
      </c>
      <c r="I51" s="413">
        <f t="shared" si="21"/>
        <v>0</v>
      </c>
      <c r="J51" s="413">
        <f t="shared" si="21"/>
        <v>395.2218356735471</v>
      </c>
      <c r="K51" s="413">
        <f t="shared" si="21"/>
        <v>450.09298457145923</v>
      </c>
      <c r="L51" s="413">
        <f t="shared" si="21"/>
        <v>480.94136320497034</v>
      </c>
      <c r="M51" s="413">
        <f t="shared" si="21"/>
        <v>507.6909276475314</v>
      </c>
      <c r="N51" s="413">
        <f t="shared" si="21"/>
        <v>509.13186689345639</v>
      </c>
      <c r="O51" s="413">
        <f t="shared" si="21"/>
        <v>510.5768958439582</v>
      </c>
      <c r="P51" s="413">
        <f t="shared" si="21"/>
        <v>512.02602610652389</v>
      </c>
    </row>
    <row r="52" spans="2:16">
      <c r="B52" t="s">
        <v>1149</v>
      </c>
      <c r="G52" s="978">
        <f>G36*G50</f>
        <v>0</v>
      </c>
      <c r="H52" s="311">
        <f t="shared" ref="H52:P52" si="22">H36*H50</f>
        <v>0</v>
      </c>
      <c r="I52" s="311">
        <f t="shared" si="22"/>
        <v>0</v>
      </c>
      <c r="J52" s="311">
        <f>J36*J50</f>
        <v>248157759.13979146</v>
      </c>
      <c r="K52" s="311">
        <f t="shared" si="22"/>
        <v>277167401.18323308</v>
      </c>
      <c r="L52" s="311">
        <f t="shared" si="22"/>
        <v>309568270.38155305</v>
      </c>
      <c r="M52" s="311">
        <f t="shared" si="22"/>
        <v>333572865.73087847</v>
      </c>
      <c r="N52" s="311">
        <f t="shared" si="22"/>
        <v>340244323.04549605</v>
      </c>
      <c r="O52" s="311">
        <f t="shared" si="22"/>
        <v>347049209.50640595</v>
      </c>
      <c r="P52" s="311">
        <f t="shared" si="22"/>
        <v>353990193.6965341</v>
      </c>
    </row>
    <row r="53" spans="2:16">
      <c r="B53" t="s">
        <v>1150</v>
      </c>
      <c r="G53" s="311">
        <f>G51*G37</f>
        <v>0</v>
      </c>
      <c r="H53" s="311">
        <f t="shared" ref="H53:P53" si="23">H51*H37</f>
        <v>0</v>
      </c>
      <c r="I53" s="311">
        <f t="shared" si="23"/>
        <v>0</v>
      </c>
      <c r="J53" s="311">
        <f>J51*J37</f>
        <v>622474391.18583667</v>
      </c>
      <c r="K53" s="311">
        <f t="shared" si="23"/>
        <v>776241613.51655293</v>
      </c>
      <c r="L53" s="311">
        <f t="shared" si="23"/>
        <v>908240630.87652218</v>
      </c>
      <c r="M53" s="311">
        <f t="shared" si="23"/>
        <v>1012843400.6568251</v>
      </c>
      <c r="N53" s="311">
        <f t="shared" si="23"/>
        <v>1015718074.4524454</v>
      </c>
      <c r="O53" s="311">
        <f t="shared" si="23"/>
        <v>1018600907.2086965</v>
      </c>
      <c r="P53" s="311">
        <f t="shared" si="23"/>
        <v>1021491922.082515</v>
      </c>
    </row>
    <row r="54" spans="2:16" ht="15.75" thickBot="1">
      <c r="B54" s="981" t="s">
        <v>1144</v>
      </c>
      <c r="C54" s="981"/>
      <c r="D54" s="981"/>
      <c r="E54" s="981"/>
      <c r="F54" s="981"/>
      <c r="G54" s="984">
        <f t="shared" ref="G54:P54" si="24">SUM(G52:G53)</f>
        <v>0</v>
      </c>
      <c r="H54" s="984">
        <f t="shared" si="24"/>
        <v>0</v>
      </c>
      <c r="I54" s="985">
        <f t="shared" si="24"/>
        <v>0</v>
      </c>
      <c r="J54" s="985">
        <f t="shared" si="24"/>
        <v>870632150.32562816</v>
      </c>
      <c r="K54" s="985">
        <f t="shared" si="24"/>
        <v>1053409014.6997859</v>
      </c>
      <c r="L54" s="985">
        <f t="shared" si="24"/>
        <v>1217808901.2580752</v>
      </c>
      <c r="M54" s="985">
        <f t="shared" si="24"/>
        <v>1346416266.3877034</v>
      </c>
      <c r="N54" s="985">
        <f t="shared" si="24"/>
        <v>1355962397.4979415</v>
      </c>
      <c r="O54" s="985">
        <f t="shared" si="24"/>
        <v>1365650116.7151024</v>
      </c>
      <c r="P54" s="985">
        <f t="shared" si="24"/>
        <v>1375482115.7790492</v>
      </c>
    </row>
    <row r="55" spans="2:16" ht="15.75" thickTop="1">
      <c r="B55" s="394"/>
      <c r="C55" s="394"/>
      <c r="D55" s="394"/>
      <c r="E55" s="394"/>
      <c r="F55" s="394"/>
      <c r="G55" s="993"/>
      <c r="H55" s="993"/>
      <c r="I55" s="393"/>
      <c r="J55" s="393"/>
      <c r="K55" s="393"/>
      <c r="L55" s="393"/>
      <c r="M55" s="393"/>
      <c r="N55" s="393"/>
      <c r="O55" s="393"/>
      <c r="P55" s="393"/>
    </row>
    <row r="56" spans="2:16">
      <c r="B56" t="s">
        <v>1142</v>
      </c>
      <c r="C56" s="423">
        <v>0.25</v>
      </c>
      <c r="D56" s="394"/>
      <c r="E56" s="394"/>
      <c r="F56" s="394"/>
      <c r="G56" s="994">
        <f>IF(G3=4,$C$56,IF(G3=5,$C$57,IF(G3&gt;=6,$C$58,0)))</f>
        <v>0</v>
      </c>
      <c r="H56" s="994">
        <f t="shared" ref="H56:P56" si="25">IF(H3=4,$C$56,IF(H3=5,$C$57,IF(H3&gt;=6,$C$58,0)))</f>
        <v>0</v>
      </c>
      <c r="I56" s="994">
        <f t="shared" si="25"/>
        <v>0</v>
      </c>
      <c r="J56" s="994">
        <f t="shared" si="25"/>
        <v>0.25</v>
      </c>
      <c r="K56" s="994">
        <f t="shared" si="25"/>
        <v>0.15</v>
      </c>
      <c r="L56" s="994">
        <f t="shared" si="25"/>
        <v>0.05</v>
      </c>
      <c r="M56" s="994">
        <f t="shared" si="25"/>
        <v>0.05</v>
      </c>
      <c r="N56" s="994">
        <f t="shared" si="25"/>
        <v>0.05</v>
      </c>
      <c r="O56" s="994">
        <f t="shared" si="25"/>
        <v>0.05</v>
      </c>
      <c r="P56" s="994">
        <f t="shared" si="25"/>
        <v>0.05</v>
      </c>
    </row>
    <row r="57" spans="2:16">
      <c r="B57" s="959" t="s">
        <v>1141</v>
      </c>
      <c r="C57" s="423">
        <v>0.15</v>
      </c>
      <c r="D57" s="394"/>
      <c r="E57" s="394"/>
      <c r="F57" s="394"/>
      <c r="G57" s="993"/>
      <c r="H57" s="993"/>
      <c r="I57" s="393"/>
      <c r="J57" s="393"/>
      <c r="K57" s="393"/>
      <c r="L57" s="393"/>
      <c r="M57" s="393"/>
      <c r="N57" s="393"/>
      <c r="O57" s="393"/>
      <c r="P57" s="393"/>
    </row>
    <row r="58" spans="2:16">
      <c r="B58" s="959" t="s">
        <v>1143</v>
      </c>
      <c r="C58" s="423">
        <v>0.05</v>
      </c>
    </row>
    <row r="59" spans="2:16">
      <c r="B59" s="959"/>
      <c r="C59" s="423"/>
    </row>
    <row r="60" spans="2:16">
      <c r="B60" s="987" t="s">
        <v>892</v>
      </c>
      <c r="J60" s="978">
        <f>0.8*J23</f>
        <v>243.15004100571434</v>
      </c>
    </row>
    <row r="62" spans="2:16">
      <c r="B62" t="s">
        <v>1147</v>
      </c>
      <c r="G62" s="413">
        <f>G23*G27</f>
        <v>0</v>
      </c>
      <c r="H62" s="413">
        <f t="shared" ref="H62:P62" si="26">H23*H27</f>
        <v>0</v>
      </c>
      <c r="I62" s="413">
        <f t="shared" si="26"/>
        <v>0</v>
      </c>
      <c r="J62" s="413">
        <f t="shared" si="26"/>
        <v>303.9375512571429</v>
      </c>
      <c r="K62" s="413">
        <f t="shared" si="26"/>
        <v>310.01630228228578</v>
      </c>
      <c r="L62" s="413">
        <f t="shared" si="26"/>
        <v>316.21662832793152</v>
      </c>
      <c r="M62" s="413">
        <f t="shared" si="26"/>
        <v>322.54096089449013</v>
      </c>
      <c r="N62" s="413">
        <f t="shared" si="26"/>
        <v>328.99178011237996</v>
      </c>
      <c r="O62" s="413">
        <f t="shared" si="26"/>
        <v>335.57161571462757</v>
      </c>
      <c r="P62" s="413">
        <f t="shared" si="26"/>
        <v>342.28304802892012</v>
      </c>
    </row>
    <row r="63" spans="2:16">
      <c r="B63" t="s">
        <v>1148</v>
      </c>
      <c r="G63" s="413">
        <f>G23*(1-G45)*G29</f>
        <v>0</v>
      </c>
      <c r="H63" s="413">
        <f>H23*(1-H45)*H29</f>
        <v>0</v>
      </c>
      <c r="I63" s="413">
        <f>I23*(1-I45)*I29</f>
        <v>0</v>
      </c>
      <c r="J63" s="413">
        <f>(J23*(1-J56))</f>
        <v>227.95316344285717</v>
      </c>
      <c r="K63" s="413">
        <f t="shared" ref="K63:P63" si="27">(K23*(1-K56))</f>
        <v>263.51385693994291</v>
      </c>
      <c r="L63" s="413">
        <f t="shared" si="27"/>
        <v>300.40579691153494</v>
      </c>
      <c r="M63" s="413">
        <f t="shared" si="27"/>
        <v>306.41391284976561</v>
      </c>
      <c r="N63" s="413">
        <f t="shared" si="27"/>
        <v>312.54219110676092</v>
      </c>
      <c r="O63" s="413">
        <f t="shared" si="27"/>
        <v>318.79303492889619</v>
      </c>
      <c r="P63" s="413">
        <f t="shared" si="27"/>
        <v>325.16889562747411</v>
      </c>
    </row>
    <row r="64" spans="2:16">
      <c r="B64" t="s">
        <v>1151</v>
      </c>
      <c r="G64" s="413">
        <f t="shared" ref="G64:I65" si="28">G36*G62</f>
        <v>0</v>
      </c>
      <c r="H64" s="413">
        <f t="shared" si="28"/>
        <v>0</v>
      </c>
      <c r="I64" s="413">
        <f t="shared" si="28"/>
        <v>0</v>
      </c>
      <c r="J64" s="413">
        <f>J41*J62</f>
        <v>34192974.516428575</v>
      </c>
      <c r="K64" s="413">
        <f t="shared" ref="K64:P64" si="29">K41*K62</f>
        <v>38190133.237399079</v>
      </c>
      <c r="L64" s="413">
        <f t="shared" si="29"/>
        <v>42654559.812851034</v>
      </c>
      <c r="M64" s="413">
        <f t="shared" si="29"/>
        <v>45962086.927464843</v>
      </c>
      <c r="N64" s="413">
        <f t="shared" si="29"/>
        <v>46881328.666014142</v>
      </c>
      <c r="O64" s="413">
        <f t="shared" si="29"/>
        <v>47818955.239334427</v>
      </c>
      <c r="P64" s="413">
        <f t="shared" si="29"/>
        <v>48775334.344121121</v>
      </c>
    </row>
    <row r="65" spans="2:16">
      <c r="B65" t="s">
        <v>1152</v>
      </c>
      <c r="G65" s="413">
        <f t="shared" si="28"/>
        <v>0</v>
      </c>
      <c r="H65" s="413">
        <f t="shared" si="28"/>
        <v>0</v>
      </c>
      <c r="I65" s="413">
        <f t="shared" si="28"/>
        <v>0</v>
      </c>
      <c r="J65" s="413">
        <f>J42*J63</f>
        <v>59837705.40375001</v>
      </c>
      <c r="K65" s="413">
        <f t="shared" ref="K65:P65" si="30">K42*K63</f>
        <v>75743764.254174843</v>
      </c>
      <c r="L65" s="413">
        <f t="shared" si="30"/>
        <v>94550940.918486461</v>
      </c>
      <c r="M65" s="413">
        <f t="shared" si="30"/>
        <v>101882626.02254707</v>
      </c>
      <c r="N65" s="413">
        <f t="shared" si="30"/>
        <v>103920278.542998</v>
      </c>
      <c r="O65" s="413">
        <f t="shared" si="30"/>
        <v>105998684.11385798</v>
      </c>
      <c r="P65" s="413">
        <f t="shared" si="30"/>
        <v>108118657.79613514</v>
      </c>
    </row>
    <row r="66" spans="2:16" ht="15.75" thickBot="1">
      <c r="B66" s="253" t="s">
        <v>1155</v>
      </c>
      <c r="C66" s="396"/>
      <c r="D66" s="396"/>
      <c r="E66" s="396"/>
      <c r="F66" s="396"/>
      <c r="G66" s="452">
        <f>SUM(G64:G65)</f>
        <v>0</v>
      </c>
      <c r="H66" s="396"/>
      <c r="I66" s="396"/>
      <c r="J66" s="421">
        <f>SUM(J64:J65)</f>
        <v>94030679.920178592</v>
      </c>
      <c r="K66" s="421">
        <f t="shared" ref="K66:P66" si="31">SUM(K64:K65)</f>
        <v>113933897.49157393</v>
      </c>
      <c r="L66" s="421">
        <f t="shared" si="31"/>
        <v>137205500.73133749</v>
      </c>
      <c r="M66" s="421">
        <f t="shared" si="31"/>
        <v>147844712.95001191</v>
      </c>
      <c r="N66" s="421">
        <f t="shared" si="31"/>
        <v>150801607.20901215</v>
      </c>
      <c r="O66" s="421">
        <f t="shared" si="31"/>
        <v>153817639.35319242</v>
      </c>
      <c r="P66" s="421">
        <f t="shared" si="31"/>
        <v>156893992.14025626</v>
      </c>
    </row>
    <row r="69" spans="2:16">
      <c r="B69" t="s">
        <v>1144</v>
      </c>
      <c r="G69" s="398">
        <f>G54</f>
        <v>0</v>
      </c>
      <c r="H69" s="398">
        <f t="shared" ref="H69:P69" si="32">H54</f>
        <v>0</v>
      </c>
      <c r="I69" s="311">
        <f t="shared" si="32"/>
        <v>0</v>
      </c>
      <c r="J69" s="311">
        <f>J54</f>
        <v>870632150.32562816</v>
      </c>
      <c r="K69" s="311">
        <f t="shared" si="32"/>
        <v>1053409014.6997859</v>
      </c>
      <c r="L69" s="311">
        <f t="shared" si="32"/>
        <v>1217808901.2580752</v>
      </c>
      <c r="M69" s="311">
        <f t="shared" si="32"/>
        <v>1346416266.3877034</v>
      </c>
      <c r="N69" s="311">
        <f t="shared" si="32"/>
        <v>1355962397.4979415</v>
      </c>
      <c r="O69" s="311">
        <f t="shared" si="32"/>
        <v>1365650116.7151024</v>
      </c>
      <c r="P69" s="311">
        <f t="shared" si="32"/>
        <v>1375482115.7790492</v>
      </c>
    </row>
    <row r="70" spans="2:16">
      <c r="B70" t="s">
        <v>1156</v>
      </c>
      <c r="G70" s="413">
        <f>G66</f>
        <v>0</v>
      </c>
      <c r="H70" s="413">
        <f t="shared" ref="H70:P70" si="33">H66</f>
        <v>0</v>
      </c>
      <c r="I70" s="311">
        <f t="shared" si="33"/>
        <v>0</v>
      </c>
      <c r="J70" s="311">
        <f>J66</f>
        <v>94030679.920178592</v>
      </c>
      <c r="K70" s="311">
        <f t="shared" si="33"/>
        <v>113933897.49157393</v>
      </c>
      <c r="L70" s="311">
        <f t="shared" si="33"/>
        <v>137205500.73133749</v>
      </c>
      <c r="M70" s="311">
        <f t="shared" si="33"/>
        <v>147844712.95001191</v>
      </c>
      <c r="N70" s="311">
        <f t="shared" si="33"/>
        <v>150801607.20901215</v>
      </c>
      <c r="O70" s="311">
        <f t="shared" si="33"/>
        <v>153817639.35319242</v>
      </c>
      <c r="P70" s="311">
        <f t="shared" si="33"/>
        <v>156893992.14025626</v>
      </c>
    </row>
    <row r="71" spans="2:16" ht="15.75" thickBot="1">
      <c r="B71" s="396" t="s">
        <v>1155</v>
      </c>
      <c r="C71" s="396"/>
      <c r="D71" s="396"/>
      <c r="E71" s="396"/>
      <c r="F71" s="421"/>
      <c r="G71" s="421">
        <f t="shared" ref="G71:P71" si="34">SUM(G69:G70)</f>
        <v>0</v>
      </c>
      <c r="H71" s="421">
        <f t="shared" si="34"/>
        <v>0</v>
      </c>
      <c r="I71" s="421">
        <f t="shared" si="34"/>
        <v>0</v>
      </c>
      <c r="J71" s="421">
        <f t="shared" si="34"/>
        <v>964662830.24580669</v>
      </c>
      <c r="K71" s="421">
        <f t="shared" si="34"/>
        <v>1167342912.19136</v>
      </c>
      <c r="L71" s="421">
        <f t="shared" si="34"/>
        <v>1355014401.9894128</v>
      </c>
      <c r="M71" s="421">
        <f t="shared" si="34"/>
        <v>1494260979.3377154</v>
      </c>
      <c r="N71" s="421">
        <f t="shared" si="34"/>
        <v>1506764004.7069535</v>
      </c>
      <c r="O71" s="421">
        <f t="shared" si="34"/>
        <v>1519467756.0682948</v>
      </c>
      <c r="P71" s="421">
        <f t="shared" si="34"/>
        <v>1532376107.9193053</v>
      </c>
    </row>
    <row r="72" spans="2:16" ht="15.75" thickBot="1">
      <c r="B72" s="995" t="s">
        <v>1157</v>
      </c>
      <c r="C72" s="996">
        <f>SUM(G71:P71)</f>
        <v>9539888992.458849</v>
      </c>
      <c r="F72" s="311"/>
      <c r="G72" s="311"/>
      <c r="H72" s="311"/>
      <c r="I72" s="311"/>
      <c r="J72" s="311"/>
      <c r="K72" s="311"/>
    </row>
    <row r="73" spans="2:16" ht="15.75" thickTop="1"/>
  </sheetData>
  <phoneticPr fontId="47" type="noConversion"/>
  <pageMargins left="0.7" right="0.7" top="0.75" bottom="0.75" header="0.3" footer="0.3"/>
  <ignoredErrors>
    <ignoredError sqref="G18:K18" formula="1"/>
  </ignoredError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ED686-339E-4311-AE71-5538A4D8D0EF}">
  <sheetPr codeName="Sheet29"/>
  <dimension ref="A1"/>
  <sheetViews>
    <sheetView workbookViewId="0"/>
  </sheetViews>
  <sheetFormatPr defaultRowHeight="15"/>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CAF74-8419-4436-8F1D-5872612AA030}">
  <sheetPr codeName="Sheet21">
    <tabColor theme="5" tint="-0.249977111117893"/>
  </sheetPr>
  <dimension ref="A1:J15"/>
  <sheetViews>
    <sheetView workbookViewId="0">
      <selection activeCell="F8" sqref="F8"/>
    </sheetView>
  </sheetViews>
  <sheetFormatPr defaultColWidth="8.875" defaultRowHeight="15"/>
  <cols>
    <col min="1" max="1" width="35.109375" customWidth="1"/>
    <col min="2" max="2" width="15.46875" customWidth="1"/>
    <col min="3" max="3" width="14.796875" customWidth="1"/>
    <col min="4" max="4" width="25.828125" style="532" customWidth="1"/>
    <col min="5" max="5" width="26.6328125" customWidth="1"/>
    <col min="6" max="6" width="19.50390625" customWidth="1"/>
    <col min="7" max="7" width="14.9296875" bestFit="1" customWidth="1"/>
    <col min="10" max="10" width="12.10546875" bestFit="1" customWidth="1"/>
  </cols>
  <sheetData>
    <row r="1" spans="1:10" s="512" customFormat="1" ht="19.5" thickTop="1" thickBot="1">
      <c r="A1" s="508" t="s">
        <v>942</v>
      </c>
      <c r="B1" s="509" t="s">
        <v>943</v>
      </c>
      <c r="C1" s="510" t="s">
        <v>944</v>
      </c>
      <c r="D1" s="511" t="s">
        <v>945</v>
      </c>
      <c r="E1" s="510" t="s">
        <v>946</v>
      </c>
    </row>
    <row r="2" spans="1:10" s="512" customFormat="1" ht="18">
      <c r="A2" s="513"/>
      <c r="B2" s="514"/>
      <c r="C2" s="515"/>
      <c r="D2" s="516"/>
      <c r="E2" s="515"/>
    </row>
    <row r="3" spans="1:10" s="512" customFormat="1" ht="18.75" thickBot="1">
      <c r="A3" s="517" t="s">
        <v>2381</v>
      </c>
      <c r="B3" s="518">
        <v>40</v>
      </c>
      <c r="C3" s="519" t="s">
        <v>947</v>
      </c>
      <c r="D3" s="520">
        <v>1000000</v>
      </c>
      <c r="E3" s="3133">
        <f>D3*B3</f>
        <v>40000000</v>
      </c>
      <c r="F3" s="521"/>
    </row>
    <row r="4" spans="1:10" s="512" customFormat="1" ht="19.5" thickTop="1" thickBot="1">
      <c r="A4" s="517"/>
      <c r="B4" s="518"/>
      <c r="C4" s="519"/>
      <c r="D4" s="520"/>
      <c r="E4" s="520"/>
      <c r="F4" s="521"/>
    </row>
    <row r="5" spans="1:10" s="512" customFormat="1" ht="19.5" thickTop="1" thickBot="1">
      <c r="A5" s="517" t="s">
        <v>2383</v>
      </c>
      <c r="B5" s="518">
        <v>10</v>
      </c>
      <c r="C5" s="519" t="s">
        <v>947</v>
      </c>
      <c r="D5" s="520">
        <f>1000000000/Fx_Rate</f>
        <v>714285.71428571432</v>
      </c>
      <c r="E5" s="3133">
        <f>D5*B5</f>
        <v>7142857.1428571437</v>
      </c>
      <c r="F5" s="521"/>
    </row>
    <row r="6" spans="1:10" s="512" customFormat="1" ht="19.5" thickTop="1" thickBot="1">
      <c r="A6" s="517"/>
      <c r="B6" s="518"/>
      <c r="C6" s="519"/>
      <c r="D6" s="520"/>
      <c r="E6" s="520"/>
      <c r="F6" s="521"/>
    </row>
    <row r="7" spans="1:10" s="512" customFormat="1" ht="19.5" thickTop="1" thickBot="1">
      <c r="A7" s="517" t="s">
        <v>2385</v>
      </c>
      <c r="B7" s="518">
        <v>1</v>
      </c>
      <c r="C7" s="519" t="s">
        <v>947</v>
      </c>
      <c r="D7" s="3133">
        <v>10000000</v>
      </c>
      <c r="E7" s="3133">
        <f>B7*D7</f>
        <v>10000000</v>
      </c>
      <c r="F7" s="521"/>
      <c r="J7" s="521"/>
    </row>
    <row r="8" spans="1:10" s="512" customFormat="1" ht="18.75" thickTop="1">
      <c r="B8" s="518"/>
      <c r="C8" s="519"/>
      <c r="D8" s="522"/>
      <c r="E8" s="523"/>
      <c r="F8" s="521"/>
    </row>
    <row r="9" spans="1:10" s="512" customFormat="1" ht="27.6" customHeight="1" thickBot="1">
      <c r="A9" s="517" t="s">
        <v>949</v>
      </c>
      <c r="B9" s="518">
        <v>1</v>
      </c>
      <c r="C9" s="519" t="s">
        <v>947</v>
      </c>
      <c r="D9" s="520"/>
      <c r="E9" s="520"/>
    </row>
    <row r="10" spans="1:10" s="512" customFormat="1" ht="19.5" thickTop="1" thickBot="1">
      <c r="A10" s="517"/>
      <c r="B10" s="518"/>
      <c r="C10" s="519"/>
      <c r="D10" s="520"/>
      <c r="E10" s="520"/>
    </row>
    <row r="11" spans="1:10" s="512" customFormat="1" ht="28.35" customHeight="1" thickTop="1" thickBot="1">
      <c r="A11" s="517"/>
      <c r="B11" s="518">
        <v>1</v>
      </c>
      <c r="C11" s="519" t="s">
        <v>947</v>
      </c>
      <c r="D11" s="3133">
        <v>15065060</v>
      </c>
      <c r="E11" s="3133">
        <f>SUM(E3:E7)</f>
        <v>57142857.142857142</v>
      </c>
    </row>
    <row r="12" spans="1:10" s="512" customFormat="1" ht="19.5" thickTop="1" thickBot="1">
      <c r="A12" s="517" t="s">
        <v>950</v>
      </c>
      <c r="B12" s="518"/>
      <c r="C12" s="519"/>
      <c r="D12" s="520"/>
      <c r="E12" s="520"/>
    </row>
    <row r="13" spans="1:10" s="512" customFormat="1" ht="27" customHeight="1" thickTop="1" thickBot="1">
      <c r="A13" s="524"/>
      <c r="B13" s="518"/>
      <c r="C13" s="519"/>
      <c r="D13" s="526"/>
      <c r="E13" s="526"/>
      <c r="F13" s="525"/>
    </row>
    <row r="14" spans="1:10" s="512" customFormat="1" ht="18.75" thickTop="1">
      <c r="A14" s="527"/>
      <c r="B14" s="528"/>
      <c r="C14" s="529"/>
      <c r="D14" s="530"/>
      <c r="E14" s="531"/>
    </row>
    <row r="15" spans="1:10" s="512" customFormat="1" ht="18">
      <c r="D15" s="52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tabColor theme="9" tint="0.39997558519241921"/>
  </sheetPr>
  <dimension ref="A1:AZ433"/>
  <sheetViews>
    <sheetView zoomScale="96" zoomScaleNormal="96" workbookViewId="0">
      <pane xSplit="3" ySplit="10" topLeftCell="G318" activePane="bottomRight" state="frozen"/>
      <selection pane="bottomLeft" activeCell="A11" sqref="A11"/>
      <selection pane="topRight" activeCell="D1" sqref="D1"/>
      <selection pane="bottomRight" activeCell="M343" sqref="M342:M343"/>
    </sheetView>
  </sheetViews>
  <sheetFormatPr defaultColWidth="9.14453125" defaultRowHeight="10.5"/>
  <cols>
    <col min="1" max="1" width="3.49609375" style="2" customWidth="1"/>
    <col min="2" max="2" width="34.70703125" style="2" customWidth="1"/>
    <col min="3" max="3" width="22.734375" style="2" customWidth="1"/>
    <col min="4" max="4" width="22.46484375" style="2" customWidth="1"/>
    <col min="5" max="5" width="12.375" style="2" customWidth="1"/>
    <col min="6" max="8" width="9.14453125" style="2"/>
    <col min="9" max="9" width="13.98828125" style="2" customWidth="1"/>
    <col min="10" max="11" width="11.97265625" style="2" bestFit="1" customWidth="1"/>
    <col min="12" max="12" width="20.3125" style="2" customWidth="1"/>
    <col min="13" max="49" width="16.54296875" style="2" customWidth="1"/>
    <col min="50" max="50" width="12.5078125" style="135" customWidth="1"/>
    <col min="51" max="16384" width="9.14453125" style="2"/>
  </cols>
  <sheetData>
    <row r="1" spans="1:49" s="3265" customFormat="1" ht="14.25">
      <c r="A1" s="3259" t="s">
        <v>672</v>
      </c>
      <c r="B1" s="3260"/>
      <c r="C1" s="3260"/>
      <c r="D1" s="3260"/>
      <c r="E1" s="3260"/>
      <c r="F1" s="3260"/>
      <c r="G1" s="3260"/>
      <c r="H1" s="3260"/>
      <c r="I1" s="3260"/>
      <c r="J1" s="3260"/>
      <c r="K1" s="3260"/>
      <c r="L1" s="3260"/>
      <c r="M1" s="3260"/>
      <c r="N1" s="3260"/>
      <c r="O1" s="3260"/>
    </row>
    <row r="2" spans="1:49" s="135" customFormat="1" ht="11.25">
      <c r="A2" s="2711" t="s">
        <v>2399</v>
      </c>
      <c r="B2" s="2711"/>
      <c r="C2" s="2704"/>
      <c r="D2" s="2704"/>
      <c r="E2" s="2704"/>
      <c r="F2" s="2704"/>
      <c r="G2" s="2704"/>
      <c r="H2" s="2704" t="s">
        <v>0</v>
      </c>
      <c r="I2" s="2714">
        <f>'Timing &amp; Flags'!I2</f>
        <v>1</v>
      </c>
      <c r="J2" s="2714">
        <f>'Timing &amp; Flags'!J2</f>
        <v>2</v>
      </c>
      <c r="K2" s="2714">
        <f>'Timing &amp; Flags'!K2</f>
        <v>3</v>
      </c>
      <c r="L2" s="2714">
        <f>'Timing &amp; Flags'!L2</f>
        <v>4</v>
      </c>
      <c r="M2" s="2714">
        <f>'Timing &amp; Flags'!M2</f>
        <v>5</v>
      </c>
      <c r="N2" s="2714">
        <f>'Timing &amp; Flags'!N2</f>
        <v>6</v>
      </c>
      <c r="O2" s="2714">
        <f>'Timing &amp; Flags'!O2</f>
        <v>7</v>
      </c>
      <c r="P2" s="2714">
        <f>'Timing &amp; Flags'!P2</f>
        <v>8</v>
      </c>
      <c r="Q2" s="2714">
        <f>'Timing &amp; Flags'!Q2</f>
        <v>9</v>
      </c>
      <c r="R2" s="2714">
        <f>'Timing &amp; Flags'!R2</f>
        <v>10</v>
      </c>
      <c r="S2" s="2714">
        <f>'Timing &amp; Flags'!S2</f>
        <v>11</v>
      </c>
      <c r="T2" s="2714">
        <f>'Timing &amp; Flags'!T2</f>
        <v>12</v>
      </c>
      <c r="U2" s="2714">
        <f>'Timing &amp; Flags'!U2</f>
        <v>13</v>
      </c>
      <c r="V2" s="2714">
        <f>'Timing &amp; Flags'!V2</f>
        <v>14</v>
      </c>
      <c r="W2" s="2714">
        <f>'Timing &amp; Flags'!W2</f>
        <v>15</v>
      </c>
      <c r="X2" s="2714">
        <f>'Timing &amp; Flags'!X2</f>
        <v>16</v>
      </c>
      <c r="Y2" s="2714">
        <f>'Timing &amp; Flags'!Y2</f>
        <v>17</v>
      </c>
      <c r="Z2" s="2714">
        <f>'Timing &amp; Flags'!Z2</f>
        <v>18</v>
      </c>
      <c r="AA2" s="2714">
        <f>'Timing &amp; Flags'!AA2</f>
        <v>19</v>
      </c>
      <c r="AB2" s="2714">
        <f>'Timing &amp; Flags'!AB2</f>
        <v>20</v>
      </c>
      <c r="AC2" s="2714">
        <f>'Timing &amp; Flags'!AC2</f>
        <v>21</v>
      </c>
      <c r="AD2" s="2714">
        <f>'Timing &amp; Flags'!AD2</f>
        <v>22</v>
      </c>
      <c r="AE2" s="2714">
        <f>'Timing &amp; Flags'!AE2</f>
        <v>23</v>
      </c>
      <c r="AF2" s="2714">
        <f>'Timing &amp; Flags'!AF2</f>
        <v>24</v>
      </c>
      <c r="AG2" s="2714">
        <f>'Timing &amp; Flags'!AG2</f>
        <v>25</v>
      </c>
      <c r="AH2" s="2714">
        <f>'Timing &amp; Flags'!AH2</f>
        <v>26</v>
      </c>
      <c r="AI2" s="2714">
        <f>'Timing &amp; Flags'!AI2</f>
        <v>27</v>
      </c>
      <c r="AJ2" s="2714">
        <f>'Timing &amp; Flags'!AJ2</f>
        <v>28</v>
      </c>
      <c r="AK2" s="2714">
        <f>'Timing &amp; Flags'!AK2</f>
        <v>29</v>
      </c>
      <c r="AL2" s="2714">
        <f>'Timing &amp; Flags'!AL2</f>
        <v>30</v>
      </c>
      <c r="AM2" s="2714">
        <f>'Timing &amp; Flags'!AM2</f>
        <v>31</v>
      </c>
      <c r="AN2" s="2714">
        <f>'Timing &amp; Flags'!AN2</f>
        <v>32</v>
      </c>
      <c r="AO2" s="2714">
        <f>'Timing &amp; Flags'!AO2</f>
        <v>33</v>
      </c>
      <c r="AP2" s="2714">
        <f>'Timing &amp; Flags'!AP2</f>
        <v>34</v>
      </c>
      <c r="AQ2" s="2714">
        <f>'Timing &amp; Flags'!AQ2</f>
        <v>35</v>
      </c>
      <c r="AR2" s="2714">
        <f>'Timing &amp; Flags'!AR2</f>
        <v>36</v>
      </c>
      <c r="AS2" s="2714">
        <f>'Timing &amp; Flags'!AS2</f>
        <v>37</v>
      </c>
      <c r="AT2" s="2714">
        <f>'Timing &amp; Flags'!AT2</f>
        <v>38</v>
      </c>
      <c r="AU2" s="2714">
        <f>'Timing &amp; Flags'!AU2</f>
        <v>39</v>
      </c>
      <c r="AV2" s="2714">
        <f>'Timing &amp; Flags'!AV2</f>
        <v>40</v>
      </c>
      <c r="AW2" s="2714">
        <f>'Timing &amp; Flags'!AW2</f>
        <v>41</v>
      </c>
    </row>
    <row r="3" spans="1:49" s="135" customFormat="1" ht="11.25">
      <c r="A3" s="2711" t="s">
        <v>2395</v>
      </c>
      <c r="B3" s="2704"/>
      <c r="C3" s="2704"/>
      <c r="D3" s="2704"/>
      <c r="E3" s="2704"/>
      <c r="F3" s="2704"/>
      <c r="G3" s="2704"/>
      <c r="H3" s="2704" t="s">
        <v>1</v>
      </c>
      <c r="I3" s="2719">
        <f>'Timing &amp; Flags'!I3</f>
        <v>46023</v>
      </c>
      <c r="J3" s="2719">
        <f>'Timing &amp; Flags'!J3</f>
        <v>46388</v>
      </c>
      <c r="K3" s="2719">
        <f>'Timing &amp; Flags'!K3</f>
        <v>46753</v>
      </c>
      <c r="L3" s="2719">
        <f>'Timing &amp; Flags'!L3</f>
        <v>47119</v>
      </c>
      <c r="M3" s="2719">
        <f>'Timing &amp; Flags'!M3</f>
        <v>47484</v>
      </c>
      <c r="N3" s="2719">
        <f>'Timing &amp; Flags'!N3</f>
        <v>47849</v>
      </c>
      <c r="O3" s="2719">
        <f>'Timing &amp; Flags'!O3</f>
        <v>48214</v>
      </c>
      <c r="P3" s="2719">
        <f>'Timing &amp; Flags'!P3</f>
        <v>48580</v>
      </c>
      <c r="Q3" s="2719">
        <f>'Timing &amp; Flags'!Q3</f>
        <v>48945</v>
      </c>
      <c r="R3" s="2719">
        <f>'Timing &amp; Flags'!R3</f>
        <v>49310</v>
      </c>
      <c r="S3" s="2719">
        <f>'Timing &amp; Flags'!S3</f>
        <v>49675</v>
      </c>
      <c r="T3" s="2719">
        <f>'Timing &amp; Flags'!T3</f>
        <v>50041</v>
      </c>
      <c r="U3" s="2719">
        <f>'Timing &amp; Flags'!U3</f>
        <v>50406</v>
      </c>
      <c r="V3" s="2719">
        <f>'Timing &amp; Flags'!V3</f>
        <v>50771</v>
      </c>
      <c r="W3" s="2719">
        <f>'Timing &amp; Flags'!W3</f>
        <v>51136</v>
      </c>
      <c r="X3" s="2719">
        <f>'Timing &amp; Flags'!X3</f>
        <v>51502</v>
      </c>
      <c r="Y3" s="2719">
        <f>'Timing &amp; Flags'!Y3</f>
        <v>51867</v>
      </c>
      <c r="Z3" s="2719">
        <f>'Timing &amp; Flags'!Z3</f>
        <v>52232</v>
      </c>
      <c r="AA3" s="2719">
        <f>'Timing &amp; Flags'!AA3</f>
        <v>52597</v>
      </c>
      <c r="AB3" s="2719">
        <f>'Timing &amp; Flags'!AB3</f>
        <v>52963</v>
      </c>
      <c r="AC3" s="2719">
        <f>'Timing &amp; Flags'!AC3</f>
        <v>53328</v>
      </c>
      <c r="AD3" s="2719">
        <f>'Timing &amp; Flags'!AD3</f>
        <v>53693</v>
      </c>
      <c r="AE3" s="2719">
        <f>'Timing &amp; Flags'!AE3</f>
        <v>54058</v>
      </c>
      <c r="AF3" s="2719">
        <f>'Timing &amp; Flags'!AF3</f>
        <v>54424</v>
      </c>
      <c r="AG3" s="2719">
        <f>'Timing &amp; Flags'!AG3</f>
        <v>54789</v>
      </c>
      <c r="AH3" s="2719">
        <f>'Timing &amp; Flags'!AH3</f>
        <v>55154</v>
      </c>
      <c r="AI3" s="2719">
        <f>'Timing &amp; Flags'!AI3</f>
        <v>55519</v>
      </c>
      <c r="AJ3" s="2719">
        <f>'Timing &amp; Flags'!AJ3</f>
        <v>55885</v>
      </c>
      <c r="AK3" s="2719">
        <f>'Timing &amp; Flags'!AK3</f>
        <v>56250</v>
      </c>
      <c r="AL3" s="2719">
        <f>'Timing &amp; Flags'!AL3</f>
        <v>56615</v>
      </c>
      <c r="AM3" s="2719">
        <f>'Timing &amp; Flags'!AM3</f>
        <v>56980</v>
      </c>
      <c r="AN3" s="2719">
        <f>'Timing &amp; Flags'!AN3</f>
        <v>57346</v>
      </c>
      <c r="AO3" s="2719">
        <f>'Timing &amp; Flags'!AO3</f>
        <v>57711</v>
      </c>
      <c r="AP3" s="2719">
        <f>'Timing &amp; Flags'!AP3</f>
        <v>58076</v>
      </c>
      <c r="AQ3" s="2719">
        <f>'Timing &amp; Flags'!AQ3</f>
        <v>58441</v>
      </c>
      <c r="AR3" s="2719">
        <f>'Timing &amp; Flags'!AR3</f>
        <v>58807</v>
      </c>
      <c r="AS3" s="2719">
        <f>'Timing &amp; Flags'!AS3</f>
        <v>59172</v>
      </c>
      <c r="AT3" s="2719">
        <f>'Timing &amp; Flags'!AT3</f>
        <v>59537</v>
      </c>
      <c r="AU3" s="2719">
        <f>'Timing &amp; Flags'!AU3</f>
        <v>59902</v>
      </c>
      <c r="AV3" s="2719">
        <f>'Timing &amp; Flags'!AV3</f>
        <v>60268</v>
      </c>
      <c r="AW3" s="2719">
        <f>'Timing &amp; Flags'!AW3</f>
        <v>60633</v>
      </c>
    </row>
    <row r="4" spans="1:49" s="135" customFormat="1" ht="11.25">
      <c r="A4" s="2704" t="s">
        <v>849</v>
      </c>
      <c r="B4" s="2704"/>
      <c r="C4" s="2704"/>
      <c r="D4" s="2704"/>
      <c r="E4" s="2704"/>
      <c r="F4" s="2704"/>
      <c r="G4" s="2704"/>
      <c r="H4" s="2704" t="s">
        <v>2</v>
      </c>
      <c r="I4" s="2722">
        <f>'Timing &amp; Flags'!I4</f>
        <v>46387</v>
      </c>
      <c r="J4" s="2722">
        <f>'Timing &amp; Flags'!J4</f>
        <v>46752</v>
      </c>
      <c r="K4" s="2722">
        <f>'Timing &amp; Flags'!K4</f>
        <v>47118</v>
      </c>
      <c r="L4" s="2722">
        <f>'Timing &amp; Flags'!L4</f>
        <v>47483</v>
      </c>
      <c r="M4" s="2722">
        <f>'Timing &amp; Flags'!M4</f>
        <v>47848</v>
      </c>
      <c r="N4" s="2722">
        <f>'Timing &amp; Flags'!N4</f>
        <v>48213</v>
      </c>
      <c r="O4" s="2722">
        <f>'Timing &amp; Flags'!O4</f>
        <v>48579</v>
      </c>
      <c r="P4" s="2722">
        <f>'Timing &amp; Flags'!P4</f>
        <v>48944</v>
      </c>
      <c r="Q4" s="2722">
        <f>'Timing &amp; Flags'!Q4</f>
        <v>49309</v>
      </c>
      <c r="R4" s="2722">
        <f>'Timing &amp; Flags'!R4</f>
        <v>49674</v>
      </c>
      <c r="S4" s="2722">
        <f>'Timing &amp; Flags'!S4</f>
        <v>50040</v>
      </c>
      <c r="T4" s="2722">
        <f>'Timing &amp; Flags'!T4</f>
        <v>50405</v>
      </c>
      <c r="U4" s="2722">
        <f>'Timing &amp; Flags'!U4</f>
        <v>50770</v>
      </c>
      <c r="V4" s="2722">
        <f>'Timing &amp; Flags'!V4</f>
        <v>51135</v>
      </c>
      <c r="W4" s="2722">
        <f>'Timing &amp; Flags'!W4</f>
        <v>51501</v>
      </c>
      <c r="X4" s="2722">
        <f>'Timing &amp; Flags'!X4</f>
        <v>51866</v>
      </c>
      <c r="Y4" s="2722">
        <f>'Timing &amp; Flags'!Y4</f>
        <v>52231</v>
      </c>
      <c r="Z4" s="2722">
        <f>'Timing &amp; Flags'!Z4</f>
        <v>52596</v>
      </c>
      <c r="AA4" s="2722">
        <f>'Timing &amp; Flags'!AA4</f>
        <v>52962</v>
      </c>
      <c r="AB4" s="2722">
        <f>'Timing &amp; Flags'!AB4</f>
        <v>53327</v>
      </c>
      <c r="AC4" s="2722">
        <f>'Timing &amp; Flags'!AC4</f>
        <v>53692</v>
      </c>
      <c r="AD4" s="2722">
        <f>'Timing &amp; Flags'!AD4</f>
        <v>54057</v>
      </c>
      <c r="AE4" s="2722">
        <f>'Timing &amp; Flags'!AE4</f>
        <v>54423</v>
      </c>
      <c r="AF4" s="2722">
        <f>'Timing &amp; Flags'!AF4</f>
        <v>54788</v>
      </c>
      <c r="AG4" s="2722">
        <f>'Timing &amp; Flags'!AG4</f>
        <v>55153</v>
      </c>
      <c r="AH4" s="2722">
        <f>'Timing &amp; Flags'!AH4</f>
        <v>55518</v>
      </c>
      <c r="AI4" s="2722">
        <f>'Timing &amp; Flags'!AI4</f>
        <v>55884</v>
      </c>
      <c r="AJ4" s="2722">
        <f>'Timing &amp; Flags'!AJ4</f>
        <v>56249</v>
      </c>
      <c r="AK4" s="2722">
        <f>'Timing &amp; Flags'!AK4</f>
        <v>56614</v>
      </c>
      <c r="AL4" s="2722">
        <f>'Timing &amp; Flags'!AL4</f>
        <v>56979</v>
      </c>
      <c r="AM4" s="2722">
        <f>'Timing &amp; Flags'!AM4</f>
        <v>57345</v>
      </c>
      <c r="AN4" s="2722">
        <f>'Timing &amp; Flags'!AN4</f>
        <v>57710</v>
      </c>
      <c r="AO4" s="2722">
        <f>'Timing &amp; Flags'!AO4</f>
        <v>58075</v>
      </c>
      <c r="AP4" s="2722">
        <f>'Timing &amp; Flags'!AP4</f>
        <v>58440</v>
      </c>
      <c r="AQ4" s="2722">
        <f>'Timing &amp; Flags'!AQ4</f>
        <v>58806</v>
      </c>
      <c r="AR4" s="2722">
        <f>'Timing &amp; Flags'!AR4</f>
        <v>59171</v>
      </c>
      <c r="AS4" s="2722">
        <f>'Timing &amp; Flags'!AS4</f>
        <v>59536</v>
      </c>
      <c r="AT4" s="2722">
        <f>'Timing &amp; Flags'!AT4</f>
        <v>59901</v>
      </c>
      <c r="AU4" s="2722">
        <f>'Timing &amp; Flags'!AU4</f>
        <v>60267</v>
      </c>
      <c r="AV4" s="2722">
        <f>'Timing &amp; Flags'!AV4</f>
        <v>60632</v>
      </c>
      <c r="AW4" s="2722">
        <f>'Timing &amp; Flags'!AW4</f>
        <v>60997</v>
      </c>
    </row>
    <row r="5" spans="1:49" s="135" customFormat="1" ht="11.25">
      <c r="A5" s="2704" t="s">
        <v>640</v>
      </c>
      <c r="B5" s="2704"/>
      <c r="C5" s="2704"/>
      <c r="D5" s="2704"/>
      <c r="E5" s="2704"/>
      <c r="F5" s="2704"/>
      <c r="G5" s="2704"/>
      <c r="H5" s="2704" t="s">
        <v>3</v>
      </c>
      <c r="I5" s="2723">
        <f ca="1">'Timing &amp; Flags'!I5</f>
        <v>365</v>
      </c>
      <c r="J5" s="2723">
        <f ca="1">'Timing &amp; Flags'!J5</f>
        <v>366</v>
      </c>
      <c r="K5" s="2723">
        <f ca="1">'Timing &amp; Flags'!K5</f>
        <v>365</v>
      </c>
      <c r="L5" s="2723">
        <f ca="1">'Timing &amp; Flags'!L5</f>
        <v>365</v>
      </c>
      <c r="M5" s="2723">
        <f ca="1">'Timing &amp; Flags'!M5</f>
        <v>365</v>
      </c>
      <c r="N5" s="2723">
        <f ca="1">'Timing &amp; Flags'!N5</f>
        <v>366</v>
      </c>
      <c r="O5" s="2723">
        <f ca="1">'Timing &amp; Flags'!O5</f>
        <v>365</v>
      </c>
      <c r="P5" s="2723">
        <f ca="1">'Timing &amp; Flags'!P5</f>
        <v>365</v>
      </c>
      <c r="Q5" s="2723">
        <f ca="1">'Timing &amp; Flags'!Q5</f>
        <v>365</v>
      </c>
      <c r="R5" s="2723">
        <f ca="1">'Timing &amp; Flags'!R5</f>
        <v>366</v>
      </c>
      <c r="S5" s="2723">
        <f ca="1">'Timing &amp; Flags'!S5</f>
        <v>365</v>
      </c>
      <c r="T5" s="2723">
        <f ca="1">'Timing &amp; Flags'!T5</f>
        <v>365</v>
      </c>
      <c r="U5" s="2723">
        <f ca="1">'Timing &amp; Flags'!U5</f>
        <v>365</v>
      </c>
      <c r="V5" s="2723">
        <f ca="1">'Timing &amp; Flags'!V5</f>
        <v>366</v>
      </c>
      <c r="W5" s="2723">
        <f ca="1">'Timing &amp; Flags'!W5</f>
        <v>365</v>
      </c>
      <c r="X5" s="2723">
        <f ca="1">'Timing &amp; Flags'!X5</f>
        <v>365</v>
      </c>
      <c r="Y5" s="2723">
        <f ca="1">'Timing &amp; Flags'!Y5</f>
        <v>365</v>
      </c>
      <c r="Z5" s="2723">
        <f ca="1">'Timing &amp; Flags'!Z5</f>
        <v>366</v>
      </c>
      <c r="AA5" s="2723">
        <f ca="1">'Timing &amp; Flags'!AA5</f>
        <v>365</v>
      </c>
      <c r="AB5" s="2723">
        <f ca="1">'Timing &amp; Flags'!AB5</f>
        <v>365</v>
      </c>
      <c r="AC5" s="2723">
        <f ca="1">'Timing &amp; Flags'!AC5</f>
        <v>365</v>
      </c>
      <c r="AD5" s="2723">
        <f ca="1">'Timing &amp; Flags'!AD5</f>
        <v>366</v>
      </c>
      <c r="AE5" s="2723">
        <f ca="1">'Timing &amp; Flags'!AE5</f>
        <v>365</v>
      </c>
      <c r="AF5" s="2723">
        <f ca="1">'Timing &amp; Flags'!AF5</f>
        <v>365</v>
      </c>
      <c r="AG5" s="2723">
        <f ca="1">'Timing &amp; Flags'!AG5</f>
        <v>365</v>
      </c>
      <c r="AH5" s="2723">
        <f ca="1">'Timing &amp; Flags'!AH5</f>
        <v>366</v>
      </c>
      <c r="AI5" s="2723">
        <f ca="1">'Timing &amp; Flags'!AI5</f>
        <v>365</v>
      </c>
      <c r="AJ5" s="2723">
        <f ca="1">'Timing &amp; Flags'!AJ5</f>
        <v>365</v>
      </c>
      <c r="AK5" s="2723">
        <f ca="1">'Timing &amp; Flags'!AK5</f>
        <v>365</v>
      </c>
      <c r="AL5" s="2723">
        <f ca="1">'Timing &amp; Flags'!AL5</f>
        <v>365</v>
      </c>
      <c r="AM5" s="2723">
        <f ca="1">'Timing &amp; Flags'!AM5</f>
        <v>365</v>
      </c>
      <c r="AN5" s="2723">
        <f ca="1">'Timing &amp; Flags'!AN5</f>
        <v>365</v>
      </c>
      <c r="AO5" s="2723">
        <f ca="1">'Timing &amp; Flags'!AO5</f>
        <v>365</v>
      </c>
      <c r="AP5" s="2723">
        <f ca="1">'Timing &amp; Flags'!AP5</f>
        <v>365</v>
      </c>
      <c r="AQ5" s="2723">
        <f ca="1">'Timing &amp; Flags'!AQ5</f>
        <v>365</v>
      </c>
      <c r="AR5" s="2723">
        <f ca="1">'Timing &amp; Flags'!AR5</f>
        <v>365</v>
      </c>
      <c r="AS5" s="2723">
        <f ca="1">'Timing &amp; Flags'!AS5</f>
        <v>365</v>
      </c>
      <c r="AT5" s="2723">
        <f ca="1">'Timing &amp; Flags'!AT5</f>
        <v>365</v>
      </c>
      <c r="AU5" s="2723">
        <f ca="1">'Timing &amp; Flags'!AU5</f>
        <v>365</v>
      </c>
      <c r="AV5" s="2723">
        <f ca="1">'Timing &amp; Flags'!AV5</f>
        <v>365</v>
      </c>
      <c r="AW5" s="2723">
        <f ca="1">'Timing &amp; Flags'!AW5</f>
        <v>365</v>
      </c>
    </row>
    <row r="7" spans="1:49">
      <c r="A7" s="1" t="s">
        <v>258</v>
      </c>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9" spans="1:49">
      <c r="B9" s="10" t="s">
        <v>210</v>
      </c>
      <c r="F9" s="13"/>
    </row>
    <row r="10" spans="1:49">
      <c r="B10" s="50" t="s">
        <v>58</v>
      </c>
    </row>
    <row r="11" spans="1:49">
      <c r="B11" s="2" t="s">
        <v>59</v>
      </c>
      <c r="C11" s="15" t="s">
        <v>60</v>
      </c>
      <c r="D11" s="41">
        <f>SUM(I11:AI11)</f>
        <v>1</v>
      </c>
      <c r="I11" s="41">
        <f>'Timing &amp; Flags'!I36</f>
        <v>1</v>
      </c>
      <c r="J11" s="41">
        <f>'Timing &amp; Flags'!J36</f>
        <v>0</v>
      </c>
      <c r="K11" s="41">
        <f>'Timing &amp; Flags'!K36</f>
        <v>0</v>
      </c>
      <c r="L11" s="41">
        <f>'Timing &amp; Flags'!L36</f>
        <v>0</v>
      </c>
      <c r="M11" s="41">
        <f>'Timing &amp; Flags'!M36</f>
        <v>0</v>
      </c>
      <c r="N11" s="41">
        <f>'Timing &amp; Flags'!N36</f>
        <v>0</v>
      </c>
      <c r="O11" s="41">
        <f>'Timing &amp; Flags'!O36</f>
        <v>0</v>
      </c>
      <c r="P11" s="41">
        <f>'Timing &amp; Flags'!P36</f>
        <v>0</v>
      </c>
      <c r="Q11" s="41">
        <f>'Timing &amp; Flags'!Q36</f>
        <v>0</v>
      </c>
      <c r="R11" s="41">
        <f>'Timing &amp; Flags'!R36</f>
        <v>0</v>
      </c>
      <c r="S11" s="41">
        <f>'Timing &amp; Flags'!S36</f>
        <v>0</v>
      </c>
      <c r="T11" s="41">
        <f>'Timing &amp; Flags'!T36</f>
        <v>0</v>
      </c>
      <c r="U11" s="41">
        <f>'Timing &amp; Flags'!U36</f>
        <v>0</v>
      </c>
      <c r="V11" s="41">
        <f>'Timing &amp; Flags'!V36</f>
        <v>0</v>
      </c>
      <c r="W11" s="41">
        <f>'Timing &amp; Flags'!W36</f>
        <v>0</v>
      </c>
      <c r="X11" s="41">
        <f>'Timing &amp; Flags'!X36</f>
        <v>0</v>
      </c>
      <c r="Y11" s="41">
        <f>'Timing &amp; Flags'!Y36</f>
        <v>0</v>
      </c>
      <c r="Z11" s="41">
        <f>'Timing &amp; Flags'!Z36</f>
        <v>0</v>
      </c>
      <c r="AA11" s="41">
        <f>'Timing &amp; Flags'!AA36</f>
        <v>0</v>
      </c>
      <c r="AB11" s="41">
        <f>'Timing &amp; Flags'!AB36</f>
        <v>0</v>
      </c>
      <c r="AC11" s="41">
        <f>'Timing &amp; Flags'!AC36</f>
        <v>0</v>
      </c>
      <c r="AD11" s="41">
        <f>'Timing &amp; Flags'!AD36</f>
        <v>0</v>
      </c>
      <c r="AE11" s="41">
        <f>'Timing &amp; Flags'!AE36</f>
        <v>0</v>
      </c>
      <c r="AF11" s="41">
        <f>'Timing &amp; Flags'!AF36</f>
        <v>0</v>
      </c>
      <c r="AG11" s="41">
        <f>'Timing &amp; Flags'!AG36</f>
        <v>0</v>
      </c>
      <c r="AH11" s="41">
        <f>'Timing &amp; Flags'!AH36</f>
        <v>0</v>
      </c>
      <c r="AI11" s="41">
        <f>'Timing &amp; Flags'!AI36</f>
        <v>0</v>
      </c>
      <c r="AJ11" s="41">
        <f>'Timing &amp; Flags'!AJ36</f>
        <v>0</v>
      </c>
      <c r="AK11" s="41">
        <f>'Timing &amp; Flags'!AK36</f>
        <v>0</v>
      </c>
      <c r="AL11" s="41">
        <f>'Timing &amp; Flags'!AL36</f>
        <v>0</v>
      </c>
      <c r="AM11" s="41">
        <f>'Timing &amp; Flags'!AM36</f>
        <v>0</v>
      </c>
      <c r="AN11" s="41">
        <f>'Timing &amp; Flags'!AN36</f>
        <v>0</v>
      </c>
      <c r="AO11" s="41">
        <f>'Timing &amp; Flags'!AO36</f>
        <v>0</v>
      </c>
      <c r="AP11" s="41">
        <f>'Timing &amp; Flags'!AP36</f>
        <v>0</v>
      </c>
      <c r="AQ11" s="41">
        <f>'Timing &amp; Flags'!AQ36</f>
        <v>0</v>
      </c>
      <c r="AR11" s="41">
        <f>'Timing &amp; Flags'!AR36</f>
        <v>0</v>
      </c>
      <c r="AS11" s="41">
        <f>'Timing &amp; Flags'!AS36</f>
        <v>0</v>
      </c>
      <c r="AT11" s="41">
        <f>'Timing &amp; Flags'!AT36</f>
        <v>0</v>
      </c>
      <c r="AU11" s="41">
        <f>'Timing &amp; Flags'!AU36</f>
        <v>0</v>
      </c>
      <c r="AV11" s="41">
        <f>'Timing &amp; Flags'!AV36</f>
        <v>0</v>
      </c>
      <c r="AW11" s="41">
        <f>'Timing &amp; Flags'!AW36</f>
        <v>0</v>
      </c>
    </row>
    <row r="12" spans="1:49">
      <c r="B12" s="2" t="s">
        <v>61</v>
      </c>
      <c r="C12" s="15" t="s">
        <v>60</v>
      </c>
      <c r="D12" s="41">
        <f>SUM(I12:AI12)</f>
        <v>3</v>
      </c>
      <c r="I12" s="41">
        <f>'Timing &amp; Flags'!I37</f>
        <v>1</v>
      </c>
      <c r="J12" s="41">
        <f>'Timing &amp; Flags'!J37</f>
        <v>1</v>
      </c>
      <c r="K12" s="41">
        <f>'Timing &amp; Flags'!K37</f>
        <v>1</v>
      </c>
      <c r="L12" s="41">
        <f>'Timing &amp; Flags'!L37</f>
        <v>0</v>
      </c>
      <c r="M12" s="41">
        <f>'Timing &amp; Flags'!M37</f>
        <v>0</v>
      </c>
      <c r="N12" s="41">
        <f>'Timing &amp; Flags'!N37</f>
        <v>0</v>
      </c>
      <c r="O12" s="41">
        <f>'Timing &amp; Flags'!O37</f>
        <v>0</v>
      </c>
      <c r="P12" s="41">
        <f>'Timing &amp; Flags'!P37</f>
        <v>0</v>
      </c>
      <c r="Q12" s="41">
        <f>'Timing &amp; Flags'!Q37</f>
        <v>0</v>
      </c>
      <c r="R12" s="41">
        <f>'Timing &amp; Flags'!R37</f>
        <v>0</v>
      </c>
      <c r="S12" s="41">
        <f>'Timing &amp; Flags'!S37</f>
        <v>0</v>
      </c>
      <c r="T12" s="41">
        <f>'Timing &amp; Flags'!T37</f>
        <v>0</v>
      </c>
      <c r="U12" s="41">
        <f>'Timing &amp; Flags'!U37</f>
        <v>0</v>
      </c>
      <c r="V12" s="41">
        <f>'Timing &amp; Flags'!V37</f>
        <v>0</v>
      </c>
      <c r="W12" s="41">
        <f>'Timing &amp; Flags'!W37</f>
        <v>0</v>
      </c>
      <c r="X12" s="41">
        <f>'Timing &amp; Flags'!X37</f>
        <v>0</v>
      </c>
      <c r="Y12" s="41">
        <f>'Timing &amp; Flags'!Y37</f>
        <v>0</v>
      </c>
      <c r="Z12" s="41">
        <f>'Timing &amp; Flags'!Z37</f>
        <v>0</v>
      </c>
      <c r="AA12" s="41">
        <f>'Timing &amp; Flags'!AA37</f>
        <v>0</v>
      </c>
      <c r="AB12" s="41">
        <f>'Timing &amp; Flags'!AB37</f>
        <v>0</v>
      </c>
      <c r="AC12" s="41">
        <f>'Timing &amp; Flags'!AC37</f>
        <v>0</v>
      </c>
      <c r="AD12" s="41">
        <f>'Timing &amp; Flags'!AD37</f>
        <v>0</v>
      </c>
      <c r="AE12" s="41">
        <f>'Timing &amp; Flags'!AE37</f>
        <v>0</v>
      </c>
      <c r="AF12" s="41">
        <f>'Timing &amp; Flags'!AF37</f>
        <v>0</v>
      </c>
      <c r="AG12" s="41">
        <f>'Timing &amp; Flags'!AG37</f>
        <v>0</v>
      </c>
      <c r="AH12" s="41">
        <f>'Timing &amp; Flags'!AH37</f>
        <v>0</v>
      </c>
      <c r="AI12" s="41">
        <f>'Timing &amp; Flags'!AI37</f>
        <v>0</v>
      </c>
      <c r="AJ12" s="41">
        <f>'Timing &amp; Flags'!AJ37</f>
        <v>0</v>
      </c>
      <c r="AK12" s="41">
        <f>'Timing &amp; Flags'!AK37</f>
        <v>0</v>
      </c>
      <c r="AL12" s="41">
        <f>'Timing &amp; Flags'!AL37</f>
        <v>0</v>
      </c>
      <c r="AM12" s="41">
        <f>'Timing &amp; Flags'!AM37</f>
        <v>0</v>
      </c>
      <c r="AN12" s="41">
        <f>'Timing &amp; Flags'!AN37</f>
        <v>0</v>
      </c>
      <c r="AO12" s="41">
        <f>'Timing &amp; Flags'!AO37</f>
        <v>0</v>
      </c>
      <c r="AP12" s="41">
        <f>'Timing &amp; Flags'!AP37</f>
        <v>0</v>
      </c>
      <c r="AQ12" s="41">
        <f>'Timing &amp; Flags'!AQ37</f>
        <v>0</v>
      </c>
      <c r="AR12" s="41">
        <f>'Timing &amp; Flags'!AR37</f>
        <v>0</v>
      </c>
      <c r="AS12" s="41">
        <f>'Timing &amp; Flags'!AS37</f>
        <v>0</v>
      </c>
      <c r="AT12" s="41">
        <f>'Timing &amp; Flags'!AT37</f>
        <v>0</v>
      </c>
      <c r="AU12" s="41">
        <f>'Timing &amp; Flags'!AU37</f>
        <v>0</v>
      </c>
      <c r="AV12" s="41">
        <f>'Timing &amp; Flags'!AV37</f>
        <v>0</v>
      </c>
      <c r="AW12" s="41">
        <f>'Timing &amp; Flags'!AW37</f>
        <v>0</v>
      </c>
    </row>
    <row r="13" spans="1:49">
      <c r="B13" s="2" t="s">
        <v>62</v>
      </c>
      <c r="C13" s="15" t="s">
        <v>60</v>
      </c>
      <c r="D13" s="41">
        <f>SUM(I13:AI13)</f>
        <v>1</v>
      </c>
      <c r="F13" s="14"/>
      <c r="I13" s="41">
        <f>'Timing &amp; Flags'!I38</f>
        <v>0</v>
      </c>
      <c r="J13" s="41">
        <f>'Timing &amp; Flags'!J38</f>
        <v>0</v>
      </c>
      <c r="K13" s="41">
        <f>'Timing &amp; Flags'!K38</f>
        <v>1</v>
      </c>
      <c r="L13" s="41">
        <f>'Timing &amp; Flags'!L38</f>
        <v>0</v>
      </c>
      <c r="M13" s="41">
        <f>'Timing &amp; Flags'!M38</f>
        <v>0</v>
      </c>
      <c r="N13" s="41">
        <f>'Timing &amp; Flags'!N38</f>
        <v>0</v>
      </c>
      <c r="O13" s="41">
        <f>'Timing &amp; Flags'!O38</f>
        <v>0</v>
      </c>
      <c r="P13" s="41">
        <f>'Timing &amp; Flags'!P38</f>
        <v>0</v>
      </c>
      <c r="Q13" s="41">
        <f>'Timing &amp; Flags'!Q38</f>
        <v>0</v>
      </c>
      <c r="R13" s="41">
        <f>'Timing &amp; Flags'!R38</f>
        <v>0</v>
      </c>
      <c r="S13" s="41">
        <f>'Timing &amp; Flags'!S38</f>
        <v>0</v>
      </c>
      <c r="T13" s="41">
        <f>'Timing &amp; Flags'!T38</f>
        <v>0</v>
      </c>
      <c r="U13" s="41">
        <f>'Timing &amp; Flags'!U38</f>
        <v>0</v>
      </c>
      <c r="V13" s="41">
        <f>'Timing &amp; Flags'!V38</f>
        <v>0</v>
      </c>
      <c r="W13" s="41">
        <f>'Timing &amp; Flags'!W38</f>
        <v>0</v>
      </c>
      <c r="X13" s="41">
        <f>'Timing &amp; Flags'!X38</f>
        <v>0</v>
      </c>
      <c r="Y13" s="41">
        <f>'Timing &amp; Flags'!Y38</f>
        <v>0</v>
      </c>
      <c r="Z13" s="41">
        <f>'Timing &amp; Flags'!Z38</f>
        <v>0</v>
      </c>
      <c r="AA13" s="41">
        <f>'Timing &amp; Flags'!AA38</f>
        <v>0</v>
      </c>
      <c r="AB13" s="41">
        <f>'Timing &amp; Flags'!AB38</f>
        <v>0</v>
      </c>
      <c r="AC13" s="41">
        <f>'Timing &amp; Flags'!AC38</f>
        <v>0</v>
      </c>
      <c r="AD13" s="41">
        <f>'Timing &amp; Flags'!AD38</f>
        <v>0</v>
      </c>
      <c r="AE13" s="41">
        <f>'Timing &amp; Flags'!AE38</f>
        <v>0</v>
      </c>
      <c r="AF13" s="41">
        <f>'Timing &amp; Flags'!AF38</f>
        <v>0</v>
      </c>
      <c r="AG13" s="41">
        <f>'Timing &amp; Flags'!AG38</f>
        <v>0</v>
      </c>
      <c r="AH13" s="41">
        <f>'Timing &amp; Flags'!AH38</f>
        <v>0</v>
      </c>
      <c r="AI13" s="41">
        <f>'Timing &amp; Flags'!AI38</f>
        <v>0</v>
      </c>
      <c r="AJ13" s="41">
        <f>'Timing &amp; Flags'!AJ38</f>
        <v>0</v>
      </c>
      <c r="AK13" s="41">
        <f>'Timing &amp; Flags'!AK38</f>
        <v>0</v>
      </c>
      <c r="AL13" s="41">
        <f>'Timing &amp; Flags'!AL38</f>
        <v>0</v>
      </c>
      <c r="AM13" s="41">
        <f>'Timing &amp; Flags'!AM38</f>
        <v>0</v>
      </c>
      <c r="AN13" s="41">
        <f>'Timing &amp; Flags'!AN38</f>
        <v>0</v>
      </c>
      <c r="AO13" s="41">
        <f>'Timing &amp; Flags'!AO38</f>
        <v>0</v>
      </c>
      <c r="AP13" s="41">
        <f>'Timing &amp; Flags'!AP38</f>
        <v>0</v>
      </c>
      <c r="AQ13" s="41">
        <f>'Timing &amp; Flags'!AQ38</f>
        <v>0</v>
      </c>
      <c r="AR13" s="41">
        <f>'Timing &amp; Flags'!AR38</f>
        <v>0</v>
      </c>
      <c r="AS13" s="41">
        <f>'Timing &amp; Flags'!AS38</f>
        <v>0</v>
      </c>
      <c r="AT13" s="41">
        <f>'Timing &amp; Flags'!AT38</f>
        <v>0</v>
      </c>
      <c r="AU13" s="41">
        <f>'Timing &amp; Flags'!AU38</f>
        <v>0</v>
      </c>
      <c r="AV13" s="41">
        <f>'Timing &amp; Flags'!AV38</f>
        <v>0</v>
      </c>
      <c r="AW13" s="41">
        <f>'Timing &amp; Flags'!AW38</f>
        <v>0</v>
      </c>
    </row>
    <row r="15" spans="1:49">
      <c r="B15" s="50" t="s">
        <v>64</v>
      </c>
    </row>
    <row r="16" spans="1:49">
      <c r="B16" s="2" t="s">
        <v>65</v>
      </c>
      <c r="C16" s="15" t="s">
        <v>60</v>
      </c>
      <c r="D16" s="41">
        <f>SUM(I16:AI16)</f>
        <v>1</v>
      </c>
      <c r="I16" s="41">
        <f>'Timing &amp; Flags'!I42</f>
        <v>0</v>
      </c>
      <c r="J16" s="41">
        <f>'Timing &amp; Flags'!J42</f>
        <v>0</v>
      </c>
      <c r="K16" s="41">
        <f>'Timing &amp; Flags'!K42</f>
        <v>0</v>
      </c>
      <c r="L16" s="41">
        <f>'Timing &amp; Flags'!L42</f>
        <v>1</v>
      </c>
      <c r="M16" s="41">
        <f>'Timing &amp; Flags'!M42</f>
        <v>0</v>
      </c>
      <c r="N16" s="41">
        <f>'Timing &amp; Flags'!N42</f>
        <v>0</v>
      </c>
      <c r="O16" s="41">
        <f>'Timing &amp; Flags'!O42</f>
        <v>0</v>
      </c>
      <c r="P16" s="41">
        <f>'Timing &amp; Flags'!P42</f>
        <v>0</v>
      </c>
      <c r="Q16" s="41">
        <f>'Timing &amp; Flags'!Q42</f>
        <v>0</v>
      </c>
      <c r="R16" s="41">
        <f>'Timing &amp; Flags'!R42</f>
        <v>0</v>
      </c>
      <c r="S16" s="41">
        <f>'Timing &amp; Flags'!S42</f>
        <v>0</v>
      </c>
      <c r="T16" s="41">
        <f>'Timing &amp; Flags'!T42</f>
        <v>0</v>
      </c>
      <c r="U16" s="41">
        <f>'Timing &amp; Flags'!U42</f>
        <v>0</v>
      </c>
      <c r="V16" s="41">
        <f>'Timing &amp; Flags'!V42</f>
        <v>0</v>
      </c>
      <c r="W16" s="41">
        <f>'Timing &amp; Flags'!W42</f>
        <v>0</v>
      </c>
      <c r="X16" s="41">
        <f>'Timing &amp; Flags'!X42</f>
        <v>0</v>
      </c>
      <c r="Y16" s="41">
        <f>'Timing &amp; Flags'!Y42</f>
        <v>0</v>
      </c>
      <c r="Z16" s="41">
        <f>'Timing &amp; Flags'!Z42</f>
        <v>0</v>
      </c>
      <c r="AA16" s="41">
        <f>'Timing &amp; Flags'!AA42</f>
        <v>0</v>
      </c>
      <c r="AB16" s="41">
        <f>'Timing &amp; Flags'!AB42</f>
        <v>0</v>
      </c>
      <c r="AC16" s="41">
        <f>'Timing &amp; Flags'!AC42</f>
        <v>0</v>
      </c>
      <c r="AD16" s="41">
        <f>'Timing &amp; Flags'!AD42</f>
        <v>0</v>
      </c>
      <c r="AE16" s="41">
        <f>'Timing &amp; Flags'!AE42</f>
        <v>0</v>
      </c>
      <c r="AF16" s="41">
        <f>'Timing &amp; Flags'!AF42</f>
        <v>0</v>
      </c>
      <c r="AG16" s="41">
        <f>'Timing &amp; Flags'!AG42</f>
        <v>0</v>
      </c>
      <c r="AH16" s="41">
        <f>'Timing &amp; Flags'!AH42</f>
        <v>0</v>
      </c>
      <c r="AI16" s="41">
        <f>'Timing &amp; Flags'!AI42</f>
        <v>0</v>
      </c>
      <c r="AJ16" s="41">
        <f>'Timing &amp; Flags'!AJ42</f>
        <v>0</v>
      </c>
      <c r="AK16" s="41">
        <f>'Timing &amp; Flags'!AK42</f>
        <v>0</v>
      </c>
      <c r="AL16" s="41">
        <f>'Timing &amp; Flags'!AL42</f>
        <v>0</v>
      </c>
      <c r="AM16" s="41">
        <f>'Timing &amp; Flags'!AM42</f>
        <v>0</v>
      </c>
      <c r="AN16" s="41">
        <f>'Timing &amp; Flags'!AN42</f>
        <v>0</v>
      </c>
      <c r="AO16" s="41">
        <f>'Timing &amp; Flags'!AO42</f>
        <v>0</v>
      </c>
      <c r="AP16" s="41">
        <f>'Timing &amp; Flags'!AP42</f>
        <v>0</v>
      </c>
      <c r="AQ16" s="41">
        <f>'Timing &amp; Flags'!AQ42</f>
        <v>0</v>
      </c>
      <c r="AR16" s="41">
        <f>'Timing &amp; Flags'!AR42</f>
        <v>0</v>
      </c>
      <c r="AS16" s="41">
        <f>'Timing &amp; Flags'!AS42</f>
        <v>0</v>
      </c>
      <c r="AT16" s="41">
        <f>'Timing &amp; Flags'!AT42</f>
        <v>0</v>
      </c>
      <c r="AU16" s="41">
        <f>'Timing &amp; Flags'!AU42</f>
        <v>0</v>
      </c>
      <c r="AV16" s="41">
        <f>'Timing &amp; Flags'!AV42</f>
        <v>0</v>
      </c>
      <c r="AW16" s="41">
        <f>'Timing &amp; Flags'!AW42</f>
        <v>0</v>
      </c>
    </row>
    <row r="17" spans="1:52">
      <c r="B17" s="2" t="s">
        <v>66</v>
      </c>
      <c r="C17" s="15" t="s">
        <v>60</v>
      </c>
      <c r="D17" s="41">
        <f>SUM(I17:AI17)</f>
        <v>24</v>
      </c>
      <c r="I17" s="41">
        <f>'Timing &amp; Flags'!I43</f>
        <v>0</v>
      </c>
      <c r="J17" s="41">
        <f>'Timing &amp; Flags'!J43</f>
        <v>0</v>
      </c>
      <c r="K17" s="41">
        <f>'Timing &amp; Flags'!K43</f>
        <v>0</v>
      </c>
      <c r="L17" s="41">
        <f>'Timing &amp; Flags'!L43</f>
        <v>1</v>
      </c>
      <c r="M17" s="41">
        <f>'Timing &amp; Flags'!M43</f>
        <v>1</v>
      </c>
      <c r="N17" s="41">
        <f>'Timing &amp; Flags'!N43</f>
        <v>1</v>
      </c>
      <c r="O17" s="41">
        <f>'Timing &amp; Flags'!O43</f>
        <v>1</v>
      </c>
      <c r="P17" s="41">
        <f>'Timing &amp; Flags'!P43</f>
        <v>1</v>
      </c>
      <c r="Q17" s="41">
        <f>'Timing &amp; Flags'!Q43</f>
        <v>1</v>
      </c>
      <c r="R17" s="41">
        <f>'Timing &amp; Flags'!R43</f>
        <v>1</v>
      </c>
      <c r="S17" s="41">
        <f>'Timing &amp; Flags'!S43</f>
        <v>1</v>
      </c>
      <c r="T17" s="41">
        <f>'Timing &amp; Flags'!T43</f>
        <v>1</v>
      </c>
      <c r="U17" s="41">
        <f>'Timing &amp; Flags'!U43</f>
        <v>1</v>
      </c>
      <c r="V17" s="41">
        <f>'Timing &amp; Flags'!V43</f>
        <v>1</v>
      </c>
      <c r="W17" s="41">
        <f>'Timing &amp; Flags'!W43</f>
        <v>1</v>
      </c>
      <c r="X17" s="41">
        <f>'Timing &amp; Flags'!X43</f>
        <v>1</v>
      </c>
      <c r="Y17" s="41">
        <f>'Timing &amp; Flags'!Y43</f>
        <v>1</v>
      </c>
      <c r="Z17" s="41">
        <f>'Timing &amp; Flags'!Z43</f>
        <v>1</v>
      </c>
      <c r="AA17" s="41">
        <f>'Timing &amp; Flags'!AA43</f>
        <v>1</v>
      </c>
      <c r="AB17" s="41">
        <f>'Timing &amp; Flags'!AB43</f>
        <v>1</v>
      </c>
      <c r="AC17" s="41">
        <f>'Timing &amp; Flags'!AC43</f>
        <v>1</v>
      </c>
      <c r="AD17" s="41">
        <f>'Timing &amp; Flags'!AD43</f>
        <v>1</v>
      </c>
      <c r="AE17" s="41">
        <f>'Timing &amp; Flags'!AE43</f>
        <v>1</v>
      </c>
      <c r="AF17" s="41">
        <f>'Timing &amp; Flags'!AF43</f>
        <v>1</v>
      </c>
      <c r="AG17" s="41">
        <f>'Timing &amp; Flags'!AG43</f>
        <v>1</v>
      </c>
      <c r="AH17" s="41">
        <f>'Timing &amp; Flags'!AH43</f>
        <v>1</v>
      </c>
      <c r="AI17" s="41">
        <f>'Timing &amp; Flags'!AI43</f>
        <v>1</v>
      </c>
      <c r="AJ17" s="41">
        <f>'Timing &amp; Flags'!AJ43</f>
        <v>1</v>
      </c>
      <c r="AK17" s="41">
        <f>'Timing &amp; Flags'!AK43</f>
        <v>1</v>
      </c>
      <c r="AL17" s="41">
        <f>'Timing &amp; Flags'!AL43</f>
        <v>1</v>
      </c>
      <c r="AM17" s="41">
        <f>'Timing &amp; Flags'!AM43</f>
        <v>0</v>
      </c>
      <c r="AN17" s="41">
        <f>'Timing &amp; Flags'!AN43</f>
        <v>0</v>
      </c>
      <c r="AO17" s="41">
        <f>'Timing &amp; Flags'!AO43</f>
        <v>0</v>
      </c>
      <c r="AP17" s="41">
        <f>'Timing &amp; Flags'!AP43</f>
        <v>0</v>
      </c>
      <c r="AQ17" s="41">
        <f>'Timing &amp; Flags'!AQ43</f>
        <v>0</v>
      </c>
      <c r="AR17" s="41">
        <f>'Timing &amp; Flags'!AR43</f>
        <v>0</v>
      </c>
      <c r="AS17" s="41">
        <f>'Timing &amp; Flags'!AS43</f>
        <v>0</v>
      </c>
      <c r="AT17" s="41">
        <f>'Timing &amp; Flags'!AT43</f>
        <v>0</v>
      </c>
      <c r="AU17" s="41">
        <f>'Timing &amp; Flags'!AU43</f>
        <v>0</v>
      </c>
      <c r="AV17" s="41">
        <f>'Timing &amp; Flags'!AV43</f>
        <v>0</v>
      </c>
      <c r="AW17" s="41">
        <f>'Timing &amp; Flags'!AW43</f>
        <v>0</v>
      </c>
    </row>
    <row r="18" spans="1:52">
      <c r="B18" s="2" t="s">
        <v>67</v>
      </c>
      <c r="C18" s="15" t="s">
        <v>60</v>
      </c>
      <c r="D18" s="41">
        <f>SUM(I18:AI18)</f>
        <v>0</v>
      </c>
      <c r="I18" s="41">
        <f>'Timing &amp; Flags'!I44</f>
        <v>0</v>
      </c>
      <c r="J18" s="41">
        <f>'Timing &amp; Flags'!J44</f>
        <v>0</v>
      </c>
      <c r="K18" s="41">
        <f>'Timing &amp; Flags'!K44</f>
        <v>0</v>
      </c>
      <c r="L18" s="41">
        <f>'Timing &amp; Flags'!L44</f>
        <v>0</v>
      </c>
      <c r="M18" s="41">
        <f>'Timing &amp; Flags'!M44</f>
        <v>0</v>
      </c>
      <c r="N18" s="41">
        <f>'Timing &amp; Flags'!N44</f>
        <v>0</v>
      </c>
      <c r="O18" s="41">
        <f>'Timing &amp; Flags'!O44</f>
        <v>0</v>
      </c>
      <c r="P18" s="41">
        <f>'Timing &amp; Flags'!P44</f>
        <v>0</v>
      </c>
      <c r="Q18" s="41">
        <f>'Timing &amp; Flags'!Q44</f>
        <v>0</v>
      </c>
      <c r="R18" s="41">
        <f>'Timing &amp; Flags'!R44</f>
        <v>0</v>
      </c>
      <c r="S18" s="41">
        <f>'Timing &amp; Flags'!S44</f>
        <v>0</v>
      </c>
      <c r="T18" s="41">
        <f>'Timing &amp; Flags'!T44</f>
        <v>0</v>
      </c>
      <c r="U18" s="41">
        <f>'Timing &amp; Flags'!U44</f>
        <v>0</v>
      </c>
      <c r="V18" s="41">
        <f>'Timing &amp; Flags'!V44</f>
        <v>0</v>
      </c>
      <c r="W18" s="41">
        <f>'Timing &amp; Flags'!W44</f>
        <v>0</v>
      </c>
      <c r="X18" s="41">
        <f>'Timing &amp; Flags'!X44</f>
        <v>0</v>
      </c>
      <c r="Y18" s="41">
        <f>'Timing &amp; Flags'!Y44</f>
        <v>0</v>
      </c>
      <c r="Z18" s="41">
        <f>'Timing &amp; Flags'!Z44</f>
        <v>0</v>
      </c>
      <c r="AA18" s="41">
        <f>'Timing &amp; Flags'!AA44</f>
        <v>0</v>
      </c>
      <c r="AB18" s="41">
        <f>'Timing &amp; Flags'!AB44</f>
        <v>0</v>
      </c>
      <c r="AC18" s="41">
        <f>'Timing &amp; Flags'!AC44</f>
        <v>0</v>
      </c>
      <c r="AD18" s="41">
        <f>'Timing &amp; Flags'!AD44</f>
        <v>0</v>
      </c>
      <c r="AE18" s="41">
        <f>'Timing &amp; Flags'!AE44</f>
        <v>0</v>
      </c>
      <c r="AF18" s="41">
        <f>'Timing &amp; Flags'!AF44</f>
        <v>0</v>
      </c>
      <c r="AG18" s="41">
        <f>'Timing &amp; Flags'!AG44</f>
        <v>0</v>
      </c>
      <c r="AH18" s="41">
        <f>'Timing &amp; Flags'!AH44</f>
        <v>0</v>
      </c>
      <c r="AI18" s="41">
        <f>'Timing &amp; Flags'!AI44</f>
        <v>0</v>
      </c>
      <c r="AJ18" s="41">
        <f>'Timing &amp; Flags'!AJ44</f>
        <v>0</v>
      </c>
      <c r="AK18" s="41">
        <f>'Timing &amp; Flags'!AK44</f>
        <v>0</v>
      </c>
      <c r="AL18" s="41">
        <f>'Timing &amp; Flags'!AL44</f>
        <v>1</v>
      </c>
      <c r="AM18" s="41">
        <f>'Timing &amp; Flags'!AM44</f>
        <v>0</v>
      </c>
      <c r="AN18" s="41">
        <f>'Timing &amp; Flags'!AN44</f>
        <v>0</v>
      </c>
      <c r="AO18" s="41">
        <f>'Timing &amp; Flags'!AO44</f>
        <v>0</v>
      </c>
      <c r="AP18" s="41">
        <f>'Timing &amp; Flags'!AP44</f>
        <v>0</v>
      </c>
      <c r="AQ18" s="41">
        <f>'Timing &amp; Flags'!AQ44</f>
        <v>0</v>
      </c>
      <c r="AR18" s="41">
        <f>'Timing &amp; Flags'!AR44</f>
        <v>0</v>
      </c>
      <c r="AS18" s="41">
        <f>'Timing &amp; Flags'!AS44</f>
        <v>0</v>
      </c>
      <c r="AT18" s="41">
        <f>'Timing &amp; Flags'!AT44</f>
        <v>0</v>
      </c>
      <c r="AU18" s="41">
        <f>'Timing &amp; Flags'!AU44</f>
        <v>0</v>
      </c>
      <c r="AV18" s="41">
        <f>'Timing &amp; Flags'!AV44</f>
        <v>0</v>
      </c>
      <c r="AW18" s="41">
        <f>'Timing &amp; Flags'!AW44</f>
        <v>0</v>
      </c>
    </row>
    <row r="20" spans="1:52">
      <c r="B20" s="2" t="s">
        <v>538</v>
      </c>
      <c r="C20" s="15" t="s">
        <v>60</v>
      </c>
      <c r="D20" s="41">
        <f>SUM(I20:AI20)</f>
        <v>27</v>
      </c>
      <c r="I20" s="2">
        <f>'Timing &amp; Flags'!I49</f>
        <v>1</v>
      </c>
      <c r="J20" s="2">
        <f>'Timing &amp; Flags'!J49</f>
        <v>1</v>
      </c>
      <c r="K20" s="2">
        <f>'Timing &amp; Flags'!K49</f>
        <v>1</v>
      </c>
      <c r="L20" s="2">
        <f>'Timing &amp; Flags'!L49</f>
        <v>1</v>
      </c>
      <c r="M20" s="2">
        <f>'Timing &amp; Flags'!M49</f>
        <v>1</v>
      </c>
      <c r="N20" s="2">
        <f>'Timing &amp; Flags'!N49</f>
        <v>1</v>
      </c>
      <c r="O20" s="2">
        <f>'Timing &amp; Flags'!O49</f>
        <v>1</v>
      </c>
      <c r="P20" s="2">
        <f>'Timing &amp; Flags'!P49</f>
        <v>1</v>
      </c>
      <c r="Q20" s="2">
        <f>'Timing &amp; Flags'!Q49</f>
        <v>1</v>
      </c>
      <c r="R20" s="2">
        <f>'Timing &amp; Flags'!R49</f>
        <v>1</v>
      </c>
      <c r="S20" s="2">
        <f>'Timing &amp; Flags'!S49</f>
        <v>1</v>
      </c>
      <c r="T20" s="2">
        <f>'Timing &amp; Flags'!T49</f>
        <v>1</v>
      </c>
      <c r="U20" s="2">
        <f>'Timing &amp; Flags'!U49</f>
        <v>1</v>
      </c>
      <c r="V20" s="2">
        <f>'Timing &amp; Flags'!V49</f>
        <v>1</v>
      </c>
      <c r="W20" s="2">
        <f>'Timing &amp; Flags'!W49</f>
        <v>1</v>
      </c>
      <c r="X20" s="2">
        <f>'Timing &amp; Flags'!X49</f>
        <v>1</v>
      </c>
      <c r="Y20" s="2">
        <f>'Timing &amp; Flags'!Y49</f>
        <v>1</v>
      </c>
      <c r="Z20" s="2">
        <f>'Timing &amp; Flags'!Z49</f>
        <v>1</v>
      </c>
      <c r="AA20" s="2">
        <f>'Timing &amp; Flags'!AA49</f>
        <v>1</v>
      </c>
      <c r="AB20" s="2">
        <f>'Timing &amp; Flags'!AB49</f>
        <v>1</v>
      </c>
      <c r="AC20" s="2">
        <f>'Timing &amp; Flags'!AC49</f>
        <v>1</v>
      </c>
      <c r="AD20" s="2">
        <f>'Timing &amp; Flags'!AD49</f>
        <v>1</v>
      </c>
      <c r="AE20" s="2">
        <f>'Timing &amp; Flags'!AE49</f>
        <v>1</v>
      </c>
      <c r="AF20" s="2">
        <f>'Timing &amp; Flags'!AF49</f>
        <v>1</v>
      </c>
      <c r="AG20" s="2">
        <f>'Timing &amp; Flags'!AG49</f>
        <v>1</v>
      </c>
      <c r="AH20" s="2">
        <f>'Timing &amp; Flags'!AH49</f>
        <v>1</v>
      </c>
      <c r="AI20" s="2">
        <f>'Timing &amp; Flags'!AI49</f>
        <v>1</v>
      </c>
      <c r="AJ20" s="2">
        <f>'Timing &amp; Flags'!AJ49</f>
        <v>1</v>
      </c>
      <c r="AK20" s="2">
        <f>'Timing &amp; Flags'!AK49</f>
        <v>1</v>
      </c>
      <c r="AL20" s="2">
        <f>'Timing &amp; Flags'!AL49</f>
        <v>1</v>
      </c>
      <c r="AM20" s="2">
        <f>'Timing &amp; Flags'!AM49</f>
        <v>0</v>
      </c>
      <c r="AN20" s="2">
        <f>'Timing &amp; Flags'!AN49</f>
        <v>0</v>
      </c>
      <c r="AO20" s="2">
        <f>'Timing &amp; Flags'!AO49</f>
        <v>0</v>
      </c>
      <c r="AP20" s="2">
        <f>'Timing &amp; Flags'!AP49</f>
        <v>0</v>
      </c>
      <c r="AQ20" s="2">
        <f>'Timing &amp; Flags'!AQ49</f>
        <v>0</v>
      </c>
      <c r="AR20" s="2">
        <f>'Timing &amp; Flags'!AR49</f>
        <v>0</v>
      </c>
      <c r="AS20" s="2">
        <f>'Timing &amp; Flags'!AS49</f>
        <v>0</v>
      </c>
      <c r="AT20" s="2">
        <f>'Timing &amp; Flags'!AT49</f>
        <v>0</v>
      </c>
      <c r="AU20" s="2">
        <f>'Timing &amp; Flags'!AU49</f>
        <v>0</v>
      </c>
      <c r="AV20" s="2">
        <f>'Timing &amp; Flags'!AV49</f>
        <v>0</v>
      </c>
      <c r="AW20" s="2">
        <f>'Timing &amp; Flags'!AW49</f>
        <v>0</v>
      </c>
    </row>
    <row r="22" spans="1:52">
      <c r="B22" s="50" t="s">
        <v>69</v>
      </c>
    </row>
    <row r="23" spans="1:52">
      <c r="B23" s="2" t="s">
        <v>56</v>
      </c>
      <c r="C23" s="15" t="s">
        <v>72</v>
      </c>
      <c r="D23" s="41">
        <f ca="1">SUM(I23:AI23)</f>
        <v>3.0000074855902388</v>
      </c>
      <c r="I23" s="17">
        <f ca="1">'Timing &amp; Flags'!I54</f>
        <v>1</v>
      </c>
      <c r="J23" s="17">
        <f ca="1">'Timing &amp; Flags'!J54</f>
        <v>0.99726775956284153</v>
      </c>
      <c r="K23" s="17">
        <f ca="1">'Timing &amp; Flags'!K54</f>
        <v>1.0027397260273974</v>
      </c>
      <c r="L23" s="17">
        <f>'Timing &amp; Flags'!L54</f>
        <v>0</v>
      </c>
      <c r="M23" s="17">
        <f>'Timing &amp; Flags'!M54</f>
        <v>0</v>
      </c>
      <c r="N23" s="17">
        <f>'Timing &amp; Flags'!N54</f>
        <v>0</v>
      </c>
      <c r="O23" s="17">
        <f>'Timing &amp; Flags'!O54</f>
        <v>0</v>
      </c>
      <c r="P23" s="17">
        <f>'Timing &amp; Flags'!P54</f>
        <v>0</v>
      </c>
      <c r="Q23" s="17">
        <f>'Timing &amp; Flags'!Q54</f>
        <v>0</v>
      </c>
      <c r="R23" s="17">
        <f>'Timing &amp; Flags'!R54</f>
        <v>0</v>
      </c>
      <c r="S23" s="17">
        <f>'Timing &amp; Flags'!S54</f>
        <v>0</v>
      </c>
      <c r="T23" s="17">
        <f>'Timing &amp; Flags'!T54</f>
        <v>0</v>
      </c>
      <c r="U23" s="17">
        <f>'Timing &amp; Flags'!U54</f>
        <v>0</v>
      </c>
      <c r="V23" s="17">
        <f>'Timing &amp; Flags'!V54</f>
        <v>0</v>
      </c>
      <c r="W23" s="17">
        <f>'Timing &amp; Flags'!W54</f>
        <v>0</v>
      </c>
      <c r="X23" s="17">
        <f>'Timing &amp; Flags'!X54</f>
        <v>0</v>
      </c>
      <c r="Y23" s="17">
        <f>'Timing &amp; Flags'!Y54</f>
        <v>0</v>
      </c>
      <c r="Z23" s="17">
        <f>'Timing &amp; Flags'!Z54</f>
        <v>0</v>
      </c>
      <c r="AA23" s="17">
        <f>'Timing &amp; Flags'!AA54</f>
        <v>0</v>
      </c>
      <c r="AB23" s="17">
        <f>'Timing &amp; Flags'!AB54</f>
        <v>0</v>
      </c>
      <c r="AC23" s="17">
        <f>'Timing &amp; Flags'!AC54</f>
        <v>0</v>
      </c>
      <c r="AD23" s="17">
        <f>'Timing &amp; Flags'!AD54</f>
        <v>0</v>
      </c>
      <c r="AE23" s="17">
        <f>'Timing &amp; Flags'!AE54</f>
        <v>0</v>
      </c>
      <c r="AF23" s="17">
        <f>'Timing &amp; Flags'!AF54</f>
        <v>0</v>
      </c>
      <c r="AG23" s="17">
        <f>'Timing &amp; Flags'!AG54</f>
        <v>0</v>
      </c>
      <c r="AH23" s="17">
        <f>'Timing &amp; Flags'!AH54</f>
        <v>0</v>
      </c>
      <c r="AI23" s="17">
        <f>'Timing &amp; Flags'!AI54</f>
        <v>0</v>
      </c>
      <c r="AJ23" s="17">
        <f>'Timing &amp; Flags'!AJ54</f>
        <v>0</v>
      </c>
      <c r="AK23" s="17">
        <f>'Timing &amp; Flags'!AK54</f>
        <v>0</v>
      </c>
      <c r="AL23" s="17">
        <f>'Timing &amp; Flags'!AL54</f>
        <v>0</v>
      </c>
      <c r="AM23" s="17">
        <f>'Timing &amp; Flags'!AM54</f>
        <v>0</v>
      </c>
      <c r="AN23" s="17">
        <f>'Timing &amp; Flags'!AN54</f>
        <v>0</v>
      </c>
      <c r="AO23" s="17">
        <f>'Timing &amp; Flags'!AO54</f>
        <v>0</v>
      </c>
      <c r="AP23" s="17">
        <f>'Timing &amp; Flags'!AP54</f>
        <v>0</v>
      </c>
      <c r="AQ23" s="17">
        <f>'Timing &amp; Flags'!AQ54</f>
        <v>0</v>
      </c>
      <c r="AR23" s="17">
        <f>'Timing &amp; Flags'!AR54</f>
        <v>0</v>
      </c>
      <c r="AS23" s="17">
        <f>'Timing &amp; Flags'!AS54</f>
        <v>0</v>
      </c>
      <c r="AT23" s="17">
        <f>'Timing &amp; Flags'!AT54</f>
        <v>0</v>
      </c>
      <c r="AU23" s="17">
        <f>'Timing &amp; Flags'!AU54</f>
        <v>0</v>
      </c>
      <c r="AV23" s="17">
        <f>'Timing &amp; Flags'!AV54</f>
        <v>0</v>
      </c>
      <c r="AW23" s="17">
        <f>'Timing &amp; Flags'!AW54</f>
        <v>0</v>
      </c>
    </row>
    <row r="24" spans="1:52">
      <c r="B24" s="27" t="s">
        <v>57</v>
      </c>
      <c r="C24" s="15" t="s">
        <v>72</v>
      </c>
      <c r="D24" s="43">
        <f ca="1">SUM(I24:AI24)</f>
        <v>24.00004491354143</v>
      </c>
      <c r="E24" s="27"/>
      <c r="F24" s="27"/>
      <c r="G24" s="27"/>
      <c r="H24" s="27"/>
      <c r="I24" s="116">
        <f>'Timing &amp; Flags'!I55</f>
        <v>0</v>
      </c>
      <c r="J24" s="116">
        <f>'Timing &amp; Flags'!J55</f>
        <v>0</v>
      </c>
      <c r="K24" s="116">
        <f>'Timing &amp; Flags'!K55</f>
        <v>0</v>
      </c>
      <c r="L24" s="1060">
        <f ca="1">'Timing &amp; Flags'!L55</f>
        <v>1</v>
      </c>
      <c r="M24" s="1060">
        <f ca="1">'Timing &amp; Flags'!M55</f>
        <v>1</v>
      </c>
      <c r="N24" s="1060">
        <f ca="1">'Timing &amp; Flags'!N55</f>
        <v>0.99726775956284153</v>
      </c>
      <c r="O24" s="1060">
        <f ca="1">'Timing &amp; Flags'!O55</f>
        <v>1.0027397260273974</v>
      </c>
      <c r="P24" s="1060">
        <f ca="1">'Timing &amp; Flags'!P55</f>
        <v>1</v>
      </c>
      <c r="Q24" s="1060">
        <f ca="1">'Timing &amp; Flags'!Q55</f>
        <v>1</v>
      </c>
      <c r="R24" s="1060">
        <f ca="1">'Timing &amp; Flags'!R55</f>
        <v>0.99726775956284153</v>
      </c>
      <c r="S24" s="1060">
        <f ca="1">'Timing &amp; Flags'!S55</f>
        <v>1.0027397260273974</v>
      </c>
      <c r="T24" s="1060">
        <f ca="1">'Timing &amp; Flags'!T55</f>
        <v>1</v>
      </c>
      <c r="U24" s="1060">
        <f ca="1">'Timing &amp; Flags'!U55</f>
        <v>1</v>
      </c>
      <c r="V24" s="1060">
        <f ca="1">'Timing &amp; Flags'!V55</f>
        <v>0.99726775956284153</v>
      </c>
      <c r="W24" s="1060">
        <f ca="1">'Timing &amp; Flags'!W55</f>
        <v>1.0027397260273974</v>
      </c>
      <c r="X24" s="1060">
        <f ca="1">'Timing &amp; Flags'!X55</f>
        <v>1</v>
      </c>
      <c r="Y24" s="1060">
        <f ca="1">'Timing &amp; Flags'!Y55</f>
        <v>1</v>
      </c>
      <c r="Z24" s="1060">
        <f ca="1">'Timing &amp; Flags'!Z55</f>
        <v>0.99726775956284153</v>
      </c>
      <c r="AA24" s="1060">
        <f ca="1">'Timing &amp; Flags'!AA55</f>
        <v>1.0027397260273974</v>
      </c>
      <c r="AB24" s="1060">
        <f ca="1">'Timing &amp; Flags'!AB55</f>
        <v>1</v>
      </c>
      <c r="AC24" s="1060">
        <f ca="1">'Timing &amp; Flags'!AC55</f>
        <v>1</v>
      </c>
      <c r="AD24" s="1060">
        <f ca="1">'Timing &amp; Flags'!AD55</f>
        <v>0.99726775956284153</v>
      </c>
      <c r="AE24" s="1060">
        <f ca="1">'Timing &amp; Flags'!AE55</f>
        <v>1.0027397260273974</v>
      </c>
      <c r="AF24" s="1060">
        <f ca="1">'Timing &amp; Flags'!AF55</f>
        <v>1</v>
      </c>
      <c r="AG24" s="1060">
        <f ca="1">'Timing &amp; Flags'!AG55</f>
        <v>1</v>
      </c>
      <c r="AH24" s="1060">
        <f ca="1">'Timing &amp; Flags'!AH55</f>
        <v>0.99726775956284153</v>
      </c>
      <c r="AI24" s="1060">
        <f ca="1">'Timing &amp; Flags'!AI55</f>
        <v>1.0027397260273974</v>
      </c>
      <c r="AJ24" s="1060">
        <f ca="1">'Timing &amp; Flags'!AJ55</f>
        <v>1</v>
      </c>
      <c r="AK24" s="1060">
        <f ca="1">'Timing &amp; Flags'!AK55</f>
        <v>1</v>
      </c>
      <c r="AL24" s="1060">
        <f ca="1">'Timing &amp; Flags'!AL55</f>
        <v>1</v>
      </c>
      <c r="AM24" s="1060">
        <f>'Timing &amp; Flags'!AM55</f>
        <v>0</v>
      </c>
      <c r="AN24" s="1060">
        <f>'Timing &amp; Flags'!AN55</f>
        <v>0</v>
      </c>
      <c r="AO24" s="1060">
        <f>'Timing &amp; Flags'!AO55</f>
        <v>0</v>
      </c>
      <c r="AP24" s="1060">
        <f>'Timing &amp; Flags'!AP55</f>
        <v>0</v>
      </c>
      <c r="AQ24" s="1060">
        <f>'Timing &amp; Flags'!AQ55</f>
        <v>0</v>
      </c>
      <c r="AR24" s="1060">
        <f>'Timing &amp; Flags'!AR55</f>
        <v>0</v>
      </c>
      <c r="AS24" s="1060">
        <f>'Timing &amp; Flags'!AS55</f>
        <v>0</v>
      </c>
      <c r="AT24" s="1060">
        <f>'Timing &amp; Flags'!AT55</f>
        <v>0</v>
      </c>
      <c r="AU24" s="1060">
        <f>'Timing &amp; Flags'!AU55</f>
        <v>0</v>
      </c>
      <c r="AV24" s="1060">
        <f>'Timing &amp; Flags'!AV55</f>
        <v>0</v>
      </c>
      <c r="AW24" s="1060">
        <f>'Timing &amp; Flags'!AW55</f>
        <v>0</v>
      </c>
    </row>
    <row r="25" spans="1:52">
      <c r="B25" s="2" t="s">
        <v>71</v>
      </c>
      <c r="C25" s="132" t="s">
        <v>72</v>
      </c>
      <c r="D25" s="42">
        <f ca="1">SUM(D23:D24)</f>
        <v>27.000052399131668</v>
      </c>
      <c r="I25" s="17">
        <f ca="1">SUM(I23:I24)</f>
        <v>1</v>
      </c>
      <c r="J25" s="17">
        <f t="shared" ref="J25:AI25" ca="1" si="0">SUM(J23:J24)</f>
        <v>0.99726775956284153</v>
      </c>
      <c r="K25" s="17">
        <f t="shared" ca="1" si="0"/>
        <v>1.0027397260273974</v>
      </c>
      <c r="L25" s="14">
        <f t="shared" ca="1" si="0"/>
        <v>1</v>
      </c>
      <c r="M25" s="14">
        <f t="shared" ca="1" si="0"/>
        <v>1</v>
      </c>
      <c r="N25" s="17">
        <f t="shared" ca="1" si="0"/>
        <v>0.99726775956284153</v>
      </c>
      <c r="O25" s="17">
        <f t="shared" ca="1" si="0"/>
        <v>1.0027397260273974</v>
      </c>
      <c r="P25" s="17">
        <f t="shared" ca="1" si="0"/>
        <v>1</v>
      </c>
      <c r="Q25" s="17">
        <f t="shared" ca="1" si="0"/>
        <v>1</v>
      </c>
      <c r="R25" s="17">
        <f t="shared" ca="1" si="0"/>
        <v>0.99726775956284153</v>
      </c>
      <c r="S25" s="17">
        <f t="shared" ca="1" si="0"/>
        <v>1.0027397260273974</v>
      </c>
      <c r="T25" s="17">
        <f t="shared" ca="1" si="0"/>
        <v>1</v>
      </c>
      <c r="U25" s="17">
        <f t="shared" ca="1" si="0"/>
        <v>1</v>
      </c>
      <c r="V25" s="17">
        <f t="shared" ca="1" si="0"/>
        <v>0.99726775956284153</v>
      </c>
      <c r="W25" s="17">
        <f t="shared" ca="1" si="0"/>
        <v>1.0027397260273974</v>
      </c>
      <c r="X25" s="17">
        <f t="shared" ca="1" si="0"/>
        <v>1</v>
      </c>
      <c r="Y25" s="17">
        <f t="shared" ca="1" si="0"/>
        <v>1</v>
      </c>
      <c r="Z25" s="17">
        <f t="shared" ca="1" si="0"/>
        <v>0.99726775956284153</v>
      </c>
      <c r="AA25" s="17">
        <f t="shared" ca="1" si="0"/>
        <v>1.0027397260273974</v>
      </c>
      <c r="AB25" s="17">
        <f t="shared" ca="1" si="0"/>
        <v>1</v>
      </c>
      <c r="AC25" s="17">
        <f t="shared" ca="1" si="0"/>
        <v>1</v>
      </c>
      <c r="AD25" s="17">
        <f t="shared" ca="1" si="0"/>
        <v>0.99726775956284153</v>
      </c>
      <c r="AE25" s="17">
        <f t="shared" ca="1" si="0"/>
        <v>1.0027397260273974</v>
      </c>
      <c r="AF25" s="17">
        <f t="shared" ca="1" si="0"/>
        <v>1</v>
      </c>
      <c r="AG25" s="17">
        <f t="shared" ca="1" si="0"/>
        <v>1</v>
      </c>
      <c r="AH25" s="17">
        <f t="shared" ca="1" si="0"/>
        <v>0.99726775956284153</v>
      </c>
      <c r="AI25" s="17">
        <f t="shared" ca="1" si="0"/>
        <v>1.0027397260273974</v>
      </c>
      <c r="AJ25" s="17">
        <f t="shared" ref="AJ25:AW25" ca="1" si="1">SUM(AJ23:AJ24)</f>
        <v>1</v>
      </c>
      <c r="AK25" s="17">
        <f t="shared" ca="1" si="1"/>
        <v>1</v>
      </c>
      <c r="AL25" s="17">
        <f t="shared" ca="1" si="1"/>
        <v>1</v>
      </c>
      <c r="AM25" s="17">
        <f t="shared" si="1"/>
        <v>0</v>
      </c>
      <c r="AN25" s="17">
        <f t="shared" si="1"/>
        <v>0</v>
      </c>
      <c r="AO25" s="17">
        <f t="shared" si="1"/>
        <v>0</v>
      </c>
      <c r="AP25" s="17">
        <f t="shared" si="1"/>
        <v>0</v>
      </c>
      <c r="AQ25" s="17">
        <f t="shared" si="1"/>
        <v>0</v>
      </c>
      <c r="AR25" s="17">
        <f t="shared" si="1"/>
        <v>0</v>
      </c>
      <c r="AS25" s="17">
        <f t="shared" si="1"/>
        <v>0</v>
      </c>
      <c r="AT25" s="17">
        <f t="shared" si="1"/>
        <v>0</v>
      </c>
      <c r="AU25" s="17">
        <f t="shared" si="1"/>
        <v>0</v>
      </c>
      <c r="AV25" s="17">
        <f t="shared" si="1"/>
        <v>0</v>
      </c>
      <c r="AW25" s="17">
        <f t="shared" si="1"/>
        <v>0</v>
      </c>
    </row>
    <row r="26" spans="1:52">
      <c r="C26" s="577"/>
      <c r="D26" s="42"/>
      <c r="I26" s="17"/>
      <c r="J26" s="17"/>
      <c r="K26" s="17"/>
      <c r="L26" s="14"/>
      <c r="M26" s="14"/>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row>
    <row r="27" spans="1:52">
      <c r="B27" s="2" t="s">
        <v>1821</v>
      </c>
      <c r="C27" s="577"/>
      <c r="D27" s="42"/>
      <c r="I27" s="107">
        <f>'Timing &amp; Flags'!I158</f>
        <v>0</v>
      </c>
      <c r="J27" s="107">
        <f>'Timing &amp; Flags'!J158</f>
        <v>0</v>
      </c>
      <c r="K27" s="107">
        <f ca="1">'Timing &amp; Flags'!K158</f>
        <v>1</v>
      </c>
      <c r="L27" s="107">
        <f ca="1">'Timing &amp; Flags'!L158</f>
        <v>1</v>
      </c>
      <c r="M27" s="107">
        <f ca="1">'Timing &amp; Flags'!M158</f>
        <v>1</v>
      </c>
      <c r="N27" s="107">
        <f ca="1">'Timing &amp; Flags'!N158</f>
        <v>0.99726775956284153</v>
      </c>
      <c r="O27" s="107">
        <f ca="1">'Timing &amp; Flags'!O158</f>
        <v>1.0027397260273974</v>
      </c>
      <c r="P27" s="107">
        <f ca="1">'Timing &amp; Flags'!P158</f>
        <v>1</v>
      </c>
      <c r="Q27" s="107">
        <f ca="1">'Timing &amp; Flags'!Q158</f>
        <v>1</v>
      </c>
      <c r="R27" s="107">
        <f ca="1">'Timing &amp; Flags'!R158</f>
        <v>0.99726775956284153</v>
      </c>
      <c r="S27" s="107">
        <f ca="1">'Timing &amp; Flags'!S158</f>
        <v>1.0027397260273974</v>
      </c>
      <c r="T27" s="107">
        <f ca="1">'Timing &amp; Flags'!T158</f>
        <v>1</v>
      </c>
      <c r="U27" s="107">
        <f ca="1">'Timing &amp; Flags'!U158</f>
        <v>1</v>
      </c>
      <c r="V27" s="107">
        <f ca="1">'Timing &amp; Flags'!V158</f>
        <v>0.99726775956284153</v>
      </c>
      <c r="W27" s="107">
        <f ca="1">'Timing &amp; Flags'!W158</f>
        <v>1.0027397260273974</v>
      </c>
      <c r="X27" s="107">
        <f ca="1">'Timing &amp; Flags'!X158</f>
        <v>1</v>
      </c>
      <c r="Y27" s="107">
        <f ca="1">'Timing &amp; Flags'!Y158</f>
        <v>1</v>
      </c>
      <c r="Z27" s="107">
        <f ca="1">'Timing &amp; Flags'!Z158</f>
        <v>0.99726775956284153</v>
      </c>
      <c r="AA27" s="107">
        <f ca="1">'Timing &amp; Flags'!AA158</f>
        <v>1.0027397260273974</v>
      </c>
      <c r="AB27" s="107">
        <f ca="1">'Timing &amp; Flags'!AB158</f>
        <v>1</v>
      </c>
      <c r="AC27" s="107">
        <f ca="1">'Timing &amp; Flags'!AC158</f>
        <v>1</v>
      </c>
      <c r="AD27" s="107">
        <f ca="1">'Timing &amp; Flags'!AD158</f>
        <v>0.99726775956284153</v>
      </c>
      <c r="AE27" s="107">
        <f ca="1">'Timing &amp; Flags'!AE158</f>
        <v>1.0027397260273974</v>
      </c>
      <c r="AF27" s="107">
        <f ca="1">'Timing &amp; Flags'!AF158</f>
        <v>1</v>
      </c>
      <c r="AG27" s="107">
        <f ca="1">'Timing &amp; Flags'!AG158</f>
        <v>1</v>
      </c>
      <c r="AH27" s="107">
        <f ca="1">'Timing &amp; Flags'!AH158</f>
        <v>0.99726775956284153</v>
      </c>
      <c r="AI27" s="107">
        <f ca="1">'Timing &amp; Flags'!AI158</f>
        <v>1.0027397260273974</v>
      </c>
      <c r="AJ27" s="107">
        <f ca="1">'Timing &amp; Flags'!AJ158</f>
        <v>1</v>
      </c>
      <c r="AK27" s="107">
        <f ca="1">'Timing &amp; Flags'!AK158</f>
        <v>1</v>
      </c>
      <c r="AL27" s="107">
        <f ca="1">'Timing &amp; Flags'!AL158</f>
        <v>1</v>
      </c>
      <c r="AM27" s="107">
        <f>'Timing &amp; Flags'!AM158</f>
        <v>0</v>
      </c>
      <c r="AN27" s="107">
        <f>'Timing &amp; Flags'!AN158</f>
        <v>0</v>
      </c>
      <c r="AO27" s="107">
        <f>'Timing &amp; Flags'!AO158</f>
        <v>0</v>
      </c>
      <c r="AP27" s="107">
        <f>'Timing &amp; Flags'!AP158</f>
        <v>0</v>
      </c>
      <c r="AQ27" s="107">
        <f>'Timing &amp; Flags'!AQ158</f>
        <v>0</v>
      </c>
      <c r="AR27" s="107">
        <f>'Timing &amp; Flags'!AR158</f>
        <v>0</v>
      </c>
      <c r="AS27" s="107">
        <f>'Timing &amp; Flags'!AS158</f>
        <v>0</v>
      </c>
      <c r="AT27" s="107">
        <f>'Timing &amp; Flags'!AT158</f>
        <v>0</v>
      </c>
      <c r="AU27" s="107">
        <f>'Timing &amp; Flags'!AU158</f>
        <v>0</v>
      </c>
      <c r="AV27" s="107">
        <f>'Timing &amp; Flags'!AV158</f>
        <v>0</v>
      </c>
      <c r="AW27" s="107">
        <f>'Timing &amp; Flags'!AW158</f>
        <v>0</v>
      </c>
    </row>
    <row r="28" spans="1:52">
      <c r="B28" s="5"/>
    </row>
    <row r="29" spans="1:52">
      <c r="A29" s="6" t="s">
        <v>320</v>
      </c>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52" s="590" customFormat="1" ht="11.25" thickBot="1">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row>
    <row r="31" spans="1:52" s="590" customFormat="1" ht="11.25" thickBot="1">
      <c r="A31" s="2"/>
      <c r="B31" s="2" t="s">
        <v>1944</v>
      </c>
      <c r="C31" s="1514">
        <f>'Sens WIP'!D49</f>
        <v>0</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row>
    <row r="32" spans="1:52" s="590" customFormat="1">
      <c r="A32" s="2"/>
      <c r="B32" s="2" t="s">
        <v>1945</v>
      </c>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row>
    <row r="33" spans="1:52" s="590" customFormat="1">
      <c r="A33" s="2"/>
      <c r="B33" s="2" t="s">
        <v>1946</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row>
    <row r="34" spans="1:52" s="590" customFormat="1">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row>
    <row r="35" spans="1:52" s="590" customFormat="1">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row>
    <row r="36" spans="1:52">
      <c r="B36" s="5"/>
    </row>
    <row r="37" spans="1:52">
      <c r="B37" s="26" t="s">
        <v>978</v>
      </c>
    </row>
    <row r="38" spans="1:52" ht="11.45" customHeight="1">
      <c r="B38" s="2" t="s">
        <v>1504</v>
      </c>
      <c r="C38" s="15" t="str">
        <f>IF('Input '!$F$9=1,"US$","=N=")</f>
        <v>US$</v>
      </c>
      <c r="D38" s="118">
        <f>'Input '!F224</f>
        <v>624930.67466666666</v>
      </c>
    </row>
    <row r="39" spans="1:52">
      <c r="B39" s="2" t="s">
        <v>968</v>
      </c>
      <c r="C39" s="15" t="str">
        <f>IF('Input '!$F$9=1,"US$","=N=")</f>
        <v>US$</v>
      </c>
      <c r="D39" s="118">
        <f>'Input '!F225</f>
        <v>0</v>
      </c>
    </row>
    <row r="40" spans="1:52">
      <c r="B40" s="2" t="s">
        <v>969</v>
      </c>
      <c r="C40" s="15" t="str">
        <f>IF('Input '!$F$9=1,"US$","=N=")</f>
        <v>US$</v>
      </c>
      <c r="D40" s="118">
        <f>'Input '!F226*(1+C31)</f>
        <v>1597500</v>
      </c>
    </row>
    <row r="41" spans="1:52">
      <c r="B41" s="2" t="s">
        <v>970</v>
      </c>
      <c r="C41" s="15" t="str">
        <f>IF('Input '!$F$9=1,"US$","=N=")</f>
        <v>US$</v>
      </c>
      <c r="D41" s="118">
        <f>'Input '!F227</f>
        <v>8466750</v>
      </c>
    </row>
    <row r="42" spans="1:52">
      <c r="B42" s="2" t="s">
        <v>971</v>
      </c>
      <c r="C42" s="15" t="str">
        <f>IF('Input '!$F$9=1,"US$","=N=")</f>
        <v>US$</v>
      </c>
      <c r="D42" s="118">
        <f>'Input '!F228</f>
        <v>486606</v>
      </c>
    </row>
    <row r="43" spans="1:52">
      <c r="B43" s="2" t="s">
        <v>972</v>
      </c>
      <c r="C43" s="15" t="str">
        <f>IF('Input '!$F$9=1,"US$","=N=")</f>
        <v>US$</v>
      </c>
      <c r="D43" s="118">
        <f>'Input '!F229</f>
        <v>1821364</v>
      </c>
    </row>
    <row r="44" spans="1:52">
      <c r="B44" s="2" t="s">
        <v>973</v>
      </c>
      <c r="C44" s="15" t="str">
        <f>IF('Input '!$F$9=1,"US$","=N=")</f>
        <v>US$</v>
      </c>
      <c r="D44" s="118">
        <f>'Input '!F230</f>
        <v>2687365</v>
      </c>
    </row>
    <row r="45" spans="1:52">
      <c r="C45" s="15" t="str">
        <f>IF('Input '!$F$9=1,"US$","=N=")</f>
        <v>US$</v>
      </c>
      <c r="D45" s="118"/>
    </row>
    <row r="46" spans="1:52">
      <c r="C46" s="15"/>
      <c r="D46" s="500"/>
    </row>
    <row r="47" spans="1:52">
      <c r="B47" s="26" t="s">
        <v>979</v>
      </c>
      <c r="C47" s="15"/>
      <c r="D47" s="500"/>
    </row>
    <row r="48" spans="1:52">
      <c r="B48" s="2" t="s">
        <v>1616</v>
      </c>
      <c r="C48" s="15" t="str">
        <f t="shared" ref="C48:C54" si="2">$C$39</f>
        <v>US$</v>
      </c>
      <c r="D48" s="118">
        <f>'Input '!F234</f>
        <v>627042.06242176867</v>
      </c>
    </row>
    <row r="49" spans="2:4">
      <c r="B49" s="2" t="s">
        <v>968</v>
      </c>
      <c r="C49" s="15" t="str">
        <f t="shared" si="2"/>
        <v>US$</v>
      </c>
      <c r="D49" s="118">
        <f>'Input '!F235</f>
        <v>0</v>
      </c>
    </row>
    <row r="50" spans="2:4">
      <c r="B50" s="2" t="s">
        <v>969</v>
      </c>
      <c r="C50" s="15" t="str">
        <f t="shared" si="2"/>
        <v>US$</v>
      </c>
      <c r="D50" s="118">
        <f>'Input '!F236*(1+C31)</f>
        <v>1237500</v>
      </c>
    </row>
    <row r="51" spans="2:4">
      <c r="B51" s="2" t="s">
        <v>970</v>
      </c>
      <c r="C51" s="15" t="str">
        <f t="shared" si="2"/>
        <v>US$</v>
      </c>
      <c r="D51" s="118">
        <f>'Input '!F237</f>
        <v>6187500</v>
      </c>
    </row>
    <row r="52" spans="2:4">
      <c r="B52" s="2" t="s">
        <v>971</v>
      </c>
      <c r="C52" s="15" t="str">
        <f t="shared" si="2"/>
        <v>US$</v>
      </c>
      <c r="D52" s="118">
        <f>'Input '!F238</f>
        <v>397437</v>
      </c>
    </row>
    <row r="53" spans="2:4">
      <c r="B53" s="2" t="s">
        <v>972</v>
      </c>
      <c r="C53" s="15" t="str">
        <f t="shared" si="2"/>
        <v>US$</v>
      </c>
      <c r="D53" s="118">
        <f>'Input '!F239</f>
        <v>1410916</v>
      </c>
    </row>
    <row r="54" spans="2:4">
      <c r="B54" s="2" t="s">
        <v>973</v>
      </c>
      <c r="C54" s="15" t="str">
        <f t="shared" si="2"/>
        <v>US$</v>
      </c>
      <c r="D54" s="118">
        <f>'Input '!F240</f>
        <v>1688470</v>
      </c>
    </row>
    <row r="55" spans="2:4">
      <c r="C55" s="15"/>
      <c r="D55" s="118"/>
    </row>
    <row r="56" spans="2:4">
      <c r="C56" s="15"/>
      <c r="D56" s="118"/>
    </row>
    <row r="57" spans="2:4">
      <c r="B57" s="26" t="s">
        <v>980</v>
      </c>
      <c r="C57" s="15"/>
      <c r="D57" s="118"/>
    </row>
    <row r="58" spans="2:4">
      <c r="B58" s="2" t="s">
        <v>1504</v>
      </c>
      <c r="C58" s="15" t="str">
        <f t="shared" ref="C58:C64" si="3">$C$39</f>
        <v>US$</v>
      </c>
      <c r="D58" s="118">
        <f>'Input '!F244</f>
        <v>0</v>
      </c>
    </row>
    <row r="59" spans="2:4">
      <c r="B59" s="2" t="s">
        <v>968</v>
      </c>
      <c r="C59" s="15" t="str">
        <f t="shared" si="3"/>
        <v>US$</v>
      </c>
      <c r="D59" s="118">
        <f>'Input '!F245</f>
        <v>0</v>
      </c>
    </row>
    <row r="60" spans="2:4">
      <c r="B60" s="2" t="s">
        <v>969</v>
      </c>
      <c r="C60" s="15" t="str">
        <f t="shared" si="3"/>
        <v>US$</v>
      </c>
      <c r="D60" s="118">
        <f>'Input '!F246*(1+C31)</f>
        <v>0</v>
      </c>
    </row>
    <row r="61" spans="2:4">
      <c r="B61" s="2" t="s">
        <v>970</v>
      </c>
      <c r="C61" s="15" t="str">
        <f t="shared" si="3"/>
        <v>US$</v>
      </c>
      <c r="D61" s="118">
        <f>'Input '!F247</f>
        <v>0</v>
      </c>
    </row>
    <row r="62" spans="2:4">
      <c r="B62" s="2" t="s">
        <v>971</v>
      </c>
      <c r="C62" s="15" t="str">
        <f t="shared" si="3"/>
        <v>US$</v>
      </c>
      <c r="D62" s="118">
        <f>'Input '!F248</f>
        <v>0</v>
      </c>
    </row>
    <row r="63" spans="2:4">
      <c r="B63" s="2" t="s">
        <v>972</v>
      </c>
      <c r="C63" s="15" t="str">
        <f t="shared" si="3"/>
        <v>US$</v>
      </c>
      <c r="D63" s="118">
        <f>'Input '!F249</f>
        <v>0</v>
      </c>
    </row>
    <row r="64" spans="2:4">
      <c r="B64" s="2" t="s">
        <v>973</v>
      </c>
      <c r="C64" s="15" t="str">
        <f t="shared" si="3"/>
        <v>US$</v>
      </c>
      <c r="D64" s="118">
        <f>'Input '!F250</f>
        <v>0</v>
      </c>
    </row>
    <row r="65" spans="2:4" ht="10.9" customHeight="1">
      <c r="C65" s="15"/>
      <c r="D65" s="118"/>
    </row>
    <row r="66" spans="2:4" ht="12" customHeight="1">
      <c r="C66" s="15"/>
      <c r="D66" s="118"/>
    </row>
    <row r="67" spans="2:4" ht="12" customHeight="1">
      <c r="B67" s="26" t="s">
        <v>1066</v>
      </c>
      <c r="C67" s="15"/>
      <c r="D67" s="118"/>
    </row>
    <row r="68" spans="2:4" ht="12" customHeight="1">
      <c r="B68" s="2" t="s">
        <v>1504</v>
      </c>
      <c r="C68" s="15" t="s">
        <v>44</v>
      </c>
      <c r="D68" s="118">
        <f>'Input '!F255</f>
        <v>627042.06242176867</v>
      </c>
    </row>
    <row r="69" spans="2:4" ht="12" customHeight="1">
      <c r="B69" s="2" t="s">
        <v>968</v>
      </c>
      <c r="C69" s="15" t="s">
        <v>44</v>
      </c>
      <c r="D69" s="118">
        <f>'Input '!F256</f>
        <v>0</v>
      </c>
    </row>
    <row r="70" spans="2:4" ht="12" customHeight="1">
      <c r="B70" s="2" t="s">
        <v>969</v>
      </c>
      <c r="C70" s="15" t="s">
        <v>44</v>
      </c>
      <c r="D70" s="118">
        <f>'Input '!F257*(1+C31)</f>
        <v>1240000</v>
      </c>
    </row>
    <row r="71" spans="2:4" ht="12" customHeight="1">
      <c r="B71" s="2" t="s">
        <v>970</v>
      </c>
      <c r="C71" s="15" t="s">
        <v>44</v>
      </c>
      <c r="D71" s="118">
        <f>'Input '!F258</f>
        <v>6572000</v>
      </c>
    </row>
    <row r="72" spans="2:4" ht="12" customHeight="1">
      <c r="B72" s="2" t="s">
        <v>971</v>
      </c>
      <c r="C72" s="15" t="s">
        <v>44</v>
      </c>
      <c r="D72" s="118">
        <f>'Input '!F259</f>
        <v>377710</v>
      </c>
    </row>
    <row r="73" spans="2:4" ht="12" customHeight="1">
      <c r="B73" s="2" t="s">
        <v>972</v>
      </c>
      <c r="C73" s="15" t="s">
        <v>44</v>
      </c>
      <c r="D73" s="118">
        <f>'Input '!F260</f>
        <v>1413766</v>
      </c>
    </row>
    <row r="74" spans="2:4" ht="12" customHeight="1">
      <c r="B74" s="2" t="s">
        <v>973</v>
      </c>
      <c r="C74" s="15" t="s">
        <v>44</v>
      </c>
      <c r="D74" s="118">
        <f>'Input '!F261</f>
        <v>1620891</v>
      </c>
    </row>
    <row r="75" spans="2:4" ht="10.9" customHeight="1">
      <c r="C75" s="15"/>
      <c r="D75" s="118"/>
    </row>
    <row r="76" spans="2:4" ht="10.9" customHeight="1">
      <c r="B76" s="586" t="s">
        <v>1626</v>
      </c>
      <c r="C76" s="15"/>
      <c r="D76" s="118"/>
    </row>
    <row r="77" spans="2:4" ht="10.9" customHeight="1">
      <c r="B77" s="2" t="s">
        <v>1223</v>
      </c>
      <c r="C77" s="15"/>
      <c r="D77" s="118">
        <f>'Input '!F266</f>
        <v>43271455.281119995</v>
      </c>
    </row>
    <row r="78" spans="2:4" ht="10.9" customHeight="1">
      <c r="B78" s="2" t="s">
        <v>1478</v>
      </c>
      <c r="C78" s="15"/>
      <c r="D78" s="118">
        <f>'Input '!F267</f>
        <v>0</v>
      </c>
    </row>
    <row r="79" spans="2:4" ht="10.9" customHeight="1">
      <c r="B79" s="2" t="s">
        <v>1018</v>
      </c>
      <c r="C79" s="15"/>
      <c r="D79" s="118">
        <f>'Input '!F268</f>
        <v>0</v>
      </c>
    </row>
    <row r="80" spans="2:4" ht="10.9" customHeight="1">
      <c r="B80" s="2" t="s">
        <v>969</v>
      </c>
      <c r="C80" s="15"/>
      <c r="D80" s="118">
        <f>'Input '!F269</f>
        <v>907600.04409657163</v>
      </c>
    </row>
    <row r="81" spans="2:52" ht="10.9" customHeight="1">
      <c r="B81" s="2" t="s">
        <v>970</v>
      </c>
      <c r="C81" s="15"/>
      <c r="D81" s="118">
        <f>'Input '!F270</f>
        <v>11194323.942233492</v>
      </c>
    </row>
    <row r="82" spans="2:52" ht="10.9" customHeight="1">
      <c r="B82" s="2" t="s">
        <v>971</v>
      </c>
      <c r="C82" s="15"/>
      <c r="D82" s="118">
        <f>'Input '!F271</f>
        <v>273963.53213537647</v>
      </c>
    </row>
    <row r="83" spans="2:52" ht="10.9" customHeight="1">
      <c r="B83" s="2" t="s">
        <v>972</v>
      </c>
      <c r="C83" s="15"/>
      <c r="D83" s="118">
        <f>'Input '!F272</f>
        <v>2030098.7763201413</v>
      </c>
    </row>
    <row r="84" spans="2:52" ht="10.9" customHeight="1">
      <c r="B84" s="489" t="s">
        <v>973</v>
      </c>
      <c r="C84" s="15"/>
      <c r="D84" s="118">
        <f>'Input '!F273</f>
        <v>714013.70521441964</v>
      </c>
    </row>
    <row r="85" spans="2:52" ht="10.9" customHeight="1">
      <c r="C85" s="15"/>
      <c r="D85" s="118"/>
    </row>
    <row r="86" spans="2:52">
      <c r="C86" s="15"/>
      <c r="D86" s="118"/>
    </row>
    <row r="87" spans="2:52">
      <c r="C87" s="15"/>
      <c r="D87" s="118"/>
    </row>
    <row r="88" spans="2:52">
      <c r="C88" s="15" t="str">
        <f>$C$39</f>
        <v>US$</v>
      </c>
      <c r="D88" s="118"/>
    </row>
    <row r="89" spans="2:52">
      <c r="B89" s="26" t="s">
        <v>323</v>
      </c>
      <c r="C89" s="15"/>
      <c r="D89" s="53"/>
    </row>
    <row r="90" spans="2:52">
      <c r="B90" s="586" t="s">
        <v>961</v>
      </c>
      <c r="C90" s="15"/>
    </row>
    <row r="91" spans="2:52">
      <c r="B91" s="2" t="s">
        <v>1616</v>
      </c>
      <c r="C91" s="15" t="str">
        <f>IF('Input '!$F$9=1,"US$","=N=")</f>
        <v>US$</v>
      </c>
      <c r="D91" s="53">
        <f ca="1">SUM(I91:AW91)</f>
        <v>17498086.958516415</v>
      </c>
      <c r="I91" s="41">
        <f>$D$38*I27</f>
        <v>0</v>
      </c>
      <c r="J91" s="41">
        <f>$D$38*J27</f>
        <v>0</v>
      </c>
      <c r="K91" s="41">
        <f ca="1">$D$38*K27</f>
        <v>624930.67466666666</v>
      </c>
      <c r="L91" s="41">
        <f ca="1">$D$38*L27</f>
        <v>624930.67466666666</v>
      </c>
      <c r="M91" s="41">
        <f t="shared" ref="M91:AW91" ca="1" si="4">$D$38*M27</f>
        <v>624930.67466666666</v>
      </c>
      <c r="N91" s="41">
        <f t="shared" ca="1" si="4"/>
        <v>623223.21380692162</v>
      </c>
      <c r="O91" s="41">
        <f t="shared" ca="1" si="4"/>
        <v>626642.81350136991</v>
      </c>
      <c r="P91" s="41">
        <f t="shared" ca="1" si="4"/>
        <v>624930.67466666666</v>
      </c>
      <c r="Q91" s="41">
        <f t="shared" ca="1" si="4"/>
        <v>624930.67466666666</v>
      </c>
      <c r="R91" s="41">
        <f t="shared" ca="1" si="4"/>
        <v>623223.21380692162</v>
      </c>
      <c r="S91" s="41">
        <f t="shared" ca="1" si="4"/>
        <v>626642.81350136991</v>
      </c>
      <c r="T91" s="41">
        <f t="shared" ca="1" si="4"/>
        <v>624930.67466666666</v>
      </c>
      <c r="U91" s="41">
        <f t="shared" ca="1" si="4"/>
        <v>624930.67466666666</v>
      </c>
      <c r="V91" s="41">
        <f t="shared" ca="1" si="4"/>
        <v>623223.21380692162</v>
      </c>
      <c r="W91" s="41">
        <f t="shared" ca="1" si="4"/>
        <v>626642.81350136991</v>
      </c>
      <c r="X91" s="41">
        <f t="shared" ca="1" si="4"/>
        <v>624930.67466666666</v>
      </c>
      <c r="Y91" s="41">
        <f t="shared" ca="1" si="4"/>
        <v>624930.67466666666</v>
      </c>
      <c r="Z91" s="41">
        <f t="shared" ca="1" si="4"/>
        <v>623223.21380692162</v>
      </c>
      <c r="AA91" s="41">
        <f t="shared" ca="1" si="4"/>
        <v>626642.81350136991</v>
      </c>
      <c r="AB91" s="41">
        <f t="shared" ca="1" si="4"/>
        <v>624930.67466666666</v>
      </c>
      <c r="AC91" s="41">
        <f t="shared" ca="1" si="4"/>
        <v>624930.67466666666</v>
      </c>
      <c r="AD91" s="41">
        <f t="shared" ca="1" si="4"/>
        <v>623223.21380692162</v>
      </c>
      <c r="AE91" s="41">
        <f t="shared" ca="1" si="4"/>
        <v>626642.81350136991</v>
      </c>
      <c r="AF91" s="41">
        <f t="shared" ca="1" si="4"/>
        <v>624930.67466666666</v>
      </c>
      <c r="AG91" s="41">
        <f t="shared" ca="1" si="4"/>
        <v>624930.67466666666</v>
      </c>
      <c r="AH91" s="41">
        <f t="shared" ca="1" si="4"/>
        <v>623223.21380692162</v>
      </c>
      <c r="AI91" s="41">
        <f t="shared" ca="1" si="4"/>
        <v>626642.81350136991</v>
      </c>
      <c r="AJ91" s="41">
        <f t="shared" ca="1" si="4"/>
        <v>624930.67466666666</v>
      </c>
      <c r="AK91" s="41">
        <f t="shared" ca="1" si="4"/>
        <v>624930.67466666666</v>
      </c>
      <c r="AL91" s="41">
        <f t="shared" ca="1" si="4"/>
        <v>624930.67466666666</v>
      </c>
      <c r="AM91" s="41">
        <f t="shared" si="4"/>
        <v>0</v>
      </c>
      <c r="AN91" s="41">
        <f t="shared" si="4"/>
        <v>0</v>
      </c>
      <c r="AO91" s="41">
        <f t="shared" si="4"/>
        <v>0</v>
      </c>
      <c r="AP91" s="41">
        <f t="shared" si="4"/>
        <v>0</v>
      </c>
      <c r="AQ91" s="41">
        <f t="shared" si="4"/>
        <v>0</v>
      </c>
      <c r="AR91" s="41">
        <f t="shared" si="4"/>
        <v>0</v>
      </c>
      <c r="AS91" s="41">
        <f t="shared" si="4"/>
        <v>0</v>
      </c>
      <c r="AT91" s="41">
        <f t="shared" si="4"/>
        <v>0</v>
      </c>
      <c r="AU91" s="41">
        <f t="shared" si="4"/>
        <v>0</v>
      </c>
      <c r="AV91" s="41">
        <f t="shared" si="4"/>
        <v>0</v>
      </c>
      <c r="AW91" s="41">
        <f t="shared" si="4"/>
        <v>0</v>
      </c>
      <c r="AY91" s="41">
        <f>$D$38*AY24*Sens_Opcost</f>
        <v>0</v>
      </c>
      <c r="AZ91" s="41">
        <f>$D$38*AZ24*Sens_Opcost</f>
        <v>0</v>
      </c>
    </row>
    <row r="92" spans="2:52">
      <c r="B92" s="2" t="s">
        <v>968</v>
      </c>
      <c r="C92" s="15" t="str">
        <f>IF('Input '!$F$9=1,"US$","=N=")</f>
        <v>US$</v>
      </c>
      <c r="D92" s="53">
        <f t="shared" ref="D92:D97" ca="1" si="5">SUM(I92:AW92)</f>
        <v>0</v>
      </c>
      <c r="I92" s="41">
        <f>$D$39*I27</f>
        <v>0</v>
      </c>
      <c r="J92" s="41">
        <f>$D$39*J27</f>
        <v>0</v>
      </c>
      <c r="K92" s="41">
        <f ca="1">$D$39*K27</f>
        <v>0</v>
      </c>
      <c r="L92" s="41">
        <f t="shared" ref="L92:AW92" ca="1" si="6">$D$39*L27</f>
        <v>0</v>
      </c>
      <c r="M92" s="41">
        <f t="shared" ca="1" si="6"/>
        <v>0</v>
      </c>
      <c r="N92" s="41">
        <f t="shared" ca="1" si="6"/>
        <v>0</v>
      </c>
      <c r="O92" s="41">
        <f t="shared" ca="1" si="6"/>
        <v>0</v>
      </c>
      <c r="P92" s="41">
        <f t="shared" ca="1" si="6"/>
        <v>0</v>
      </c>
      <c r="Q92" s="41">
        <f t="shared" ca="1" si="6"/>
        <v>0</v>
      </c>
      <c r="R92" s="41">
        <f t="shared" ca="1" si="6"/>
        <v>0</v>
      </c>
      <c r="S92" s="41">
        <f t="shared" ca="1" si="6"/>
        <v>0</v>
      </c>
      <c r="T92" s="41">
        <f t="shared" ca="1" si="6"/>
        <v>0</v>
      </c>
      <c r="U92" s="41">
        <f t="shared" ca="1" si="6"/>
        <v>0</v>
      </c>
      <c r="V92" s="41">
        <f t="shared" ca="1" si="6"/>
        <v>0</v>
      </c>
      <c r="W92" s="41">
        <f t="shared" ca="1" si="6"/>
        <v>0</v>
      </c>
      <c r="X92" s="41">
        <f t="shared" ca="1" si="6"/>
        <v>0</v>
      </c>
      <c r="Y92" s="41">
        <f t="shared" ca="1" si="6"/>
        <v>0</v>
      </c>
      <c r="Z92" s="41">
        <f t="shared" ca="1" si="6"/>
        <v>0</v>
      </c>
      <c r="AA92" s="41">
        <f t="shared" ca="1" si="6"/>
        <v>0</v>
      </c>
      <c r="AB92" s="41">
        <f t="shared" ca="1" si="6"/>
        <v>0</v>
      </c>
      <c r="AC92" s="41">
        <f t="shared" ca="1" si="6"/>
        <v>0</v>
      </c>
      <c r="AD92" s="41">
        <f t="shared" ca="1" si="6"/>
        <v>0</v>
      </c>
      <c r="AE92" s="41">
        <f t="shared" ca="1" si="6"/>
        <v>0</v>
      </c>
      <c r="AF92" s="41">
        <f t="shared" ca="1" si="6"/>
        <v>0</v>
      </c>
      <c r="AG92" s="41">
        <f t="shared" ca="1" si="6"/>
        <v>0</v>
      </c>
      <c r="AH92" s="41">
        <f t="shared" ca="1" si="6"/>
        <v>0</v>
      </c>
      <c r="AI92" s="41">
        <f t="shared" ca="1" si="6"/>
        <v>0</v>
      </c>
      <c r="AJ92" s="41">
        <f t="shared" ca="1" si="6"/>
        <v>0</v>
      </c>
      <c r="AK92" s="41">
        <f t="shared" ca="1" si="6"/>
        <v>0</v>
      </c>
      <c r="AL92" s="41">
        <f t="shared" ca="1" si="6"/>
        <v>0</v>
      </c>
      <c r="AM92" s="41">
        <f t="shared" si="6"/>
        <v>0</v>
      </c>
      <c r="AN92" s="41">
        <f t="shared" si="6"/>
        <v>0</v>
      </c>
      <c r="AO92" s="41">
        <f t="shared" si="6"/>
        <v>0</v>
      </c>
      <c r="AP92" s="41">
        <f t="shared" si="6"/>
        <v>0</v>
      </c>
      <c r="AQ92" s="41">
        <f t="shared" si="6"/>
        <v>0</v>
      </c>
      <c r="AR92" s="41">
        <f t="shared" si="6"/>
        <v>0</v>
      </c>
      <c r="AS92" s="41">
        <f t="shared" si="6"/>
        <v>0</v>
      </c>
      <c r="AT92" s="41">
        <f t="shared" si="6"/>
        <v>0</v>
      </c>
      <c r="AU92" s="41">
        <f t="shared" si="6"/>
        <v>0</v>
      </c>
      <c r="AV92" s="41">
        <f t="shared" si="6"/>
        <v>0</v>
      </c>
      <c r="AW92" s="41">
        <f t="shared" si="6"/>
        <v>0</v>
      </c>
      <c r="AY92" s="41">
        <f>$D$39*AY24*Sens_Opcost</f>
        <v>0</v>
      </c>
      <c r="AZ92" s="41">
        <f>$D$39*AZ24*Sens_Opcost</f>
        <v>0</v>
      </c>
    </row>
    <row r="93" spans="2:52" ht="10.9" customHeight="1">
      <c r="B93" s="2" t="s">
        <v>969</v>
      </c>
      <c r="C93" s="15" t="str">
        <f>IF('Input '!$F$9=1,"US$","=N=")</f>
        <v>US$</v>
      </c>
      <c r="D93" s="53">
        <f t="shared" ca="1" si="5"/>
        <v>44730071.749382436</v>
      </c>
      <c r="I93" s="41">
        <f>$D$40*I27</f>
        <v>0</v>
      </c>
      <c r="J93" s="41">
        <f>$D$40*J27</f>
        <v>0</v>
      </c>
      <c r="K93" s="41">
        <f ca="1">$D$40*K27</f>
        <v>1597500</v>
      </c>
      <c r="L93" s="41">
        <f t="shared" ref="L93:AW93" ca="1" si="7">$D$40*L27</f>
        <v>1597500</v>
      </c>
      <c r="M93" s="41">
        <f t="shared" ca="1" si="7"/>
        <v>1597500</v>
      </c>
      <c r="N93" s="41">
        <f t="shared" ca="1" si="7"/>
        <v>1593135.2459016393</v>
      </c>
      <c r="O93" s="41">
        <f t="shared" ca="1" si="7"/>
        <v>1601876.7123287672</v>
      </c>
      <c r="P93" s="41">
        <f t="shared" ca="1" si="7"/>
        <v>1597500</v>
      </c>
      <c r="Q93" s="41">
        <f t="shared" ca="1" si="7"/>
        <v>1597500</v>
      </c>
      <c r="R93" s="41">
        <f t="shared" ca="1" si="7"/>
        <v>1593135.2459016393</v>
      </c>
      <c r="S93" s="41">
        <f t="shared" ca="1" si="7"/>
        <v>1601876.7123287672</v>
      </c>
      <c r="T93" s="41">
        <f t="shared" ca="1" si="7"/>
        <v>1597500</v>
      </c>
      <c r="U93" s="41">
        <f t="shared" ca="1" si="7"/>
        <v>1597500</v>
      </c>
      <c r="V93" s="41">
        <f t="shared" ca="1" si="7"/>
        <v>1593135.2459016393</v>
      </c>
      <c r="W93" s="41">
        <f t="shared" ca="1" si="7"/>
        <v>1601876.7123287672</v>
      </c>
      <c r="X93" s="41">
        <f t="shared" ca="1" si="7"/>
        <v>1597500</v>
      </c>
      <c r="Y93" s="41">
        <f t="shared" ca="1" si="7"/>
        <v>1597500</v>
      </c>
      <c r="Z93" s="41">
        <f t="shared" ca="1" si="7"/>
        <v>1593135.2459016393</v>
      </c>
      <c r="AA93" s="41">
        <f t="shared" ca="1" si="7"/>
        <v>1601876.7123287672</v>
      </c>
      <c r="AB93" s="41">
        <f t="shared" ca="1" si="7"/>
        <v>1597500</v>
      </c>
      <c r="AC93" s="41">
        <f t="shared" ca="1" si="7"/>
        <v>1597500</v>
      </c>
      <c r="AD93" s="41">
        <f t="shared" ca="1" si="7"/>
        <v>1593135.2459016393</v>
      </c>
      <c r="AE93" s="41">
        <f t="shared" ca="1" si="7"/>
        <v>1601876.7123287672</v>
      </c>
      <c r="AF93" s="41">
        <f t="shared" ca="1" si="7"/>
        <v>1597500</v>
      </c>
      <c r="AG93" s="41">
        <f t="shared" ca="1" si="7"/>
        <v>1597500</v>
      </c>
      <c r="AH93" s="41">
        <f t="shared" ca="1" si="7"/>
        <v>1593135.2459016393</v>
      </c>
      <c r="AI93" s="41">
        <f t="shared" ca="1" si="7"/>
        <v>1601876.7123287672</v>
      </c>
      <c r="AJ93" s="41">
        <f t="shared" ca="1" si="7"/>
        <v>1597500</v>
      </c>
      <c r="AK93" s="41">
        <f t="shared" ca="1" si="7"/>
        <v>1597500</v>
      </c>
      <c r="AL93" s="41">
        <f t="shared" ca="1" si="7"/>
        <v>1597500</v>
      </c>
      <c r="AM93" s="41">
        <f t="shared" si="7"/>
        <v>0</v>
      </c>
      <c r="AN93" s="41">
        <f t="shared" si="7"/>
        <v>0</v>
      </c>
      <c r="AO93" s="41">
        <f t="shared" si="7"/>
        <v>0</v>
      </c>
      <c r="AP93" s="41">
        <f t="shared" si="7"/>
        <v>0</v>
      </c>
      <c r="AQ93" s="41">
        <f t="shared" si="7"/>
        <v>0</v>
      </c>
      <c r="AR93" s="41">
        <f t="shared" si="7"/>
        <v>0</v>
      </c>
      <c r="AS93" s="41">
        <f t="shared" si="7"/>
        <v>0</v>
      </c>
      <c r="AT93" s="41">
        <f t="shared" si="7"/>
        <v>0</v>
      </c>
      <c r="AU93" s="41">
        <f t="shared" si="7"/>
        <v>0</v>
      </c>
      <c r="AV93" s="41">
        <f t="shared" si="7"/>
        <v>0</v>
      </c>
      <c r="AW93" s="41">
        <f t="shared" si="7"/>
        <v>0</v>
      </c>
      <c r="AY93" s="41">
        <f>$D$40*AY24*Sens_Opcost</f>
        <v>0</v>
      </c>
      <c r="AZ93" s="41">
        <f>$D$40*AZ24*Sens_Opcost</f>
        <v>0</v>
      </c>
    </row>
    <row r="94" spans="2:52" ht="10.9" customHeight="1">
      <c r="B94" s="2" t="s">
        <v>970</v>
      </c>
      <c r="C94" s="15" t="str">
        <f>IF('Input '!$F$9=1,"US$","=N=")</f>
        <v>US$</v>
      </c>
      <c r="D94" s="53">
        <f t="shared" ca="1" si="5"/>
        <v>237069380.27172694</v>
      </c>
      <c r="I94" s="41">
        <f>$D$41*I27</f>
        <v>0</v>
      </c>
      <c r="J94" s="41">
        <f>$D$41*J27</f>
        <v>0</v>
      </c>
      <c r="K94" s="41">
        <f ca="1">$D$41*K27</f>
        <v>8466750</v>
      </c>
      <c r="L94" s="41">
        <f t="shared" ref="L94:AW94" ca="1" si="8">$D$41*L27</f>
        <v>8466750</v>
      </c>
      <c r="M94" s="41">
        <f t="shared" ca="1" si="8"/>
        <v>8466750</v>
      </c>
      <c r="N94" s="41">
        <f t="shared" ca="1" si="8"/>
        <v>8443616.8032786883</v>
      </c>
      <c r="O94" s="41">
        <f t="shared" ca="1" si="8"/>
        <v>8489946.5753424671</v>
      </c>
      <c r="P94" s="41">
        <f t="shared" ca="1" si="8"/>
        <v>8466750</v>
      </c>
      <c r="Q94" s="41">
        <f t="shared" ca="1" si="8"/>
        <v>8466750</v>
      </c>
      <c r="R94" s="41">
        <f t="shared" ca="1" si="8"/>
        <v>8443616.8032786883</v>
      </c>
      <c r="S94" s="41">
        <f t="shared" ca="1" si="8"/>
        <v>8489946.5753424671</v>
      </c>
      <c r="T94" s="41">
        <f t="shared" ca="1" si="8"/>
        <v>8466750</v>
      </c>
      <c r="U94" s="41">
        <f t="shared" ca="1" si="8"/>
        <v>8466750</v>
      </c>
      <c r="V94" s="41">
        <f t="shared" ca="1" si="8"/>
        <v>8443616.8032786883</v>
      </c>
      <c r="W94" s="41">
        <f t="shared" ca="1" si="8"/>
        <v>8489946.5753424671</v>
      </c>
      <c r="X94" s="41">
        <f t="shared" ca="1" si="8"/>
        <v>8466750</v>
      </c>
      <c r="Y94" s="41">
        <f t="shared" ca="1" si="8"/>
        <v>8466750</v>
      </c>
      <c r="Z94" s="41">
        <f t="shared" ca="1" si="8"/>
        <v>8443616.8032786883</v>
      </c>
      <c r="AA94" s="41">
        <f t="shared" ca="1" si="8"/>
        <v>8489946.5753424671</v>
      </c>
      <c r="AB94" s="41">
        <f t="shared" ca="1" si="8"/>
        <v>8466750</v>
      </c>
      <c r="AC94" s="41">
        <f t="shared" ca="1" si="8"/>
        <v>8466750</v>
      </c>
      <c r="AD94" s="41">
        <f t="shared" ca="1" si="8"/>
        <v>8443616.8032786883</v>
      </c>
      <c r="AE94" s="41">
        <f t="shared" ca="1" si="8"/>
        <v>8489946.5753424671</v>
      </c>
      <c r="AF94" s="41">
        <f t="shared" ca="1" si="8"/>
        <v>8466750</v>
      </c>
      <c r="AG94" s="41">
        <f t="shared" ca="1" si="8"/>
        <v>8466750</v>
      </c>
      <c r="AH94" s="41">
        <f t="shared" ca="1" si="8"/>
        <v>8443616.8032786883</v>
      </c>
      <c r="AI94" s="41">
        <f t="shared" ca="1" si="8"/>
        <v>8489946.5753424671</v>
      </c>
      <c r="AJ94" s="41">
        <f t="shared" ca="1" si="8"/>
        <v>8466750</v>
      </c>
      <c r="AK94" s="41">
        <f t="shared" ca="1" si="8"/>
        <v>8466750</v>
      </c>
      <c r="AL94" s="41">
        <f t="shared" ca="1" si="8"/>
        <v>8466750</v>
      </c>
      <c r="AM94" s="41">
        <f t="shared" si="8"/>
        <v>0</v>
      </c>
      <c r="AN94" s="41">
        <f t="shared" si="8"/>
        <v>0</v>
      </c>
      <c r="AO94" s="41">
        <f t="shared" si="8"/>
        <v>0</v>
      </c>
      <c r="AP94" s="41">
        <f t="shared" si="8"/>
        <v>0</v>
      </c>
      <c r="AQ94" s="41">
        <f t="shared" si="8"/>
        <v>0</v>
      </c>
      <c r="AR94" s="41">
        <f t="shared" si="8"/>
        <v>0</v>
      </c>
      <c r="AS94" s="41">
        <f t="shared" si="8"/>
        <v>0</v>
      </c>
      <c r="AT94" s="41">
        <f t="shared" si="8"/>
        <v>0</v>
      </c>
      <c r="AU94" s="41">
        <f t="shared" si="8"/>
        <v>0</v>
      </c>
      <c r="AV94" s="41">
        <f t="shared" si="8"/>
        <v>0</v>
      </c>
      <c r="AW94" s="41">
        <f t="shared" si="8"/>
        <v>0</v>
      </c>
      <c r="AY94" s="41">
        <f>$D$41*AY24*Sens_Opcost</f>
        <v>0</v>
      </c>
      <c r="AZ94" s="41">
        <f>$D$41*AZ24*Sens_Opcost</f>
        <v>0</v>
      </c>
    </row>
    <row r="95" spans="2:52" ht="10.9" customHeight="1">
      <c r="B95" s="2" t="s">
        <v>971</v>
      </c>
      <c r="C95" s="15" t="str">
        <f>IF('Input '!$F$9=1,"US$","=N=")</f>
        <v>US$</v>
      </c>
      <c r="D95" s="53">
        <f t="shared" ca="1" si="5"/>
        <v>13624989.855198743</v>
      </c>
      <c r="I95" s="42">
        <f>$D$42*I27</f>
        <v>0</v>
      </c>
      <c r="J95" s="42">
        <f>$D$42*J27</f>
        <v>0</v>
      </c>
      <c r="K95" s="42">
        <f ca="1">$D$42*K27</f>
        <v>486606</v>
      </c>
      <c r="L95" s="42">
        <f t="shared" ref="L95:AW95" ca="1" si="9">$D$42*L27</f>
        <v>486606</v>
      </c>
      <c r="M95" s="42">
        <f t="shared" ca="1" si="9"/>
        <v>486606</v>
      </c>
      <c r="N95" s="42">
        <f t="shared" ca="1" si="9"/>
        <v>485276.47540983604</v>
      </c>
      <c r="O95" s="42">
        <f t="shared" ca="1" si="9"/>
        <v>487939.16712328774</v>
      </c>
      <c r="P95" s="42">
        <f t="shared" ca="1" si="9"/>
        <v>486606</v>
      </c>
      <c r="Q95" s="42">
        <f t="shared" ca="1" si="9"/>
        <v>486606</v>
      </c>
      <c r="R95" s="42">
        <f t="shared" ca="1" si="9"/>
        <v>485276.47540983604</v>
      </c>
      <c r="S95" s="42">
        <f t="shared" ca="1" si="9"/>
        <v>487939.16712328774</v>
      </c>
      <c r="T95" s="42">
        <f t="shared" ca="1" si="9"/>
        <v>486606</v>
      </c>
      <c r="U95" s="42">
        <f t="shared" ca="1" si="9"/>
        <v>486606</v>
      </c>
      <c r="V95" s="42">
        <f t="shared" ca="1" si="9"/>
        <v>485276.47540983604</v>
      </c>
      <c r="W95" s="42">
        <f t="shared" ca="1" si="9"/>
        <v>487939.16712328774</v>
      </c>
      <c r="X95" s="42">
        <f t="shared" ca="1" si="9"/>
        <v>486606</v>
      </c>
      <c r="Y95" s="42">
        <f t="shared" ca="1" si="9"/>
        <v>486606</v>
      </c>
      <c r="Z95" s="42">
        <f t="shared" ca="1" si="9"/>
        <v>485276.47540983604</v>
      </c>
      <c r="AA95" s="42">
        <f t="shared" ca="1" si="9"/>
        <v>487939.16712328774</v>
      </c>
      <c r="AB95" s="42">
        <f t="shared" ca="1" si="9"/>
        <v>486606</v>
      </c>
      <c r="AC95" s="42">
        <f t="shared" ca="1" si="9"/>
        <v>486606</v>
      </c>
      <c r="AD95" s="42">
        <f t="shared" ca="1" si="9"/>
        <v>485276.47540983604</v>
      </c>
      <c r="AE95" s="42">
        <f t="shared" ca="1" si="9"/>
        <v>487939.16712328774</v>
      </c>
      <c r="AF95" s="42">
        <f t="shared" ca="1" si="9"/>
        <v>486606</v>
      </c>
      <c r="AG95" s="42">
        <f t="shared" ca="1" si="9"/>
        <v>486606</v>
      </c>
      <c r="AH95" s="42">
        <f t="shared" ca="1" si="9"/>
        <v>485276.47540983604</v>
      </c>
      <c r="AI95" s="42">
        <f t="shared" ca="1" si="9"/>
        <v>487939.16712328774</v>
      </c>
      <c r="AJ95" s="42">
        <f t="shared" ca="1" si="9"/>
        <v>486606</v>
      </c>
      <c r="AK95" s="42">
        <f t="shared" ca="1" si="9"/>
        <v>486606</v>
      </c>
      <c r="AL95" s="42">
        <f t="shared" ca="1" si="9"/>
        <v>486606</v>
      </c>
      <c r="AM95" s="42">
        <f t="shared" si="9"/>
        <v>0</v>
      </c>
      <c r="AN95" s="42">
        <f t="shared" si="9"/>
        <v>0</v>
      </c>
      <c r="AO95" s="42">
        <f t="shared" si="9"/>
        <v>0</v>
      </c>
      <c r="AP95" s="42">
        <f t="shared" si="9"/>
        <v>0</v>
      </c>
      <c r="AQ95" s="42">
        <f t="shared" si="9"/>
        <v>0</v>
      </c>
      <c r="AR95" s="42">
        <f t="shared" si="9"/>
        <v>0</v>
      </c>
      <c r="AS95" s="42">
        <f t="shared" si="9"/>
        <v>0</v>
      </c>
      <c r="AT95" s="42">
        <f t="shared" si="9"/>
        <v>0</v>
      </c>
      <c r="AU95" s="42">
        <f t="shared" si="9"/>
        <v>0</v>
      </c>
      <c r="AV95" s="42">
        <f t="shared" si="9"/>
        <v>0</v>
      </c>
      <c r="AW95" s="42">
        <f t="shared" si="9"/>
        <v>0</v>
      </c>
      <c r="AY95" s="42">
        <f>$D$42*AY24*Sens_Opcost</f>
        <v>0</v>
      </c>
      <c r="AZ95" s="42">
        <f>$D$42*AZ24*Sens_Opcost</f>
        <v>0</v>
      </c>
    </row>
    <row r="96" spans="2:52" ht="10.9" customHeight="1">
      <c r="B96" s="2" t="s">
        <v>972</v>
      </c>
      <c r="C96" s="15" t="str">
        <f>$C$39</f>
        <v>US$</v>
      </c>
      <c r="D96" s="53">
        <f t="shared" ca="1" si="5"/>
        <v>50998273.803907484</v>
      </c>
      <c r="I96" s="42">
        <f>$D$43*I27</f>
        <v>0</v>
      </c>
      <c r="J96" s="42">
        <f>$D$43*J27</f>
        <v>0</v>
      </c>
      <c r="K96" s="42">
        <f ca="1">$D$43*K27</f>
        <v>1821364</v>
      </c>
      <c r="L96" s="42">
        <f t="shared" ref="L96:AW96" ca="1" si="10">$D$43*L27</f>
        <v>1821364</v>
      </c>
      <c r="M96" s="42">
        <f t="shared" ca="1" si="10"/>
        <v>1821364</v>
      </c>
      <c r="N96" s="42">
        <f t="shared" ca="1" si="10"/>
        <v>1816387.5956284152</v>
      </c>
      <c r="O96" s="42">
        <f t="shared" ca="1" si="10"/>
        <v>1826354.0383561645</v>
      </c>
      <c r="P96" s="42">
        <f t="shared" ca="1" si="10"/>
        <v>1821364</v>
      </c>
      <c r="Q96" s="42">
        <f t="shared" ca="1" si="10"/>
        <v>1821364</v>
      </c>
      <c r="R96" s="42">
        <f t="shared" ca="1" si="10"/>
        <v>1816387.5956284152</v>
      </c>
      <c r="S96" s="42">
        <f t="shared" ca="1" si="10"/>
        <v>1826354.0383561645</v>
      </c>
      <c r="T96" s="42">
        <f t="shared" ca="1" si="10"/>
        <v>1821364</v>
      </c>
      <c r="U96" s="42">
        <f t="shared" ca="1" si="10"/>
        <v>1821364</v>
      </c>
      <c r="V96" s="42">
        <f t="shared" ca="1" si="10"/>
        <v>1816387.5956284152</v>
      </c>
      <c r="W96" s="42">
        <f t="shared" ca="1" si="10"/>
        <v>1826354.0383561645</v>
      </c>
      <c r="X96" s="42">
        <f t="shared" ca="1" si="10"/>
        <v>1821364</v>
      </c>
      <c r="Y96" s="42">
        <f t="shared" ca="1" si="10"/>
        <v>1821364</v>
      </c>
      <c r="Z96" s="42">
        <f t="shared" ca="1" si="10"/>
        <v>1816387.5956284152</v>
      </c>
      <c r="AA96" s="42">
        <f t="shared" ca="1" si="10"/>
        <v>1826354.0383561645</v>
      </c>
      <c r="AB96" s="42">
        <f t="shared" ca="1" si="10"/>
        <v>1821364</v>
      </c>
      <c r="AC96" s="42">
        <f t="shared" ca="1" si="10"/>
        <v>1821364</v>
      </c>
      <c r="AD96" s="42">
        <f t="shared" ca="1" si="10"/>
        <v>1816387.5956284152</v>
      </c>
      <c r="AE96" s="42">
        <f t="shared" ca="1" si="10"/>
        <v>1826354.0383561645</v>
      </c>
      <c r="AF96" s="42">
        <f t="shared" ca="1" si="10"/>
        <v>1821364</v>
      </c>
      <c r="AG96" s="42">
        <f t="shared" ca="1" si="10"/>
        <v>1821364</v>
      </c>
      <c r="AH96" s="42">
        <f t="shared" ca="1" si="10"/>
        <v>1816387.5956284152</v>
      </c>
      <c r="AI96" s="42">
        <f t="shared" ca="1" si="10"/>
        <v>1826354.0383561645</v>
      </c>
      <c r="AJ96" s="42">
        <f t="shared" ca="1" si="10"/>
        <v>1821364</v>
      </c>
      <c r="AK96" s="42">
        <f t="shared" ca="1" si="10"/>
        <v>1821364</v>
      </c>
      <c r="AL96" s="42">
        <f t="shared" ca="1" si="10"/>
        <v>1821364</v>
      </c>
      <c r="AM96" s="42">
        <f t="shared" si="10"/>
        <v>0</v>
      </c>
      <c r="AN96" s="42">
        <f t="shared" si="10"/>
        <v>0</v>
      </c>
      <c r="AO96" s="42">
        <f t="shared" si="10"/>
        <v>0</v>
      </c>
      <c r="AP96" s="42">
        <f t="shared" si="10"/>
        <v>0</v>
      </c>
      <c r="AQ96" s="42">
        <f t="shared" si="10"/>
        <v>0</v>
      </c>
      <c r="AR96" s="42">
        <f t="shared" si="10"/>
        <v>0</v>
      </c>
      <c r="AS96" s="42">
        <f t="shared" si="10"/>
        <v>0</v>
      </c>
      <c r="AT96" s="42">
        <f t="shared" si="10"/>
        <v>0</v>
      </c>
      <c r="AU96" s="42">
        <f t="shared" si="10"/>
        <v>0</v>
      </c>
      <c r="AV96" s="42">
        <f t="shared" si="10"/>
        <v>0</v>
      </c>
      <c r="AW96" s="42">
        <f t="shared" si="10"/>
        <v>0</v>
      </c>
      <c r="AY96" s="42">
        <f>$D$43*AY24*Sens_Opcost</f>
        <v>0</v>
      </c>
      <c r="AZ96" s="42">
        <f>$D$43*AZ24*Sens_Opcost</f>
        <v>0</v>
      </c>
    </row>
    <row r="97" spans="2:52" ht="8.4499999999999993" customHeight="1">
      <c r="B97" s="2" t="s">
        <v>973</v>
      </c>
      <c r="C97" s="15" t="str">
        <f>$C$39</f>
        <v>US$</v>
      </c>
      <c r="D97" s="53">
        <f t="shared" ca="1" si="5"/>
        <v>75246340.699079275</v>
      </c>
      <c r="I97" s="42">
        <f>$D$44*I27</f>
        <v>0</v>
      </c>
      <c r="J97" s="42">
        <f>$D$44*J27</f>
        <v>0</v>
      </c>
      <c r="K97" s="42">
        <f ca="1">$D$44*K27</f>
        <v>2687365</v>
      </c>
      <c r="L97" s="42">
        <f t="shared" ref="L97:AW97" ca="1" si="11">$D$44*L27</f>
        <v>2687365</v>
      </c>
      <c r="M97" s="42">
        <f t="shared" ca="1" si="11"/>
        <v>2687365</v>
      </c>
      <c r="N97" s="42">
        <f t="shared" ca="1" si="11"/>
        <v>2680022.4726775954</v>
      </c>
      <c r="O97" s="42">
        <f t="shared" ca="1" si="11"/>
        <v>2694727.6438356168</v>
      </c>
      <c r="P97" s="42">
        <f t="shared" ca="1" si="11"/>
        <v>2687365</v>
      </c>
      <c r="Q97" s="42">
        <f t="shared" ca="1" si="11"/>
        <v>2687365</v>
      </c>
      <c r="R97" s="42">
        <f t="shared" ca="1" si="11"/>
        <v>2680022.4726775954</v>
      </c>
      <c r="S97" s="42">
        <f t="shared" ca="1" si="11"/>
        <v>2694727.6438356168</v>
      </c>
      <c r="T97" s="42">
        <f t="shared" ca="1" si="11"/>
        <v>2687365</v>
      </c>
      <c r="U97" s="42">
        <f t="shared" ca="1" si="11"/>
        <v>2687365</v>
      </c>
      <c r="V97" s="42">
        <f t="shared" ca="1" si="11"/>
        <v>2680022.4726775954</v>
      </c>
      <c r="W97" s="42">
        <f t="shared" ca="1" si="11"/>
        <v>2694727.6438356168</v>
      </c>
      <c r="X97" s="42">
        <f t="shared" ca="1" si="11"/>
        <v>2687365</v>
      </c>
      <c r="Y97" s="42">
        <f t="shared" ca="1" si="11"/>
        <v>2687365</v>
      </c>
      <c r="Z97" s="42">
        <f t="shared" ca="1" si="11"/>
        <v>2680022.4726775954</v>
      </c>
      <c r="AA97" s="42">
        <f t="shared" ca="1" si="11"/>
        <v>2694727.6438356168</v>
      </c>
      <c r="AB97" s="42">
        <f t="shared" ca="1" si="11"/>
        <v>2687365</v>
      </c>
      <c r="AC97" s="42">
        <f t="shared" ca="1" si="11"/>
        <v>2687365</v>
      </c>
      <c r="AD97" s="42">
        <f t="shared" ca="1" si="11"/>
        <v>2680022.4726775954</v>
      </c>
      <c r="AE97" s="42">
        <f t="shared" ca="1" si="11"/>
        <v>2694727.6438356168</v>
      </c>
      <c r="AF97" s="42">
        <f t="shared" ca="1" si="11"/>
        <v>2687365</v>
      </c>
      <c r="AG97" s="42">
        <f t="shared" ca="1" si="11"/>
        <v>2687365</v>
      </c>
      <c r="AH97" s="42">
        <f t="shared" ca="1" si="11"/>
        <v>2680022.4726775954</v>
      </c>
      <c r="AI97" s="42">
        <f t="shared" ca="1" si="11"/>
        <v>2694727.6438356168</v>
      </c>
      <c r="AJ97" s="42">
        <f t="shared" ca="1" si="11"/>
        <v>2687365</v>
      </c>
      <c r="AK97" s="42">
        <f t="shared" ca="1" si="11"/>
        <v>2687365</v>
      </c>
      <c r="AL97" s="42">
        <f t="shared" ca="1" si="11"/>
        <v>2687365</v>
      </c>
      <c r="AM97" s="42">
        <f t="shared" si="11"/>
        <v>0</v>
      </c>
      <c r="AN97" s="42">
        <f t="shared" si="11"/>
        <v>0</v>
      </c>
      <c r="AO97" s="42">
        <f t="shared" si="11"/>
        <v>0</v>
      </c>
      <c r="AP97" s="42">
        <f t="shared" si="11"/>
        <v>0</v>
      </c>
      <c r="AQ97" s="42">
        <f t="shared" si="11"/>
        <v>0</v>
      </c>
      <c r="AR97" s="42">
        <f t="shared" si="11"/>
        <v>0</v>
      </c>
      <c r="AS97" s="42">
        <f t="shared" si="11"/>
        <v>0</v>
      </c>
      <c r="AT97" s="42">
        <f t="shared" si="11"/>
        <v>0</v>
      </c>
      <c r="AU97" s="42">
        <f t="shared" si="11"/>
        <v>0</v>
      </c>
      <c r="AV97" s="42">
        <f t="shared" si="11"/>
        <v>0</v>
      </c>
      <c r="AW97" s="42">
        <f t="shared" si="11"/>
        <v>0</v>
      </c>
      <c r="AY97" s="42">
        <f>$D$44*AY24*Sens_Opcost</f>
        <v>0</v>
      </c>
      <c r="AZ97" s="42">
        <f>$D$44*AZ24*Sens_Opcost</f>
        <v>0</v>
      </c>
    </row>
    <row r="98" spans="2:52" ht="8.4499999999999993" customHeight="1">
      <c r="C98" s="15"/>
      <c r="D98" s="53"/>
      <c r="I98" s="42"/>
      <c r="J98" s="42"/>
      <c r="K98" s="42"/>
      <c r="L98" s="42"/>
      <c r="M98" s="42"/>
      <c r="N98" s="42"/>
      <c r="O98" s="42"/>
      <c r="P98" s="42"/>
      <c r="Q98" s="42"/>
      <c r="R98" s="42"/>
      <c r="S98" s="42"/>
      <c r="T98" s="42"/>
      <c r="U98" s="42"/>
      <c r="V98" s="42"/>
      <c r="W98" s="42"/>
      <c r="X98" s="42"/>
      <c r="Y98" s="42"/>
      <c r="Z98" s="42"/>
      <c r="AA98" s="42"/>
      <c r="AB98" s="42"/>
      <c r="AC98" s="42"/>
      <c r="AD98" s="42"/>
      <c r="AE98" s="42"/>
      <c r="AF98" s="42"/>
      <c r="AG98" s="42"/>
      <c r="AH98" s="42"/>
      <c r="AI98" s="42"/>
    </row>
    <row r="99" spans="2:52" ht="8.4499999999999993" customHeight="1">
      <c r="B99" s="586" t="s">
        <v>981</v>
      </c>
      <c r="C99" s="15"/>
      <c r="D99" s="53"/>
      <c r="I99" s="42"/>
      <c r="J99" s="42"/>
      <c r="K99" s="42"/>
      <c r="L99" s="42"/>
      <c r="M99" s="42"/>
      <c r="N99" s="42"/>
      <c r="O99" s="42"/>
      <c r="P99" s="42"/>
      <c r="Q99" s="42"/>
      <c r="R99" s="42"/>
      <c r="S99" s="42"/>
      <c r="T99" s="42"/>
      <c r="U99" s="42"/>
      <c r="V99" s="42"/>
      <c r="W99" s="42"/>
      <c r="X99" s="42"/>
      <c r="Y99" s="42"/>
      <c r="Z99" s="42"/>
      <c r="AA99" s="42"/>
      <c r="AB99" s="42"/>
      <c r="AC99" s="42"/>
      <c r="AD99" s="42"/>
      <c r="AE99" s="42"/>
      <c r="AF99" s="42"/>
      <c r="AG99" s="42"/>
      <c r="AH99" s="42"/>
      <c r="AI99" s="42"/>
    </row>
    <row r="100" spans="2:52" ht="9" customHeight="1">
      <c r="B100" s="2" t="s">
        <v>1504</v>
      </c>
      <c r="C100" s="15" t="s">
        <v>44</v>
      </c>
      <c r="D100" s="53">
        <f ca="1">SUM(I100:AW100)</f>
        <v>16930163.848067407</v>
      </c>
      <c r="I100" s="42">
        <f>$D$48*I24</f>
        <v>0</v>
      </c>
      <c r="J100" s="42">
        <f t="shared" ref="J100:AW100" si="12">$D$48*J24</f>
        <v>0</v>
      </c>
      <c r="K100" s="42">
        <f>$D$48*K24</f>
        <v>0</v>
      </c>
      <c r="L100" s="42">
        <f t="shared" ca="1" si="12"/>
        <v>627042.06242176867</v>
      </c>
      <c r="M100" s="42">
        <f t="shared" ca="1" si="12"/>
        <v>627042.06242176867</v>
      </c>
      <c r="N100" s="42">
        <f t="shared" ca="1" si="12"/>
        <v>625328.83274302061</v>
      </c>
      <c r="O100" s="42">
        <f t="shared" ca="1" si="12"/>
        <v>628759.98588045849</v>
      </c>
      <c r="P100" s="42">
        <f t="shared" ca="1" si="12"/>
        <v>627042.06242176867</v>
      </c>
      <c r="Q100" s="42">
        <f t="shared" ca="1" si="12"/>
        <v>627042.06242176867</v>
      </c>
      <c r="R100" s="42">
        <f t="shared" ca="1" si="12"/>
        <v>625328.83274302061</v>
      </c>
      <c r="S100" s="42">
        <f t="shared" ca="1" si="12"/>
        <v>628759.98588045849</v>
      </c>
      <c r="T100" s="42">
        <f t="shared" ca="1" si="12"/>
        <v>627042.06242176867</v>
      </c>
      <c r="U100" s="42">
        <f t="shared" ca="1" si="12"/>
        <v>627042.06242176867</v>
      </c>
      <c r="V100" s="42">
        <f t="shared" ca="1" si="12"/>
        <v>625328.83274302061</v>
      </c>
      <c r="W100" s="42">
        <f t="shared" ca="1" si="12"/>
        <v>628759.98588045849</v>
      </c>
      <c r="X100" s="42">
        <f t="shared" ca="1" si="12"/>
        <v>627042.06242176867</v>
      </c>
      <c r="Y100" s="42">
        <f t="shared" ca="1" si="12"/>
        <v>627042.06242176867</v>
      </c>
      <c r="Z100" s="42">
        <f t="shared" ca="1" si="12"/>
        <v>625328.83274302061</v>
      </c>
      <c r="AA100" s="42">
        <f t="shared" ca="1" si="12"/>
        <v>628759.98588045849</v>
      </c>
      <c r="AB100" s="42">
        <f t="shared" ca="1" si="12"/>
        <v>627042.06242176867</v>
      </c>
      <c r="AC100" s="42">
        <f t="shared" ca="1" si="12"/>
        <v>627042.06242176867</v>
      </c>
      <c r="AD100" s="42">
        <f t="shared" ca="1" si="12"/>
        <v>625328.83274302061</v>
      </c>
      <c r="AE100" s="42">
        <f t="shared" ca="1" si="12"/>
        <v>628759.98588045849</v>
      </c>
      <c r="AF100" s="42">
        <f t="shared" ca="1" si="12"/>
        <v>627042.06242176867</v>
      </c>
      <c r="AG100" s="42">
        <f t="shared" ca="1" si="12"/>
        <v>627042.06242176867</v>
      </c>
      <c r="AH100" s="42">
        <f t="shared" ca="1" si="12"/>
        <v>625328.83274302061</v>
      </c>
      <c r="AI100" s="42">
        <f t="shared" ca="1" si="12"/>
        <v>628759.98588045849</v>
      </c>
      <c r="AJ100" s="42">
        <f t="shared" ca="1" si="12"/>
        <v>627042.06242176867</v>
      </c>
      <c r="AK100" s="42">
        <f t="shared" ca="1" si="12"/>
        <v>627042.06242176867</v>
      </c>
      <c r="AL100" s="42">
        <f t="shared" ca="1" si="12"/>
        <v>627042.06242176867</v>
      </c>
      <c r="AM100" s="42">
        <f t="shared" si="12"/>
        <v>0</v>
      </c>
      <c r="AN100" s="42">
        <f t="shared" si="12"/>
        <v>0</v>
      </c>
      <c r="AO100" s="42">
        <f t="shared" si="12"/>
        <v>0</v>
      </c>
      <c r="AP100" s="42">
        <f t="shared" si="12"/>
        <v>0</v>
      </c>
      <c r="AQ100" s="42">
        <f t="shared" si="12"/>
        <v>0</v>
      </c>
      <c r="AR100" s="42">
        <f t="shared" si="12"/>
        <v>0</v>
      </c>
      <c r="AS100" s="42">
        <f t="shared" si="12"/>
        <v>0</v>
      </c>
      <c r="AT100" s="42">
        <f t="shared" si="12"/>
        <v>0</v>
      </c>
      <c r="AU100" s="42">
        <f t="shared" si="12"/>
        <v>0</v>
      </c>
      <c r="AV100" s="42">
        <f t="shared" si="12"/>
        <v>0</v>
      </c>
      <c r="AW100" s="42">
        <f t="shared" si="12"/>
        <v>0</v>
      </c>
    </row>
    <row r="101" spans="2:52" ht="9.6" customHeight="1">
      <c r="B101" s="2" t="s">
        <v>968</v>
      </c>
      <c r="C101" s="15" t="s">
        <v>44</v>
      </c>
      <c r="D101" s="53">
        <f t="shared" ref="D101:D106" ca="1" si="13">SUM(I101:AW101)</f>
        <v>0</v>
      </c>
      <c r="I101" s="42">
        <f>$D$49*I24</f>
        <v>0</v>
      </c>
      <c r="J101" s="42">
        <f t="shared" ref="J101:AW101" si="14">$D$49*J24</f>
        <v>0</v>
      </c>
      <c r="K101" s="42">
        <f t="shared" si="14"/>
        <v>0</v>
      </c>
      <c r="L101" s="42">
        <f t="shared" ca="1" si="14"/>
        <v>0</v>
      </c>
      <c r="M101" s="42">
        <f t="shared" ca="1" si="14"/>
        <v>0</v>
      </c>
      <c r="N101" s="42">
        <f t="shared" ca="1" si="14"/>
        <v>0</v>
      </c>
      <c r="O101" s="42">
        <f t="shared" ca="1" si="14"/>
        <v>0</v>
      </c>
      <c r="P101" s="42">
        <f t="shared" ca="1" si="14"/>
        <v>0</v>
      </c>
      <c r="Q101" s="42">
        <f t="shared" ca="1" si="14"/>
        <v>0</v>
      </c>
      <c r="R101" s="42">
        <f t="shared" ca="1" si="14"/>
        <v>0</v>
      </c>
      <c r="S101" s="42">
        <f t="shared" ca="1" si="14"/>
        <v>0</v>
      </c>
      <c r="T101" s="42">
        <f t="shared" ca="1" si="14"/>
        <v>0</v>
      </c>
      <c r="U101" s="42">
        <f t="shared" ca="1" si="14"/>
        <v>0</v>
      </c>
      <c r="V101" s="42">
        <f t="shared" ca="1" si="14"/>
        <v>0</v>
      </c>
      <c r="W101" s="42">
        <f t="shared" ca="1" si="14"/>
        <v>0</v>
      </c>
      <c r="X101" s="42">
        <f t="shared" ca="1" si="14"/>
        <v>0</v>
      </c>
      <c r="Y101" s="42">
        <f t="shared" ca="1" si="14"/>
        <v>0</v>
      </c>
      <c r="Z101" s="42">
        <f t="shared" ca="1" si="14"/>
        <v>0</v>
      </c>
      <c r="AA101" s="42">
        <f t="shared" ca="1" si="14"/>
        <v>0</v>
      </c>
      <c r="AB101" s="42">
        <f t="shared" ca="1" si="14"/>
        <v>0</v>
      </c>
      <c r="AC101" s="42">
        <f t="shared" ca="1" si="14"/>
        <v>0</v>
      </c>
      <c r="AD101" s="42">
        <f t="shared" ca="1" si="14"/>
        <v>0</v>
      </c>
      <c r="AE101" s="42">
        <f t="shared" ca="1" si="14"/>
        <v>0</v>
      </c>
      <c r="AF101" s="42">
        <f t="shared" ca="1" si="14"/>
        <v>0</v>
      </c>
      <c r="AG101" s="42">
        <f t="shared" ca="1" si="14"/>
        <v>0</v>
      </c>
      <c r="AH101" s="42">
        <f t="shared" ca="1" si="14"/>
        <v>0</v>
      </c>
      <c r="AI101" s="42">
        <f t="shared" ca="1" si="14"/>
        <v>0</v>
      </c>
      <c r="AJ101" s="42">
        <f t="shared" ca="1" si="14"/>
        <v>0</v>
      </c>
      <c r="AK101" s="42">
        <f t="shared" ca="1" si="14"/>
        <v>0</v>
      </c>
      <c r="AL101" s="42">
        <f t="shared" ca="1" si="14"/>
        <v>0</v>
      </c>
      <c r="AM101" s="42">
        <f t="shared" si="14"/>
        <v>0</v>
      </c>
      <c r="AN101" s="42">
        <f t="shared" si="14"/>
        <v>0</v>
      </c>
      <c r="AO101" s="42">
        <f t="shared" si="14"/>
        <v>0</v>
      </c>
      <c r="AP101" s="42">
        <f t="shared" si="14"/>
        <v>0</v>
      </c>
      <c r="AQ101" s="42">
        <f t="shared" si="14"/>
        <v>0</v>
      </c>
      <c r="AR101" s="42">
        <f t="shared" si="14"/>
        <v>0</v>
      </c>
      <c r="AS101" s="42">
        <f t="shared" si="14"/>
        <v>0</v>
      </c>
      <c r="AT101" s="42">
        <f t="shared" si="14"/>
        <v>0</v>
      </c>
      <c r="AU101" s="42">
        <f t="shared" si="14"/>
        <v>0</v>
      </c>
      <c r="AV101" s="42">
        <f t="shared" si="14"/>
        <v>0</v>
      </c>
      <c r="AW101" s="42">
        <f t="shared" si="14"/>
        <v>0</v>
      </c>
    </row>
    <row r="102" spans="2:52" ht="9.6" customHeight="1">
      <c r="B102" s="2" t="s">
        <v>969</v>
      </c>
      <c r="C102" s="15" t="s">
        <v>44</v>
      </c>
      <c r="D102" s="53">
        <f t="shared" ca="1" si="13"/>
        <v>33412555.580507532</v>
      </c>
      <c r="I102" s="42">
        <f>$D$50*I24</f>
        <v>0</v>
      </c>
      <c r="J102" s="42">
        <f t="shared" ref="J102:AW102" si="15">$D$50*J24</f>
        <v>0</v>
      </c>
      <c r="K102" s="42">
        <f t="shared" si="15"/>
        <v>0</v>
      </c>
      <c r="L102" s="42">
        <f ca="1">$D$50*L24</f>
        <v>1237500</v>
      </c>
      <c r="M102" s="42">
        <f t="shared" ca="1" si="15"/>
        <v>1237500</v>
      </c>
      <c r="N102" s="42">
        <f t="shared" ca="1" si="15"/>
        <v>1234118.8524590165</v>
      </c>
      <c r="O102" s="42">
        <f t="shared" ca="1" si="15"/>
        <v>1240890.4109589043</v>
      </c>
      <c r="P102" s="42">
        <f t="shared" ca="1" si="15"/>
        <v>1237500</v>
      </c>
      <c r="Q102" s="42">
        <f t="shared" ca="1" si="15"/>
        <v>1237500</v>
      </c>
      <c r="R102" s="42">
        <f t="shared" ca="1" si="15"/>
        <v>1234118.8524590165</v>
      </c>
      <c r="S102" s="42">
        <f t="shared" ca="1" si="15"/>
        <v>1240890.4109589043</v>
      </c>
      <c r="T102" s="42">
        <f t="shared" ca="1" si="15"/>
        <v>1237500</v>
      </c>
      <c r="U102" s="42">
        <f t="shared" ca="1" si="15"/>
        <v>1237500</v>
      </c>
      <c r="V102" s="42">
        <f t="shared" ca="1" si="15"/>
        <v>1234118.8524590165</v>
      </c>
      <c r="W102" s="42">
        <f t="shared" ca="1" si="15"/>
        <v>1240890.4109589043</v>
      </c>
      <c r="X102" s="42">
        <f t="shared" ca="1" si="15"/>
        <v>1237500</v>
      </c>
      <c r="Y102" s="42">
        <f t="shared" ca="1" si="15"/>
        <v>1237500</v>
      </c>
      <c r="Z102" s="42">
        <f t="shared" ca="1" si="15"/>
        <v>1234118.8524590165</v>
      </c>
      <c r="AA102" s="42">
        <f t="shared" ca="1" si="15"/>
        <v>1240890.4109589043</v>
      </c>
      <c r="AB102" s="42">
        <f t="shared" ca="1" si="15"/>
        <v>1237500</v>
      </c>
      <c r="AC102" s="42">
        <f t="shared" ca="1" si="15"/>
        <v>1237500</v>
      </c>
      <c r="AD102" s="42">
        <f t="shared" ca="1" si="15"/>
        <v>1234118.8524590165</v>
      </c>
      <c r="AE102" s="42">
        <f t="shared" ca="1" si="15"/>
        <v>1240890.4109589043</v>
      </c>
      <c r="AF102" s="42">
        <f t="shared" ca="1" si="15"/>
        <v>1237500</v>
      </c>
      <c r="AG102" s="42">
        <f t="shared" ca="1" si="15"/>
        <v>1237500</v>
      </c>
      <c r="AH102" s="42">
        <f t="shared" ca="1" si="15"/>
        <v>1234118.8524590165</v>
      </c>
      <c r="AI102" s="42">
        <f t="shared" ca="1" si="15"/>
        <v>1240890.4109589043</v>
      </c>
      <c r="AJ102" s="42">
        <f t="shared" ca="1" si="15"/>
        <v>1237500</v>
      </c>
      <c r="AK102" s="42">
        <f t="shared" ca="1" si="15"/>
        <v>1237500</v>
      </c>
      <c r="AL102" s="42">
        <f t="shared" ca="1" si="15"/>
        <v>1237500</v>
      </c>
      <c r="AM102" s="42">
        <f t="shared" si="15"/>
        <v>0</v>
      </c>
      <c r="AN102" s="42">
        <f t="shared" si="15"/>
        <v>0</v>
      </c>
      <c r="AO102" s="42">
        <f t="shared" si="15"/>
        <v>0</v>
      </c>
      <c r="AP102" s="42">
        <f t="shared" si="15"/>
        <v>0</v>
      </c>
      <c r="AQ102" s="42">
        <f t="shared" si="15"/>
        <v>0</v>
      </c>
      <c r="AR102" s="42">
        <f t="shared" si="15"/>
        <v>0</v>
      </c>
      <c r="AS102" s="42">
        <f t="shared" si="15"/>
        <v>0</v>
      </c>
      <c r="AT102" s="42">
        <f t="shared" si="15"/>
        <v>0</v>
      </c>
      <c r="AU102" s="42">
        <f t="shared" si="15"/>
        <v>0</v>
      </c>
      <c r="AV102" s="42">
        <f t="shared" si="15"/>
        <v>0</v>
      </c>
      <c r="AW102" s="42">
        <f t="shared" si="15"/>
        <v>0</v>
      </c>
    </row>
    <row r="103" spans="2:52" ht="8.4499999999999993" customHeight="1">
      <c r="B103" s="2" t="s">
        <v>970</v>
      </c>
      <c r="C103" s="15" t="s">
        <v>44</v>
      </c>
      <c r="D103" s="53">
        <f t="shared" ca="1" si="13"/>
        <v>167062777.90253761</v>
      </c>
      <c r="I103" s="42">
        <f>$D$51*I24</f>
        <v>0</v>
      </c>
      <c r="J103" s="42">
        <f t="shared" ref="J103:AW103" si="16">$D$51*J24</f>
        <v>0</v>
      </c>
      <c r="K103" s="42">
        <f t="shared" si="16"/>
        <v>0</v>
      </c>
      <c r="L103" s="42">
        <f t="shared" ca="1" si="16"/>
        <v>6187500</v>
      </c>
      <c r="M103" s="42">
        <f t="shared" ca="1" si="16"/>
        <v>6187500</v>
      </c>
      <c r="N103" s="42">
        <f t="shared" ca="1" si="16"/>
        <v>6170594.2622950822</v>
      </c>
      <c r="O103" s="42">
        <f t="shared" ca="1" si="16"/>
        <v>6204452.0547945211</v>
      </c>
      <c r="P103" s="42">
        <f t="shared" ca="1" si="16"/>
        <v>6187500</v>
      </c>
      <c r="Q103" s="42">
        <f t="shared" ca="1" si="16"/>
        <v>6187500</v>
      </c>
      <c r="R103" s="42">
        <f t="shared" ca="1" si="16"/>
        <v>6170594.2622950822</v>
      </c>
      <c r="S103" s="42">
        <f t="shared" ca="1" si="16"/>
        <v>6204452.0547945211</v>
      </c>
      <c r="T103" s="42">
        <f t="shared" ca="1" si="16"/>
        <v>6187500</v>
      </c>
      <c r="U103" s="42">
        <f t="shared" ca="1" si="16"/>
        <v>6187500</v>
      </c>
      <c r="V103" s="42">
        <f t="shared" ca="1" si="16"/>
        <v>6170594.2622950822</v>
      </c>
      <c r="W103" s="42">
        <f t="shared" ca="1" si="16"/>
        <v>6204452.0547945211</v>
      </c>
      <c r="X103" s="42">
        <f t="shared" ca="1" si="16"/>
        <v>6187500</v>
      </c>
      <c r="Y103" s="42">
        <f t="shared" ca="1" si="16"/>
        <v>6187500</v>
      </c>
      <c r="Z103" s="42">
        <f t="shared" ca="1" si="16"/>
        <v>6170594.2622950822</v>
      </c>
      <c r="AA103" s="42">
        <f t="shared" ca="1" si="16"/>
        <v>6204452.0547945211</v>
      </c>
      <c r="AB103" s="42">
        <f t="shared" ca="1" si="16"/>
        <v>6187500</v>
      </c>
      <c r="AC103" s="42">
        <f t="shared" ca="1" si="16"/>
        <v>6187500</v>
      </c>
      <c r="AD103" s="42">
        <f t="shared" ca="1" si="16"/>
        <v>6170594.2622950822</v>
      </c>
      <c r="AE103" s="42">
        <f t="shared" ca="1" si="16"/>
        <v>6204452.0547945211</v>
      </c>
      <c r="AF103" s="42">
        <f t="shared" ca="1" si="16"/>
        <v>6187500</v>
      </c>
      <c r="AG103" s="42">
        <f t="shared" ca="1" si="16"/>
        <v>6187500</v>
      </c>
      <c r="AH103" s="42">
        <f t="shared" ca="1" si="16"/>
        <v>6170594.2622950822</v>
      </c>
      <c r="AI103" s="42">
        <f t="shared" ca="1" si="16"/>
        <v>6204452.0547945211</v>
      </c>
      <c r="AJ103" s="42">
        <f t="shared" ca="1" si="16"/>
        <v>6187500</v>
      </c>
      <c r="AK103" s="42">
        <f t="shared" ca="1" si="16"/>
        <v>6187500</v>
      </c>
      <c r="AL103" s="42">
        <f t="shared" ca="1" si="16"/>
        <v>6187500</v>
      </c>
      <c r="AM103" s="42">
        <f t="shared" si="16"/>
        <v>0</v>
      </c>
      <c r="AN103" s="42">
        <f t="shared" si="16"/>
        <v>0</v>
      </c>
      <c r="AO103" s="42">
        <f t="shared" si="16"/>
        <v>0</v>
      </c>
      <c r="AP103" s="42">
        <f t="shared" si="16"/>
        <v>0</v>
      </c>
      <c r="AQ103" s="42">
        <f t="shared" si="16"/>
        <v>0</v>
      </c>
      <c r="AR103" s="42">
        <f t="shared" si="16"/>
        <v>0</v>
      </c>
      <c r="AS103" s="42">
        <f t="shared" si="16"/>
        <v>0</v>
      </c>
      <c r="AT103" s="42">
        <f t="shared" si="16"/>
        <v>0</v>
      </c>
      <c r="AU103" s="42">
        <f t="shared" si="16"/>
        <v>0</v>
      </c>
      <c r="AV103" s="42">
        <f t="shared" si="16"/>
        <v>0</v>
      </c>
      <c r="AW103" s="42">
        <f t="shared" si="16"/>
        <v>0</v>
      </c>
    </row>
    <row r="104" spans="2:52" ht="8.4499999999999993" customHeight="1">
      <c r="B104" s="2" t="s">
        <v>971</v>
      </c>
      <c r="C104" s="15" t="s">
        <v>44</v>
      </c>
      <c r="D104" s="53">
        <f t="shared" ca="1" si="13"/>
        <v>10730816.850303166</v>
      </c>
      <c r="I104" s="42">
        <f>$D$52*I24</f>
        <v>0</v>
      </c>
      <c r="J104" s="42">
        <f t="shared" ref="J104:AW104" si="17">$D$52*J24</f>
        <v>0</v>
      </c>
      <c r="K104" s="42">
        <f t="shared" si="17"/>
        <v>0</v>
      </c>
      <c r="L104" s="42">
        <f t="shared" ca="1" si="17"/>
        <v>397437</v>
      </c>
      <c r="M104" s="42">
        <f t="shared" ca="1" si="17"/>
        <v>397437</v>
      </c>
      <c r="N104" s="42">
        <f t="shared" ca="1" si="17"/>
        <v>396351.10655737703</v>
      </c>
      <c r="O104" s="42">
        <f t="shared" ca="1" si="17"/>
        <v>398525.86849315075</v>
      </c>
      <c r="P104" s="42">
        <f t="shared" ca="1" si="17"/>
        <v>397437</v>
      </c>
      <c r="Q104" s="42">
        <f t="shared" ca="1" si="17"/>
        <v>397437</v>
      </c>
      <c r="R104" s="42">
        <f t="shared" ca="1" si="17"/>
        <v>396351.10655737703</v>
      </c>
      <c r="S104" s="42">
        <f t="shared" ca="1" si="17"/>
        <v>398525.86849315075</v>
      </c>
      <c r="T104" s="42">
        <f t="shared" ca="1" si="17"/>
        <v>397437</v>
      </c>
      <c r="U104" s="42">
        <f t="shared" ca="1" si="17"/>
        <v>397437</v>
      </c>
      <c r="V104" s="42">
        <f t="shared" ca="1" si="17"/>
        <v>396351.10655737703</v>
      </c>
      <c r="W104" s="42">
        <f t="shared" ca="1" si="17"/>
        <v>398525.86849315075</v>
      </c>
      <c r="X104" s="42">
        <f t="shared" ca="1" si="17"/>
        <v>397437</v>
      </c>
      <c r="Y104" s="42">
        <f t="shared" ca="1" si="17"/>
        <v>397437</v>
      </c>
      <c r="Z104" s="42">
        <f t="shared" ca="1" si="17"/>
        <v>396351.10655737703</v>
      </c>
      <c r="AA104" s="42">
        <f t="shared" ca="1" si="17"/>
        <v>398525.86849315075</v>
      </c>
      <c r="AB104" s="42">
        <f t="shared" ca="1" si="17"/>
        <v>397437</v>
      </c>
      <c r="AC104" s="42">
        <f t="shared" ca="1" si="17"/>
        <v>397437</v>
      </c>
      <c r="AD104" s="42">
        <f t="shared" ca="1" si="17"/>
        <v>396351.10655737703</v>
      </c>
      <c r="AE104" s="42">
        <f t="shared" ca="1" si="17"/>
        <v>398525.86849315075</v>
      </c>
      <c r="AF104" s="42">
        <f t="shared" ca="1" si="17"/>
        <v>397437</v>
      </c>
      <c r="AG104" s="42">
        <f t="shared" ca="1" si="17"/>
        <v>397437</v>
      </c>
      <c r="AH104" s="42">
        <f t="shared" ca="1" si="17"/>
        <v>396351.10655737703</v>
      </c>
      <c r="AI104" s="42">
        <f t="shared" ca="1" si="17"/>
        <v>398525.86849315075</v>
      </c>
      <c r="AJ104" s="42">
        <f t="shared" ca="1" si="17"/>
        <v>397437</v>
      </c>
      <c r="AK104" s="42">
        <f t="shared" ca="1" si="17"/>
        <v>397437</v>
      </c>
      <c r="AL104" s="42">
        <f t="shared" ca="1" si="17"/>
        <v>397437</v>
      </c>
      <c r="AM104" s="42">
        <f t="shared" si="17"/>
        <v>0</v>
      </c>
      <c r="AN104" s="42">
        <f t="shared" si="17"/>
        <v>0</v>
      </c>
      <c r="AO104" s="42">
        <f t="shared" si="17"/>
        <v>0</v>
      </c>
      <c r="AP104" s="42">
        <f t="shared" si="17"/>
        <v>0</v>
      </c>
      <c r="AQ104" s="42">
        <f t="shared" si="17"/>
        <v>0</v>
      </c>
      <c r="AR104" s="42">
        <f t="shared" si="17"/>
        <v>0</v>
      </c>
      <c r="AS104" s="42">
        <f t="shared" si="17"/>
        <v>0</v>
      </c>
      <c r="AT104" s="42">
        <f t="shared" si="17"/>
        <v>0</v>
      </c>
      <c r="AU104" s="42">
        <f t="shared" si="17"/>
        <v>0</v>
      </c>
      <c r="AV104" s="42">
        <f t="shared" si="17"/>
        <v>0</v>
      </c>
      <c r="AW104" s="42">
        <f t="shared" si="17"/>
        <v>0</v>
      </c>
    </row>
    <row r="105" spans="2:52">
      <c r="B105" s="2" t="s">
        <v>972</v>
      </c>
      <c r="C105" s="15" t="s">
        <v>44</v>
      </c>
      <c r="D105" s="53">
        <f t="shared" ca="1" si="13"/>
        <v>38094795.369234227</v>
      </c>
      <c r="I105" s="42">
        <f>$D$53*I24</f>
        <v>0</v>
      </c>
      <c r="J105" s="42">
        <f t="shared" ref="J105:AW105" si="18">$D$53*J24</f>
        <v>0</v>
      </c>
      <c r="K105" s="42">
        <f t="shared" si="18"/>
        <v>0</v>
      </c>
      <c r="L105" s="42">
        <f t="shared" ca="1" si="18"/>
        <v>1410916</v>
      </c>
      <c r="M105" s="42">
        <f t="shared" ca="1" si="18"/>
        <v>1410916</v>
      </c>
      <c r="N105" s="42">
        <f t="shared" ca="1" si="18"/>
        <v>1407061.038251366</v>
      </c>
      <c r="O105" s="42">
        <f t="shared" ca="1" si="18"/>
        <v>1414781.5232876714</v>
      </c>
      <c r="P105" s="42">
        <f t="shared" ca="1" si="18"/>
        <v>1410916</v>
      </c>
      <c r="Q105" s="42">
        <f t="shared" ca="1" si="18"/>
        <v>1410916</v>
      </c>
      <c r="R105" s="42">
        <f t="shared" ca="1" si="18"/>
        <v>1407061.038251366</v>
      </c>
      <c r="S105" s="42">
        <f t="shared" ca="1" si="18"/>
        <v>1414781.5232876714</v>
      </c>
      <c r="T105" s="42">
        <f t="shared" ca="1" si="18"/>
        <v>1410916</v>
      </c>
      <c r="U105" s="42">
        <f t="shared" ca="1" si="18"/>
        <v>1410916</v>
      </c>
      <c r="V105" s="42">
        <f t="shared" ca="1" si="18"/>
        <v>1407061.038251366</v>
      </c>
      <c r="W105" s="42">
        <f t="shared" ca="1" si="18"/>
        <v>1414781.5232876714</v>
      </c>
      <c r="X105" s="42">
        <f t="shared" ca="1" si="18"/>
        <v>1410916</v>
      </c>
      <c r="Y105" s="42">
        <f t="shared" ca="1" si="18"/>
        <v>1410916</v>
      </c>
      <c r="Z105" s="42">
        <f t="shared" ca="1" si="18"/>
        <v>1407061.038251366</v>
      </c>
      <c r="AA105" s="42">
        <f t="shared" ca="1" si="18"/>
        <v>1414781.5232876714</v>
      </c>
      <c r="AB105" s="42">
        <f t="shared" ca="1" si="18"/>
        <v>1410916</v>
      </c>
      <c r="AC105" s="42">
        <f t="shared" ca="1" si="18"/>
        <v>1410916</v>
      </c>
      <c r="AD105" s="42">
        <f t="shared" ca="1" si="18"/>
        <v>1407061.038251366</v>
      </c>
      <c r="AE105" s="42">
        <f t="shared" ca="1" si="18"/>
        <v>1414781.5232876714</v>
      </c>
      <c r="AF105" s="42">
        <f t="shared" ca="1" si="18"/>
        <v>1410916</v>
      </c>
      <c r="AG105" s="42">
        <f t="shared" ca="1" si="18"/>
        <v>1410916</v>
      </c>
      <c r="AH105" s="42">
        <f t="shared" ca="1" si="18"/>
        <v>1407061.038251366</v>
      </c>
      <c r="AI105" s="42">
        <f t="shared" ca="1" si="18"/>
        <v>1414781.5232876714</v>
      </c>
      <c r="AJ105" s="42">
        <f t="shared" ca="1" si="18"/>
        <v>1410916</v>
      </c>
      <c r="AK105" s="42">
        <f t="shared" ca="1" si="18"/>
        <v>1410916</v>
      </c>
      <c r="AL105" s="42">
        <f t="shared" ca="1" si="18"/>
        <v>1410916</v>
      </c>
      <c r="AM105" s="42">
        <f t="shared" si="18"/>
        <v>0</v>
      </c>
      <c r="AN105" s="42">
        <f t="shared" si="18"/>
        <v>0</v>
      </c>
      <c r="AO105" s="42">
        <f t="shared" si="18"/>
        <v>0</v>
      </c>
      <c r="AP105" s="42">
        <f t="shared" si="18"/>
        <v>0</v>
      </c>
      <c r="AQ105" s="42">
        <f t="shared" si="18"/>
        <v>0</v>
      </c>
      <c r="AR105" s="42">
        <f t="shared" si="18"/>
        <v>0</v>
      </c>
      <c r="AS105" s="42">
        <f t="shared" si="18"/>
        <v>0</v>
      </c>
      <c r="AT105" s="42">
        <f t="shared" si="18"/>
        <v>0</v>
      </c>
      <c r="AU105" s="42">
        <f t="shared" si="18"/>
        <v>0</v>
      </c>
      <c r="AV105" s="42">
        <f t="shared" si="18"/>
        <v>0</v>
      </c>
      <c r="AW105" s="42">
        <f t="shared" si="18"/>
        <v>0</v>
      </c>
    </row>
    <row r="106" spans="2:52">
      <c r="B106" s="2" t="s">
        <v>973</v>
      </c>
      <c r="C106" s="15" t="s">
        <v>44</v>
      </c>
      <c r="D106" s="53">
        <f t="shared" ca="1" si="13"/>
        <v>45588765.835167304</v>
      </c>
      <c r="I106" s="42">
        <f>$D$54*I24</f>
        <v>0</v>
      </c>
      <c r="J106" s="42">
        <f t="shared" ref="J106:AW106" si="19">$D$54*J24</f>
        <v>0</v>
      </c>
      <c r="K106" s="42">
        <f t="shared" si="19"/>
        <v>0</v>
      </c>
      <c r="L106" s="42">
        <f t="shared" ca="1" si="19"/>
        <v>1688470</v>
      </c>
      <c r="M106" s="42">
        <f t="shared" ca="1" si="19"/>
        <v>1688470</v>
      </c>
      <c r="N106" s="42">
        <f t="shared" ca="1" si="19"/>
        <v>1683856.6939890711</v>
      </c>
      <c r="O106" s="42">
        <f t="shared" ca="1" si="19"/>
        <v>1693095.9452054796</v>
      </c>
      <c r="P106" s="42">
        <f t="shared" ca="1" si="19"/>
        <v>1688470</v>
      </c>
      <c r="Q106" s="42">
        <f t="shared" ca="1" si="19"/>
        <v>1688470</v>
      </c>
      <c r="R106" s="42">
        <f t="shared" ca="1" si="19"/>
        <v>1683856.6939890711</v>
      </c>
      <c r="S106" s="42">
        <f t="shared" ca="1" si="19"/>
        <v>1693095.9452054796</v>
      </c>
      <c r="T106" s="42">
        <f t="shared" ca="1" si="19"/>
        <v>1688470</v>
      </c>
      <c r="U106" s="42">
        <f t="shared" ca="1" si="19"/>
        <v>1688470</v>
      </c>
      <c r="V106" s="42">
        <f t="shared" ca="1" si="19"/>
        <v>1683856.6939890711</v>
      </c>
      <c r="W106" s="42">
        <f t="shared" ca="1" si="19"/>
        <v>1693095.9452054796</v>
      </c>
      <c r="X106" s="42">
        <f t="shared" ca="1" si="19"/>
        <v>1688470</v>
      </c>
      <c r="Y106" s="42">
        <f t="shared" ca="1" si="19"/>
        <v>1688470</v>
      </c>
      <c r="Z106" s="42">
        <f t="shared" ca="1" si="19"/>
        <v>1683856.6939890711</v>
      </c>
      <c r="AA106" s="42">
        <f t="shared" ca="1" si="19"/>
        <v>1693095.9452054796</v>
      </c>
      <c r="AB106" s="42">
        <f t="shared" ca="1" si="19"/>
        <v>1688470</v>
      </c>
      <c r="AC106" s="42">
        <f t="shared" ca="1" si="19"/>
        <v>1688470</v>
      </c>
      <c r="AD106" s="42">
        <f t="shared" ca="1" si="19"/>
        <v>1683856.6939890711</v>
      </c>
      <c r="AE106" s="42">
        <f t="shared" ca="1" si="19"/>
        <v>1693095.9452054796</v>
      </c>
      <c r="AF106" s="42">
        <f t="shared" ca="1" si="19"/>
        <v>1688470</v>
      </c>
      <c r="AG106" s="42">
        <f t="shared" ca="1" si="19"/>
        <v>1688470</v>
      </c>
      <c r="AH106" s="42">
        <f t="shared" ca="1" si="19"/>
        <v>1683856.6939890711</v>
      </c>
      <c r="AI106" s="42">
        <f t="shared" ca="1" si="19"/>
        <v>1693095.9452054796</v>
      </c>
      <c r="AJ106" s="42">
        <f t="shared" ca="1" si="19"/>
        <v>1688470</v>
      </c>
      <c r="AK106" s="42">
        <f t="shared" ca="1" si="19"/>
        <v>1688470</v>
      </c>
      <c r="AL106" s="42">
        <f t="shared" ca="1" si="19"/>
        <v>1688470</v>
      </c>
      <c r="AM106" s="42">
        <f t="shared" si="19"/>
        <v>0</v>
      </c>
      <c r="AN106" s="42">
        <f t="shared" si="19"/>
        <v>0</v>
      </c>
      <c r="AO106" s="42">
        <f t="shared" si="19"/>
        <v>0</v>
      </c>
      <c r="AP106" s="42">
        <f t="shared" si="19"/>
        <v>0</v>
      </c>
      <c r="AQ106" s="42">
        <f t="shared" si="19"/>
        <v>0</v>
      </c>
      <c r="AR106" s="42">
        <f t="shared" si="19"/>
        <v>0</v>
      </c>
      <c r="AS106" s="42">
        <f t="shared" si="19"/>
        <v>0</v>
      </c>
      <c r="AT106" s="42">
        <f t="shared" si="19"/>
        <v>0</v>
      </c>
      <c r="AU106" s="42">
        <f t="shared" si="19"/>
        <v>0</v>
      </c>
      <c r="AV106" s="42">
        <f t="shared" si="19"/>
        <v>0</v>
      </c>
      <c r="AW106" s="42">
        <f t="shared" si="19"/>
        <v>0</v>
      </c>
    </row>
    <row r="107" spans="2:52">
      <c r="C107" s="15"/>
      <c r="D107" s="53"/>
      <c r="I107" s="42"/>
      <c r="J107" s="42"/>
      <c r="K107" s="42"/>
      <c r="L107" s="42"/>
      <c r="M107" s="42"/>
      <c r="N107" s="42"/>
      <c r="O107" s="42"/>
      <c r="P107" s="42"/>
      <c r="Q107" s="42"/>
      <c r="R107" s="42"/>
      <c r="S107" s="42"/>
      <c r="T107" s="42"/>
      <c r="U107" s="42"/>
      <c r="V107" s="42"/>
      <c r="W107" s="42"/>
      <c r="X107" s="42"/>
      <c r="Y107" s="42"/>
      <c r="Z107" s="42"/>
      <c r="AA107" s="42"/>
      <c r="AB107" s="42"/>
      <c r="AC107" s="42"/>
      <c r="AD107" s="42"/>
      <c r="AE107" s="42"/>
      <c r="AF107" s="42"/>
      <c r="AG107" s="42"/>
      <c r="AH107" s="42"/>
      <c r="AI107" s="42"/>
    </row>
    <row r="108" spans="2:52">
      <c r="C108" s="15"/>
      <c r="D108" s="53"/>
      <c r="I108" s="42"/>
      <c r="J108" s="42"/>
      <c r="K108" s="42"/>
      <c r="L108" s="42"/>
      <c r="M108" s="42"/>
      <c r="N108" s="42"/>
      <c r="O108" s="42"/>
      <c r="P108" s="42"/>
      <c r="Q108" s="42"/>
      <c r="R108" s="42"/>
      <c r="S108" s="42"/>
      <c r="T108" s="42"/>
      <c r="U108" s="42"/>
      <c r="V108" s="42"/>
      <c r="W108" s="42"/>
      <c r="X108" s="42"/>
      <c r="Y108" s="42"/>
      <c r="Z108" s="42"/>
      <c r="AA108" s="42"/>
      <c r="AB108" s="42"/>
      <c r="AC108" s="42"/>
      <c r="AD108" s="42"/>
      <c r="AE108" s="42"/>
      <c r="AF108" s="42"/>
      <c r="AG108" s="42"/>
      <c r="AH108" s="42"/>
      <c r="AI108" s="42"/>
    </row>
    <row r="109" spans="2:52">
      <c r="B109" s="586" t="s">
        <v>1067</v>
      </c>
      <c r="C109" s="15"/>
      <c r="D109" s="53"/>
      <c r="I109" s="42"/>
      <c r="J109" s="42"/>
      <c r="K109" s="42"/>
      <c r="L109" s="42"/>
      <c r="M109" s="42"/>
      <c r="N109" s="42"/>
      <c r="O109" s="42"/>
      <c r="P109" s="42"/>
      <c r="Q109" s="42"/>
      <c r="R109" s="42"/>
      <c r="S109" s="42"/>
      <c r="T109" s="42"/>
      <c r="U109" s="42"/>
      <c r="V109" s="42"/>
      <c r="W109" s="42"/>
      <c r="X109" s="42"/>
      <c r="Y109" s="42"/>
      <c r="Z109" s="42"/>
      <c r="AA109" s="42"/>
      <c r="AB109" s="42"/>
      <c r="AC109" s="42"/>
      <c r="AD109" s="42"/>
      <c r="AE109" s="42"/>
      <c r="AF109" s="42"/>
      <c r="AG109" s="42"/>
      <c r="AH109" s="42"/>
      <c r="AI109" s="42"/>
    </row>
    <row r="110" spans="2:52">
      <c r="B110" s="2" t="s">
        <v>1502</v>
      </c>
      <c r="C110" s="15"/>
      <c r="D110" s="53">
        <f ca="1">SUM(I110:AW110)</f>
        <v>0</v>
      </c>
      <c r="I110" s="42">
        <f>$D$58*I24</f>
        <v>0</v>
      </c>
      <c r="J110" s="42">
        <f t="shared" ref="J110:AI110" si="20">$D$58*J24*Sens_Opcost</f>
        <v>0</v>
      </c>
      <c r="K110" s="42">
        <f t="shared" si="20"/>
        <v>0</v>
      </c>
      <c r="L110" s="42">
        <f ca="1">$D$58*L24*Sens_Opcost</f>
        <v>0</v>
      </c>
      <c r="M110" s="42">
        <f t="shared" ca="1" si="20"/>
        <v>0</v>
      </c>
      <c r="N110" s="42">
        <f t="shared" ca="1" si="20"/>
        <v>0</v>
      </c>
      <c r="O110" s="42">
        <f t="shared" ca="1" si="20"/>
        <v>0</v>
      </c>
      <c r="P110" s="42">
        <f t="shared" ca="1" si="20"/>
        <v>0</v>
      </c>
      <c r="Q110" s="42">
        <f t="shared" ca="1" si="20"/>
        <v>0</v>
      </c>
      <c r="R110" s="42">
        <f t="shared" ca="1" si="20"/>
        <v>0</v>
      </c>
      <c r="S110" s="42">
        <f t="shared" ca="1" si="20"/>
        <v>0</v>
      </c>
      <c r="T110" s="42">
        <f t="shared" ca="1" si="20"/>
        <v>0</v>
      </c>
      <c r="U110" s="42">
        <f t="shared" ca="1" si="20"/>
        <v>0</v>
      </c>
      <c r="V110" s="42">
        <f t="shared" ca="1" si="20"/>
        <v>0</v>
      </c>
      <c r="W110" s="42">
        <f t="shared" ca="1" si="20"/>
        <v>0</v>
      </c>
      <c r="X110" s="42">
        <f t="shared" ca="1" si="20"/>
        <v>0</v>
      </c>
      <c r="Y110" s="42">
        <f t="shared" ca="1" si="20"/>
        <v>0</v>
      </c>
      <c r="Z110" s="42">
        <f t="shared" ca="1" si="20"/>
        <v>0</v>
      </c>
      <c r="AA110" s="42">
        <f t="shared" ca="1" si="20"/>
        <v>0</v>
      </c>
      <c r="AB110" s="42">
        <f t="shared" ca="1" si="20"/>
        <v>0</v>
      </c>
      <c r="AC110" s="42">
        <f t="shared" ca="1" si="20"/>
        <v>0</v>
      </c>
      <c r="AD110" s="42">
        <f t="shared" ca="1" si="20"/>
        <v>0</v>
      </c>
      <c r="AE110" s="42">
        <f t="shared" ca="1" si="20"/>
        <v>0</v>
      </c>
      <c r="AF110" s="42">
        <f t="shared" ca="1" si="20"/>
        <v>0</v>
      </c>
      <c r="AG110" s="42">
        <f t="shared" ca="1" si="20"/>
        <v>0</v>
      </c>
      <c r="AH110" s="42">
        <f t="shared" ca="1" si="20"/>
        <v>0</v>
      </c>
      <c r="AI110" s="42">
        <f t="shared" ca="1" si="20"/>
        <v>0</v>
      </c>
      <c r="AJ110" s="42">
        <f t="shared" ref="AJ110:AW110" ca="1" si="21">$D$58*AJ24*Sens_Opcost</f>
        <v>0</v>
      </c>
      <c r="AK110" s="42">
        <f t="shared" ca="1" si="21"/>
        <v>0</v>
      </c>
      <c r="AL110" s="42">
        <f t="shared" ca="1" si="21"/>
        <v>0</v>
      </c>
      <c r="AM110" s="42">
        <f t="shared" si="21"/>
        <v>0</v>
      </c>
      <c r="AN110" s="42">
        <f t="shared" si="21"/>
        <v>0</v>
      </c>
      <c r="AO110" s="42">
        <f t="shared" si="21"/>
        <v>0</v>
      </c>
      <c r="AP110" s="42">
        <f t="shared" si="21"/>
        <v>0</v>
      </c>
      <c r="AQ110" s="42">
        <f t="shared" si="21"/>
        <v>0</v>
      </c>
      <c r="AR110" s="42">
        <f t="shared" si="21"/>
        <v>0</v>
      </c>
      <c r="AS110" s="42">
        <f t="shared" si="21"/>
        <v>0</v>
      </c>
      <c r="AT110" s="42">
        <f t="shared" si="21"/>
        <v>0</v>
      </c>
      <c r="AU110" s="42">
        <f t="shared" si="21"/>
        <v>0</v>
      </c>
      <c r="AV110" s="42">
        <f t="shared" si="21"/>
        <v>0</v>
      </c>
      <c r="AW110" s="42">
        <f t="shared" si="21"/>
        <v>0</v>
      </c>
    </row>
    <row r="111" spans="2:52">
      <c r="B111" s="2" t="s">
        <v>968</v>
      </c>
      <c r="C111" s="15" t="s">
        <v>44</v>
      </c>
      <c r="D111" s="53">
        <f t="shared" ref="D111:D116" ca="1" si="22">SUM(I111:AW111)</f>
        <v>0</v>
      </c>
      <c r="I111" s="42">
        <f>$D$59*I24</f>
        <v>0</v>
      </c>
      <c r="J111" s="42">
        <f t="shared" ref="J111:AI111" si="23">$D$59*J24*Sens_Opcost</f>
        <v>0</v>
      </c>
      <c r="K111" s="42">
        <f t="shared" si="23"/>
        <v>0</v>
      </c>
      <c r="L111" s="42">
        <f t="shared" ca="1" si="23"/>
        <v>0</v>
      </c>
      <c r="M111" s="42">
        <f t="shared" ca="1" si="23"/>
        <v>0</v>
      </c>
      <c r="N111" s="42">
        <f t="shared" ca="1" si="23"/>
        <v>0</v>
      </c>
      <c r="O111" s="42">
        <f t="shared" ca="1" si="23"/>
        <v>0</v>
      </c>
      <c r="P111" s="42">
        <f t="shared" ca="1" si="23"/>
        <v>0</v>
      </c>
      <c r="Q111" s="42">
        <f t="shared" ca="1" si="23"/>
        <v>0</v>
      </c>
      <c r="R111" s="42">
        <f t="shared" ca="1" si="23"/>
        <v>0</v>
      </c>
      <c r="S111" s="42">
        <f t="shared" ca="1" si="23"/>
        <v>0</v>
      </c>
      <c r="T111" s="42">
        <f t="shared" ca="1" si="23"/>
        <v>0</v>
      </c>
      <c r="U111" s="42">
        <f t="shared" ca="1" si="23"/>
        <v>0</v>
      </c>
      <c r="V111" s="42">
        <f t="shared" ca="1" si="23"/>
        <v>0</v>
      </c>
      <c r="W111" s="42">
        <f t="shared" ca="1" si="23"/>
        <v>0</v>
      </c>
      <c r="X111" s="42">
        <f t="shared" ca="1" si="23"/>
        <v>0</v>
      </c>
      <c r="Y111" s="42">
        <f t="shared" ca="1" si="23"/>
        <v>0</v>
      </c>
      <c r="Z111" s="42">
        <f t="shared" ca="1" si="23"/>
        <v>0</v>
      </c>
      <c r="AA111" s="42">
        <f t="shared" ca="1" si="23"/>
        <v>0</v>
      </c>
      <c r="AB111" s="42">
        <f t="shared" ca="1" si="23"/>
        <v>0</v>
      </c>
      <c r="AC111" s="42">
        <f t="shared" ca="1" si="23"/>
        <v>0</v>
      </c>
      <c r="AD111" s="42">
        <f t="shared" ca="1" si="23"/>
        <v>0</v>
      </c>
      <c r="AE111" s="42">
        <f t="shared" ca="1" si="23"/>
        <v>0</v>
      </c>
      <c r="AF111" s="42">
        <f t="shared" ca="1" si="23"/>
        <v>0</v>
      </c>
      <c r="AG111" s="42">
        <f t="shared" ca="1" si="23"/>
        <v>0</v>
      </c>
      <c r="AH111" s="42">
        <f t="shared" ca="1" si="23"/>
        <v>0</v>
      </c>
      <c r="AI111" s="42">
        <f t="shared" ca="1" si="23"/>
        <v>0</v>
      </c>
      <c r="AJ111" s="42">
        <f t="shared" ref="AJ111:AW111" ca="1" si="24">$D$59*AJ24*Sens_Opcost</f>
        <v>0</v>
      </c>
      <c r="AK111" s="42">
        <f t="shared" ca="1" si="24"/>
        <v>0</v>
      </c>
      <c r="AL111" s="42">
        <f t="shared" ca="1" si="24"/>
        <v>0</v>
      </c>
      <c r="AM111" s="42">
        <f t="shared" si="24"/>
        <v>0</v>
      </c>
      <c r="AN111" s="42">
        <f t="shared" si="24"/>
        <v>0</v>
      </c>
      <c r="AO111" s="42">
        <f t="shared" si="24"/>
        <v>0</v>
      </c>
      <c r="AP111" s="42">
        <f t="shared" si="24"/>
        <v>0</v>
      </c>
      <c r="AQ111" s="42">
        <f t="shared" si="24"/>
        <v>0</v>
      </c>
      <c r="AR111" s="42">
        <f t="shared" si="24"/>
        <v>0</v>
      </c>
      <c r="AS111" s="42">
        <f t="shared" si="24"/>
        <v>0</v>
      </c>
      <c r="AT111" s="42">
        <f t="shared" si="24"/>
        <v>0</v>
      </c>
      <c r="AU111" s="42">
        <f t="shared" si="24"/>
        <v>0</v>
      </c>
      <c r="AV111" s="42">
        <f t="shared" si="24"/>
        <v>0</v>
      </c>
      <c r="AW111" s="42">
        <f t="shared" si="24"/>
        <v>0</v>
      </c>
    </row>
    <row r="112" spans="2:52">
      <c r="B112" s="2" t="s">
        <v>969</v>
      </c>
      <c r="C112" s="15" t="s">
        <v>44</v>
      </c>
      <c r="D112" s="53">
        <f t="shared" ca="1" si="22"/>
        <v>0</v>
      </c>
      <c r="I112" s="42">
        <f>$D$60*I24</f>
        <v>0</v>
      </c>
      <c r="J112" s="42">
        <f t="shared" ref="J112:AI112" si="25">$D$60*J24*Sens_Opcost</f>
        <v>0</v>
      </c>
      <c r="K112" s="42">
        <f t="shared" si="25"/>
        <v>0</v>
      </c>
      <c r="L112" s="42">
        <f t="shared" ca="1" si="25"/>
        <v>0</v>
      </c>
      <c r="M112" s="42">
        <f t="shared" ca="1" si="25"/>
        <v>0</v>
      </c>
      <c r="N112" s="42">
        <f t="shared" ca="1" si="25"/>
        <v>0</v>
      </c>
      <c r="O112" s="42">
        <f t="shared" ca="1" si="25"/>
        <v>0</v>
      </c>
      <c r="P112" s="42">
        <f t="shared" ca="1" si="25"/>
        <v>0</v>
      </c>
      <c r="Q112" s="42">
        <f t="shared" ca="1" si="25"/>
        <v>0</v>
      </c>
      <c r="R112" s="42">
        <f t="shared" ca="1" si="25"/>
        <v>0</v>
      </c>
      <c r="S112" s="42">
        <f t="shared" ca="1" si="25"/>
        <v>0</v>
      </c>
      <c r="T112" s="42">
        <f t="shared" ca="1" si="25"/>
        <v>0</v>
      </c>
      <c r="U112" s="42">
        <f t="shared" ca="1" si="25"/>
        <v>0</v>
      </c>
      <c r="V112" s="42">
        <f t="shared" ca="1" si="25"/>
        <v>0</v>
      </c>
      <c r="W112" s="42">
        <f t="shared" ca="1" si="25"/>
        <v>0</v>
      </c>
      <c r="X112" s="42">
        <f t="shared" ca="1" si="25"/>
        <v>0</v>
      </c>
      <c r="Y112" s="42">
        <f t="shared" ca="1" si="25"/>
        <v>0</v>
      </c>
      <c r="Z112" s="42">
        <f t="shared" ca="1" si="25"/>
        <v>0</v>
      </c>
      <c r="AA112" s="42">
        <f t="shared" ca="1" si="25"/>
        <v>0</v>
      </c>
      <c r="AB112" s="42">
        <f t="shared" ca="1" si="25"/>
        <v>0</v>
      </c>
      <c r="AC112" s="42">
        <f t="shared" ca="1" si="25"/>
        <v>0</v>
      </c>
      <c r="AD112" s="42">
        <f t="shared" ca="1" si="25"/>
        <v>0</v>
      </c>
      <c r="AE112" s="42">
        <f t="shared" ca="1" si="25"/>
        <v>0</v>
      </c>
      <c r="AF112" s="42">
        <f t="shared" ca="1" si="25"/>
        <v>0</v>
      </c>
      <c r="AG112" s="42">
        <f t="shared" ca="1" si="25"/>
        <v>0</v>
      </c>
      <c r="AH112" s="42">
        <f t="shared" ca="1" si="25"/>
        <v>0</v>
      </c>
      <c r="AI112" s="42">
        <f t="shared" ca="1" si="25"/>
        <v>0</v>
      </c>
      <c r="AJ112" s="42">
        <f t="shared" ref="AJ112:AW112" ca="1" si="26">$D$60*AJ24*Sens_Opcost</f>
        <v>0</v>
      </c>
      <c r="AK112" s="42">
        <f t="shared" ca="1" si="26"/>
        <v>0</v>
      </c>
      <c r="AL112" s="42">
        <f t="shared" ca="1" si="26"/>
        <v>0</v>
      </c>
      <c r="AM112" s="42">
        <f t="shared" si="26"/>
        <v>0</v>
      </c>
      <c r="AN112" s="42">
        <f t="shared" si="26"/>
        <v>0</v>
      </c>
      <c r="AO112" s="42">
        <f t="shared" si="26"/>
        <v>0</v>
      </c>
      <c r="AP112" s="42">
        <f t="shared" si="26"/>
        <v>0</v>
      </c>
      <c r="AQ112" s="42">
        <f t="shared" si="26"/>
        <v>0</v>
      </c>
      <c r="AR112" s="42">
        <f t="shared" si="26"/>
        <v>0</v>
      </c>
      <c r="AS112" s="42">
        <f t="shared" si="26"/>
        <v>0</v>
      </c>
      <c r="AT112" s="42">
        <f t="shared" si="26"/>
        <v>0</v>
      </c>
      <c r="AU112" s="42">
        <f t="shared" si="26"/>
        <v>0</v>
      </c>
      <c r="AV112" s="42">
        <f t="shared" si="26"/>
        <v>0</v>
      </c>
      <c r="AW112" s="42">
        <f t="shared" si="26"/>
        <v>0</v>
      </c>
    </row>
    <row r="113" spans="2:49">
      <c r="B113" s="2" t="s">
        <v>970</v>
      </c>
      <c r="C113" s="15" t="s">
        <v>44</v>
      </c>
      <c r="D113" s="53">
        <f t="shared" ca="1" si="22"/>
        <v>0</v>
      </c>
      <c r="I113" s="42">
        <f>$D$61*I24</f>
        <v>0</v>
      </c>
      <c r="J113" s="42">
        <f t="shared" ref="J113:AI113" si="27">$D$61*J24*Sens_Opcost</f>
        <v>0</v>
      </c>
      <c r="K113" s="42">
        <f t="shared" si="27"/>
        <v>0</v>
      </c>
      <c r="L113" s="42">
        <f t="shared" ca="1" si="27"/>
        <v>0</v>
      </c>
      <c r="M113" s="42">
        <f t="shared" ca="1" si="27"/>
        <v>0</v>
      </c>
      <c r="N113" s="42">
        <f t="shared" ca="1" si="27"/>
        <v>0</v>
      </c>
      <c r="O113" s="42">
        <f t="shared" ca="1" si="27"/>
        <v>0</v>
      </c>
      <c r="P113" s="42">
        <f t="shared" ca="1" si="27"/>
        <v>0</v>
      </c>
      <c r="Q113" s="42">
        <f t="shared" ca="1" si="27"/>
        <v>0</v>
      </c>
      <c r="R113" s="42">
        <f t="shared" ca="1" si="27"/>
        <v>0</v>
      </c>
      <c r="S113" s="42">
        <f t="shared" ca="1" si="27"/>
        <v>0</v>
      </c>
      <c r="T113" s="42">
        <f t="shared" ca="1" si="27"/>
        <v>0</v>
      </c>
      <c r="U113" s="42">
        <f t="shared" ca="1" si="27"/>
        <v>0</v>
      </c>
      <c r="V113" s="42">
        <f t="shared" ca="1" si="27"/>
        <v>0</v>
      </c>
      <c r="W113" s="42">
        <f t="shared" ca="1" si="27"/>
        <v>0</v>
      </c>
      <c r="X113" s="42">
        <f t="shared" ca="1" si="27"/>
        <v>0</v>
      </c>
      <c r="Y113" s="42">
        <f t="shared" ca="1" si="27"/>
        <v>0</v>
      </c>
      <c r="Z113" s="42">
        <f t="shared" ca="1" si="27"/>
        <v>0</v>
      </c>
      <c r="AA113" s="42">
        <f t="shared" ca="1" si="27"/>
        <v>0</v>
      </c>
      <c r="AB113" s="42">
        <f t="shared" ca="1" si="27"/>
        <v>0</v>
      </c>
      <c r="AC113" s="42">
        <f t="shared" ca="1" si="27"/>
        <v>0</v>
      </c>
      <c r="AD113" s="42">
        <f t="shared" ca="1" si="27"/>
        <v>0</v>
      </c>
      <c r="AE113" s="42">
        <f t="shared" ca="1" si="27"/>
        <v>0</v>
      </c>
      <c r="AF113" s="42">
        <f t="shared" ca="1" si="27"/>
        <v>0</v>
      </c>
      <c r="AG113" s="42">
        <f t="shared" ca="1" si="27"/>
        <v>0</v>
      </c>
      <c r="AH113" s="42">
        <f t="shared" ca="1" si="27"/>
        <v>0</v>
      </c>
      <c r="AI113" s="42">
        <f t="shared" ca="1" si="27"/>
        <v>0</v>
      </c>
      <c r="AJ113" s="42">
        <f t="shared" ref="AJ113:AW113" ca="1" si="28">$D$61*AJ24*Sens_Opcost</f>
        <v>0</v>
      </c>
      <c r="AK113" s="42">
        <f t="shared" ca="1" si="28"/>
        <v>0</v>
      </c>
      <c r="AL113" s="42">
        <f t="shared" ca="1" si="28"/>
        <v>0</v>
      </c>
      <c r="AM113" s="42">
        <f t="shared" si="28"/>
        <v>0</v>
      </c>
      <c r="AN113" s="42">
        <f t="shared" si="28"/>
        <v>0</v>
      </c>
      <c r="AO113" s="42">
        <f t="shared" si="28"/>
        <v>0</v>
      </c>
      <c r="AP113" s="42">
        <f t="shared" si="28"/>
        <v>0</v>
      </c>
      <c r="AQ113" s="42">
        <f t="shared" si="28"/>
        <v>0</v>
      </c>
      <c r="AR113" s="42">
        <f t="shared" si="28"/>
        <v>0</v>
      </c>
      <c r="AS113" s="42">
        <f t="shared" si="28"/>
        <v>0</v>
      </c>
      <c r="AT113" s="42">
        <f t="shared" si="28"/>
        <v>0</v>
      </c>
      <c r="AU113" s="42">
        <f t="shared" si="28"/>
        <v>0</v>
      </c>
      <c r="AV113" s="42">
        <f t="shared" si="28"/>
        <v>0</v>
      </c>
      <c r="AW113" s="42">
        <f t="shared" si="28"/>
        <v>0</v>
      </c>
    </row>
    <row r="114" spans="2:49">
      <c r="B114" s="2" t="s">
        <v>971</v>
      </c>
      <c r="C114" s="15" t="s">
        <v>44</v>
      </c>
      <c r="D114" s="53">
        <f t="shared" ca="1" si="22"/>
        <v>0</v>
      </c>
      <c r="I114" s="42">
        <f>$D$62*I24</f>
        <v>0</v>
      </c>
      <c r="J114" s="42">
        <f t="shared" ref="J114:AI114" si="29">$D$62*J24*Sens_Opcost</f>
        <v>0</v>
      </c>
      <c r="K114" s="42">
        <f t="shared" si="29"/>
        <v>0</v>
      </c>
      <c r="L114" s="42">
        <f t="shared" ca="1" si="29"/>
        <v>0</v>
      </c>
      <c r="M114" s="42">
        <f t="shared" ca="1" si="29"/>
        <v>0</v>
      </c>
      <c r="N114" s="42">
        <f t="shared" ca="1" si="29"/>
        <v>0</v>
      </c>
      <c r="O114" s="42">
        <f t="shared" ca="1" si="29"/>
        <v>0</v>
      </c>
      <c r="P114" s="42">
        <f t="shared" ca="1" si="29"/>
        <v>0</v>
      </c>
      <c r="Q114" s="42">
        <f t="shared" ca="1" si="29"/>
        <v>0</v>
      </c>
      <c r="R114" s="42">
        <f t="shared" ca="1" si="29"/>
        <v>0</v>
      </c>
      <c r="S114" s="42">
        <f t="shared" ca="1" si="29"/>
        <v>0</v>
      </c>
      <c r="T114" s="42">
        <f t="shared" ca="1" si="29"/>
        <v>0</v>
      </c>
      <c r="U114" s="42">
        <f t="shared" ca="1" si="29"/>
        <v>0</v>
      </c>
      <c r="V114" s="42">
        <f t="shared" ca="1" si="29"/>
        <v>0</v>
      </c>
      <c r="W114" s="42">
        <f t="shared" ca="1" si="29"/>
        <v>0</v>
      </c>
      <c r="X114" s="42">
        <f t="shared" ca="1" si="29"/>
        <v>0</v>
      </c>
      <c r="Y114" s="42">
        <f t="shared" ca="1" si="29"/>
        <v>0</v>
      </c>
      <c r="Z114" s="42">
        <f t="shared" ca="1" si="29"/>
        <v>0</v>
      </c>
      <c r="AA114" s="42">
        <f t="shared" ca="1" si="29"/>
        <v>0</v>
      </c>
      <c r="AB114" s="42">
        <f t="shared" ca="1" si="29"/>
        <v>0</v>
      </c>
      <c r="AC114" s="42">
        <f t="shared" ca="1" si="29"/>
        <v>0</v>
      </c>
      <c r="AD114" s="42">
        <f t="shared" ca="1" si="29"/>
        <v>0</v>
      </c>
      <c r="AE114" s="42">
        <f t="shared" ca="1" si="29"/>
        <v>0</v>
      </c>
      <c r="AF114" s="42">
        <f t="shared" ca="1" si="29"/>
        <v>0</v>
      </c>
      <c r="AG114" s="42">
        <f t="shared" ca="1" si="29"/>
        <v>0</v>
      </c>
      <c r="AH114" s="42">
        <f t="shared" ca="1" si="29"/>
        <v>0</v>
      </c>
      <c r="AI114" s="42">
        <f t="shared" ca="1" si="29"/>
        <v>0</v>
      </c>
      <c r="AJ114" s="42">
        <f t="shared" ref="AJ114:AW114" ca="1" si="30">$D$62*AJ24*Sens_Opcost</f>
        <v>0</v>
      </c>
      <c r="AK114" s="42">
        <f t="shared" ca="1" si="30"/>
        <v>0</v>
      </c>
      <c r="AL114" s="42">
        <f t="shared" ca="1" si="30"/>
        <v>0</v>
      </c>
      <c r="AM114" s="42">
        <f t="shared" si="30"/>
        <v>0</v>
      </c>
      <c r="AN114" s="42">
        <f t="shared" si="30"/>
        <v>0</v>
      </c>
      <c r="AO114" s="42">
        <f t="shared" si="30"/>
        <v>0</v>
      </c>
      <c r="AP114" s="42">
        <f t="shared" si="30"/>
        <v>0</v>
      </c>
      <c r="AQ114" s="42">
        <f t="shared" si="30"/>
        <v>0</v>
      </c>
      <c r="AR114" s="42">
        <f t="shared" si="30"/>
        <v>0</v>
      </c>
      <c r="AS114" s="42">
        <f t="shared" si="30"/>
        <v>0</v>
      </c>
      <c r="AT114" s="42">
        <f t="shared" si="30"/>
        <v>0</v>
      </c>
      <c r="AU114" s="42">
        <f t="shared" si="30"/>
        <v>0</v>
      </c>
      <c r="AV114" s="42">
        <f t="shared" si="30"/>
        <v>0</v>
      </c>
      <c r="AW114" s="42">
        <f t="shared" si="30"/>
        <v>0</v>
      </c>
    </row>
    <row r="115" spans="2:49">
      <c r="B115" s="2" t="s">
        <v>972</v>
      </c>
      <c r="C115" s="15" t="s">
        <v>44</v>
      </c>
      <c r="D115" s="53">
        <f t="shared" ca="1" si="22"/>
        <v>0</v>
      </c>
      <c r="I115" s="42">
        <f>$D$63*I24</f>
        <v>0</v>
      </c>
      <c r="J115" s="42">
        <f t="shared" ref="J115:AI115" si="31">$D$63*J24*Sens_Opcost</f>
        <v>0</v>
      </c>
      <c r="K115" s="42">
        <f t="shared" si="31"/>
        <v>0</v>
      </c>
      <c r="L115" s="42">
        <f t="shared" ca="1" si="31"/>
        <v>0</v>
      </c>
      <c r="M115" s="42">
        <f t="shared" ca="1" si="31"/>
        <v>0</v>
      </c>
      <c r="N115" s="42">
        <f t="shared" ca="1" si="31"/>
        <v>0</v>
      </c>
      <c r="O115" s="42">
        <f t="shared" ca="1" si="31"/>
        <v>0</v>
      </c>
      <c r="P115" s="42">
        <f t="shared" ca="1" si="31"/>
        <v>0</v>
      </c>
      <c r="Q115" s="42">
        <f t="shared" ca="1" si="31"/>
        <v>0</v>
      </c>
      <c r="R115" s="42">
        <f t="shared" ca="1" si="31"/>
        <v>0</v>
      </c>
      <c r="S115" s="42">
        <f t="shared" ca="1" si="31"/>
        <v>0</v>
      </c>
      <c r="T115" s="42">
        <f t="shared" ca="1" si="31"/>
        <v>0</v>
      </c>
      <c r="U115" s="42">
        <f t="shared" ca="1" si="31"/>
        <v>0</v>
      </c>
      <c r="V115" s="42">
        <f t="shared" ca="1" si="31"/>
        <v>0</v>
      </c>
      <c r="W115" s="42">
        <f t="shared" ca="1" si="31"/>
        <v>0</v>
      </c>
      <c r="X115" s="42">
        <f t="shared" ca="1" si="31"/>
        <v>0</v>
      </c>
      <c r="Y115" s="42">
        <f t="shared" ca="1" si="31"/>
        <v>0</v>
      </c>
      <c r="Z115" s="42">
        <f t="shared" ca="1" si="31"/>
        <v>0</v>
      </c>
      <c r="AA115" s="42">
        <f t="shared" ca="1" si="31"/>
        <v>0</v>
      </c>
      <c r="AB115" s="42">
        <f t="shared" ca="1" si="31"/>
        <v>0</v>
      </c>
      <c r="AC115" s="42">
        <f t="shared" ca="1" si="31"/>
        <v>0</v>
      </c>
      <c r="AD115" s="42">
        <f t="shared" ca="1" si="31"/>
        <v>0</v>
      </c>
      <c r="AE115" s="42">
        <f t="shared" ca="1" si="31"/>
        <v>0</v>
      </c>
      <c r="AF115" s="42">
        <f t="shared" ca="1" si="31"/>
        <v>0</v>
      </c>
      <c r="AG115" s="42">
        <f t="shared" ca="1" si="31"/>
        <v>0</v>
      </c>
      <c r="AH115" s="42">
        <f t="shared" ca="1" si="31"/>
        <v>0</v>
      </c>
      <c r="AI115" s="42">
        <f t="shared" ca="1" si="31"/>
        <v>0</v>
      </c>
      <c r="AJ115" s="42">
        <f t="shared" ref="AJ115:AW115" ca="1" si="32">$D$63*AJ24*Sens_Opcost</f>
        <v>0</v>
      </c>
      <c r="AK115" s="42">
        <f t="shared" ca="1" si="32"/>
        <v>0</v>
      </c>
      <c r="AL115" s="42">
        <f t="shared" ca="1" si="32"/>
        <v>0</v>
      </c>
      <c r="AM115" s="42">
        <f t="shared" si="32"/>
        <v>0</v>
      </c>
      <c r="AN115" s="42">
        <f t="shared" si="32"/>
        <v>0</v>
      </c>
      <c r="AO115" s="42">
        <f t="shared" si="32"/>
        <v>0</v>
      </c>
      <c r="AP115" s="42">
        <f t="shared" si="32"/>
        <v>0</v>
      </c>
      <c r="AQ115" s="42">
        <f t="shared" si="32"/>
        <v>0</v>
      </c>
      <c r="AR115" s="42">
        <f t="shared" si="32"/>
        <v>0</v>
      </c>
      <c r="AS115" s="42">
        <f t="shared" si="32"/>
        <v>0</v>
      </c>
      <c r="AT115" s="42">
        <f t="shared" si="32"/>
        <v>0</v>
      </c>
      <c r="AU115" s="42">
        <f t="shared" si="32"/>
        <v>0</v>
      </c>
      <c r="AV115" s="42">
        <f t="shared" si="32"/>
        <v>0</v>
      </c>
      <c r="AW115" s="42">
        <f t="shared" si="32"/>
        <v>0</v>
      </c>
    </row>
    <row r="116" spans="2:49">
      <c r="B116" s="2" t="s">
        <v>973</v>
      </c>
      <c r="C116" s="15" t="s">
        <v>44</v>
      </c>
      <c r="D116" s="53">
        <f t="shared" ca="1" si="22"/>
        <v>0</v>
      </c>
      <c r="I116" s="42">
        <f>$D$64*I24</f>
        <v>0</v>
      </c>
      <c r="J116" s="42">
        <f t="shared" ref="J116:AI116" si="33">$D$64*J24*Sens_Opcost</f>
        <v>0</v>
      </c>
      <c r="K116" s="42">
        <f t="shared" si="33"/>
        <v>0</v>
      </c>
      <c r="L116" s="42">
        <f t="shared" ca="1" si="33"/>
        <v>0</v>
      </c>
      <c r="M116" s="42">
        <f t="shared" ca="1" si="33"/>
        <v>0</v>
      </c>
      <c r="N116" s="42">
        <f t="shared" ca="1" si="33"/>
        <v>0</v>
      </c>
      <c r="O116" s="42">
        <f t="shared" ca="1" si="33"/>
        <v>0</v>
      </c>
      <c r="P116" s="42">
        <f t="shared" ca="1" si="33"/>
        <v>0</v>
      </c>
      <c r="Q116" s="42">
        <f t="shared" ca="1" si="33"/>
        <v>0</v>
      </c>
      <c r="R116" s="42">
        <f t="shared" ca="1" si="33"/>
        <v>0</v>
      </c>
      <c r="S116" s="42">
        <f t="shared" ca="1" si="33"/>
        <v>0</v>
      </c>
      <c r="T116" s="42">
        <f t="shared" ca="1" si="33"/>
        <v>0</v>
      </c>
      <c r="U116" s="42">
        <f t="shared" ca="1" si="33"/>
        <v>0</v>
      </c>
      <c r="V116" s="42">
        <f t="shared" ca="1" si="33"/>
        <v>0</v>
      </c>
      <c r="W116" s="42">
        <f t="shared" ca="1" si="33"/>
        <v>0</v>
      </c>
      <c r="X116" s="42">
        <f t="shared" ca="1" si="33"/>
        <v>0</v>
      </c>
      <c r="Y116" s="42">
        <f t="shared" ca="1" si="33"/>
        <v>0</v>
      </c>
      <c r="Z116" s="42">
        <f t="shared" ca="1" si="33"/>
        <v>0</v>
      </c>
      <c r="AA116" s="42">
        <f t="shared" ca="1" si="33"/>
        <v>0</v>
      </c>
      <c r="AB116" s="42">
        <f t="shared" ca="1" si="33"/>
        <v>0</v>
      </c>
      <c r="AC116" s="42">
        <f t="shared" ca="1" si="33"/>
        <v>0</v>
      </c>
      <c r="AD116" s="42">
        <f t="shared" ca="1" si="33"/>
        <v>0</v>
      </c>
      <c r="AE116" s="42">
        <f t="shared" ca="1" si="33"/>
        <v>0</v>
      </c>
      <c r="AF116" s="42">
        <f t="shared" ca="1" si="33"/>
        <v>0</v>
      </c>
      <c r="AG116" s="42">
        <f t="shared" ca="1" si="33"/>
        <v>0</v>
      </c>
      <c r="AH116" s="42">
        <f t="shared" ca="1" si="33"/>
        <v>0</v>
      </c>
      <c r="AI116" s="42">
        <f t="shared" ca="1" si="33"/>
        <v>0</v>
      </c>
      <c r="AJ116" s="42">
        <f t="shared" ref="AJ116:AW116" ca="1" si="34">$D$64*AJ24*Sens_Opcost</f>
        <v>0</v>
      </c>
      <c r="AK116" s="42">
        <f t="shared" ca="1" si="34"/>
        <v>0</v>
      </c>
      <c r="AL116" s="42">
        <f t="shared" ca="1" si="34"/>
        <v>0</v>
      </c>
      <c r="AM116" s="42">
        <f t="shared" si="34"/>
        <v>0</v>
      </c>
      <c r="AN116" s="42">
        <f t="shared" si="34"/>
        <v>0</v>
      </c>
      <c r="AO116" s="42">
        <f t="shared" si="34"/>
        <v>0</v>
      </c>
      <c r="AP116" s="42">
        <f t="shared" si="34"/>
        <v>0</v>
      </c>
      <c r="AQ116" s="42">
        <f t="shared" si="34"/>
        <v>0</v>
      </c>
      <c r="AR116" s="42">
        <f t="shared" si="34"/>
        <v>0</v>
      </c>
      <c r="AS116" s="42">
        <f t="shared" si="34"/>
        <v>0</v>
      </c>
      <c r="AT116" s="42">
        <f t="shared" si="34"/>
        <v>0</v>
      </c>
      <c r="AU116" s="42">
        <f t="shared" si="34"/>
        <v>0</v>
      </c>
      <c r="AV116" s="42">
        <f t="shared" si="34"/>
        <v>0</v>
      </c>
      <c r="AW116" s="42">
        <f t="shared" si="34"/>
        <v>0</v>
      </c>
    </row>
    <row r="117" spans="2:49">
      <c r="C117" s="15" t="s">
        <v>44</v>
      </c>
      <c r="D117" s="53">
        <f>SUM(I117:AI117)</f>
        <v>0</v>
      </c>
      <c r="I117" s="42"/>
      <c r="J117" s="42"/>
      <c r="K117" s="42"/>
      <c r="L117" s="42"/>
      <c r="M117" s="42"/>
      <c r="N117" s="42"/>
      <c r="O117" s="42"/>
      <c r="P117" s="42"/>
      <c r="R117" s="42"/>
      <c r="S117" s="42"/>
      <c r="T117" s="42"/>
      <c r="U117" s="42"/>
      <c r="V117" s="42"/>
      <c r="W117" s="42"/>
      <c r="X117" s="42"/>
      <c r="Y117" s="42"/>
      <c r="Z117" s="42"/>
      <c r="AA117" s="42"/>
      <c r="AB117" s="42"/>
      <c r="AC117" s="42"/>
      <c r="AD117" s="42"/>
      <c r="AE117" s="42"/>
      <c r="AF117" s="42"/>
      <c r="AG117" s="42"/>
      <c r="AH117" s="42"/>
      <c r="AI117" s="42"/>
    </row>
    <row r="118" spans="2:49">
      <c r="C118" s="15" t="s">
        <v>44</v>
      </c>
      <c r="D118" s="53">
        <f>SUM(I118:AI118)</f>
        <v>0</v>
      </c>
      <c r="I118" s="42"/>
      <c r="J118" s="42"/>
      <c r="K118" s="42"/>
      <c r="L118" s="42"/>
      <c r="M118" s="42"/>
      <c r="N118" s="42"/>
      <c r="O118" s="42"/>
      <c r="P118" s="42"/>
      <c r="Q118" s="42"/>
      <c r="R118" s="42"/>
      <c r="S118" s="42"/>
      <c r="T118" s="42"/>
      <c r="U118" s="42"/>
      <c r="V118" s="42"/>
      <c r="W118" s="42"/>
      <c r="X118" s="42"/>
      <c r="Y118" s="42"/>
      <c r="Z118" s="42"/>
      <c r="AA118" s="42"/>
      <c r="AB118" s="42"/>
      <c r="AC118" s="42"/>
      <c r="AD118" s="42"/>
      <c r="AE118" s="42"/>
      <c r="AF118" s="42"/>
      <c r="AG118" s="42"/>
      <c r="AH118" s="42"/>
      <c r="AI118" s="42"/>
    </row>
    <row r="119" spans="2:49">
      <c r="C119" s="15"/>
      <c r="D119" s="53"/>
      <c r="I119" s="42"/>
      <c r="J119" s="42"/>
      <c r="K119" s="42"/>
      <c r="L119" s="42"/>
      <c r="M119" s="42"/>
      <c r="N119" s="42"/>
      <c r="O119" s="42"/>
      <c r="P119" s="42"/>
      <c r="Q119" s="42"/>
      <c r="R119" s="42"/>
      <c r="S119" s="42"/>
      <c r="T119" s="42"/>
      <c r="U119" s="42"/>
      <c r="V119" s="42"/>
      <c r="W119" s="42"/>
      <c r="X119" s="42"/>
      <c r="Y119" s="42"/>
      <c r="Z119" s="42"/>
      <c r="AA119" s="42"/>
      <c r="AB119" s="42"/>
      <c r="AC119" s="42"/>
      <c r="AD119" s="42"/>
      <c r="AE119" s="42"/>
      <c r="AF119" s="42"/>
      <c r="AG119" s="42"/>
      <c r="AH119" s="42"/>
      <c r="AI119" s="42"/>
    </row>
    <row r="120" spans="2:49">
      <c r="B120" s="586" t="s">
        <v>1068</v>
      </c>
      <c r="C120" s="15"/>
      <c r="D120" s="53"/>
      <c r="I120" s="42"/>
      <c r="J120" s="42"/>
      <c r="K120" s="42"/>
      <c r="L120" s="42"/>
      <c r="M120" s="42"/>
      <c r="N120" s="42"/>
      <c r="O120" s="42"/>
      <c r="P120" s="42"/>
      <c r="Q120" s="42"/>
      <c r="R120" s="42"/>
      <c r="S120" s="42"/>
      <c r="T120" s="42"/>
      <c r="U120" s="42"/>
      <c r="V120" s="42"/>
      <c r="W120" s="42"/>
      <c r="X120" s="42"/>
      <c r="Y120" s="42"/>
      <c r="Z120" s="42"/>
      <c r="AA120" s="42"/>
      <c r="AB120" s="42"/>
      <c r="AC120" s="42"/>
      <c r="AD120" s="42"/>
      <c r="AE120" s="42"/>
      <c r="AF120" s="42"/>
      <c r="AG120" s="42"/>
      <c r="AH120" s="42"/>
      <c r="AI120" s="42"/>
    </row>
    <row r="121" spans="2:49">
      <c r="B121" s="2" t="s">
        <v>1674</v>
      </c>
      <c r="C121" s="15" t="s">
        <v>44</v>
      </c>
      <c r="D121" s="53">
        <f ca="1">SUM(I121:AW121)</f>
        <v>17557205.910489175</v>
      </c>
      <c r="I121" s="42">
        <f>$D$68*I27</f>
        <v>0</v>
      </c>
      <c r="J121" s="42">
        <f>$D$68*J27</f>
        <v>0</v>
      </c>
      <c r="K121" s="42">
        <f ca="1">$D$68*K27</f>
        <v>627042.06242176867</v>
      </c>
      <c r="L121" s="42">
        <f t="shared" ref="L121:AW121" ca="1" si="35">$D$68*L27</f>
        <v>627042.06242176867</v>
      </c>
      <c r="M121" s="42">
        <f t="shared" ca="1" si="35"/>
        <v>627042.06242176867</v>
      </c>
      <c r="N121" s="42">
        <f t="shared" ca="1" si="35"/>
        <v>625328.83274302061</v>
      </c>
      <c r="O121" s="42">
        <f t="shared" ca="1" si="35"/>
        <v>628759.98588045849</v>
      </c>
      <c r="P121" s="42">
        <f t="shared" ca="1" si="35"/>
        <v>627042.06242176867</v>
      </c>
      <c r="Q121" s="42">
        <f t="shared" ca="1" si="35"/>
        <v>627042.06242176867</v>
      </c>
      <c r="R121" s="42">
        <f t="shared" ca="1" si="35"/>
        <v>625328.83274302061</v>
      </c>
      <c r="S121" s="42">
        <f t="shared" ca="1" si="35"/>
        <v>628759.98588045849</v>
      </c>
      <c r="T121" s="42">
        <f t="shared" ca="1" si="35"/>
        <v>627042.06242176867</v>
      </c>
      <c r="U121" s="42">
        <f t="shared" ca="1" si="35"/>
        <v>627042.06242176867</v>
      </c>
      <c r="V121" s="42">
        <f t="shared" ca="1" si="35"/>
        <v>625328.83274302061</v>
      </c>
      <c r="W121" s="42">
        <f t="shared" ca="1" si="35"/>
        <v>628759.98588045849</v>
      </c>
      <c r="X121" s="42">
        <f t="shared" ca="1" si="35"/>
        <v>627042.06242176867</v>
      </c>
      <c r="Y121" s="42">
        <f t="shared" ca="1" si="35"/>
        <v>627042.06242176867</v>
      </c>
      <c r="Z121" s="42">
        <f t="shared" ca="1" si="35"/>
        <v>625328.83274302061</v>
      </c>
      <c r="AA121" s="42">
        <f t="shared" ca="1" si="35"/>
        <v>628759.98588045849</v>
      </c>
      <c r="AB121" s="42">
        <f t="shared" ca="1" si="35"/>
        <v>627042.06242176867</v>
      </c>
      <c r="AC121" s="42">
        <f t="shared" ca="1" si="35"/>
        <v>627042.06242176867</v>
      </c>
      <c r="AD121" s="42">
        <f t="shared" ca="1" si="35"/>
        <v>625328.83274302061</v>
      </c>
      <c r="AE121" s="42">
        <f t="shared" ca="1" si="35"/>
        <v>628759.98588045849</v>
      </c>
      <c r="AF121" s="42">
        <f t="shared" ca="1" si="35"/>
        <v>627042.06242176867</v>
      </c>
      <c r="AG121" s="42">
        <f t="shared" ca="1" si="35"/>
        <v>627042.06242176867</v>
      </c>
      <c r="AH121" s="42">
        <f t="shared" ca="1" si="35"/>
        <v>625328.83274302061</v>
      </c>
      <c r="AI121" s="42">
        <f t="shared" ca="1" si="35"/>
        <v>628759.98588045849</v>
      </c>
      <c r="AJ121" s="42">
        <f t="shared" ca="1" si="35"/>
        <v>627042.06242176867</v>
      </c>
      <c r="AK121" s="42">
        <f t="shared" ca="1" si="35"/>
        <v>627042.06242176867</v>
      </c>
      <c r="AL121" s="42">
        <f t="shared" ca="1" si="35"/>
        <v>627042.06242176867</v>
      </c>
      <c r="AM121" s="42">
        <f t="shared" si="35"/>
        <v>0</v>
      </c>
      <c r="AN121" s="42">
        <f t="shared" si="35"/>
        <v>0</v>
      </c>
      <c r="AO121" s="42">
        <f t="shared" si="35"/>
        <v>0</v>
      </c>
      <c r="AP121" s="42">
        <f t="shared" si="35"/>
        <v>0</v>
      </c>
      <c r="AQ121" s="42">
        <f t="shared" si="35"/>
        <v>0</v>
      </c>
      <c r="AR121" s="42">
        <f t="shared" si="35"/>
        <v>0</v>
      </c>
      <c r="AS121" s="42">
        <f t="shared" si="35"/>
        <v>0</v>
      </c>
      <c r="AT121" s="42">
        <f t="shared" si="35"/>
        <v>0</v>
      </c>
      <c r="AU121" s="42">
        <f t="shared" si="35"/>
        <v>0</v>
      </c>
      <c r="AV121" s="42">
        <f t="shared" si="35"/>
        <v>0</v>
      </c>
      <c r="AW121" s="42">
        <f t="shared" si="35"/>
        <v>0</v>
      </c>
    </row>
    <row r="122" spans="2:49">
      <c r="B122" s="2" t="s">
        <v>968</v>
      </c>
      <c r="C122" s="15" t="s">
        <v>44</v>
      </c>
      <c r="D122" s="53">
        <f t="shared" ref="D122:D137" ca="1" si="36">SUM(I122:AW122)</f>
        <v>0</v>
      </c>
      <c r="I122" s="42">
        <f>$D$69*I27</f>
        <v>0</v>
      </c>
      <c r="J122" s="42">
        <f>$D$69*J27</f>
        <v>0</v>
      </c>
      <c r="K122" s="42">
        <f ca="1">$D$69*K27</f>
        <v>0</v>
      </c>
      <c r="L122" s="42">
        <f t="shared" ref="L122:AW122" ca="1" si="37">$D$69*L27</f>
        <v>0</v>
      </c>
      <c r="M122" s="42">
        <f t="shared" ca="1" si="37"/>
        <v>0</v>
      </c>
      <c r="N122" s="42">
        <f t="shared" ca="1" si="37"/>
        <v>0</v>
      </c>
      <c r="O122" s="42">
        <f t="shared" ca="1" si="37"/>
        <v>0</v>
      </c>
      <c r="P122" s="42">
        <f t="shared" ca="1" si="37"/>
        <v>0</v>
      </c>
      <c r="Q122" s="42">
        <f t="shared" ca="1" si="37"/>
        <v>0</v>
      </c>
      <c r="R122" s="42">
        <f t="shared" ca="1" si="37"/>
        <v>0</v>
      </c>
      <c r="S122" s="42">
        <f t="shared" ca="1" si="37"/>
        <v>0</v>
      </c>
      <c r="T122" s="42">
        <f t="shared" ca="1" si="37"/>
        <v>0</v>
      </c>
      <c r="U122" s="42">
        <f t="shared" ca="1" si="37"/>
        <v>0</v>
      </c>
      <c r="V122" s="42">
        <f t="shared" ca="1" si="37"/>
        <v>0</v>
      </c>
      <c r="W122" s="42">
        <f t="shared" ca="1" si="37"/>
        <v>0</v>
      </c>
      <c r="X122" s="42">
        <f t="shared" ca="1" si="37"/>
        <v>0</v>
      </c>
      <c r="Y122" s="42">
        <f t="shared" ca="1" si="37"/>
        <v>0</v>
      </c>
      <c r="Z122" s="42">
        <f t="shared" ca="1" si="37"/>
        <v>0</v>
      </c>
      <c r="AA122" s="42">
        <f t="shared" ca="1" si="37"/>
        <v>0</v>
      </c>
      <c r="AB122" s="42">
        <f t="shared" ca="1" si="37"/>
        <v>0</v>
      </c>
      <c r="AC122" s="42">
        <f t="shared" ca="1" si="37"/>
        <v>0</v>
      </c>
      <c r="AD122" s="42">
        <f t="shared" ca="1" si="37"/>
        <v>0</v>
      </c>
      <c r="AE122" s="42">
        <f t="shared" ca="1" si="37"/>
        <v>0</v>
      </c>
      <c r="AF122" s="42">
        <f t="shared" ca="1" si="37"/>
        <v>0</v>
      </c>
      <c r="AG122" s="42">
        <f t="shared" ca="1" si="37"/>
        <v>0</v>
      </c>
      <c r="AH122" s="42">
        <f t="shared" ca="1" si="37"/>
        <v>0</v>
      </c>
      <c r="AI122" s="42">
        <f t="shared" ca="1" si="37"/>
        <v>0</v>
      </c>
      <c r="AJ122" s="42">
        <f t="shared" ca="1" si="37"/>
        <v>0</v>
      </c>
      <c r="AK122" s="42">
        <f t="shared" ca="1" si="37"/>
        <v>0</v>
      </c>
      <c r="AL122" s="42">
        <f t="shared" ca="1" si="37"/>
        <v>0</v>
      </c>
      <c r="AM122" s="42">
        <f t="shared" si="37"/>
        <v>0</v>
      </c>
      <c r="AN122" s="42">
        <f t="shared" si="37"/>
        <v>0</v>
      </c>
      <c r="AO122" s="42">
        <f t="shared" si="37"/>
        <v>0</v>
      </c>
      <c r="AP122" s="42">
        <f t="shared" si="37"/>
        <v>0</v>
      </c>
      <c r="AQ122" s="42">
        <f t="shared" si="37"/>
        <v>0</v>
      </c>
      <c r="AR122" s="42">
        <f t="shared" si="37"/>
        <v>0</v>
      </c>
      <c r="AS122" s="42">
        <f t="shared" si="37"/>
        <v>0</v>
      </c>
      <c r="AT122" s="42">
        <f t="shared" si="37"/>
        <v>0</v>
      </c>
      <c r="AU122" s="42">
        <f t="shared" si="37"/>
        <v>0</v>
      </c>
      <c r="AV122" s="42">
        <f t="shared" si="37"/>
        <v>0</v>
      </c>
      <c r="AW122" s="42">
        <f t="shared" si="37"/>
        <v>0</v>
      </c>
    </row>
    <row r="123" spans="2:49">
      <c r="B123" s="2" t="s">
        <v>969</v>
      </c>
      <c r="C123" s="15" t="s">
        <v>44</v>
      </c>
      <c r="D123" s="53">
        <f t="shared" ca="1" si="36"/>
        <v>34720055.692791387</v>
      </c>
      <c r="I123" s="42">
        <f>$D$70*I27</f>
        <v>0</v>
      </c>
      <c r="J123" s="42">
        <f>$D$70*J27</f>
        <v>0</v>
      </c>
      <c r="K123" s="42">
        <f ca="1">$D$70*K27</f>
        <v>1240000</v>
      </c>
      <c r="L123" s="42">
        <f t="shared" ref="L123:AW123" ca="1" si="38">$D$70*L27</f>
        <v>1240000</v>
      </c>
      <c r="M123" s="42">
        <f t="shared" ca="1" si="38"/>
        <v>1240000</v>
      </c>
      <c r="N123" s="42">
        <f t="shared" ca="1" si="38"/>
        <v>1236612.0218579236</v>
      </c>
      <c r="O123" s="42">
        <f t="shared" ca="1" si="38"/>
        <v>1243397.2602739728</v>
      </c>
      <c r="P123" s="42">
        <f t="shared" ca="1" si="38"/>
        <v>1240000</v>
      </c>
      <c r="Q123" s="42">
        <f t="shared" ca="1" si="38"/>
        <v>1240000</v>
      </c>
      <c r="R123" s="42">
        <f t="shared" ca="1" si="38"/>
        <v>1236612.0218579236</v>
      </c>
      <c r="S123" s="42">
        <f t="shared" ca="1" si="38"/>
        <v>1243397.2602739728</v>
      </c>
      <c r="T123" s="42">
        <f t="shared" ca="1" si="38"/>
        <v>1240000</v>
      </c>
      <c r="U123" s="42">
        <f t="shared" ca="1" si="38"/>
        <v>1240000</v>
      </c>
      <c r="V123" s="42">
        <f t="shared" ca="1" si="38"/>
        <v>1236612.0218579236</v>
      </c>
      <c r="W123" s="42">
        <f t="shared" ca="1" si="38"/>
        <v>1243397.2602739728</v>
      </c>
      <c r="X123" s="42">
        <f t="shared" ca="1" si="38"/>
        <v>1240000</v>
      </c>
      <c r="Y123" s="42">
        <f t="shared" ca="1" si="38"/>
        <v>1240000</v>
      </c>
      <c r="Z123" s="42">
        <f t="shared" ca="1" si="38"/>
        <v>1236612.0218579236</v>
      </c>
      <c r="AA123" s="42">
        <f t="shared" ca="1" si="38"/>
        <v>1243397.2602739728</v>
      </c>
      <c r="AB123" s="42">
        <f t="shared" ca="1" si="38"/>
        <v>1240000</v>
      </c>
      <c r="AC123" s="42">
        <f t="shared" ca="1" si="38"/>
        <v>1240000</v>
      </c>
      <c r="AD123" s="42">
        <f t="shared" ca="1" si="38"/>
        <v>1236612.0218579236</v>
      </c>
      <c r="AE123" s="42">
        <f t="shared" ca="1" si="38"/>
        <v>1243397.2602739728</v>
      </c>
      <c r="AF123" s="42">
        <f t="shared" ca="1" si="38"/>
        <v>1240000</v>
      </c>
      <c r="AG123" s="42">
        <f t="shared" ca="1" si="38"/>
        <v>1240000</v>
      </c>
      <c r="AH123" s="42">
        <f t="shared" ca="1" si="38"/>
        <v>1236612.0218579236</v>
      </c>
      <c r="AI123" s="42">
        <f t="shared" ca="1" si="38"/>
        <v>1243397.2602739728</v>
      </c>
      <c r="AJ123" s="42">
        <f t="shared" ca="1" si="38"/>
        <v>1240000</v>
      </c>
      <c r="AK123" s="42">
        <f t="shared" ca="1" si="38"/>
        <v>1240000</v>
      </c>
      <c r="AL123" s="42">
        <f t="shared" ca="1" si="38"/>
        <v>1240000</v>
      </c>
      <c r="AM123" s="42">
        <f t="shared" si="38"/>
        <v>0</v>
      </c>
      <c r="AN123" s="42">
        <f t="shared" si="38"/>
        <v>0</v>
      </c>
      <c r="AO123" s="42">
        <f t="shared" si="38"/>
        <v>0</v>
      </c>
      <c r="AP123" s="42">
        <f t="shared" si="38"/>
        <v>0</v>
      </c>
      <c r="AQ123" s="42">
        <f t="shared" si="38"/>
        <v>0</v>
      </c>
      <c r="AR123" s="42">
        <f t="shared" si="38"/>
        <v>0</v>
      </c>
      <c r="AS123" s="42">
        <f t="shared" si="38"/>
        <v>0</v>
      </c>
      <c r="AT123" s="42">
        <f t="shared" si="38"/>
        <v>0</v>
      </c>
      <c r="AU123" s="42">
        <f t="shared" si="38"/>
        <v>0</v>
      </c>
      <c r="AV123" s="42">
        <f t="shared" si="38"/>
        <v>0</v>
      </c>
      <c r="AW123" s="42">
        <f t="shared" si="38"/>
        <v>0</v>
      </c>
    </row>
    <row r="124" spans="2:49">
      <c r="B124" s="2" t="s">
        <v>970</v>
      </c>
      <c r="C124" s="15" t="s">
        <v>44</v>
      </c>
      <c r="D124" s="53">
        <f t="shared" ca="1" si="36"/>
        <v>184016295.1717943</v>
      </c>
      <c r="I124" s="42">
        <f>$D$71*I27</f>
        <v>0</v>
      </c>
      <c r="J124" s="42">
        <f>$D$71*J27</f>
        <v>0</v>
      </c>
      <c r="K124" s="42">
        <f ca="1">$D$71*K27</f>
        <v>6572000</v>
      </c>
      <c r="L124" s="42">
        <f t="shared" ref="L124:AW124" ca="1" si="39">$D$71*L27</f>
        <v>6572000</v>
      </c>
      <c r="M124" s="42">
        <f t="shared" ca="1" si="39"/>
        <v>6572000</v>
      </c>
      <c r="N124" s="42">
        <f t="shared" ca="1" si="39"/>
        <v>6554043.7158469949</v>
      </c>
      <c r="O124" s="42">
        <f t="shared" ca="1" si="39"/>
        <v>6590005.4794520559</v>
      </c>
      <c r="P124" s="42">
        <f t="shared" ca="1" si="39"/>
        <v>6572000</v>
      </c>
      <c r="Q124" s="42">
        <f t="shared" ca="1" si="39"/>
        <v>6572000</v>
      </c>
      <c r="R124" s="42">
        <f t="shared" ca="1" si="39"/>
        <v>6554043.7158469949</v>
      </c>
      <c r="S124" s="42">
        <f t="shared" ca="1" si="39"/>
        <v>6590005.4794520559</v>
      </c>
      <c r="T124" s="42">
        <f t="shared" ca="1" si="39"/>
        <v>6572000</v>
      </c>
      <c r="U124" s="42">
        <f t="shared" ca="1" si="39"/>
        <v>6572000</v>
      </c>
      <c r="V124" s="42">
        <f t="shared" ca="1" si="39"/>
        <v>6554043.7158469949</v>
      </c>
      <c r="W124" s="42">
        <f t="shared" ca="1" si="39"/>
        <v>6590005.4794520559</v>
      </c>
      <c r="X124" s="42">
        <f t="shared" ca="1" si="39"/>
        <v>6572000</v>
      </c>
      <c r="Y124" s="42">
        <f t="shared" ca="1" si="39"/>
        <v>6572000</v>
      </c>
      <c r="Z124" s="42">
        <f t="shared" ca="1" si="39"/>
        <v>6554043.7158469949</v>
      </c>
      <c r="AA124" s="42">
        <f t="shared" ca="1" si="39"/>
        <v>6590005.4794520559</v>
      </c>
      <c r="AB124" s="42">
        <f t="shared" ca="1" si="39"/>
        <v>6572000</v>
      </c>
      <c r="AC124" s="42">
        <f t="shared" ca="1" si="39"/>
        <v>6572000</v>
      </c>
      <c r="AD124" s="42">
        <f t="shared" ca="1" si="39"/>
        <v>6554043.7158469949</v>
      </c>
      <c r="AE124" s="42">
        <f t="shared" ca="1" si="39"/>
        <v>6590005.4794520559</v>
      </c>
      <c r="AF124" s="42">
        <f t="shared" ca="1" si="39"/>
        <v>6572000</v>
      </c>
      <c r="AG124" s="42">
        <f t="shared" ca="1" si="39"/>
        <v>6572000</v>
      </c>
      <c r="AH124" s="42">
        <f t="shared" ca="1" si="39"/>
        <v>6554043.7158469949</v>
      </c>
      <c r="AI124" s="42">
        <f t="shared" ca="1" si="39"/>
        <v>6590005.4794520559</v>
      </c>
      <c r="AJ124" s="42">
        <f t="shared" ca="1" si="39"/>
        <v>6572000</v>
      </c>
      <c r="AK124" s="42">
        <f t="shared" ca="1" si="39"/>
        <v>6572000</v>
      </c>
      <c r="AL124" s="42">
        <f t="shared" ca="1" si="39"/>
        <v>6572000</v>
      </c>
      <c r="AM124" s="42">
        <f t="shared" si="39"/>
        <v>0</v>
      </c>
      <c r="AN124" s="42">
        <f t="shared" si="39"/>
        <v>0</v>
      </c>
      <c r="AO124" s="42">
        <f t="shared" si="39"/>
        <v>0</v>
      </c>
      <c r="AP124" s="42">
        <f t="shared" si="39"/>
        <v>0</v>
      </c>
      <c r="AQ124" s="42">
        <f t="shared" si="39"/>
        <v>0</v>
      </c>
      <c r="AR124" s="42">
        <f t="shared" si="39"/>
        <v>0</v>
      </c>
      <c r="AS124" s="42">
        <f t="shared" si="39"/>
        <v>0</v>
      </c>
      <c r="AT124" s="42">
        <f t="shared" si="39"/>
        <v>0</v>
      </c>
      <c r="AU124" s="42">
        <f t="shared" si="39"/>
        <v>0</v>
      </c>
      <c r="AV124" s="42">
        <f t="shared" si="39"/>
        <v>0</v>
      </c>
      <c r="AW124" s="42">
        <f t="shared" si="39"/>
        <v>0</v>
      </c>
    </row>
    <row r="125" spans="2:49">
      <c r="B125" s="2" t="s">
        <v>971</v>
      </c>
      <c r="C125" s="15" t="s">
        <v>44</v>
      </c>
      <c r="D125" s="53">
        <f t="shared" ca="1" si="36"/>
        <v>10575896.964293737</v>
      </c>
      <c r="I125" s="42">
        <f>$D$72*I27</f>
        <v>0</v>
      </c>
      <c r="J125" s="42">
        <f>$D$72*J27</f>
        <v>0</v>
      </c>
      <c r="K125" s="42">
        <f ca="1">$D$72*K27</f>
        <v>377710</v>
      </c>
      <c r="L125" s="42">
        <f t="shared" ref="L125:AW125" ca="1" si="40">$D$72*L27</f>
        <v>377710</v>
      </c>
      <c r="M125" s="42">
        <f t="shared" ca="1" si="40"/>
        <v>377710</v>
      </c>
      <c r="N125" s="42">
        <f t="shared" ca="1" si="40"/>
        <v>376678.0054644809</v>
      </c>
      <c r="O125" s="42">
        <f t="shared" ca="1" si="40"/>
        <v>378744.82191780827</v>
      </c>
      <c r="P125" s="42">
        <f t="shared" ca="1" si="40"/>
        <v>377710</v>
      </c>
      <c r="Q125" s="42">
        <f t="shared" ca="1" si="40"/>
        <v>377710</v>
      </c>
      <c r="R125" s="42">
        <f t="shared" ca="1" si="40"/>
        <v>376678.0054644809</v>
      </c>
      <c r="S125" s="42">
        <f t="shared" ca="1" si="40"/>
        <v>378744.82191780827</v>
      </c>
      <c r="T125" s="42">
        <f t="shared" ca="1" si="40"/>
        <v>377710</v>
      </c>
      <c r="U125" s="42">
        <f t="shared" ca="1" si="40"/>
        <v>377710</v>
      </c>
      <c r="V125" s="42">
        <f t="shared" ca="1" si="40"/>
        <v>376678.0054644809</v>
      </c>
      <c r="W125" s="42">
        <f t="shared" ca="1" si="40"/>
        <v>378744.82191780827</v>
      </c>
      <c r="X125" s="42">
        <f t="shared" ca="1" si="40"/>
        <v>377710</v>
      </c>
      <c r="Y125" s="42">
        <f t="shared" ca="1" si="40"/>
        <v>377710</v>
      </c>
      <c r="Z125" s="42">
        <f t="shared" ca="1" si="40"/>
        <v>376678.0054644809</v>
      </c>
      <c r="AA125" s="42">
        <f t="shared" ca="1" si="40"/>
        <v>378744.82191780827</v>
      </c>
      <c r="AB125" s="42">
        <f t="shared" ca="1" si="40"/>
        <v>377710</v>
      </c>
      <c r="AC125" s="42">
        <f t="shared" ca="1" si="40"/>
        <v>377710</v>
      </c>
      <c r="AD125" s="42">
        <f t="shared" ca="1" si="40"/>
        <v>376678.0054644809</v>
      </c>
      <c r="AE125" s="42">
        <f t="shared" ca="1" si="40"/>
        <v>378744.82191780827</v>
      </c>
      <c r="AF125" s="42">
        <f t="shared" ca="1" si="40"/>
        <v>377710</v>
      </c>
      <c r="AG125" s="42">
        <f t="shared" ca="1" si="40"/>
        <v>377710</v>
      </c>
      <c r="AH125" s="42">
        <f t="shared" ca="1" si="40"/>
        <v>376678.0054644809</v>
      </c>
      <c r="AI125" s="42">
        <f t="shared" ca="1" si="40"/>
        <v>378744.82191780827</v>
      </c>
      <c r="AJ125" s="42">
        <f t="shared" ca="1" si="40"/>
        <v>377710</v>
      </c>
      <c r="AK125" s="42">
        <f t="shared" ca="1" si="40"/>
        <v>377710</v>
      </c>
      <c r="AL125" s="42">
        <f t="shared" ca="1" si="40"/>
        <v>377710</v>
      </c>
      <c r="AM125" s="42">
        <f t="shared" si="40"/>
        <v>0</v>
      </c>
      <c r="AN125" s="42">
        <f t="shared" si="40"/>
        <v>0</v>
      </c>
      <c r="AO125" s="42">
        <f t="shared" si="40"/>
        <v>0</v>
      </c>
      <c r="AP125" s="42">
        <f t="shared" si="40"/>
        <v>0</v>
      </c>
      <c r="AQ125" s="42">
        <f t="shared" si="40"/>
        <v>0</v>
      </c>
      <c r="AR125" s="42">
        <f t="shared" si="40"/>
        <v>0</v>
      </c>
      <c r="AS125" s="42">
        <f t="shared" si="40"/>
        <v>0</v>
      </c>
      <c r="AT125" s="42">
        <f t="shared" si="40"/>
        <v>0</v>
      </c>
      <c r="AU125" s="42">
        <f t="shared" si="40"/>
        <v>0</v>
      </c>
      <c r="AV125" s="42">
        <f t="shared" si="40"/>
        <v>0</v>
      </c>
      <c r="AW125" s="42">
        <f t="shared" si="40"/>
        <v>0</v>
      </c>
    </row>
    <row r="126" spans="2:49">
      <c r="B126" s="2" t="s">
        <v>972</v>
      </c>
      <c r="C126" s="15" t="s">
        <v>44</v>
      </c>
      <c r="D126" s="53">
        <f t="shared" ca="1" si="36"/>
        <v>39585511.497237816</v>
      </c>
      <c r="I126" s="42">
        <f>$D$73*I27</f>
        <v>0</v>
      </c>
      <c r="J126" s="42">
        <f>$D$73*J27</f>
        <v>0</v>
      </c>
      <c r="K126" s="42">
        <f ca="1">$D$73*K27</f>
        <v>1413766</v>
      </c>
      <c r="L126" s="42">
        <f t="shared" ref="L126:AW126" ca="1" si="41">$D$73*L27</f>
        <v>1413766</v>
      </c>
      <c r="M126" s="42">
        <f t="shared" ca="1" si="41"/>
        <v>1413766</v>
      </c>
      <c r="N126" s="42">
        <f t="shared" ca="1" si="41"/>
        <v>1409903.2513661203</v>
      </c>
      <c r="O126" s="42">
        <f t="shared" ca="1" si="41"/>
        <v>1417639.3315068495</v>
      </c>
      <c r="P126" s="42">
        <f t="shared" ca="1" si="41"/>
        <v>1413766</v>
      </c>
      <c r="Q126" s="42">
        <f t="shared" ca="1" si="41"/>
        <v>1413766</v>
      </c>
      <c r="R126" s="42">
        <f t="shared" ca="1" si="41"/>
        <v>1409903.2513661203</v>
      </c>
      <c r="S126" s="42">
        <f t="shared" ca="1" si="41"/>
        <v>1417639.3315068495</v>
      </c>
      <c r="T126" s="42">
        <f t="shared" ca="1" si="41"/>
        <v>1413766</v>
      </c>
      <c r="U126" s="42">
        <f t="shared" ca="1" si="41"/>
        <v>1413766</v>
      </c>
      <c r="V126" s="42">
        <f t="shared" ca="1" si="41"/>
        <v>1409903.2513661203</v>
      </c>
      <c r="W126" s="42">
        <f t="shared" ca="1" si="41"/>
        <v>1417639.3315068495</v>
      </c>
      <c r="X126" s="42">
        <f t="shared" ca="1" si="41"/>
        <v>1413766</v>
      </c>
      <c r="Y126" s="42">
        <f t="shared" ca="1" si="41"/>
        <v>1413766</v>
      </c>
      <c r="Z126" s="42">
        <f t="shared" ca="1" si="41"/>
        <v>1409903.2513661203</v>
      </c>
      <c r="AA126" s="42">
        <f t="shared" ca="1" si="41"/>
        <v>1417639.3315068495</v>
      </c>
      <c r="AB126" s="42">
        <f t="shared" ca="1" si="41"/>
        <v>1413766</v>
      </c>
      <c r="AC126" s="42">
        <f t="shared" ca="1" si="41"/>
        <v>1413766</v>
      </c>
      <c r="AD126" s="42">
        <f t="shared" ca="1" si="41"/>
        <v>1409903.2513661203</v>
      </c>
      <c r="AE126" s="42">
        <f t="shared" ca="1" si="41"/>
        <v>1417639.3315068495</v>
      </c>
      <c r="AF126" s="42">
        <f t="shared" ca="1" si="41"/>
        <v>1413766</v>
      </c>
      <c r="AG126" s="42">
        <f t="shared" ca="1" si="41"/>
        <v>1413766</v>
      </c>
      <c r="AH126" s="42">
        <f t="shared" ca="1" si="41"/>
        <v>1409903.2513661203</v>
      </c>
      <c r="AI126" s="42">
        <f t="shared" ca="1" si="41"/>
        <v>1417639.3315068495</v>
      </c>
      <c r="AJ126" s="42">
        <f t="shared" ca="1" si="41"/>
        <v>1413766</v>
      </c>
      <c r="AK126" s="42">
        <f t="shared" ca="1" si="41"/>
        <v>1413766</v>
      </c>
      <c r="AL126" s="42">
        <f t="shared" ca="1" si="41"/>
        <v>1413766</v>
      </c>
      <c r="AM126" s="42">
        <f t="shared" si="41"/>
        <v>0</v>
      </c>
      <c r="AN126" s="42">
        <f t="shared" si="41"/>
        <v>0</v>
      </c>
      <c r="AO126" s="42">
        <f t="shared" si="41"/>
        <v>0</v>
      </c>
      <c r="AP126" s="42">
        <f t="shared" si="41"/>
        <v>0</v>
      </c>
      <c r="AQ126" s="42">
        <f t="shared" si="41"/>
        <v>0</v>
      </c>
      <c r="AR126" s="42">
        <f t="shared" si="41"/>
        <v>0</v>
      </c>
      <c r="AS126" s="42">
        <f t="shared" si="41"/>
        <v>0</v>
      </c>
      <c r="AT126" s="42">
        <f t="shared" si="41"/>
        <v>0</v>
      </c>
      <c r="AU126" s="42">
        <f t="shared" si="41"/>
        <v>0</v>
      </c>
      <c r="AV126" s="42">
        <f t="shared" si="41"/>
        <v>0</v>
      </c>
      <c r="AW126" s="42">
        <f t="shared" si="41"/>
        <v>0</v>
      </c>
    </row>
    <row r="127" spans="2:49">
      <c r="B127" s="489" t="s">
        <v>973</v>
      </c>
      <c r="C127" s="577" t="s">
        <v>44</v>
      </c>
      <c r="D127" s="53">
        <f t="shared" ca="1" si="36"/>
        <v>45385020.7999551</v>
      </c>
      <c r="E127" s="489"/>
      <c r="F127" s="489"/>
      <c r="G127" s="489"/>
      <c r="H127" s="489"/>
      <c r="I127" s="578">
        <f>$D$74*I27</f>
        <v>0</v>
      </c>
      <c r="J127" s="578">
        <f>$D$74*J27</f>
        <v>0</v>
      </c>
      <c r="K127" s="578">
        <f ca="1">$D$74*K27</f>
        <v>1620891</v>
      </c>
      <c r="L127" s="578">
        <f t="shared" ref="L127:AW127" ca="1" si="42">$D$74*L27</f>
        <v>1620891</v>
      </c>
      <c r="M127" s="578">
        <f t="shared" ca="1" si="42"/>
        <v>1620891</v>
      </c>
      <c r="N127" s="578">
        <f t="shared" ca="1" si="42"/>
        <v>1616462.3360655739</v>
      </c>
      <c r="O127" s="578">
        <f t="shared" ca="1" si="42"/>
        <v>1625331.7972602742</v>
      </c>
      <c r="P127" s="578">
        <f t="shared" ca="1" si="42"/>
        <v>1620891</v>
      </c>
      <c r="Q127" s="578">
        <f t="shared" ca="1" si="42"/>
        <v>1620891</v>
      </c>
      <c r="R127" s="578">
        <f t="shared" ca="1" si="42"/>
        <v>1616462.3360655739</v>
      </c>
      <c r="S127" s="578">
        <f t="shared" ca="1" si="42"/>
        <v>1625331.7972602742</v>
      </c>
      <c r="T127" s="578">
        <f t="shared" ca="1" si="42"/>
        <v>1620891</v>
      </c>
      <c r="U127" s="578">
        <f t="shared" ca="1" si="42"/>
        <v>1620891</v>
      </c>
      <c r="V127" s="578">
        <f t="shared" ca="1" si="42"/>
        <v>1616462.3360655739</v>
      </c>
      <c r="W127" s="578">
        <f t="shared" ca="1" si="42"/>
        <v>1625331.7972602742</v>
      </c>
      <c r="X127" s="578">
        <f t="shared" ca="1" si="42"/>
        <v>1620891</v>
      </c>
      <c r="Y127" s="578">
        <f t="shared" ca="1" si="42"/>
        <v>1620891</v>
      </c>
      <c r="Z127" s="578">
        <f t="shared" ca="1" si="42"/>
        <v>1616462.3360655739</v>
      </c>
      <c r="AA127" s="578">
        <f t="shared" ca="1" si="42"/>
        <v>1625331.7972602742</v>
      </c>
      <c r="AB127" s="578">
        <f t="shared" ca="1" si="42"/>
        <v>1620891</v>
      </c>
      <c r="AC127" s="578">
        <f t="shared" ca="1" si="42"/>
        <v>1620891</v>
      </c>
      <c r="AD127" s="578">
        <f t="shared" ca="1" si="42"/>
        <v>1616462.3360655739</v>
      </c>
      <c r="AE127" s="578">
        <f t="shared" ca="1" si="42"/>
        <v>1625331.7972602742</v>
      </c>
      <c r="AF127" s="578">
        <f t="shared" ca="1" si="42"/>
        <v>1620891</v>
      </c>
      <c r="AG127" s="578">
        <f t="shared" ca="1" si="42"/>
        <v>1620891</v>
      </c>
      <c r="AH127" s="578">
        <f t="shared" ca="1" si="42"/>
        <v>1616462.3360655739</v>
      </c>
      <c r="AI127" s="578">
        <f t="shared" ca="1" si="42"/>
        <v>1625331.7972602742</v>
      </c>
      <c r="AJ127" s="578">
        <f t="shared" ca="1" si="42"/>
        <v>1620891</v>
      </c>
      <c r="AK127" s="578">
        <f t="shared" ca="1" si="42"/>
        <v>1620891</v>
      </c>
      <c r="AL127" s="578">
        <f t="shared" ca="1" si="42"/>
        <v>1620891</v>
      </c>
      <c r="AM127" s="578">
        <f t="shared" si="42"/>
        <v>0</v>
      </c>
      <c r="AN127" s="578">
        <f t="shared" si="42"/>
        <v>0</v>
      </c>
      <c r="AO127" s="578">
        <f t="shared" si="42"/>
        <v>0</v>
      </c>
      <c r="AP127" s="578">
        <f t="shared" si="42"/>
        <v>0</v>
      </c>
      <c r="AQ127" s="578">
        <f t="shared" si="42"/>
        <v>0</v>
      </c>
      <c r="AR127" s="578">
        <f t="shared" si="42"/>
        <v>0</v>
      </c>
      <c r="AS127" s="578">
        <f t="shared" si="42"/>
        <v>0</v>
      </c>
      <c r="AT127" s="578">
        <f t="shared" si="42"/>
        <v>0</v>
      </c>
      <c r="AU127" s="578">
        <f t="shared" si="42"/>
        <v>0</v>
      </c>
      <c r="AV127" s="578">
        <f t="shared" si="42"/>
        <v>0</v>
      </c>
      <c r="AW127" s="578">
        <f t="shared" si="42"/>
        <v>0</v>
      </c>
    </row>
    <row r="128" spans="2:49">
      <c r="B128" s="489"/>
      <c r="C128" s="15"/>
      <c r="D128" s="53"/>
      <c r="E128" s="489"/>
      <c r="F128" s="489"/>
      <c r="G128" s="489"/>
      <c r="H128" s="489"/>
      <c r="I128" s="578"/>
      <c r="J128" s="578"/>
      <c r="K128" s="578"/>
      <c r="L128" s="578"/>
      <c r="M128" s="578"/>
      <c r="N128" s="578"/>
      <c r="O128" s="578"/>
      <c r="P128" s="578"/>
      <c r="Q128" s="578"/>
      <c r="R128" s="578"/>
      <c r="S128" s="578"/>
      <c r="T128" s="578"/>
      <c r="U128" s="578"/>
      <c r="V128" s="578"/>
      <c r="W128" s="578"/>
      <c r="X128" s="578"/>
      <c r="Y128" s="578"/>
      <c r="Z128" s="578"/>
      <c r="AA128" s="578"/>
      <c r="AB128" s="578"/>
      <c r="AC128" s="578"/>
      <c r="AD128" s="578"/>
      <c r="AE128" s="578"/>
      <c r="AF128" s="578"/>
      <c r="AG128" s="578"/>
      <c r="AH128" s="578"/>
      <c r="AI128" s="578"/>
      <c r="AJ128" s="578"/>
      <c r="AK128" s="578"/>
      <c r="AL128" s="578"/>
      <c r="AM128" s="578"/>
      <c r="AN128" s="578"/>
      <c r="AO128" s="578"/>
      <c r="AP128" s="578"/>
      <c r="AQ128" s="578"/>
      <c r="AR128" s="578"/>
      <c r="AS128" s="578"/>
      <c r="AT128" s="578"/>
      <c r="AU128" s="578"/>
      <c r="AV128" s="578"/>
      <c r="AW128" s="578"/>
    </row>
    <row r="129" spans="1:49">
      <c r="B129" s="1526" t="s">
        <v>893</v>
      </c>
      <c r="C129" s="15"/>
      <c r="D129" s="53"/>
      <c r="E129" s="489"/>
      <c r="F129" s="489"/>
      <c r="G129" s="489"/>
      <c r="H129" s="489"/>
      <c r="I129" s="578"/>
      <c r="J129" s="578"/>
      <c r="K129" s="578"/>
      <c r="L129" s="578"/>
      <c r="M129" s="578"/>
      <c r="N129" s="578"/>
      <c r="O129" s="578"/>
      <c r="P129" s="578"/>
      <c r="Q129" s="578"/>
      <c r="R129" s="578"/>
      <c r="S129" s="578"/>
      <c r="T129" s="578"/>
      <c r="U129" s="578"/>
      <c r="V129" s="578"/>
      <c r="W129" s="578"/>
      <c r="X129" s="578"/>
      <c r="Y129" s="578"/>
      <c r="Z129" s="578"/>
      <c r="AA129" s="578"/>
      <c r="AB129" s="578"/>
      <c r="AC129" s="578"/>
      <c r="AD129" s="578"/>
      <c r="AE129" s="578"/>
      <c r="AF129" s="578"/>
      <c r="AG129" s="578"/>
      <c r="AH129" s="578"/>
      <c r="AI129" s="578"/>
      <c r="AJ129" s="578"/>
      <c r="AK129" s="578"/>
      <c r="AL129" s="578"/>
      <c r="AM129" s="578"/>
      <c r="AN129" s="578"/>
      <c r="AO129" s="578"/>
      <c r="AP129" s="578"/>
      <c r="AQ129" s="578"/>
      <c r="AR129" s="578"/>
      <c r="AS129" s="578"/>
      <c r="AT129" s="578"/>
      <c r="AU129" s="578"/>
      <c r="AV129" s="578"/>
      <c r="AW129" s="578"/>
    </row>
    <row r="130" spans="1:49">
      <c r="B130" s="2" t="s">
        <v>1635</v>
      </c>
      <c r="C130" s="15" t="s">
        <v>44</v>
      </c>
      <c r="D130" s="53">
        <f t="shared" ca="1" si="36"/>
        <v>1211602691.3456593</v>
      </c>
      <c r="E130" s="489"/>
      <c r="F130" s="489"/>
      <c r="G130" s="489"/>
      <c r="H130" s="489"/>
      <c r="I130" s="578">
        <f>$D$77*I27</f>
        <v>0</v>
      </c>
      <c r="J130" s="578">
        <f>$D$77*J27</f>
        <v>0</v>
      </c>
      <c r="K130" s="578">
        <f ca="1">$D$77*K27</f>
        <v>43271455.281119995</v>
      </c>
      <c r="L130" s="578">
        <f t="shared" ref="L130:AW130" ca="1" si="43">$D$77*L27</f>
        <v>43271455.281119995</v>
      </c>
      <c r="M130" s="578">
        <f t="shared" ca="1" si="43"/>
        <v>43271455.281119995</v>
      </c>
      <c r="N130" s="578">
        <f t="shared" ca="1" si="43"/>
        <v>43153227.261226222</v>
      </c>
      <c r="O130" s="578">
        <f t="shared" ca="1" si="43"/>
        <v>43390007.213397041</v>
      </c>
      <c r="P130" s="578">
        <f t="shared" ca="1" si="43"/>
        <v>43271455.281119995</v>
      </c>
      <c r="Q130" s="578">
        <f t="shared" ca="1" si="43"/>
        <v>43271455.281119995</v>
      </c>
      <c r="R130" s="578">
        <f t="shared" ca="1" si="43"/>
        <v>43153227.261226222</v>
      </c>
      <c r="S130" s="578">
        <f t="shared" ca="1" si="43"/>
        <v>43390007.213397041</v>
      </c>
      <c r="T130" s="578">
        <f t="shared" ca="1" si="43"/>
        <v>43271455.281119995</v>
      </c>
      <c r="U130" s="578">
        <f t="shared" ca="1" si="43"/>
        <v>43271455.281119995</v>
      </c>
      <c r="V130" s="578">
        <f t="shared" ca="1" si="43"/>
        <v>43153227.261226222</v>
      </c>
      <c r="W130" s="578">
        <f t="shared" ca="1" si="43"/>
        <v>43390007.213397041</v>
      </c>
      <c r="X130" s="578">
        <f t="shared" ca="1" si="43"/>
        <v>43271455.281119995</v>
      </c>
      <c r="Y130" s="578">
        <f t="shared" ca="1" si="43"/>
        <v>43271455.281119995</v>
      </c>
      <c r="Z130" s="578">
        <f t="shared" ca="1" si="43"/>
        <v>43153227.261226222</v>
      </c>
      <c r="AA130" s="578">
        <f t="shared" ca="1" si="43"/>
        <v>43390007.213397041</v>
      </c>
      <c r="AB130" s="578">
        <f t="shared" ca="1" si="43"/>
        <v>43271455.281119995</v>
      </c>
      <c r="AC130" s="578">
        <f t="shared" ca="1" si="43"/>
        <v>43271455.281119995</v>
      </c>
      <c r="AD130" s="578">
        <f t="shared" ca="1" si="43"/>
        <v>43153227.261226222</v>
      </c>
      <c r="AE130" s="578">
        <f t="shared" ca="1" si="43"/>
        <v>43390007.213397041</v>
      </c>
      <c r="AF130" s="578">
        <f t="shared" ca="1" si="43"/>
        <v>43271455.281119995</v>
      </c>
      <c r="AG130" s="578">
        <f t="shared" ca="1" si="43"/>
        <v>43271455.281119995</v>
      </c>
      <c r="AH130" s="578">
        <f t="shared" ca="1" si="43"/>
        <v>43153227.261226222</v>
      </c>
      <c r="AI130" s="578">
        <f t="shared" ca="1" si="43"/>
        <v>43390007.213397041</v>
      </c>
      <c r="AJ130" s="578">
        <f t="shared" ca="1" si="43"/>
        <v>43271455.281119995</v>
      </c>
      <c r="AK130" s="578">
        <f t="shared" ca="1" si="43"/>
        <v>43271455.281119995</v>
      </c>
      <c r="AL130" s="578">
        <f t="shared" ca="1" si="43"/>
        <v>43271455.281119995</v>
      </c>
      <c r="AM130" s="578">
        <f t="shared" si="43"/>
        <v>0</v>
      </c>
      <c r="AN130" s="578">
        <f t="shared" si="43"/>
        <v>0</v>
      </c>
      <c r="AO130" s="578">
        <f t="shared" si="43"/>
        <v>0</v>
      </c>
      <c r="AP130" s="578">
        <f t="shared" si="43"/>
        <v>0</v>
      </c>
      <c r="AQ130" s="578">
        <f t="shared" si="43"/>
        <v>0</v>
      </c>
      <c r="AR130" s="578">
        <f t="shared" si="43"/>
        <v>0</v>
      </c>
      <c r="AS130" s="578">
        <f t="shared" si="43"/>
        <v>0</v>
      </c>
      <c r="AT130" s="578">
        <f t="shared" si="43"/>
        <v>0</v>
      </c>
      <c r="AU130" s="578">
        <f t="shared" si="43"/>
        <v>0</v>
      </c>
      <c r="AV130" s="578">
        <f t="shared" si="43"/>
        <v>0</v>
      </c>
      <c r="AW130" s="578">
        <f t="shared" si="43"/>
        <v>0</v>
      </c>
    </row>
    <row r="131" spans="1:49">
      <c r="B131" s="2" t="s">
        <v>1478</v>
      </c>
      <c r="C131" s="15" t="s">
        <v>44</v>
      </c>
      <c r="D131" s="53">
        <f t="shared" ca="1" si="36"/>
        <v>0</v>
      </c>
      <c r="E131" s="489"/>
      <c r="F131" s="489"/>
      <c r="G131" s="489"/>
      <c r="H131" s="489"/>
      <c r="I131" s="578">
        <f>$D$78*I27</f>
        <v>0</v>
      </c>
      <c r="J131" s="578">
        <f>$D$78*J27</f>
        <v>0</v>
      </c>
      <c r="K131" s="578">
        <f ca="1">$D$78*K27</f>
        <v>0</v>
      </c>
      <c r="L131" s="578">
        <f t="shared" ref="L131:AW131" ca="1" si="44">$D$78*L27</f>
        <v>0</v>
      </c>
      <c r="M131" s="578">
        <f t="shared" ca="1" si="44"/>
        <v>0</v>
      </c>
      <c r="N131" s="578">
        <f t="shared" ca="1" si="44"/>
        <v>0</v>
      </c>
      <c r="O131" s="578">
        <f t="shared" ca="1" si="44"/>
        <v>0</v>
      </c>
      <c r="P131" s="578">
        <f t="shared" ca="1" si="44"/>
        <v>0</v>
      </c>
      <c r="Q131" s="578">
        <f t="shared" ca="1" si="44"/>
        <v>0</v>
      </c>
      <c r="R131" s="578">
        <f t="shared" ca="1" si="44"/>
        <v>0</v>
      </c>
      <c r="S131" s="578">
        <f t="shared" ca="1" si="44"/>
        <v>0</v>
      </c>
      <c r="T131" s="578">
        <f t="shared" ca="1" si="44"/>
        <v>0</v>
      </c>
      <c r="U131" s="578">
        <f t="shared" ca="1" si="44"/>
        <v>0</v>
      </c>
      <c r="V131" s="578">
        <f t="shared" ca="1" si="44"/>
        <v>0</v>
      </c>
      <c r="W131" s="578">
        <f t="shared" ca="1" si="44"/>
        <v>0</v>
      </c>
      <c r="X131" s="578">
        <f t="shared" ca="1" si="44"/>
        <v>0</v>
      </c>
      <c r="Y131" s="578">
        <f t="shared" ca="1" si="44"/>
        <v>0</v>
      </c>
      <c r="Z131" s="578">
        <f t="shared" ca="1" si="44"/>
        <v>0</v>
      </c>
      <c r="AA131" s="578">
        <f t="shared" ca="1" si="44"/>
        <v>0</v>
      </c>
      <c r="AB131" s="578">
        <f t="shared" ca="1" si="44"/>
        <v>0</v>
      </c>
      <c r="AC131" s="578">
        <f t="shared" ca="1" si="44"/>
        <v>0</v>
      </c>
      <c r="AD131" s="578">
        <f t="shared" ca="1" si="44"/>
        <v>0</v>
      </c>
      <c r="AE131" s="578">
        <f t="shared" ca="1" si="44"/>
        <v>0</v>
      </c>
      <c r="AF131" s="578">
        <f t="shared" ca="1" si="44"/>
        <v>0</v>
      </c>
      <c r="AG131" s="578">
        <f t="shared" ca="1" si="44"/>
        <v>0</v>
      </c>
      <c r="AH131" s="578">
        <f t="shared" ca="1" si="44"/>
        <v>0</v>
      </c>
      <c r="AI131" s="578">
        <f t="shared" ca="1" si="44"/>
        <v>0</v>
      </c>
      <c r="AJ131" s="578">
        <f t="shared" ca="1" si="44"/>
        <v>0</v>
      </c>
      <c r="AK131" s="578">
        <f t="shared" ca="1" si="44"/>
        <v>0</v>
      </c>
      <c r="AL131" s="578">
        <f t="shared" ca="1" si="44"/>
        <v>0</v>
      </c>
      <c r="AM131" s="578">
        <f t="shared" si="44"/>
        <v>0</v>
      </c>
      <c r="AN131" s="578">
        <f t="shared" si="44"/>
        <v>0</v>
      </c>
      <c r="AO131" s="578">
        <f t="shared" si="44"/>
        <v>0</v>
      </c>
      <c r="AP131" s="578">
        <f t="shared" si="44"/>
        <v>0</v>
      </c>
      <c r="AQ131" s="578">
        <f t="shared" si="44"/>
        <v>0</v>
      </c>
      <c r="AR131" s="578">
        <f t="shared" si="44"/>
        <v>0</v>
      </c>
      <c r="AS131" s="578">
        <f t="shared" si="44"/>
        <v>0</v>
      </c>
      <c r="AT131" s="578">
        <f t="shared" si="44"/>
        <v>0</v>
      </c>
      <c r="AU131" s="578">
        <f t="shared" si="44"/>
        <v>0</v>
      </c>
      <c r="AV131" s="578">
        <f t="shared" si="44"/>
        <v>0</v>
      </c>
      <c r="AW131" s="578">
        <f t="shared" si="44"/>
        <v>0</v>
      </c>
    </row>
    <row r="132" spans="1:49">
      <c r="B132" s="2" t="s">
        <v>1018</v>
      </c>
      <c r="C132" s="15" t="s">
        <v>44</v>
      </c>
      <c r="D132" s="53">
        <f t="shared" ca="1" si="36"/>
        <v>0</v>
      </c>
      <c r="E132" s="489"/>
      <c r="F132" s="489"/>
      <c r="G132" s="489"/>
      <c r="H132" s="489"/>
      <c r="I132" s="578">
        <f>$D$79*I27</f>
        <v>0</v>
      </c>
      <c r="J132" s="578">
        <f>$D$79*J27</f>
        <v>0</v>
      </c>
      <c r="K132" s="578">
        <f ca="1">$D$79*K27</f>
        <v>0</v>
      </c>
      <c r="L132" s="578">
        <f t="shared" ref="L132:AW132" ca="1" si="45">$D$79*L27</f>
        <v>0</v>
      </c>
      <c r="M132" s="578">
        <f t="shared" ca="1" si="45"/>
        <v>0</v>
      </c>
      <c r="N132" s="578">
        <f t="shared" ca="1" si="45"/>
        <v>0</v>
      </c>
      <c r="O132" s="578">
        <f t="shared" ca="1" si="45"/>
        <v>0</v>
      </c>
      <c r="P132" s="578">
        <f t="shared" ca="1" si="45"/>
        <v>0</v>
      </c>
      <c r="Q132" s="578">
        <f t="shared" ca="1" si="45"/>
        <v>0</v>
      </c>
      <c r="R132" s="578">
        <f t="shared" ca="1" si="45"/>
        <v>0</v>
      </c>
      <c r="S132" s="578">
        <f t="shared" ca="1" si="45"/>
        <v>0</v>
      </c>
      <c r="T132" s="578">
        <f t="shared" ca="1" si="45"/>
        <v>0</v>
      </c>
      <c r="U132" s="578">
        <f t="shared" ca="1" si="45"/>
        <v>0</v>
      </c>
      <c r="V132" s="578">
        <f t="shared" ca="1" si="45"/>
        <v>0</v>
      </c>
      <c r="W132" s="578">
        <f t="shared" ca="1" si="45"/>
        <v>0</v>
      </c>
      <c r="X132" s="578">
        <f t="shared" ca="1" si="45"/>
        <v>0</v>
      </c>
      <c r="Y132" s="578">
        <f t="shared" ca="1" si="45"/>
        <v>0</v>
      </c>
      <c r="Z132" s="578">
        <f t="shared" ca="1" si="45"/>
        <v>0</v>
      </c>
      <c r="AA132" s="578">
        <f t="shared" ca="1" si="45"/>
        <v>0</v>
      </c>
      <c r="AB132" s="578">
        <f t="shared" ca="1" si="45"/>
        <v>0</v>
      </c>
      <c r="AC132" s="578">
        <f t="shared" ca="1" si="45"/>
        <v>0</v>
      </c>
      <c r="AD132" s="578">
        <f t="shared" ca="1" si="45"/>
        <v>0</v>
      </c>
      <c r="AE132" s="578">
        <f t="shared" ca="1" si="45"/>
        <v>0</v>
      </c>
      <c r="AF132" s="578">
        <f t="shared" ca="1" si="45"/>
        <v>0</v>
      </c>
      <c r="AG132" s="578">
        <f t="shared" ca="1" si="45"/>
        <v>0</v>
      </c>
      <c r="AH132" s="578">
        <f t="shared" ca="1" si="45"/>
        <v>0</v>
      </c>
      <c r="AI132" s="578">
        <f t="shared" ca="1" si="45"/>
        <v>0</v>
      </c>
      <c r="AJ132" s="578">
        <f t="shared" ca="1" si="45"/>
        <v>0</v>
      </c>
      <c r="AK132" s="578">
        <f t="shared" ca="1" si="45"/>
        <v>0</v>
      </c>
      <c r="AL132" s="578">
        <f t="shared" ca="1" si="45"/>
        <v>0</v>
      </c>
      <c r="AM132" s="578">
        <f t="shared" si="45"/>
        <v>0</v>
      </c>
      <c r="AN132" s="578">
        <f t="shared" si="45"/>
        <v>0</v>
      </c>
      <c r="AO132" s="578">
        <f t="shared" si="45"/>
        <v>0</v>
      </c>
      <c r="AP132" s="578">
        <f t="shared" si="45"/>
        <v>0</v>
      </c>
      <c r="AQ132" s="578">
        <f t="shared" si="45"/>
        <v>0</v>
      </c>
      <c r="AR132" s="578">
        <f t="shared" si="45"/>
        <v>0</v>
      </c>
      <c r="AS132" s="578">
        <f t="shared" si="45"/>
        <v>0</v>
      </c>
      <c r="AT132" s="578">
        <f t="shared" si="45"/>
        <v>0</v>
      </c>
      <c r="AU132" s="578">
        <f t="shared" si="45"/>
        <v>0</v>
      </c>
      <c r="AV132" s="578">
        <f t="shared" si="45"/>
        <v>0</v>
      </c>
      <c r="AW132" s="578">
        <f t="shared" si="45"/>
        <v>0</v>
      </c>
    </row>
    <row r="133" spans="1:49">
      <c r="B133" s="2" t="s">
        <v>969</v>
      </c>
      <c r="C133" s="15" t="s">
        <v>44</v>
      </c>
      <c r="D133" s="53">
        <f t="shared" ca="1" si="36"/>
        <v>25412841.998236187</v>
      </c>
      <c r="E133" s="489"/>
      <c r="F133" s="489"/>
      <c r="G133" s="489"/>
      <c r="H133" s="489"/>
      <c r="I133" s="578">
        <f>$D$80*I27</f>
        <v>0</v>
      </c>
      <c r="J133" s="578">
        <f>$D$80*J27</f>
        <v>0</v>
      </c>
      <c r="K133" s="578">
        <f ca="1">$D$80*K27</f>
        <v>907600.04409657163</v>
      </c>
      <c r="L133" s="578">
        <f t="shared" ref="L133:AW133" ca="1" si="46">$D$80*L27</f>
        <v>907600.04409657163</v>
      </c>
      <c r="M133" s="578">
        <f t="shared" ca="1" si="46"/>
        <v>907600.04409657163</v>
      </c>
      <c r="N133" s="578">
        <f t="shared" ca="1" si="46"/>
        <v>905120.26255532412</v>
      </c>
      <c r="O133" s="578">
        <f t="shared" ca="1" si="46"/>
        <v>910086.61955984996</v>
      </c>
      <c r="P133" s="578">
        <f t="shared" ca="1" si="46"/>
        <v>907600.04409657163</v>
      </c>
      <c r="Q133" s="578">
        <f t="shared" ca="1" si="46"/>
        <v>907600.04409657163</v>
      </c>
      <c r="R133" s="578">
        <f t="shared" ca="1" si="46"/>
        <v>905120.26255532412</v>
      </c>
      <c r="S133" s="578">
        <f t="shared" ca="1" si="46"/>
        <v>910086.61955984996</v>
      </c>
      <c r="T133" s="578">
        <f t="shared" ca="1" si="46"/>
        <v>907600.04409657163</v>
      </c>
      <c r="U133" s="578">
        <f t="shared" ca="1" si="46"/>
        <v>907600.04409657163</v>
      </c>
      <c r="V133" s="578">
        <f t="shared" ca="1" si="46"/>
        <v>905120.26255532412</v>
      </c>
      <c r="W133" s="578">
        <f t="shared" ca="1" si="46"/>
        <v>910086.61955984996</v>
      </c>
      <c r="X133" s="578">
        <f t="shared" ca="1" si="46"/>
        <v>907600.04409657163</v>
      </c>
      <c r="Y133" s="578">
        <f t="shared" ca="1" si="46"/>
        <v>907600.04409657163</v>
      </c>
      <c r="Z133" s="578">
        <f t="shared" ca="1" si="46"/>
        <v>905120.26255532412</v>
      </c>
      <c r="AA133" s="578">
        <f t="shared" ca="1" si="46"/>
        <v>910086.61955984996</v>
      </c>
      <c r="AB133" s="578">
        <f t="shared" ca="1" si="46"/>
        <v>907600.04409657163</v>
      </c>
      <c r="AC133" s="578">
        <f t="shared" ca="1" si="46"/>
        <v>907600.04409657163</v>
      </c>
      <c r="AD133" s="578">
        <f t="shared" ca="1" si="46"/>
        <v>905120.26255532412</v>
      </c>
      <c r="AE133" s="578">
        <f t="shared" ca="1" si="46"/>
        <v>910086.61955984996</v>
      </c>
      <c r="AF133" s="578">
        <f t="shared" ca="1" si="46"/>
        <v>907600.04409657163</v>
      </c>
      <c r="AG133" s="578">
        <f t="shared" ca="1" si="46"/>
        <v>907600.04409657163</v>
      </c>
      <c r="AH133" s="578">
        <f t="shared" ca="1" si="46"/>
        <v>905120.26255532412</v>
      </c>
      <c r="AI133" s="578">
        <f t="shared" ca="1" si="46"/>
        <v>910086.61955984996</v>
      </c>
      <c r="AJ133" s="578">
        <f t="shared" ca="1" si="46"/>
        <v>907600.04409657163</v>
      </c>
      <c r="AK133" s="578">
        <f t="shared" ca="1" si="46"/>
        <v>907600.04409657163</v>
      </c>
      <c r="AL133" s="578">
        <f t="shared" ca="1" si="46"/>
        <v>907600.04409657163</v>
      </c>
      <c r="AM133" s="578">
        <f t="shared" si="46"/>
        <v>0</v>
      </c>
      <c r="AN133" s="578">
        <f t="shared" si="46"/>
        <v>0</v>
      </c>
      <c r="AO133" s="578">
        <f t="shared" si="46"/>
        <v>0</v>
      </c>
      <c r="AP133" s="578">
        <f t="shared" si="46"/>
        <v>0</v>
      </c>
      <c r="AQ133" s="578">
        <f t="shared" si="46"/>
        <v>0</v>
      </c>
      <c r="AR133" s="578">
        <f t="shared" si="46"/>
        <v>0</v>
      </c>
      <c r="AS133" s="578">
        <f t="shared" si="46"/>
        <v>0</v>
      </c>
      <c r="AT133" s="578">
        <f t="shared" si="46"/>
        <v>0</v>
      </c>
      <c r="AU133" s="578">
        <f t="shared" si="46"/>
        <v>0</v>
      </c>
      <c r="AV133" s="578">
        <f t="shared" si="46"/>
        <v>0</v>
      </c>
      <c r="AW133" s="578">
        <f t="shared" si="46"/>
        <v>0</v>
      </c>
    </row>
    <row r="134" spans="1:49">
      <c r="B134" s="2" t="s">
        <v>970</v>
      </c>
      <c r="C134" s="577" t="s">
        <v>44</v>
      </c>
      <c r="D134" s="53">
        <f t="shared" ca="1" si="36"/>
        <v>313441573.15927005</v>
      </c>
      <c r="E134" s="489"/>
      <c r="F134" s="489"/>
      <c r="G134" s="489"/>
      <c r="H134" s="489"/>
      <c r="I134" s="578">
        <f>$D$81*I27</f>
        <v>0</v>
      </c>
      <c r="J134" s="578">
        <f>$D$81*J27</f>
        <v>0</v>
      </c>
      <c r="K134" s="578">
        <f ca="1">$D$81*K27</f>
        <v>11194323.942233492</v>
      </c>
      <c r="L134" s="578">
        <f t="shared" ref="L134:AW134" ca="1" si="47">$D$81*L27</f>
        <v>11194323.942233492</v>
      </c>
      <c r="M134" s="578">
        <f t="shared" ca="1" si="47"/>
        <v>11194323.942233492</v>
      </c>
      <c r="N134" s="578">
        <f t="shared" ca="1" si="47"/>
        <v>11163738.357691871</v>
      </c>
      <c r="O134" s="578">
        <f t="shared" ca="1" si="47"/>
        <v>11224993.322897146</v>
      </c>
      <c r="P134" s="578">
        <f t="shared" ca="1" si="47"/>
        <v>11194323.942233492</v>
      </c>
      <c r="Q134" s="578">
        <f t="shared" ca="1" si="47"/>
        <v>11194323.942233492</v>
      </c>
      <c r="R134" s="578">
        <f t="shared" ca="1" si="47"/>
        <v>11163738.357691871</v>
      </c>
      <c r="S134" s="578">
        <f t="shared" ca="1" si="47"/>
        <v>11224993.322897146</v>
      </c>
      <c r="T134" s="578">
        <f t="shared" ca="1" si="47"/>
        <v>11194323.942233492</v>
      </c>
      <c r="U134" s="578">
        <f t="shared" ca="1" si="47"/>
        <v>11194323.942233492</v>
      </c>
      <c r="V134" s="578">
        <f t="shared" ca="1" si="47"/>
        <v>11163738.357691871</v>
      </c>
      <c r="W134" s="578">
        <f t="shared" ca="1" si="47"/>
        <v>11224993.322897146</v>
      </c>
      <c r="X134" s="578">
        <f t="shared" ca="1" si="47"/>
        <v>11194323.942233492</v>
      </c>
      <c r="Y134" s="578">
        <f t="shared" ca="1" si="47"/>
        <v>11194323.942233492</v>
      </c>
      <c r="Z134" s="578">
        <f t="shared" ca="1" si="47"/>
        <v>11163738.357691871</v>
      </c>
      <c r="AA134" s="578">
        <f t="shared" ca="1" si="47"/>
        <v>11224993.322897146</v>
      </c>
      <c r="AB134" s="578">
        <f t="shared" ca="1" si="47"/>
        <v>11194323.942233492</v>
      </c>
      <c r="AC134" s="578">
        <f t="shared" ca="1" si="47"/>
        <v>11194323.942233492</v>
      </c>
      <c r="AD134" s="578">
        <f t="shared" ca="1" si="47"/>
        <v>11163738.357691871</v>
      </c>
      <c r="AE134" s="578">
        <f t="shared" ca="1" si="47"/>
        <v>11224993.322897146</v>
      </c>
      <c r="AF134" s="578">
        <f t="shared" ca="1" si="47"/>
        <v>11194323.942233492</v>
      </c>
      <c r="AG134" s="578">
        <f t="shared" ca="1" si="47"/>
        <v>11194323.942233492</v>
      </c>
      <c r="AH134" s="578">
        <f t="shared" ca="1" si="47"/>
        <v>11163738.357691871</v>
      </c>
      <c r="AI134" s="578">
        <f t="shared" ca="1" si="47"/>
        <v>11224993.322897146</v>
      </c>
      <c r="AJ134" s="578">
        <f t="shared" ca="1" si="47"/>
        <v>11194323.942233492</v>
      </c>
      <c r="AK134" s="578">
        <f t="shared" ca="1" si="47"/>
        <v>11194323.942233492</v>
      </c>
      <c r="AL134" s="578">
        <f t="shared" ca="1" si="47"/>
        <v>11194323.942233492</v>
      </c>
      <c r="AM134" s="578">
        <f t="shared" si="47"/>
        <v>0</v>
      </c>
      <c r="AN134" s="578">
        <f t="shared" si="47"/>
        <v>0</v>
      </c>
      <c r="AO134" s="578">
        <f t="shared" si="47"/>
        <v>0</v>
      </c>
      <c r="AP134" s="578">
        <f t="shared" si="47"/>
        <v>0</v>
      </c>
      <c r="AQ134" s="578">
        <f t="shared" si="47"/>
        <v>0</v>
      </c>
      <c r="AR134" s="578">
        <f t="shared" si="47"/>
        <v>0</v>
      </c>
      <c r="AS134" s="578">
        <f t="shared" si="47"/>
        <v>0</v>
      </c>
      <c r="AT134" s="578">
        <f t="shared" si="47"/>
        <v>0</v>
      </c>
      <c r="AU134" s="578">
        <f t="shared" si="47"/>
        <v>0</v>
      </c>
      <c r="AV134" s="578">
        <f t="shared" si="47"/>
        <v>0</v>
      </c>
      <c r="AW134" s="578">
        <f t="shared" si="47"/>
        <v>0</v>
      </c>
    </row>
    <row r="135" spans="1:49">
      <c r="B135" s="2" t="s">
        <v>971</v>
      </c>
      <c r="C135" s="15" t="s">
        <v>44</v>
      </c>
      <c r="D135" s="53">
        <f t="shared" ca="1" si="36"/>
        <v>7670991.2044629939</v>
      </c>
      <c r="E135" s="489"/>
      <c r="F135" s="489"/>
      <c r="G135" s="489"/>
      <c r="H135" s="489"/>
      <c r="I135" s="578">
        <f>$D$82*I27</f>
        <v>0</v>
      </c>
      <c r="J135" s="578">
        <f>$D$82*J27</f>
        <v>0</v>
      </c>
      <c r="K135" s="578">
        <f ca="1">$D$82*K27</f>
        <v>273963.53213537647</v>
      </c>
      <c r="L135" s="578">
        <f t="shared" ref="L135:AW135" ca="1" si="48">$D$82*L27</f>
        <v>273963.53213537647</v>
      </c>
      <c r="M135" s="578">
        <f t="shared" ca="1" si="48"/>
        <v>273963.53213537647</v>
      </c>
      <c r="N135" s="578">
        <f t="shared" ca="1" si="48"/>
        <v>273214.99789456942</v>
      </c>
      <c r="O135" s="578">
        <f t="shared" ca="1" si="48"/>
        <v>274714.11715492548</v>
      </c>
      <c r="P135" s="578">
        <f t="shared" ca="1" si="48"/>
        <v>273963.53213537647</v>
      </c>
      <c r="Q135" s="578">
        <f t="shared" ca="1" si="48"/>
        <v>273963.53213537647</v>
      </c>
      <c r="R135" s="578">
        <f t="shared" ca="1" si="48"/>
        <v>273214.99789456942</v>
      </c>
      <c r="S135" s="578">
        <f t="shared" ca="1" si="48"/>
        <v>274714.11715492548</v>
      </c>
      <c r="T135" s="578">
        <f t="shared" ca="1" si="48"/>
        <v>273963.53213537647</v>
      </c>
      <c r="U135" s="578">
        <f t="shared" ca="1" si="48"/>
        <v>273963.53213537647</v>
      </c>
      <c r="V135" s="578">
        <f t="shared" ca="1" si="48"/>
        <v>273214.99789456942</v>
      </c>
      <c r="W135" s="578">
        <f t="shared" ca="1" si="48"/>
        <v>274714.11715492548</v>
      </c>
      <c r="X135" s="578">
        <f t="shared" ca="1" si="48"/>
        <v>273963.53213537647</v>
      </c>
      <c r="Y135" s="578">
        <f t="shared" ca="1" si="48"/>
        <v>273963.53213537647</v>
      </c>
      <c r="Z135" s="578">
        <f t="shared" ca="1" si="48"/>
        <v>273214.99789456942</v>
      </c>
      <c r="AA135" s="578">
        <f t="shared" ca="1" si="48"/>
        <v>274714.11715492548</v>
      </c>
      <c r="AB135" s="578">
        <f t="shared" ca="1" si="48"/>
        <v>273963.53213537647</v>
      </c>
      <c r="AC135" s="578">
        <f t="shared" ca="1" si="48"/>
        <v>273963.53213537647</v>
      </c>
      <c r="AD135" s="578">
        <f t="shared" ca="1" si="48"/>
        <v>273214.99789456942</v>
      </c>
      <c r="AE135" s="578">
        <f t="shared" ca="1" si="48"/>
        <v>274714.11715492548</v>
      </c>
      <c r="AF135" s="578">
        <f t="shared" ca="1" si="48"/>
        <v>273963.53213537647</v>
      </c>
      <c r="AG135" s="578">
        <f t="shared" ca="1" si="48"/>
        <v>273963.53213537647</v>
      </c>
      <c r="AH135" s="578">
        <f t="shared" ca="1" si="48"/>
        <v>273214.99789456942</v>
      </c>
      <c r="AI135" s="578">
        <f t="shared" ca="1" si="48"/>
        <v>274714.11715492548</v>
      </c>
      <c r="AJ135" s="578">
        <f t="shared" ca="1" si="48"/>
        <v>273963.53213537647</v>
      </c>
      <c r="AK135" s="578">
        <f t="shared" ca="1" si="48"/>
        <v>273963.53213537647</v>
      </c>
      <c r="AL135" s="578">
        <f t="shared" ca="1" si="48"/>
        <v>273963.53213537647</v>
      </c>
      <c r="AM135" s="578">
        <f t="shared" si="48"/>
        <v>0</v>
      </c>
      <c r="AN135" s="578">
        <f t="shared" si="48"/>
        <v>0</v>
      </c>
      <c r="AO135" s="578">
        <f t="shared" si="48"/>
        <v>0</v>
      </c>
      <c r="AP135" s="578">
        <f t="shared" si="48"/>
        <v>0</v>
      </c>
      <c r="AQ135" s="578">
        <f t="shared" si="48"/>
        <v>0</v>
      </c>
      <c r="AR135" s="578">
        <f t="shared" si="48"/>
        <v>0</v>
      </c>
      <c r="AS135" s="578">
        <f t="shared" si="48"/>
        <v>0</v>
      </c>
      <c r="AT135" s="578">
        <f t="shared" si="48"/>
        <v>0</v>
      </c>
      <c r="AU135" s="578">
        <f t="shared" si="48"/>
        <v>0</v>
      </c>
      <c r="AV135" s="578">
        <f t="shared" si="48"/>
        <v>0</v>
      </c>
      <c r="AW135" s="578">
        <f t="shared" si="48"/>
        <v>0</v>
      </c>
    </row>
    <row r="136" spans="1:49">
      <c r="B136" s="2" t="s">
        <v>972</v>
      </c>
      <c r="C136" s="15" t="s">
        <v>44</v>
      </c>
      <c r="D136" s="53">
        <f t="shared" ca="1" si="36"/>
        <v>56842856.915889472</v>
      </c>
      <c r="E136" s="489"/>
      <c r="F136" s="489"/>
      <c r="G136" s="489"/>
      <c r="H136" s="489"/>
      <c r="I136" s="578">
        <f>$D$83*I27</f>
        <v>0</v>
      </c>
      <c r="J136" s="578">
        <f>$D$83*J27</f>
        <v>0</v>
      </c>
      <c r="K136" s="578">
        <f ca="1">$D$83*K27</f>
        <v>2030098.7763201413</v>
      </c>
      <c r="L136" s="578">
        <f t="shared" ref="L136:AW136" ca="1" si="49">$D$83*L27</f>
        <v>2030098.7763201413</v>
      </c>
      <c r="M136" s="578">
        <f t="shared" ca="1" si="49"/>
        <v>2030098.7763201413</v>
      </c>
      <c r="N136" s="578">
        <f t="shared" ca="1" si="49"/>
        <v>2024552.0583520534</v>
      </c>
      <c r="O136" s="578">
        <f t="shared" ca="1" si="49"/>
        <v>2035660.6907758131</v>
      </c>
      <c r="P136" s="578">
        <f t="shared" ca="1" si="49"/>
        <v>2030098.7763201413</v>
      </c>
      <c r="Q136" s="578">
        <f t="shared" ca="1" si="49"/>
        <v>2030098.7763201413</v>
      </c>
      <c r="R136" s="578">
        <f t="shared" ca="1" si="49"/>
        <v>2024552.0583520534</v>
      </c>
      <c r="S136" s="578">
        <f t="shared" ca="1" si="49"/>
        <v>2035660.6907758131</v>
      </c>
      <c r="T136" s="578">
        <f t="shared" ca="1" si="49"/>
        <v>2030098.7763201413</v>
      </c>
      <c r="U136" s="578">
        <f t="shared" ca="1" si="49"/>
        <v>2030098.7763201413</v>
      </c>
      <c r="V136" s="578">
        <f t="shared" ca="1" si="49"/>
        <v>2024552.0583520534</v>
      </c>
      <c r="W136" s="578">
        <f t="shared" ca="1" si="49"/>
        <v>2035660.6907758131</v>
      </c>
      <c r="X136" s="578">
        <f t="shared" ca="1" si="49"/>
        <v>2030098.7763201413</v>
      </c>
      <c r="Y136" s="578">
        <f t="shared" ca="1" si="49"/>
        <v>2030098.7763201413</v>
      </c>
      <c r="Z136" s="578">
        <f t="shared" ca="1" si="49"/>
        <v>2024552.0583520534</v>
      </c>
      <c r="AA136" s="578">
        <f t="shared" ca="1" si="49"/>
        <v>2035660.6907758131</v>
      </c>
      <c r="AB136" s="578">
        <f t="shared" ca="1" si="49"/>
        <v>2030098.7763201413</v>
      </c>
      <c r="AC136" s="578">
        <f t="shared" ca="1" si="49"/>
        <v>2030098.7763201413</v>
      </c>
      <c r="AD136" s="578">
        <f t="shared" ca="1" si="49"/>
        <v>2024552.0583520534</v>
      </c>
      <c r="AE136" s="578">
        <f t="shared" ca="1" si="49"/>
        <v>2035660.6907758131</v>
      </c>
      <c r="AF136" s="578">
        <f t="shared" ca="1" si="49"/>
        <v>2030098.7763201413</v>
      </c>
      <c r="AG136" s="578">
        <f t="shared" ca="1" si="49"/>
        <v>2030098.7763201413</v>
      </c>
      <c r="AH136" s="578">
        <f t="shared" ca="1" si="49"/>
        <v>2024552.0583520534</v>
      </c>
      <c r="AI136" s="578">
        <f t="shared" ca="1" si="49"/>
        <v>2035660.6907758131</v>
      </c>
      <c r="AJ136" s="578">
        <f t="shared" ca="1" si="49"/>
        <v>2030098.7763201413</v>
      </c>
      <c r="AK136" s="578">
        <f t="shared" ca="1" si="49"/>
        <v>2030098.7763201413</v>
      </c>
      <c r="AL136" s="578">
        <f t="shared" ca="1" si="49"/>
        <v>2030098.7763201413</v>
      </c>
      <c r="AM136" s="578">
        <f t="shared" si="49"/>
        <v>0</v>
      </c>
      <c r="AN136" s="578">
        <f t="shared" si="49"/>
        <v>0</v>
      </c>
      <c r="AO136" s="578">
        <f t="shared" si="49"/>
        <v>0</v>
      </c>
      <c r="AP136" s="578">
        <f t="shared" si="49"/>
        <v>0</v>
      </c>
      <c r="AQ136" s="578">
        <f t="shared" si="49"/>
        <v>0</v>
      </c>
      <c r="AR136" s="578">
        <f t="shared" si="49"/>
        <v>0</v>
      </c>
      <c r="AS136" s="578">
        <f t="shared" si="49"/>
        <v>0</v>
      </c>
      <c r="AT136" s="578">
        <f t="shared" si="49"/>
        <v>0</v>
      </c>
      <c r="AU136" s="578">
        <f t="shared" si="49"/>
        <v>0</v>
      </c>
      <c r="AV136" s="578">
        <f t="shared" si="49"/>
        <v>0</v>
      </c>
      <c r="AW136" s="578">
        <f t="shared" si="49"/>
        <v>0</v>
      </c>
    </row>
    <row r="137" spans="1:49">
      <c r="B137" s="489" t="s">
        <v>973</v>
      </c>
      <c r="C137" s="15" t="s">
        <v>44</v>
      </c>
      <c r="D137" s="53">
        <f t="shared" ca="1" si="36"/>
        <v>19992415.814887885</v>
      </c>
      <c r="E137" s="489"/>
      <c r="F137" s="489"/>
      <c r="G137" s="489"/>
      <c r="H137" s="489"/>
      <c r="I137" s="578">
        <f>$D$84*I27</f>
        <v>0</v>
      </c>
      <c r="J137" s="578">
        <f>$D$84*J27</f>
        <v>0</v>
      </c>
      <c r="K137" s="578">
        <f ca="1">$D$84*K27</f>
        <v>714013.70521441964</v>
      </c>
      <c r="L137" s="578">
        <f t="shared" ref="L137:AW137" ca="1" si="50">$D$84*L27</f>
        <v>714013.70521441964</v>
      </c>
      <c r="M137" s="578">
        <f t="shared" ca="1" si="50"/>
        <v>714013.70521441964</v>
      </c>
      <c r="N137" s="578">
        <f t="shared" ca="1" si="50"/>
        <v>712062.84809634741</v>
      </c>
      <c r="O137" s="578">
        <f t="shared" ca="1" si="50"/>
        <v>715969.90714651404</v>
      </c>
      <c r="P137" s="578">
        <f t="shared" ca="1" si="50"/>
        <v>714013.70521441964</v>
      </c>
      <c r="Q137" s="578">
        <f t="shared" ca="1" si="50"/>
        <v>714013.70521441964</v>
      </c>
      <c r="R137" s="578">
        <f t="shared" ca="1" si="50"/>
        <v>712062.84809634741</v>
      </c>
      <c r="S137" s="578">
        <f t="shared" ca="1" si="50"/>
        <v>715969.90714651404</v>
      </c>
      <c r="T137" s="578">
        <f t="shared" ca="1" si="50"/>
        <v>714013.70521441964</v>
      </c>
      <c r="U137" s="578">
        <f t="shared" ca="1" si="50"/>
        <v>714013.70521441964</v>
      </c>
      <c r="V137" s="578">
        <f t="shared" ca="1" si="50"/>
        <v>712062.84809634741</v>
      </c>
      <c r="W137" s="578">
        <f t="shared" ca="1" si="50"/>
        <v>715969.90714651404</v>
      </c>
      <c r="X137" s="578">
        <f t="shared" ca="1" si="50"/>
        <v>714013.70521441964</v>
      </c>
      <c r="Y137" s="578">
        <f t="shared" ca="1" si="50"/>
        <v>714013.70521441964</v>
      </c>
      <c r="Z137" s="578">
        <f t="shared" ca="1" si="50"/>
        <v>712062.84809634741</v>
      </c>
      <c r="AA137" s="578">
        <f t="shared" ca="1" si="50"/>
        <v>715969.90714651404</v>
      </c>
      <c r="AB137" s="578">
        <f t="shared" ca="1" si="50"/>
        <v>714013.70521441964</v>
      </c>
      <c r="AC137" s="578">
        <f t="shared" ca="1" si="50"/>
        <v>714013.70521441964</v>
      </c>
      <c r="AD137" s="578">
        <f t="shared" ca="1" si="50"/>
        <v>712062.84809634741</v>
      </c>
      <c r="AE137" s="578">
        <f t="shared" ca="1" si="50"/>
        <v>715969.90714651404</v>
      </c>
      <c r="AF137" s="578">
        <f t="shared" ca="1" si="50"/>
        <v>714013.70521441964</v>
      </c>
      <c r="AG137" s="578">
        <f t="shared" ca="1" si="50"/>
        <v>714013.70521441964</v>
      </c>
      <c r="AH137" s="578">
        <f t="shared" ca="1" si="50"/>
        <v>712062.84809634741</v>
      </c>
      <c r="AI137" s="578">
        <f t="shared" ca="1" si="50"/>
        <v>715969.90714651404</v>
      </c>
      <c r="AJ137" s="578">
        <f t="shared" ca="1" si="50"/>
        <v>714013.70521441964</v>
      </c>
      <c r="AK137" s="578">
        <f t="shared" ca="1" si="50"/>
        <v>714013.70521441964</v>
      </c>
      <c r="AL137" s="578">
        <f t="shared" ca="1" si="50"/>
        <v>714013.70521441964</v>
      </c>
      <c r="AM137" s="578">
        <f t="shared" si="50"/>
        <v>0</v>
      </c>
      <c r="AN137" s="578">
        <f t="shared" si="50"/>
        <v>0</v>
      </c>
      <c r="AO137" s="578">
        <f t="shared" si="50"/>
        <v>0</v>
      </c>
      <c r="AP137" s="578">
        <f t="shared" si="50"/>
        <v>0</v>
      </c>
      <c r="AQ137" s="578">
        <f t="shared" si="50"/>
        <v>0</v>
      </c>
      <c r="AR137" s="578">
        <f t="shared" si="50"/>
        <v>0</v>
      </c>
      <c r="AS137" s="578">
        <f t="shared" si="50"/>
        <v>0</v>
      </c>
      <c r="AT137" s="578">
        <f t="shared" si="50"/>
        <v>0</v>
      </c>
      <c r="AU137" s="578">
        <f t="shared" si="50"/>
        <v>0</v>
      </c>
      <c r="AV137" s="578">
        <f t="shared" si="50"/>
        <v>0</v>
      </c>
      <c r="AW137" s="578">
        <f t="shared" si="50"/>
        <v>0</v>
      </c>
    </row>
    <row r="138" spans="1:49">
      <c r="B138" s="489"/>
      <c r="C138" s="577"/>
      <c r="D138" s="53"/>
      <c r="E138" s="489"/>
      <c r="F138" s="489"/>
      <c r="G138" s="489"/>
      <c r="H138" s="489"/>
      <c r="I138" s="578"/>
      <c r="J138" s="578"/>
      <c r="K138" s="578"/>
      <c r="L138" s="578"/>
      <c r="M138" s="578"/>
      <c r="N138" s="578"/>
      <c r="O138" s="578"/>
      <c r="P138" s="578"/>
      <c r="Q138" s="578"/>
      <c r="R138" s="578"/>
      <c r="S138" s="578"/>
      <c r="T138" s="578"/>
      <c r="U138" s="578"/>
      <c r="V138" s="578"/>
      <c r="W138" s="578"/>
      <c r="X138" s="578"/>
      <c r="Y138" s="578"/>
      <c r="Z138" s="578"/>
      <c r="AA138" s="578"/>
      <c r="AB138" s="578"/>
      <c r="AC138" s="578"/>
      <c r="AD138" s="578"/>
      <c r="AE138" s="578"/>
      <c r="AF138" s="578"/>
      <c r="AG138" s="578"/>
      <c r="AH138" s="578"/>
      <c r="AI138" s="578"/>
      <c r="AJ138" s="578"/>
      <c r="AK138" s="578"/>
      <c r="AL138" s="578"/>
      <c r="AM138" s="578"/>
      <c r="AN138" s="578"/>
      <c r="AO138" s="578"/>
      <c r="AP138" s="578"/>
      <c r="AQ138" s="578"/>
      <c r="AR138" s="578"/>
      <c r="AS138" s="578"/>
      <c r="AT138" s="578"/>
      <c r="AU138" s="578"/>
      <c r="AV138" s="578"/>
      <c r="AW138" s="578"/>
    </row>
    <row r="139" spans="1:49">
      <c r="B139" s="489"/>
      <c r="C139" s="577"/>
      <c r="D139" s="53"/>
      <c r="E139" s="489"/>
      <c r="F139" s="489"/>
      <c r="G139" s="489"/>
      <c r="H139" s="489"/>
      <c r="I139" s="578"/>
      <c r="J139" s="578"/>
      <c r="K139" s="578"/>
      <c r="L139" s="578"/>
      <c r="M139" s="578"/>
      <c r="N139" s="578"/>
      <c r="O139" s="578"/>
      <c r="P139" s="578"/>
      <c r="Q139" s="578"/>
      <c r="R139" s="578"/>
      <c r="S139" s="578"/>
      <c r="T139" s="578"/>
      <c r="U139" s="578"/>
      <c r="V139" s="578"/>
      <c r="W139" s="578"/>
      <c r="X139" s="578"/>
      <c r="Y139" s="578"/>
      <c r="Z139" s="578"/>
      <c r="AA139" s="578"/>
      <c r="AB139" s="578"/>
      <c r="AC139" s="578"/>
      <c r="AD139" s="578"/>
      <c r="AE139" s="578"/>
      <c r="AF139" s="578"/>
      <c r="AG139" s="578"/>
      <c r="AH139" s="578"/>
      <c r="AI139" s="578"/>
      <c r="AJ139" s="578"/>
      <c r="AK139" s="578"/>
      <c r="AL139" s="578"/>
      <c r="AM139" s="578"/>
      <c r="AN139" s="578"/>
      <c r="AO139" s="578"/>
      <c r="AP139" s="578"/>
      <c r="AQ139" s="578"/>
      <c r="AR139" s="578"/>
      <c r="AS139" s="578"/>
      <c r="AT139" s="578"/>
      <c r="AU139" s="578"/>
      <c r="AV139" s="578"/>
      <c r="AW139" s="578"/>
    </row>
    <row r="140" spans="1:49">
      <c r="B140" s="489"/>
      <c r="C140" s="577"/>
      <c r="D140" s="53"/>
      <c r="E140" s="489"/>
      <c r="F140" s="489"/>
      <c r="G140" s="489"/>
      <c r="H140" s="489"/>
      <c r="I140" s="578"/>
      <c r="J140" s="578"/>
      <c r="K140" s="578"/>
      <c r="L140" s="578"/>
      <c r="M140" s="578"/>
      <c r="N140" s="578"/>
      <c r="O140" s="578"/>
      <c r="P140" s="578"/>
      <c r="Q140" s="578"/>
      <c r="R140" s="578"/>
      <c r="S140" s="578"/>
      <c r="T140" s="578"/>
      <c r="U140" s="578"/>
      <c r="V140" s="578"/>
      <c r="W140" s="578"/>
      <c r="X140" s="578"/>
      <c r="Y140" s="578"/>
      <c r="Z140" s="578"/>
      <c r="AA140" s="578"/>
      <c r="AB140" s="578"/>
      <c r="AC140" s="578"/>
      <c r="AD140" s="578"/>
      <c r="AE140" s="578"/>
      <c r="AF140" s="578"/>
      <c r="AG140" s="578"/>
      <c r="AH140" s="578"/>
      <c r="AI140" s="578"/>
      <c r="AJ140" s="578"/>
      <c r="AK140" s="578"/>
      <c r="AL140" s="578"/>
      <c r="AM140" s="578"/>
      <c r="AN140" s="578"/>
      <c r="AO140" s="578"/>
      <c r="AP140" s="578"/>
      <c r="AQ140" s="578"/>
      <c r="AR140" s="578"/>
      <c r="AS140" s="578"/>
      <c r="AT140" s="578"/>
      <c r="AU140" s="578"/>
      <c r="AV140" s="578"/>
      <c r="AW140" s="578"/>
    </row>
    <row r="141" spans="1:49">
      <c r="B141" s="489"/>
      <c r="C141" s="577"/>
      <c r="D141" s="53"/>
      <c r="E141" s="489"/>
      <c r="F141" s="489"/>
      <c r="G141" s="489"/>
      <c r="H141" s="489"/>
      <c r="I141" s="578"/>
      <c r="J141" s="578"/>
      <c r="K141" s="578"/>
      <c r="L141" s="578"/>
      <c r="M141" s="578"/>
      <c r="N141" s="578"/>
      <c r="O141" s="578"/>
      <c r="P141" s="578"/>
      <c r="Q141" s="578"/>
      <c r="R141" s="578"/>
      <c r="S141" s="578"/>
      <c r="T141" s="578"/>
      <c r="U141" s="578"/>
      <c r="V141" s="578"/>
      <c r="W141" s="578"/>
      <c r="X141" s="578"/>
      <c r="Y141" s="578"/>
      <c r="Z141" s="578"/>
      <c r="AA141" s="578"/>
      <c r="AB141" s="578"/>
      <c r="AC141" s="578"/>
      <c r="AD141" s="578"/>
      <c r="AE141" s="578"/>
      <c r="AF141" s="578"/>
      <c r="AG141" s="578"/>
      <c r="AH141" s="578"/>
      <c r="AI141" s="578"/>
      <c r="AJ141" s="578"/>
      <c r="AK141" s="578"/>
      <c r="AL141" s="578"/>
      <c r="AM141" s="578"/>
      <c r="AN141" s="578"/>
      <c r="AO141" s="578"/>
      <c r="AP141" s="578"/>
      <c r="AQ141" s="578"/>
      <c r="AR141" s="578"/>
      <c r="AS141" s="578"/>
      <c r="AT141" s="578"/>
      <c r="AU141" s="578"/>
      <c r="AV141" s="578"/>
      <c r="AW141" s="578"/>
    </row>
    <row r="142" spans="1:49">
      <c r="A142" s="12"/>
      <c r="B142" s="2" t="s">
        <v>71</v>
      </c>
      <c r="C142" s="15" t="str">
        <f>$C$39</f>
        <v>US$</v>
      </c>
      <c r="D142" s="578">
        <f ca="1">SUM(D92:D127)</f>
        <v>1065328917.8016735</v>
      </c>
      <c r="I142" s="42">
        <f>SUM(I91:I136)</f>
        <v>0</v>
      </c>
      <c r="J142" s="42">
        <f>SUM(J91:J136)</f>
        <v>0</v>
      </c>
      <c r="K142" s="42">
        <f ca="1">SUM(K91:K136)</f>
        <v>85213366.312994018</v>
      </c>
      <c r="L142" s="42">
        <f ca="1">SUM(L91:L136)</f>
        <v>96762231.375415787</v>
      </c>
      <c r="M142" s="42">
        <f t="shared" ref="M142:AW142" ca="1" si="51">SUM(M91:M136)</f>
        <v>96762231.375415787</v>
      </c>
      <c r="N142" s="42">
        <f t="shared" ca="1" si="51"/>
        <v>96497853.694062188</v>
      </c>
      <c r="O142" s="42">
        <f t="shared" ca="1" si="51"/>
        <v>97027333.379184067</v>
      </c>
      <c r="P142" s="42">
        <f t="shared" ca="1" si="51"/>
        <v>96762231.375415787</v>
      </c>
      <c r="Q142" s="42">
        <f t="shared" ca="1" si="51"/>
        <v>96762231.375415787</v>
      </c>
      <c r="R142" s="42">
        <f t="shared" ca="1" si="51"/>
        <v>96497853.694062188</v>
      </c>
      <c r="S142" s="42">
        <f t="shared" ca="1" si="51"/>
        <v>97027333.379184067</v>
      </c>
      <c r="T142" s="42">
        <f t="shared" ca="1" si="51"/>
        <v>96762231.375415787</v>
      </c>
      <c r="U142" s="42">
        <f t="shared" ca="1" si="51"/>
        <v>96762231.375415787</v>
      </c>
      <c r="V142" s="42">
        <f t="shared" ca="1" si="51"/>
        <v>96497853.694062188</v>
      </c>
      <c r="W142" s="42">
        <f t="shared" ca="1" si="51"/>
        <v>97027333.379184067</v>
      </c>
      <c r="X142" s="42">
        <f t="shared" ca="1" si="51"/>
        <v>96762231.375415787</v>
      </c>
      <c r="Y142" s="42">
        <f t="shared" ca="1" si="51"/>
        <v>96762231.375415787</v>
      </c>
      <c r="Z142" s="42">
        <f t="shared" ca="1" si="51"/>
        <v>96497853.694062188</v>
      </c>
      <c r="AA142" s="42">
        <f t="shared" ca="1" si="51"/>
        <v>97027333.379184067</v>
      </c>
      <c r="AB142" s="42">
        <f t="shared" ca="1" si="51"/>
        <v>96762231.375415787</v>
      </c>
      <c r="AC142" s="42">
        <f t="shared" ca="1" si="51"/>
        <v>96762231.375415787</v>
      </c>
      <c r="AD142" s="42">
        <f t="shared" ca="1" si="51"/>
        <v>96497853.694062188</v>
      </c>
      <c r="AE142" s="42">
        <f t="shared" ca="1" si="51"/>
        <v>97027333.379184067</v>
      </c>
      <c r="AF142" s="42">
        <f t="shared" ca="1" si="51"/>
        <v>96762231.375415787</v>
      </c>
      <c r="AG142" s="42">
        <f t="shared" ca="1" si="51"/>
        <v>96762231.375415787</v>
      </c>
      <c r="AH142" s="42">
        <f t="shared" ca="1" si="51"/>
        <v>96497853.694062188</v>
      </c>
      <c r="AI142" s="42">
        <f t="shared" ca="1" si="51"/>
        <v>97027333.379184067</v>
      </c>
      <c r="AJ142" s="42">
        <f t="shared" ca="1" si="51"/>
        <v>96762231.375415787</v>
      </c>
      <c r="AK142" s="42">
        <f t="shared" ca="1" si="51"/>
        <v>96762231.375415787</v>
      </c>
      <c r="AL142" s="42">
        <f t="shared" ca="1" si="51"/>
        <v>96762231.375415787</v>
      </c>
      <c r="AM142" s="42">
        <f t="shared" si="51"/>
        <v>0</v>
      </c>
      <c r="AN142" s="42">
        <f t="shared" si="51"/>
        <v>0</v>
      </c>
      <c r="AO142" s="42">
        <f t="shared" si="51"/>
        <v>0</v>
      </c>
      <c r="AP142" s="42">
        <f t="shared" si="51"/>
        <v>0</v>
      </c>
      <c r="AQ142" s="42">
        <f t="shared" si="51"/>
        <v>0</v>
      </c>
      <c r="AR142" s="42">
        <f t="shared" si="51"/>
        <v>0</v>
      </c>
      <c r="AS142" s="42">
        <f t="shared" si="51"/>
        <v>0</v>
      </c>
      <c r="AT142" s="42">
        <f t="shared" si="51"/>
        <v>0</v>
      </c>
      <c r="AU142" s="42">
        <f t="shared" si="51"/>
        <v>0</v>
      </c>
      <c r="AV142" s="42">
        <f t="shared" si="51"/>
        <v>0</v>
      </c>
      <c r="AW142" s="42">
        <f t="shared" si="51"/>
        <v>0</v>
      </c>
    </row>
    <row r="144" spans="1:49">
      <c r="B144" s="10" t="s">
        <v>324</v>
      </c>
      <c r="D144" s="2" t="str">
        <f>'Input '!F278</f>
        <v>Revenue &amp; OPEX</v>
      </c>
    </row>
    <row r="145" spans="1:49">
      <c r="B145" s="2" t="s">
        <v>38</v>
      </c>
      <c r="C145" s="15" t="s">
        <v>350</v>
      </c>
      <c r="D145" s="49" t="str">
        <f>'Input '!F189</f>
        <v>Revenue &amp; OPEX</v>
      </c>
    </row>
    <row r="146" spans="1:49">
      <c r="B146" s="2" t="s">
        <v>321</v>
      </c>
      <c r="C146" s="15" t="s">
        <v>350</v>
      </c>
      <c r="D146" s="49" t="str">
        <f>'Input '!F197</f>
        <v>Maintenance</v>
      </c>
    </row>
    <row r="147" spans="1:49">
      <c r="B147" s="2" t="s">
        <v>322</v>
      </c>
      <c r="C147" s="15" t="s">
        <v>350</v>
      </c>
      <c r="D147" s="49" t="str">
        <f>'Input '!F200</f>
        <v>Maintenance</v>
      </c>
    </row>
    <row r="149" spans="1:49">
      <c r="B149" s="10" t="s">
        <v>325</v>
      </c>
      <c r="C149" s="15"/>
    </row>
    <row r="150" spans="1:49">
      <c r="B150" s="586" t="s">
        <v>961</v>
      </c>
      <c r="C150" s="15"/>
    </row>
    <row r="151" spans="1:49">
      <c r="B151" s="2" t="s">
        <v>1502</v>
      </c>
      <c r="C151" s="15" t="str">
        <f>IF('Input '!$F$9=1,"US$","=N=")</f>
        <v>US$</v>
      </c>
      <c r="D151" s="41">
        <f ca="1">SUM(I151:AW151)</f>
        <v>26229947.7654844</v>
      </c>
      <c r="I151" s="42">
        <f>I91*INDEX('Timing &amp; Flags'!I89:I91,MATCH($D$145,Indexation,0))</f>
        <v>0</v>
      </c>
      <c r="J151" s="42">
        <f>J91*INDEX('Timing &amp; Flags'!J89:J91,MATCH($D$145,Indexation,0))</f>
        <v>0</v>
      </c>
      <c r="K151" s="42">
        <f ca="1">K91*INDEX('Timing &amp; Flags'!K89:K91,MATCH($D$145,Indexation,0))</f>
        <v>669050.25973088108</v>
      </c>
      <c r="L151" s="42">
        <f ca="1">L91*INDEX('Timing &amp; Flags'!L89:L91,MATCH($D$145,Indexation,0))</f>
        <v>684438.41570469132</v>
      </c>
      <c r="M151" s="42">
        <f ca="1">M91*INDEX('Timing &amp; Flags'!M89:M91,MATCH($D$145,Indexation,0))</f>
        <v>700180.49926589918</v>
      </c>
      <c r="N151" s="42">
        <f ca="1">N91*INDEX('Timing &amp; Flags'!N89:N91,MATCH($D$145,Indexation,0))</f>
        <v>715025.85629951488</v>
      </c>
      <c r="O151" s="42">
        <f ca="1">O91*INDEX('Timing &amp; Flags'!O89:O91,MATCH($D$145,Indexation,0))</f>
        <v>736203.95340974152</v>
      </c>
      <c r="P151" s="42">
        <f ca="1">P91*INDEX('Timing &amp; Flags'!P89:P91,MATCH($D$145,Indexation,0))</f>
        <v>751813.08641099732</v>
      </c>
      <c r="Q151" s="42">
        <f ca="1">Q91*INDEX('Timing &amp; Flags'!Q89:Q91,MATCH($D$145,Indexation,0))</f>
        <v>769856.60048486118</v>
      </c>
      <c r="R151" s="42">
        <f ca="1">R91*INDEX('Timing &amp; Flags'!R89:R91,MATCH($D$145,Indexation,0))</f>
        <v>786179.243161808</v>
      </c>
      <c r="S151" s="42">
        <f ca="1">S91*INDEX('Timing &amp; Flags'!S89:S91,MATCH($D$145,Indexation,0))</f>
        <v>809464.80718867143</v>
      </c>
      <c r="T151" s="42">
        <f ca="1">T91*INDEX('Timing &amp; Flags'!T89:T91,MATCH($D$145,Indexation,0))</f>
        <v>826627.23042305408</v>
      </c>
      <c r="U151" s="42">
        <f ca="1">U91*INDEX('Timing &amp; Flags'!U89:U91,MATCH($D$145,Indexation,0))</f>
        <v>846466.28395320743</v>
      </c>
      <c r="V151" s="42">
        <f ca="1">V91*INDEX('Timing &amp; Flags'!V89:V91,MATCH($D$145,Indexation,0))</f>
        <v>864413.21937254316</v>
      </c>
      <c r="W151" s="42">
        <f ca="1">W91*INDEX('Timing &amp; Flags'!W89:W91,MATCH($D$145,Indexation,0))</f>
        <v>890015.96777940216</v>
      </c>
      <c r="X151" s="42">
        <f ca="1">X91*INDEX('Timing &amp; Flags'!X89:X91,MATCH($D$145,Indexation,0))</f>
        <v>908886.25168641901</v>
      </c>
      <c r="Y151" s="42">
        <f ca="1">Y91*INDEX('Timing &amp; Flags'!Y89:Y91,MATCH($D$145,Indexation,0))</f>
        <v>930699.52172689314</v>
      </c>
      <c r="Z151" s="42">
        <f ca="1">Z91*INDEX('Timing &amp; Flags'!Z89:Z91,MATCH($D$145,Indexation,0))</f>
        <v>950432.38590339769</v>
      </c>
      <c r="AA151" s="42">
        <f ca="1">AA91*INDEX('Timing &amp; Flags'!AA89:AA91,MATCH($D$145,Indexation,0))</f>
        <v>978582.90547976259</v>
      </c>
      <c r="AB151" s="42">
        <f ca="1">AB91*INDEX('Timing &amp; Flags'!AB89:AB91,MATCH($D$145,Indexation,0))</f>
        <v>999331.00205496186</v>
      </c>
      <c r="AC151" s="42">
        <f ca="1">AC91*INDEX('Timing &amp; Flags'!AC89:AC91,MATCH($D$145,Indexation,0))</f>
        <v>1023314.946104281</v>
      </c>
      <c r="AD151" s="42">
        <f ca="1">AD91*INDEX('Timing &amp; Flags'!AD89:AD91,MATCH($D$145,Indexation,0))</f>
        <v>1045011.4597156723</v>
      </c>
      <c r="AE151" s="42">
        <f ca="1">AE91*INDEX('Timing &amp; Flags'!AE89:AE91,MATCH($D$145,Indexation,0))</f>
        <v>1075963.2833178216</v>
      </c>
      <c r="AF151" s="42">
        <f ca="1">AF91*INDEX('Timing &amp; Flags'!AF89:AF91,MATCH($D$145,Indexation,0))</f>
        <v>1098776.0567564727</v>
      </c>
      <c r="AG151" s="42">
        <f ca="1">AG91*INDEX('Timing &amp; Flags'!AG89:AG91,MATCH($D$145,Indexation,0))</f>
        <v>1125146.6821186279</v>
      </c>
      <c r="AH151" s="42">
        <f ca="1">AH91*INDEX('Timing &amp; Flags'!AH89:AH91,MATCH($D$145,Indexation,0))</f>
        <v>1149002.2511165529</v>
      </c>
      <c r="AI151" s="42">
        <f ca="1">AI91*INDEX('Timing &amp; Flags'!AI89:AI91,MATCH($D$145,Indexation,0))</f>
        <v>1183034.1410679875</v>
      </c>
      <c r="AJ151" s="42">
        <f ca="1">AJ91*INDEX('Timing &amp; Flags'!AJ89:AJ91,MATCH($D$145,Indexation,0))</f>
        <v>1208117.0507256039</v>
      </c>
      <c r="AK151" s="42">
        <f ca="1">AK91*INDEX('Timing &amp; Flags'!AK89:AK91,MATCH($D$145,Indexation,0))</f>
        <v>1237111.8599430185</v>
      </c>
      <c r="AL151" s="42">
        <f ca="1">AL91*INDEX('Timing &amp; Flags'!AL89:AL91,MATCH($D$145,Indexation,0))</f>
        <v>1266802.544581651</v>
      </c>
      <c r="AM151" s="42">
        <f>AM91*INDEX('Timing &amp; Flags'!AM89:AM91,MATCH($D$145,Indexation,0))</f>
        <v>0</v>
      </c>
      <c r="AN151" s="42">
        <f>AN91*INDEX('Timing &amp; Flags'!AN89:AN91,MATCH($D$145,Indexation,0))</f>
        <v>0</v>
      </c>
      <c r="AO151" s="42">
        <f>AO91*INDEX('Timing &amp; Flags'!AO89:AO91,MATCH($D$145,Indexation,0))</f>
        <v>0</v>
      </c>
      <c r="AP151" s="42">
        <f>AP91*INDEX('Timing &amp; Flags'!AP89:AP91,MATCH($D$145,Indexation,0))</f>
        <v>0</v>
      </c>
      <c r="AQ151" s="42">
        <f>AQ91*INDEX('Timing &amp; Flags'!AQ89:AQ91,MATCH($D$145,Indexation,0))</f>
        <v>0</v>
      </c>
      <c r="AR151" s="42">
        <f>AR91*INDEX('Timing &amp; Flags'!AR89:AR91,MATCH($D$145,Indexation,0))</f>
        <v>0</v>
      </c>
      <c r="AS151" s="42">
        <f>AS91*INDEX('Timing &amp; Flags'!AS89:AS91,MATCH($D$145,Indexation,0))</f>
        <v>0</v>
      </c>
      <c r="AT151" s="42">
        <f>AT91*INDEX('Timing &amp; Flags'!AT89:AT91,MATCH($D$145,Indexation,0))</f>
        <v>0</v>
      </c>
      <c r="AU151" s="42">
        <f>AU91*INDEX('Timing &amp; Flags'!AU89:AU91,MATCH($D$145,Indexation,0))</f>
        <v>0</v>
      </c>
      <c r="AV151" s="42">
        <f>AV91*INDEX('Timing &amp; Flags'!AV89:AV91,MATCH($D$145,Indexation,0))</f>
        <v>0</v>
      </c>
      <c r="AW151" s="42">
        <f>AW91*INDEX('Timing &amp; Flags'!AW89:AW91,MATCH($D$145,Indexation,0))</f>
        <v>0</v>
      </c>
    </row>
    <row r="152" spans="1:49">
      <c r="B152" s="2" t="s">
        <v>968</v>
      </c>
      <c r="C152" s="15" t="str">
        <f>IF('Input '!$F$9=1,"US$","=N=")</f>
        <v>US$</v>
      </c>
      <c r="D152" s="41">
        <f t="shared" ref="D152:D157" ca="1" si="52">SUM(I152:AW152)</f>
        <v>0</v>
      </c>
      <c r="I152" s="42">
        <f>I92*INDEX('Timing &amp; Flags'!I89:I91,MATCH($D$145,Indexation,0))</f>
        <v>0</v>
      </c>
      <c r="J152" s="42">
        <f>J92*INDEX('Timing &amp; Flags'!J89:J91,MATCH($D$145,Indexation,0))</f>
        <v>0</v>
      </c>
      <c r="K152" s="42">
        <f ca="1">K92*INDEX('Timing &amp; Flags'!K89:K91,MATCH($D$145,Indexation,0))</f>
        <v>0</v>
      </c>
      <c r="L152" s="42">
        <f ca="1">L92*INDEX('Timing &amp; Flags'!L89:L91,MATCH($D$145,Indexation,0))</f>
        <v>0</v>
      </c>
      <c r="M152" s="42">
        <f ca="1">M92*INDEX('Timing &amp; Flags'!M89:M91,MATCH($D$145,Indexation,0))</f>
        <v>0</v>
      </c>
      <c r="N152" s="42">
        <f ca="1">N92*INDEX('Timing &amp; Flags'!N89:N91,MATCH($D$145,Indexation,0))</f>
        <v>0</v>
      </c>
      <c r="O152" s="42">
        <f ca="1">O92*INDEX('Timing &amp; Flags'!O89:O91,MATCH($D$145,Indexation,0))</f>
        <v>0</v>
      </c>
      <c r="P152" s="42">
        <f ca="1">P92*INDEX('Timing &amp; Flags'!P89:P91,MATCH($D$145,Indexation,0))</f>
        <v>0</v>
      </c>
      <c r="Q152" s="42">
        <f ca="1">Q92*INDEX('Timing &amp; Flags'!Q89:Q91,MATCH($D$145,Indexation,0))</f>
        <v>0</v>
      </c>
      <c r="R152" s="42">
        <f ca="1">R92*INDEX('Timing &amp; Flags'!R89:R91,MATCH($D$145,Indexation,0))</f>
        <v>0</v>
      </c>
      <c r="S152" s="42">
        <f ca="1">S92*INDEX('Timing &amp; Flags'!S89:S91,MATCH($D$145,Indexation,0))</f>
        <v>0</v>
      </c>
      <c r="T152" s="42">
        <f ca="1">T92*INDEX('Timing &amp; Flags'!T89:T91,MATCH($D$145,Indexation,0))</f>
        <v>0</v>
      </c>
      <c r="U152" s="42">
        <f ca="1">U92*INDEX('Timing &amp; Flags'!U89:U91,MATCH($D$145,Indexation,0))</f>
        <v>0</v>
      </c>
      <c r="V152" s="42">
        <f ca="1">V92*INDEX('Timing &amp; Flags'!V89:V91,MATCH($D$145,Indexation,0))</f>
        <v>0</v>
      </c>
      <c r="W152" s="42">
        <f ca="1">W92*INDEX('Timing &amp; Flags'!W89:W91,MATCH($D$145,Indexation,0))</f>
        <v>0</v>
      </c>
      <c r="X152" s="42">
        <f ca="1">X92*INDEX('Timing &amp; Flags'!X89:X91,MATCH($D$145,Indexation,0))</f>
        <v>0</v>
      </c>
      <c r="Y152" s="42">
        <f ca="1">Y92*INDEX('Timing &amp; Flags'!Y89:Y91,MATCH($D$145,Indexation,0))</f>
        <v>0</v>
      </c>
      <c r="Z152" s="42">
        <f ca="1">Z92*INDEX('Timing &amp; Flags'!Z89:Z91,MATCH($D$145,Indexation,0))</f>
        <v>0</v>
      </c>
      <c r="AA152" s="42">
        <f ca="1">AA92*INDEX('Timing &amp; Flags'!AA89:AA91,MATCH($D$145,Indexation,0))</f>
        <v>0</v>
      </c>
      <c r="AB152" s="42">
        <f ca="1">AB92*INDEX('Timing &amp; Flags'!AB89:AB91,MATCH($D$145,Indexation,0))</f>
        <v>0</v>
      </c>
      <c r="AC152" s="42">
        <f ca="1">AC92*INDEX('Timing &amp; Flags'!AC89:AC91,MATCH($D$145,Indexation,0))</f>
        <v>0</v>
      </c>
      <c r="AD152" s="42">
        <f ca="1">AD92*INDEX('Timing &amp; Flags'!AD89:AD91,MATCH($D$145,Indexation,0))</f>
        <v>0</v>
      </c>
      <c r="AE152" s="42">
        <f ca="1">AE92*INDEX('Timing &amp; Flags'!AE89:AE91,MATCH($D$145,Indexation,0))</f>
        <v>0</v>
      </c>
      <c r="AF152" s="42">
        <f ca="1">AF92*INDEX('Timing &amp; Flags'!AF89:AF91,MATCH($D$145,Indexation,0))</f>
        <v>0</v>
      </c>
      <c r="AG152" s="42">
        <f ca="1">AG92*INDEX('Timing &amp; Flags'!AG89:AG91,MATCH($D$145,Indexation,0))</f>
        <v>0</v>
      </c>
      <c r="AH152" s="42">
        <f ca="1">AH92*INDEX('Timing &amp; Flags'!AH89:AH91,MATCH($D$145,Indexation,0))</f>
        <v>0</v>
      </c>
      <c r="AI152" s="42">
        <f ca="1">AI92*INDEX('Timing &amp; Flags'!AI89:AI91,MATCH($D$145,Indexation,0))</f>
        <v>0</v>
      </c>
      <c r="AJ152" s="42">
        <f ca="1">AJ92*INDEX('Timing &amp; Flags'!AJ89:AJ91,MATCH($D$145,Indexation,0))</f>
        <v>0</v>
      </c>
      <c r="AK152" s="42">
        <f ca="1">AK92*INDEX('Timing &amp; Flags'!AK89:AK91,MATCH($D$145,Indexation,0))</f>
        <v>0</v>
      </c>
      <c r="AL152" s="42">
        <f ca="1">AL92*INDEX('Timing &amp; Flags'!AL89:AL91,MATCH($D$145,Indexation,0))</f>
        <v>0</v>
      </c>
      <c r="AM152" s="42">
        <f>AM92*INDEX('Timing &amp; Flags'!AM89:AM91,MATCH($D$145,Indexation,0))</f>
        <v>0</v>
      </c>
      <c r="AN152" s="42">
        <f>AN92*INDEX('Timing &amp; Flags'!AN89:AN91,MATCH($D$145,Indexation,0))</f>
        <v>0</v>
      </c>
      <c r="AO152" s="42">
        <f>AO92*INDEX('Timing &amp; Flags'!AO89:AO91,MATCH($D$145,Indexation,0))</f>
        <v>0</v>
      </c>
      <c r="AP152" s="42">
        <f>AP92*INDEX('Timing &amp; Flags'!AP89:AP91,MATCH($D$145,Indexation,0))</f>
        <v>0</v>
      </c>
      <c r="AQ152" s="42">
        <f>AQ92*INDEX('Timing &amp; Flags'!AQ89:AQ91,MATCH($D$145,Indexation,0))</f>
        <v>0</v>
      </c>
      <c r="AR152" s="42">
        <f>AR92*INDEX('Timing &amp; Flags'!AR89:AR91,MATCH($D$145,Indexation,0))</f>
        <v>0</v>
      </c>
      <c r="AS152" s="42">
        <f>AS92*INDEX('Timing &amp; Flags'!AS89:AS91,MATCH($D$145,Indexation,0))</f>
        <v>0</v>
      </c>
      <c r="AT152" s="42">
        <f>AT92*INDEX('Timing &amp; Flags'!AT89:AT91,MATCH($D$145,Indexation,0))</f>
        <v>0</v>
      </c>
      <c r="AU152" s="42">
        <f>AU92*INDEX('Timing &amp; Flags'!AU89:AU91,MATCH($D$145,Indexation,0))</f>
        <v>0</v>
      </c>
      <c r="AV152" s="42">
        <f>AV92*INDEX('Timing &amp; Flags'!AV89:AV91,MATCH($D$145,Indexation,0))</f>
        <v>0</v>
      </c>
      <c r="AW152" s="42">
        <f>AW92*INDEX('Timing &amp; Flags'!AW89:AW91,MATCH($D$145,Indexation,0))</f>
        <v>0</v>
      </c>
    </row>
    <row r="153" spans="1:49">
      <c r="B153" s="2" t="s">
        <v>969</v>
      </c>
      <c r="C153" s="15" t="str">
        <f>IF('Input '!$F$9=1,"US$","=N=")</f>
        <v>US$</v>
      </c>
      <c r="D153" s="41">
        <f t="shared" ca="1" si="52"/>
        <v>67051183.841650486</v>
      </c>
      <c r="I153" s="42">
        <f>I93*INDEX('Timing &amp; Flags'!I89:I91,MATCH($D$145,Indexation,0))</f>
        <v>0</v>
      </c>
      <c r="J153" s="42">
        <f>J93*INDEX('Timing &amp; Flags'!J89:J91,MATCH($D$145,Indexation,0))</f>
        <v>0</v>
      </c>
      <c r="K153" s="42">
        <f ca="1">K93*INDEX('Timing &amp; Flags'!K89:K91,MATCH($D$145,Indexation,0))</f>
        <v>1710282.1692824995</v>
      </c>
      <c r="L153" s="42">
        <f ca="1">L93*INDEX('Timing &amp; Flags'!L89:L91,MATCH($D$145,Indexation,0))</f>
        <v>1749618.6591759969</v>
      </c>
      <c r="M153" s="42">
        <f ca="1">M93*INDEX('Timing &amp; Flags'!M89:M91,MATCH($D$145,Indexation,0))</f>
        <v>1789859.8883370445</v>
      </c>
      <c r="N153" s="42">
        <f ca="1">N93*INDEX('Timing &amp; Flags'!N89:N91,MATCH($D$145,Indexation,0))</f>
        <v>1827808.8302318407</v>
      </c>
      <c r="O153" s="42">
        <f ca="1">O93*INDEX('Timing &amp; Flags'!O89:O91,MATCH($D$145,Indexation,0))</f>
        <v>1881946.0513750224</v>
      </c>
      <c r="P153" s="42">
        <f ca="1">P93*INDEX('Timing &amp; Flags'!P89:P91,MATCH($D$145,Indexation,0))</f>
        <v>1921847.4212074548</v>
      </c>
      <c r="Q153" s="42">
        <f ca="1">Q93*INDEX('Timing &amp; Flags'!Q89:Q91,MATCH($D$145,Indexation,0))</f>
        <v>1967971.7593164335</v>
      </c>
      <c r="R153" s="42">
        <f ca="1">R93*INDEX('Timing &amp; Flags'!R89:R91,MATCH($D$145,Indexation,0))</f>
        <v>2009697.0621915581</v>
      </c>
      <c r="S153" s="42">
        <f ca="1">S93*INDEX('Timing &amp; Flags'!S89:S91,MATCH($D$145,Indexation,0))</f>
        <v>2069221.5663339668</v>
      </c>
      <c r="T153" s="42">
        <f ca="1">T93*INDEX('Timing &amp; Flags'!T89:T91,MATCH($D$145,Indexation,0))</f>
        <v>2113093.5864289161</v>
      </c>
      <c r="U153" s="42">
        <f ca="1">U93*INDEX('Timing &amp; Flags'!U89:U91,MATCH($D$145,Indexation,0))</f>
        <v>2163807.8325032103</v>
      </c>
      <c r="V153" s="42">
        <f ca="1">V93*INDEX('Timing &amp; Flags'!V89:V91,MATCH($D$145,Indexation,0))</f>
        <v>2209685.288186885</v>
      </c>
      <c r="W153" s="42">
        <f ca="1">W93*INDEX('Timing &amp; Flags'!W89:W91,MATCH($D$145,Indexation,0))</f>
        <v>2275133.1726290644</v>
      </c>
      <c r="X153" s="42">
        <f ca="1">X93*INDEX('Timing &amp; Flags'!X89:X91,MATCH($D$145,Indexation,0))</f>
        <v>2323370.9688574839</v>
      </c>
      <c r="Y153" s="42">
        <f ca="1">Y93*INDEX('Timing &amp; Flags'!Y89:Y91,MATCH($D$145,Indexation,0))</f>
        <v>2379131.8721100637</v>
      </c>
      <c r="Z153" s="42">
        <f ca="1">Z93*INDEX('Timing &amp; Flags'!Z89:Z91,MATCH($D$145,Indexation,0))</f>
        <v>2429574.6680870419</v>
      </c>
      <c r="AA153" s="42">
        <f ca="1">AA93*INDEX('Timing &amp; Flags'!AA89:AA91,MATCH($D$145,Indexation,0))</f>
        <v>2501535.3780445582</v>
      </c>
      <c r="AB153" s="42">
        <f ca="1">AB93*INDEX('Timing &amp; Flags'!AB89:AB91,MATCH($D$145,Indexation,0))</f>
        <v>2554573.3958959947</v>
      </c>
      <c r="AC153" s="42">
        <f ca="1">AC93*INDEX('Timing &amp; Flags'!AC89:AC91,MATCH($D$145,Indexation,0))</f>
        <v>2615883.1573974984</v>
      </c>
      <c r="AD153" s="42">
        <f ca="1">AD93*INDEX('Timing &amp; Flags'!AD89:AD91,MATCH($D$145,Indexation,0))</f>
        <v>2671345.5981117189</v>
      </c>
      <c r="AE153" s="42">
        <f ca="1">AE93*INDEX('Timing &amp; Flags'!AE89:AE91,MATCH($D$145,Indexation,0))</f>
        <v>2750467.235453024</v>
      </c>
      <c r="AF153" s="42">
        <f ca="1">AF93*INDEX('Timing &amp; Flags'!AF89:AF91,MATCH($D$145,Indexation,0))</f>
        <v>2808783.1527948696</v>
      </c>
      <c r="AG153" s="42">
        <f ca="1">AG93*INDEX('Timing &amp; Flags'!AG89:AG91,MATCH($D$145,Indexation,0))</f>
        <v>2876193.9484619466</v>
      </c>
      <c r="AH153" s="42">
        <f ca="1">AH93*INDEX('Timing &amp; Flags'!AH89:AH91,MATCH($D$145,Indexation,0))</f>
        <v>2937175.5469320687</v>
      </c>
      <c r="AI153" s="42">
        <f ca="1">AI93*INDEX('Timing &amp; Flags'!AI89:AI91,MATCH($D$145,Indexation,0))</f>
        <v>3024170.7071975097</v>
      </c>
      <c r="AJ153" s="42">
        <f ca="1">AJ93*INDEX('Timing &amp; Flags'!AJ89:AJ91,MATCH($D$145,Indexation,0))</f>
        <v>3088289.7363992929</v>
      </c>
      <c r="AK153" s="42">
        <f ca="1">AK93*INDEX('Timing &amp; Flags'!AK89:AK91,MATCH($D$145,Indexation,0))</f>
        <v>3162408.6900728759</v>
      </c>
      <c r="AL153" s="42">
        <f ca="1">AL93*INDEX('Timing &amp; Flags'!AL89:AL91,MATCH($D$145,Indexation,0))</f>
        <v>3238306.4986346252</v>
      </c>
      <c r="AM153" s="42">
        <f>AM93*INDEX('Timing &amp; Flags'!AM89:AM91,MATCH($D$145,Indexation,0))</f>
        <v>0</v>
      </c>
      <c r="AN153" s="42">
        <f>AN93*INDEX('Timing &amp; Flags'!AN89:AN91,MATCH($D$145,Indexation,0))</f>
        <v>0</v>
      </c>
      <c r="AO153" s="42">
        <f>AO93*INDEX('Timing &amp; Flags'!AO89:AO91,MATCH($D$145,Indexation,0))</f>
        <v>0</v>
      </c>
      <c r="AP153" s="42">
        <f>AP93*INDEX('Timing &amp; Flags'!AP89:AP91,MATCH($D$145,Indexation,0))</f>
        <v>0</v>
      </c>
      <c r="AQ153" s="42">
        <f>AQ93*INDEX('Timing &amp; Flags'!AQ89:AQ91,MATCH($D$145,Indexation,0))</f>
        <v>0</v>
      </c>
      <c r="AR153" s="42">
        <f>AR93*INDEX('Timing &amp; Flags'!AR89:AR91,MATCH($D$145,Indexation,0))</f>
        <v>0</v>
      </c>
      <c r="AS153" s="42">
        <f>AS93*INDEX('Timing &amp; Flags'!AS89:AS91,MATCH($D$145,Indexation,0))</f>
        <v>0</v>
      </c>
      <c r="AT153" s="42">
        <f>AT93*INDEX('Timing &amp; Flags'!AT89:AT91,MATCH($D$145,Indexation,0))</f>
        <v>0</v>
      </c>
      <c r="AU153" s="42">
        <f>AU93*INDEX('Timing &amp; Flags'!AU89:AU91,MATCH($D$145,Indexation,0))</f>
        <v>0</v>
      </c>
      <c r="AV153" s="42">
        <f>AV93*INDEX('Timing &amp; Flags'!AV89:AV91,MATCH($D$145,Indexation,0))</f>
        <v>0</v>
      </c>
      <c r="AW153" s="42">
        <f>AW93*INDEX('Timing &amp; Flags'!AW89:AW91,MATCH($D$145,Indexation,0))</f>
        <v>0</v>
      </c>
    </row>
    <row r="154" spans="1:49">
      <c r="B154" s="2" t="s">
        <v>970</v>
      </c>
      <c r="C154" s="15" t="str">
        <f>IF('Input '!$F$9=1,"US$","=N=")</f>
        <v>US$</v>
      </c>
      <c r="D154" s="41">
        <f t="shared" ca="1" si="52"/>
        <v>355371274.36074734</v>
      </c>
      <c r="I154" s="42">
        <f>I94*INDEX('Timing &amp; Flags'!I89:I91,MATCH($D$145,Indexation,0))</f>
        <v>0</v>
      </c>
      <c r="J154" s="42">
        <f>J94*INDEX('Timing &amp; Flags'!J89:J91,MATCH($D$145,Indexation,0))</f>
        <v>0</v>
      </c>
      <c r="K154" s="42">
        <f ca="1">K94*INDEX('Timing &amp; Flags'!K89:K91,MATCH($D$145,Indexation,0))</f>
        <v>9064495.497197248</v>
      </c>
      <c r="L154" s="42">
        <f ca="1">L94*INDEX('Timing &amp; Flags'!L89:L91,MATCH($D$145,Indexation,0))</f>
        <v>9272978.8936327826</v>
      </c>
      <c r="M154" s="42">
        <f ca="1">M94*INDEX('Timing &amp; Flags'!M89:M91,MATCH($D$145,Indexation,0))</f>
        <v>9486257.4081863351</v>
      </c>
      <c r="N154" s="42">
        <f ca="1">N94*INDEX('Timing &amp; Flags'!N89:N91,MATCH($D$145,Indexation,0))</f>
        <v>9687386.8002287559</v>
      </c>
      <c r="O154" s="42">
        <f ca="1">O94*INDEX('Timing &amp; Flags'!O89:O91,MATCH($D$145,Indexation,0))</f>
        <v>9974314.0722876191</v>
      </c>
      <c r="P154" s="42">
        <f ca="1">P94*INDEX('Timing &amp; Flags'!P89:P91,MATCH($D$145,Indexation,0))</f>
        <v>10185791.33239951</v>
      </c>
      <c r="Q154" s="42">
        <f ca="1">Q94*INDEX('Timing &amp; Flags'!Q89:Q91,MATCH($D$145,Indexation,0))</f>
        <v>10430250.324377097</v>
      </c>
      <c r="R154" s="42">
        <f ca="1">R94*INDEX('Timing &amp; Flags'!R89:R91,MATCH($D$145,Indexation,0))</f>
        <v>10651394.429615257</v>
      </c>
      <c r="S154" s="42">
        <f ca="1">S94*INDEX('Timing &amp; Flags'!S89:S91,MATCH($D$145,Indexation,0))</f>
        <v>10966874.301570026</v>
      </c>
      <c r="T154" s="42">
        <f ca="1">T94*INDEX('Timing &amp; Flags'!T89:T91,MATCH($D$145,Indexation,0))</f>
        <v>11199396.008073257</v>
      </c>
      <c r="U154" s="42">
        <f ca="1">U94*INDEX('Timing &amp; Flags'!U89:U91,MATCH($D$145,Indexation,0))</f>
        <v>11468181.512267016</v>
      </c>
      <c r="V154" s="42">
        <f ca="1">V94*INDEX('Timing &amp; Flags'!V89:V91,MATCH($D$145,Indexation,0))</f>
        <v>11711332.027390489</v>
      </c>
      <c r="W154" s="42">
        <f ca="1">W94*INDEX('Timing &amp; Flags'!W89:W91,MATCH($D$145,Indexation,0))</f>
        <v>12058205.814934041</v>
      </c>
      <c r="X154" s="42">
        <f ca="1">X94*INDEX('Timing &amp; Flags'!X89:X91,MATCH($D$145,Indexation,0))</f>
        <v>12313866.134944664</v>
      </c>
      <c r="Y154" s="42">
        <f ca="1">Y94*INDEX('Timing &amp; Flags'!Y89:Y91,MATCH($D$145,Indexation,0))</f>
        <v>12609398.922183337</v>
      </c>
      <c r="Z154" s="42">
        <f ca="1">Z94*INDEX('Timing &amp; Flags'!Z89:Z91,MATCH($D$145,Indexation,0))</f>
        <v>12876745.740861323</v>
      </c>
      <c r="AA154" s="42">
        <f ca="1">AA94*INDEX('Timing &amp; Flags'!AA89:AA91,MATCH($D$145,Indexation,0))</f>
        <v>13258137.503636159</v>
      </c>
      <c r="AB154" s="42">
        <f ca="1">AB94*INDEX('Timing &amp; Flags'!AB89:AB91,MATCH($D$145,Indexation,0))</f>
        <v>13539238.998248771</v>
      </c>
      <c r="AC154" s="42">
        <f ca="1">AC94*INDEX('Timing &amp; Flags'!AC89:AC91,MATCH($D$145,Indexation,0))</f>
        <v>13864180.734206742</v>
      </c>
      <c r="AD154" s="42">
        <f ca="1">AD94*INDEX('Timing &amp; Flags'!AD89:AD91,MATCH($D$145,Indexation,0))</f>
        <v>14158131.66999211</v>
      </c>
      <c r="AE154" s="42">
        <f ca="1">AE94*INDEX('Timing &amp; Flags'!AE89:AE91,MATCH($D$145,Indexation,0))</f>
        <v>14577476.34790103</v>
      </c>
      <c r="AF154" s="42">
        <f ca="1">AF94*INDEX('Timing &amp; Flags'!AF89:AF91,MATCH($D$145,Indexation,0))</f>
        <v>14886550.709812809</v>
      </c>
      <c r="AG154" s="42">
        <f ca="1">AG94*INDEX('Timing &amp; Flags'!AG89:AG91,MATCH($D$145,Indexation,0))</f>
        <v>15243827.926848317</v>
      </c>
      <c r="AH154" s="42">
        <f ca="1">AH94*INDEX('Timing &amp; Flags'!AH89:AH91,MATCH($D$145,Indexation,0))</f>
        <v>15567030.398739964</v>
      </c>
      <c r="AI154" s="42">
        <f ca="1">AI94*INDEX('Timing &amp; Flags'!AI89:AI91,MATCH($D$145,Indexation,0))</f>
        <v>16028104.748146802</v>
      </c>
      <c r="AJ154" s="42">
        <f ca="1">AJ94*INDEX('Timing &amp; Flags'!AJ89:AJ91,MATCH($D$145,Indexation,0))</f>
        <v>16367935.602916252</v>
      </c>
      <c r="AK154" s="42">
        <f ca="1">AK94*INDEX('Timing &amp; Flags'!AK89:AK91,MATCH($D$145,Indexation,0))</f>
        <v>16760766.057386242</v>
      </c>
      <c r="AL154" s="42">
        <f ca="1">AL94*INDEX('Timing &amp; Flags'!AL89:AL91,MATCH($D$145,Indexation,0))</f>
        <v>17163024.442763515</v>
      </c>
      <c r="AM154" s="42">
        <f>AM94*INDEX('Timing &amp; Flags'!AM89:AM91,MATCH($D$145,Indexation,0))</f>
        <v>0</v>
      </c>
      <c r="AN154" s="42">
        <f>AN94*INDEX('Timing &amp; Flags'!AN89:AN91,MATCH($D$145,Indexation,0))</f>
        <v>0</v>
      </c>
      <c r="AO154" s="42">
        <f>AO94*INDEX('Timing &amp; Flags'!AO89:AO91,MATCH($D$145,Indexation,0))</f>
        <v>0</v>
      </c>
      <c r="AP154" s="42">
        <f>AP94*INDEX('Timing &amp; Flags'!AP89:AP91,MATCH($D$145,Indexation,0))</f>
        <v>0</v>
      </c>
      <c r="AQ154" s="42">
        <f>AQ94*INDEX('Timing &amp; Flags'!AQ89:AQ91,MATCH($D$145,Indexation,0))</f>
        <v>0</v>
      </c>
      <c r="AR154" s="42">
        <f>AR94*INDEX('Timing &amp; Flags'!AR89:AR91,MATCH($D$145,Indexation,0))</f>
        <v>0</v>
      </c>
      <c r="AS154" s="42">
        <f>AS94*INDEX('Timing &amp; Flags'!AS89:AS91,MATCH($D$145,Indexation,0))</f>
        <v>0</v>
      </c>
      <c r="AT154" s="42">
        <f>AT94*INDEX('Timing &amp; Flags'!AT89:AT91,MATCH($D$145,Indexation,0))</f>
        <v>0</v>
      </c>
      <c r="AU154" s="42">
        <f>AU94*INDEX('Timing &amp; Flags'!AU89:AU91,MATCH($D$145,Indexation,0))</f>
        <v>0</v>
      </c>
      <c r="AV154" s="42">
        <f>AV94*INDEX('Timing &amp; Flags'!AV89:AV91,MATCH($D$145,Indexation,0))</f>
        <v>0</v>
      </c>
      <c r="AW154" s="42">
        <f>AW94*INDEX('Timing &amp; Flags'!AW89:AW91,MATCH($D$145,Indexation,0))</f>
        <v>0</v>
      </c>
    </row>
    <row r="155" spans="1:49">
      <c r="B155" s="2" t="s">
        <v>971</v>
      </c>
      <c r="C155" s="15" t="str">
        <f>IF('Input '!$F$9=1,"US$","=N=")</f>
        <v>US$</v>
      </c>
      <c r="D155" s="41">
        <f t="shared" ca="1" si="52"/>
        <v>20424105.392457064</v>
      </c>
      <c r="I155" s="42">
        <f>I95*INDEX('Timing &amp; Flags'!I89:I91,MATCH($D$145,Indexation,0))</f>
        <v>0</v>
      </c>
      <c r="J155" s="42">
        <f>J95*INDEX('Timing &amp; Flags'!J89:J91,MATCH($D$145,Indexation,0))</f>
        <v>0</v>
      </c>
      <c r="K155" s="42">
        <f ca="1">K95*INDEX('Timing &amp; Flags'!K89:K91,MATCH($D$145,Indexation,0))</f>
        <v>520959.97825720184</v>
      </c>
      <c r="L155" s="42">
        <f ca="1">L95*INDEX('Timing &amp; Flags'!L89:L91,MATCH($D$145,Indexation,0))</f>
        <v>532942.05775711744</v>
      </c>
      <c r="M155" s="42">
        <f ca="1">M95*INDEX('Timing &amp; Flags'!M89:M91,MATCH($D$145,Indexation,0))</f>
        <v>545199.72508553101</v>
      </c>
      <c r="N155" s="42">
        <f ca="1">N95*INDEX('Timing &amp; Flags'!N89:N91,MATCH($D$145,Indexation,0))</f>
        <v>556759.15095073241</v>
      </c>
      <c r="O155" s="42">
        <f ca="1">O95*INDEX('Timing &amp; Flags'!O89:O91,MATCH($D$145,Indexation,0))</f>
        <v>573249.60267630313</v>
      </c>
      <c r="P155" s="42">
        <f ca="1">P95*INDEX('Timing &amp; Flags'!P89:P91,MATCH($D$145,Indexation,0))</f>
        <v>585403.74725763674</v>
      </c>
      <c r="Q155" s="42">
        <f ca="1">Q95*INDEX('Timing &amp; Flags'!Q89:Q91,MATCH($D$145,Indexation,0))</f>
        <v>599453.43719182</v>
      </c>
      <c r="R155" s="42">
        <f ca="1">R95*INDEX('Timing &amp; Flags'!R89:R91,MATCH($D$145,Indexation,0))</f>
        <v>612163.16034102358</v>
      </c>
      <c r="S155" s="42">
        <f ca="1">S95*INDEX('Timing &amp; Flags'!S89:S91,MATCH($D$145,Indexation,0))</f>
        <v>630294.60376056738</v>
      </c>
      <c r="T155" s="42">
        <f ca="1">T95*INDEX('Timing &amp; Flags'!T89:T91,MATCH($D$145,Indexation,0))</f>
        <v>643658.22705341422</v>
      </c>
      <c r="U155" s="42">
        <f ca="1">U95*INDEX('Timing &amp; Flags'!U89:U91,MATCH($D$145,Indexation,0))</f>
        <v>659106.02450269624</v>
      </c>
      <c r="V155" s="42">
        <f ca="1">V95*INDEX('Timing &amp; Flags'!V89:V91,MATCH($D$145,Indexation,0))</f>
        <v>673080.51289105928</v>
      </c>
      <c r="W155" s="42">
        <f ca="1">W95*INDEX('Timing &amp; Flags'!W89:W91,MATCH($D$145,Indexation,0))</f>
        <v>693016.24575921032</v>
      </c>
      <c r="X155" s="42">
        <f ca="1">X95*INDEX('Timing &amp; Flags'!X89:X91,MATCH($D$145,Indexation,0))</f>
        <v>707709.70495891373</v>
      </c>
      <c r="Y155" s="42">
        <f ca="1">Y95*INDEX('Timing &amp; Flags'!Y89:Y91,MATCH($D$145,Indexation,0))</f>
        <v>724694.73787792772</v>
      </c>
      <c r="Z155" s="42">
        <f ca="1">Z95*INDEX('Timing &amp; Flags'!Z89:Z91,MATCH($D$145,Indexation,0))</f>
        <v>740059.85035315377</v>
      </c>
      <c r="AA155" s="42">
        <f ca="1">AA95*INDEX('Timing &amp; Flags'!AA89:AA91,MATCH($D$145,Indexation,0))</f>
        <v>761979.42044992198</v>
      </c>
      <c r="AB155" s="42">
        <f ca="1">AB95*INDEX('Timing &amp; Flags'!AB89:AB91,MATCH($D$145,Indexation,0))</f>
        <v>778135.04969224811</v>
      </c>
      <c r="AC155" s="42">
        <f ca="1">AC95*INDEX('Timing &amp; Flags'!AC89:AC91,MATCH($D$145,Indexation,0))</f>
        <v>796810.29088486207</v>
      </c>
      <c r="AD155" s="42">
        <f ca="1">AD95*INDEX('Timing &amp; Flags'!AD89:AD91,MATCH($D$145,Indexation,0))</f>
        <v>813704.41071345913</v>
      </c>
      <c r="AE155" s="42">
        <f ca="1">AE95*INDEX('Timing &amp; Flags'!AE89:AE91,MATCH($D$145,Indexation,0))</f>
        <v>837805.23291070689</v>
      </c>
      <c r="AF155" s="42">
        <f ca="1">AF95*INDEX('Timing &amp; Flags'!AF89:AF91,MATCH($D$145,Indexation,0))</f>
        <v>855568.53511668253</v>
      </c>
      <c r="AG155" s="42">
        <f ca="1">AG95*INDEX('Timing &amp; Flags'!AG89:AG91,MATCH($D$145,Indexation,0))</f>
        <v>876102.17995948286</v>
      </c>
      <c r="AH155" s="42">
        <f ca="1">AH95*INDEX('Timing &amp; Flags'!AH89:AH91,MATCH($D$145,Indexation,0))</f>
        <v>894677.46115206648</v>
      </c>
      <c r="AI155" s="42">
        <f ca="1">AI95*INDEX('Timing &amp; Flags'!AI89:AI91,MATCH($D$145,Indexation,0))</f>
        <v>921176.5953969023</v>
      </c>
      <c r="AJ155" s="42">
        <f ca="1">AJ95*INDEX('Timing &amp; Flags'!AJ89:AJ91,MATCH($D$145,Indexation,0))</f>
        <v>940707.55272007152</v>
      </c>
      <c r="AK155" s="42">
        <f ca="1">AK95*INDEX('Timing &amp; Flags'!AK89:AK91,MATCH($D$145,Indexation,0))</f>
        <v>963284.53398535331</v>
      </c>
      <c r="AL155" s="42">
        <f ca="1">AL95*INDEX('Timing &amp; Flags'!AL89:AL91,MATCH($D$145,Indexation,0))</f>
        <v>986403.36280100176</v>
      </c>
      <c r="AM155" s="42">
        <f>AM95*INDEX('Timing &amp; Flags'!AM89:AM91,MATCH($D$145,Indexation,0))</f>
        <v>0</v>
      </c>
      <c r="AN155" s="42">
        <f>AN95*INDEX('Timing &amp; Flags'!AN89:AN91,MATCH($D$145,Indexation,0))</f>
        <v>0</v>
      </c>
      <c r="AO155" s="42">
        <f>AO95*INDEX('Timing &amp; Flags'!AO89:AO91,MATCH($D$145,Indexation,0))</f>
        <v>0</v>
      </c>
      <c r="AP155" s="42">
        <f>AP95*INDEX('Timing &amp; Flags'!AP89:AP91,MATCH($D$145,Indexation,0))</f>
        <v>0</v>
      </c>
      <c r="AQ155" s="42">
        <f>AQ95*INDEX('Timing &amp; Flags'!AQ89:AQ91,MATCH($D$145,Indexation,0))</f>
        <v>0</v>
      </c>
      <c r="AR155" s="42">
        <f>AR95*INDEX('Timing &amp; Flags'!AR89:AR91,MATCH($D$145,Indexation,0))</f>
        <v>0</v>
      </c>
      <c r="AS155" s="42">
        <f>AS95*INDEX('Timing &amp; Flags'!AS89:AS91,MATCH($D$145,Indexation,0))</f>
        <v>0</v>
      </c>
      <c r="AT155" s="42">
        <f>AT95*INDEX('Timing &amp; Flags'!AT89:AT91,MATCH($D$145,Indexation,0))</f>
        <v>0</v>
      </c>
      <c r="AU155" s="42">
        <f>AU95*INDEX('Timing &amp; Flags'!AU89:AU91,MATCH($D$145,Indexation,0))</f>
        <v>0</v>
      </c>
      <c r="AV155" s="42">
        <f>AV95*INDEX('Timing &amp; Flags'!AV89:AV91,MATCH($D$145,Indexation,0))</f>
        <v>0</v>
      </c>
      <c r="AW155" s="42">
        <f>AW95*INDEX('Timing &amp; Flags'!AW89:AW91,MATCH($D$145,Indexation,0))</f>
        <v>0</v>
      </c>
    </row>
    <row r="156" spans="1:49">
      <c r="A156" s="12"/>
      <c r="B156" s="2" t="s">
        <v>972</v>
      </c>
      <c r="C156" s="15" t="str">
        <f>IF('Input '!$F$9=1,"US$","=N=")</f>
        <v>US$</v>
      </c>
      <c r="D156" s="41">
        <f t="shared" ca="1" si="52"/>
        <v>76447331.709899127</v>
      </c>
      <c r="I156" s="42">
        <f>I96*INDEX('Timing &amp; Flags'!I89:I91,MATCH($D$145,Indexation,0))</f>
        <v>0</v>
      </c>
      <c r="J156" s="42">
        <f>J96*INDEX('Timing &amp; Flags'!J89:J91,MATCH($D$145,Indexation,0))</f>
        <v>0</v>
      </c>
      <c r="K156" s="42">
        <f ca="1">K96*INDEX('Timing &amp; Flags'!K89:K91,MATCH($D$145,Indexation,0))</f>
        <v>1949950.7812037875</v>
      </c>
      <c r="L156" s="42">
        <f ca="1">L96*INDEX('Timing &amp; Flags'!L89:L91,MATCH($D$145,Indexation,0))</f>
        <v>1994799.6491714744</v>
      </c>
      <c r="M156" s="42">
        <f ca="1">M96*INDEX('Timing &amp; Flags'!M89:M91,MATCH($D$145,Indexation,0))</f>
        <v>2040680.041102418</v>
      </c>
      <c r="N156" s="42">
        <f ca="1">N96*INDEX('Timing &amp; Flags'!N89:N91,MATCH($D$145,Indexation,0))</f>
        <v>2083946.9184766111</v>
      </c>
      <c r="O156" s="42">
        <f ca="1">O96*INDEX('Timing &amp; Flags'!O89:O91,MATCH($D$145,Indexation,0))</f>
        <v>2145670.6027647052</v>
      </c>
      <c r="P156" s="42">
        <f ca="1">P96*INDEX('Timing &amp; Flags'!P89:P91,MATCH($D$145,Indexation,0))</f>
        <v>2191163.5095337057</v>
      </c>
      <c r="Q156" s="42">
        <f ca="1">Q96*INDEX('Timing &amp; Flags'!Q89:Q91,MATCH($D$145,Indexation,0))</f>
        <v>2243751.4337625145</v>
      </c>
      <c r="R156" s="42">
        <f ca="1">R96*INDEX('Timing &amp; Flags'!R89:R91,MATCH($D$145,Indexation,0))</f>
        <v>2291323.8685329985</v>
      </c>
      <c r="S156" s="42">
        <f ca="1">S96*INDEX('Timing &amp; Flags'!S89:S91,MATCH($D$145,Indexation,0))</f>
        <v>2359189.777116932</v>
      </c>
      <c r="T156" s="42">
        <f ca="1">T96*INDEX('Timing &amp; Flags'!T89:T91,MATCH($D$145,Indexation,0))</f>
        <v>2409209.7570907772</v>
      </c>
      <c r="U156" s="42">
        <f ca="1">U96*INDEX('Timing &amp; Flags'!U89:U91,MATCH($D$145,Indexation,0))</f>
        <v>2467030.7912609559</v>
      </c>
      <c r="V156" s="42">
        <f ca="1">V96*INDEX('Timing &amp; Flags'!V89:V91,MATCH($D$145,Indexation,0))</f>
        <v>2519337.2364527183</v>
      </c>
      <c r="W156" s="42">
        <f ca="1">W96*INDEX('Timing &amp; Flags'!W89:W91,MATCH($D$145,Indexation,0))</f>
        <v>2593956.5920703369</v>
      </c>
      <c r="X156" s="42">
        <f ca="1">X96*INDEX('Timing &amp; Flags'!X89:X91,MATCH($D$145,Indexation,0))</f>
        <v>2648954.1416727025</v>
      </c>
      <c r="Y156" s="42">
        <f ca="1">Y96*INDEX('Timing &amp; Flags'!Y89:Y91,MATCH($D$145,Indexation,0))</f>
        <v>2712529.0410728473</v>
      </c>
      <c r="Z156" s="42">
        <f ca="1">Z96*INDEX('Timing &amp; Flags'!Z89:Z91,MATCH($D$145,Indexation,0))</f>
        <v>2770040.5857688179</v>
      </c>
      <c r="AA156" s="42">
        <f ca="1">AA96*INDEX('Timing &amp; Flags'!AA89:AA91,MATCH($D$145,Indexation,0))</f>
        <v>2852085.4349275422</v>
      </c>
      <c r="AB156" s="42">
        <f ca="1">AB96*INDEX('Timing &amp; Flags'!AB89:AB91,MATCH($D$145,Indexation,0))</f>
        <v>2912555.8802145305</v>
      </c>
      <c r="AC156" s="42">
        <f ca="1">AC96*INDEX('Timing &amp; Flags'!AC89:AC91,MATCH($D$145,Indexation,0))</f>
        <v>2982457.2213396793</v>
      </c>
      <c r="AD156" s="42">
        <f ca="1">AD96*INDEX('Timing &amp; Flags'!AD89:AD91,MATCH($D$145,Indexation,0))</f>
        <v>3045691.8334642584</v>
      </c>
      <c r="AE156" s="42">
        <f ca="1">AE96*INDEX('Timing &amp; Flags'!AE89:AE91,MATCH($D$145,Indexation,0))</f>
        <v>3135901.0991134034</v>
      </c>
      <c r="AF156" s="42">
        <f ca="1">AF96*INDEX('Timing &amp; Flags'!AF89:AF91,MATCH($D$145,Indexation,0))</f>
        <v>3202389.0568432393</v>
      </c>
      <c r="AG156" s="42">
        <f ca="1">AG96*INDEX('Timing &amp; Flags'!AG89:AG91,MATCH($D$145,Indexation,0))</f>
        <v>3279246.3942074771</v>
      </c>
      <c r="AH156" s="42">
        <f ca="1">AH96*INDEX('Timing &amp; Flags'!AH89:AH91,MATCH($D$145,Indexation,0))</f>
        <v>3348773.5855163569</v>
      </c>
      <c r="AI156" s="42">
        <f ca="1">AI96*INDEX('Timing &amp; Flags'!AI89:AI91,MATCH($D$145,Indexation,0))</f>
        <v>3447959.7220307258</v>
      </c>
      <c r="AJ156" s="42">
        <f ca="1">AJ96*INDEX('Timing &amp; Flags'!AJ89:AJ91,MATCH($D$145,Indexation,0))</f>
        <v>3521064.0046617598</v>
      </c>
      <c r="AK156" s="42">
        <f ca="1">AK96*INDEX('Timing &amp; Flags'!AK89:AK91,MATCH($D$145,Indexation,0))</f>
        <v>3605569.5407736422</v>
      </c>
      <c r="AL156" s="42">
        <f ca="1">AL96*INDEX('Timing &amp; Flags'!AL89:AL91,MATCH($D$145,Indexation,0))</f>
        <v>3692103.20975221</v>
      </c>
      <c r="AM156" s="42">
        <f>AM96*INDEX('Timing &amp; Flags'!AM89:AM91,MATCH($D$145,Indexation,0))</f>
        <v>0</v>
      </c>
      <c r="AN156" s="42">
        <f>AN96*INDEX('Timing &amp; Flags'!AN89:AN91,MATCH($D$145,Indexation,0))</f>
        <v>0</v>
      </c>
      <c r="AO156" s="42">
        <f>AO96*INDEX('Timing &amp; Flags'!AO89:AO91,MATCH($D$145,Indexation,0))</f>
        <v>0</v>
      </c>
      <c r="AP156" s="42">
        <f>AP96*INDEX('Timing &amp; Flags'!AP89:AP91,MATCH($D$145,Indexation,0))</f>
        <v>0</v>
      </c>
      <c r="AQ156" s="42">
        <f>AQ96*INDEX('Timing &amp; Flags'!AQ89:AQ91,MATCH($D$145,Indexation,0))</f>
        <v>0</v>
      </c>
      <c r="AR156" s="42">
        <f>AR96*INDEX('Timing &amp; Flags'!AR89:AR91,MATCH($D$145,Indexation,0))</f>
        <v>0</v>
      </c>
      <c r="AS156" s="42">
        <f>AS96*INDEX('Timing &amp; Flags'!AS89:AS91,MATCH($D$145,Indexation,0))</f>
        <v>0</v>
      </c>
      <c r="AT156" s="42">
        <f>AT96*INDEX('Timing &amp; Flags'!AT89:AT91,MATCH($D$145,Indexation,0))</f>
        <v>0</v>
      </c>
      <c r="AU156" s="42">
        <f>AU96*INDEX('Timing &amp; Flags'!AU89:AU91,MATCH($D$145,Indexation,0))</f>
        <v>0</v>
      </c>
      <c r="AV156" s="42">
        <f>AV96*INDEX('Timing &amp; Flags'!AV89:AV91,MATCH($D$145,Indexation,0))</f>
        <v>0</v>
      </c>
      <c r="AW156" s="42">
        <f>AW96*INDEX('Timing &amp; Flags'!AW89:AW91,MATCH($D$145,Indexation,0))</f>
        <v>0</v>
      </c>
    </row>
    <row r="157" spans="1:49" ht="12" customHeight="1">
      <c r="A157" s="12"/>
      <c r="B157" s="2" t="s">
        <v>973</v>
      </c>
      <c r="C157" s="15" t="str">
        <f>IF('Input '!$F$9=1,"US$","=N=")</f>
        <v>US$</v>
      </c>
      <c r="D157" s="41">
        <f t="shared" ca="1" si="52"/>
        <v>112795621.07331266</v>
      </c>
      <c r="I157" s="42">
        <f>I97*INDEX('Timing &amp; Flags'!I89:I91,MATCH($D$145,Indexation,0))</f>
        <v>0</v>
      </c>
      <c r="J157" s="42">
        <f>J97*INDEX('Timing &amp; Flags'!J89:J91,MATCH($D$145,Indexation,0))</f>
        <v>0</v>
      </c>
      <c r="K157" s="42">
        <f ca="1">K97*INDEX('Timing &amp; Flags'!K89:K91,MATCH($D$145,Indexation,0))</f>
        <v>2877090.7304249541</v>
      </c>
      <c r="L157" s="42">
        <f ca="1">L97*INDEX('Timing &amp; Flags'!L89:L91,MATCH($D$145,Indexation,0))</f>
        <v>2943263.8172247279</v>
      </c>
      <c r="M157" s="42">
        <f ca="1">M97*INDEX('Timing &amp; Flags'!M89:M91,MATCH($D$145,Indexation,0))</f>
        <v>3010958.8850208963</v>
      </c>
      <c r="N157" s="42">
        <f ca="1">N97*INDEX('Timing &amp; Flags'!N89:N91,MATCH($D$145,Indexation,0))</f>
        <v>3074797.7947142352</v>
      </c>
      <c r="O157" s="42">
        <f ca="1">O97*INDEX('Timing &amp; Flags'!O89:O91,MATCH($D$145,Indexation,0))</f>
        <v>3165869.1395013696</v>
      </c>
      <c r="P157" s="42">
        <f ca="1">P97*INDEX('Timing &amp; Flags'!P89:P91,MATCH($D$145,Indexation,0))</f>
        <v>3232992.4851913434</v>
      </c>
      <c r="Q157" s="42">
        <f ca="1">Q97*INDEX('Timing &amp; Flags'!Q89:Q91,MATCH($D$145,Indexation,0))</f>
        <v>3310584.3048359356</v>
      </c>
      <c r="R157" s="42">
        <f ca="1">R97*INDEX('Timing &amp; Flags'!R89:R91,MATCH($D$145,Indexation,0))</f>
        <v>3380775.9283483042</v>
      </c>
      <c r="S157" s="42">
        <f ca="1">S97*INDEX('Timing &amp; Flags'!S89:S91,MATCH($D$145,Indexation,0))</f>
        <v>3480909.9308989556</v>
      </c>
      <c r="T157" s="42">
        <f ca="1">T97*INDEX('Timing &amp; Flags'!T89:T91,MATCH($D$145,Indexation,0))</f>
        <v>3554712.8299803096</v>
      </c>
      <c r="U157" s="42">
        <f ca="1">U97*INDEX('Timing &amp; Flags'!U89:U91,MATCH($D$145,Indexation,0))</f>
        <v>3640025.9378998373</v>
      </c>
      <c r="V157" s="42">
        <f ca="1">V97*INDEX('Timing &amp; Flags'!V89:V91,MATCH($D$145,Indexation,0))</f>
        <v>3717202.4441241613</v>
      </c>
      <c r="W157" s="42">
        <f ca="1">W97*INDEX('Timing &amp; Flags'!W89:W91,MATCH($D$145,Indexation,0))</f>
        <v>3827300.9442643542</v>
      </c>
      <c r="X157" s="42">
        <f ca="1">X97*INDEX('Timing &amp; Flags'!X89:X91,MATCH($D$145,Indexation,0))</f>
        <v>3908448.0899678823</v>
      </c>
      <c r="Y157" s="42">
        <f ca="1">Y97*INDEX('Timing &amp; Flags'!Y89:Y91,MATCH($D$145,Indexation,0))</f>
        <v>4002250.8441271116</v>
      </c>
      <c r="Z157" s="42">
        <f ca="1">Z97*INDEX('Timing &amp; Flags'!Z89:Z91,MATCH($D$145,Indexation,0))</f>
        <v>4087107.3101118831</v>
      </c>
      <c r="AA157" s="42">
        <f ca="1">AA97*INDEX('Timing &amp; Flags'!AA89:AA91,MATCH($D$145,Indexation,0))</f>
        <v>4208161.8912167223</v>
      </c>
      <c r="AB157" s="42">
        <f ca="1">AB97*INDEX('Timing &amp; Flags'!AB89:AB91,MATCH($D$145,Indexation,0))</f>
        <v>4297384.1214785846</v>
      </c>
      <c r="AC157" s="42">
        <f ca="1">AC97*INDEX('Timing &amp; Flags'!AC89:AC91,MATCH($D$145,Indexation,0))</f>
        <v>4400521.3403940713</v>
      </c>
      <c r="AD157" s="42">
        <f ca="1">AD97*INDEX('Timing &amp; Flags'!AD89:AD91,MATCH($D$145,Indexation,0))</f>
        <v>4493822.0114363059</v>
      </c>
      <c r="AE157" s="42">
        <f ca="1">AE97*INDEX('Timing &amp; Flags'!AE89:AE91,MATCH($D$145,Indexation,0))</f>
        <v>4626922.93095663</v>
      </c>
      <c r="AF157" s="42">
        <f ca="1">AF97*INDEX('Timing &amp; Flags'!AF89:AF91,MATCH($D$145,Indexation,0))</f>
        <v>4725023.8105856553</v>
      </c>
      <c r="AG157" s="42">
        <f ca="1">AG97*INDEX('Timing &amp; Flags'!AG89:AG91,MATCH($D$145,Indexation,0))</f>
        <v>4838424.3820397109</v>
      </c>
      <c r="AH157" s="42">
        <f ca="1">AH97*INDEX('Timing &amp; Flags'!AH89:AH91,MATCH($D$145,Indexation,0))</f>
        <v>4941009.5547299525</v>
      </c>
      <c r="AI157" s="42">
        <f ca="1">AI97*INDEX('Timing &amp; Flags'!AI89:AI91,MATCH($D$145,Indexation,0))</f>
        <v>5087355.5634102263</v>
      </c>
      <c r="AJ157" s="42">
        <f ca="1">AJ97*INDEX('Timing &amp; Flags'!AJ89:AJ91,MATCH($D$145,Indexation,0))</f>
        <v>5195218.6212573927</v>
      </c>
      <c r="AK157" s="42">
        <f ca="1">AK97*INDEX('Timing &amp; Flags'!AK89:AK91,MATCH($D$145,Indexation,0))</f>
        <v>5319903.8681675708</v>
      </c>
      <c r="AL157" s="42">
        <f ca="1">AL97*INDEX('Timing &amp; Flags'!AL89:AL91,MATCH($D$145,Indexation,0))</f>
        <v>5447581.5610035928</v>
      </c>
      <c r="AM157" s="42">
        <f>AM97*INDEX('Timing &amp; Flags'!AM89:AM91,MATCH($D$145,Indexation,0))</f>
        <v>0</v>
      </c>
      <c r="AN157" s="42">
        <f>AN97*INDEX('Timing &amp; Flags'!AN89:AN91,MATCH($D$145,Indexation,0))</f>
        <v>0</v>
      </c>
      <c r="AO157" s="42">
        <f>AO97*INDEX('Timing &amp; Flags'!AO89:AO91,MATCH($D$145,Indexation,0))</f>
        <v>0</v>
      </c>
      <c r="AP157" s="42">
        <f>AP97*INDEX('Timing &amp; Flags'!AP89:AP91,MATCH($D$145,Indexation,0))</f>
        <v>0</v>
      </c>
      <c r="AQ157" s="42">
        <f>AQ97*INDEX('Timing &amp; Flags'!AQ89:AQ91,MATCH($D$145,Indexation,0))</f>
        <v>0</v>
      </c>
      <c r="AR157" s="42">
        <f>AR97*INDEX('Timing &amp; Flags'!AR89:AR91,MATCH($D$145,Indexation,0))</f>
        <v>0</v>
      </c>
      <c r="AS157" s="42">
        <f>AS97*INDEX('Timing &amp; Flags'!AS89:AS91,MATCH($D$145,Indexation,0))</f>
        <v>0</v>
      </c>
      <c r="AT157" s="42">
        <f>AT97*INDEX('Timing &amp; Flags'!AT89:AT91,MATCH($D$145,Indexation,0))</f>
        <v>0</v>
      </c>
      <c r="AU157" s="42">
        <f>AU97*INDEX('Timing &amp; Flags'!AU89:AU91,MATCH($D$145,Indexation,0))</f>
        <v>0</v>
      </c>
      <c r="AV157" s="42">
        <f>AV97*INDEX('Timing &amp; Flags'!AV89:AV91,MATCH($D$145,Indexation,0))</f>
        <v>0</v>
      </c>
      <c r="AW157" s="42">
        <f>AW97*INDEX('Timing &amp; Flags'!AW89:AW91,MATCH($D$145,Indexation,0))</f>
        <v>0</v>
      </c>
    </row>
    <row r="158" spans="1:49" ht="12" customHeight="1" thickBot="1">
      <c r="A158" s="12"/>
      <c r="B158" s="1518" t="s">
        <v>1603</v>
      </c>
      <c r="C158" s="132"/>
      <c r="D158" s="1520"/>
      <c r="E158" s="1518"/>
      <c r="F158" s="1518"/>
      <c r="G158" s="1518"/>
      <c r="H158" s="1518"/>
      <c r="I158" s="1521">
        <f>SUM(I151:I157)</f>
        <v>0</v>
      </c>
      <c r="J158" s="1521">
        <f t="shared" ref="J158:AW158" si="53">SUM(J151:J157)</f>
        <v>0</v>
      </c>
      <c r="K158" s="1521">
        <f t="shared" ca="1" si="53"/>
        <v>16791829.416096572</v>
      </c>
      <c r="L158" s="1521">
        <f t="shared" ca="1" si="53"/>
        <v>17178041.492666788</v>
      </c>
      <c r="M158" s="1521">
        <f t="shared" ca="1" si="53"/>
        <v>17573136.446998123</v>
      </c>
      <c r="N158" s="1521">
        <f t="shared" ca="1" si="53"/>
        <v>17945725.350901689</v>
      </c>
      <c r="O158" s="1521">
        <f t="shared" ca="1" si="53"/>
        <v>18477253.422014758</v>
      </c>
      <c r="P158" s="1521">
        <f t="shared" ca="1" si="53"/>
        <v>18869011.582000647</v>
      </c>
      <c r="Q158" s="1521">
        <f t="shared" ca="1" si="53"/>
        <v>19321867.859968662</v>
      </c>
      <c r="R158" s="1521">
        <f t="shared" ca="1" si="53"/>
        <v>19731533.692190949</v>
      </c>
      <c r="S158" s="1521">
        <f t="shared" ca="1" si="53"/>
        <v>20315954.986869119</v>
      </c>
      <c r="T158" s="1521">
        <f t="shared" ca="1" si="53"/>
        <v>20746697.639049727</v>
      </c>
      <c r="U158" s="1521">
        <f t="shared" ca="1" si="53"/>
        <v>21244618.382386923</v>
      </c>
      <c r="V158" s="1521">
        <f t="shared" ca="1" si="53"/>
        <v>21695050.728417858</v>
      </c>
      <c r="W158" s="1521">
        <f t="shared" ca="1" si="53"/>
        <v>22337628.737436406</v>
      </c>
      <c r="X158" s="1521">
        <f t="shared" ca="1" si="53"/>
        <v>22811235.292088069</v>
      </c>
      <c r="Y158" s="1521">
        <f t="shared" ca="1" si="53"/>
        <v>23358704.939098179</v>
      </c>
      <c r="Z158" s="1521">
        <f t="shared" ca="1" si="53"/>
        <v>23853960.541085619</v>
      </c>
      <c r="AA158" s="1521">
        <f t="shared" ca="1" si="53"/>
        <v>24560482.533754665</v>
      </c>
      <c r="AB158" s="1521">
        <f t="shared" ca="1" si="53"/>
        <v>25081218.447585087</v>
      </c>
      <c r="AC158" s="1521">
        <f t="shared" ca="1" si="53"/>
        <v>25683167.690327138</v>
      </c>
      <c r="AD158" s="1521">
        <f t="shared" ca="1" si="53"/>
        <v>26227706.983433526</v>
      </c>
      <c r="AE158" s="1521">
        <f t="shared" ca="1" si="53"/>
        <v>27004536.129652619</v>
      </c>
      <c r="AF158" s="1521">
        <f t="shared" ca="1" si="53"/>
        <v>27577091.321909729</v>
      </c>
      <c r="AG158" s="1521">
        <f t="shared" ca="1" si="53"/>
        <v>28238941.513635561</v>
      </c>
      <c r="AH158" s="1521">
        <f t="shared" ca="1" si="53"/>
        <v>28837668.798186962</v>
      </c>
      <c r="AI158" s="1521">
        <f t="shared" ca="1" si="53"/>
        <v>29691801.477250155</v>
      </c>
      <c r="AJ158" s="1521">
        <f t="shared" ca="1" si="53"/>
        <v>30321332.568680376</v>
      </c>
      <c r="AK158" s="1521">
        <f t="shared" ca="1" si="53"/>
        <v>31049044.550328705</v>
      </c>
      <c r="AL158" s="1521">
        <f t="shared" ca="1" si="53"/>
        <v>31794221.619536594</v>
      </c>
      <c r="AM158" s="1521">
        <f t="shared" si="53"/>
        <v>0</v>
      </c>
      <c r="AN158" s="1521">
        <f t="shared" si="53"/>
        <v>0</v>
      </c>
      <c r="AO158" s="1521">
        <f t="shared" si="53"/>
        <v>0</v>
      </c>
      <c r="AP158" s="1521">
        <f t="shared" si="53"/>
        <v>0</v>
      </c>
      <c r="AQ158" s="1521">
        <f t="shared" si="53"/>
        <v>0</v>
      </c>
      <c r="AR158" s="1521">
        <f t="shared" si="53"/>
        <v>0</v>
      </c>
      <c r="AS158" s="1521">
        <f t="shared" si="53"/>
        <v>0</v>
      </c>
      <c r="AT158" s="1521">
        <f t="shared" si="53"/>
        <v>0</v>
      </c>
      <c r="AU158" s="1521">
        <f t="shared" si="53"/>
        <v>0</v>
      </c>
      <c r="AV158" s="1521">
        <f t="shared" si="53"/>
        <v>0</v>
      </c>
      <c r="AW158" s="1521">
        <f t="shared" si="53"/>
        <v>0</v>
      </c>
    </row>
    <row r="159" spans="1:49" ht="12" customHeight="1" thickTop="1" thickBot="1">
      <c r="A159" s="12"/>
      <c r="B159" s="2" t="s">
        <v>1605</v>
      </c>
      <c r="C159" s="1514">
        <f>'Sens WIP'!D35</f>
        <v>0</v>
      </c>
      <c r="D159" s="41"/>
      <c r="I159" s="42"/>
      <c r="J159" s="42"/>
      <c r="K159" s="42"/>
      <c r="L159" s="42"/>
      <c r="M159" s="42"/>
      <c r="N159" s="42"/>
      <c r="O159" s="42"/>
      <c r="P159" s="42"/>
      <c r="Q159" s="42"/>
      <c r="R159" s="42"/>
      <c r="S159" s="42"/>
      <c r="T159" s="42"/>
      <c r="U159" s="42"/>
      <c r="V159" s="42"/>
      <c r="W159" s="42"/>
      <c r="X159" s="42"/>
      <c r="Y159" s="42"/>
      <c r="Z159" s="42"/>
      <c r="AA159" s="42"/>
      <c r="AB159" s="42"/>
      <c r="AC159" s="42"/>
      <c r="AD159" s="42"/>
      <c r="AE159" s="42"/>
      <c r="AF159" s="42"/>
      <c r="AG159" s="42"/>
      <c r="AH159" s="42"/>
      <c r="AI159" s="42"/>
      <c r="AJ159" s="42"/>
      <c r="AK159" s="42"/>
      <c r="AL159" s="42"/>
      <c r="AM159" s="42"/>
      <c r="AN159" s="42"/>
      <c r="AO159" s="42"/>
      <c r="AP159" s="42"/>
      <c r="AQ159" s="42"/>
      <c r="AR159" s="42"/>
      <c r="AS159" s="42"/>
      <c r="AT159" s="42"/>
      <c r="AU159" s="42"/>
      <c r="AV159" s="42"/>
      <c r="AW159" s="42"/>
    </row>
    <row r="160" spans="1:49" ht="12" customHeight="1">
      <c r="A160" s="12"/>
      <c r="B160" s="2" t="s">
        <v>1607</v>
      </c>
      <c r="C160" s="15"/>
      <c r="D160" s="41"/>
      <c r="I160" s="42">
        <f>I158</f>
        <v>0</v>
      </c>
      <c r="J160" s="42">
        <f t="shared" ref="J160:AW160" si="54">J158</f>
        <v>0</v>
      </c>
      <c r="K160" s="42">
        <f t="shared" ca="1" si="54"/>
        <v>16791829.416096572</v>
      </c>
      <c r="L160" s="42">
        <f t="shared" ca="1" si="54"/>
        <v>17178041.492666788</v>
      </c>
      <c r="M160" s="42">
        <f t="shared" ca="1" si="54"/>
        <v>17573136.446998123</v>
      </c>
      <c r="N160" s="42">
        <f t="shared" ca="1" si="54"/>
        <v>17945725.350901689</v>
      </c>
      <c r="O160" s="42">
        <f t="shared" ca="1" si="54"/>
        <v>18477253.422014758</v>
      </c>
      <c r="P160" s="42">
        <f t="shared" ca="1" si="54"/>
        <v>18869011.582000647</v>
      </c>
      <c r="Q160" s="42">
        <f t="shared" ca="1" si="54"/>
        <v>19321867.859968662</v>
      </c>
      <c r="R160" s="42">
        <f t="shared" ca="1" si="54"/>
        <v>19731533.692190949</v>
      </c>
      <c r="S160" s="42">
        <f t="shared" ca="1" si="54"/>
        <v>20315954.986869119</v>
      </c>
      <c r="T160" s="42">
        <f t="shared" ca="1" si="54"/>
        <v>20746697.639049727</v>
      </c>
      <c r="U160" s="42">
        <f t="shared" ca="1" si="54"/>
        <v>21244618.382386923</v>
      </c>
      <c r="V160" s="42">
        <f t="shared" ca="1" si="54"/>
        <v>21695050.728417858</v>
      </c>
      <c r="W160" s="42">
        <f t="shared" ca="1" si="54"/>
        <v>22337628.737436406</v>
      </c>
      <c r="X160" s="42">
        <f t="shared" ca="1" si="54"/>
        <v>22811235.292088069</v>
      </c>
      <c r="Y160" s="42">
        <f t="shared" ca="1" si="54"/>
        <v>23358704.939098179</v>
      </c>
      <c r="Z160" s="42">
        <f t="shared" ca="1" si="54"/>
        <v>23853960.541085619</v>
      </c>
      <c r="AA160" s="42">
        <f t="shared" ca="1" si="54"/>
        <v>24560482.533754665</v>
      </c>
      <c r="AB160" s="42">
        <f t="shared" ca="1" si="54"/>
        <v>25081218.447585087</v>
      </c>
      <c r="AC160" s="42">
        <f t="shared" ca="1" si="54"/>
        <v>25683167.690327138</v>
      </c>
      <c r="AD160" s="42">
        <f t="shared" ca="1" si="54"/>
        <v>26227706.983433526</v>
      </c>
      <c r="AE160" s="42">
        <f t="shared" ca="1" si="54"/>
        <v>27004536.129652619</v>
      </c>
      <c r="AF160" s="42">
        <f t="shared" ca="1" si="54"/>
        <v>27577091.321909729</v>
      </c>
      <c r="AG160" s="42">
        <f t="shared" ca="1" si="54"/>
        <v>28238941.513635561</v>
      </c>
      <c r="AH160" s="42">
        <f t="shared" ca="1" si="54"/>
        <v>28837668.798186962</v>
      </c>
      <c r="AI160" s="42">
        <f t="shared" ca="1" si="54"/>
        <v>29691801.477250155</v>
      </c>
      <c r="AJ160" s="42">
        <f t="shared" ca="1" si="54"/>
        <v>30321332.568680376</v>
      </c>
      <c r="AK160" s="42">
        <f t="shared" ca="1" si="54"/>
        <v>31049044.550328705</v>
      </c>
      <c r="AL160" s="42">
        <f t="shared" ca="1" si="54"/>
        <v>31794221.619536594</v>
      </c>
      <c r="AM160" s="42">
        <f t="shared" si="54"/>
        <v>0</v>
      </c>
      <c r="AN160" s="42">
        <f t="shared" si="54"/>
        <v>0</v>
      </c>
      <c r="AO160" s="42">
        <f t="shared" si="54"/>
        <v>0</v>
      </c>
      <c r="AP160" s="42">
        <f t="shared" si="54"/>
        <v>0</v>
      </c>
      <c r="AQ160" s="42">
        <f t="shared" si="54"/>
        <v>0</v>
      </c>
      <c r="AR160" s="42">
        <f t="shared" si="54"/>
        <v>0</v>
      </c>
      <c r="AS160" s="42">
        <f t="shared" si="54"/>
        <v>0</v>
      </c>
      <c r="AT160" s="42">
        <f t="shared" si="54"/>
        <v>0</v>
      </c>
      <c r="AU160" s="42">
        <f t="shared" si="54"/>
        <v>0</v>
      </c>
      <c r="AV160" s="42">
        <f t="shared" si="54"/>
        <v>0</v>
      </c>
      <c r="AW160" s="42">
        <f t="shared" si="54"/>
        <v>0</v>
      </c>
    </row>
    <row r="161" spans="1:49">
      <c r="A161" s="12"/>
      <c r="B161" s="2" t="s">
        <v>1608</v>
      </c>
      <c r="C161" s="15"/>
      <c r="D161" s="41"/>
      <c r="I161" s="42">
        <f>I160*(1+$C$159)</f>
        <v>0</v>
      </c>
      <c r="J161" s="42">
        <f t="shared" ref="J161:AW161" si="55">J160*(1+$C$159)</f>
        <v>0</v>
      </c>
      <c r="K161" s="42">
        <f t="shared" ca="1" si="55"/>
        <v>16791829.416096572</v>
      </c>
      <c r="L161" s="42">
        <f t="shared" ca="1" si="55"/>
        <v>17178041.492666788</v>
      </c>
      <c r="M161" s="42">
        <f t="shared" ca="1" si="55"/>
        <v>17573136.446998123</v>
      </c>
      <c r="N161" s="42">
        <f t="shared" ca="1" si="55"/>
        <v>17945725.350901689</v>
      </c>
      <c r="O161" s="42">
        <f t="shared" ca="1" si="55"/>
        <v>18477253.422014758</v>
      </c>
      <c r="P161" s="42">
        <f t="shared" ca="1" si="55"/>
        <v>18869011.582000647</v>
      </c>
      <c r="Q161" s="42">
        <f t="shared" ca="1" si="55"/>
        <v>19321867.859968662</v>
      </c>
      <c r="R161" s="42">
        <f t="shared" ca="1" si="55"/>
        <v>19731533.692190949</v>
      </c>
      <c r="S161" s="42">
        <f t="shared" ca="1" si="55"/>
        <v>20315954.986869119</v>
      </c>
      <c r="T161" s="42">
        <f t="shared" ca="1" si="55"/>
        <v>20746697.639049727</v>
      </c>
      <c r="U161" s="42">
        <f t="shared" ca="1" si="55"/>
        <v>21244618.382386923</v>
      </c>
      <c r="V161" s="42">
        <f t="shared" ca="1" si="55"/>
        <v>21695050.728417858</v>
      </c>
      <c r="W161" s="42">
        <f t="shared" ca="1" si="55"/>
        <v>22337628.737436406</v>
      </c>
      <c r="X161" s="42">
        <f t="shared" ca="1" si="55"/>
        <v>22811235.292088069</v>
      </c>
      <c r="Y161" s="42">
        <f t="shared" ca="1" si="55"/>
        <v>23358704.939098179</v>
      </c>
      <c r="Z161" s="42">
        <f t="shared" ca="1" si="55"/>
        <v>23853960.541085619</v>
      </c>
      <c r="AA161" s="42">
        <f t="shared" ca="1" si="55"/>
        <v>24560482.533754665</v>
      </c>
      <c r="AB161" s="42">
        <f t="shared" ca="1" si="55"/>
        <v>25081218.447585087</v>
      </c>
      <c r="AC161" s="42">
        <f t="shared" ca="1" si="55"/>
        <v>25683167.690327138</v>
      </c>
      <c r="AD161" s="42">
        <f t="shared" ca="1" si="55"/>
        <v>26227706.983433526</v>
      </c>
      <c r="AE161" s="42">
        <f t="shared" ca="1" si="55"/>
        <v>27004536.129652619</v>
      </c>
      <c r="AF161" s="42">
        <f t="shared" ca="1" si="55"/>
        <v>27577091.321909729</v>
      </c>
      <c r="AG161" s="42">
        <f t="shared" ca="1" si="55"/>
        <v>28238941.513635561</v>
      </c>
      <c r="AH161" s="42">
        <f t="shared" ca="1" si="55"/>
        <v>28837668.798186962</v>
      </c>
      <c r="AI161" s="42">
        <f t="shared" ca="1" si="55"/>
        <v>29691801.477250155</v>
      </c>
      <c r="AJ161" s="42">
        <f t="shared" ca="1" si="55"/>
        <v>30321332.568680376</v>
      </c>
      <c r="AK161" s="42">
        <f t="shared" ca="1" si="55"/>
        <v>31049044.550328705</v>
      </c>
      <c r="AL161" s="42">
        <f t="shared" ca="1" si="55"/>
        <v>31794221.619536594</v>
      </c>
      <c r="AM161" s="42">
        <f t="shared" si="55"/>
        <v>0</v>
      </c>
      <c r="AN161" s="42">
        <f t="shared" si="55"/>
        <v>0</v>
      </c>
      <c r="AO161" s="42">
        <f t="shared" si="55"/>
        <v>0</v>
      </c>
      <c r="AP161" s="42">
        <f t="shared" si="55"/>
        <v>0</v>
      </c>
      <c r="AQ161" s="42">
        <f t="shared" si="55"/>
        <v>0</v>
      </c>
      <c r="AR161" s="42">
        <f t="shared" si="55"/>
        <v>0</v>
      </c>
      <c r="AS161" s="42">
        <f t="shared" si="55"/>
        <v>0</v>
      </c>
      <c r="AT161" s="42">
        <f t="shared" si="55"/>
        <v>0</v>
      </c>
      <c r="AU161" s="42">
        <f t="shared" si="55"/>
        <v>0</v>
      </c>
      <c r="AV161" s="42">
        <f t="shared" si="55"/>
        <v>0</v>
      </c>
      <c r="AW161" s="42">
        <f t="shared" si="55"/>
        <v>0</v>
      </c>
    </row>
    <row r="162" spans="1:49">
      <c r="A162" s="12"/>
      <c r="C162" s="15"/>
      <c r="D162" s="41"/>
      <c r="I162" s="42"/>
      <c r="J162" s="42"/>
      <c r="K162" s="42"/>
      <c r="L162" s="42"/>
      <c r="M162" s="42"/>
      <c r="N162" s="42"/>
      <c r="O162" s="42"/>
      <c r="P162" s="42"/>
      <c r="Q162" s="42"/>
      <c r="R162" s="42"/>
      <c r="S162" s="42"/>
      <c r="T162" s="42"/>
      <c r="U162" s="42"/>
      <c r="V162" s="42"/>
      <c r="W162" s="42"/>
      <c r="X162" s="42"/>
      <c r="Y162" s="42"/>
      <c r="Z162" s="42"/>
      <c r="AA162" s="42"/>
      <c r="AB162" s="42"/>
      <c r="AC162" s="42"/>
      <c r="AD162" s="42"/>
      <c r="AE162" s="42"/>
      <c r="AF162" s="42"/>
      <c r="AG162" s="42"/>
      <c r="AH162" s="42"/>
      <c r="AI162" s="42"/>
    </row>
    <row r="163" spans="1:49">
      <c r="A163" s="12"/>
      <c r="B163" s="586" t="s">
        <v>981</v>
      </c>
      <c r="C163" s="15"/>
      <c r="D163" s="41"/>
      <c r="I163" s="42"/>
      <c r="J163" s="42"/>
      <c r="K163" s="42"/>
      <c r="L163" s="42"/>
      <c r="M163" s="42"/>
      <c r="N163" s="42"/>
      <c r="O163" s="42"/>
      <c r="P163" s="42"/>
      <c r="Q163" s="42"/>
      <c r="R163" s="42"/>
      <c r="S163" s="42"/>
      <c r="T163" s="42"/>
      <c r="U163" s="42"/>
      <c r="V163" s="42"/>
      <c r="W163" s="42"/>
      <c r="X163" s="42"/>
      <c r="Y163" s="42"/>
      <c r="Z163" s="42"/>
      <c r="AA163" s="42"/>
      <c r="AB163" s="42"/>
      <c r="AC163" s="42"/>
      <c r="AD163" s="42"/>
      <c r="AE163" s="42"/>
      <c r="AF163" s="42"/>
      <c r="AG163" s="42"/>
      <c r="AH163" s="42"/>
      <c r="AI163" s="42"/>
    </row>
    <row r="164" spans="1:49">
      <c r="A164" s="12"/>
      <c r="B164" s="2" t="s">
        <v>1502</v>
      </c>
      <c r="C164" s="15" t="str">
        <f t="shared" ref="C164:C184" si="56">$C$39</f>
        <v>US$</v>
      </c>
      <c r="D164" s="41">
        <f ca="1">SUM(I164:AW164)</f>
        <v>25647257.430447321</v>
      </c>
      <c r="I164" s="42">
        <f>I100*INDEX('Timing &amp; Flags'!I89:I91,MATCH($D$145,Indexation,0))</f>
        <v>0</v>
      </c>
      <c r="J164" s="42">
        <f>J100*INDEX('Timing &amp; Flags'!J89:J91,MATCH($D$145,Indexation,0))</f>
        <v>0</v>
      </c>
      <c r="K164" s="42">
        <f>K100*INDEX('Timing &amp; Flags'!K89:K91,MATCH($D$145,Indexation,0))</f>
        <v>0</v>
      </c>
      <c r="L164" s="42">
        <f ca="1">L100*INDEX('Timing &amp; Flags'!L89:L91,MATCH($D$145,Indexation,0))</f>
        <v>686750.85602586961</v>
      </c>
      <c r="M164" s="42">
        <f ca="1">M100*INDEX('Timing &amp; Flags'!M89:M91,MATCH($D$145,Indexation,0))</f>
        <v>702546.12571446446</v>
      </c>
      <c r="N164" s="42">
        <f ca="1">N100*INDEX('Timing &amp; Flags'!N89:N91,MATCH($D$145,Indexation,0))</f>
        <v>717441.63919955795</v>
      </c>
      <c r="O164" s="42">
        <f ca="1">O100*INDEX('Timing &amp; Flags'!O89:O91,MATCH($D$145,Indexation,0))</f>
        <v>738691.28852625843</v>
      </c>
      <c r="P164" s="42">
        <f ca="1">P100*INDEX('Timing &amp; Flags'!P89:P91,MATCH($D$145,Indexation,0))</f>
        <v>754353.15846878244</v>
      </c>
      <c r="Q164" s="42">
        <f ca="1">Q100*INDEX('Timing &amp; Flags'!Q89:Q91,MATCH($D$145,Indexation,0))</f>
        <v>772457.63427203323</v>
      </c>
      <c r="R164" s="42">
        <f ca="1">R100*INDEX('Timing &amp; Flags'!R89:R91,MATCH($D$145,Indexation,0))</f>
        <v>788835.42455058778</v>
      </c>
      <c r="S164" s="42">
        <f ca="1">S100*INDEX('Timing &amp; Flags'!S89:S91,MATCH($D$145,Indexation,0))</f>
        <v>812199.66107145743</v>
      </c>
      <c r="T164" s="42">
        <f ca="1">T100*INDEX('Timing &amp; Flags'!T89:T91,MATCH($D$145,Indexation,0))</f>
        <v>829420.0691859778</v>
      </c>
      <c r="U164" s="42">
        <f ca="1">U100*INDEX('Timing &amp; Flags'!U89:U91,MATCH($D$145,Indexation,0))</f>
        <v>849326.15084644128</v>
      </c>
      <c r="V164" s="42">
        <f ca="1">V100*INDEX('Timing &amp; Flags'!V89:V91,MATCH($D$145,Indexation,0))</f>
        <v>867333.72169498866</v>
      </c>
      <c r="W164" s="42">
        <f ca="1">W100*INDEX('Timing &amp; Flags'!W89:W91,MATCH($D$145,Indexation,0))</f>
        <v>893022.9714237937</v>
      </c>
      <c r="X164" s="42">
        <f ca="1">X100*INDEX('Timing &amp; Flags'!X89:X91,MATCH($D$145,Indexation,0))</f>
        <v>911957.01038075716</v>
      </c>
      <c r="Y164" s="42">
        <f ca="1">Y100*INDEX('Timing &amp; Flags'!Y89:Y91,MATCH($D$145,Indexation,0))</f>
        <v>933843.97862989537</v>
      </c>
      <c r="Z164" s="42">
        <f ca="1">Z100*INDEX('Timing &amp; Flags'!Z89:Z91,MATCH($D$145,Indexation,0))</f>
        <v>953643.51216587343</v>
      </c>
      <c r="AA164" s="42">
        <f ca="1">AA100*INDEX('Timing &amp; Flags'!AA89:AA91,MATCH($D$145,Indexation,0))</f>
        <v>981889.1409515359</v>
      </c>
      <c r="AB164" s="42">
        <f ca="1">AB100*INDEX('Timing &amp; Flags'!AB89:AB91,MATCH($D$145,Indexation,0))</f>
        <v>1002707.3369454809</v>
      </c>
      <c r="AC164" s="42">
        <f ca="1">AC100*INDEX('Timing &amp; Flags'!AC89:AC91,MATCH($D$145,Indexation,0))</f>
        <v>1026772.3130321725</v>
      </c>
      <c r="AD164" s="42">
        <f ca="1">AD100*INDEX('Timing &amp; Flags'!AD89:AD91,MATCH($D$145,Indexation,0))</f>
        <v>1048542.1303795213</v>
      </c>
      <c r="AE164" s="42">
        <f ca="1">AE100*INDEX('Timing &amp; Flags'!AE89:AE91,MATCH($D$145,Indexation,0))</f>
        <v>1079598.5276632016</v>
      </c>
      <c r="AF164" s="42">
        <f ca="1">AF100*INDEX('Timing &amp; Flags'!AF89:AF91,MATCH($D$145,Indexation,0))</f>
        <v>1102488.3762278641</v>
      </c>
      <c r="AG164" s="42">
        <f ca="1">AG100*INDEX('Timing &amp; Flags'!AG89:AG91,MATCH($D$145,Indexation,0))</f>
        <v>1128948.0972573329</v>
      </c>
      <c r="AH164" s="42">
        <f ca="1">AH100*INDEX('Timing &amp; Flags'!AH89:AH91,MATCH($D$145,Indexation,0))</f>
        <v>1152884.2645653025</v>
      </c>
      <c r="AI164" s="42">
        <f ca="1">AI100*INDEX('Timing &amp; Flags'!AI89:AI91,MATCH($D$145,Indexation,0))</f>
        <v>1187031.1344955401</v>
      </c>
      <c r="AJ164" s="42">
        <f ca="1">AJ100*INDEX('Timing &amp; Flags'!AJ89:AJ91,MATCH($D$145,Indexation,0))</f>
        <v>1212198.789150418</v>
      </c>
      <c r="AK164" s="42">
        <f ca="1">AK100*INDEX('Timing &amp; Flags'!AK89:AK91,MATCH($D$145,Indexation,0))</f>
        <v>1241291.5600900282</v>
      </c>
      <c r="AL164" s="42">
        <f ca="1">AL100*INDEX('Timing &amp; Flags'!AL89:AL91,MATCH($D$145,Indexation,0))</f>
        <v>1271082.5575321889</v>
      </c>
      <c r="AM164" s="42">
        <f>AM100*INDEX('Timing &amp; Flags'!AM89:AM91,MATCH($D$145,Indexation,0))</f>
        <v>0</v>
      </c>
      <c r="AN164" s="42">
        <f>AN100*INDEX('Timing &amp; Flags'!AN89:AN91,MATCH($D$145,Indexation,0))</f>
        <v>0</v>
      </c>
      <c r="AO164" s="42">
        <f>AO100*INDEX('Timing &amp; Flags'!AO89:AO91,MATCH($D$145,Indexation,0))</f>
        <v>0</v>
      </c>
      <c r="AP164" s="42">
        <f>AP100*INDEX('Timing &amp; Flags'!AP89:AP91,MATCH($D$145,Indexation,0))</f>
        <v>0</v>
      </c>
      <c r="AQ164" s="42">
        <f>AQ100*INDEX('Timing &amp; Flags'!AQ89:AQ91,MATCH($D$145,Indexation,0))</f>
        <v>0</v>
      </c>
      <c r="AR164" s="42">
        <f>AR100*INDEX('Timing &amp; Flags'!AR89:AR91,MATCH($D$145,Indexation,0))</f>
        <v>0</v>
      </c>
      <c r="AS164" s="42">
        <f>AS100*INDEX('Timing &amp; Flags'!AS89:AS91,MATCH($D$145,Indexation,0))</f>
        <v>0</v>
      </c>
      <c r="AT164" s="42">
        <f>AT100*INDEX('Timing &amp; Flags'!AT89:AT91,MATCH($D$145,Indexation,0))</f>
        <v>0</v>
      </c>
      <c r="AU164" s="42">
        <f>AU100*INDEX('Timing &amp; Flags'!AU89:AU91,MATCH($D$145,Indexation,0))</f>
        <v>0</v>
      </c>
      <c r="AV164" s="42">
        <f>AV100*INDEX('Timing &amp; Flags'!AV89:AV91,MATCH($D$145,Indexation,0))</f>
        <v>0</v>
      </c>
      <c r="AW164" s="42">
        <f>AW100*INDEX('Timing &amp; Flags'!AW89:AW91,MATCH($D$145,Indexation,0))</f>
        <v>0</v>
      </c>
    </row>
    <row r="165" spans="1:49">
      <c r="A165" s="12"/>
      <c r="B165" s="2" t="s">
        <v>968</v>
      </c>
      <c r="C165" s="15" t="str">
        <f t="shared" si="56"/>
        <v>US$</v>
      </c>
      <c r="D165" s="41">
        <f t="shared" ref="D165:D170" ca="1" si="57">SUM(I165:AW165)</f>
        <v>0</v>
      </c>
      <c r="I165" s="42">
        <f>I101*INDEX('Timing &amp; Flags'!I89:I91,MATCH($D$145,Indexation,0))</f>
        <v>0</v>
      </c>
      <c r="J165" s="42">
        <f>J101*INDEX('Timing &amp; Flags'!J89:J91,MATCH($D$145,Indexation,0))</f>
        <v>0</v>
      </c>
      <c r="K165" s="42">
        <f>K101*INDEX('Timing &amp; Flags'!K89:K91,MATCH($D$145,Indexation,0))</f>
        <v>0</v>
      </c>
      <c r="L165" s="42">
        <f ca="1">L101*INDEX('Timing &amp; Flags'!L89:L91,MATCH($D$145,Indexation,0))</f>
        <v>0</v>
      </c>
      <c r="M165" s="42">
        <f ca="1">M101*INDEX('Timing &amp; Flags'!M89:M91,MATCH($D$145,Indexation,0))</f>
        <v>0</v>
      </c>
      <c r="N165" s="42">
        <f ca="1">N101*INDEX('Timing &amp; Flags'!N89:N91,MATCH($D$145,Indexation,0))</f>
        <v>0</v>
      </c>
      <c r="O165" s="42">
        <f ca="1">O101*INDEX('Timing &amp; Flags'!O89:O91,MATCH($D$145,Indexation,0))</f>
        <v>0</v>
      </c>
      <c r="P165" s="42">
        <f ca="1">P101*INDEX('Timing &amp; Flags'!P89:P91,MATCH($D$145,Indexation,0))</f>
        <v>0</v>
      </c>
      <c r="Q165" s="42">
        <f ca="1">Q101*INDEX('Timing &amp; Flags'!Q89:Q91,MATCH($D$145,Indexation,0))</f>
        <v>0</v>
      </c>
      <c r="R165" s="42">
        <f ca="1">R101*INDEX('Timing &amp; Flags'!R89:R91,MATCH($D$145,Indexation,0))</f>
        <v>0</v>
      </c>
      <c r="S165" s="42">
        <f ca="1">S101*INDEX('Timing &amp; Flags'!S89:S91,MATCH($D$145,Indexation,0))</f>
        <v>0</v>
      </c>
      <c r="T165" s="42">
        <f ca="1">T101*INDEX('Timing &amp; Flags'!T89:T91,MATCH($D$145,Indexation,0))</f>
        <v>0</v>
      </c>
      <c r="U165" s="42">
        <f ca="1">U101*INDEX('Timing &amp; Flags'!U89:U91,MATCH($D$145,Indexation,0))</f>
        <v>0</v>
      </c>
      <c r="V165" s="42">
        <f ca="1">V101*INDEX('Timing &amp; Flags'!V89:V91,MATCH($D$145,Indexation,0))</f>
        <v>0</v>
      </c>
      <c r="W165" s="42">
        <f ca="1">W101*INDEX('Timing &amp; Flags'!W89:W91,MATCH($D$145,Indexation,0))</f>
        <v>0</v>
      </c>
      <c r="X165" s="42">
        <f ca="1">X101*INDEX('Timing &amp; Flags'!X89:X91,MATCH($D$145,Indexation,0))</f>
        <v>0</v>
      </c>
      <c r="Y165" s="42">
        <f ca="1">Y101*INDEX('Timing &amp; Flags'!Y89:Y91,MATCH($D$145,Indexation,0))</f>
        <v>0</v>
      </c>
      <c r="Z165" s="42">
        <f ca="1">Z101*INDEX('Timing &amp; Flags'!Z89:Z91,MATCH($D$145,Indexation,0))</f>
        <v>0</v>
      </c>
      <c r="AA165" s="42">
        <f ca="1">AA101*INDEX('Timing &amp; Flags'!AA89:AA91,MATCH($D$145,Indexation,0))</f>
        <v>0</v>
      </c>
      <c r="AB165" s="42">
        <f ca="1">AB101*INDEX('Timing &amp; Flags'!AB89:AB91,MATCH($D$145,Indexation,0))</f>
        <v>0</v>
      </c>
      <c r="AC165" s="42">
        <f ca="1">AC101*INDEX('Timing &amp; Flags'!AC89:AC91,MATCH($D$145,Indexation,0))</f>
        <v>0</v>
      </c>
      <c r="AD165" s="42">
        <f ca="1">AD101*INDEX('Timing &amp; Flags'!AD89:AD91,MATCH($D$145,Indexation,0))</f>
        <v>0</v>
      </c>
      <c r="AE165" s="42">
        <f ca="1">AE101*INDEX('Timing &amp; Flags'!AE89:AE91,MATCH($D$145,Indexation,0))</f>
        <v>0</v>
      </c>
      <c r="AF165" s="42">
        <f ca="1">AF101*INDEX('Timing &amp; Flags'!AF89:AF91,MATCH($D$145,Indexation,0))</f>
        <v>0</v>
      </c>
      <c r="AG165" s="42">
        <f ca="1">AG101*INDEX('Timing &amp; Flags'!AG89:AG91,MATCH($D$145,Indexation,0))</f>
        <v>0</v>
      </c>
      <c r="AH165" s="42">
        <f ca="1">AH101*INDEX('Timing &amp; Flags'!AH89:AH91,MATCH($D$145,Indexation,0))</f>
        <v>0</v>
      </c>
      <c r="AI165" s="42">
        <f ca="1">AI101*INDEX('Timing &amp; Flags'!AI89:AI91,MATCH($D$145,Indexation,0))</f>
        <v>0</v>
      </c>
      <c r="AJ165" s="42">
        <f ca="1">AJ101*INDEX('Timing &amp; Flags'!AJ89:AJ91,MATCH($D$145,Indexation,0))</f>
        <v>0</v>
      </c>
      <c r="AK165" s="42">
        <f ca="1">AK101*INDEX('Timing &amp; Flags'!AK89:AK91,MATCH($D$145,Indexation,0))</f>
        <v>0</v>
      </c>
      <c r="AL165" s="42">
        <f ca="1">AL101*INDEX('Timing &amp; Flags'!AL89:AL91,MATCH($D$145,Indexation,0))</f>
        <v>0</v>
      </c>
      <c r="AM165" s="42">
        <f>AM101*INDEX('Timing &amp; Flags'!AM89:AM91,MATCH($D$145,Indexation,0))</f>
        <v>0</v>
      </c>
      <c r="AN165" s="42">
        <f>AN101*INDEX('Timing &amp; Flags'!AN89:AN91,MATCH($D$145,Indexation,0))</f>
        <v>0</v>
      </c>
      <c r="AO165" s="42">
        <f>AO101*INDEX('Timing &amp; Flags'!AO89:AO91,MATCH($D$145,Indexation,0))</f>
        <v>0</v>
      </c>
      <c r="AP165" s="42">
        <f>AP101*INDEX('Timing &amp; Flags'!AP89:AP91,MATCH($D$145,Indexation,0))</f>
        <v>0</v>
      </c>
      <c r="AQ165" s="42">
        <f>AQ101*INDEX('Timing &amp; Flags'!AQ89:AQ91,MATCH($D$145,Indexation,0))</f>
        <v>0</v>
      </c>
      <c r="AR165" s="42">
        <f>AR101*INDEX('Timing &amp; Flags'!AR89:AR91,MATCH($D$145,Indexation,0))</f>
        <v>0</v>
      </c>
      <c r="AS165" s="42">
        <f>AS101*INDEX('Timing &amp; Flags'!AS89:AS91,MATCH($D$145,Indexation,0))</f>
        <v>0</v>
      </c>
      <c r="AT165" s="42">
        <f>AT101*INDEX('Timing &amp; Flags'!AT89:AT91,MATCH($D$145,Indexation,0))</f>
        <v>0</v>
      </c>
      <c r="AU165" s="42">
        <f>AU101*INDEX('Timing &amp; Flags'!AU89:AU91,MATCH($D$145,Indexation,0))</f>
        <v>0</v>
      </c>
      <c r="AV165" s="42">
        <f>AV101*INDEX('Timing &amp; Flags'!AV89:AV91,MATCH($D$145,Indexation,0))</f>
        <v>0</v>
      </c>
      <c r="AW165" s="42">
        <f>AW101*INDEX('Timing &amp; Flags'!AW89:AW91,MATCH($D$145,Indexation,0))</f>
        <v>0</v>
      </c>
    </row>
    <row r="166" spans="1:49">
      <c r="A166" s="12"/>
      <c r="B166" s="2" t="s">
        <v>969</v>
      </c>
      <c r="C166" s="15" t="str">
        <f t="shared" si="56"/>
        <v>US$</v>
      </c>
      <c r="D166" s="41">
        <f t="shared" ca="1" si="57"/>
        <v>50616191.43634139</v>
      </c>
      <c r="I166" s="42">
        <f>I102*INDEX('Timing &amp; Flags'!I89:I91,MATCH($D$145,Indexation,0))</f>
        <v>0</v>
      </c>
      <c r="J166" s="42">
        <f>J102*INDEX('Timing &amp; Flags'!J89:J91,MATCH($D$145,Indexation,0))</f>
        <v>0</v>
      </c>
      <c r="K166" s="42">
        <f>K102*INDEX('Timing &amp; Flags'!K89:K91,MATCH($D$145,Indexation,0))</f>
        <v>0</v>
      </c>
      <c r="L166" s="42">
        <f ca="1">L102*INDEX('Timing &amp; Flags'!L89:L91,MATCH($D$145,Indexation,0))</f>
        <v>1355338.3979532369</v>
      </c>
      <c r="M166" s="42">
        <f ca="1">M102*INDEX('Timing &amp; Flags'!M89:M91,MATCH($D$145,Indexation,0))</f>
        <v>1386511.1811061613</v>
      </c>
      <c r="N166" s="42">
        <f ca="1">N102*INDEX('Timing &amp; Flags'!N89:N91,MATCH($D$145,Indexation,0))</f>
        <v>1415908.2487711443</v>
      </c>
      <c r="O166" s="42">
        <f ca="1">O102*INDEX('Timing &amp; Flags'!O89:O91,MATCH($D$145,Indexation,0))</f>
        <v>1457845.5327552992</v>
      </c>
      <c r="P166" s="42">
        <f ca="1">P102*INDEX('Timing &amp; Flags'!P89:P91,MATCH($D$145,Indexation,0))</f>
        <v>1488755.044597324</v>
      </c>
      <c r="Q166" s="42">
        <f ca="1">Q102*INDEX('Timing &amp; Flags'!Q89:Q91,MATCH($D$145,Indexation,0))</f>
        <v>1524485.1656676598</v>
      </c>
      <c r="R166" s="42">
        <f ca="1">R102*INDEX('Timing &amp; Flags'!R89:R91,MATCH($D$145,Indexation,0))</f>
        <v>1556807.5833878268</v>
      </c>
      <c r="S166" s="42">
        <f ca="1">S102*INDEX('Timing &amp; Flags'!S89:S91,MATCH($D$145,Indexation,0))</f>
        <v>1602918.1147657491</v>
      </c>
      <c r="T166" s="42">
        <f ca="1">T102*INDEX('Timing &amp; Flags'!T89:T91,MATCH($D$145,Indexation,0))</f>
        <v>1636903.4824449352</v>
      </c>
      <c r="U166" s="42">
        <f ca="1">U102*INDEX('Timing &amp; Flags'!U89:U91,MATCH($D$145,Indexation,0))</f>
        <v>1676189.1660236137</v>
      </c>
      <c r="V166" s="42">
        <f ca="1">V102*INDEX('Timing &amp; Flags'!V89:V91,MATCH($D$145,Indexation,0))</f>
        <v>1711728.0401447702</v>
      </c>
      <c r="W166" s="42">
        <f ca="1">W102*INDEX('Timing &amp; Flags'!W89:W91,MATCH($D$145,Indexation,0))</f>
        <v>1762427.105557726</v>
      </c>
      <c r="X166" s="42">
        <f ca="1">X102*INDEX('Timing &amp; Flags'!X89:X91,MATCH($D$145,Indexation,0))</f>
        <v>1799794.4124952338</v>
      </c>
      <c r="Y166" s="42">
        <f ca="1">Y102*INDEX('Timing &amp; Flags'!Y89:Y91,MATCH($D$145,Indexation,0))</f>
        <v>1842989.4783951198</v>
      </c>
      <c r="Z166" s="42">
        <f ca="1">Z102*INDEX('Timing &amp; Flags'!Z89:Z91,MATCH($D$145,Indexation,0))</f>
        <v>1882064.8837293989</v>
      </c>
      <c r="AA166" s="42">
        <f ca="1">AA102*INDEX('Timing &amp; Flags'!AA89:AA91,MATCH($D$145,Indexation,0))</f>
        <v>1937809.0956683198</v>
      </c>
      <c r="AB166" s="42">
        <f ca="1">AB102*INDEX('Timing &amp; Flags'!AB89:AB91,MATCH($D$145,Indexation,0))</f>
        <v>1978894.8841447846</v>
      </c>
      <c r="AC166" s="42">
        <f ca="1">AC102*INDEX('Timing &amp; Flags'!AC89:AC91,MATCH($D$145,Indexation,0))</f>
        <v>2026388.3613642594</v>
      </c>
      <c r="AD166" s="42">
        <f ca="1">AD102*INDEX('Timing &amp; Flags'!AD89:AD91,MATCH($D$145,Indexation,0))</f>
        <v>2069352.22388936</v>
      </c>
      <c r="AE166" s="42">
        <f ca="1">AE102*INDEX('Timing &amp; Flags'!AE89:AE91,MATCH($D$145,Indexation,0))</f>
        <v>2130643.633097413</v>
      </c>
      <c r="AF166" s="42">
        <f ca="1">AF102*INDEX('Timing &amp; Flags'!AF89:AF91,MATCH($D$145,Indexation,0))</f>
        <v>2175817.9352636314</v>
      </c>
      <c r="AG166" s="42">
        <f ca="1">AG102*INDEX('Timing &amp; Flags'!AG89:AG91,MATCH($D$145,Indexation,0))</f>
        <v>2228037.5657099588</v>
      </c>
      <c r="AH166" s="42">
        <f ca="1">AH102*INDEX('Timing &amp; Flags'!AH89:AH91,MATCH($D$145,Indexation,0))</f>
        <v>2275276.8321304759</v>
      </c>
      <c r="AI166" s="42">
        <f ca="1">AI102*INDEX('Timing &amp; Flags'!AI89:AI91,MATCH($D$145,Indexation,0))</f>
        <v>2342667.4492375078</v>
      </c>
      <c r="AJ166" s="42">
        <f ca="1">AJ102*INDEX('Timing &amp; Flags'!AJ89:AJ91,MATCH($D$145,Indexation,0))</f>
        <v>2392337.1197459311</v>
      </c>
      <c r="AK166" s="42">
        <f ca="1">AK102*INDEX('Timing &amp; Flags'!AK89:AK91,MATCH($D$145,Indexation,0))</f>
        <v>2449753.2106198333</v>
      </c>
      <c r="AL166" s="42">
        <f ca="1">AL102*INDEX('Timing &amp; Flags'!AL89:AL91,MATCH($D$145,Indexation,0))</f>
        <v>2508547.2876747097</v>
      </c>
      <c r="AM166" s="42">
        <f>AM102*INDEX('Timing &amp; Flags'!AM89:AM91,MATCH($D$145,Indexation,0))</f>
        <v>0</v>
      </c>
      <c r="AN166" s="42">
        <f>AN102*INDEX('Timing &amp; Flags'!AN89:AN91,MATCH($D$145,Indexation,0))</f>
        <v>0</v>
      </c>
      <c r="AO166" s="42">
        <f>AO102*INDEX('Timing &amp; Flags'!AO89:AO91,MATCH($D$145,Indexation,0))</f>
        <v>0</v>
      </c>
      <c r="AP166" s="42">
        <f>AP102*INDEX('Timing &amp; Flags'!AP89:AP91,MATCH($D$145,Indexation,0))</f>
        <v>0</v>
      </c>
      <c r="AQ166" s="42">
        <f>AQ102*INDEX('Timing &amp; Flags'!AQ89:AQ91,MATCH($D$145,Indexation,0))</f>
        <v>0</v>
      </c>
      <c r="AR166" s="42">
        <f>AR102*INDEX('Timing &amp; Flags'!AR89:AR91,MATCH($D$145,Indexation,0))</f>
        <v>0</v>
      </c>
      <c r="AS166" s="42">
        <f>AS102*INDEX('Timing &amp; Flags'!AS89:AS91,MATCH($D$145,Indexation,0))</f>
        <v>0</v>
      </c>
      <c r="AT166" s="42">
        <f>AT102*INDEX('Timing &amp; Flags'!AT89:AT91,MATCH($D$145,Indexation,0))</f>
        <v>0</v>
      </c>
      <c r="AU166" s="42">
        <f>AU102*INDEX('Timing &amp; Flags'!AU89:AU91,MATCH($D$145,Indexation,0))</f>
        <v>0</v>
      </c>
      <c r="AV166" s="42">
        <f>AV102*INDEX('Timing &amp; Flags'!AV89:AV91,MATCH($D$145,Indexation,0))</f>
        <v>0</v>
      </c>
      <c r="AW166" s="42">
        <f>AW102*INDEX('Timing &amp; Flags'!AW89:AW91,MATCH($D$145,Indexation,0))</f>
        <v>0</v>
      </c>
    </row>
    <row r="167" spans="1:49">
      <c r="A167" s="12"/>
      <c r="B167" s="2" t="s">
        <v>970</v>
      </c>
      <c r="C167" s="15" t="str">
        <f t="shared" si="56"/>
        <v>US$</v>
      </c>
      <c r="D167" s="41">
        <f t="shared" ca="1" si="57"/>
        <v>253080957.18170688</v>
      </c>
      <c r="I167" s="42">
        <f>I103*INDEX('Timing &amp; Flags'!I89:I91,MATCH($D$145,Indexation,0))</f>
        <v>0</v>
      </c>
      <c r="J167" s="42">
        <f>J103*INDEX('Timing &amp; Flags'!J89:J91,MATCH($D$145,Indexation,0))</f>
        <v>0</v>
      </c>
      <c r="K167" s="42">
        <f>K103*INDEX('Timing &amp; Flags'!K89:K91,MATCH($D$145,Indexation,0))</f>
        <v>0</v>
      </c>
      <c r="L167" s="42">
        <f ca="1">L103*INDEX('Timing &amp; Flags'!L89:L91,MATCH($D$145,Indexation,0))</f>
        <v>6776691.9897661852</v>
      </c>
      <c r="M167" s="42">
        <f ca="1">M103*INDEX('Timing &amp; Flags'!M89:M91,MATCH($D$145,Indexation,0))</f>
        <v>6932555.9055308057</v>
      </c>
      <c r="N167" s="42">
        <f ca="1">N103*INDEX('Timing &amp; Flags'!N89:N91,MATCH($D$145,Indexation,0))</f>
        <v>7079541.2438557213</v>
      </c>
      <c r="O167" s="42">
        <f ca="1">O103*INDEX('Timing &amp; Flags'!O89:O91,MATCH($D$145,Indexation,0))</f>
        <v>7289227.6637764955</v>
      </c>
      <c r="P167" s="42">
        <f ca="1">P103*INDEX('Timing &amp; Flags'!P89:P91,MATCH($D$145,Indexation,0))</f>
        <v>7443775.2229866199</v>
      </c>
      <c r="Q167" s="42">
        <f ca="1">Q103*INDEX('Timing &amp; Flags'!Q89:Q91,MATCH($D$145,Indexation,0))</f>
        <v>7622425.8283382989</v>
      </c>
      <c r="R167" s="42">
        <f ca="1">R103*INDEX('Timing &amp; Flags'!R89:R91,MATCH($D$145,Indexation,0))</f>
        <v>7784037.9169391338</v>
      </c>
      <c r="S167" s="42">
        <f ca="1">S103*INDEX('Timing &amp; Flags'!S89:S91,MATCH($D$145,Indexation,0))</f>
        <v>8014590.5738287447</v>
      </c>
      <c r="T167" s="42">
        <f ca="1">T103*INDEX('Timing &amp; Flags'!T89:T91,MATCH($D$145,Indexation,0))</f>
        <v>8184517.4122246755</v>
      </c>
      <c r="U167" s="42">
        <f ca="1">U103*INDEX('Timing &amp; Flags'!U89:U91,MATCH($D$145,Indexation,0))</f>
        <v>8380945.8301180685</v>
      </c>
      <c r="V167" s="42">
        <f ca="1">V103*INDEX('Timing &amp; Flags'!V89:V91,MATCH($D$145,Indexation,0))</f>
        <v>8558640.2007238511</v>
      </c>
      <c r="W167" s="42">
        <f ca="1">W103*INDEX('Timing &amp; Flags'!W89:W91,MATCH($D$145,Indexation,0))</f>
        <v>8812135.5277886298</v>
      </c>
      <c r="X167" s="42">
        <f ca="1">X103*INDEX('Timing &amp; Flags'!X89:X91,MATCH($D$145,Indexation,0))</f>
        <v>8998972.0624761693</v>
      </c>
      <c r="Y167" s="42">
        <f ca="1">Y103*INDEX('Timing &amp; Flags'!Y89:Y91,MATCH($D$145,Indexation,0))</f>
        <v>9214947.3919755984</v>
      </c>
      <c r="Z167" s="42">
        <f ca="1">Z103*INDEX('Timing &amp; Flags'!Z89:Z91,MATCH($D$145,Indexation,0))</f>
        <v>9410324.4186469931</v>
      </c>
      <c r="AA167" s="42">
        <f ca="1">AA103*INDEX('Timing &amp; Flags'!AA89:AA91,MATCH($D$145,Indexation,0))</f>
        <v>9689045.4783415981</v>
      </c>
      <c r="AB167" s="42">
        <f ca="1">AB103*INDEX('Timing &amp; Flags'!AB89:AB91,MATCH($D$145,Indexation,0))</f>
        <v>9894474.4207239226</v>
      </c>
      <c r="AC167" s="42">
        <f ca="1">AC103*INDEX('Timing &amp; Flags'!AC89:AC91,MATCH($D$145,Indexation,0))</f>
        <v>10131941.806821298</v>
      </c>
      <c r="AD167" s="42">
        <f ca="1">AD103*INDEX('Timing &amp; Flags'!AD89:AD91,MATCH($D$145,Indexation,0))</f>
        <v>10346761.119446799</v>
      </c>
      <c r="AE167" s="42">
        <f ca="1">AE103*INDEX('Timing &amp; Flags'!AE89:AE91,MATCH($D$145,Indexation,0))</f>
        <v>10653218.165487066</v>
      </c>
      <c r="AF167" s="42">
        <f ca="1">AF103*INDEX('Timing &amp; Flags'!AF89:AF91,MATCH($D$145,Indexation,0))</f>
        <v>10879089.676318157</v>
      </c>
      <c r="AG167" s="42">
        <f ca="1">AG103*INDEX('Timing &amp; Flags'!AG89:AG91,MATCH($D$145,Indexation,0))</f>
        <v>11140187.828549793</v>
      </c>
      <c r="AH167" s="42">
        <f ca="1">AH103*INDEX('Timing &amp; Flags'!AH89:AH91,MATCH($D$145,Indexation,0))</f>
        <v>11376384.16065238</v>
      </c>
      <c r="AI167" s="42">
        <f ca="1">AI103*INDEX('Timing &amp; Flags'!AI89:AI91,MATCH($D$145,Indexation,0))</f>
        <v>11713337.246187538</v>
      </c>
      <c r="AJ167" s="42">
        <f ca="1">AJ103*INDEX('Timing &amp; Flags'!AJ89:AJ91,MATCH($D$145,Indexation,0))</f>
        <v>11961685.598729655</v>
      </c>
      <c r="AK167" s="42">
        <f ca="1">AK103*INDEX('Timing &amp; Flags'!AK89:AK91,MATCH($D$145,Indexation,0))</f>
        <v>12248766.053099167</v>
      </c>
      <c r="AL167" s="42">
        <f ca="1">AL103*INDEX('Timing &amp; Flags'!AL89:AL91,MATCH($D$145,Indexation,0))</f>
        <v>12542736.438373549</v>
      </c>
      <c r="AM167" s="42">
        <f>AM103*INDEX('Timing &amp; Flags'!AM89:AM91,MATCH($D$145,Indexation,0))</f>
        <v>0</v>
      </c>
      <c r="AN167" s="42">
        <f>AN103*INDEX('Timing &amp; Flags'!AN89:AN91,MATCH($D$145,Indexation,0))</f>
        <v>0</v>
      </c>
      <c r="AO167" s="42">
        <f>AO103*INDEX('Timing &amp; Flags'!AO89:AO91,MATCH($D$145,Indexation,0))</f>
        <v>0</v>
      </c>
      <c r="AP167" s="42">
        <f>AP103*INDEX('Timing &amp; Flags'!AP89:AP91,MATCH($D$145,Indexation,0))</f>
        <v>0</v>
      </c>
      <c r="AQ167" s="42">
        <f>AQ103*INDEX('Timing &amp; Flags'!AQ89:AQ91,MATCH($D$145,Indexation,0))</f>
        <v>0</v>
      </c>
      <c r="AR167" s="42">
        <f>AR103*INDEX('Timing &amp; Flags'!AR89:AR91,MATCH($D$145,Indexation,0))</f>
        <v>0</v>
      </c>
      <c r="AS167" s="42">
        <f>AS103*INDEX('Timing &amp; Flags'!AS89:AS91,MATCH($D$145,Indexation,0))</f>
        <v>0</v>
      </c>
      <c r="AT167" s="42">
        <f>AT103*INDEX('Timing &amp; Flags'!AT89:AT91,MATCH($D$145,Indexation,0))</f>
        <v>0</v>
      </c>
      <c r="AU167" s="42">
        <f>AU103*INDEX('Timing &amp; Flags'!AU89:AU91,MATCH($D$145,Indexation,0))</f>
        <v>0</v>
      </c>
      <c r="AV167" s="42">
        <f>AV103*INDEX('Timing &amp; Flags'!AV89:AV91,MATCH($D$145,Indexation,0))</f>
        <v>0</v>
      </c>
      <c r="AW167" s="42">
        <f>AW103*INDEX('Timing &amp; Flags'!AW89:AW91,MATCH($D$145,Indexation,0))</f>
        <v>0</v>
      </c>
    </row>
    <row r="168" spans="1:49">
      <c r="A168" s="12"/>
      <c r="B168" s="2" t="s">
        <v>971</v>
      </c>
      <c r="C168" s="15" t="str">
        <f t="shared" si="56"/>
        <v>US$</v>
      </c>
      <c r="D168" s="41">
        <f t="shared" ca="1" si="57"/>
        <v>16255957.39465471</v>
      </c>
      <c r="I168" s="42">
        <f>I104*INDEX('Timing &amp; Flags'!I89:I91,MATCH($D$145,Indexation,0))</f>
        <v>0</v>
      </c>
      <c r="J168" s="42">
        <f>J104*INDEX('Timing &amp; Flags'!J89:J91,MATCH($D$145,Indexation,0))</f>
        <v>0</v>
      </c>
      <c r="K168" s="42">
        <f>K104*INDEX('Timing &amp; Flags'!K89:K91,MATCH($D$145,Indexation,0))</f>
        <v>0</v>
      </c>
      <c r="L168" s="42">
        <f ca="1">L104*INDEX('Timing &amp; Flags'!L89:L91,MATCH($D$145,Indexation,0))</f>
        <v>435282.12272108335</v>
      </c>
      <c r="M168" s="42">
        <f ca="1">M104*INDEX('Timing &amp; Flags'!M89:M91,MATCH($D$145,Indexation,0))</f>
        <v>445293.6115436682</v>
      </c>
      <c r="N168" s="42">
        <f ca="1">N104*INDEX('Timing &amp; Flags'!N89:N91,MATCH($D$145,Indexation,0))</f>
        <v>454734.80942776345</v>
      </c>
      <c r="O168" s="42">
        <f ca="1">O104*INDEX('Timing &amp; Flags'!O89:O91,MATCH($D$145,Indexation,0))</f>
        <v>468203.43838518613</v>
      </c>
      <c r="P168" s="42">
        <f ca="1">P104*INDEX('Timing &amp; Flags'!P89:P91,MATCH($D$145,Indexation,0))</f>
        <v>478130.37467444577</v>
      </c>
      <c r="Q168" s="42">
        <f ca="1">Q104*INDEX('Timing &amp; Flags'!Q89:Q91,MATCH($D$145,Indexation,0))</f>
        <v>489605.50366663246</v>
      </c>
      <c r="R168" s="42">
        <f ca="1">R104*INDEX('Timing &amp; Flags'!R89:R91,MATCH($D$145,Indexation,0))</f>
        <v>499986.21052032942</v>
      </c>
      <c r="S168" s="42">
        <f ca="1">S104*INDEX('Timing &amp; Flags'!S89:S91,MATCH($D$145,Indexation,0))</f>
        <v>514795.12466921617</v>
      </c>
      <c r="T168" s="42">
        <f ca="1">T104*INDEX('Timing &amp; Flags'!T89:T91,MATCH($D$145,Indexation,0))</f>
        <v>525709.9065474486</v>
      </c>
      <c r="U168" s="42">
        <f ca="1">U104*INDEX('Timing &amp; Flags'!U89:U91,MATCH($D$145,Indexation,0))</f>
        <v>538326.94430458744</v>
      </c>
      <c r="V168" s="42">
        <f ca="1">V104*INDEX('Timing &amp; Flags'!V89:V91,MATCH($D$145,Indexation,0))</f>
        <v>549740.65219476121</v>
      </c>
      <c r="W168" s="42">
        <f ca="1">W104*INDEX('Timing &amp; Flags'!W89:W91,MATCH($D$145,Indexation,0))</f>
        <v>566023.22549619875</v>
      </c>
      <c r="X168" s="42">
        <f ca="1">X104*INDEX('Timing &amp; Flags'!X89:X91,MATCH($D$145,Indexation,0))</f>
        <v>578024.15508595412</v>
      </c>
      <c r="Y168" s="42">
        <f ca="1">Y104*INDEX('Timing &amp; Flags'!Y89:Y91,MATCH($D$145,Indexation,0))</f>
        <v>591896.73480801715</v>
      </c>
      <c r="Z168" s="42">
        <f ca="1">Z104*INDEX('Timing &amp; Flags'!Z89:Z91,MATCH($D$145,Indexation,0))</f>
        <v>604446.23934930179</v>
      </c>
      <c r="AA168" s="42">
        <f ca="1">AA104*INDEX('Timing &amp; Flags'!AA89:AA91,MATCH($D$145,Indexation,0))</f>
        <v>622349.11802434747</v>
      </c>
      <c r="AB168" s="42">
        <f ca="1">AB104*INDEX('Timing &amp; Flags'!AB89:AB91,MATCH($D$145,Indexation,0))</f>
        <v>635544.2796524046</v>
      </c>
      <c r="AC168" s="42">
        <f ca="1">AC104*INDEX('Timing &amp; Flags'!AC89:AC91,MATCH($D$145,Indexation,0))</f>
        <v>650797.34236406232</v>
      </c>
      <c r="AD168" s="42">
        <f ca="1">AD104*INDEX('Timing &amp; Flags'!AD89:AD91,MATCH($D$145,Indexation,0))</f>
        <v>664595.66853003262</v>
      </c>
      <c r="AE168" s="42">
        <f ca="1">AE104*INDEX('Timing &amp; Flags'!AE89:AE91,MATCH($D$145,Indexation,0))</f>
        <v>684280.09180390835</v>
      </c>
      <c r="AF168" s="42">
        <f ca="1">AF104*INDEX('Timing &amp; Flags'!AF89:AF91,MATCH($D$145,Indexation,0))</f>
        <v>698788.32544434094</v>
      </c>
      <c r="AG168" s="42">
        <f ca="1">AG104*INDEX('Timing &amp; Flags'!AG89:AG91,MATCH($D$145,Indexation,0))</f>
        <v>715559.24525500508</v>
      </c>
      <c r="AH168" s="42">
        <f ca="1">AH104*INDEX('Timing &amp; Flags'!AH89:AH91,MATCH($D$145,Indexation,0))</f>
        <v>730730.66531833529</v>
      </c>
      <c r="AI168" s="42">
        <f ca="1">AI104*INDEX('Timing &amp; Flags'!AI89:AI91,MATCH($D$145,Indexation,0))</f>
        <v>752373.91759402608</v>
      </c>
      <c r="AJ168" s="42">
        <f ca="1">AJ104*INDEX('Timing &amp; Flags'!AJ89:AJ91,MATCH($D$145,Indexation,0))</f>
        <v>768325.88918017258</v>
      </c>
      <c r="AK168" s="42">
        <f ca="1">AK104*INDEX('Timing &amp; Flags'!AK89:AK91,MATCH($D$145,Indexation,0))</f>
        <v>786765.71052049682</v>
      </c>
      <c r="AL168" s="42">
        <f ca="1">AL104*INDEX('Timing &amp; Flags'!AL89:AL91,MATCH($D$145,Indexation,0))</f>
        <v>805648.0875729887</v>
      </c>
      <c r="AM168" s="42">
        <f>AM104*INDEX('Timing &amp; Flags'!AM89:AM91,MATCH($D$145,Indexation,0))</f>
        <v>0</v>
      </c>
      <c r="AN168" s="42">
        <f>AN104*INDEX('Timing &amp; Flags'!AN89:AN91,MATCH($D$145,Indexation,0))</f>
        <v>0</v>
      </c>
      <c r="AO168" s="42">
        <f>AO104*INDEX('Timing &amp; Flags'!AO89:AO91,MATCH($D$145,Indexation,0))</f>
        <v>0</v>
      </c>
      <c r="AP168" s="42">
        <f>AP104*INDEX('Timing &amp; Flags'!AP89:AP91,MATCH($D$145,Indexation,0))</f>
        <v>0</v>
      </c>
      <c r="AQ168" s="42">
        <f>AQ104*INDEX('Timing &amp; Flags'!AQ89:AQ91,MATCH($D$145,Indexation,0))</f>
        <v>0</v>
      </c>
      <c r="AR168" s="42">
        <f>AR104*INDEX('Timing &amp; Flags'!AR89:AR91,MATCH($D$145,Indexation,0))</f>
        <v>0</v>
      </c>
      <c r="AS168" s="42">
        <f>AS104*INDEX('Timing &amp; Flags'!AS89:AS91,MATCH($D$145,Indexation,0))</f>
        <v>0</v>
      </c>
      <c r="AT168" s="42">
        <f>AT104*INDEX('Timing &amp; Flags'!AT89:AT91,MATCH($D$145,Indexation,0))</f>
        <v>0</v>
      </c>
      <c r="AU168" s="42">
        <f>AU104*INDEX('Timing &amp; Flags'!AU89:AU91,MATCH($D$145,Indexation,0))</f>
        <v>0</v>
      </c>
      <c r="AV168" s="42">
        <f>AV104*INDEX('Timing &amp; Flags'!AV89:AV91,MATCH($D$145,Indexation,0))</f>
        <v>0</v>
      </c>
      <c r="AW168" s="42">
        <f>AW104*INDEX('Timing &amp; Flags'!AW89:AW91,MATCH($D$145,Indexation,0))</f>
        <v>0</v>
      </c>
    </row>
    <row r="169" spans="1:49">
      <c r="A169" s="12"/>
      <c r="B169" s="2" t="s">
        <v>972</v>
      </c>
      <c r="C169" s="15" t="str">
        <f t="shared" si="56"/>
        <v>US$</v>
      </c>
      <c r="D169" s="41">
        <f t="shared" ca="1" si="57"/>
        <v>57709247.964926898</v>
      </c>
      <c r="I169" s="42">
        <f>I105*INDEX('Timing &amp; Flags'!I89:I91,MATCH($D$145,Indexation,0))</f>
        <v>0</v>
      </c>
      <c r="J169" s="42">
        <f>J105*INDEX('Timing &amp; Flags'!J89:J91,MATCH($D$145,Indexation,0))</f>
        <v>0</v>
      </c>
      <c r="K169" s="42">
        <f>K105*INDEX('Timing &amp; Flags'!K89:K91,MATCH($D$145,Indexation,0))</f>
        <v>0</v>
      </c>
      <c r="L169" s="42">
        <f ca="1">L105*INDEX('Timing &amp; Flags'!L89:L91,MATCH($D$145,Indexation,0))</f>
        <v>1545267.5806760318</v>
      </c>
      <c r="M169" s="42">
        <f ca="1">M105*INDEX('Timing &amp; Flags'!M89:M91,MATCH($D$145,Indexation,0))</f>
        <v>1580808.7350315803</v>
      </c>
      <c r="N169" s="42">
        <f ca="1">N105*INDEX('Timing &amp; Flags'!N89:N91,MATCH($D$145,Indexation,0))</f>
        <v>1614325.335533889</v>
      </c>
      <c r="O169" s="42">
        <f ca="1">O105*INDEX('Timing &amp; Flags'!O89:O91,MATCH($D$145,Indexation,0))</f>
        <v>1662139.4648024046</v>
      </c>
      <c r="P169" s="42">
        <f ca="1">P105*INDEX('Timing &amp; Flags'!P89:P91,MATCH($D$145,Indexation,0))</f>
        <v>1697380.4545479419</v>
      </c>
      <c r="Q169" s="42">
        <f ca="1">Q105*INDEX('Timing &amp; Flags'!Q89:Q91,MATCH($D$145,Indexation,0))</f>
        <v>1738117.5854570924</v>
      </c>
      <c r="R169" s="42">
        <f ca="1">R105*INDEX('Timing &amp; Flags'!R89:R91,MATCH($D$145,Indexation,0))</f>
        <v>1774969.4774329041</v>
      </c>
      <c r="S169" s="42">
        <f ca="1">S105*INDEX('Timing &amp; Flags'!S89:S91,MATCH($D$145,Indexation,0))</f>
        <v>1827541.6685356214</v>
      </c>
      <c r="T169" s="42">
        <f ca="1">T105*INDEX('Timing &amp; Flags'!T89:T91,MATCH($D$145,Indexation,0))</f>
        <v>1866289.5465351744</v>
      </c>
      <c r="U169" s="42">
        <f ca="1">U105*INDEX('Timing &amp; Flags'!U89:U91,MATCH($D$145,Indexation,0))</f>
        <v>1911080.4956520186</v>
      </c>
      <c r="V169" s="42">
        <f ca="1">V105*INDEX('Timing &amp; Flags'!V89:V91,MATCH($D$145,Indexation,0))</f>
        <v>1951599.5793849682</v>
      </c>
      <c r="W169" s="42">
        <f ca="1">W105*INDEX('Timing &amp; Flags'!W89:W91,MATCH($D$145,Indexation,0))</f>
        <v>2009403.3148000683</v>
      </c>
      <c r="X169" s="42">
        <f ca="1">X105*INDEX('Timing &amp; Flags'!X89:X91,MATCH($D$145,Indexation,0))</f>
        <v>2052007.0572122226</v>
      </c>
      <c r="Y169" s="42">
        <f ca="1">Y105*INDEX('Timing &amp; Flags'!Y89:Y91,MATCH($D$145,Indexation,0))</f>
        <v>2101255.226585316</v>
      </c>
      <c r="Z169" s="42">
        <f ca="1">Z105*INDEX('Timing &amp; Flags'!Z89:Z91,MATCH($D$145,Indexation,0))</f>
        <v>2145806.4302965235</v>
      </c>
      <c r="AA169" s="42">
        <f ca="1">AA105*INDEX('Timing &amp; Flags'!AA89:AA91,MATCH($D$145,Indexation,0))</f>
        <v>2209362.3095143135</v>
      </c>
      <c r="AB169" s="42">
        <f ca="1">AB105*INDEX('Timing &amp; Flags'!AB89:AB91,MATCH($D$145,Indexation,0))</f>
        <v>2256205.6196832508</v>
      </c>
      <c r="AC169" s="42">
        <f ca="1">AC105*INDEX('Timing &amp; Flags'!AC89:AC91,MATCH($D$145,Indexation,0))</f>
        <v>2310354.5545556489</v>
      </c>
      <c r="AD169" s="42">
        <f ca="1">AD105*INDEX('Timing &amp; Flags'!AD89:AD91,MATCH($D$145,Indexation,0))</f>
        <v>2359339.1210675389</v>
      </c>
      <c r="AE169" s="42">
        <f ca="1">AE105*INDEX('Timing &amp; Flags'!AE89:AE91,MATCH($D$145,Indexation,0))</f>
        <v>2429219.5492810262</v>
      </c>
      <c r="AF169" s="42">
        <f ca="1">AF105*INDEX('Timing &amp; Flags'!AF89:AF91,MATCH($D$145,Indexation,0))</f>
        <v>2480724.3134952905</v>
      </c>
      <c r="AG169" s="42">
        <f ca="1">AG105*INDEX('Timing &amp; Flags'!AG89:AG91,MATCH($D$145,Indexation,0))</f>
        <v>2540261.6970191775</v>
      </c>
      <c r="AH169" s="42">
        <f ca="1">AH105*INDEX('Timing &amp; Flags'!AH89:AH91,MATCH($D$145,Indexation,0))</f>
        <v>2594120.7974805674</v>
      </c>
      <c r="AI169" s="42">
        <f ca="1">AI105*INDEX('Timing &amp; Flags'!AI89:AI91,MATCH($D$145,Indexation,0))</f>
        <v>2670955.1408552625</v>
      </c>
      <c r="AJ169" s="42">
        <f ca="1">AJ105*INDEX('Timing &amp; Flags'!AJ89:AJ91,MATCH($D$145,Indexation,0))</f>
        <v>2727585.2279947069</v>
      </c>
      <c r="AK169" s="42">
        <f ca="1">AK105*INDEX('Timing &amp; Flags'!AK89:AK91,MATCH($D$145,Indexation,0))</f>
        <v>2793047.2734665801</v>
      </c>
      <c r="AL169" s="42">
        <f ca="1">AL105*INDEX('Timing &amp; Flags'!AL89:AL91,MATCH($D$145,Indexation,0))</f>
        <v>2860080.4080297784</v>
      </c>
      <c r="AM169" s="42">
        <f>AM105*INDEX('Timing &amp; Flags'!AM89:AM91,MATCH($D$145,Indexation,0))</f>
        <v>0</v>
      </c>
      <c r="AN169" s="42">
        <f>AN105*INDEX('Timing &amp; Flags'!AN89:AN91,MATCH($D$145,Indexation,0))</f>
        <v>0</v>
      </c>
      <c r="AO169" s="42">
        <f>AO105*INDEX('Timing &amp; Flags'!AO89:AO91,MATCH($D$145,Indexation,0))</f>
        <v>0</v>
      </c>
      <c r="AP169" s="42">
        <f>AP105*INDEX('Timing &amp; Flags'!AP89:AP91,MATCH($D$145,Indexation,0))</f>
        <v>0</v>
      </c>
      <c r="AQ169" s="42">
        <f>AQ105*INDEX('Timing &amp; Flags'!AQ89:AQ91,MATCH($D$145,Indexation,0))</f>
        <v>0</v>
      </c>
      <c r="AR169" s="42">
        <f>AR105*INDEX('Timing &amp; Flags'!AR89:AR91,MATCH($D$145,Indexation,0))</f>
        <v>0</v>
      </c>
      <c r="AS169" s="42">
        <f>AS105*INDEX('Timing &amp; Flags'!AS89:AS91,MATCH($D$145,Indexation,0))</f>
        <v>0</v>
      </c>
      <c r="AT169" s="42">
        <f>AT105*INDEX('Timing &amp; Flags'!AT89:AT91,MATCH($D$145,Indexation,0))</f>
        <v>0</v>
      </c>
      <c r="AU169" s="42">
        <f>AU105*INDEX('Timing &amp; Flags'!AU89:AU91,MATCH($D$145,Indexation,0))</f>
        <v>0</v>
      </c>
      <c r="AV169" s="42">
        <f>AV105*INDEX('Timing &amp; Flags'!AV89:AV91,MATCH($D$145,Indexation,0))</f>
        <v>0</v>
      </c>
      <c r="AW169" s="42">
        <f>AW105*INDEX('Timing &amp; Flags'!AW89:AW91,MATCH($D$145,Indexation,0))</f>
        <v>0</v>
      </c>
    </row>
    <row r="170" spans="1:49">
      <c r="A170" s="12"/>
      <c r="B170" s="2" t="s">
        <v>973</v>
      </c>
      <c r="C170" s="15" t="str">
        <f t="shared" si="56"/>
        <v>US$</v>
      </c>
      <c r="D170" s="41">
        <f t="shared" ca="1" si="57"/>
        <v>69061754.145066142</v>
      </c>
      <c r="I170" s="42">
        <f>I106*INDEX('Timing &amp; Flags'!I89:I91,MATCH($D$145,Indexation,0))</f>
        <v>0</v>
      </c>
      <c r="J170" s="42">
        <f>J106*INDEX('Timing &amp; Flags'!J89:J91,MATCH($D$145,Indexation,0))</f>
        <v>0</v>
      </c>
      <c r="K170" s="42">
        <f>K106*INDEX('Timing &amp; Flags'!K89:K91,MATCH($D$145,Indexation,0))</f>
        <v>0</v>
      </c>
      <c r="L170" s="42">
        <f ca="1">L106*INDEX('Timing &amp; Flags'!L89:L91,MATCH($D$145,Indexation,0))</f>
        <v>1849251.0907410926</v>
      </c>
      <c r="M170" s="42">
        <f ca="1">M106*INDEX('Timing &amp; Flags'!M89:M91,MATCH($D$145,Indexation,0))</f>
        <v>1891783.8658281374</v>
      </c>
      <c r="N170" s="42">
        <f ca="1">N106*INDEX('Timing &amp; Flags'!N89:N91,MATCH($D$145,Indexation,0))</f>
        <v>1931893.8188303951</v>
      </c>
      <c r="O170" s="42">
        <f ca="1">O106*INDEX('Timing &amp; Flags'!O89:O91,MATCH($D$145,Indexation,0))</f>
        <v>1989113.8963162343</v>
      </c>
      <c r="P170" s="42">
        <f ca="1">P106*INDEX('Timing &amp; Flags'!P89:P91,MATCH($D$145,Indexation,0))</f>
        <v>2031287.4587080758</v>
      </c>
      <c r="Q170" s="42">
        <f ca="1">Q106*INDEX('Timing &amp; Flags'!Q89:Q91,MATCH($D$145,Indexation,0))</f>
        <v>2080038.3577170696</v>
      </c>
      <c r="R170" s="42">
        <f ca="1">R106*INDEX('Timing &amp; Flags'!R89:R91,MATCH($D$145,Indexation,0))</f>
        <v>2124139.7174326009</v>
      </c>
      <c r="S170" s="42">
        <f ca="1">S106*INDEX('Timing &amp; Flags'!S89:S91,MATCH($D$145,Indexation,0))</f>
        <v>2187053.8579705246</v>
      </c>
      <c r="T170" s="42">
        <f ca="1">T106*INDEX('Timing &amp; Flags'!T89:T91,MATCH($D$145,Indexation,0))</f>
        <v>2233424.1802050904</v>
      </c>
      <c r="U170" s="42">
        <f ca="1">U106*INDEX('Timing &amp; Flags'!U89:U91,MATCH($D$145,Indexation,0))</f>
        <v>2287026.3605300128</v>
      </c>
      <c r="V170" s="42">
        <f ca="1">V106*INDEX('Timing &amp; Flags'!V89:V91,MATCH($D$145,Indexation,0))</f>
        <v>2335516.3183379718</v>
      </c>
      <c r="W170" s="42">
        <f ca="1">W106*INDEX('Timing &amp; Flags'!W89:W91,MATCH($D$145,Indexation,0))</f>
        <v>2404691.1474109525</v>
      </c>
      <c r="X170" s="42">
        <f ca="1">X106*INDEX('Timing &amp; Flags'!X89:X91,MATCH($D$145,Indexation,0))</f>
        <v>2455675.8558915779</v>
      </c>
      <c r="Y170" s="42">
        <f ca="1">Y106*INDEX('Timing &amp; Flags'!Y89:Y91,MATCH($D$145,Indexation,0))</f>
        <v>2514612.0764329759</v>
      </c>
      <c r="Z170" s="42">
        <f ca="1">Z106*INDEX('Timing &amp; Flags'!Z89:Z91,MATCH($D$145,Indexation,0))</f>
        <v>2567927.3488731943</v>
      </c>
      <c r="AA170" s="42">
        <f ca="1">AA106*INDEX('Timing &amp; Flags'!AA89:AA91,MATCH($D$145,Indexation,0))</f>
        <v>2643985.8777883537</v>
      </c>
      <c r="AB170" s="42">
        <f ca="1">AB106*INDEX('Timing &amp; Flags'!AB89:AB91,MATCH($D$145,Indexation,0))</f>
        <v>2700044.1576015712</v>
      </c>
      <c r="AC170" s="42">
        <f ca="1">AC106*INDEX('Timing &amp; Flags'!AC89:AC91,MATCH($D$145,Indexation,0))</f>
        <v>2764845.2173840092</v>
      </c>
      <c r="AD170" s="42">
        <f ca="1">AD106*INDEX('Timing &amp; Flags'!AD89:AD91,MATCH($D$145,Indexation,0))</f>
        <v>2823465.9793700743</v>
      </c>
      <c r="AE170" s="42">
        <f ca="1">AE106*INDEX('Timing &amp; Flags'!AE89:AE91,MATCH($D$145,Indexation,0))</f>
        <v>2907093.2163038296</v>
      </c>
      <c r="AF170" s="42">
        <f ca="1">AF106*INDEX('Timing &amp; Flags'!AF89:AF91,MATCH($D$145,Indexation,0))</f>
        <v>2968729.9467915827</v>
      </c>
      <c r="AG170" s="42">
        <f ca="1">AG106*INDEX('Timing &amp; Flags'!AG89:AG91,MATCH($D$145,Indexation,0))</f>
        <v>3039979.4655145807</v>
      </c>
      <c r="AH170" s="42">
        <f ca="1">AH106*INDEX('Timing &amp; Flags'!AH89:AH91,MATCH($D$145,Indexation,0))</f>
        <v>3104433.6749473494</v>
      </c>
      <c r="AI170" s="42">
        <f ca="1">AI106*INDEX('Timing &amp; Flags'!AI89:AI91,MATCH($D$145,Indexation,0))</f>
        <v>3196382.7943547913</v>
      </c>
      <c r="AJ170" s="42">
        <f ca="1">AJ106*INDEX('Timing &amp; Flags'!AJ89:AJ91,MATCH($D$145,Indexation,0))</f>
        <v>3264153.0962241716</v>
      </c>
      <c r="AK170" s="42">
        <f ca="1">AK106*INDEX('Timing &amp; Flags'!AK89:AK91,MATCH($D$145,Indexation,0))</f>
        <v>3342492.7705335519</v>
      </c>
      <c r="AL170" s="42">
        <f ca="1">AL106*INDEX('Timing &amp; Flags'!AL89:AL91,MATCH($D$145,Indexation,0))</f>
        <v>3422712.597026357</v>
      </c>
      <c r="AM170" s="42">
        <f>AM106*INDEX('Timing &amp; Flags'!AM89:AM91,MATCH($D$145,Indexation,0))</f>
        <v>0</v>
      </c>
      <c r="AN170" s="42">
        <f>AN106*INDEX('Timing &amp; Flags'!AN89:AN91,MATCH($D$145,Indexation,0))</f>
        <v>0</v>
      </c>
      <c r="AO170" s="42">
        <f>AO106*INDEX('Timing &amp; Flags'!AO89:AO91,MATCH($D$145,Indexation,0))</f>
        <v>0</v>
      </c>
      <c r="AP170" s="42">
        <f>AP106*INDEX('Timing &amp; Flags'!AP89:AP91,MATCH($D$145,Indexation,0))</f>
        <v>0</v>
      </c>
      <c r="AQ170" s="42">
        <f>AQ106*INDEX('Timing &amp; Flags'!AQ89:AQ91,MATCH($D$145,Indexation,0))</f>
        <v>0</v>
      </c>
      <c r="AR170" s="42">
        <f>AR106*INDEX('Timing &amp; Flags'!AR89:AR91,MATCH($D$145,Indexation,0))</f>
        <v>0</v>
      </c>
      <c r="AS170" s="42">
        <f>AS106*INDEX('Timing &amp; Flags'!AS89:AS91,MATCH($D$145,Indexation,0))</f>
        <v>0</v>
      </c>
      <c r="AT170" s="42">
        <f>AT106*INDEX('Timing &amp; Flags'!AT89:AT91,MATCH($D$145,Indexation,0))</f>
        <v>0</v>
      </c>
      <c r="AU170" s="42">
        <f>AU106*INDEX('Timing &amp; Flags'!AU89:AU91,MATCH($D$145,Indexation,0))</f>
        <v>0</v>
      </c>
      <c r="AV170" s="42">
        <f>AV106*INDEX('Timing &amp; Flags'!AV89:AV91,MATCH($D$145,Indexation,0))</f>
        <v>0</v>
      </c>
      <c r="AW170" s="42">
        <f>AW106*INDEX('Timing &amp; Flags'!AW89:AW91,MATCH($D$145,Indexation,0))</f>
        <v>0</v>
      </c>
    </row>
    <row r="171" spans="1:49" ht="11.25" thickBot="1">
      <c r="A171" s="12"/>
      <c r="B171" s="1518" t="s">
        <v>1604</v>
      </c>
      <c r="C171" s="1519"/>
      <c r="D171" s="1520"/>
      <c r="E171" s="1518"/>
      <c r="F171" s="1518"/>
      <c r="G171" s="1518"/>
      <c r="H171" s="1518"/>
      <c r="I171" s="1521">
        <f>SUM(I164:I170)</f>
        <v>0</v>
      </c>
      <c r="J171" s="1521">
        <f>SUM(J164:J170)</f>
        <v>0</v>
      </c>
      <c r="K171" s="1521">
        <f>SUM(K164:K170)</f>
        <v>0</v>
      </c>
      <c r="L171" s="1521">
        <f ca="1">SUM(L164:L170)</f>
        <v>12648582.0378835</v>
      </c>
      <c r="M171" s="1521">
        <f t="shared" ref="M171:AW171" ca="1" si="58">SUM(M164:M170)</f>
        <v>12939499.424754819</v>
      </c>
      <c r="N171" s="1521">
        <f t="shared" ca="1" si="58"/>
        <v>13213845.095618472</v>
      </c>
      <c r="O171" s="1521">
        <f t="shared" ca="1" si="58"/>
        <v>13605221.28456188</v>
      </c>
      <c r="P171" s="1521">
        <f t="shared" ca="1" si="58"/>
        <v>13893681.713983189</v>
      </c>
      <c r="Q171" s="1521">
        <f t="shared" ca="1" si="58"/>
        <v>14227130.075118784</v>
      </c>
      <c r="R171" s="1521">
        <f t="shared" ca="1" si="58"/>
        <v>14528776.330263384</v>
      </c>
      <c r="S171" s="1521">
        <f t="shared" ca="1" si="58"/>
        <v>14959099.000841314</v>
      </c>
      <c r="T171" s="1521">
        <f t="shared" ca="1" si="58"/>
        <v>15276264.597143302</v>
      </c>
      <c r="U171" s="1521">
        <f t="shared" ca="1" si="58"/>
        <v>15642894.947474742</v>
      </c>
      <c r="V171" s="1521">
        <f t="shared" ca="1" si="58"/>
        <v>15974558.512481309</v>
      </c>
      <c r="W171" s="1521">
        <f t="shared" ca="1" si="58"/>
        <v>16447703.292477369</v>
      </c>
      <c r="X171" s="1521">
        <f t="shared" ca="1" si="58"/>
        <v>16796430.553541914</v>
      </c>
      <c r="Y171" s="1521">
        <f t="shared" ca="1" si="58"/>
        <v>17199544.886826921</v>
      </c>
      <c r="Z171" s="1521">
        <f t="shared" ca="1" si="58"/>
        <v>17564212.833061285</v>
      </c>
      <c r="AA171" s="1521">
        <f t="shared" ca="1" si="58"/>
        <v>18084441.020288467</v>
      </c>
      <c r="AB171" s="1521">
        <f t="shared" ca="1" si="58"/>
        <v>18467870.698751416</v>
      </c>
      <c r="AC171" s="1521">
        <f t="shared" ca="1" si="58"/>
        <v>18911099.59552145</v>
      </c>
      <c r="AD171" s="1521">
        <f t="shared" ca="1" si="58"/>
        <v>19312056.242683329</v>
      </c>
      <c r="AE171" s="1521">
        <f t="shared" ca="1" si="58"/>
        <v>19884053.183636446</v>
      </c>
      <c r="AF171" s="1521">
        <f t="shared" ca="1" si="58"/>
        <v>20305638.573540866</v>
      </c>
      <c r="AG171" s="1521">
        <f t="shared" ca="1" si="58"/>
        <v>20792973.89930585</v>
      </c>
      <c r="AH171" s="1521">
        <f t="shared" ca="1" si="58"/>
        <v>21233830.39509441</v>
      </c>
      <c r="AI171" s="1521">
        <f t="shared" ca="1" si="58"/>
        <v>21862747.68272467</v>
      </c>
      <c r="AJ171" s="1521">
        <f t="shared" ca="1" si="58"/>
        <v>22326285.721025053</v>
      </c>
      <c r="AK171" s="1521">
        <f t="shared" ca="1" si="58"/>
        <v>22862116.578329656</v>
      </c>
      <c r="AL171" s="1521">
        <f t="shared" ca="1" si="58"/>
        <v>23410807.376209572</v>
      </c>
      <c r="AM171" s="1521">
        <f t="shared" si="58"/>
        <v>0</v>
      </c>
      <c r="AN171" s="1521">
        <f t="shared" si="58"/>
        <v>0</v>
      </c>
      <c r="AO171" s="1521">
        <f t="shared" si="58"/>
        <v>0</v>
      </c>
      <c r="AP171" s="1521">
        <f t="shared" si="58"/>
        <v>0</v>
      </c>
      <c r="AQ171" s="1521">
        <f t="shared" si="58"/>
        <v>0</v>
      </c>
      <c r="AR171" s="1521">
        <f t="shared" si="58"/>
        <v>0</v>
      </c>
      <c r="AS171" s="1521">
        <f t="shared" si="58"/>
        <v>0</v>
      </c>
      <c r="AT171" s="1521">
        <f t="shared" si="58"/>
        <v>0</v>
      </c>
      <c r="AU171" s="1521">
        <f t="shared" si="58"/>
        <v>0</v>
      </c>
      <c r="AV171" s="1521">
        <f t="shared" si="58"/>
        <v>0</v>
      </c>
      <c r="AW171" s="1521">
        <f t="shared" si="58"/>
        <v>0</v>
      </c>
    </row>
    <row r="172" spans="1:49" ht="12" thickTop="1" thickBot="1">
      <c r="A172" s="12"/>
      <c r="B172" s="2" t="s">
        <v>1606</v>
      </c>
      <c r="C172" s="1514">
        <f>'Sens WIP'!D37</f>
        <v>0</v>
      </c>
      <c r="D172" s="53"/>
      <c r="E172" s="489"/>
      <c r="F172" s="489"/>
      <c r="G172" s="489"/>
      <c r="H172" s="489"/>
      <c r="I172" s="578"/>
      <c r="J172" s="578"/>
      <c r="K172" s="578"/>
      <c r="L172" s="578"/>
      <c r="M172" s="578"/>
      <c r="N172" s="578"/>
      <c r="O172" s="578"/>
      <c r="P172" s="578"/>
      <c r="Q172" s="578"/>
      <c r="R172" s="578"/>
      <c r="S172" s="578"/>
      <c r="T172" s="578"/>
      <c r="U172" s="578"/>
      <c r="V172" s="578"/>
      <c r="W172" s="578"/>
      <c r="X172" s="578"/>
      <c r="Y172" s="578"/>
      <c r="Z172" s="578"/>
      <c r="AA172" s="578"/>
      <c r="AB172" s="578"/>
      <c r="AC172" s="578"/>
      <c r="AD172" s="578"/>
      <c r="AE172" s="578"/>
      <c r="AF172" s="578"/>
      <c r="AG172" s="578"/>
      <c r="AH172" s="578"/>
      <c r="AI172" s="578"/>
      <c r="AJ172" s="578"/>
      <c r="AK172" s="578"/>
      <c r="AL172" s="578"/>
      <c r="AM172" s="578"/>
      <c r="AN172" s="578"/>
      <c r="AO172" s="578"/>
      <c r="AP172" s="578"/>
      <c r="AQ172" s="578"/>
      <c r="AR172" s="578"/>
      <c r="AS172" s="578"/>
      <c r="AT172" s="578"/>
      <c r="AU172" s="578"/>
      <c r="AV172" s="578"/>
      <c r="AW172" s="578"/>
    </row>
    <row r="173" spans="1:49">
      <c r="A173" s="12"/>
      <c r="B173" s="2" t="s">
        <v>1609</v>
      </c>
      <c r="C173" s="577"/>
      <c r="D173" s="53"/>
      <c r="E173" s="489"/>
      <c r="F173" s="489"/>
      <c r="G173" s="489"/>
      <c r="H173" s="489"/>
      <c r="I173" s="578">
        <f>I171</f>
        <v>0</v>
      </c>
      <c r="J173" s="578">
        <f t="shared" ref="J173:AW173" si="59">J171</f>
        <v>0</v>
      </c>
      <c r="K173" s="578">
        <f t="shared" si="59"/>
        <v>0</v>
      </c>
      <c r="L173" s="578">
        <f t="shared" ca="1" si="59"/>
        <v>12648582.0378835</v>
      </c>
      <c r="M173" s="578">
        <f t="shared" ca="1" si="59"/>
        <v>12939499.424754819</v>
      </c>
      <c r="N173" s="578">
        <f t="shared" ca="1" si="59"/>
        <v>13213845.095618472</v>
      </c>
      <c r="O173" s="578">
        <f t="shared" ca="1" si="59"/>
        <v>13605221.28456188</v>
      </c>
      <c r="P173" s="578">
        <f t="shared" ca="1" si="59"/>
        <v>13893681.713983189</v>
      </c>
      <c r="Q173" s="578">
        <f t="shared" ca="1" si="59"/>
        <v>14227130.075118784</v>
      </c>
      <c r="R173" s="578">
        <f t="shared" ca="1" si="59"/>
        <v>14528776.330263384</v>
      </c>
      <c r="S173" s="578">
        <f t="shared" ca="1" si="59"/>
        <v>14959099.000841314</v>
      </c>
      <c r="T173" s="578">
        <f t="shared" ca="1" si="59"/>
        <v>15276264.597143302</v>
      </c>
      <c r="U173" s="578">
        <f t="shared" ca="1" si="59"/>
        <v>15642894.947474742</v>
      </c>
      <c r="V173" s="578">
        <f t="shared" ca="1" si="59"/>
        <v>15974558.512481309</v>
      </c>
      <c r="W173" s="578">
        <f t="shared" ca="1" si="59"/>
        <v>16447703.292477369</v>
      </c>
      <c r="X173" s="578">
        <f t="shared" ca="1" si="59"/>
        <v>16796430.553541914</v>
      </c>
      <c r="Y173" s="578">
        <f t="shared" ca="1" si="59"/>
        <v>17199544.886826921</v>
      </c>
      <c r="Z173" s="578">
        <f t="shared" ca="1" si="59"/>
        <v>17564212.833061285</v>
      </c>
      <c r="AA173" s="578">
        <f t="shared" ca="1" si="59"/>
        <v>18084441.020288467</v>
      </c>
      <c r="AB173" s="578">
        <f t="shared" ca="1" si="59"/>
        <v>18467870.698751416</v>
      </c>
      <c r="AC173" s="578">
        <f t="shared" ca="1" si="59"/>
        <v>18911099.59552145</v>
      </c>
      <c r="AD173" s="578">
        <f t="shared" ca="1" si="59"/>
        <v>19312056.242683329</v>
      </c>
      <c r="AE173" s="578">
        <f t="shared" ca="1" si="59"/>
        <v>19884053.183636446</v>
      </c>
      <c r="AF173" s="578">
        <f t="shared" ca="1" si="59"/>
        <v>20305638.573540866</v>
      </c>
      <c r="AG173" s="578">
        <f t="shared" ca="1" si="59"/>
        <v>20792973.89930585</v>
      </c>
      <c r="AH173" s="578">
        <f t="shared" ca="1" si="59"/>
        <v>21233830.39509441</v>
      </c>
      <c r="AI173" s="578">
        <f t="shared" ca="1" si="59"/>
        <v>21862747.68272467</v>
      </c>
      <c r="AJ173" s="578">
        <f t="shared" ca="1" si="59"/>
        <v>22326285.721025053</v>
      </c>
      <c r="AK173" s="578">
        <f t="shared" ca="1" si="59"/>
        <v>22862116.578329656</v>
      </c>
      <c r="AL173" s="578">
        <f t="shared" ca="1" si="59"/>
        <v>23410807.376209572</v>
      </c>
      <c r="AM173" s="578">
        <f t="shared" si="59"/>
        <v>0</v>
      </c>
      <c r="AN173" s="578">
        <f t="shared" si="59"/>
        <v>0</v>
      </c>
      <c r="AO173" s="578">
        <f t="shared" si="59"/>
        <v>0</v>
      </c>
      <c r="AP173" s="578">
        <f t="shared" si="59"/>
        <v>0</v>
      </c>
      <c r="AQ173" s="578">
        <f t="shared" si="59"/>
        <v>0</v>
      </c>
      <c r="AR173" s="578">
        <f t="shared" si="59"/>
        <v>0</v>
      </c>
      <c r="AS173" s="578">
        <f t="shared" si="59"/>
        <v>0</v>
      </c>
      <c r="AT173" s="578">
        <f t="shared" si="59"/>
        <v>0</v>
      </c>
      <c r="AU173" s="578">
        <f t="shared" si="59"/>
        <v>0</v>
      </c>
      <c r="AV173" s="578">
        <f t="shared" si="59"/>
        <v>0</v>
      </c>
      <c r="AW173" s="578">
        <f t="shared" si="59"/>
        <v>0</v>
      </c>
    </row>
    <row r="174" spans="1:49">
      <c r="A174" s="12"/>
      <c r="B174" s="2" t="s">
        <v>1610</v>
      </c>
      <c r="C174" s="15"/>
      <c r="D174" s="41"/>
      <c r="I174" s="42">
        <f>I173*(1+$C$172)</f>
        <v>0</v>
      </c>
      <c r="J174" s="42">
        <f t="shared" ref="J174:AW174" si="60">J173*(1+$C$172)</f>
        <v>0</v>
      </c>
      <c r="K174" s="42">
        <f t="shared" si="60"/>
        <v>0</v>
      </c>
      <c r="L174" s="42">
        <f t="shared" ca="1" si="60"/>
        <v>12648582.0378835</v>
      </c>
      <c r="M174" s="42">
        <f t="shared" ca="1" si="60"/>
        <v>12939499.424754819</v>
      </c>
      <c r="N174" s="42">
        <f t="shared" ca="1" si="60"/>
        <v>13213845.095618472</v>
      </c>
      <c r="O174" s="42">
        <f t="shared" ca="1" si="60"/>
        <v>13605221.28456188</v>
      </c>
      <c r="P174" s="42">
        <f t="shared" ca="1" si="60"/>
        <v>13893681.713983189</v>
      </c>
      <c r="Q174" s="42">
        <f t="shared" ca="1" si="60"/>
        <v>14227130.075118784</v>
      </c>
      <c r="R174" s="42">
        <f t="shared" ca="1" si="60"/>
        <v>14528776.330263384</v>
      </c>
      <c r="S174" s="42">
        <f t="shared" ca="1" si="60"/>
        <v>14959099.000841314</v>
      </c>
      <c r="T174" s="42">
        <f t="shared" ca="1" si="60"/>
        <v>15276264.597143302</v>
      </c>
      <c r="U174" s="42">
        <f t="shared" ca="1" si="60"/>
        <v>15642894.947474742</v>
      </c>
      <c r="V174" s="42">
        <f t="shared" ca="1" si="60"/>
        <v>15974558.512481309</v>
      </c>
      <c r="W174" s="42">
        <f t="shared" ca="1" si="60"/>
        <v>16447703.292477369</v>
      </c>
      <c r="X174" s="42">
        <f t="shared" ca="1" si="60"/>
        <v>16796430.553541914</v>
      </c>
      <c r="Y174" s="42">
        <f t="shared" ca="1" si="60"/>
        <v>17199544.886826921</v>
      </c>
      <c r="Z174" s="42">
        <f t="shared" ca="1" si="60"/>
        <v>17564212.833061285</v>
      </c>
      <c r="AA174" s="42">
        <f t="shared" ca="1" si="60"/>
        <v>18084441.020288467</v>
      </c>
      <c r="AB174" s="42">
        <f t="shared" ca="1" si="60"/>
        <v>18467870.698751416</v>
      </c>
      <c r="AC174" s="42">
        <f t="shared" ca="1" si="60"/>
        <v>18911099.59552145</v>
      </c>
      <c r="AD174" s="42">
        <f t="shared" ca="1" si="60"/>
        <v>19312056.242683329</v>
      </c>
      <c r="AE174" s="42">
        <f t="shared" ca="1" si="60"/>
        <v>19884053.183636446</v>
      </c>
      <c r="AF174" s="42">
        <f t="shared" ca="1" si="60"/>
        <v>20305638.573540866</v>
      </c>
      <c r="AG174" s="42">
        <f t="shared" ca="1" si="60"/>
        <v>20792973.89930585</v>
      </c>
      <c r="AH174" s="42">
        <f t="shared" ca="1" si="60"/>
        <v>21233830.39509441</v>
      </c>
      <c r="AI174" s="42">
        <f t="shared" ca="1" si="60"/>
        <v>21862747.68272467</v>
      </c>
      <c r="AJ174" s="42">
        <f t="shared" ca="1" si="60"/>
        <v>22326285.721025053</v>
      </c>
      <c r="AK174" s="42">
        <f t="shared" ca="1" si="60"/>
        <v>22862116.578329656</v>
      </c>
      <c r="AL174" s="42">
        <f t="shared" ca="1" si="60"/>
        <v>23410807.376209572</v>
      </c>
      <c r="AM174" s="42">
        <f t="shared" si="60"/>
        <v>0</v>
      </c>
      <c r="AN174" s="42">
        <f t="shared" si="60"/>
        <v>0</v>
      </c>
      <c r="AO174" s="42">
        <f t="shared" si="60"/>
        <v>0</v>
      </c>
      <c r="AP174" s="42">
        <f t="shared" si="60"/>
        <v>0</v>
      </c>
      <c r="AQ174" s="42">
        <f t="shared" si="60"/>
        <v>0</v>
      </c>
      <c r="AR174" s="42">
        <f t="shared" si="60"/>
        <v>0</v>
      </c>
      <c r="AS174" s="42">
        <f t="shared" si="60"/>
        <v>0</v>
      </c>
      <c r="AT174" s="42">
        <f t="shared" si="60"/>
        <v>0</v>
      </c>
      <c r="AU174" s="42">
        <f t="shared" si="60"/>
        <v>0</v>
      </c>
      <c r="AV174" s="42">
        <f t="shared" si="60"/>
        <v>0</v>
      </c>
      <c r="AW174" s="42">
        <f t="shared" si="60"/>
        <v>0</v>
      </c>
    </row>
    <row r="175" spans="1:49">
      <c r="A175" s="12"/>
      <c r="C175" s="15"/>
      <c r="D175" s="41"/>
      <c r="I175" s="42"/>
      <c r="J175" s="42"/>
      <c r="K175" s="42"/>
      <c r="L175" s="42"/>
      <c r="M175" s="42"/>
      <c r="N175" s="42"/>
      <c r="O175" s="42"/>
      <c r="P175" s="42"/>
      <c r="Q175" s="42"/>
      <c r="R175" s="42"/>
      <c r="S175" s="42"/>
      <c r="T175" s="42"/>
      <c r="U175" s="42"/>
      <c r="V175" s="42"/>
      <c r="W175" s="42"/>
      <c r="X175" s="42"/>
      <c r="Y175" s="42"/>
      <c r="Z175" s="42"/>
      <c r="AA175" s="42"/>
      <c r="AB175" s="42"/>
      <c r="AC175" s="42"/>
      <c r="AD175" s="42"/>
      <c r="AE175" s="42"/>
      <c r="AF175" s="42"/>
      <c r="AG175" s="42"/>
      <c r="AH175" s="42"/>
      <c r="AI175" s="42"/>
      <c r="AJ175" s="42"/>
      <c r="AK175" s="42"/>
      <c r="AL175" s="42"/>
      <c r="AM175" s="42"/>
      <c r="AN175" s="42"/>
      <c r="AO175" s="42"/>
      <c r="AP175" s="42"/>
      <c r="AQ175" s="42"/>
      <c r="AR175" s="42"/>
      <c r="AS175" s="42"/>
      <c r="AT175" s="42"/>
      <c r="AU175" s="42"/>
      <c r="AV175" s="42"/>
      <c r="AW175" s="42"/>
    </row>
    <row r="176" spans="1:49">
      <c r="A176" s="12"/>
      <c r="C176" s="15"/>
      <c r="D176" s="41"/>
      <c r="I176" s="42"/>
      <c r="J176" s="42"/>
      <c r="K176" s="42"/>
      <c r="L176" s="42"/>
      <c r="M176" s="42"/>
      <c r="N176" s="42"/>
      <c r="O176" s="42"/>
      <c r="P176" s="42"/>
      <c r="Q176" s="42"/>
      <c r="R176" s="42"/>
      <c r="S176" s="42"/>
      <c r="T176" s="42"/>
      <c r="U176" s="42"/>
      <c r="V176" s="42"/>
      <c r="W176" s="42"/>
      <c r="X176" s="42"/>
      <c r="Y176" s="42"/>
      <c r="Z176" s="42"/>
      <c r="AA176" s="42"/>
      <c r="AB176" s="42"/>
      <c r="AC176" s="42"/>
      <c r="AD176" s="42"/>
      <c r="AE176" s="42"/>
      <c r="AF176" s="42"/>
      <c r="AG176" s="42"/>
      <c r="AH176" s="42"/>
      <c r="AI176" s="42"/>
    </row>
    <row r="177" spans="1:49">
      <c r="A177" s="12"/>
      <c r="B177" s="586" t="s">
        <v>1067</v>
      </c>
      <c r="C177" s="15"/>
      <c r="D177" s="41"/>
      <c r="I177" s="42"/>
      <c r="J177" s="42"/>
      <c r="K177" s="42"/>
      <c r="L177" s="42"/>
      <c r="M177" s="42"/>
      <c r="N177" s="42"/>
      <c r="O177" s="42"/>
      <c r="P177" s="42"/>
      <c r="Q177" s="42"/>
      <c r="R177" s="42"/>
      <c r="S177" s="42"/>
      <c r="T177" s="42"/>
      <c r="U177" s="42"/>
      <c r="V177" s="42"/>
      <c r="W177" s="42"/>
      <c r="X177" s="42"/>
      <c r="Y177" s="42"/>
      <c r="Z177" s="42"/>
      <c r="AA177" s="42"/>
      <c r="AB177" s="42"/>
      <c r="AC177" s="42"/>
      <c r="AD177" s="42"/>
      <c r="AE177" s="42"/>
      <c r="AF177" s="42"/>
      <c r="AG177" s="42"/>
      <c r="AH177" s="42"/>
      <c r="AI177" s="42"/>
    </row>
    <row r="178" spans="1:49">
      <c r="A178" s="12"/>
      <c r="B178" s="2" t="s">
        <v>1502</v>
      </c>
      <c r="C178" s="15" t="str">
        <f t="shared" si="56"/>
        <v>US$</v>
      </c>
      <c r="D178" s="41">
        <f ca="1">SUM(I178:AW178)</f>
        <v>0</v>
      </c>
      <c r="I178" s="42">
        <f>I110*INDEX('Timing &amp; Flags'!I89:I91,MATCH($D$145,Indexation,0))</f>
        <v>0</v>
      </c>
      <c r="J178" s="42">
        <f>J110*INDEX('Timing &amp; Flags'!J89:J91,MATCH($D$145,Indexation,0))</f>
        <v>0</v>
      </c>
      <c r="K178" s="42">
        <f>K110*INDEX('Timing &amp; Flags'!K89:K91,MATCH($D$145,Indexation,0))</f>
        <v>0</v>
      </c>
      <c r="L178" s="42">
        <f ca="1">L110*INDEX('Timing &amp; Flags'!L89:L91,MATCH($D$145,Indexation,0))</f>
        <v>0</v>
      </c>
      <c r="M178" s="42">
        <f ca="1">M110*INDEX('Timing &amp; Flags'!M89:M91,MATCH($D$145,Indexation,0))</f>
        <v>0</v>
      </c>
      <c r="N178" s="42">
        <f ca="1">N110*INDEX('Timing &amp; Flags'!N89:N91,MATCH($D$145,Indexation,0))</f>
        <v>0</v>
      </c>
      <c r="O178" s="42">
        <f ca="1">O110*INDEX('Timing &amp; Flags'!O89:O91,MATCH($D$145,Indexation,0))</f>
        <v>0</v>
      </c>
      <c r="P178" s="42">
        <f ca="1">P110*INDEX('Timing &amp; Flags'!P89:P91,MATCH($D$145,Indexation,0))</f>
        <v>0</v>
      </c>
      <c r="Q178" s="42">
        <f ca="1">Q110*INDEX('Timing &amp; Flags'!Q89:Q91,MATCH($D$145,Indexation,0))</f>
        <v>0</v>
      </c>
      <c r="R178" s="42">
        <f ca="1">R110*INDEX('Timing &amp; Flags'!R89:R91,MATCH($D$145,Indexation,0))</f>
        <v>0</v>
      </c>
      <c r="S178" s="42">
        <f ca="1">S110*INDEX('Timing &amp; Flags'!S89:S91,MATCH($D$145,Indexation,0))</f>
        <v>0</v>
      </c>
      <c r="T178" s="42">
        <f ca="1">T110*INDEX('Timing &amp; Flags'!T89:T91,MATCH($D$145,Indexation,0))</f>
        <v>0</v>
      </c>
      <c r="U178" s="42">
        <f ca="1">U110*INDEX('Timing &amp; Flags'!U89:U91,MATCH($D$145,Indexation,0))</f>
        <v>0</v>
      </c>
      <c r="V178" s="42">
        <f ca="1">V110*INDEX('Timing &amp; Flags'!V89:V91,MATCH($D$145,Indexation,0))</f>
        <v>0</v>
      </c>
      <c r="W178" s="42">
        <f ca="1">W110*INDEX('Timing &amp; Flags'!W89:W91,MATCH($D$145,Indexation,0))</f>
        <v>0</v>
      </c>
      <c r="X178" s="42">
        <f ca="1">X110*INDEX('Timing &amp; Flags'!X89:X91,MATCH($D$145,Indexation,0))</f>
        <v>0</v>
      </c>
      <c r="Y178" s="42">
        <f ca="1">Y110*INDEX('Timing &amp; Flags'!Y89:Y91,MATCH($D$145,Indexation,0))</f>
        <v>0</v>
      </c>
      <c r="Z178" s="42">
        <f ca="1">Z110*INDEX('Timing &amp; Flags'!Z89:Z91,MATCH($D$145,Indexation,0))</f>
        <v>0</v>
      </c>
      <c r="AA178" s="42">
        <f ca="1">AA110*INDEX('Timing &amp; Flags'!AA89:AA91,MATCH($D$145,Indexation,0))</f>
        <v>0</v>
      </c>
      <c r="AB178" s="42">
        <f ca="1">AB110*INDEX('Timing &amp; Flags'!AB89:AB91,MATCH($D$145,Indexation,0))</f>
        <v>0</v>
      </c>
      <c r="AC178" s="42">
        <f ca="1">AC110*INDEX('Timing &amp; Flags'!AC89:AC91,MATCH($D$145,Indexation,0))</f>
        <v>0</v>
      </c>
      <c r="AD178" s="42">
        <f ca="1">AD110*INDEX('Timing &amp; Flags'!AD89:AD91,MATCH($D$145,Indexation,0))</f>
        <v>0</v>
      </c>
      <c r="AE178" s="42">
        <f ca="1">AE110*INDEX('Timing &amp; Flags'!AE89:AE91,MATCH($D$145,Indexation,0))</f>
        <v>0</v>
      </c>
      <c r="AF178" s="42">
        <f ca="1">AF110*INDEX('Timing &amp; Flags'!AF89:AF91,MATCH($D$145,Indexation,0))</f>
        <v>0</v>
      </c>
      <c r="AG178" s="42">
        <f ca="1">AG110*INDEX('Timing &amp; Flags'!AG89:AG91,MATCH($D$145,Indexation,0))</f>
        <v>0</v>
      </c>
      <c r="AH178" s="42">
        <f ca="1">AH110*INDEX('Timing &amp; Flags'!AH89:AH91,MATCH($D$145,Indexation,0))</f>
        <v>0</v>
      </c>
      <c r="AI178" s="42">
        <f ca="1">AI110*INDEX('Timing &amp; Flags'!AI89:AI91,MATCH($D$145,Indexation,0))</f>
        <v>0</v>
      </c>
      <c r="AJ178" s="42">
        <f ca="1">AJ110*INDEX('Timing &amp; Flags'!AJ89:AJ91,MATCH($D$145,Indexation,0))</f>
        <v>0</v>
      </c>
      <c r="AK178" s="42">
        <f ca="1">AK110*INDEX('Timing &amp; Flags'!AK89:AK91,MATCH($D$145,Indexation,0))</f>
        <v>0</v>
      </c>
      <c r="AL178" s="42">
        <f ca="1">AL110*INDEX('Timing &amp; Flags'!AL89:AL91,MATCH($D$145,Indexation,0))</f>
        <v>0</v>
      </c>
      <c r="AM178" s="42">
        <f>AM110*INDEX('Timing &amp; Flags'!AM89:AM91,MATCH($D$145,Indexation,0))</f>
        <v>0</v>
      </c>
      <c r="AN178" s="42">
        <f>AN110*INDEX('Timing &amp; Flags'!AN89:AN91,MATCH($D$145,Indexation,0))</f>
        <v>0</v>
      </c>
      <c r="AO178" s="42">
        <f>AO110*INDEX('Timing &amp; Flags'!AO89:AO91,MATCH($D$145,Indexation,0))</f>
        <v>0</v>
      </c>
      <c r="AP178" s="42">
        <f>AP110*INDEX('Timing &amp; Flags'!AP89:AP91,MATCH($D$145,Indexation,0))</f>
        <v>0</v>
      </c>
      <c r="AQ178" s="42">
        <f>AQ110*INDEX('Timing &amp; Flags'!AQ89:AQ91,MATCH($D$145,Indexation,0))</f>
        <v>0</v>
      </c>
      <c r="AR178" s="42">
        <f>AR110*INDEX('Timing &amp; Flags'!AR89:AR91,MATCH($D$145,Indexation,0))</f>
        <v>0</v>
      </c>
      <c r="AS178" s="42">
        <f>AS110*INDEX('Timing &amp; Flags'!AS89:AS91,MATCH($D$145,Indexation,0))</f>
        <v>0</v>
      </c>
      <c r="AT178" s="42">
        <f>AT110*INDEX('Timing &amp; Flags'!AT89:AT91,MATCH($D$145,Indexation,0))</f>
        <v>0</v>
      </c>
      <c r="AU178" s="42">
        <f>AU110*INDEX('Timing &amp; Flags'!AU89:AU91,MATCH($D$145,Indexation,0))</f>
        <v>0</v>
      </c>
      <c r="AV178" s="42">
        <f>AV110*INDEX('Timing &amp; Flags'!AV89:AV91,MATCH($D$145,Indexation,0))</f>
        <v>0</v>
      </c>
      <c r="AW178" s="42">
        <f>AW110*INDEX('Timing &amp; Flags'!AW89:AW91,MATCH($D$145,Indexation,0))</f>
        <v>0</v>
      </c>
    </row>
    <row r="179" spans="1:49">
      <c r="A179" s="12"/>
      <c r="B179" s="2" t="s">
        <v>968</v>
      </c>
      <c r="C179" s="15" t="str">
        <f t="shared" si="56"/>
        <v>US$</v>
      </c>
      <c r="D179" s="41">
        <f t="shared" ref="D179:D184" ca="1" si="61">SUM(I179:AW179)</f>
        <v>0</v>
      </c>
      <c r="I179" s="42">
        <f>I111*INDEX('Timing &amp; Flags'!I89:I91,MATCH($D$145,Indexation,0))</f>
        <v>0</v>
      </c>
      <c r="J179" s="42">
        <f>J111*INDEX('Timing &amp; Flags'!J89:J91,MATCH($D$145,Indexation,0))</f>
        <v>0</v>
      </c>
      <c r="K179" s="42">
        <f>K111*INDEX('Timing &amp; Flags'!K89:K91,MATCH($D$145,Indexation,0))</f>
        <v>0</v>
      </c>
      <c r="L179" s="42">
        <f ca="1">L111*INDEX('Timing &amp; Flags'!L89:L91,MATCH($D$145,Indexation,0))</f>
        <v>0</v>
      </c>
      <c r="M179" s="42">
        <f ca="1">M111*INDEX('Timing &amp; Flags'!M89:M91,MATCH($D$145,Indexation,0))</f>
        <v>0</v>
      </c>
      <c r="N179" s="42">
        <f ca="1">N111*INDEX('Timing &amp; Flags'!N89:N91,MATCH($D$145,Indexation,0))</f>
        <v>0</v>
      </c>
      <c r="O179" s="42">
        <f ca="1">O111*INDEX('Timing &amp; Flags'!O89:O91,MATCH($D$145,Indexation,0))</f>
        <v>0</v>
      </c>
      <c r="P179" s="42">
        <f ca="1">P111*INDEX('Timing &amp; Flags'!P89:P91,MATCH($D$145,Indexation,0))</f>
        <v>0</v>
      </c>
      <c r="Q179" s="42">
        <f ca="1">Q111*INDEX('Timing &amp; Flags'!Q89:Q91,MATCH($D$145,Indexation,0))</f>
        <v>0</v>
      </c>
      <c r="R179" s="42">
        <f ca="1">R111*INDEX('Timing &amp; Flags'!R89:R91,MATCH($D$145,Indexation,0))</f>
        <v>0</v>
      </c>
      <c r="S179" s="42">
        <f ca="1">S111*INDEX('Timing &amp; Flags'!S89:S91,MATCH($D$145,Indexation,0))</f>
        <v>0</v>
      </c>
      <c r="T179" s="42">
        <f ca="1">T111*INDEX('Timing &amp; Flags'!T89:T91,MATCH($D$145,Indexation,0))</f>
        <v>0</v>
      </c>
      <c r="U179" s="42">
        <f ca="1">U111*INDEX('Timing &amp; Flags'!U89:U91,MATCH($D$145,Indexation,0))</f>
        <v>0</v>
      </c>
      <c r="V179" s="42">
        <f ca="1">V111*INDEX('Timing &amp; Flags'!V89:V91,MATCH($D$145,Indexation,0))</f>
        <v>0</v>
      </c>
      <c r="W179" s="42">
        <f ca="1">W111*INDEX('Timing &amp; Flags'!W89:W91,MATCH($D$145,Indexation,0))</f>
        <v>0</v>
      </c>
      <c r="X179" s="42">
        <f ca="1">X111*INDEX('Timing &amp; Flags'!X89:X91,MATCH($D$145,Indexation,0))</f>
        <v>0</v>
      </c>
      <c r="Y179" s="42">
        <f ca="1">Y111*INDEX('Timing &amp; Flags'!Y89:Y91,MATCH($D$145,Indexation,0))</f>
        <v>0</v>
      </c>
      <c r="Z179" s="42">
        <f ca="1">Z111*INDEX('Timing &amp; Flags'!Z89:Z91,MATCH($D$145,Indexation,0))</f>
        <v>0</v>
      </c>
      <c r="AA179" s="42">
        <f ca="1">AA111*INDEX('Timing &amp; Flags'!AA89:AA91,MATCH($D$145,Indexation,0))</f>
        <v>0</v>
      </c>
      <c r="AB179" s="42">
        <f ca="1">AB111*INDEX('Timing &amp; Flags'!AB89:AB91,MATCH($D$145,Indexation,0))</f>
        <v>0</v>
      </c>
      <c r="AC179" s="42">
        <f ca="1">AC111*INDEX('Timing &amp; Flags'!AC89:AC91,MATCH($D$145,Indexation,0))</f>
        <v>0</v>
      </c>
      <c r="AD179" s="42">
        <f ca="1">AD111*INDEX('Timing &amp; Flags'!AD89:AD91,MATCH($D$145,Indexation,0))</f>
        <v>0</v>
      </c>
      <c r="AE179" s="42">
        <f ca="1">AE111*INDEX('Timing &amp; Flags'!AE89:AE91,MATCH($D$145,Indexation,0))</f>
        <v>0</v>
      </c>
      <c r="AF179" s="42">
        <f ca="1">AF111*INDEX('Timing &amp; Flags'!AF89:AF91,MATCH($D$145,Indexation,0))</f>
        <v>0</v>
      </c>
      <c r="AG179" s="42">
        <f ca="1">AG111*INDEX('Timing &amp; Flags'!AG89:AG91,MATCH($D$145,Indexation,0))</f>
        <v>0</v>
      </c>
      <c r="AH179" s="42">
        <f ca="1">AH111*INDEX('Timing &amp; Flags'!AH89:AH91,MATCH($D$145,Indexation,0))</f>
        <v>0</v>
      </c>
      <c r="AI179" s="42">
        <f ca="1">AI111*INDEX('Timing &amp; Flags'!AI89:AI91,MATCH($D$145,Indexation,0))</f>
        <v>0</v>
      </c>
      <c r="AJ179" s="42">
        <f ca="1">AJ111*INDEX('Timing &amp; Flags'!AJ89:AJ91,MATCH($D$145,Indexation,0))</f>
        <v>0</v>
      </c>
      <c r="AK179" s="42">
        <f ca="1">AK111*INDEX('Timing &amp; Flags'!AK89:AK91,MATCH($D$145,Indexation,0))</f>
        <v>0</v>
      </c>
      <c r="AL179" s="42">
        <f ca="1">AL111*INDEX('Timing &amp; Flags'!AL89:AL91,MATCH($D$145,Indexation,0))</f>
        <v>0</v>
      </c>
      <c r="AM179" s="42">
        <f>AM111*INDEX('Timing &amp; Flags'!AM89:AM91,MATCH($D$145,Indexation,0))</f>
        <v>0</v>
      </c>
      <c r="AN179" s="42">
        <f>AN111*INDEX('Timing &amp; Flags'!AN89:AN91,MATCH($D$145,Indexation,0))</f>
        <v>0</v>
      </c>
      <c r="AO179" s="42">
        <f>AO111*INDEX('Timing &amp; Flags'!AO89:AO91,MATCH($D$145,Indexation,0))</f>
        <v>0</v>
      </c>
      <c r="AP179" s="42">
        <f>AP111*INDEX('Timing &amp; Flags'!AP89:AP91,MATCH($D$145,Indexation,0))</f>
        <v>0</v>
      </c>
      <c r="AQ179" s="42">
        <f>AQ111*INDEX('Timing &amp; Flags'!AQ89:AQ91,MATCH($D$145,Indexation,0))</f>
        <v>0</v>
      </c>
      <c r="AR179" s="42">
        <f>AR111*INDEX('Timing &amp; Flags'!AR89:AR91,MATCH($D$145,Indexation,0))</f>
        <v>0</v>
      </c>
      <c r="AS179" s="42">
        <f>AS111*INDEX('Timing &amp; Flags'!AS89:AS91,MATCH($D$145,Indexation,0))</f>
        <v>0</v>
      </c>
      <c r="AT179" s="42">
        <f>AT111*INDEX('Timing &amp; Flags'!AT89:AT91,MATCH($D$145,Indexation,0))</f>
        <v>0</v>
      </c>
      <c r="AU179" s="42">
        <f>AU111*INDEX('Timing &amp; Flags'!AU89:AU91,MATCH($D$145,Indexation,0))</f>
        <v>0</v>
      </c>
      <c r="AV179" s="42">
        <f>AV111*INDEX('Timing &amp; Flags'!AV89:AV91,MATCH($D$145,Indexation,0))</f>
        <v>0</v>
      </c>
      <c r="AW179" s="42">
        <f>AW111*INDEX('Timing &amp; Flags'!AW89:AW91,MATCH($D$145,Indexation,0))</f>
        <v>0</v>
      </c>
    </row>
    <row r="180" spans="1:49">
      <c r="A180" s="12"/>
      <c r="B180" s="2" t="s">
        <v>969</v>
      </c>
      <c r="C180" s="15" t="str">
        <f t="shared" si="56"/>
        <v>US$</v>
      </c>
      <c r="D180" s="41">
        <f t="shared" ca="1" si="61"/>
        <v>0</v>
      </c>
      <c r="I180" s="42">
        <f>I112*INDEX('Timing &amp; Flags'!I89:I91,MATCH($D$145,Indexation,0))</f>
        <v>0</v>
      </c>
      <c r="J180" s="42">
        <f>J112*INDEX('Timing &amp; Flags'!J89:J91,MATCH($D$145,Indexation,0))</f>
        <v>0</v>
      </c>
      <c r="K180" s="42">
        <f>K112*INDEX('Timing &amp; Flags'!K89:K91,MATCH($D$145,Indexation,0))</f>
        <v>0</v>
      </c>
      <c r="L180" s="42">
        <f ca="1">L112*INDEX('Timing &amp; Flags'!L89:L91,MATCH($D$145,Indexation,0))</f>
        <v>0</v>
      </c>
      <c r="M180" s="42">
        <f ca="1">M112*INDEX('Timing &amp; Flags'!M89:M91,MATCH($D$145,Indexation,0))</f>
        <v>0</v>
      </c>
      <c r="N180" s="42">
        <f ca="1">N112*INDEX('Timing &amp; Flags'!N89:N91,MATCH($D$145,Indexation,0))</f>
        <v>0</v>
      </c>
      <c r="O180" s="42">
        <f ca="1">O112*INDEX('Timing &amp; Flags'!O89:O91,MATCH($D$145,Indexation,0))</f>
        <v>0</v>
      </c>
      <c r="P180" s="42">
        <f ca="1">P112*INDEX('Timing &amp; Flags'!P89:P91,MATCH($D$145,Indexation,0))</f>
        <v>0</v>
      </c>
      <c r="Q180" s="42">
        <f ca="1">Q112*INDEX('Timing &amp; Flags'!Q89:Q91,MATCH($D$145,Indexation,0))</f>
        <v>0</v>
      </c>
      <c r="R180" s="42">
        <f ca="1">R112*INDEX('Timing &amp; Flags'!R89:R91,MATCH($D$145,Indexation,0))</f>
        <v>0</v>
      </c>
      <c r="S180" s="42">
        <f ca="1">S112*INDEX('Timing &amp; Flags'!S89:S91,MATCH($D$145,Indexation,0))</f>
        <v>0</v>
      </c>
      <c r="T180" s="42">
        <f ca="1">T112*INDEX('Timing &amp; Flags'!T89:T91,MATCH($D$145,Indexation,0))</f>
        <v>0</v>
      </c>
      <c r="U180" s="42">
        <f ca="1">U112*INDEX('Timing &amp; Flags'!U89:U91,MATCH($D$145,Indexation,0))</f>
        <v>0</v>
      </c>
      <c r="V180" s="42">
        <f ca="1">V112*INDEX('Timing &amp; Flags'!V89:V91,MATCH($D$145,Indexation,0))</f>
        <v>0</v>
      </c>
      <c r="W180" s="42">
        <f ca="1">W112*INDEX('Timing &amp; Flags'!W89:W91,MATCH($D$145,Indexation,0))</f>
        <v>0</v>
      </c>
      <c r="X180" s="42">
        <f ca="1">X112*INDEX('Timing &amp; Flags'!X89:X91,MATCH($D$145,Indexation,0))</f>
        <v>0</v>
      </c>
      <c r="Y180" s="42">
        <f ca="1">Y112*INDEX('Timing &amp; Flags'!Y89:Y91,MATCH($D$145,Indexation,0))</f>
        <v>0</v>
      </c>
      <c r="Z180" s="42">
        <f ca="1">Z112*INDEX('Timing &amp; Flags'!Z89:Z91,MATCH($D$145,Indexation,0))</f>
        <v>0</v>
      </c>
      <c r="AA180" s="42">
        <f ca="1">AA112*INDEX('Timing &amp; Flags'!AA89:AA91,MATCH($D$145,Indexation,0))</f>
        <v>0</v>
      </c>
      <c r="AB180" s="42">
        <f ca="1">AB112*INDEX('Timing &amp; Flags'!AB89:AB91,MATCH($D$145,Indexation,0))</f>
        <v>0</v>
      </c>
      <c r="AC180" s="42">
        <f ca="1">AC112*INDEX('Timing &amp; Flags'!AC89:AC91,MATCH($D$145,Indexation,0))</f>
        <v>0</v>
      </c>
      <c r="AD180" s="42">
        <f ca="1">AD112*INDEX('Timing &amp; Flags'!AD89:AD91,MATCH($D$145,Indexation,0))</f>
        <v>0</v>
      </c>
      <c r="AE180" s="42">
        <f ca="1">AE112*INDEX('Timing &amp; Flags'!AE89:AE91,MATCH($D$145,Indexation,0))</f>
        <v>0</v>
      </c>
      <c r="AF180" s="42">
        <f ca="1">AF112*INDEX('Timing &amp; Flags'!AF89:AF91,MATCH($D$145,Indexation,0))</f>
        <v>0</v>
      </c>
      <c r="AG180" s="42">
        <f ca="1">AG112*INDEX('Timing &amp; Flags'!AG89:AG91,MATCH($D$145,Indexation,0))</f>
        <v>0</v>
      </c>
      <c r="AH180" s="42">
        <f ca="1">AH112*INDEX('Timing &amp; Flags'!AH89:AH91,MATCH($D$145,Indexation,0))</f>
        <v>0</v>
      </c>
      <c r="AI180" s="42">
        <f ca="1">AI112*INDEX('Timing &amp; Flags'!AI89:AI91,MATCH($D$145,Indexation,0))</f>
        <v>0</v>
      </c>
      <c r="AJ180" s="42">
        <f ca="1">AJ112*INDEX('Timing &amp; Flags'!AJ89:AJ91,MATCH($D$145,Indexation,0))</f>
        <v>0</v>
      </c>
      <c r="AK180" s="42">
        <f ca="1">AK112*INDEX('Timing &amp; Flags'!AK89:AK91,MATCH($D$145,Indexation,0))</f>
        <v>0</v>
      </c>
      <c r="AL180" s="42">
        <f ca="1">AL112*INDEX('Timing &amp; Flags'!AL89:AL91,MATCH($D$145,Indexation,0))</f>
        <v>0</v>
      </c>
      <c r="AM180" s="42">
        <f>AM112*INDEX('Timing &amp; Flags'!AM89:AM91,MATCH($D$145,Indexation,0))</f>
        <v>0</v>
      </c>
      <c r="AN180" s="42">
        <f>AN112*INDEX('Timing &amp; Flags'!AN89:AN91,MATCH($D$145,Indexation,0))</f>
        <v>0</v>
      </c>
      <c r="AO180" s="42">
        <f>AO112*INDEX('Timing &amp; Flags'!AO89:AO91,MATCH($D$145,Indexation,0))</f>
        <v>0</v>
      </c>
      <c r="AP180" s="42">
        <f>AP112*INDEX('Timing &amp; Flags'!AP89:AP91,MATCH($D$145,Indexation,0))</f>
        <v>0</v>
      </c>
      <c r="AQ180" s="42">
        <f>AQ112*INDEX('Timing &amp; Flags'!AQ89:AQ91,MATCH($D$145,Indexation,0))</f>
        <v>0</v>
      </c>
      <c r="AR180" s="42">
        <f>AR112*INDEX('Timing &amp; Flags'!AR89:AR91,MATCH($D$145,Indexation,0))</f>
        <v>0</v>
      </c>
      <c r="AS180" s="42">
        <f>AS112*INDEX('Timing &amp; Flags'!AS89:AS91,MATCH($D$145,Indexation,0))</f>
        <v>0</v>
      </c>
      <c r="AT180" s="42">
        <f>AT112*INDEX('Timing &amp; Flags'!AT89:AT91,MATCH($D$145,Indexation,0))</f>
        <v>0</v>
      </c>
      <c r="AU180" s="42">
        <f>AU112*INDEX('Timing &amp; Flags'!AU89:AU91,MATCH($D$145,Indexation,0))</f>
        <v>0</v>
      </c>
      <c r="AV180" s="42">
        <f>AV112*INDEX('Timing &amp; Flags'!AV89:AV91,MATCH($D$145,Indexation,0))</f>
        <v>0</v>
      </c>
      <c r="AW180" s="42">
        <f>AW112*INDEX('Timing &amp; Flags'!AW89:AW91,MATCH($D$145,Indexation,0))</f>
        <v>0</v>
      </c>
    </row>
    <row r="181" spans="1:49">
      <c r="A181" s="12"/>
      <c r="B181" s="2" t="s">
        <v>970</v>
      </c>
      <c r="C181" s="15" t="str">
        <f t="shared" si="56"/>
        <v>US$</v>
      </c>
      <c r="D181" s="41">
        <f t="shared" ca="1" si="61"/>
        <v>0</v>
      </c>
      <c r="I181" s="42">
        <f>I113*INDEX('Timing &amp; Flags'!I89:I91,MATCH($D$145,Indexation,0))</f>
        <v>0</v>
      </c>
      <c r="J181" s="42">
        <f>J113*INDEX('Timing &amp; Flags'!J89:J91,MATCH($D$145,Indexation,0))</f>
        <v>0</v>
      </c>
      <c r="K181" s="42">
        <f>K113*INDEX('Timing &amp; Flags'!K89:K91,MATCH($D$145,Indexation,0))</f>
        <v>0</v>
      </c>
      <c r="L181" s="42">
        <f ca="1">L113*INDEX('Timing &amp; Flags'!L89:L91,MATCH($D$145,Indexation,0))</f>
        <v>0</v>
      </c>
      <c r="M181" s="42">
        <f ca="1">M113*INDEX('Timing &amp; Flags'!M89:M91,MATCH($D$145,Indexation,0))</f>
        <v>0</v>
      </c>
      <c r="N181" s="42">
        <f ca="1">N113*INDEX('Timing &amp; Flags'!N89:N91,MATCH($D$145,Indexation,0))</f>
        <v>0</v>
      </c>
      <c r="O181" s="42">
        <f ca="1">O113*INDEX('Timing &amp; Flags'!O89:O91,MATCH($D$145,Indexation,0))</f>
        <v>0</v>
      </c>
      <c r="P181" s="42">
        <f ca="1">P113*INDEX('Timing &amp; Flags'!P89:P91,MATCH($D$145,Indexation,0))</f>
        <v>0</v>
      </c>
      <c r="Q181" s="42">
        <f ca="1">Q113*INDEX('Timing &amp; Flags'!Q89:Q91,MATCH($D$145,Indexation,0))</f>
        <v>0</v>
      </c>
      <c r="R181" s="42">
        <f ca="1">R113*INDEX('Timing &amp; Flags'!R89:R91,MATCH($D$145,Indexation,0))</f>
        <v>0</v>
      </c>
      <c r="S181" s="42">
        <f ca="1">S113*INDEX('Timing &amp; Flags'!S89:S91,MATCH($D$145,Indexation,0))</f>
        <v>0</v>
      </c>
      <c r="T181" s="42">
        <f ca="1">T113*INDEX('Timing &amp; Flags'!T89:T91,MATCH($D$145,Indexation,0))</f>
        <v>0</v>
      </c>
      <c r="U181" s="42">
        <f ca="1">U113*INDEX('Timing &amp; Flags'!U89:U91,MATCH($D$145,Indexation,0))</f>
        <v>0</v>
      </c>
      <c r="V181" s="42">
        <f ca="1">V113*INDEX('Timing &amp; Flags'!V89:V91,MATCH($D$145,Indexation,0))</f>
        <v>0</v>
      </c>
      <c r="W181" s="42">
        <f ca="1">W113*INDEX('Timing &amp; Flags'!W89:W91,MATCH($D$145,Indexation,0))</f>
        <v>0</v>
      </c>
      <c r="X181" s="42">
        <f ca="1">X113*INDEX('Timing &amp; Flags'!X89:X91,MATCH($D$145,Indexation,0))</f>
        <v>0</v>
      </c>
      <c r="Y181" s="42">
        <f ca="1">Y113*INDEX('Timing &amp; Flags'!Y89:Y91,MATCH($D$145,Indexation,0))</f>
        <v>0</v>
      </c>
      <c r="Z181" s="42">
        <f ca="1">Z113*INDEX('Timing &amp; Flags'!Z89:Z91,MATCH($D$145,Indexation,0))</f>
        <v>0</v>
      </c>
      <c r="AA181" s="42">
        <f ca="1">AA113*INDEX('Timing &amp; Flags'!AA89:AA91,MATCH($D$145,Indexation,0))</f>
        <v>0</v>
      </c>
      <c r="AB181" s="42">
        <f ca="1">AB113*INDEX('Timing &amp; Flags'!AB89:AB91,MATCH($D$145,Indexation,0))</f>
        <v>0</v>
      </c>
      <c r="AC181" s="42">
        <f ca="1">AC113*INDEX('Timing &amp; Flags'!AC89:AC91,MATCH($D$145,Indexation,0))</f>
        <v>0</v>
      </c>
      <c r="AD181" s="42">
        <f ca="1">AD113*INDEX('Timing &amp; Flags'!AD89:AD91,MATCH($D$145,Indexation,0))</f>
        <v>0</v>
      </c>
      <c r="AE181" s="42">
        <f ca="1">AE113*INDEX('Timing &amp; Flags'!AE89:AE91,MATCH($D$145,Indexation,0))</f>
        <v>0</v>
      </c>
      <c r="AF181" s="42">
        <f ca="1">AF113*INDEX('Timing &amp; Flags'!AF89:AF91,MATCH($D$145,Indexation,0))</f>
        <v>0</v>
      </c>
      <c r="AG181" s="42">
        <f ca="1">AG113*INDEX('Timing &amp; Flags'!AG89:AG91,MATCH($D$145,Indexation,0))</f>
        <v>0</v>
      </c>
      <c r="AH181" s="42">
        <f ca="1">AH113*INDEX('Timing &amp; Flags'!AH89:AH91,MATCH($D$145,Indexation,0))</f>
        <v>0</v>
      </c>
      <c r="AI181" s="42">
        <f ca="1">AI113*INDEX('Timing &amp; Flags'!AI89:AI91,MATCH($D$145,Indexation,0))</f>
        <v>0</v>
      </c>
      <c r="AJ181" s="42">
        <f ca="1">AJ113*INDEX('Timing &amp; Flags'!AJ89:AJ91,MATCH($D$145,Indexation,0))</f>
        <v>0</v>
      </c>
      <c r="AK181" s="42">
        <f ca="1">AK113*INDEX('Timing &amp; Flags'!AK89:AK91,MATCH($D$145,Indexation,0))</f>
        <v>0</v>
      </c>
      <c r="AL181" s="42">
        <f ca="1">AL113*INDEX('Timing &amp; Flags'!AL89:AL91,MATCH($D$145,Indexation,0))</f>
        <v>0</v>
      </c>
      <c r="AM181" s="42">
        <f>AM113*INDEX('Timing &amp; Flags'!AM89:AM91,MATCH($D$145,Indexation,0))</f>
        <v>0</v>
      </c>
      <c r="AN181" s="42">
        <f>AN113*INDEX('Timing &amp; Flags'!AN89:AN91,MATCH($D$145,Indexation,0))</f>
        <v>0</v>
      </c>
      <c r="AO181" s="42">
        <f>AO113*INDEX('Timing &amp; Flags'!AO89:AO91,MATCH($D$145,Indexation,0))</f>
        <v>0</v>
      </c>
      <c r="AP181" s="42">
        <f>AP113*INDEX('Timing &amp; Flags'!AP89:AP91,MATCH($D$145,Indexation,0))</f>
        <v>0</v>
      </c>
      <c r="AQ181" s="42">
        <f>AQ113*INDEX('Timing &amp; Flags'!AQ89:AQ91,MATCH($D$145,Indexation,0))</f>
        <v>0</v>
      </c>
      <c r="AR181" s="42">
        <f>AR113*INDEX('Timing &amp; Flags'!AR89:AR91,MATCH($D$145,Indexation,0))</f>
        <v>0</v>
      </c>
      <c r="AS181" s="42">
        <f>AS113*INDEX('Timing &amp; Flags'!AS89:AS91,MATCH($D$145,Indexation,0))</f>
        <v>0</v>
      </c>
      <c r="AT181" s="42">
        <f>AT113*INDEX('Timing &amp; Flags'!AT89:AT91,MATCH($D$145,Indexation,0))</f>
        <v>0</v>
      </c>
      <c r="AU181" s="42">
        <f>AU113*INDEX('Timing &amp; Flags'!AU89:AU91,MATCH($D$145,Indexation,0))</f>
        <v>0</v>
      </c>
      <c r="AV181" s="42">
        <f>AV113*INDEX('Timing &amp; Flags'!AV89:AV91,MATCH($D$145,Indexation,0))</f>
        <v>0</v>
      </c>
      <c r="AW181" s="42">
        <f>AW113*INDEX('Timing &amp; Flags'!AW89:AW91,MATCH($D$145,Indexation,0))</f>
        <v>0</v>
      </c>
    </row>
    <row r="182" spans="1:49">
      <c r="A182" s="12"/>
      <c r="B182" s="2" t="s">
        <v>971</v>
      </c>
      <c r="C182" s="15" t="str">
        <f t="shared" si="56"/>
        <v>US$</v>
      </c>
      <c r="D182" s="41">
        <f t="shared" ca="1" si="61"/>
        <v>0</v>
      </c>
      <c r="I182" s="42">
        <f>I114*INDEX('Timing &amp; Flags'!I89:I91,MATCH($D$145,Indexation,0))</f>
        <v>0</v>
      </c>
      <c r="J182" s="42">
        <f>J114*INDEX('Timing &amp; Flags'!J89:J91,MATCH($D$145,Indexation,0))</f>
        <v>0</v>
      </c>
      <c r="K182" s="42">
        <f>K114*INDEX('Timing &amp; Flags'!K89:K91,MATCH($D$145,Indexation,0))</f>
        <v>0</v>
      </c>
      <c r="L182" s="42">
        <f ca="1">L114*INDEX('Timing &amp; Flags'!L89:L91,MATCH($D$145,Indexation,0))</f>
        <v>0</v>
      </c>
      <c r="M182" s="42">
        <f ca="1">M114*INDEX('Timing &amp; Flags'!M89:M91,MATCH($D$145,Indexation,0))</f>
        <v>0</v>
      </c>
      <c r="N182" s="42">
        <f ca="1">N114*INDEX('Timing &amp; Flags'!N89:N91,MATCH($D$145,Indexation,0))</f>
        <v>0</v>
      </c>
      <c r="O182" s="42">
        <f ca="1">O114*INDEX('Timing &amp; Flags'!O89:O91,MATCH($D$145,Indexation,0))</f>
        <v>0</v>
      </c>
      <c r="P182" s="42">
        <f ca="1">P114*INDEX('Timing &amp; Flags'!P89:P91,MATCH($D$145,Indexation,0))</f>
        <v>0</v>
      </c>
      <c r="Q182" s="42">
        <f ca="1">Q114*INDEX('Timing &amp; Flags'!Q89:Q91,MATCH($D$145,Indexation,0))</f>
        <v>0</v>
      </c>
      <c r="R182" s="42">
        <f ca="1">R114*INDEX('Timing &amp; Flags'!R89:R91,MATCH($D$145,Indexation,0))</f>
        <v>0</v>
      </c>
      <c r="S182" s="42">
        <f ca="1">S114*INDEX('Timing &amp; Flags'!S89:S91,MATCH($D$145,Indexation,0))</f>
        <v>0</v>
      </c>
      <c r="T182" s="42">
        <f ca="1">T114*INDEX('Timing &amp; Flags'!T89:T91,MATCH($D$145,Indexation,0))</f>
        <v>0</v>
      </c>
      <c r="U182" s="42">
        <f ca="1">U114*INDEX('Timing &amp; Flags'!U89:U91,MATCH($D$145,Indexation,0))</f>
        <v>0</v>
      </c>
      <c r="V182" s="42">
        <f ca="1">V114*INDEX('Timing &amp; Flags'!V89:V91,MATCH($D$145,Indexation,0))</f>
        <v>0</v>
      </c>
      <c r="W182" s="42">
        <f ca="1">W114*INDEX('Timing &amp; Flags'!W89:W91,MATCH($D$145,Indexation,0))</f>
        <v>0</v>
      </c>
      <c r="X182" s="42">
        <f ca="1">X114*INDEX('Timing &amp; Flags'!X89:X91,MATCH($D$145,Indexation,0))</f>
        <v>0</v>
      </c>
      <c r="Y182" s="42">
        <f ca="1">Y114*INDEX('Timing &amp; Flags'!Y89:Y91,MATCH($D$145,Indexation,0))</f>
        <v>0</v>
      </c>
      <c r="Z182" s="42">
        <f ca="1">Z114*INDEX('Timing &amp; Flags'!Z89:Z91,MATCH($D$145,Indexation,0))</f>
        <v>0</v>
      </c>
      <c r="AA182" s="42">
        <f ca="1">AA114*INDEX('Timing &amp; Flags'!AA89:AA91,MATCH($D$145,Indexation,0))</f>
        <v>0</v>
      </c>
      <c r="AB182" s="42">
        <f ca="1">AB114*INDEX('Timing &amp; Flags'!AB89:AB91,MATCH($D$145,Indexation,0))</f>
        <v>0</v>
      </c>
      <c r="AC182" s="42">
        <f ca="1">AC114*INDEX('Timing &amp; Flags'!AC89:AC91,MATCH($D$145,Indexation,0))</f>
        <v>0</v>
      </c>
      <c r="AD182" s="42">
        <f ca="1">AD114*INDEX('Timing &amp; Flags'!AD89:AD91,MATCH($D$145,Indexation,0))</f>
        <v>0</v>
      </c>
      <c r="AE182" s="42">
        <f ca="1">AE114*INDEX('Timing &amp; Flags'!AE89:AE91,MATCH($D$145,Indexation,0))</f>
        <v>0</v>
      </c>
      <c r="AF182" s="42">
        <f ca="1">AF114*INDEX('Timing &amp; Flags'!AF89:AF91,MATCH($D$145,Indexation,0))</f>
        <v>0</v>
      </c>
      <c r="AG182" s="42">
        <f ca="1">AG114*INDEX('Timing &amp; Flags'!AG89:AG91,MATCH($D$145,Indexation,0))</f>
        <v>0</v>
      </c>
      <c r="AH182" s="42">
        <f ca="1">AH114*INDEX('Timing &amp; Flags'!AH89:AH91,MATCH($D$145,Indexation,0))</f>
        <v>0</v>
      </c>
      <c r="AI182" s="42">
        <f ca="1">AI114*INDEX('Timing &amp; Flags'!AI89:AI91,MATCH($D$145,Indexation,0))</f>
        <v>0</v>
      </c>
      <c r="AJ182" s="42">
        <f ca="1">AJ114*INDEX('Timing &amp; Flags'!AJ89:AJ91,MATCH($D$145,Indexation,0))</f>
        <v>0</v>
      </c>
      <c r="AK182" s="42">
        <f ca="1">AK114*INDEX('Timing &amp; Flags'!AK89:AK91,MATCH($D$145,Indexation,0))</f>
        <v>0</v>
      </c>
      <c r="AL182" s="42">
        <f ca="1">AL114*INDEX('Timing &amp; Flags'!AL89:AL91,MATCH($D$145,Indexation,0))</f>
        <v>0</v>
      </c>
      <c r="AM182" s="42">
        <f>AM114*INDEX('Timing &amp; Flags'!AM89:AM91,MATCH($D$145,Indexation,0))</f>
        <v>0</v>
      </c>
      <c r="AN182" s="42">
        <f>AN114*INDEX('Timing &amp; Flags'!AN89:AN91,MATCH($D$145,Indexation,0))</f>
        <v>0</v>
      </c>
      <c r="AO182" s="42">
        <f>AO114*INDEX('Timing &amp; Flags'!AO89:AO91,MATCH($D$145,Indexation,0))</f>
        <v>0</v>
      </c>
      <c r="AP182" s="42">
        <f>AP114*INDEX('Timing &amp; Flags'!AP89:AP91,MATCH($D$145,Indexation,0))</f>
        <v>0</v>
      </c>
      <c r="AQ182" s="42">
        <f>AQ114*INDEX('Timing &amp; Flags'!AQ89:AQ91,MATCH($D$145,Indexation,0))</f>
        <v>0</v>
      </c>
      <c r="AR182" s="42">
        <f>AR114*INDEX('Timing &amp; Flags'!AR89:AR91,MATCH($D$145,Indexation,0))</f>
        <v>0</v>
      </c>
      <c r="AS182" s="42">
        <f>AS114*INDEX('Timing &amp; Flags'!AS89:AS91,MATCH($D$145,Indexation,0))</f>
        <v>0</v>
      </c>
      <c r="AT182" s="42">
        <f>AT114*INDEX('Timing &amp; Flags'!AT89:AT91,MATCH($D$145,Indexation,0))</f>
        <v>0</v>
      </c>
      <c r="AU182" s="42">
        <f>AU114*INDEX('Timing &amp; Flags'!AU89:AU91,MATCH($D$145,Indexation,0))</f>
        <v>0</v>
      </c>
      <c r="AV182" s="42">
        <f>AV114*INDEX('Timing &amp; Flags'!AV89:AV91,MATCH($D$145,Indexation,0))</f>
        <v>0</v>
      </c>
      <c r="AW182" s="42">
        <f>AW114*INDEX('Timing &amp; Flags'!AW89:AW91,MATCH($D$145,Indexation,0))</f>
        <v>0</v>
      </c>
    </row>
    <row r="183" spans="1:49">
      <c r="A183" s="12"/>
      <c r="B183" s="2" t="s">
        <v>972</v>
      </c>
      <c r="C183" s="15" t="str">
        <f t="shared" si="56"/>
        <v>US$</v>
      </c>
      <c r="D183" s="41">
        <f t="shared" ca="1" si="61"/>
        <v>0</v>
      </c>
      <c r="I183" s="42">
        <f>I115*INDEX('Timing &amp; Flags'!I89:I91,MATCH($D$145,Indexation,0))</f>
        <v>0</v>
      </c>
      <c r="J183" s="42">
        <f>J115*INDEX('Timing &amp; Flags'!J89:J91,MATCH($D$145,Indexation,0))</f>
        <v>0</v>
      </c>
      <c r="K183" s="42">
        <f>K115*INDEX('Timing &amp; Flags'!K89:K91,MATCH($D$145,Indexation,0))</f>
        <v>0</v>
      </c>
      <c r="L183" s="42">
        <f ca="1">L115*INDEX('Timing &amp; Flags'!L89:L91,MATCH($D$145,Indexation,0))</f>
        <v>0</v>
      </c>
      <c r="M183" s="42">
        <f ca="1">M115*INDEX('Timing &amp; Flags'!M89:M91,MATCH($D$145,Indexation,0))</f>
        <v>0</v>
      </c>
      <c r="N183" s="42">
        <f ca="1">N115*INDEX('Timing &amp; Flags'!N89:N91,MATCH($D$145,Indexation,0))</f>
        <v>0</v>
      </c>
      <c r="O183" s="42">
        <f ca="1">O115*INDEX('Timing &amp; Flags'!O89:O91,MATCH($D$145,Indexation,0))</f>
        <v>0</v>
      </c>
      <c r="P183" s="42">
        <f ca="1">P115*INDEX('Timing &amp; Flags'!P89:P91,MATCH($D$145,Indexation,0))</f>
        <v>0</v>
      </c>
      <c r="Q183" s="42">
        <f ca="1">Q115*INDEX('Timing &amp; Flags'!Q89:Q91,MATCH($D$145,Indexation,0))</f>
        <v>0</v>
      </c>
      <c r="R183" s="42">
        <f ca="1">R115*INDEX('Timing &amp; Flags'!R89:R91,MATCH($D$145,Indexation,0))</f>
        <v>0</v>
      </c>
      <c r="S183" s="42">
        <f ca="1">S115*INDEX('Timing &amp; Flags'!S89:S91,MATCH($D$145,Indexation,0))</f>
        <v>0</v>
      </c>
      <c r="T183" s="42">
        <f ca="1">T115*INDEX('Timing &amp; Flags'!T89:T91,MATCH($D$145,Indexation,0))</f>
        <v>0</v>
      </c>
      <c r="U183" s="42">
        <f ca="1">U115*INDEX('Timing &amp; Flags'!U89:U91,MATCH($D$145,Indexation,0))</f>
        <v>0</v>
      </c>
      <c r="V183" s="42">
        <f ca="1">V115*INDEX('Timing &amp; Flags'!V89:V91,MATCH($D$145,Indexation,0))</f>
        <v>0</v>
      </c>
      <c r="W183" s="42">
        <f ca="1">W115*INDEX('Timing &amp; Flags'!W89:W91,MATCH($D$145,Indexation,0))</f>
        <v>0</v>
      </c>
      <c r="X183" s="42">
        <f ca="1">X115*INDEX('Timing &amp; Flags'!X89:X91,MATCH($D$145,Indexation,0))</f>
        <v>0</v>
      </c>
      <c r="Y183" s="42">
        <f ca="1">Y115*INDEX('Timing &amp; Flags'!Y89:Y91,MATCH($D$145,Indexation,0))</f>
        <v>0</v>
      </c>
      <c r="Z183" s="42">
        <f ca="1">Z115*INDEX('Timing &amp; Flags'!Z89:Z91,MATCH($D$145,Indexation,0))</f>
        <v>0</v>
      </c>
      <c r="AA183" s="42">
        <f ca="1">AA115*INDEX('Timing &amp; Flags'!AA89:AA91,MATCH($D$145,Indexation,0))</f>
        <v>0</v>
      </c>
      <c r="AB183" s="42">
        <f ca="1">AB115*INDEX('Timing &amp; Flags'!AB89:AB91,MATCH($D$145,Indexation,0))</f>
        <v>0</v>
      </c>
      <c r="AC183" s="42">
        <f ca="1">AC115*INDEX('Timing &amp; Flags'!AC89:AC91,MATCH($D$145,Indexation,0))</f>
        <v>0</v>
      </c>
      <c r="AD183" s="42">
        <f ca="1">AD115*INDEX('Timing &amp; Flags'!AD89:AD91,MATCH($D$145,Indexation,0))</f>
        <v>0</v>
      </c>
      <c r="AE183" s="42">
        <f ca="1">AE115*INDEX('Timing &amp; Flags'!AE89:AE91,MATCH($D$145,Indexation,0))</f>
        <v>0</v>
      </c>
      <c r="AF183" s="42">
        <f ca="1">AF115*INDEX('Timing &amp; Flags'!AF89:AF91,MATCH($D$145,Indexation,0))</f>
        <v>0</v>
      </c>
      <c r="AG183" s="42">
        <f ca="1">AG115*INDEX('Timing &amp; Flags'!AG89:AG91,MATCH($D$145,Indexation,0))</f>
        <v>0</v>
      </c>
      <c r="AH183" s="42">
        <f ca="1">AH115*INDEX('Timing &amp; Flags'!AH89:AH91,MATCH($D$145,Indexation,0))</f>
        <v>0</v>
      </c>
      <c r="AI183" s="42">
        <f ca="1">AI115*INDEX('Timing &amp; Flags'!AI89:AI91,MATCH($D$145,Indexation,0))</f>
        <v>0</v>
      </c>
      <c r="AJ183" s="42">
        <f ca="1">AJ115*INDEX('Timing &amp; Flags'!AJ89:AJ91,MATCH($D$145,Indexation,0))</f>
        <v>0</v>
      </c>
      <c r="AK183" s="42">
        <f ca="1">AK115*INDEX('Timing &amp; Flags'!AK89:AK91,MATCH($D$145,Indexation,0))</f>
        <v>0</v>
      </c>
      <c r="AL183" s="42">
        <f ca="1">AL115*INDEX('Timing &amp; Flags'!AL89:AL91,MATCH($D$145,Indexation,0))</f>
        <v>0</v>
      </c>
      <c r="AM183" s="42">
        <f>AM115*INDEX('Timing &amp; Flags'!AM89:AM91,MATCH($D$145,Indexation,0))</f>
        <v>0</v>
      </c>
      <c r="AN183" s="42">
        <f>AN115*INDEX('Timing &amp; Flags'!AN89:AN91,MATCH($D$145,Indexation,0))</f>
        <v>0</v>
      </c>
      <c r="AO183" s="42">
        <f>AO115*INDEX('Timing &amp; Flags'!AO89:AO91,MATCH($D$145,Indexation,0))</f>
        <v>0</v>
      </c>
      <c r="AP183" s="42">
        <f>AP115*INDEX('Timing &amp; Flags'!AP89:AP91,MATCH($D$145,Indexation,0))</f>
        <v>0</v>
      </c>
      <c r="AQ183" s="42">
        <f>AQ115*INDEX('Timing &amp; Flags'!AQ89:AQ91,MATCH($D$145,Indexation,0))</f>
        <v>0</v>
      </c>
      <c r="AR183" s="42">
        <f>AR115*INDEX('Timing &amp; Flags'!AR89:AR91,MATCH($D$145,Indexation,0))</f>
        <v>0</v>
      </c>
      <c r="AS183" s="42">
        <f>AS115*INDEX('Timing &amp; Flags'!AS89:AS91,MATCH($D$145,Indexation,0))</f>
        <v>0</v>
      </c>
      <c r="AT183" s="42">
        <f>AT115*INDEX('Timing &amp; Flags'!AT89:AT91,MATCH($D$145,Indexation,0))</f>
        <v>0</v>
      </c>
      <c r="AU183" s="42">
        <f>AU115*INDEX('Timing &amp; Flags'!AU89:AU91,MATCH($D$145,Indexation,0))</f>
        <v>0</v>
      </c>
      <c r="AV183" s="42">
        <f>AV115*INDEX('Timing &amp; Flags'!AV89:AV91,MATCH($D$145,Indexation,0))</f>
        <v>0</v>
      </c>
      <c r="AW183" s="42">
        <f>AW115*INDEX('Timing &amp; Flags'!AW89:AW91,MATCH($D$145,Indexation,0))</f>
        <v>0</v>
      </c>
    </row>
    <row r="184" spans="1:49">
      <c r="A184" s="12"/>
      <c r="B184" s="2" t="s">
        <v>973</v>
      </c>
      <c r="C184" s="15" t="str">
        <f t="shared" si="56"/>
        <v>US$</v>
      </c>
      <c r="D184" s="41">
        <f t="shared" ca="1" si="61"/>
        <v>0</v>
      </c>
      <c r="I184" s="42">
        <f>I116*INDEX('Timing &amp; Flags'!I89:I91,MATCH($D$145,Indexation,0))</f>
        <v>0</v>
      </c>
      <c r="J184" s="42">
        <f>J116*INDEX('Timing &amp; Flags'!J89:J91,MATCH($D$145,Indexation,0))</f>
        <v>0</v>
      </c>
      <c r="K184" s="42">
        <f>K116*INDEX('Timing &amp; Flags'!K89:K91,MATCH($D$145,Indexation,0))</f>
        <v>0</v>
      </c>
      <c r="L184" s="42">
        <f ca="1">L116*INDEX('Timing &amp; Flags'!L89:L91,MATCH($D$145,Indexation,0))</f>
        <v>0</v>
      </c>
      <c r="M184" s="42">
        <f ca="1">M116*INDEX('Timing &amp; Flags'!M89:M91,MATCH($D$145,Indexation,0))</f>
        <v>0</v>
      </c>
      <c r="N184" s="42">
        <f ca="1">N116*INDEX('Timing &amp; Flags'!N89:N91,MATCH($D$145,Indexation,0))</f>
        <v>0</v>
      </c>
      <c r="O184" s="42">
        <f ca="1">O116*INDEX('Timing &amp; Flags'!O89:O91,MATCH($D$145,Indexation,0))</f>
        <v>0</v>
      </c>
      <c r="P184" s="42">
        <f ca="1">P116*INDEX('Timing &amp; Flags'!P89:P91,MATCH($D$145,Indexation,0))</f>
        <v>0</v>
      </c>
      <c r="Q184" s="42">
        <f ca="1">Q116*INDEX('Timing &amp; Flags'!Q89:Q91,MATCH($D$145,Indexation,0))</f>
        <v>0</v>
      </c>
      <c r="R184" s="42">
        <f ca="1">R116*INDEX('Timing &amp; Flags'!R89:R91,MATCH($D$145,Indexation,0))</f>
        <v>0</v>
      </c>
      <c r="S184" s="42">
        <f ca="1">S116*INDEX('Timing &amp; Flags'!S89:S91,MATCH($D$145,Indexation,0))</f>
        <v>0</v>
      </c>
      <c r="T184" s="42">
        <f ca="1">T116*INDEX('Timing &amp; Flags'!T89:T91,MATCH($D$145,Indexation,0))</f>
        <v>0</v>
      </c>
      <c r="U184" s="42">
        <f ca="1">U116*INDEX('Timing &amp; Flags'!U89:U91,MATCH($D$145,Indexation,0))</f>
        <v>0</v>
      </c>
      <c r="V184" s="42">
        <f ca="1">V116*INDEX('Timing &amp; Flags'!V89:V91,MATCH($D$145,Indexation,0))</f>
        <v>0</v>
      </c>
      <c r="W184" s="42">
        <f ca="1">W116*INDEX('Timing &amp; Flags'!W89:W91,MATCH($D$145,Indexation,0))</f>
        <v>0</v>
      </c>
      <c r="X184" s="42">
        <f ca="1">X116*INDEX('Timing &amp; Flags'!X89:X91,MATCH($D$145,Indexation,0))</f>
        <v>0</v>
      </c>
      <c r="Y184" s="42">
        <f ca="1">Y116*INDEX('Timing &amp; Flags'!Y89:Y91,MATCH($D$145,Indexation,0))</f>
        <v>0</v>
      </c>
      <c r="Z184" s="42">
        <f ca="1">Z116*INDEX('Timing &amp; Flags'!Z89:Z91,MATCH($D$145,Indexation,0))</f>
        <v>0</v>
      </c>
      <c r="AA184" s="42">
        <f ca="1">AA116*INDEX('Timing &amp; Flags'!AA89:AA91,MATCH($D$145,Indexation,0))</f>
        <v>0</v>
      </c>
      <c r="AB184" s="42">
        <f ca="1">AB116*INDEX('Timing &amp; Flags'!AB89:AB91,MATCH($D$145,Indexation,0))</f>
        <v>0</v>
      </c>
      <c r="AC184" s="42">
        <f ca="1">AC116*INDEX('Timing &amp; Flags'!AC89:AC91,MATCH($D$145,Indexation,0))</f>
        <v>0</v>
      </c>
      <c r="AD184" s="42">
        <f ca="1">AD116*INDEX('Timing &amp; Flags'!AD89:AD91,MATCH($D$145,Indexation,0))</f>
        <v>0</v>
      </c>
      <c r="AE184" s="42">
        <f ca="1">AE116*INDEX('Timing &amp; Flags'!AE89:AE91,MATCH($D$145,Indexation,0))</f>
        <v>0</v>
      </c>
      <c r="AF184" s="42">
        <f ca="1">AF116*INDEX('Timing &amp; Flags'!AF89:AF91,MATCH($D$145,Indexation,0))</f>
        <v>0</v>
      </c>
      <c r="AG184" s="42">
        <f ca="1">AG116*INDEX('Timing &amp; Flags'!AG89:AG91,MATCH($D$145,Indexation,0))</f>
        <v>0</v>
      </c>
      <c r="AH184" s="42">
        <f ca="1">AH116*INDEX('Timing &amp; Flags'!AH89:AH91,MATCH($D$145,Indexation,0))</f>
        <v>0</v>
      </c>
      <c r="AI184" s="42">
        <f ca="1">AI116*INDEX('Timing &amp; Flags'!AI89:AI91,MATCH($D$145,Indexation,0))</f>
        <v>0</v>
      </c>
      <c r="AJ184" s="42">
        <f ca="1">AJ116*INDEX('Timing &amp; Flags'!AJ89:AJ91,MATCH($D$145,Indexation,0))</f>
        <v>0</v>
      </c>
      <c r="AK184" s="42">
        <f ca="1">AK116*INDEX('Timing &amp; Flags'!AK89:AK91,MATCH($D$145,Indexation,0))</f>
        <v>0</v>
      </c>
      <c r="AL184" s="42">
        <f ca="1">AL116*INDEX('Timing &amp; Flags'!AL89:AL91,MATCH($D$145,Indexation,0))</f>
        <v>0</v>
      </c>
      <c r="AM184" s="42">
        <f>AM116*INDEX('Timing &amp; Flags'!AM89:AM91,MATCH($D$145,Indexation,0))</f>
        <v>0</v>
      </c>
      <c r="AN184" s="42">
        <f>AN116*INDEX('Timing &amp; Flags'!AN89:AN91,MATCH($D$145,Indexation,0))</f>
        <v>0</v>
      </c>
      <c r="AO184" s="42">
        <f>AO116*INDEX('Timing &amp; Flags'!AO89:AO91,MATCH($D$145,Indexation,0))</f>
        <v>0</v>
      </c>
      <c r="AP184" s="42">
        <f>AP116*INDEX('Timing &amp; Flags'!AP89:AP91,MATCH($D$145,Indexation,0))</f>
        <v>0</v>
      </c>
      <c r="AQ184" s="42">
        <f>AQ116*INDEX('Timing &amp; Flags'!AQ89:AQ91,MATCH($D$145,Indexation,0))</f>
        <v>0</v>
      </c>
      <c r="AR184" s="42">
        <f>AR116*INDEX('Timing &amp; Flags'!AR89:AR91,MATCH($D$145,Indexation,0))</f>
        <v>0</v>
      </c>
      <c r="AS184" s="42">
        <f>AS116*INDEX('Timing &amp; Flags'!AS89:AS91,MATCH($D$145,Indexation,0))</f>
        <v>0</v>
      </c>
      <c r="AT184" s="42">
        <f>AT116*INDEX('Timing &amp; Flags'!AT89:AT91,MATCH($D$145,Indexation,0))</f>
        <v>0</v>
      </c>
      <c r="AU184" s="42">
        <f>AU116*INDEX('Timing &amp; Flags'!AU89:AU91,MATCH($D$145,Indexation,0))</f>
        <v>0</v>
      </c>
      <c r="AV184" s="42">
        <f>AV116*INDEX('Timing &amp; Flags'!AV89:AV91,MATCH($D$145,Indexation,0))</f>
        <v>0</v>
      </c>
      <c r="AW184" s="42">
        <f>AW116*INDEX('Timing &amp; Flags'!AW89:AW91,MATCH($D$145,Indexation,0))</f>
        <v>0</v>
      </c>
    </row>
    <row r="185" spans="1:49" ht="11.25" thickBot="1">
      <c r="A185" s="12"/>
      <c r="B185" s="1518"/>
      <c r="C185" s="1519"/>
      <c r="D185" s="1520"/>
      <c r="E185" s="1518"/>
      <c r="F185" s="1518"/>
      <c r="G185" s="1518"/>
      <c r="H185" s="1518"/>
      <c r="I185" s="1521">
        <f>SUM(I178:I183)</f>
        <v>0</v>
      </c>
      <c r="J185" s="1521">
        <f t="shared" ref="J185:AW185" si="62">SUM(J178:J183)</f>
        <v>0</v>
      </c>
      <c r="K185" s="1521">
        <f t="shared" si="62"/>
        <v>0</v>
      </c>
      <c r="L185" s="1521">
        <f t="shared" ca="1" si="62"/>
        <v>0</v>
      </c>
      <c r="M185" s="1521">
        <f t="shared" ca="1" si="62"/>
        <v>0</v>
      </c>
      <c r="N185" s="1521">
        <f t="shared" ca="1" si="62"/>
        <v>0</v>
      </c>
      <c r="O185" s="1521">
        <f t="shared" ca="1" si="62"/>
        <v>0</v>
      </c>
      <c r="P185" s="1521">
        <f t="shared" ca="1" si="62"/>
        <v>0</v>
      </c>
      <c r="Q185" s="1521">
        <f t="shared" ca="1" si="62"/>
        <v>0</v>
      </c>
      <c r="R185" s="1521">
        <f t="shared" ca="1" si="62"/>
        <v>0</v>
      </c>
      <c r="S185" s="1521">
        <f t="shared" ca="1" si="62"/>
        <v>0</v>
      </c>
      <c r="T185" s="1521">
        <f t="shared" ca="1" si="62"/>
        <v>0</v>
      </c>
      <c r="U185" s="1521">
        <f t="shared" ca="1" si="62"/>
        <v>0</v>
      </c>
      <c r="V185" s="1521">
        <f t="shared" ca="1" si="62"/>
        <v>0</v>
      </c>
      <c r="W185" s="1521">
        <f t="shared" ca="1" si="62"/>
        <v>0</v>
      </c>
      <c r="X185" s="1521">
        <f t="shared" ca="1" si="62"/>
        <v>0</v>
      </c>
      <c r="Y185" s="1521">
        <f t="shared" ca="1" si="62"/>
        <v>0</v>
      </c>
      <c r="Z185" s="1521">
        <f t="shared" ca="1" si="62"/>
        <v>0</v>
      </c>
      <c r="AA185" s="1521">
        <f t="shared" ca="1" si="62"/>
        <v>0</v>
      </c>
      <c r="AB185" s="1521">
        <f t="shared" ca="1" si="62"/>
        <v>0</v>
      </c>
      <c r="AC185" s="1521">
        <f t="shared" ca="1" si="62"/>
        <v>0</v>
      </c>
      <c r="AD185" s="1521">
        <f t="shared" ca="1" si="62"/>
        <v>0</v>
      </c>
      <c r="AE185" s="1521">
        <f t="shared" ca="1" si="62"/>
        <v>0</v>
      </c>
      <c r="AF185" s="1521">
        <f t="shared" ca="1" si="62"/>
        <v>0</v>
      </c>
      <c r="AG185" s="1521">
        <f t="shared" ca="1" si="62"/>
        <v>0</v>
      </c>
      <c r="AH185" s="1521">
        <f t="shared" ca="1" si="62"/>
        <v>0</v>
      </c>
      <c r="AI185" s="1521">
        <f t="shared" ca="1" si="62"/>
        <v>0</v>
      </c>
      <c r="AJ185" s="1521">
        <f t="shared" ca="1" si="62"/>
        <v>0</v>
      </c>
      <c r="AK185" s="1521">
        <f t="shared" ca="1" si="62"/>
        <v>0</v>
      </c>
      <c r="AL185" s="1521">
        <f t="shared" ca="1" si="62"/>
        <v>0</v>
      </c>
      <c r="AM185" s="1521">
        <f t="shared" si="62"/>
        <v>0</v>
      </c>
      <c r="AN185" s="1521">
        <f t="shared" si="62"/>
        <v>0</v>
      </c>
      <c r="AO185" s="1521">
        <f t="shared" si="62"/>
        <v>0</v>
      </c>
      <c r="AP185" s="1521">
        <f t="shared" si="62"/>
        <v>0</v>
      </c>
      <c r="AQ185" s="1521">
        <f t="shared" si="62"/>
        <v>0</v>
      </c>
      <c r="AR185" s="1521">
        <f t="shared" si="62"/>
        <v>0</v>
      </c>
      <c r="AS185" s="1521">
        <f t="shared" si="62"/>
        <v>0</v>
      </c>
      <c r="AT185" s="1521">
        <f t="shared" si="62"/>
        <v>0</v>
      </c>
      <c r="AU185" s="1521">
        <f t="shared" si="62"/>
        <v>0</v>
      </c>
      <c r="AV185" s="1521">
        <f t="shared" si="62"/>
        <v>0</v>
      </c>
      <c r="AW185" s="1521">
        <f t="shared" si="62"/>
        <v>0</v>
      </c>
    </row>
    <row r="186" spans="1:49" ht="12" thickTop="1" thickBot="1">
      <c r="A186" s="12"/>
      <c r="B186" s="2" t="s">
        <v>1611</v>
      </c>
      <c r="C186" s="1514">
        <f>'Sens WIP'!D39</f>
        <v>0</v>
      </c>
      <c r="D186" s="41"/>
      <c r="I186" s="42"/>
      <c r="J186" s="42"/>
      <c r="K186" s="42"/>
      <c r="L186" s="42"/>
      <c r="M186" s="42"/>
      <c r="N186" s="42"/>
      <c r="O186" s="42"/>
      <c r="P186" s="42"/>
      <c r="Q186" s="42"/>
      <c r="R186" s="42"/>
      <c r="S186" s="42"/>
      <c r="T186" s="42"/>
      <c r="U186" s="42"/>
      <c r="V186" s="42"/>
      <c r="W186" s="42"/>
      <c r="X186" s="42"/>
      <c r="Y186" s="42"/>
      <c r="Z186" s="42"/>
      <c r="AA186" s="42"/>
      <c r="AB186" s="42"/>
      <c r="AC186" s="42"/>
      <c r="AD186" s="42"/>
      <c r="AE186" s="42"/>
      <c r="AF186" s="42"/>
      <c r="AG186" s="42"/>
      <c r="AH186" s="42"/>
      <c r="AI186" s="42"/>
      <c r="AJ186" s="42"/>
      <c r="AK186" s="42"/>
      <c r="AL186" s="42"/>
      <c r="AM186" s="42"/>
      <c r="AN186" s="42"/>
      <c r="AO186" s="42"/>
      <c r="AP186" s="42"/>
      <c r="AQ186" s="42"/>
      <c r="AR186" s="42"/>
      <c r="AS186" s="42"/>
      <c r="AT186" s="42"/>
      <c r="AU186" s="42"/>
      <c r="AV186" s="42"/>
      <c r="AW186" s="42"/>
    </row>
    <row r="187" spans="1:49">
      <c r="A187" s="12"/>
      <c r="B187" s="2" t="s">
        <v>1612</v>
      </c>
      <c r="C187" s="577"/>
      <c r="D187" s="41"/>
      <c r="I187" s="42">
        <f>I185</f>
        <v>0</v>
      </c>
      <c r="J187" s="42">
        <f t="shared" ref="J187:AW187" si="63">J185</f>
        <v>0</v>
      </c>
      <c r="K187" s="42">
        <f t="shared" si="63"/>
        <v>0</v>
      </c>
      <c r="L187" s="42">
        <f t="shared" ca="1" si="63"/>
        <v>0</v>
      </c>
      <c r="M187" s="42">
        <f t="shared" ca="1" si="63"/>
        <v>0</v>
      </c>
      <c r="N187" s="42">
        <f t="shared" ca="1" si="63"/>
        <v>0</v>
      </c>
      <c r="O187" s="42">
        <f t="shared" ca="1" si="63"/>
        <v>0</v>
      </c>
      <c r="P187" s="42">
        <f t="shared" ca="1" si="63"/>
        <v>0</v>
      </c>
      <c r="Q187" s="42">
        <f t="shared" ca="1" si="63"/>
        <v>0</v>
      </c>
      <c r="R187" s="42">
        <f t="shared" ca="1" si="63"/>
        <v>0</v>
      </c>
      <c r="S187" s="42">
        <f t="shared" ca="1" si="63"/>
        <v>0</v>
      </c>
      <c r="T187" s="42">
        <f t="shared" ca="1" si="63"/>
        <v>0</v>
      </c>
      <c r="U187" s="42">
        <f t="shared" ca="1" si="63"/>
        <v>0</v>
      </c>
      <c r="V187" s="42">
        <f t="shared" ca="1" si="63"/>
        <v>0</v>
      </c>
      <c r="W187" s="42">
        <f t="shared" ca="1" si="63"/>
        <v>0</v>
      </c>
      <c r="X187" s="42">
        <f t="shared" ca="1" si="63"/>
        <v>0</v>
      </c>
      <c r="Y187" s="42">
        <f t="shared" ca="1" si="63"/>
        <v>0</v>
      </c>
      <c r="Z187" s="42">
        <f t="shared" ca="1" si="63"/>
        <v>0</v>
      </c>
      <c r="AA187" s="42">
        <f t="shared" ca="1" si="63"/>
        <v>0</v>
      </c>
      <c r="AB187" s="42">
        <f t="shared" ca="1" si="63"/>
        <v>0</v>
      </c>
      <c r="AC187" s="42">
        <f t="shared" ca="1" si="63"/>
        <v>0</v>
      </c>
      <c r="AD187" s="42">
        <f t="shared" ca="1" si="63"/>
        <v>0</v>
      </c>
      <c r="AE187" s="42">
        <f t="shared" ca="1" si="63"/>
        <v>0</v>
      </c>
      <c r="AF187" s="42">
        <f t="shared" ca="1" si="63"/>
        <v>0</v>
      </c>
      <c r="AG187" s="42">
        <f t="shared" ca="1" si="63"/>
        <v>0</v>
      </c>
      <c r="AH187" s="42">
        <f t="shared" ca="1" si="63"/>
        <v>0</v>
      </c>
      <c r="AI187" s="42">
        <f t="shared" ca="1" si="63"/>
        <v>0</v>
      </c>
      <c r="AJ187" s="42">
        <f t="shared" ca="1" si="63"/>
        <v>0</v>
      </c>
      <c r="AK187" s="42">
        <f t="shared" ca="1" si="63"/>
        <v>0</v>
      </c>
      <c r="AL187" s="42">
        <f t="shared" ca="1" si="63"/>
        <v>0</v>
      </c>
      <c r="AM187" s="42">
        <f t="shared" si="63"/>
        <v>0</v>
      </c>
      <c r="AN187" s="42">
        <f t="shared" si="63"/>
        <v>0</v>
      </c>
      <c r="AO187" s="42">
        <f t="shared" si="63"/>
        <v>0</v>
      </c>
      <c r="AP187" s="42">
        <f t="shared" si="63"/>
        <v>0</v>
      </c>
      <c r="AQ187" s="42">
        <f t="shared" si="63"/>
        <v>0</v>
      </c>
      <c r="AR187" s="42">
        <f t="shared" si="63"/>
        <v>0</v>
      </c>
      <c r="AS187" s="42">
        <f t="shared" si="63"/>
        <v>0</v>
      </c>
      <c r="AT187" s="42">
        <f t="shared" si="63"/>
        <v>0</v>
      </c>
      <c r="AU187" s="42">
        <f t="shared" si="63"/>
        <v>0</v>
      </c>
      <c r="AV187" s="42">
        <f t="shared" si="63"/>
        <v>0</v>
      </c>
      <c r="AW187" s="42">
        <f t="shared" si="63"/>
        <v>0</v>
      </c>
    </row>
    <row r="188" spans="1:49">
      <c r="A188" s="12"/>
      <c r="B188" s="2" t="s">
        <v>1613</v>
      </c>
      <c r="C188" s="15"/>
      <c r="D188" s="41"/>
      <c r="I188" s="42">
        <f>I187*(1+C186)</f>
        <v>0</v>
      </c>
      <c r="J188" s="42">
        <f t="shared" ref="J188:AW188" si="64">J187*(1+D186)</f>
        <v>0</v>
      </c>
      <c r="K188" s="42">
        <f t="shared" si="64"/>
        <v>0</v>
      </c>
      <c r="L188" s="42">
        <f t="shared" ca="1" si="64"/>
        <v>0</v>
      </c>
      <c r="M188" s="42">
        <f t="shared" ca="1" si="64"/>
        <v>0</v>
      </c>
      <c r="N188" s="42">
        <f t="shared" ca="1" si="64"/>
        <v>0</v>
      </c>
      <c r="O188" s="42">
        <f t="shared" ca="1" si="64"/>
        <v>0</v>
      </c>
      <c r="P188" s="42">
        <f t="shared" ca="1" si="64"/>
        <v>0</v>
      </c>
      <c r="Q188" s="42">
        <f t="shared" ca="1" si="64"/>
        <v>0</v>
      </c>
      <c r="R188" s="42">
        <f t="shared" ca="1" si="64"/>
        <v>0</v>
      </c>
      <c r="S188" s="42">
        <f t="shared" ca="1" si="64"/>
        <v>0</v>
      </c>
      <c r="T188" s="42">
        <f t="shared" ca="1" si="64"/>
        <v>0</v>
      </c>
      <c r="U188" s="42">
        <f t="shared" ca="1" si="64"/>
        <v>0</v>
      </c>
      <c r="V188" s="42">
        <f t="shared" ca="1" si="64"/>
        <v>0</v>
      </c>
      <c r="W188" s="42">
        <f t="shared" ca="1" si="64"/>
        <v>0</v>
      </c>
      <c r="X188" s="42">
        <f t="shared" ca="1" si="64"/>
        <v>0</v>
      </c>
      <c r="Y188" s="42">
        <f t="shared" ca="1" si="64"/>
        <v>0</v>
      </c>
      <c r="Z188" s="42">
        <f t="shared" ca="1" si="64"/>
        <v>0</v>
      </c>
      <c r="AA188" s="42">
        <f t="shared" ca="1" si="64"/>
        <v>0</v>
      </c>
      <c r="AB188" s="42">
        <f t="shared" ca="1" si="64"/>
        <v>0</v>
      </c>
      <c r="AC188" s="42">
        <f t="shared" ca="1" si="64"/>
        <v>0</v>
      </c>
      <c r="AD188" s="42">
        <f t="shared" ca="1" si="64"/>
        <v>0</v>
      </c>
      <c r="AE188" s="42">
        <f t="shared" ca="1" si="64"/>
        <v>0</v>
      </c>
      <c r="AF188" s="42">
        <f t="shared" ca="1" si="64"/>
        <v>0</v>
      </c>
      <c r="AG188" s="42">
        <f t="shared" ca="1" si="64"/>
        <v>0</v>
      </c>
      <c r="AH188" s="42">
        <f t="shared" ca="1" si="64"/>
        <v>0</v>
      </c>
      <c r="AI188" s="42">
        <f t="shared" ca="1" si="64"/>
        <v>0</v>
      </c>
      <c r="AJ188" s="42">
        <f t="shared" ca="1" si="64"/>
        <v>0</v>
      </c>
      <c r="AK188" s="42">
        <f t="shared" ca="1" si="64"/>
        <v>0</v>
      </c>
      <c r="AL188" s="42">
        <f t="shared" ca="1" si="64"/>
        <v>0</v>
      </c>
      <c r="AM188" s="42">
        <f t="shared" si="64"/>
        <v>0</v>
      </c>
      <c r="AN188" s="42">
        <f t="shared" si="64"/>
        <v>0</v>
      </c>
      <c r="AO188" s="42">
        <f t="shared" si="64"/>
        <v>0</v>
      </c>
      <c r="AP188" s="42">
        <f t="shared" si="64"/>
        <v>0</v>
      </c>
      <c r="AQ188" s="42">
        <f t="shared" si="64"/>
        <v>0</v>
      </c>
      <c r="AR188" s="42">
        <f t="shared" si="64"/>
        <v>0</v>
      </c>
      <c r="AS188" s="42">
        <f t="shared" si="64"/>
        <v>0</v>
      </c>
      <c r="AT188" s="42">
        <f t="shared" si="64"/>
        <v>0</v>
      </c>
      <c r="AU188" s="42">
        <f t="shared" si="64"/>
        <v>0</v>
      </c>
      <c r="AV188" s="42">
        <f t="shared" si="64"/>
        <v>0</v>
      </c>
      <c r="AW188" s="42">
        <f t="shared" si="64"/>
        <v>0</v>
      </c>
    </row>
    <row r="189" spans="1:49">
      <c r="A189" s="12"/>
      <c r="C189" s="15"/>
      <c r="D189" s="41"/>
      <c r="I189" s="42"/>
      <c r="J189" s="42"/>
      <c r="K189" s="42"/>
      <c r="L189" s="42"/>
      <c r="M189" s="42"/>
      <c r="N189" s="42"/>
      <c r="O189" s="42"/>
      <c r="P189" s="42"/>
      <c r="Q189" s="42"/>
      <c r="R189" s="42"/>
      <c r="S189" s="42"/>
      <c r="T189" s="42"/>
      <c r="U189" s="42"/>
      <c r="V189" s="42"/>
      <c r="W189" s="42"/>
      <c r="X189" s="42"/>
      <c r="Y189" s="42"/>
      <c r="Z189" s="42"/>
      <c r="AA189" s="42"/>
      <c r="AB189" s="42"/>
      <c r="AC189" s="42"/>
      <c r="AD189" s="42"/>
      <c r="AE189" s="42"/>
      <c r="AF189" s="42"/>
      <c r="AG189" s="42"/>
      <c r="AH189" s="42"/>
      <c r="AI189" s="42"/>
    </row>
    <row r="190" spans="1:49">
      <c r="A190" s="12"/>
      <c r="C190" s="15"/>
      <c r="D190" s="41"/>
      <c r="I190" s="42"/>
      <c r="J190" s="42"/>
      <c r="K190" s="42"/>
      <c r="L190" s="42"/>
      <c r="M190" s="42"/>
      <c r="N190" s="42"/>
      <c r="O190" s="42"/>
      <c r="P190" s="42"/>
      <c r="Q190" s="42"/>
      <c r="R190" s="42"/>
      <c r="S190" s="42"/>
      <c r="T190" s="42"/>
      <c r="U190" s="42"/>
      <c r="V190" s="42"/>
      <c r="W190" s="42"/>
      <c r="X190" s="42"/>
      <c r="Y190" s="42"/>
      <c r="Z190" s="42"/>
      <c r="AA190" s="42"/>
      <c r="AB190" s="42"/>
      <c r="AC190" s="42"/>
      <c r="AD190" s="42"/>
      <c r="AE190" s="42"/>
      <c r="AF190" s="42"/>
      <c r="AG190" s="42"/>
      <c r="AH190" s="42"/>
      <c r="AI190" s="42"/>
    </row>
    <row r="191" spans="1:49">
      <c r="A191" s="12"/>
      <c r="B191" s="586" t="s">
        <v>1069</v>
      </c>
      <c r="C191" s="15"/>
      <c r="D191" s="41"/>
      <c r="I191" s="42"/>
      <c r="J191" s="42"/>
      <c r="K191" s="42"/>
      <c r="L191" s="42"/>
      <c r="M191" s="42"/>
      <c r="N191" s="42"/>
      <c r="O191" s="42"/>
      <c r="P191" s="42"/>
      <c r="Q191" s="42"/>
      <c r="R191" s="42"/>
      <c r="S191" s="42"/>
      <c r="T191" s="42"/>
      <c r="U191" s="42"/>
      <c r="V191" s="42"/>
      <c r="W191" s="42"/>
      <c r="X191" s="42"/>
      <c r="Y191" s="42"/>
      <c r="Z191" s="42"/>
      <c r="AA191" s="42"/>
      <c r="AB191" s="42"/>
      <c r="AC191" s="42"/>
      <c r="AD191" s="42"/>
      <c r="AE191" s="42"/>
      <c r="AF191" s="42"/>
      <c r="AG191" s="42"/>
      <c r="AH191" s="42"/>
      <c r="AI191" s="42"/>
    </row>
    <row r="192" spans="1:49">
      <c r="A192" s="12"/>
      <c r="B192" s="2" t="s">
        <v>1502</v>
      </c>
      <c r="C192" s="15" t="str">
        <f t="shared" ref="C192:C197" si="65">$C$39</f>
        <v>US$</v>
      </c>
      <c r="D192" s="41">
        <f ca="1">SUM(I192:AW192)</f>
        <v>26318568.140150029</v>
      </c>
      <c r="I192" s="42">
        <f>I121*INDEX('Timing &amp; Flags'!I89:I91,MATCH($D$145,Indexation,0))</f>
        <v>0</v>
      </c>
      <c r="J192" s="42">
        <f>J121*INDEX('Timing &amp; Flags'!J89:J91,MATCH($D$145,Indexation,0))</f>
        <v>0</v>
      </c>
      <c r="K192" s="42">
        <f ca="1">K121*INDEX('Timing &amp; Flags'!K89:K91,MATCH($D$145,Indexation,0))</f>
        <v>671310.70970270736</v>
      </c>
      <c r="L192" s="42">
        <f ca="1">L121*INDEX('Timing &amp; Flags'!L89:L91,MATCH($D$145,Indexation,0))</f>
        <v>686750.85602586961</v>
      </c>
      <c r="M192" s="42">
        <f ca="1">M121*INDEX('Timing &amp; Flags'!M89:M91,MATCH($D$145,Indexation,0))</f>
        <v>702546.12571446446</v>
      </c>
      <c r="N192" s="42">
        <f ca="1">N121*INDEX('Timing &amp; Flags'!N89:N91,MATCH($D$145,Indexation,0))</f>
        <v>717441.63919955795</v>
      </c>
      <c r="O192" s="42">
        <f ca="1">O121*INDEX('Timing &amp; Flags'!O89:O91,MATCH($D$145,Indexation,0))</f>
        <v>738691.28852625843</v>
      </c>
      <c r="P192" s="42">
        <f ca="1">P121*INDEX('Timing &amp; Flags'!P89:P91,MATCH($D$145,Indexation,0))</f>
        <v>754353.15846878244</v>
      </c>
      <c r="Q192" s="42">
        <f ca="1">Q121*INDEX('Timing &amp; Flags'!Q89:Q91,MATCH($D$145,Indexation,0))</f>
        <v>772457.63427203323</v>
      </c>
      <c r="R192" s="42">
        <f ca="1">R121*INDEX('Timing &amp; Flags'!R89:R91,MATCH($D$145,Indexation,0))</f>
        <v>788835.42455058778</v>
      </c>
      <c r="S192" s="42">
        <f ca="1">S121*INDEX('Timing &amp; Flags'!S89:S91,MATCH($D$145,Indexation,0))</f>
        <v>812199.66107145743</v>
      </c>
      <c r="T192" s="42">
        <f ca="1">T121*INDEX('Timing &amp; Flags'!T89:T91,MATCH($D$145,Indexation,0))</f>
        <v>829420.0691859778</v>
      </c>
      <c r="U192" s="42">
        <f ca="1">U121*INDEX('Timing &amp; Flags'!U89:U91,MATCH($D$145,Indexation,0))</f>
        <v>849326.15084644128</v>
      </c>
      <c r="V192" s="42">
        <f ca="1">V121*INDEX('Timing &amp; Flags'!V89:V91,MATCH($D$145,Indexation,0))</f>
        <v>867333.72169498866</v>
      </c>
      <c r="W192" s="42">
        <f ca="1">W121*INDEX('Timing &amp; Flags'!W89:W91,MATCH($D$145,Indexation,0))</f>
        <v>893022.9714237937</v>
      </c>
      <c r="X192" s="42">
        <f ca="1">X121*INDEX('Timing &amp; Flags'!X89:X91,MATCH($D$145,Indexation,0))</f>
        <v>911957.01038075716</v>
      </c>
      <c r="Y192" s="42">
        <f ca="1">Y121*INDEX('Timing &amp; Flags'!Y89:Y91,MATCH($D$145,Indexation,0))</f>
        <v>933843.97862989537</v>
      </c>
      <c r="Z192" s="42">
        <f ca="1">Z121*INDEX('Timing &amp; Flags'!Z89:Z91,MATCH($D$145,Indexation,0))</f>
        <v>953643.51216587343</v>
      </c>
      <c r="AA192" s="42">
        <f ca="1">AA121*INDEX('Timing &amp; Flags'!AA89:AA91,MATCH($D$145,Indexation,0))</f>
        <v>981889.1409515359</v>
      </c>
      <c r="AB192" s="42">
        <f ca="1">AB121*INDEX('Timing &amp; Flags'!AB89:AB91,MATCH($D$145,Indexation,0))</f>
        <v>1002707.3369454809</v>
      </c>
      <c r="AC192" s="42">
        <f ca="1">AC121*INDEX('Timing &amp; Flags'!AC89:AC91,MATCH($D$145,Indexation,0))</f>
        <v>1026772.3130321725</v>
      </c>
      <c r="AD192" s="42">
        <f ca="1">AD121*INDEX('Timing &amp; Flags'!AD89:AD91,MATCH($D$145,Indexation,0))</f>
        <v>1048542.1303795213</v>
      </c>
      <c r="AE192" s="42">
        <f ca="1">AE121*INDEX('Timing &amp; Flags'!AE89:AE91,MATCH($D$145,Indexation,0))</f>
        <v>1079598.5276632016</v>
      </c>
      <c r="AF192" s="42">
        <f ca="1">AF121*INDEX('Timing &amp; Flags'!AF89:AF91,MATCH($D$145,Indexation,0))</f>
        <v>1102488.3762278641</v>
      </c>
      <c r="AG192" s="42">
        <f ca="1">AG121*INDEX('Timing &amp; Flags'!AG89:AG91,MATCH($D$145,Indexation,0))</f>
        <v>1128948.0972573329</v>
      </c>
      <c r="AH192" s="42">
        <f ca="1">AH121*INDEX('Timing &amp; Flags'!AH89:AH91,MATCH($D$145,Indexation,0))</f>
        <v>1152884.2645653025</v>
      </c>
      <c r="AI192" s="42">
        <f ca="1">AI121*INDEX('Timing &amp; Flags'!AI89:AI91,MATCH($D$145,Indexation,0))</f>
        <v>1187031.1344955401</v>
      </c>
      <c r="AJ192" s="42">
        <f ca="1">AJ121*INDEX('Timing &amp; Flags'!AJ89:AJ91,MATCH($D$145,Indexation,0))</f>
        <v>1212198.789150418</v>
      </c>
      <c r="AK192" s="42">
        <f ca="1">AK121*INDEX('Timing &amp; Flags'!AK89:AK91,MATCH($D$145,Indexation,0))</f>
        <v>1241291.5600900282</v>
      </c>
      <c r="AL192" s="42">
        <f ca="1">AL121*INDEX('Timing &amp; Flags'!AL89:AL91,MATCH($D$145,Indexation,0))</f>
        <v>1271082.5575321889</v>
      </c>
      <c r="AM192" s="42">
        <f>AM121*INDEX('Timing &amp; Flags'!AM89:AM91,MATCH($D$145,Indexation,0))</f>
        <v>0</v>
      </c>
      <c r="AN192" s="42">
        <f>AN121*INDEX('Timing &amp; Flags'!AN89:AN91,MATCH($D$145,Indexation,0))</f>
        <v>0</v>
      </c>
      <c r="AO192" s="42">
        <f>AO121*INDEX('Timing &amp; Flags'!AO89:AO91,MATCH($D$145,Indexation,0))</f>
        <v>0</v>
      </c>
      <c r="AP192" s="42">
        <f>AP121*INDEX('Timing &amp; Flags'!AP89:AP91,MATCH($D$145,Indexation,0))</f>
        <v>0</v>
      </c>
      <c r="AQ192" s="42">
        <f>AQ121*INDEX('Timing &amp; Flags'!AQ89:AQ91,MATCH($D$145,Indexation,0))</f>
        <v>0</v>
      </c>
      <c r="AR192" s="42">
        <f>AR121*INDEX('Timing &amp; Flags'!AR89:AR91,MATCH($D$145,Indexation,0))</f>
        <v>0</v>
      </c>
      <c r="AS192" s="42">
        <f>AS121*INDEX('Timing &amp; Flags'!AS89:AS91,MATCH($D$145,Indexation,0))</f>
        <v>0</v>
      </c>
      <c r="AT192" s="42">
        <f>AT121*INDEX('Timing &amp; Flags'!AT89:AT91,MATCH($D$145,Indexation,0))</f>
        <v>0</v>
      </c>
      <c r="AU192" s="42">
        <f>AU121*INDEX('Timing &amp; Flags'!AU89:AU91,MATCH($D$145,Indexation,0))</f>
        <v>0</v>
      </c>
      <c r="AV192" s="42">
        <f>AV121*INDEX('Timing &amp; Flags'!AV89:AV91,MATCH($D$145,Indexation,0))</f>
        <v>0</v>
      </c>
      <c r="AW192" s="42">
        <f>AW121*INDEX('Timing &amp; Flags'!AW89:AW91,MATCH($D$145,Indexation,0))</f>
        <v>0</v>
      </c>
    </row>
    <row r="193" spans="1:49">
      <c r="A193" s="12"/>
      <c r="B193" s="2" t="s">
        <v>968</v>
      </c>
      <c r="C193" s="15" t="str">
        <f t="shared" si="65"/>
        <v>US$</v>
      </c>
      <c r="D193" s="41">
        <f t="shared" ref="D193:D198" ca="1" si="66">SUM(I193:AW193)</f>
        <v>0</v>
      </c>
      <c r="I193" s="42">
        <f>I122*INDEX('Timing &amp; Flags'!I89:I91,MATCH($D$145,Indexation,0))</f>
        <v>0</v>
      </c>
      <c r="J193" s="42">
        <f>J122*INDEX('Timing &amp; Flags'!J89:J91,MATCH($D$145,Indexation,0))</f>
        <v>0</v>
      </c>
      <c r="K193" s="42">
        <f ca="1">K122*INDEX('Timing &amp; Flags'!K89:K91,MATCH($D$145,Indexation,0))</f>
        <v>0</v>
      </c>
      <c r="L193" s="42">
        <f ca="1">L122*INDEX('Timing &amp; Flags'!L89:L91,MATCH($D$145,Indexation,0))</f>
        <v>0</v>
      </c>
      <c r="M193" s="42">
        <f ca="1">M122*INDEX('Timing &amp; Flags'!M89:M91,MATCH($D$145,Indexation,0))</f>
        <v>0</v>
      </c>
      <c r="N193" s="42">
        <f ca="1">N122*INDEX('Timing &amp; Flags'!N89:N91,MATCH($D$145,Indexation,0))</f>
        <v>0</v>
      </c>
      <c r="O193" s="42">
        <f ca="1">O122*INDEX('Timing &amp; Flags'!O89:O91,MATCH($D$145,Indexation,0))</f>
        <v>0</v>
      </c>
      <c r="P193" s="42">
        <f ca="1">P122*INDEX('Timing &amp; Flags'!P89:P91,MATCH($D$145,Indexation,0))</f>
        <v>0</v>
      </c>
      <c r="Q193" s="42">
        <f ca="1">Q122*INDEX('Timing &amp; Flags'!Q89:Q91,MATCH($D$145,Indexation,0))</f>
        <v>0</v>
      </c>
      <c r="R193" s="42">
        <f ca="1">R122*INDEX('Timing &amp; Flags'!R89:R91,MATCH($D$145,Indexation,0))</f>
        <v>0</v>
      </c>
      <c r="S193" s="42">
        <f ca="1">S122*INDEX('Timing &amp; Flags'!S89:S91,MATCH($D$145,Indexation,0))</f>
        <v>0</v>
      </c>
      <c r="T193" s="42">
        <f ca="1">T122*INDEX('Timing &amp; Flags'!T89:T91,MATCH($D$145,Indexation,0))</f>
        <v>0</v>
      </c>
      <c r="U193" s="42">
        <f ca="1">U122*INDEX('Timing &amp; Flags'!U89:U91,MATCH($D$145,Indexation,0))</f>
        <v>0</v>
      </c>
      <c r="V193" s="42">
        <f ca="1">V122*INDEX('Timing &amp; Flags'!V89:V91,MATCH($D$145,Indexation,0))</f>
        <v>0</v>
      </c>
      <c r="W193" s="42">
        <f ca="1">W122*INDEX('Timing &amp; Flags'!W89:W91,MATCH($D$145,Indexation,0))</f>
        <v>0</v>
      </c>
      <c r="X193" s="42">
        <f ca="1">X122*INDEX('Timing &amp; Flags'!X89:X91,MATCH($D$145,Indexation,0))</f>
        <v>0</v>
      </c>
      <c r="Y193" s="42">
        <f ca="1">Y122*INDEX('Timing &amp; Flags'!Y89:Y91,MATCH($D$145,Indexation,0))</f>
        <v>0</v>
      </c>
      <c r="Z193" s="42">
        <f ca="1">Z122*INDEX('Timing &amp; Flags'!Z89:Z91,MATCH($D$145,Indexation,0))</f>
        <v>0</v>
      </c>
      <c r="AA193" s="42">
        <f ca="1">AA122*INDEX('Timing &amp; Flags'!AA89:AA91,MATCH($D$145,Indexation,0))</f>
        <v>0</v>
      </c>
      <c r="AB193" s="42">
        <f ca="1">AB122*INDEX('Timing &amp; Flags'!AB89:AB91,MATCH($D$145,Indexation,0))</f>
        <v>0</v>
      </c>
      <c r="AC193" s="42">
        <f ca="1">AC122*INDEX('Timing &amp; Flags'!AC89:AC91,MATCH($D$145,Indexation,0))</f>
        <v>0</v>
      </c>
      <c r="AD193" s="42">
        <f ca="1">AD122*INDEX('Timing &amp; Flags'!AD89:AD91,MATCH($D$145,Indexation,0))</f>
        <v>0</v>
      </c>
      <c r="AE193" s="42">
        <f ca="1">AE122*INDEX('Timing &amp; Flags'!AE89:AE91,MATCH($D$145,Indexation,0))</f>
        <v>0</v>
      </c>
      <c r="AF193" s="42">
        <f ca="1">AF122*INDEX('Timing &amp; Flags'!AF89:AF91,MATCH($D$145,Indexation,0))</f>
        <v>0</v>
      </c>
      <c r="AG193" s="42">
        <f ca="1">AG122*INDEX('Timing &amp; Flags'!AG89:AG91,MATCH($D$145,Indexation,0))</f>
        <v>0</v>
      </c>
      <c r="AH193" s="42">
        <f ca="1">AH122*INDEX('Timing &amp; Flags'!AH89:AH91,MATCH($D$145,Indexation,0))</f>
        <v>0</v>
      </c>
      <c r="AI193" s="42">
        <f ca="1">AI122*INDEX('Timing &amp; Flags'!AI89:AI91,MATCH($D$145,Indexation,0))</f>
        <v>0</v>
      </c>
      <c r="AJ193" s="42">
        <f ca="1">AJ122*INDEX('Timing &amp; Flags'!AJ89:AJ91,MATCH($D$145,Indexation,0))</f>
        <v>0</v>
      </c>
      <c r="AK193" s="42">
        <f ca="1">AK122*INDEX('Timing &amp; Flags'!AK89:AK91,MATCH($D$145,Indexation,0))</f>
        <v>0</v>
      </c>
      <c r="AL193" s="42">
        <f ca="1">AL122*INDEX('Timing &amp; Flags'!AL89:AL91,MATCH($D$145,Indexation,0))</f>
        <v>0</v>
      </c>
      <c r="AM193" s="42">
        <f>AM122*INDEX('Timing &amp; Flags'!AM89:AM91,MATCH($D$145,Indexation,0))</f>
        <v>0</v>
      </c>
      <c r="AN193" s="42">
        <f>AN122*INDEX('Timing &amp; Flags'!AN89:AN91,MATCH($D$145,Indexation,0))</f>
        <v>0</v>
      </c>
      <c r="AO193" s="42">
        <f>AO122*INDEX('Timing &amp; Flags'!AO89:AO91,MATCH($D$145,Indexation,0))</f>
        <v>0</v>
      </c>
      <c r="AP193" s="42">
        <f>AP122*INDEX('Timing &amp; Flags'!AP89:AP91,MATCH($D$145,Indexation,0))</f>
        <v>0</v>
      </c>
      <c r="AQ193" s="42">
        <f>AQ122*INDEX('Timing &amp; Flags'!AQ89:AQ91,MATCH($D$145,Indexation,0))</f>
        <v>0</v>
      </c>
      <c r="AR193" s="42">
        <f>AR122*INDEX('Timing &amp; Flags'!AR89:AR91,MATCH($D$145,Indexation,0))</f>
        <v>0</v>
      </c>
      <c r="AS193" s="42">
        <f>AS122*INDEX('Timing &amp; Flags'!AS89:AS91,MATCH($D$145,Indexation,0))</f>
        <v>0</v>
      </c>
      <c r="AT193" s="42">
        <f>AT122*INDEX('Timing &amp; Flags'!AT89:AT91,MATCH($D$145,Indexation,0))</f>
        <v>0</v>
      </c>
      <c r="AU193" s="42">
        <f>AU122*INDEX('Timing &amp; Flags'!AU89:AU91,MATCH($D$145,Indexation,0))</f>
        <v>0</v>
      </c>
      <c r="AV193" s="42">
        <f>AV122*INDEX('Timing &amp; Flags'!AV89:AV91,MATCH($D$145,Indexation,0))</f>
        <v>0</v>
      </c>
      <c r="AW193" s="42">
        <f>AW122*INDEX('Timing &amp; Flags'!AW89:AW91,MATCH($D$145,Indexation,0))</f>
        <v>0</v>
      </c>
    </row>
    <row r="194" spans="1:49">
      <c r="A194" s="12"/>
      <c r="B194" s="2" t="s">
        <v>969</v>
      </c>
      <c r="C194" s="15" t="str">
        <f t="shared" si="65"/>
        <v>US$</v>
      </c>
      <c r="D194" s="41">
        <f t="shared" ca="1" si="66"/>
        <v>52045989.335616022</v>
      </c>
      <c r="I194" s="42">
        <f>I123*INDEX('Timing &amp; Flags'!I89:I91,MATCH($D$145,Indexation,0))</f>
        <v>0</v>
      </c>
      <c r="J194" s="42">
        <f>J123*INDEX('Timing &amp; Flags'!J89:J91,MATCH($D$145,Indexation,0))</f>
        <v>0</v>
      </c>
      <c r="K194" s="42">
        <f ca="1">K123*INDEX('Timing &amp; Flags'!K89:K91,MATCH($D$145,Indexation,0))</f>
        <v>1327542.9670799996</v>
      </c>
      <c r="L194" s="42">
        <f ca="1">L123*INDEX('Timing &amp; Flags'!L89:L91,MATCH($D$145,Indexation,0))</f>
        <v>1358076.4553228396</v>
      </c>
      <c r="M194" s="42">
        <f ca="1">M123*INDEX('Timing &amp; Flags'!M89:M91,MATCH($D$145,Indexation,0))</f>
        <v>1389312.2137952645</v>
      </c>
      <c r="N194" s="42">
        <f ca="1">N123*INDEX('Timing &amp; Flags'!N89:N91,MATCH($D$145,Indexation,0))</f>
        <v>1418768.6694757326</v>
      </c>
      <c r="O194" s="42">
        <f ca="1">O123*INDEX('Timing &amp; Flags'!O89:O91,MATCH($D$145,Indexation,0))</f>
        <v>1460790.6752457139</v>
      </c>
      <c r="P194" s="42">
        <f ca="1">P123*INDEX('Timing &amp; Flags'!P89:P91,MATCH($D$145,Indexation,0))</f>
        <v>1491762.6305460054</v>
      </c>
      <c r="Q194" s="42">
        <f ca="1">Q123*INDEX('Timing &amp; Flags'!Q89:Q91,MATCH($D$145,Indexation,0))</f>
        <v>1527564.9336791097</v>
      </c>
      <c r="R194" s="42">
        <f ca="1">R123*INDEX('Timing &amp; Flags'!R89:R91,MATCH($D$145,Indexation,0))</f>
        <v>1559952.6492128528</v>
      </c>
      <c r="S194" s="42">
        <f ca="1">S123*INDEX('Timing &amp; Flags'!S89:S91,MATCH($D$145,Indexation,0))</f>
        <v>1606156.3331794173</v>
      </c>
      <c r="T194" s="42">
        <f ca="1">T123*INDEX('Timing &amp; Flags'!T89:T91,MATCH($D$145,Indexation,0))</f>
        <v>1640210.3581670462</v>
      </c>
      <c r="U194" s="42">
        <f ca="1">U123*INDEX('Timing &amp; Flags'!U89:U91,MATCH($D$145,Indexation,0))</f>
        <v>1679575.4067630554</v>
      </c>
      <c r="V194" s="42">
        <f ca="1">V123*INDEX('Timing &amp; Flags'!V89:V91,MATCH($D$145,Indexation,0))</f>
        <v>1715186.0765895071</v>
      </c>
      <c r="W194" s="42">
        <f ca="1">W123*INDEX('Timing &amp; Flags'!W89:W91,MATCH($D$145,Indexation,0))</f>
        <v>1765987.5643568325</v>
      </c>
      <c r="X194" s="42">
        <f ca="1">X123*INDEX('Timing &amp; Flags'!X89:X91,MATCH($D$145,Indexation,0))</f>
        <v>1803430.3608033052</v>
      </c>
      <c r="Y194" s="42">
        <f ca="1">Y123*INDEX('Timing &amp; Flags'!Y89:Y91,MATCH($D$145,Indexation,0))</f>
        <v>1846712.6894625847</v>
      </c>
      <c r="Z194" s="42">
        <f ca="1">Z123*INDEX('Timing &amp; Flags'!Z89:Z91,MATCH($D$145,Indexation,0))</f>
        <v>1885867.0350096603</v>
      </c>
      <c r="AA194" s="42">
        <f ca="1">AA123*INDEX('Timing &amp; Flags'!AA89:AA91,MATCH($D$145,Indexation,0))</f>
        <v>1941723.8615181549</v>
      </c>
      <c r="AB194" s="42">
        <f ca="1">AB123*INDEX('Timing &amp; Flags'!AB89:AB91,MATCH($D$145,Indexation,0))</f>
        <v>1982892.6515875012</v>
      </c>
      <c r="AC194" s="42">
        <f ca="1">AC123*INDEX('Timing &amp; Flags'!AC89:AC91,MATCH($D$145,Indexation,0))</f>
        <v>2030482.0752256014</v>
      </c>
      <c r="AD194" s="42">
        <f ca="1">AD123*INDEX('Timing &amp; Flags'!AD89:AD91,MATCH($D$145,Indexation,0))</f>
        <v>2073532.7334325707</v>
      </c>
      <c r="AE194" s="42">
        <f ca="1">AE123*INDEX('Timing &amp; Flags'!AE89:AE91,MATCH($D$145,Indexation,0))</f>
        <v>2134947.9636693271</v>
      </c>
      <c r="AF194" s="42">
        <f ca="1">AF123*INDEX('Timing &amp; Flags'!AF89:AF91,MATCH($D$145,Indexation,0))</f>
        <v>2180213.5270520425</v>
      </c>
      <c r="AG194" s="42">
        <f ca="1">AG123*INDEX('Timing &amp; Flags'!AG89:AG91,MATCH($D$145,Indexation,0))</f>
        <v>2232538.651701292</v>
      </c>
      <c r="AH194" s="42">
        <f ca="1">AH123*INDEX('Timing &amp; Flags'!AH89:AH91,MATCH($D$145,Indexation,0))</f>
        <v>2279873.3509832649</v>
      </c>
      <c r="AI194" s="42">
        <f ca="1">AI123*INDEX('Timing &amp; Flags'!AI89:AI91,MATCH($D$145,Indexation,0))</f>
        <v>2347400.1107511185</v>
      </c>
      <c r="AJ194" s="42">
        <f ca="1">AJ123*INDEX('Timing &amp; Flags'!AJ89:AJ91,MATCH($D$145,Indexation,0))</f>
        <v>2397170.1240282459</v>
      </c>
      <c r="AK194" s="42">
        <f ca="1">AK123*INDEX('Timing &amp; Flags'!AK89:AK91,MATCH($D$145,Indexation,0))</f>
        <v>2454702.2070049238</v>
      </c>
      <c r="AL194" s="42">
        <f ca="1">AL123*INDEX('Timing &amp; Flags'!AL89:AL91,MATCH($D$145,Indexation,0))</f>
        <v>2513615.0599730425</v>
      </c>
      <c r="AM194" s="42">
        <f>AM123*INDEX('Timing &amp; Flags'!AM89:AM91,MATCH($D$145,Indexation,0))</f>
        <v>0</v>
      </c>
      <c r="AN194" s="42">
        <f>AN123*INDEX('Timing &amp; Flags'!AN89:AN91,MATCH($D$145,Indexation,0))</f>
        <v>0</v>
      </c>
      <c r="AO194" s="42">
        <f>AO123*INDEX('Timing &amp; Flags'!AO89:AO91,MATCH($D$145,Indexation,0))</f>
        <v>0</v>
      </c>
      <c r="AP194" s="42">
        <f>AP123*INDEX('Timing &amp; Flags'!AP89:AP91,MATCH($D$145,Indexation,0))</f>
        <v>0</v>
      </c>
      <c r="AQ194" s="42">
        <f>AQ123*INDEX('Timing &amp; Flags'!AQ89:AQ91,MATCH($D$145,Indexation,0))</f>
        <v>0</v>
      </c>
      <c r="AR194" s="42">
        <f>AR123*INDEX('Timing &amp; Flags'!AR89:AR91,MATCH($D$145,Indexation,0))</f>
        <v>0</v>
      </c>
      <c r="AS194" s="42">
        <f>AS123*INDEX('Timing &amp; Flags'!AS89:AS91,MATCH($D$145,Indexation,0))</f>
        <v>0</v>
      </c>
      <c r="AT194" s="42">
        <f>AT123*INDEX('Timing &amp; Flags'!AT89:AT91,MATCH($D$145,Indexation,0))</f>
        <v>0</v>
      </c>
      <c r="AU194" s="42">
        <f>AU123*INDEX('Timing &amp; Flags'!AU89:AU91,MATCH($D$145,Indexation,0))</f>
        <v>0</v>
      </c>
      <c r="AV194" s="42">
        <f>AV123*INDEX('Timing &amp; Flags'!AV89:AV91,MATCH($D$145,Indexation,0))</f>
        <v>0</v>
      </c>
      <c r="AW194" s="42">
        <f>AW123*INDEX('Timing &amp; Flags'!AW89:AW91,MATCH($D$145,Indexation,0))</f>
        <v>0</v>
      </c>
    </row>
    <row r="195" spans="1:49">
      <c r="A195" s="12"/>
      <c r="B195" s="2" t="s">
        <v>970</v>
      </c>
      <c r="C195" s="15" t="str">
        <f t="shared" si="65"/>
        <v>US$</v>
      </c>
      <c r="D195" s="41">
        <f t="shared" ca="1" si="66"/>
        <v>275843743.47876489</v>
      </c>
      <c r="I195" s="42">
        <f>I124*INDEX('Timing &amp; Flags'!I89:I91,MATCH($D$145,Indexation,0))</f>
        <v>0</v>
      </c>
      <c r="J195" s="42">
        <f>J124*INDEX('Timing &amp; Flags'!J89:J91,MATCH($D$145,Indexation,0))</f>
        <v>0</v>
      </c>
      <c r="K195" s="42">
        <f ca="1">K124*INDEX('Timing &amp; Flags'!K89:K91,MATCH($D$145,Indexation,0))</f>
        <v>7035977.725523998</v>
      </c>
      <c r="L195" s="42">
        <f ca="1">L124*INDEX('Timing &amp; Flags'!L89:L91,MATCH($D$145,Indexation,0))</f>
        <v>7197805.2132110493</v>
      </c>
      <c r="M195" s="42">
        <f ca="1">M124*INDEX('Timing &amp; Flags'!M89:M91,MATCH($D$145,Indexation,0))</f>
        <v>7363354.7331149019</v>
      </c>
      <c r="N195" s="42">
        <f ca="1">N124*INDEX('Timing &amp; Flags'!N89:N91,MATCH($D$145,Indexation,0))</f>
        <v>7519473.9482213827</v>
      </c>
      <c r="O195" s="42">
        <f ca="1">O124*INDEX('Timing &amp; Flags'!O89:O91,MATCH($D$145,Indexation,0))</f>
        <v>7742190.5788022839</v>
      </c>
      <c r="P195" s="42">
        <f ca="1">P124*INDEX('Timing &amp; Flags'!P89:P91,MATCH($D$145,Indexation,0))</f>
        <v>7906341.941893829</v>
      </c>
      <c r="Q195" s="42">
        <f ca="1">Q124*INDEX('Timing &amp; Flags'!Q89:Q91,MATCH($D$145,Indexation,0))</f>
        <v>8096094.1484992811</v>
      </c>
      <c r="R195" s="42">
        <f ca="1">R124*INDEX('Timing &amp; Flags'!R89:R91,MATCH($D$145,Indexation,0))</f>
        <v>8267749.040828119</v>
      </c>
      <c r="S195" s="42">
        <f ca="1">S124*INDEX('Timing &amp; Flags'!S89:S91,MATCH($D$145,Indexation,0))</f>
        <v>8512628.5658509117</v>
      </c>
      <c r="T195" s="42">
        <f ca="1">T124*INDEX('Timing &amp; Flags'!T89:T91,MATCH($D$145,Indexation,0))</f>
        <v>8693114.8982853442</v>
      </c>
      <c r="U195" s="42">
        <f ca="1">U124*INDEX('Timing &amp; Flags'!U89:U91,MATCH($D$145,Indexation,0))</f>
        <v>8901749.655844193</v>
      </c>
      <c r="V195" s="42">
        <f ca="1">V124*INDEX('Timing &amp; Flags'!V89:V91,MATCH($D$145,Indexation,0))</f>
        <v>9090486.205924388</v>
      </c>
      <c r="W195" s="42">
        <f ca="1">W124*INDEX('Timing &amp; Flags'!W89:W91,MATCH($D$145,Indexation,0))</f>
        <v>9359734.0910912119</v>
      </c>
      <c r="X195" s="42">
        <f ca="1">X124*INDEX('Timing &amp; Flags'!X89:X91,MATCH($D$145,Indexation,0))</f>
        <v>9558180.9122575168</v>
      </c>
      <c r="Y195" s="42">
        <f ca="1">Y124*INDEX('Timing &amp; Flags'!Y89:Y91,MATCH($D$145,Indexation,0))</f>
        <v>9787577.2541516982</v>
      </c>
      <c r="Z195" s="42">
        <f ca="1">Z124*INDEX('Timing &amp; Flags'!Z89:Z91,MATCH($D$145,Indexation,0))</f>
        <v>9995095.2855511997</v>
      </c>
      <c r="AA195" s="42">
        <f ca="1">AA124*INDEX('Timing &amp; Flags'!AA89:AA91,MATCH($D$145,Indexation,0))</f>
        <v>10291136.466046222</v>
      </c>
      <c r="AB195" s="42">
        <f ca="1">AB124*INDEX('Timing &amp; Flags'!AB89:AB91,MATCH($D$145,Indexation,0))</f>
        <v>10509331.053413756</v>
      </c>
      <c r="AC195" s="42">
        <f ca="1">AC124*INDEX('Timing &amp; Flags'!AC89:AC91,MATCH($D$145,Indexation,0))</f>
        <v>10761554.998695686</v>
      </c>
      <c r="AD195" s="42">
        <f ca="1">AD124*INDEX('Timing &amp; Flags'!AD89:AD91,MATCH($D$145,Indexation,0))</f>
        <v>10989723.487192625</v>
      </c>
      <c r="AE195" s="42">
        <f ca="1">AE124*INDEX('Timing &amp; Flags'!AE89:AE91,MATCH($D$145,Indexation,0))</f>
        <v>11315224.207447434</v>
      </c>
      <c r="AF195" s="42">
        <f ca="1">AF124*INDEX('Timing &amp; Flags'!AF89:AF91,MATCH($D$145,Indexation,0))</f>
        <v>11555131.693375826</v>
      </c>
      <c r="AG195" s="42">
        <f ca="1">AG124*INDEX('Timing &amp; Flags'!AG89:AG91,MATCH($D$145,Indexation,0))</f>
        <v>11832454.854016846</v>
      </c>
      <c r="AH195" s="42">
        <f ca="1">AH124*INDEX('Timing &amp; Flags'!AH89:AH91,MATCH($D$145,Indexation,0))</f>
        <v>12083328.760211304</v>
      </c>
      <c r="AI195" s="42">
        <f ca="1">AI124*INDEX('Timing &amp; Flags'!AI89:AI91,MATCH($D$145,Indexation,0))</f>
        <v>12441220.58698093</v>
      </c>
      <c r="AJ195" s="42">
        <f ca="1">AJ124*INDEX('Timing &amp; Flags'!AJ89:AJ91,MATCH($D$145,Indexation,0))</f>
        <v>12705001.657349704</v>
      </c>
      <c r="AK195" s="42">
        <f ca="1">AK124*INDEX('Timing &amp; Flags'!AK89:AK91,MATCH($D$145,Indexation,0))</f>
        <v>13009921.697126098</v>
      </c>
      <c r="AL195" s="42">
        <f ca="1">AL124*INDEX('Timing &amp; Flags'!AL89:AL91,MATCH($D$145,Indexation,0))</f>
        <v>13322159.817857124</v>
      </c>
      <c r="AM195" s="42">
        <f>AM124*INDEX('Timing &amp; Flags'!AM89:AM91,MATCH($D$145,Indexation,0))</f>
        <v>0</v>
      </c>
      <c r="AN195" s="42">
        <f>AN124*INDEX('Timing &amp; Flags'!AN89:AN91,MATCH($D$145,Indexation,0))</f>
        <v>0</v>
      </c>
      <c r="AO195" s="42">
        <f>AO124*INDEX('Timing &amp; Flags'!AO89:AO91,MATCH($D$145,Indexation,0))</f>
        <v>0</v>
      </c>
      <c r="AP195" s="42">
        <f>AP124*INDEX('Timing &amp; Flags'!AP89:AP91,MATCH($D$145,Indexation,0))</f>
        <v>0</v>
      </c>
      <c r="AQ195" s="42">
        <f>AQ124*INDEX('Timing &amp; Flags'!AQ89:AQ91,MATCH($D$145,Indexation,0))</f>
        <v>0</v>
      </c>
      <c r="AR195" s="42">
        <f>AR124*INDEX('Timing &amp; Flags'!AR89:AR91,MATCH($D$145,Indexation,0))</f>
        <v>0</v>
      </c>
      <c r="AS195" s="42">
        <f>AS124*INDEX('Timing &amp; Flags'!AS89:AS91,MATCH($D$145,Indexation,0))</f>
        <v>0</v>
      </c>
      <c r="AT195" s="42">
        <f>AT124*INDEX('Timing &amp; Flags'!AT89:AT91,MATCH($D$145,Indexation,0))</f>
        <v>0</v>
      </c>
      <c r="AU195" s="42">
        <f>AU124*INDEX('Timing &amp; Flags'!AU89:AU91,MATCH($D$145,Indexation,0))</f>
        <v>0</v>
      </c>
      <c r="AV195" s="42">
        <f>AV124*INDEX('Timing &amp; Flags'!AV89:AV91,MATCH($D$145,Indexation,0))</f>
        <v>0</v>
      </c>
      <c r="AW195" s="42">
        <f>AW124*INDEX('Timing &amp; Flags'!AW89:AW91,MATCH($D$145,Indexation,0))</f>
        <v>0</v>
      </c>
    </row>
    <row r="196" spans="1:49">
      <c r="A196" s="12"/>
      <c r="B196" s="2" t="s">
        <v>971</v>
      </c>
      <c r="C196" s="15" t="str">
        <f t="shared" si="65"/>
        <v>US$</v>
      </c>
      <c r="D196" s="41">
        <f t="shared" ca="1" si="66"/>
        <v>15853460.187060911</v>
      </c>
      <c r="I196" s="42">
        <f>I125*INDEX('Timing &amp; Flags'!I89:I91,MATCH($D$145,Indexation,0))</f>
        <v>0</v>
      </c>
      <c r="J196" s="42">
        <f>J125*INDEX('Timing &amp; Flags'!J89:J91,MATCH($D$145,Indexation,0))</f>
        <v>0</v>
      </c>
      <c r="K196" s="42">
        <f ca="1">K125*INDEX('Timing &amp; Flags'!K89:K91,MATCH($D$145,Indexation,0))</f>
        <v>404376.01136756985</v>
      </c>
      <c r="L196" s="42">
        <f ca="1">L125*INDEX('Timing &amp; Flags'!L89:L91,MATCH($D$145,Indexation,0))</f>
        <v>413676.65962902398</v>
      </c>
      <c r="M196" s="42">
        <f ca="1">M125*INDEX('Timing &amp; Flags'!M89:M91,MATCH($D$145,Indexation,0))</f>
        <v>423191.22280049144</v>
      </c>
      <c r="N196" s="42">
        <f ca="1">N125*INDEX('Timing &amp; Flags'!N89:N91,MATCH($D$145,Indexation,0))</f>
        <v>432163.80173199915</v>
      </c>
      <c r="O196" s="42">
        <f ca="1">O125*INDEX('Timing &amp; Flags'!O89:O91,MATCH($D$145,Indexation,0))</f>
        <v>444963.90802182147</v>
      </c>
      <c r="P196" s="42">
        <f ca="1">P125*INDEX('Timing &amp; Flags'!P89:P91,MATCH($D$145,Indexation,0))</f>
        <v>454398.11547059013</v>
      </c>
      <c r="Q196" s="42">
        <f ca="1">Q125*INDEX('Timing &amp; Flags'!Q89:Q91,MATCH($D$145,Indexation,0))</f>
        <v>465303.67024188425</v>
      </c>
      <c r="R196" s="42">
        <f ca="1">R125*INDEX('Timing &amp; Flags'!R89:R91,MATCH($D$145,Indexation,0))</f>
        <v>475169.12510821497</v>
      </c>
      <c r="S196" s="42">
        <f ca="1">S125*INDEX('Timing &amp; Flags'!S89:S91,MATCH($D$145,Indexation,0))</f>
        <v>489242.9908106433</v>
      </c>
      <c r="T196" s="42">
        <f ca="1">T125*INDEX('Timing &amp; Flags'!T89:T91,MATCH($D$145,Indexation,0))</f>
        <v>499616.01159941533</v>
      </c>
      <c r="U196" s="42">
        <f ca="1">U125*INDEX('Timing &amp; Flags'!U89:U91,MATCH($D$145,Indexation,0))</f>
        <v>511606.79587780131</v>
      </c>
      <c r="V196" s="42">
        <f ca="1">V125*INDEX('Timing &amp; Flags'!V89:V91,MATCH($D$145,Indexation,0))</f>
        <v>522453.97821663122</v>
      </c>
      <c r="W196" s="42">
        <f ca="1">W125*INDEX('Timing &amp; Flags'!W89:W91,MATCH($D$145,Indexation,0))</f>
        <v>537928.35720420908</v>
      </c>
      <c r="X196" s="42">
        <f ca="1">X125*INDEX('Timing &amp; Flags'!X89:X91,MATCH($D$145,Indexation,0))</f>
        <v>549333.61417662608</v>
      </c>
      <c r="Y196" s="42">
        <f ca="1">Y125*INDEX('Timing &amp; Flags'!Y89:Y91,MATCH($D$145,Indexation,0))</f>
        <v>562517.62091686518</v>
      </c>
      <c r="Z196" s="42">
        <f ca="1">Z125*INDEX('Timing &amp; Flags'!Z89:Z91,MATCH($D$145,Indexation,0))</f>
        <v>574444.22402701515</v>
      </c>
      <c r="AA196" s="42">
        <f ca="1">AA125*INDEX('Timing &amp; Flags'!AA89:AA91,MATCH($D$145,Indexation,0))</f>
        <v>591458.4836564695</v>
      </c>
      <c r="AB196" s="42">
        <f ca="1">AB125*INDEX('Timing &amp; Flags'!AB89:AB91,MATCH($D$145,Indexation,0))</f>
        <v>603998.69631541544</v>
      </c>
      <c r="AC196" s="42">
        <f ca="1">AC125*INDEX('Timing &amp; Flags'!AC89:AC91,MATCH($D$145,Indexation,0))</f>
        <v>618494.66502698546</v>
      </c>
      <c r="AD196" s="42">
        <f ca="1">AD125*INDEX('Timing &amp; Flags'!AD89:AD91,MATCH($D$145,Indexation,0))</f>
        <v>631608.10382646474</v>
      </c>
      <c r="AE196" s="42">
        <f ca="1">AE125*INDEX('Timing &amp; Flags'!AE89:AE91,MATCH($D$145,Indexation,0))</f>
        <v>650315.48012704961</v>
      </c>
      <c r="AF196" s="42">
        <f ca="1">AF125*INDEX('Timing &amp; Flags'!AF89:AF91,MATCH($D$145,Indexation,0))</f>
        <v>664103.58976034436</v>
      </c>
      <c r="AG196" s="42">
        <f ca="1">AG125*INDEX('Timing &amp; Flags'!AG89:AG91,MATCH($D$145,Indexation,0))</f>
        <v>680042.07591459271</v>
      </c>
      <c r="AH196" s="42">
        <f ca="1">AH125*INDEX('Timing &amp; Flags'!AH89:AH91,MATCH($D$145,Indexation,0))</f>
        <v>694460.45435474918</v>
      </c>
      <c r="AI196" s="42">
        <f ca="1">AI125*INDEX('Timing &amp; Flags'!AI89:AI91,MATCH($D$145,Indexation,0))</f>
        <v>715029.43212242343</v>
      </c>
      <c r="AJ196" s="42">
        <f ca="1">AJ125*INDEX('Timing &amp; Flags'!AJ89:AJ91,MATCH($D$145,Indexation,0))</f>
        <v>730189.61898928124</v>
      </c>
      <c r="AK196" s="42">
        <f ca="1">AK125*INDEX('Timing &amp; Flags'!AK89:AK91,MATCH($D$145,Indexation,0))</f>
        <v>747714.16984502412</v>
      </c>
      <c r="AL196" s="42">
        <f ca="1">AL125*INDEX('Timing &amp; Flags'!AL89:AL91,MATCH($D$145,Indexation,0))</f>
        <v>765659.3099213047</v>
      </c>
      <c r="AM196" s="42">
        <f>AM125*INDEX('Timing &amp; Flags'!AM89:AM91,MATCH($D$145,Indexation,0))</f>
        <v>0</v>
      </c>
      <c r="AN196" s="42">
        <f>AN125*INDEX('Timing &amp; Flags'!AN89:AN91,MATCH($D$145,Indexation,0))</f>
        <v>0</v>
      </c>
      <c r="AO196" s="42">
        <f>AO125*INDEX('Timing &amp; Flags'!AO89:AO91,MATCH($D$145,Indexation,0))</f>
        <v>0</v>
      </c>
      <c r="AP196" s="42">
        <f>AP125*INDEX('Timing &amp; Flags'!AP89:AP91,MATCH($D$145,Indexation,0))</f>
        <v>0</v>
      </c>
      <c r="AQ196" s="42">
        <f>AQ125*INDEX('Timing &amp; Flags'!AQ89:AQ91,MATCH($D$145,Indexation,0))</f>
        <v>0</v>
      </c>
      <c r="AR196" s="42">
        <f>AR125*INDEX('Timing &amp; Flags'!AR89:AR91,MATCH($D$145,Indexation,0))</f>
        <v>0</v>
      </c>
      <c r="AS196" s="42">
        <f>AS125*INDEX('Timing &amp; Flags'!AS89:AS91,MATCH($D$145,Indexation,0))</f>
        <v>0</v>
      </c>
      <c r="AT196" s="42">
        <f>AT125*INDEX('Timing &amp; Flags'!AT89:AT91,MATCH($D$145,Indexation,0))</f>
        <v>0</v>
      </c>
      <c r="AU196" s="42">
        <f>AU125*INDEX('Timing &amp; Flags'!AU89:AU91,MATCH($D$145,Indexation,0))</f>
        <v>0</v>
      </c>
      <c r="AV196" s="42">
        <f>AV125*INDEX('Timing &amp; Flags'!AV89:AV91,MATCH($D$145,Indexation,0))</f>
        <v>0</v>
      </c>
      <c r="AW196" s="42">
        <f>AW125*INDEX('Timing &amp; Flags'!AW89:AW91,MATCH($D$145,Indexation,0))</f>
        <v>0</v>
      </c>
    </row>
    <row r="197" spans="1:49">
      <c r="A197" s="12"/>
      <c r="B197" s="2" t="s">
        <v>972</v>
      </c>
      <c r="C197" s="15" t="str">
        <f t="shared" si="65"/>
        <v>US$</v>
      </c>
      <c r="D197" s="41">
        <f t="shared" ca="1" si="66"/>
        <v>59339395.289561681</v>
      </c>
      <c r="I197" s="42">
        <f>I126*INDEX('Timing &amp; Flags'!I89:I91,MATCH($D$145,Indexation,0))</f>
        <v>0</v>
      </c>
      <c r="J197" s="42">
        <f>J126*INDEX('Timing &amp; Flags'!J89:J91,MATCH($D$145,Indexation,0))</f>
        <v>0</v>
      </c>
      <c r="K197" s="42">
        <f ca="1">K126*INDEX('Timing &amp; Flags'!K89:K91,MATCH($D$145,Indexation,0))</f>
        <v>1513576.7019329215</v>
      </c>
      <c r="L197" s="42">
        <f ca="1">L126*INDEX('Timing &amp; Flags'!L89:L91,MATCH($D$145,Indexation,0))</f>
        <v>1548388.9660773787</v>
      </c>
      <c r="M197" s="42">
        <f ca="1">M126*INDEX('Timing &amp; Flags'!M89:M91,MATCH($D$145,Indexation,0))</f>
        <v>1584001.912297158</v>
      </c>
      <c r="N197" s="42">
        <f ca="1">N126*INDEX('Timing &amp; Flags'!N89:N91,MATCH($D$145,Indexation,0))</f>
        <v>1617586.2151371196</v>
      </c>
      <c r="O197" s="42">
        <f ca="1">O126*INDEX('Timing &amp; Flags'!O89:O91,MATCH($D$145,Indexation,0))</f>
        <v>1665496.9272414774</v>
      </c>
      <c r="P197" s="42">
        <f ca="1">P126*INDEX('Timing &amp; Flags'!P89:P91,MATCH($D$145,Indexation,0))</f>
        <v>1700809.1025294387</v>
      </c>
      <c r="Q197" s="42">
        <f ca="1">Q126*INDEX('Timing &amp; Flags'!Q89:Q91,MATCH($D$145,Indexation,0))</f>
        <v>1741628.5209901452</v>
      </c>
      <c r="R197" s="42">
        <f ca="1">R126*INDEX('Timing &amp; Flags'!R89:R91,MATCH($D$145,Indexation,0))</f>
        <v>1778554.8524734338</v>
      </c>
      <c r="S197" s="42">
        <f ca="1">S126*INDEX('Timing &amp; Flags'!S89:S91,MATCH($D$145,Indexation,0))</f>
        <v>1831233.2375272033</v>
      </c>
      <c r="T197" s="42">
        <f ca="1">T126*INDEX('Timing &amp; Flags'!T89:T91,MATCH($D$145,Indexation,0))</f>
        <v>1870059.3848583808</v>
      </c>
      <c r="U197" s="42">
        <f ca="1">U126*INDEX('Timing &amp; Flags'!U89:U91,MATCH($D$145,Indexation,0))</f>
        <v>1914940.8100949819</v>
      </c>
      <c r="V197" s="42">
        <f ca="1">V126*INDEX('Timing &amp; Flags'!V89:V91,MATCH($D$145,Indexation,0))</f>
        <v>1955541.7409319684</v>
      </c>
      <c r="W197" s="42">
        <f ca="1">W126*INDEX('Timing &amp; Flags'!W89:W91,MATCH($D$145,Indexation,0))</f>
        <v>2013462.2378310498</v>
      </c>
      <c r="X197" s="42">
        <f ca="1">X126*INDEX('Timing &amp; Flags'!X89:X91,MATCH($D$145,Indexation,0))</f>
        <v>2056152.0382834238</v>
      </c>
      <c r="Y197" s="42">
        <f ca="1">Y126*INDEX('Timing &amp; Flags'!Y89:Y91,MATCH($D$145,Indexation,0))</f>
        <v>2105499.6872022259</v>
      </c>
      <c r="Z197" s="42">
        <f ca="1">Z126*INDEX('Timing &amp; Flags'!Z89:Z91,MATCH($D$145,Indexation,0))</f>
        <v>2150140.8827560218</v>
      </c>
      <c r="AA197" s="42">
        <f ca="1">AA126*INDEX('Timing &amp; Flags'!AA89:AA91,MATCH($D$145,Indexation,0))</f>
        <v>2213825.1425831257</v>
      </c>
      <c r="AB197" s="42">
        <f ca="1">AB126*INDEX('Timing &amp; Flags'!AB89:AB91,MATCH($D$145,Indexation,0))</f>
        <v>2260763.074567948</v>
      </c>
      <c r="AC197" s="42">
        <f ca="1">AC126*INDEX('Timing &amp; Flags'!AC89:AC91,MATCH($D$145,Indexation,0))</f>
        <v>2315021.3883575788</v>
      </c>
      <c r="AD197" s="42">
        <f ca="1">AD126*INDEX('Timing &amp; Flags'!AD89:AD91,MATCH($D$145,Indexation,0))</f>
        <v>2364104.9019467998</v>
      </c>
      <c r="AE197" s="42">
        <f ca="1">AE126*INDEX('Timing &amp; Flags'!AE89:AE91,MATCH($D$145,Indexation,0))</f>
        <v>2434126.4861330078</v>
      </c>
      <c r="AF197" s="42">
        <f ca="1">AF126*INDEX('Timing &amp; Flags'!AF89:AF91,MATCH($D$145,Indexation,0))</f>
        <v>2485735.2881340794</v>
      </c>
      <c r="AG197" s="42">
        <f ca="1">AG126*INDEX('Timing &amp; Flags'!AG89:AG91,MATCH($D$145,Indexation,0))</f>
        <v>2545392.9350492973</v>
      </c>
      <c r="AH197" s="42">
        <f ca="1">AH126*INDEX('Timing &amp; Flags'!AH89:AH91,MATCH($D$145,Indexation,0))</f>
        <v>2599360.8289727471</v>
      </c>
      <c r="AI197" s="42">
        <f ca="1">AI126*INDEX('Timing &amp; Flags'!AI89:AI91,MATCH($D$145,Indexation,0))</f>
        <v>2676350.3749807789</v>
      </c>
      <c r="AJ197" s="42">
        <f ca="1">AJ126*INDEX('Timing &amp; Flags'!AJ89:AJ91,MATCH($D$145,Indexation,0))</f>
        <v>2733094.8528765463</v>
      </c>
      <c r="AK197" s="42">
        <f ca="1">AK126*INDEX('Timing &amp; Flags'!AK89:AK91,MATCH($D$145,Indexation,0))</f>
        <v>2798689.1293455833</v>
      </c>
      <c r="AL197" s="42">
        <f ca="1">AL126*INDEX('Timing &amp; Flags'!AL89:AL91,MATCH($D$145,Indexation,0))</f>
        <v>2865857.6684498778</v>
      </c>
      <c r="AM197" s="42">
        <f>AM126*INDEX('Timing &amp; Flags'!AM89:AM91,MATCH($D$145,Indexation,0))</f>
        <v>0</v>
      </c>
      <c r="AN197" s="42">
        <f>AN126*INDEX('Timing &amp; Flags'!AN89:AN91,MATCH($D$145,Indexation,0))</f>
        <v>0</v>
      </c>
      <c r="AO197" s="42">
        <f>AO126*INDEX('Timing &amp; Flags'!AO89:AO91,MATCH($D$145,Indexation,0))</f>
        <v>0</v>
      </c>
      <c r="AP197" s="42">
        <f>AP126*INDEX('Timing &amp; Flags'!AP89:AP91,MATCH($D$145,Indexation,0))</f>
        <v>0</v>
      </c>
      <c r="AQ197" s="42">
        <f>AQ126*INDEX('Timing &amp; Flags'!AQ89:AQ91,MATCH($D$145,Indexation,0))</f>
        <v>0</v>
      </c>
      <c r="AR197" s="42">
        <f>AR126*INDEX('Timing &amp; Flags'!AR89:AR91,MATCH($D$145,Indexation,0))</f>
        <v>0</v>
      </c>
      <c r="AS197" s="42">
        <f>AS126*INDEX('Timing &amp; Flags'!AS89:AS91,MATCH($D$145,Indexation,0))</f>
        <v>0</v>
      </c>
      <c r="AT197" s="42">
        <f>AT126*INDEX('Timing &amp; Flags'!AT89:AT91,MATCH($D$145,Indexation,0))</f>
        <v>0</v>
      </c>
      <c r="AU197" s="42">
        <f>AU126*INDEX('Timing &amp; Flags'!AU89:AU91,MATCH($D$145,Indexation,0))</f>
        <v>0</v>
      </c>
      <c r="AV197" s="42">
        <f>AV126*INDEX('Timing &amp; Flags'!AV89:AV91,MATCH($D$145,Indexation,0))</f>
        <v>0</v>
      </c>
      <c r="AW197" s="42">
        <f>AW126*INDEX('Timing &amp; Flags'!AW89:AW91,MATCH($D$145,Indexation,0))</f>
        <v>0</v>
      </c>
    </row>
    <row r="198" spans="1:49">
      <c r="B198" s="489" t="s">
        <v>973</v>
      </c>
      <c r="C198" s="577" t="str">
        <f>$C$39</f>
        <v>US$</v>
      </c>
      <c r="D198" s="41">
        <f t="shared" ca="1" si="66"/>
        <v>71695416.817379624</v>
      </c>
      <c r="E198" s="489"/>
      <c r="F198" s="489"/>
      <c r="G198" s="489"/>
      <c r="H198" s="489"/>
      <c r="I198" s="578">
        <f>I127*INDEX('Timing &amp; Flags'!I89:I91,MATCH($D$147,Indexation,0))</f>
        <v>0</v>
      </c>
      <c r="J198" s="578">
        <f>J127*INDEX('Timing &amp; Flags'!J89:J91,MATCH($D$147,Indexation,0))</f>
        <v>0</v>
      </c>
      <c r="K198" s="578">
        <f ca="1">K127*INDEX('Timing &amp; Flags'!K89:K91,MATCH($D$147,Indexation,0))</f>
        <v>1669517.73</v>
      </c>
      <c r="L198" s="578">
        <f ca="1">L127*INDEX('Timing &amp; Flags'!L89:L91,MATCH($D$147,Indexation,0))</f>
        <v>1719603.2619</v>
      </c>
      <c r="M198" s="578">
        <f ca="1">M127*INDEX('Timing &amp; Flags'!M89:M91,MATCH($D$147,Indexation,0))</f>
        <v>1771191.3597570001</v>
      </c>
      <c r="N198" s="578">
        <f ca="1">N127*INDEX('Timing &amp; Flags'!N89:N91,MATCH($D$147,Indexation,0))</f>
        <v>1819342.600274984</v>
      </c>
      <c r="O198" s="578">
        <f ca="1">O127*INDEX('Timing &amp; Flags'!O89:O91,MATCH($D$147,Indexation,0))</f>
        <v>1884357.6094900577</v>
      </c>
      <c r="P198" s="578">
        <f ca="1">P127*INDEX('Timing &amp; Flags'!P89:P91,MATCH($D$147,Indexation,0))</f>
        <v>1935585.3641742817</v>
      </c>
      <c r="Q198" s="578">
        <f ca="1">Q127*INDEX('Timing &amp; Flags'!Q89:Q91,MATCH($D$147,Indexation,0))</f>
        <v>1993652.9250995102</v>
      </c>
      <c r="R198" s="578">
        <f ca="1">R127*INDEX('Timing &amp; Flags'!R89:R91,MATCH($D$147,Indexation,0))</f>
        <v>2047851.959538691</v>
      </c>
      <c r="S198" s="578">
        <f ca="1">S127*INDEX('Timing &amp; Flags'!S89:S91,MATCH($D$147,Indexation,0))</f>
        <v>2121032.851362139</v>
      </c>
      <c r="T198" s="578">
        <f ca="1">T127*INDEX('Timing &amp; Flags'!T89:T91,MATCH($D$147,Indexation,0))</f>
        <v>2178694.8100262186</v>
      </c>
      <c r="U198" s="578">
        <f ca="1">U127*INDEX('Timing &amp; Flags'!U89:U91,MATCH($D$147,Indexation,0))</f>
        <v>2244055.6543270051</v>
      </c>
      <c r="V198" s="578">
        <f ca="1">V127*INDEX('Timing &amp; Flags'!V89:V91,MATCH($D$147,Indexation,0))</f>
        <v>2305062.0853667697</v>
      </c>
      <c r="W198" s="578">
        <f ca="1">W127*INDEX('Timing &amp; Flags'!W89:W91,MATCH($D$147,Indexation,0))</f>
        <v>2387434.4943340453</v>
      </c>
      <c r="X198" s="578">
        <f ca="1">X127*INDEX('Timing &amp; Flags'!X89:X91,MATCH($D$147,Indexation,0))</f>
        <v>2452338.7927455851</v>
      </c>
      <c r="Y198" s="578">
        <f ca="1">Y127*INDEX('Timing &amp; Flags'!Y89:Y91,MATCH($D$147,Indexation,0))</f>
        <v>2525908.9565279526</v>
      </c>
      <c r="Z198" s="578">
        <f ca="1">Z127*INDEX('Timing &amp; Flags'!Z89:Z91,MATCH($D$147,Indexation,0))</f>
        <v>2594577.7929144371</v>
      </c>
      <c r="AA198" s="578">
        <f ca="1">AA127*INDEX('Timing &amp; Flags'!AA89:AA91,MATCH($D$147,Indexation,0))</f>
        <v>2687296.1732184328</v>
      </c>
      <c r="AB198" s="578">
        <f ca="1">AB127*INDEX('Timing &amp; Flags'!AB89:AB91,MATCH($D$147,Indexation,0))</f>
        <v>2760352.4489657641</v>
      </c>
      <c r="AC198" s="578">
        <f ca="1">AC127*INDEX('Timing &amp; Flags'!AC89:AC91,MATCH($D$147,Indexation,0))</f>
        <v>2843163.0224347371</v>
      </c>
      <c r="AD198" s="578">
        <f ca="1">AD127*INDEX('Timing &amp; Flags'!AD89:AD91,MATCH($D$147,Indexation,0))</f>
        <v>2920456.6619790699</v>
      </c>
      <c r="AE198" s="578">
        <f ca="1">AE127*INDEX('Timing &amp; Flags'!AE89:AE91,MATCH($D$147,Indexation,0))</f>
        <v>3024820.4672140446</v>
      </c>
      <c r="AF198" s="578">
        <f ca="1">AF127*INDEX('Timing &amp; Flags'!AF89:AF91,MATCH($D$147,Indexation,0))</f>
        <v>3107052.6083309287</v>
      </c>
      <c r="AG198" s="578">
        <f ca="1">AG127*INDEX('Timing &amp; Flags'!AG89:AG91,MATCH($D$147,Indexation,0))</f>
        <v>3200264.1865808573</v>
      </c>
      <c r="AH198" s="578">
        <f ca="1">AH127*INDEX('Timing &amp; Flags'!AH89:AH91,MATCH($D$147,Indexation,0))</f>
        <v>3287265.9042215119</v>
      </c>
      <c r="AI198" s="578">
        <f ca="1">AI127*INDEX('Timing &amp; Flags'!AI89:AI91,MATCH($D$147,Indexation,0))</f>
        <v>3404737.7993022157</v>
      </c>
      <c r="AJ198" s="578">
        <f ca="1">AJ127*INDEX('Timing &amp; Flags'!AJ89:AJ91,MATCH($D$147,Indexation,0))</f>
        <v>3497298.2941193115</v>
      </c>
      <c r="AK198" s="578">
        <f ca="1">AK127*INDEX('Timing &amp; Flags'!AK89:AK91,MATCH($D$147,Indexation,0))</f>
        <v>3602217.2429428906</v>
      </c>
      <c r="AL198" s="578">
        <f ca="1">AL127*INDEX('Timing &amp; Flags'!AL89:AL91,MATCH($D$147,Indexation,0))</f>
        <v>3710283.7602311773</v>
      </c>
      <c r="AM198" s="578">
        <f>AM127*INDEX('Timing &amp; Flags'!AM89:AM91,MATCH($D$147,Indexation,0))</f>
        <v>0</v>
      </c>
      <c r="AN198" s="578">
        <f>AN127*INDEX('Timing &amp; Flags'!AN89:AN91,MATCH($D$147,Indexation,0))</f>
        <v>0</v>
      </c>
      <c r="AO198" s="578">
        <f>AO127*INDEX('Timing &amp; Flags'!AO89:AO91,MATCH($D$147,Indexation,0))</f>
        <v>0</v>
      </c>
      <c r="AP198" s="578">
        <f>AP127*INDEX('Timing &amp; Flags'!AP89:AP91,MATCH($D$147,Indexation,0))</f>
        <v>0</v>
      </c>
      <c r="AQ198" s="578">
        <f>AQ127*INDEX('Timing &amp; Flags'!AQ89:AQ91,MATCH($D$147,Indexation,0))</f>
        <v>0</v>
      </c>
      <c r="AR198" s="578">
        <f>AR127*INDEX('Timing &amp; Flags'!AR89:AR91,MATCH($D$147,Indexation,0))</f>
        <v>0</v>
      </c>
      <c r="AS198" s="578">
        <f>AS127*INDEX('Timing &amp; Flags'!AS89:AS91,MATCH($D$147,Indexation,0))</f>
        <v>0</v>
      </c>
      <c r="AT198" s="578">
        <f>AT127*INDEX('Timing &amp; Flags'!AT89:AT91,MATCH($D$147,Indexation,0))</f>
        <v>0</v>
      </c>
      <c r="AU198" s="578">
        <f>AU127*INDEX('Timing &amp; Flags'!AU89:AU91,MATCH($D$147,Indexation,0))</f>
        <v>0</v>
      </c>
      <c r="AV198" s="578">
        <f>AV127*INDEX('Timing &amp; Flags'!AV89:AV91,MATCH($D$147,Indexation,0))</f>
        <v>0</v>
      </c>
      <c r="AW198" s="578">
        <f>AW127*INDEX('Timing &amp; Flags'!AW89:AW91,MATCH($D$147,Indexation,0))</f>
        <v>0</v>
      </c>
    </row>
    <row r="199" spans="1:49" ht="11.25" thickBot="1">
      <c r="B199" s="1518"/>
      <c r="C199" s="1519"/>
      <c r="D199" s="1520"/>
      <c r="E199" s="1518"/>
      <c r="F199" s="1518"/>
      <c r="G199" s="1518"/>
      <c r="H199" s="1518"/>
      <c r="I199" s="1521">
        <f>SUM(I192:I198)</f>
        <v>0</v>
      </c>
      <c r="J199" s="1521">
        <f t="shared" ref="J199:AW199" si="67">SUM(J192:J198)</f>
        <v>0</v>
      </c>
      <c r="K199" s="1521">
        <f t="shared" ca="1" si="67"/>
        <v>12622301.845607199</v>
      </c>
      <c r="L199" s="1521">
        <f ca="1">SUM(L192:L198)</f>
        <v>12924301.412166161</v>
      </c>
      <c r="M199" s="1521">
        <f t="shared" ca="1" si="67"/>
        <v>13233597.567479281</v>
      </c>
      <c r="N199" s="1521">
        <f t="shared" ca="1" si="67"/>
        <v>13524776.874040777</v>
      </c>
      <c r="O199" s="1521">
        <f t="shared" ca="1" si="67"/>
        <v>13936490.987327613</v>
      </c>
      <c r="P199" s="1521">
        <f t="shared" ca="1" si="67"/>
        <v>14243250.313082928</v>
      </c>
      <c r="Q199" s="1521">
        <f t="shared" ca="1" si="67"/>
        <v>14596701.832781963</v>
      </c>
      <c r="R199" s="1521">
        <f t="shared" ca="1" si="67"/>
        <v>14918113.051711898</v>
      </c>
      <c r="S199" s="1521">
        <f t="shared" ca="1" si="67"/>
        <v>15372493.639801772</v>
      </c>
      <c r="T199" s="1521">
        <f t="shared" ca="1" si="67"/>
        <v>15711115.532122385</v>
      </c>
      <c r="U199" s="1521">
        <f t="shared" ca="1" si="67"/>
        <v>16101254.473753478</v>
      </c>
      <c r="V199" s="1521">
        <f t="shared" ca="1" si="67"/>
        <v>16456063.808724254</v>
      </c>
      <c r="W199" s="1521">
        <f t="shared" ca="1" si="67"/>
        <v>16957569.716241144</v>
      </c>
      <c r="X199" s="1521">
        <f t="shared" ca="1" si="67"/>
        <v>17331392.728647213</v>
      </c>
      <c r="Y199" s="1521">
        <f t="shared" ca="1" si="67"/>
        <v>17762060.186891224</v>
      </c>
      <c r="Z199" s="1521">
        <f t="shared" ca="1" si="67"/>
        <v>18153768.732424207</v>
      </c>
      <c r="AA199" s="1521">
        <f t="shared" ca="1" si="67"/>
        <v>18707329.267973941</v>
      </c>
      <c r="AB199" s="1521">
        <f t="shared" ca="1" si="67"/>
        <v>19120045.261795867</v>
      </c>
      <c r="AC199" s="1521">
        <f t="shared" ca="1" si="67"/>
        <v>19595488.462772761</v>
      </c>
      <c r="AD199" s="1521">
        <f t="shared" ca="1" si="67"/>
        <v>20027968.018757053</v>
      </c>
      <c r="AE199" s="1521">
        <f t="shared" ca="1" si="67"/>
        <v>20639033.132254064</v>
      </c>
      <c r="AF199" s="1521">
        <f t="shared" ca="1" si="67"/>
        <v>21094725.082881086</v>
      </c>
      <c r="AG199" s="1521">
        <f t="shared" ca="1" si="67"/>
        <v>21619640.800520219</v>
      </c>
      <c r="AH199" s="1521">
        <f t="shared" ca="1" si="67"/>
        <v>22097173.56330888</v>
      </c>
      <c r="AI199" s="1521">
        <f t="shared" ca="1" si="67"/>
        <v>22771769.438633006</v>
      </c>
      <c r="AJ199" s="1521">
        <f t="shared" ca="1" si="67"/>
        <v>23274953.336513504</v>
      </c>
      <c r="AK199" s="1521">
        <f t="shared" ca="1" si="67"/>
        <v>23854536.006354552</v>
      </c>
      <c r="AL199" s="1521">
        <f t="shared" ca="1" si="67"/>
        <v>24448658.173964716</v>
      </c>
      <c r="AM199" s="1521">
        <f t="shared" si="67"/>
        <v>0</v>
      </c>
      <c r="AN199" s="1521">
        <f t="shared" si="67"/>
        <v>0</v>
      </c>
      <c r="AO199" s="1521">
        <f t="shared" si="67"/>
        <v>0</v>
      </c>
      <c r="AP199" s="1521">
        <f t="shared" si="67"/>
        <v>0</v>
      </c>
      <c r="AQ199" s="1521">
        <f t="shared" si="67"/>
        <v>0</v>
      </c>
      <c r="AR199" s="1521">
        <f t="shared" si="67"/>
        <v>0</v>
      </c>
      <c r="AS199" s="1521">
        <f t="shared" si="67"/>
        <v>0</v>
      </c>
      <c r="AT199" s="1521">
        <f t="shared" si="67"/>
        <v>0</v>
      </c>
      <c r="AU199" s="1521">
        <f t="shared" si="67"/>
        <v>0</v>
      </c>
      <c r="AV199" s="1521">
        <f t="shared" si="67"/>
        <v>0</v>
      </c>
      <c r="AW199" s="1521">
        <f t="shared" si="67"/>
        <v>0</v>
      </c>
    </row>
    <row r="200" spans="1:49" ht="12" thickTop="1" thickBot="1">
      <c r="B200" s="2" t="s">
        <v>1615</v>
      </c>
      <c r="C200" s="1514">
        <f>'Sens WIP'!D39</f>
        <v>0</v>
      </c>
      <c r="D200" s="53"/>
      <c r="E200" s="489"/>
      <c r="F200" s="489"/>
      <c r="G200" s="489"/>
      <c r="H200" s="489"/>
      <c r="I200" s="578"/>
      <c r="J200" s="578"/>
      <c r="K200" s="578"/>
      <c r="L200" s="578"/>
      <c r="M200" s="578"/>
      <c r="N200" s="578"/>
      <c r="O200" s="578"/>
      <c r="P200" s="578"/>
      <c r="Q200" s="578"/>
      <c r="R200" s="578"/>
      <c r="S200" s="578"/>
      <c r="T200" s="578"/>
      <c r="U200" s="578"/>
      <c r="V200" s="578"/>
      <c r="W200" s="578"/>
      <c r="X200" s="578"/>
      <c r="Y200" s="578"/>
      <c r="Z200" s="578"/>
      <c r="AA200" s="578"/>
      <c r="AB200" s="578"/>
      <c r="AC200" s="578"/>
      <c r="AD200" s="578"/>
      <c r="AE200" s="578"/>
      <c r="AF200" s="578"/>
      <c r="AG200" s="578"/>
      <c r="AH200" s="578"/>
      <c r="AI200" s="578"/>
      <c r="AJ200" s="578"/>
      <c r="AK200" s="578"/>
      <c r="AL200" s="578"/>
      <c r="AM200" s="578"/>
      <c r="AN200" s="578"/>
      <c r="AO200" s="578"/>
      <c r="AP200" s="578"/>
      <c r="AQ200" s="578"/>
      <c r="AR200" s="578"/>
      <c r="AS200" s="578"/>
      <c r="AT200" s="578"/>
      <c r="AU200" s="578"/>
      <c r="AV200" s="578"/>
      <c r="AW200" s="578"/>
    </row>
    <row r="201" spans="1:49">
      <c r="B201" s="2" t="s">
        <v>1614</v>
      </c>
      <c r="C201" s="577"/>
      <c r="D201" s="53"/>
      <c r="E201" s="489"/>
      <c r="F201" s="489"/>
      <c r="G201" s="489"/>
      <c r="H201" s="489"/>
      <c r="I201" s="578">
        <f>I199</f>
        <v>0</v>
      </c>
      <c r="J201" s="578">
        <f t="shared" ref="J201:AW201" si="68">J199</f>
        <v>0</v>
      </c>
      <c r="K201" s="578">
        <f t="shared" ca="1" si="68"/>
        <v>12622301.845607199</v>
      </c>
      <c r="L201" s="578">
        <f ca="1">L199</f>
        <v>12924301.412166161</v>
      </c>
      <c r="M201" s="578">
        <f t="shared" ca="1" si="68"/>
        <v>13233597.567479281</v>
      </c>
      <c r="N201" s="578">
        <f t="shared" ca="1" si="68"/>
        <v>13524776.874040777</v>
      </c>
      <c r="O201" s="578">
        <f t="shared" ca="1" si="68"/>
        <v>13936490.987327613</v>
      </c>
      <c r="P201" s="578">
        <f t="shared" ca="1" si="68"/>
        <v>14243250.313082928</v>
      </c>
      <c r="Q201" s="578">
        <f t="shared" ca="1" si="68"/>
        <v>14596701.832781963</v>
      </c>
      <c r="R201" s="578">
        <f t="shared" ca="1" si="68"/>
        <v>14918113.051711898</v>
      </c>
      <c r="S201" s="578">
        <f t="shared" ca="1" si="68"/>
        <v>15372493.639801772</v>
      </c>
      <c r="T201" s="578">
        <f t="shared" ca="1" si="68"/>
        <v>15711115.532122385</v>
      </c>
      <c r="U201" s="578">
        <f t="shared" ca="1" si="68"/>
        <v>16101254.473753478</v>
      </c>
      <c r="V201" s="578">
        <f t="shared" ca="1" si="68"/>
        <v>16456063.808724254</v>
      </c>
      <c r="W201" s="578">
        <f t="shared" ca="1" si="68"/>
        <v>16957569.716241144</v>
      </c>
      <c r="X201" s="578">
        <f t="shared" ca="1" si="68"/>
        <v>17331392.728647213</v>
      </c>
      <c r="Y201" s="578">
        <f t="shared" ca="1" si="68"/>
        <v>17762060.186891224</v>
      </c>
      <c r="Z201" s="578">
        <f t="shared" ca="1" si="68"/>
        <v>18153768.732424207</v>
      </c>
      <c r="AA201" s="578">
        <f t="shared" ca="1" si="68"/>
        <v>18707329.267973941</v>
      </c>
      <c r="AB201" s="578">
        <f t="shared" ca="1" si="68"/>
        <v>19120045.261795867</v>
      </c>
      <c r="AC201" s="578">
        <f t="shared" ca="1" si="68"/>
        <v>19595488.462772761</v>
      </c>
      <c r="AD201" s="578">
        <f t="shared" ca="1" si="68"/>
        <v>20027968.018757053</v>
      </c>
      <c r="AE201" s="578">
        <f t="shared" ca="1" si="68"/>
        <v>20639033.132254064</v>
      </c>
      <c r="AF201" s="578">
        <f t="shared" ca="1" si="68"/>
        <v>21094725.082881086</v>
      </c>
      <c r="AG201" s="578">
        <f t="shared" ca="1" si="68"/>
        <v>21619640.800520219</v>
      </c>
      <c r="AH201" s="578">
        <f t="shared" ca="1" si="68"/>
        <v>22097173.56330888</v>
      </c>
      <c r="AI201" s="578">
        <f t="shared" ca="1" si="68"/>
        <v>22771769.438633006</v>
      </c>
      <c r="AJ201" s="578">
        <f t="shared" ca="1" si="68"/>
        <v>23274953.336513504</v>
      </c>
      <c r="AK201" s="578">
        <f t="shared" ca="1" si="68"/>
        <v>23854536.006354552</v>
      </c>
      <c r="AL201" s="578">
        <f t="shared" ca="1" si="68"/>
        <v>24448658.173964716</v>
      </c>
      <c r="AM201" s="578">
        <f t="shared" si="68"/>
        <v>0</v>
      </c>
      <c r="AN201" s="578">
        <f t="shared" si="68"/>
        <v>0</v>
      </c>
      <c r="AO201" s="578">
        <f t="shared" si="68"/>
        <v>0</v>
      </c>
      <c r="AP201" s="578">
        <f t="shared" si="68"/>
        <v>0</v>
      </c>
      <c r="AQ201" s="578">
        <f t="shared" si="68"/>
        <v>0</v>
      </c>
      <c r="AR201" s="578">
        <f t="shared" si="68"/>
        <v>0</v>
      </c>
      <c r="AS201" s="578">
        <f t="shared" si="68"/>
        <v>0</v>
      </c>
      <c r="AT201" s="578">
        <f t="shared" si="68"/>
        <v>0</v>
      </c>
      <c r="AU201" s="578">
        <f t="shared" si="68"/>
        <v>0</v>
      </c>
      <c r="AV201" s="578">
        <f t="shared" si="68"/>
        <v>0</v>
      </c>
      <c r="AW201" s="578">
        <f t="shared" si="68"/>
        <v>0</v>
      </c>
    </row>
    <row r="202" spans="1:49">
      <c r="B202" s="2" t="s">
        <v>1608</v>
      </c>
      <c r="C202" s="15"/>
      <c r="D202" s="53"/>
      <c r="E202" s="489"/>
      <c r="F202" s="489"/>
      <c r="G202" s="489"/>
      <c r="H202" s="489"/>
      <c r="I202" s="578">
        <f>I201*(1+$C$200)</f>
        <v>0</v>
      </c>
      <c r="J202" s="578">
        <f t="shared" ref="J202:AW202" si="69">J201*(1+$C$200)</f>
        <v>0</v>
      </c>
      <c r="K202" s="578">
        <f t="shared" ca="1" si="69"/>
        <v>12622301.845607199</v>
      </c>
      <c r="L202" s="578">
        <f t="shared" ca="1" si="69"/>
        <v>12924301.412166161</v>
      </c>
      <c r="M202" s="578">
        <f t="shared" ca="1" si="69"/>
        <v>13233597.567479281</v>
      </c>
      <c r="N202" s="578">
        <f t="shared" ca="1" si="69"/>
        <v>13524776.874040777</v>
      </c>
      <c r="O202" s="578">
        <f t="shared" ca="1" si="69"/>
        <v>13936490.987327613</v>
      </c>
      <c r="P202" s="578">
        <f t="shared" ca="1" si="69"/>
        <v>14243250.313082928</v>
      </c>
      <c r="Q202" s="578">
        <f t="shared" ca="1" si="69"/>
        <v>14596701.832781963</v>
      </c>
      <c r="R202" s="578">
        <f t="shared" ca="1" si="69"/>
        <v>14918113.051711898</v>
      </c>
      <c r="S202" s="578">
        <f t="shared" ca="1" si="69"/>
        <v>15372493.639801772</v>
      </c>
      <c r="T202" s="578">
        <f t="shared" ca="1" si="69"/>
        <v>15711115.532122385</v>
      </c>
      <c r="U202" s="578">
        <f t="shared" ca="1" si="69"/>
        <v>16101254.473753478</v>
      </c>
      <c r="V202" s="578">
        <f t="shared" ca="1" si="69"/>
        <v>16456063.808724254</v>
      </c>
      <c r="W202" s="578">
        <f t="shared" ca="1" si="69"/>
        <v>16957569.716241144</v>
      </c>
      <c r="X202" s="578">
        <f t="shared" ca="1" si="69"/>
        <v>17331392.728647213</v>
      </c>
      <c r="Y202" s="578">
        <f t="shared" ca="1" si="69"/>
        <v>17762060.186891224</v>
      </c>
      <c r="Z202" s="578">
        <f t="shared" ca="1" si="69"/>
        <v>18153768.732424207</v>
      </c>
      <c r="AA202" s="578">
        <f t="shared" ca="1" si="69"/>
        <v>18707329.267973941</v>
      </c>
      <c r="AB202" s="578">
        <f t="shared" ca="1" si="69"/>
        <v>19120045.261795867</v>
      </c>
      <c r="AC202" s="578">
        <f t="shared" ca="1" si="69"/>
        <v>19595488.462772761</v>
      </c>
      <c r="AD202" s="578">
        <f t="shared" ca="1" si="69"/>
        <v>20027968.018757053</v>
      </c>
      <c r="AE202" s="578">
        <f t="shared" ca="1" si="69"/>
        <v>20639033.132254064</v>
      </c>
      <c r="AF202" s="578">
        <f t="shared" ca="1" si="69"/>
        <v>21094725.082881086</v>
      </c>
      <c r="AG202" s="578">
        <f t="shared" ca="1" si="69"/>
        <v>21619640.800520219</v>
      </c>
      <c r="AH202" s="578">
        <f t="shared" ca="1" si="69"/>
        <v>22097173.56330888</v>
      </c>
      <c r="AI202" s="578">
        <f t="shared" ca="1" si="69"/>
        <v>22771769.438633006</v>
      </c>
      <c r="AJ202" s="578">
        <f t="shared" ca="1" si="69"/>
        <v>23274953.336513504</v>
      </c>
      <c r="AK202" s="578">
        <f t="shared" ca="1" si="69"/>
        <v>23854536.006354552</v>
      </c>
      <c r="AL202" s="578">
        <f t="shared" ca="1" si="69"/>
        <v>24448658.173964716</v>
      </c>
      <c r="AM202" s="578">
        <f t="shared" si="69"/>
        <v>0</v>
      </c>
      <c r="AN202" s="578">
        <f t="shared" si="69"/>
        <v>0</v>
      </c>
      <c r="AO202" s="578">
        <f t="shared" si="69"/>
        <v>0</v>
      </c>
      <c r="AP202" s="578">
        <f t="shared" si="69"/>
        <v>0</v>
      </c>
      <c r="AQ202" s="578">
        <f t="shared" si="69"/>
        <v>0</v>
      </c>
      <c r="AR202" s="578">
        <f t="shared" si="69"/>
        <v>0</v>
      </c>
      <c r="AS202" s="578">
        <f t="shared" si="69"/>
        <v>0</v>
      </c>
      <c r="AT202" s="578">
        <f t="shared" si="69"/>
        <v>0</v>
      </c>
      <c r="AU202" s="578">
        <f t="shared" si="69"/>
        <v>0</v>
      </c>
      <c r="AV202" s="578">
        <f t="shared" si="69"/>
        <v>0</v>
      </c>
      <c r="AW202" s="578">
        <f t="shared" si="69"/>
        <v>0</v>
      </c>
    </row>
    <row r="203" spans="1:49">
      <c r="B203" s="489"/>
      <c r="C203" s="577"/>
      <c r="D203" s="53"/>
      <c r="E203" s="489"/>
      <c r="F203" s="489"/>
      <c r="G203" s="489"/>
      <c r="H203" s="489"/>
      <c r="I203" s="578"/>
      <c r="J203" s="578"/>
      <c r="K203" s="578"/>
      <c r="L203" s="578"/>
      <c r="M203" s="42"/>
      <c r="N203" s="578"/>
      <c r="O203" s="578"/>
      <c r="P203" s="578"/>
      <c r="Q203" s="578"/>
      <c r="R203" s="578"/>
      <c r="S203" s="578"/>
      <c r="T203" s="578"/>
      <c r="U203" s="578"/>
      <c r="V203" s="578"/>
      <c r="W203" s="578"/>
      <c r="X203" s="578"/>
      <c r="Y203" s="578"/>
      <c r="Z203" s="578"/>
      <c r="AA203" s="578"/>
      <c r="AB203" s="578"/>
      <c r="AC203" s="578"/>
      <c r="AD203" s="578"/>
      <c r="AE203" s="578"/>
      <c r="AF203" s="578"/>
      <c r="AG203" s="578"/>
      <c r="AH203" s="578"/>
      <c r="AI203" s="578"/>
      <c r="AJ203" s="578"/>
      <c r="AK203" s="578"/>
      <c r="AL203" s="578"/>
      <c r="AM203" s="578"/>
      <c r="AN203" s="578"/>
      <c r="AO203" s="578"/>
      <c r="AP203" s="578"/>
      <c r="AQ203" s="578"/>
      <c r="AR203" s="578"/>
      <c r="AS203" s="578"/>
      <c r="AT203" s="578"/>
      <c r="AU203" s="578"/>
      <c r="AV203" s="578"/>
      <c r="AW203" s="578"/>
    </row>
    <row r="204" spans="1:49">
      <c r="B204" s="489"/>
      <c r="C204" s="577"/>
      <c r="D204" s="53"/>
      <c r="E204" s="489"/>
      <c r="F204" s="489"/>
      <c r="G204" s="489"/>
      <c r="H204" s="489"/>
      <c r="I204" s="578"/>
      <c r="J204" s="578"/>
      <c r="K204" s="578"/>
      <c r="L204" s="578"/>
      <c r="M204" s="42"/>
      <c r="N204" s="578"/>
      <c r="O204" s="578"/>
      <c r="P204" s="578"/>
      <c r="Q204" s="578"/>
      <c r="R204" s="578"/>
      <c r="S204" s="578"/>
      <c r="T204" s="578"/>
      <c r="U204" s="578"/>
      <c r="V204" s="578"/>
      <c r="W204" s="578"/>
      <c r="X204" s="578"/>
      <c r="Y204" s="578"/>
      <c r="Z204" s="578"/>
      <c r="AA204" s="578"/>
      <c r="AB204" s="578"/>
      <c r="AC204" s="578"/>
      <c r="AD204" s="578"/>
      <c r="AE204" s="578"/>
      <c r="AF204" s="578"/>
      <c r="AG204" s="578"/>
      <c r="AH204" s="578"/>
      <c r="AI204" s="578"/>
      <c r="AJ204" s="578"/>
      <c r="AK204" s="578"/>
      <c r="AL204" s="578"/>
      <c r="AM204" s="578"/>
      <c r="AN204" s="578"/>
      <c r="AO204" s="578"/>
      <c r="AP204" s="578"/>
      <c r="AQ204" s="578"/>
      <c r="AR204" s="578"/>
      <c r="AS204" s="578"/>
      <c r="AT204" s="578"/>
      <c r="AU204" s="578"/>
      <c r="AV204" s="578"/>
      <c r="AW204" s="578"/>
    </row>
    <row r="205" spans="1:49">
      <c r="B205" s="1353" t="s">
        <v>1625</v>
      </c>
      <c r="C205" s="577"/>
      <c r="D205" s="53"/>
      <c r="E205" s="489"/>
      <c r="F205" s="489"/>
      <c r="G205" s="489"/>
      <c r="H205" s="489"/>
      <c r="I205" s="578"/>
      <c r="J205" s="578"/>
      <c r="K205" s="578"/>
      <c r="L205" s="578"/>
      <c r="M205" s="42"/>
      <c r="N205" s="578"/>
      <c r="O205" s="578"/>
      <c r="P205" s="578"/>
      <c r="Q205" s="578"/>
      <c r="R205" s="578"/>
      <c r="S205" s="578"/>
      <c r="T205" s="578"/>
      <c r="U205" s="578"/>
      <c r="V205" s="578"/>
      <c r="W205" s="578"/>
      <c r="X205" s="578"/>
      <c r="Y205" s="578"/>
      <c r="Z205" s="578"/>
      <c r="AA205" s="578"/>
      <c r="AB205" s="578"/>
      <c r="AC205" s="578"/>
      <c r="AD205" s="578"/>
      <c r="AE205" s="578"/>
      <c r="AF205" s="578"/>
      <c r="AG205" s="578"/>
      <c r="AH205" s="578"/>
      <c r="AI205" s="578"/>
      <c r="AJ205" s="578"/>
      <c r="AK205" s="578"/>
      <c r="AL205" s="578"/>
      <c r="AM205" s="578"/>
      <c r="AN205" s="578"/>
      <c r="AO205" s="578"/>
      <c r="AP205" s="578"/>
      <c r="AQ205" s="578"/>
      <c r="AR205" s="578"/>
      <c r="AS205" s="578"/>
      <c r="AT205" s="578"/>
      <c r="AU205" s="578"/>
      <c r="AV205" s="578"/>
      <c r="AW205" s="578"/>
    </row>
    <row r="206" spans="1:49">
      <c r="B206" s="489" t="s">
        <v>1223</v>
      </c>
      <c r="C206" s="577"/>
      <c r="D206" s="53"/>
      <c r="E206" s="489"/>
      <c r="F206" s="489"/>
      <c r="G206" s="489"/>
      <c r="H206" s="489"/>
      <c r="I206" s="578">
        <f>I130*INDEX('Timing &amp; Flags'!I89:I91,MATCH($D$145,Indexation,0))</f>
        <v>0</v>
      </c>
      <c r="J206" s="578">
        <f>J130*INDEX('Timing &amp; Flags'!J89:J91,MATCH($D$145,Indexation,0))</f>
        <v>0</v>
      </c>
      <c r="K206" s="578">
        <f ca="1">K130*INDEX('Timing &amp; Flags'!K89:K91,MATCH($D$145,Indexation,0))</f>
        <v>46326383.978844807</v>
      </c>
      <c r="L206" s="578">
        <f ca="1">L130*INDEX('Timing &amp; Flags'!L89:L91,MATCH($D$145,Indexation,0))</f>
        <v>47391890.810358234</v>
      </c>
      <c r="M206" s="578">
        <f ca="1">M130*INDEX('Timing &amp; Flags'!M89:M91,MATCH($D$145,Indexation,0))</f>
        <v>48481904.298996463</v>
      </c>
      <c r="N206" s="578">
        <f ca="1">N130*INDEX('Timing &amp; Flags'!N89:N91,MATCH($D$145,Indexation,0))</f>
        <v>49509826.641510703</v>
      </c>
      <c r="O206" s="578">
        <f ca="1">O130*INDEX('Timing &amp; Flags'!O89:O91,MATCH($D$145,Indexation,0))</f>
        <v>50976240.628203221</v>
      </c>
      <c r="P206" s="578">
        <f ca="1">P130*INDEX('Timing &amp; Flags'!P89:P91,MATCH($D$145,Indexation,0))</f>
        <v>52057048.352997907</v>
      </c>
      <c r="Q206" s="578">
        <f ca="1">Q130*INDEX('Timing &amp; Flags'!Q89:Q91,MATCH($D$145,Indexation,0))</f>
        <v>53306417.513469853</v>
      </c>
      <c r="R206" s="578">
        <f ca="1">R130*INDEX('Timing &amp; Flags'!R89:R91,MATCH($D$145,Indexation,0))</f>
        <v>54436630.081515007</v>
      </c>
      <c r="S206" s="578">
        <f ca="1">S130*INDEX('Timing &amp; Flags'!S89:S91,MATCH($D$145,Indexation,0))</f>
        <v>56048969.311016791</v>
      </c>
      <c r="T206" s="578">
        <f ca="1">T130*INDEX('Timing &amp; Flags'!T89:T91,MATCH($D$145,Indexation,0))</f>
        <v>57237329.971818671</v>
      </c>
      <c r="U206" s="578">
        <f ca="1">U130*INDEX('Timing &amp; Flags'!U89:U91,MATCH($D$145,Indexation,0))</f>
        <v>58611025.891142316</v>
      </c>
      <c r="V206" s="578">
        <f ca="1">V130*INDEX('Timing &amp; Flags'!V89:V91,MATCH($D$145,Indexation,0))</f>
        <v>59853707.751566529</v>
      </c>
      <c r="W206" s="578">
        <f ca="1">W130*INDEX('Timing &amp; Flags'!W89:W91,MATCH($D$145,Indexation,0))</f>
        <v>61626493.48232314</v>
      </c>
      <c r="X206" s="578">
        <f ca="1">X130*INDEX('Timing &amp; Flags'!X89:X91,MATCH($D$145,Indexation,0))</f>
        <v>62933109.846866384</v>
      </c>
      <c r="Y206" s="578">
        <f ca="1">Y130*INDEX('Timing &amp; Flags'!Y89:Y91,MATCH($D$145,Indexation,0))</f>
        <v>64443504.483191185</v>
      </c>
      <c r="Z206" s="578">
        <f ca="1">Z130*INDEX('Timing &amp; Flags'!Z89:Z91,MATCH($D$145,Indexation,0))</f>
        <v>65809847.638353921</v>
      </c>
      <c r="AA206" s="578">
        <f ca="1">AA130*INDEX('Timing &amp; Flags'!AA89:AA91,MATCH($D$145,Indexation,0))</f>
        <v>67759046.162876189</v>
      </c>
      <c r="AB206" s="578">
        <f ca="1">AB130*INDEX('Timing &amp; Flags'!AB89:AB91,MATCH($D$145,Indexation,0))</f>
        <v>69195686.048733875</v>
      </c>
      <c r="AC206" s="578">
        <f ca="1">AC130*INDEX('Timing &amp; Flags'!AC89:AC91,MATCH($D$145,Indexation,0))</f>
        <v>70856382.513903499</v>
      </c>
      <c r="AD206" s="578">
        <f ca="1">AD130*INDEX('Timing &amp; Flags'!AD89:AD91,MATCH($D$145,Indexation,0))</f>
        <v>72358692.700537086</v>
      </c>
      <c r="AE206" s="578">
        <f ca="1">AE130*INDEX('Timing &amp; Flags'!AE89:AE91,MATCH($D$145,Indexation,0))</f>
        <v>74501859.143093124</v>
      </c>
      <c r="AF206" s="578">
        <f ca="1">AF130*INDEX('Timing &amp; Flags'!AF89:AF91,MATCH($D$145,Indexation,0))</f>
        <v>76081461.402520463</v>
      </c>
      <c r="AG206" s="578">
        <f ca="1">AG130*INDEX('Timing &amp; Flags'!AG89:AG91,MATCH($D$145,Indexation,0))</f>
        <v>77907416.476180941</v>
      </c>
      <c r="AH206" s="578">
        <f ca="1">AH130*INDEX('Timing &amp; Flags'!AH89:AH91,MATCH($D$145,Indexation,0))</f>
        <v>79559223.994910911</v>
      </c>
      <c r="AI206" s="578">
        <f ca="1">AI130*INDEX('Timing &amp; Flags'!AI89:AI91,MATCH($D$145,Indexation,0))</f>
        <v>81915660.418760613</v>
      </c>
      <c r="AJ206" s="578">
        <f ca="1">AJ130*INDEX('Timing &amp; Flags'!AJ89:AJ91,MATCH($D$145,Indexation,0))</f>
        <v>83652451.4702622</v>
      </c>
      <c r="AK206" s="578">
        <f ca="1">AK130*INDEX('Timing &amp; Flags'!AK89:AK91,MATCH($D$145,Indexation,0))</f>
        <v>85660110.305548489</v>
      </c>
      <c r="AL206" s="578">
        <f ca="1">AL130*INDEX('Timing &amp; Flags'!AL89:AL91,MATCH($D$145,Indexation,0))</f>
        <v>87715952.952881664</v>
      </c>
      <c r="AM206" s="578">
        <f>AM130*INDEX('Timing &amp; Flags'!AM89:AM91,MATCH($D$145,Indexation,0))</f>
        <v>0</v>
      </c>
      <c r="AN206" s="578">
        <f>AN130*INDEX('Timing &amp; Flags'!AN89:AN91,MATCH($D$145,Indexation,0))</f>
        <v>0</v>
      </c>
      <c r="AO206" s="578">
        <f>AO130*INDEX('Timing &amp; Flags'!AO89:AO91,MATCH($D$145,Indexation,0))</f>
        <v>0</v>
      </c>
      <c r="AP206" s="578">
        <f>AP130*INDEX('Timing &amp; Flags'!AP89:AP91,MATCH($D$145,Indexation,0))</f>
        <v>0</v>
      </c>
      <c r="AQ206" s="578">
        <f>AQ130*INDEX('Timing &amp; Flags'!AQ89:AQ91,MATCH($D$145,Indexation,0))</f>
        <v>0</v>
      </c>
      <c r="AR206" s="578">
        <f>AR130*INDEX('Timing &amp; Flags'!AR89:AR91,MATCH($D$145,Indexation,0))</f>
        <v>0</v>
      </c>
      <c r="AS206" s="578">
        <f>AS130*INDEX('Timing &amp; Flags'!AS89:AS91,MATCH($D$145,Indexation,0))</f>
        <v>0</v>
      </c>
      <c r="AT206" s="578">
        <f>AT130*INDEX('Timing &amp; Flags'!AT89:AT91,MATCH($D$145,Indexation,0))</f>
        <v>0</v>
      </c>
      <c r="AU206" s="578">
        <f>AU130*INDEX('Timing &amp; Flags'!AU89:AU91,MATCH($D$145,Indexation,0))</f>
        <v>0</v>
      </c>
      <c r="AV206" s="578">
        <f>AV130*INDEX('Timing &amp; Flags'!AV89:AV91,MATCH($D$145,Indexation,0))</f>
        <v>0</v>
      </c>
      <c r="AW206" s="578">
        <f>AW130*INDEX('Timing &amp; Flags'!AW89:AW91,MATCH($D$145,Indexation,0))</f>
        <v>0</v>
      </c>
    </row>
    <row r="207" spans="1:49">
      <c r="B207" s="2" t="s">
        <v>1478</v>
      </c>
      <c r="C207" s="577"/>
      <c r="D207" s="53"/>
      <c r="E207" s="489"/>
      <c r="F207" s="489"/>
      <c r="G207" s="489"/>
      <c r="H207" s="489"/>
      <c r="I207" s="578">
        <f>I131*INDEX('Timing &amp; Flags'!I89:I91,MATCH($D$145,Indexation,0))</f>
        <v>0</v>
      </c>
      <c r="J207" s="578">
        <f>J131*INDEX('Timing &amp; Flags'!J89:J91,MATCH($D$145,Indexation,0))</f>
        <v>0</v>
      </c>
      <c r="K207" s="578">
        <f ca="1">K131*INDEX('Timing &amp; Flags'!K89:K91,MATCH($D$145,Indexation,0))</f>
        <v>0</v>
      </c>
      <c r="L207" s="578">
        <f ca="1">L131*INDEX('Timing &amp; Flags'!L89:L91,MATCH($D$145,Indexation,0))</f>
        <v>0</v>
      </c>
      <c r="M207" s="578">
        <f ca="1">M131*INDEX('Timing &amp; Flags'!M89:M91,MATCH($D$145,Indexation,0))</f>
        <v>0</v>
      </c>
      <c r="N207" s="578">
        <f ca="1">N131*INDEX('Timing &amp; Flags'!N89:N91,MATCH($D$145,Indexation,0))</f>
        <v>0</v>
      </c>
      <c r="O207" s="578">
        <f ca="1">O131*INDEX('Timing &amp; Flags'!O89:O91,MATCH($D$145,Indexation,0))</f>
        <v>0</v>
      </c>
      <c r="P207" s="578">
        <f ca="1">P131*INDEX('Timing &amp; Flags'!P89:P91,MATCH($D$145,Indexation,0))</f>
        <v>0</v>
      </c>
      <c r="Q207" s="578">
        <f ca="1">Q131*INDEX('Timing &amp; Flags'!Q89:Q91,MATCH($D$145,Indexation,0))</f>
        <v>0</v>
      </c>
      <c r="R207" s="578">
        <f ca="1">R131*INDEX('Timing &amp; Flags'!R89:R91,MATCH($D$145,Indexation,0))</f>
        <v>0</v>
      </c>
      <c r="S207" s="578">
        <f ca="1">S131*INDEX('Timing &amp; Flags'!S89:S91,MATCH($D$145,Indexation,0))</f>
        <v>0</v>
      </c>
      <c r="T207" s="578">
        <f ca="1">T131*INDEX('Timing &amp; Flags'!T89:T91,MATCH($D$145,Indexation,0))</f>
        <v>0</v>
      </c>
      <c r="U207" s="578">
        <f ca="1">U131*INDEX('Timing &amp; Flags'!U89:U91,MATCH($D$145,Indexation,0))</f>
        <v>0</v>
      </c>
      <c r="V207" s="578">
        <f ca="1">V131*INDEX('Timing &amp; Flags'!V89:V91,MATCH($D$145,Indexation,0))</f>
        <v>0</v>
      </c>
      <c r="W207" s="578">
        <f ca="1">W131*INDEX('Timing &amp; Flags'!W89:W91,MATCH($D$145,Indexation,0))</f>
        <v>0</v>
      </c>
      <c r="X207" s="578">
        <f ca="1">X131*INDEX('Timing &amp; Flags'!X89:X91,MATCH($D$145,Indexation,0))</f>
        <v>0</v>
      </c>
      <c r="Y207" s="578">
        <f ca="1">Y131*INDEX('Timing &amp; Flags'!Y89:Y91,MATCH($D$145,Indexation,0))</f>
        <v>0</v>
      </c>
      <c r="Z207" s="578">
        <f ca="1">Z131*INDEX('Timing &amp; Flags'!Z89:Z91,MATCH($D$145,Indexation,0))</f>
        <v>0</v>
      </c>
      <c r="AA207" s="578">
        <f ca="1">AA131*INDEX('Timing &amp; Flags'!AA89:AA91,MATCH($D$145,Indexation,0))</f>
        <v>0</v>
      </c>
      <c r="AB207" s="578">
        <f ca="1">AB131*INDEX('Timing &amp; Flags'!AB89:AB91,MATCH($D$145,Indexation,0))</f>
        <v>0</v>
      </c>
      <c r="AC207" s="578">
        <f ca="1">AC131*INDEX('Timing &amp; Flags'!AC89:AC91,MATCH($D$145,Indexation,0))</f>
        <v>0</v>
      </c>
      <c r="AD207" s="578">
        <f ca="1">AD131*INDEX('Timing &amp; Flags'!AD89:AD91,MATCH($D$145,Indexation,0))</f>
        <v>0</v>
      </c>
      <c r="AE207" s="578">
        <f ca="1">AE131*INDEX('Timing &amp; Flags'!AE89:AE91,MATCH($D$145,Indexation,0))</f>
        <v>0</v>
      </c>
      <c r="AF207" s="578">
        <f ca="1">AF131*INDEX('Timing &amp; Flags'!AF89:AF91,MATCH($D$145,Indexation,0))</f>
        <v>0</v>
      </c>
      <c r="AG207" s="578">
        <f ca="1">AG131*INDEX('Timing &amp; Flags'!AG89:AG91,MATCH($D$145,Indexation,0))</f>
        <v>0</v>
      </c>
      <c r="AH207" s="578">
        <f ca="1">AH131*INDEX('Timing &amp; Flags'!AH89:AH91,MATCH($D$145,Indexation,0))</f>
        <v>0</v>
      </c>
      <c r="AI207" s="578">
        <f ca="1">AI131*INDEX('Timing &amp; Flags'!AI89:AI91,MATCH($D$145,Indexation,0))</f>
        <v>0</v>
      </c>
      <c r="AJ207" s="578">
        <f ca="1">AJ131*INDEX('Timing &amp; Flags'!AJ89:AJ91,MATCH($D$145,Indexation,0))</f>
        <v>0</v>
      </c>
      <c r="AK207" s="578">
        <f ca="1">AK131*INDEX('Timing &amp; Flags'!AK89:AK91,MATCH($D$145,Indexation,0))</f>
        <v>0</v>
      </c>
      <c r="AL207" s="578">
        <f ca="1">AL131*INDEX('Timing &amp; Flags'!AL89:AL91,MATCH($D$145,Indexation,0))</f>
        <v>0</v>
      </c>
      <c r="AM207" s="578">
        <f>AM131*INDEX('Timing &amp; Flags'!AM89:AM91,MATCH($D$145,Indexation,0))</f>
        <v>0</v>
      </c>
      <c r="AN207" s="578">
        <f>AN131*INDEX('Timing &amp; Flags'!AN89:AN91,MATCH($D$145,Indexation,0))</f>
        <v>0</v>
      </c>
      <c r="AO207" s="578">
        <f>AO131*INDEX('Timing &amp; Flags'!AO89:AO91,MATCH($D$145,Indexation,0))</f>
        <v>0</v>
      </c>
      <c r="AP207" s="578">
        <f>AP131*INDEX('Timing &amp; Flags'!AP89:AP91,MATCH($D$145,Indexation,0))</f>
        <v>0</v>
      </c>
      <c r="AQ207" s="578">
        <f>AQ131*INDEX('Timing &amp; Flags'!AQ89:AQ91,MATCH($D$145,Indexation,0))</f>
        <v>0</v>
      </c>
      <c r="AR207" s="578">
        <f>AR131*INDEX('Timing &amp; Flags'!AR89:AR91,MATCH($D$145,Indexation,0))</f>
        <v>0</v>
      </c>
      <c r="AS207" s="578">
        <f>AS131*INDEX('Timing &amp; Flags'!AS89:AS91,MATCH($D$145,Indexation,0))</f>
        <v>0</v>
      </c>
      <c r="AT207" s="578">
        <f>AT131*INDEX('Timing &amp; Flags'!AT89:AT91,MATCH($D$145,Indexation,0))</f>
        <v>0</v>
      </c>
      <c r="AU207" s="578">
        <f>AU131*INDEX('Timing &amp; Flags'!AU89:AU91,MATCH($D$145,Indexation,0))</f>
        <v>0</v>
      </c>
      <c r="AV207" s="578">
        <f>AV131*INDEX('Timing &amp; Flags'!AV89:AV91,MATCH($D$145,Indexation,0))</f>
        <v>0</v>
      </c>
      <c r="AW207" s="578">
        <f>AW131*INDEX('Timing &amp; Flags'!AW89:AW91,MATCH($D$145,Indexation,0))</f>
        <v>0</v>
      </c>
    </row>
    <row r="208" spans="1:49">
      <c r="B208" s="2" t="s">
        <v>1018</v>
      </c>
      <c r="C208" s="577"/>
      <c r="D208" s="53"/>
      <c r="E208" s="489"/>
      <c r="F208" s="489"/>
      <c r="G208" s="489"/>
      <c r="H208" s="489"/>
      <c r="I208" s="578">
        <f>I132*INDEX('Timing &amp; Flags'!I89:I91,MATCH($D$145,Indexation,0))</f>
        <v>0</v>
      </c>
      <c r="J208" s="578">
        <f>J132*INDEX('Timing &amp; Flags'!J89:J91,MATCH($D$145,Indexation,0))</f>
        <v>0</v>
      </c>
      <c r="K208" s="578">
        <f ca="1">K132*INDEX('Timing &amp; Flags'!K89:K91,MATCH($D$145,Indexation,0))</f>
        <v>0</v>
      </c>
      <c r="L208" s="578">
        <f ca="1">L132*INDEX('Timing &amp; Flags'!L89:L91,MATCH($D$145,Indexation,0))</f>
        <v>0</v>
      </c>
      <c r="M208" s="578">
        <f ca="1">M132*INDEX('Timing &amp; Flags'!M89:M91,MATCH($D$145,Indexation,0))</f>
        <v>0</v>
      </c>
      <c r="N208" s="578">
        <f ca="1">N132*INDEX('Timing &amp; Flags'!N89:N91,MATCH($D$145,Indexation,0))</f>
        <v>0</v>
      </c>
      <c r="O208" s="578">
        <f ca="1">O132*INDEX('Timing &amp; Flags'!O89:O91,MATCH($D$145,Indexation,0))</f>
        <v>0</v>
      </c>
      <c r="P208" s="578">
        <f ca="1">P132*INDEX('Timing &amp; Flags'!P89:P91,MATCH($D$145,Indexation,0))</f>
        <v>0</v>
      </c>
      <c r="Q208" s="578">
        <f ca="1">Q132*INDEX('Timing &amp; Flags'!Q89:Q91,MATCH($D$145,Indexation,0))</f>
        <v>0</v>
      </c>
      <c r="R208" s="578">
        <f ca="1">R132*INDEX('Timing &amp; Flags'!R89:R91,MATCH($D$145,Indexation,0))</f>
        <v>0</v>
      </c>
      <c r="S208" s="578">
        <f ca="1">S132*INDEX('Timing &amp; Flags'!S89:S91,MATCH($D$145,Indexation,0))</f>
        <v>0</v>
      </c>
      <c r="T208" s="578">
        <f ca="1">T132*INDEX('Timing &amp; Flags'!T89:T91,MATCH($D$145,Indexation,0))</f>
        <v>0</v>
      </c>
      <c r="U208" s="578">
        <f ca="1">U132*INDEX('Timing &amp; Flags'!U89:U91,MATCH($D$145,Indexation,0))</f>
        <v>0</v>
      </c>
      <c r="V208" s="578">
        <f ca="1">V132*INDEX('Timing &amp; Flags'!V89:V91,MATCH($D$145,Indexation,0))</f>
        <v>0</v>
      </c>
      <c r="W208" s="578">
        <f ca="1">W132*INDEX('Timing &amp; Flags'!W89:W91,MATCH($D$145,Indexation,0))</f>
        <v>0</v>
      </c>
      <c r="X208" s="578">
        <f ca="1">X132*INDEX('Timing &amp; Flags'!X89:X91,MATCH($D$145,Indexation,0))</f>
        <v>0</v>
      </c>
      <c r="Y208" s="578">
        <f ca="1">Y132*INDEX('Timing &amp; Flags'!Y89:Y91,MATCH($D$145,Indexation,0))</f>
        <v>0</v>
      </c>
      <c r="Z208" s="578">
        <f ca="1">Z132*INDEX('Timing &amp; Flags'!Z89:Z91,MATCH($D$145,Indexation,0))</f>
        <v>0</v>
      </c>
      <c r="AA208" s="578">
        <f ca="1">AA132*INDEX('Timing &amp; Flags'!AA89:AA91,MATCH($D$145,Indexation,0))</f>
        <v>0</v>
      </c>
      <c r="AB208" s="578">
        <f ca="1">AB132*INDEX('Timing &amp; Flags'!AB89:AB91,MATCH($D$145,Indexation,0))</f>
        <v>0</v>
      </c>
      <c r="AC208" s="578">
        <f ca="1">AC132*INDEX('Timing &amp; Flags'!AC89:AC91,MATCH($D$145,Indexation,0))</f>
        <v>0</v>
      </c>
      <c r="AD208" s="578">
        <f ca="1">AD132*INDEX('Timing &amp; Flags'!AD89:AD91,MATCH($D$145,Indexation,0))</f>
        <v>0</v>
      </c>
      <c r="AE208" s="578">
        <f ca="1">AE132*INDEX('Timing &amp; Flags'!AE89:AE91,MATCH($D$145,Indexation,0))</f>
        <v>0</v>
      </c>
      <c r="AF208" s="578">
        <f ca="1">AF132*INDEX('Timing &amp; Flags'!AF89:AF91,MATCH($D$145,Indexation,0))</f>
        <v>0</v>
      </c>
      <c r="AG208" s="578">
        <f ca="1">AG132*INDEX('Timing &amp; Flags'!AG89:AG91,MATCH($D$145,Indexation,0))</f>
        <v>0</v>
      </c>
      <c r="AH208" s="578">
        <f ca="1">AH132*INDEX('Timing &amp; Flags'!AH89:AH91,MATCH($D$145,Indexation,0))</f>
        <v>0</v>
      </c>
      <c r="AI208" s="578">
        <f ca="1">AI132*INDEX('Timing &amp; Flags'!AI89:AI91,MATCH($D$145,Indexation,0))</f>
        <v>0</v>
      </c>
      <c r="AJ208" s="578">
        <f ca="1">AJ132*INDEX('Timing &amp; Flags'!AJ89:AJ91,MATCH($D$145,Indexation,0))</f>
        <v>0</v>
      </c>
      <c r="AK208" s="578">
        <f ca="1">AK132*INDEX('Timing &amp; Flags'!AK89:AK91,MATCH($D$145,Indexation,0))</f>
        <v>0</v>
      </c>
      <c r="AL208" s="578">
        <f ca="1">AL132*INDEX('Timing &amp; Flags'!AL89:AL91,MATCH($D$145,Indexation,0))</f>
        <v>0</v>
      </c>
      <c r="AM208" s="578">
        <f>AM132*INDEX('Timing &amp; Flags'!AM89:AM91,MATCH($D$145,Indexation,0))</f>
        <v>0</v>
      </c>
      <c r="AN208" s="578">
        <f>AN132*INDEX('Timing &amp; Flags'!AN89:AN91,MATCH($D$145,Indexation,0))</f>
        <v>0</v>
      </c>
      <c r="AO208" s="578">
        <f>AO132*INDEX('Timing &amp; Flags'!AO89:AO91,MATCH($D$145,Indexation,0))</f>
        <v>0</v>
      </c>
      <c r="AP208" s="578">
        <f>AP132*INDEX('Timing &amp; Flags'!AP89:AP91,MATCH($D$145,Indexation,0))</f>
        <v>0</v>
      </c>
      <c r="AQ208" s="578">
        <f>AQ132*INDEX('Timing &amp; Flags'!AQ89:AQ91,MATCH($D$145,Indexation,0))</f>
        <v>0</v>
      </c>
      <c r="AR208" s="578">
        <f>AR132*INDEX('Timing &amp; Flags'!AR89:AR91,MATCH($D$145,Indexation,0))</f>
        <v>0</v>
      </c>
      <c r="AS208" s="578">
        <f>AS132*INDEX('Timing &amp; Flags'!AS89:AS91,MATCH($D$145,Indexation,0))</f>
        <v>0</v>
      </c>
      <c r="AT208" s="578">
        <f>AT132*INDEX('Timing &amp; Flags'!AT89:AT91,MATCH($D$145,Indexation,0))</f>
        <v>0</v>
      </c>
      <c r="AU208" s="578">
        <f>AU132*INDEX('Timing &amp; Flags'!AU89:AU91,MATCH($D$145,Indexation,0))</f>
        <v>0</v>
      </c>
      <c r="AV208" s="578">
        <f>AV132*INDEX('Timing &amp; Flags'!AV89:AV91,MATCH($D$145,Indexation,0))</f>
        <v>0</v>
      </c>
      <c r="AW208" s="578">
        <f>AW132*INDEX('Timing &amp; Flags'!AW89:AW91,MATCH($D$145,Indexation,0))</f>
        <v>0</v>
      </c>
    </row>
    <row r="209" spans="2:49">
      <c r="B209" s="2" t="s">
        <v>969</v>
      </c>
      <c r="C209" s="577"/>
      <c r="D209" s="53"/>
      <c r="E209" s="489"/>
      <c r="F209" s="489"/>
      <c r="G209" s="489"/>
      <c r="H209" s="489"/>
      <c r="I209" s="578">
        <f>I133*INDEX('Timing &amp; Flags'!I89:I91,MATCH($D$145,Indexation,0))</f>
        <v>0</v>
      </c>
      <c r="J209" s="578">
        <f>J133*INDEX('Timing &amp; Flags'!J89:J91,MATCH($D$145,Indexation,0))</f>
        <v>0</v>
      </c>
      <c r="K209" s="578">
        <f ca="1">K133*INDEX('Timing &amp; Flags'!K89:K91,MATCH($D$145,Indexation,0))</f>
        <v>971675.85117895261</v>
      </c>
      <c r="L209" s="578">
        <f ca="1">L133*INDEX('Timing &amp; Flags'!L89:L91,MATCH($D$145,Indexation,0))</f>
        <v>994024.39575606841</v>
      </c>
      <c r="M209" s="578">
        <f ca="1">M133*INDEX('Timing &amp; Flags'!M89:M91,MATCH($D$145,Indexation,0))</f>
        <v>1016886.9568584578</v>
      </c>
      <c r="N209" s="578">
        <f ca="1">N133*INDEX('Timing &amp; Flags'!N89:N91,MATCH($D$145,Indexation,0))</f>
        <v>1038447.1830475879</v>
      </c>
      <c r="O209" s="578">
        <f ca="1">O133*INDEX('Timing &amp; Flags'!O89:O91,MATCH($D$145,Indexation,0))</f>
        <v>1069204.581668444</v>
      </c>
      <c r="P209" s="578">
        <f ca="1">P133*INDEX('Timing &amp; Flags'!P89:P91,MATCH($D$145,Indexation,0))</f>
        <v>1091874.05585901</v>
      </c>
      <c r="Q209" s="578">
        <f ca="1">Q133*INDEX('Timing &amp; Flags'!Q89:Q91,MATCH($D$145,Indexation,0))</f>
        <v>1118079.033199626</v>
      </c>
      <c r="R209" s="578">
        <f ca="1">R133*INDEX('Timing &amp; Flags'!R89:R91,MATCH($D$145,Indexation,0))</f>
        <v>1141784.7525920554</v>
      </c>
      <c r="S209" s="578">
        <f ca="1">S133*INDEX('Timing &amp; Flags'!S89:S91,MATCH($D$145,Indexation,0))</f>
        <v>1175602.8700158282</v>
      </c>
      <c r="T209" s="578">
        <f ca="1">T133*INDEX('Timing &amp; Flags'!T89:T91,MATCH($D$145,Indexation,0))</f>
        <v>1200528.2204839231</v>
      </c>
      <c r="U209" s="578">
        <f ca="1">U133*INDEX('Timing &amp; Flags'!U89:U91,MATCH($D$145,Indexation,0))</f>
        <v>1229340.8977755373</v>
      </c>
      <c r="V209" s="578">
        <f ca="1">V133*INDEX('Timing &amp; Flags'!V89:V91,MATCH($D$145,Indexation,0))</f>
        <v>1255405.6118923081</v>
      </c>
      <c r="W209" s="578">
        <f ca="1">W133*INDEX('Timing &amp; Flags'!W89:W91,MATCH($D$145,Indexation,0))</f>
        <v>1292589.0252292405</v>
      </c>
      <c r="X209" s="578">
        <f ca="1">X133*INDEX('Timing &amp; Flags'!X89:X91,MATCH($D$145,Indexation,0))</f>
        <v>1319994.7378953029</v>
      </c>
      <c r="Y209" s="578">
        <f ca="1">Y133*INDEX('Timing &amp; Flags'!Y89:Y91,MATCH($D$145,Indexation,0))</f>
        <v>1351674.6116047904</v>
      </c>
      <c r="Z209" s="578">
        <f ca="1">Z133*INDEX('Timing &amp; Flags'!Z89:Z91,MATCH($D$145,Indexation,0))</f>
        <v>1380333.0678508373</v>
      </c>
      <c r="AA209" s="578">
        <f ca="1">AA133*INDEX('Timing &amp; Flags'!AA89:AA91,MATCH($D$145,Indexation,0))</f>
        <v>1421216.6631751957</v>
      </c>
      <c r="AB209" s="578">
        <f ca="1">AB133*INDEX('Timing &amp; Flags'!AB89:AB91,MATCH($D$145,Indexation,0))</f>
        <v>1451349.5629190193</v>
      </c>
      <c r="AC209" s="578">
        <f ca="1">AC133*INDEX('Timing &amp; Flags'!AC89:AC91,MATCH($D$145,Indexation,0))</f>
        <v>1486181.952429076</v>
      </c>
      <c r="AD209" s="578">
        <f ca="1">AD133*INDEX('Timing &amp; Flags'!AD89:AD91,MATCH($D$145,Indexation,0))</f>
        <v>1517692.2583057142</v>
      </c>
      <c r="AE209" s="578">
        <f ca="1">AE133*INDEX('Timing &amp; Flags'!AE89:AE91,MATCH($D$145,Indexation,0))</f>
        <v>1562644.2467501347</v>
      </c>
      <c r="AF209" s="578">
        <f ca="1">AF133*INDEX('Timing &amp; Flags'!AF89:AF91,MATCH($D$145,Indexation,0))</f>
        <v>1595775.7203970775</v>
      </c>
      <c r="AG209" s="578">
        <f ca="1">AG133*INDEX('Timing &amp; Flags'!AG89:AG91,MATCH($D$145,Indexation,0))</f>
        <v>1634074.3376866071</v>
      </c>
      <c r="AH209" s="578">
        <f ca="1">AH133*INDEX('Timing &amp; Flags'!AH89:AH91,MATCH($D$145,Indexation,0))</f>
        <v>1668720.2853927496</v>
      </c>
      <c r="AI209" s="578">
        <f ca="1">AI133*INDEX('Timing &amp; Flags'!AI89:AI91,MATCH($D$145,Indexation,0))</f>
        <v>1718145.5193790421</v>
      </c>
      <c r="AJ209" s="578">
        <f ca="1">AJ133*INDEX('Timing &amp; Flags'!AJ89:AJ91,MATCH($D$145,Indexation,0))</f>
        <v>1754573.9598992099</v>
      </c>
      <c r="AK209" s="578">
        <f ca="1">AK133*INDEX('Timing &amp; Flags'!AK89:AK91,MATCH($D$145,Indexation,0))</f>
        <v>1796683.734936791</v>
      </c>
      <c r="AL209" s="578">
        <f ca="1">AL133*INDEX('Timing &amp; Flags'!AL89:AL91,MATCH($D$145,Indexation,0))</f>
        <v>1839804.1445752741</v>
      </c>
      <c r="AM209" s="578">
        <f>AM133*INDEX('Timing &amp; Flags'!AM89:AM91,MATCH($D$145,Indexation,0))</f>
        <v>0</v>
      </c>
      <c r="AN209" s="578">
        <f>AN133*INDEX('Timing &amp; Flags'!AN89:AN91,MATCH($D$145,Indexation,0))</f>
        <v>0</v>
      </c>
      <c r="AO209" s="578">
        <f>AO133*INDEX('Timing &amp; Flags'!AO89:AO91,MATCH($D$145,Indexation,0))</f>
        <v>0</v>
      </c>
      <c r="AP209" s="578">
        <f>AP133*INDEX('Timing &amp; Flags'!AP89:AP91,MATCH($D$145,Indexation,0))</f>
        <v>0</v>
      </c>
      <c r="AQ209" s="578">
        <f>AQ133*INDEX('Timing &amp; Flags'!AQ89:AQ91,MATCH($D$145,Indexation,0))</f>
        <v>0</v>
      </c>
      <c r="AR209" s="578">
        <f>AR133*INDEX('Timing &amp; Flags'!AR89:AR91,MATCH($D$145,Indexation,0))</f>
        <v>0</v>
      </c>
      <c r="AS209" s="578">
        <f>AS133*INDEX('Timing &amp; Flags'!AS89:AS91,MATCH($D$145,Indexation,0))</f>
        <v>0</v>
      </c>
      <c r="AT209" s="578">
        <f>AT133*INDEX('Timing &amp; Flags'!AT89:AT91,MATCH($D$145,Indexation,0))</f>
        <v>0</v>
      </c>
      <c r="AU209" s="578">
        <f>AU133*INDEX('Timing &amp; Flags'!AU89:AU91,MATCH($D$145,Indexation,0))</f>
        <v>0</v>
      </c>
      <c r="AV209" s="578">
        <f>AV133*INDEX('Timing &amp; Flags'!AV89:AV91,MATCH($D$145,Indexation,0))</f>
        <v>0</v>
      </c>
      <c r="AW209" s="578">
        <f>AW133*INDEX('Timing &amp; Flags'!AW89:AW91,MATCH($D$145,Indexation,0))</f>
        <v>0</v>
      </c>
    </row>
    <row r="210" spans="2:49">
      <c r="B210" s="2" t="s">
        <v>970</v>
      </c>
      <c r="C210" s="577"/>
      <c r="D210" s="53"/>
      <c r="E210" s="489"/>
      <c r="F210" s="489"/>
      <c r="G210" s="489"/>
      <c r="H210" s="489"/>
      <c r="I210" s="578">
        <f>I134*INDEX('Timing &amp; Flags'!I89:I91,MATCH($D$145,Indexation,0))</f>
        <v>0</v>
      </c>
      <c r="J210" s="578">
        <f>J134*INDEX('Timing &amp; Flags'!J89:J91,MATCH($D$145,Indexation,0))</f>
        <v>0</v>
      </c>
      <c r="K210" s="578">
        <f ca="1">K134*INDEX('Timing &amp; Flags'!K89:K91,MATCH($D$145,Indexation,0))</f>
        <v>11984633.887683328</v>
      </c>
      <c r="L210" s="578">
        <f ca="1">L134*INDEX('Timing &amp; Flags'!L89:L91,MATCH($D$145,Indexation,0))</f>
        <v>12260280.467100045</v>
      </c>
      <c r="M210" s="578">
        <f ca="1">M134*INDEX('Timing &amp; Flags'!M89:M91,MATCH($D$145,Indexation,0))</f>
        <v>12542266.917843344</v>
      </c>
      <c r="N210" s="578">
        <f ca="1">N134*INDEX('Timing &amp; Flags'!N89:N91,MATCH($D$145,Indexation,0))</f>
        <v>12808190.391292701</v>
      </c>
      <c r="O210" s="578">
        <f ca="1">O134*INDEX('Timing &amp; Flags'!O89:O91,MATCH($D$145,Indexation,0))</f>
        <v>13187551.637495583</v>
      </c>
      <c r="P210" s="578">
        <f ca="1">P134*INDEX('Timing &amp; Flags'!P89:P91,MATCH($D$145,Indexation,0))</f>
        <v>13467156.557459971</v>
      </c>
      <c r="Q210" s="578">
        <f ca="1">Q134*INDEX('Timing &amp; Flags'!Q89:Q91,MATCH($D$145,Indexation,0))</f>
        <v>13790368.314839009</v>
      </c>
      <c r="R210" s="578">
        <f ca="1">R134*INDEX('Timing &amp; Flags'!R89:R91,MATCH($D$145,Indexation,0))</f>
        <v>14082754.265995162</v>
      </c>
      <c r="S210" s="578">
        <f ca="1">S134*INDEX('Timing &amp; Flags'!S89:S91,MATCH($D$145,Indexation,0))</f>
        <v>14499866.367322825</v>
      </c>
      <c r="T210" s="578">
        <f ca="1">T134*INDEX('Timing &amp; Flags'!T89:T91,MATCH($D$145,Indexation,0))</f>
        <v>14807295.228007045</v>
      </c>
      <c r="U210" s="578">
        <f ca="1">U134*INDEX('Timing &amp; Flags'!U89:U91,MATCH($D$145,Indexation,0))</f>
        <v>15162670.313479215</v>
      </c>
      <c r="V210" s="578">
        <f ca="1">V134*INDEX('Timing &amp; Flags'!V89:V91,MATCH($D$145,Indexation,0))</f>
        <v>15484152.066573747</v>
      </c>
      <c r="W210" s="578">
        <f ca="1">W134*INDEX('Timing &amp; Flags'!W89:W91,MATCH($D$145,Indexation,0))</f>
        <v>15942771.672069594</v>
      </c>
      <c r="X210" s="578">
        <f ca="1">X134*INDEX('Timing &amp; Flags'!X89:X91,MATCH($D$145,Indexation,0))</f>
        <v>16280793.279105825</v>
      </c>
      <c r="Y210" s="578">
        <f ca="1">Y134*INDEX('Timing &amp; Flags'!Y89:Y91,MATCH($D$145,Indexation,0))</f>
        <v>16671532.317804366</v>
      </c>
      <c r="Z210" s="578">
        <f ca="1">Z134*INDEX('Timing &amp; Flags'!Z89:Z91,MATCH($D$145,Indexation,0))</f>
        <v>17025005.243449617</v>
      </c>
      <c r="AA210" s="578">
        <f ca="1">AA134*INDEX('Timing &amp; Flags'!AA89:AA91,MATCH($D$145,Indexation,0))</f>
        <v>17529262.832418345</v>
      </c>
      <c r="AB210" s="578">
        <f ca="1">AB134*INDEX('Timing &amp; Flags'!AB89:AB91,MATCH($D$145,Indexation,0))</f>
        <v>17900921.519794207</v>
      </c>
      <c r="AC210" s="578">
        <f ca="1">AC134*INDEX('Timing &amp; Flags'!AC89:AC91,MATCH($D$145,Indexation,0))</f>
        <v>18330543.636269271</v>
      </c>
      <c r="AD210" s="578">
        <f ca="1">AD134*INDEX('Timing &amp; Flags'!AD89:AD91,MATCH($D$145,Indexation,0))</f>
        <v>18719191.228120226</v>
      </c>
      <c r="AE210" s="578">
        <f ca="1">AE134*INDEX('Timing &amp; Flags'!AE89:AE91,MATCH($D$145,Indexation,0))</f>
        <v>19273628.310585633</v>
      </c>
      <c r="AF210" s="578">
        <f ca="1">AF134*INDEX('Timing &amp; Flags'!AF89:AF91,MATCH($D$145,Indexation,0))</f>
        <v>19682271.358919363</v>
      </c>
      <c r="AG210" s="578">
        <f ca="1">AG134*INDEX('Timing &amp; Flags'!AG89:AG91,MATCH($D$145,Indexation,0))</f>
        <v>20154645.871533427</v>
      </c>
      <c r="AH210" s="578">
        <f ca="1">AH134*INDEX('Timing &amp; Flags'!AH89:AH91,MATCH($D$145,Indexation,0))</f>
        <v>20581968.417880695</v>
      </c>
      <c r="AI210" s="578">
        <f ca="1">AI134*INDEX('Timing &amp; Flags'!AI89:AI91,MATCH($D$145,Indexation,0))</f>
        <v>21191578.436921611</v>
      </c>
      <c r="AJ210" s="578">
        <f ca="1">AJ134*INDEX('Timing &amp; Flags'!AJ89:AJ91,MATCH($D$145,Indexation,0))</f>
        <v>21640886.220174372</v>
      </c>
      <c r="AK210" s="578">
        <f ca="1">AK134*INDEX('Timing &amp; Flags'!AK89:AK91,MATCH($D$145,Indexation,0))</f>
        <v>22160267.489458561</v>
      </c>
      <c r="AL210" s="578">
        <f ca="1">AL134*INDEX('Timing &amp; Flags'!AL89:AL91,MATCH($D$145,Indexation,0))</f>
        <v>22692113.909205567</v>
      </c>
      <c r="AM210" s="578">
        <f>AM134*INDEX('Timing &amp; Flags'!AM89:AM91,MATCH($D$145,Indexation,0))</f>
        <v>0</v>
      </c>
      <c r="AN210" s="578">
        <f>AN134*INDEX('Timing &amp; Flags'!AN89:AN91,MATCH($D$145,Indexation,0))</f>
        <v>0</v>
      </c>
      <c r="AO210" s="578">
        <f>AO134*INDEX('Timing &amp; Flags'!AO89:AO91,MATCH($D$145,Indexation,0))</f>
        <v>0</v>
      </c>
      <c r="AP210" s="578">
        <f>AP134*INDEX('Timing &amp; Flags'!AP89:AP91,MATCH($D$145,Indexation,0))</f>
        <v>0</v>
      </c>
      <c r="AQ210" s="578">
        <f>AQ134*INDEX('Timing &amp; Flags'!AQ89:AQ91,MATCH($D$145,Indexation,0))</f>
        <v>0</v>
      </c>
      <c r="AR210" s="578">
        <f>AR134*INDEX('Timing &amp; Flags'!AR89:AR91,MATCH($D$145,Indexation,0))</f>
        <v>0</v>
      </c>
      <c r="AS210" s="578">
        <f>AS134*INDEX('Timing &amp; Flags'!AS89:AS91,MATCH($D$145,Indexation,0))</f>
        <v>0</v>
      </c>
      <c r="AT210" s="578">
        <f>AT134*INDEX('Timing &amp; Flags'!AT89:AT91,MATCH($D$145,Indexation,0))</f>
        <v>0</v>
      </c>
      <c r="AU210" s="578">
        <f>AU134*INDEX('Timing &amp; Flags'!AU89:AU91,MATCH($D$145,Indexation,0))</f>
        <v>0</v>
      </c>
      <c r="AV210" s="578">
        <f>AV134*INDEX('Timing &amp; Flags'!AV89:AV91,MATCH($D$145,Indexation,0))</f>
        <v>0</v>
      </c>
      <c r="AW210" s="578">
        <f>AW134*INDEX('Timing &amp; Flags'!AW89:AW91,MATCH($D$145,Indexation,0))</f>
        <v>0</v>
      </c>
    </row>
    <row r="211" spans="2:49">
      <c r="B211" s="2" t="s">
        <v>971</v>
      </c>
      <c r="C211" s="577"/>
      <c r="D211" s="53"/>
      <c r="E211" s="489"/>
      <c r="F211" s="489"/>
      <c r="G211" s="489"/>
      <c r="H211" s="489"/>
      <c r="I211" s="578">
        <f>I135*INDEX('Timing &amp; Flags'!I89:I91,MATCH($D$145,Indexation,0))</f>
        <v>0</v>
      </c>
      <c r="J211" s="578">
        <f>J135*INDEX('Timing &amp; Flags'!J89:J91,MATCH($D$145,Indexation,0))</f>
        <v>0</v>
      </c>
      <c r="K211" s="578">
        <f ca="1">K135*INDEX('Timing &amp; Flags'!K89:K91,MATCH($D$145,Indexation,0))</f>
        <v>293305.12929251167</v>
      </c>
      <c r="L211" s="578">
        <f ca="1">L135*INDEX('Timing &amp; Flags'!L89:L91,MATCH($D$145,Indexation,0))</f>
        <v>300051.14726623945</v>
      </c>
      <c r="M211" s="578">
        <f ca="1">M135*INDEX('Timing &amp; Flags'!M89:M91,MATCH($D$145,Indexation,0))</f>
        <v>306952.32365336292</v>
      </c>
      <c r="N211" s="578">
        <f ca="1">N135*INDEX('Timing &amp; Flags'!N89:N91,MATCH($D$145,Indexation,0))</f>
        <v>313460.38384885492</v>
      </c>
      <c r="O211" s="578">
        <f ca="1">O135*INDEX('Timing &amp; Flags'!O89:O91,MATCH($D$145,Indexation,0))</f>
        <v>322744.65572640114</v>
      </c>
      <c r="P211" s="578">
        <f ca="1">P135*INDEX('Timing &amp; Flags'!P89:P91,MATCH($D$145,Indexation,0))</f>
        <v>329587.54788060026</v>
      </c>
      <c r="Q211" s="578">
        <f ca="1">Q135*INDEX('Timing &amp; Flags'!Q89:Q91,MATCH($D$145,Indexation,0))</f>
        <v>337497.64902973466</v>
      </c>
      <c r="R211" s="578">
        <f ca="1">R135*INDEX('Timing &amp; Flags'!R89:R91,MATCH($D$145,Indexation,0))</f>
        <v>344653.33688894432</v>
      </c>
      <c r="S211" s="578">
        <f ca="1">S135*INDEX('Timing &amp; Flags'!S89:S91,MATCH($D$145,Indexation,0))</f>
        <v>354861.50177374011</v>
      </c>
      <c r="T211" s="578">
        <f ca="1">T135*INDEX('Timing &amp; Flags'!T89:T91,MATCH($D$145,Indexation,0))</f>
        <v>362385.34126489912</v>
      </c>
      <c r="U211" s="578">
        <f ca="1">U135*INDEX('Timing &amp; Flags'!U89:U91,MATCH($D$145,Indexation,0))</f>
        <v>371082.5894552567</v>
      </c>
      <c r="V211" s="578">
        <f ca="1">V135*INDEX('Timing &amp; Flags'!V89:V91,MATCH($D$145,Indexation,0))</f>
        <v>378950.35146119323</v>
      </c>
      <c r="W211" s="578">
        <f ca="1">W135*INDEX('Timing &amp; Flags'!W89:W91,MATCH($D$145,Indexation,0))</f>
        <v>390174.34745028091</v>
      </c>
      <c r="X211" s="578">
        <f ca="1">X135*INDEX('Timing &amp; Flags'!X89:X91,MATCH($D$145,Indexation,0))</f>
        <v>398446.89645633055</v>
      </c>
      <c r="Y211" s="578">
        <f ca="1">Y135*INDEX('Timing &amp; Flags'!Y89:Y91,MATCH($D$145,Indexation,0))</f>
        <v>408009.62197128253</v>
      </c>
      <c r="Z211" s="578">
        <f ca="1">Z135*INDEX('Timing &amp; Flags'!Z89:Z91,MATCH($D$145,Indexation,0))</f>
        <v>416660.31778138399</v>
      </c>
      <c r="AA211" s="578">
        <f ca="1">AA135*INDEX('Timing &amp; Flags'!AA89:AA91,MATCH($D$145,Indexation,0))</f>
        <v>429001.23188149702</v>
      </c>
      <c r="AB211" s="578">
        <f ca="1">AB135*INDEX('Timing &amp; Flags'!AB89:AB91,MATCH($D$145,Indexation,0))</f>
        <v>438096.99570499541</v>
      </c>
      <c r="AC211" s="578">
        <f ca="1">AC135*INDEX('Timing &amp; Flags'!AC89:AC91,MATCH($D$145,Indexation,0))</f>
        <v>448611.32360191527</v>
      </c>
      <c r="AD211" s="578">
        <f ca="1">AD135*INDEX('Timing &amp; Flags'!AD89:AD91,MATCH($D$145,Indexation,0))</f>
        <v>458122.864233475</v>
      </c>
      <c r="AE211" s="578">
        <f ca="1">AE135*INDEX('Timing &amp; Flags'!AE89:AE91,MATCH($D$145,Indexation,0))</f>
        <v>471691.84278393409</v>
      </c>
      <c r="AF211" s="578">
        <f ca="1">AF135*INDEX('Timing &amp; Flags'!AF89:AF91,MATCH($D$145,Indexation,0))</f>
        <v>481692.74087137484</v>
      </c>
      <c r="AG211" s="578">
        <f ca="1">AG135*INDEX('Timing &amp; Flags'!AG89:AG91,MATCH($D$145,Indexation,0))</f>
        <v>493253.36665228783</v>
      </c>
      <c r="AH211" s="578">
        <f ca="1">AH135*INDEX('Timing &amp; Flags'!AH89:AH91,MATCH($D$145,Indexation,0))</f>
        <v>503711.41617475165</v>
      </c>
      <c r="AI211" s="578">
        <f ca="1">AI135*INDEX('Timing &amp; Flags'!AI89:AI91,MATCH($D$145,Indexation,0))</f>
        <v>518630.66586802452</v>
      </c>
      <c r="AJ211" s="578">
        <f ca="1">AJ135*INDEX('Timing &amp; Flags'!AJ89:AJ91,MATCH($D$145,Indexation,0))</f>
        <v>529626.76960336836</v>
      </c>
      <c r="AK211" s="578">
        <f ca="1">AK135*INDEX('Timing &amp; Flags'!AK89:AK91,MATCH($D$145,Indexation,0))</f>
        <v>542337.81207384926</v>
      </c>
      <c r="AL211" s="578">
        <f ca="1">AL135*INDEX('Timing &amp; Flags'!AL89:AL91,MATCH($D$145,Indexation,0))</f>
        <v>555353.91956362163</v>
      </c>
      <c r="AM211" s="578">
        <f>AM135*INDEX('Timing &amp; Flags'!AM89:AM91,MATCH($D$145,Indexation,0))</f>
        <v>0</v>
      </c>
      <c r="AN211" s="578">
        <f>AN135*INDEX('Timing &amp; Flags'!AN89:AN91,MATCH($D$145,Indexation,0))</f>
        <v>0</v>
      </c>
      <c r="AO211" s="578">
        <f>AO135*INDEX('Timing &amp; Flags'!AO89:AO91,MATCH($D$145,Indexation,0))</f>
        <v>0</v>
      </c>
      <c r="AP211" s="578">
        <f>AP135*INDEX('Timing &amp; Flags'!AP89:AP91,MATCH($D$145,Indexation,0))</f>
        <v>0</v>
      </c>
      <c r="AQ211" s="578">
        <f>AQ135*INDEX('Timing &amp; Flags'!AQ89:AQ91,MATCH($D$145,Indexation,0))</f>
        <v>0</v>
      </c>
      <c r="AR211" s="578">
        <f>AR135*INDEX('Timing &amp; Flags'!AR89:AR91,MATCH($D$145,Indexation,0))</f>
        <v>0</v>
      </c>
      <c r="AS211" s="578">
        <f>AS135*INDEX('Timing &amp; Flags'!AS89:AS91,MATCH($D$145,Indexation,0))</f>
        <v>0</v>
      </c>
      <c r="AT211" s="578">
        <f>AT135*INDEX('Timing &amp; Flags'!AT89:AT91,MATCH($D$145,Indexation,0))</f>
        <v>0</v>
      </c>
      <c r="AU211" s="578">
        <f>AU135*INDEX('Timing &amp; Flags'!AU89:AU91,MATCH($D$145,Indexation,0))</f>
        <v>0</v>
      </c>
      <c r="AV211" s="578">
        <f>AV135*INDEX('Timing &amp; Flags'!AV89:AV91,MATCH($D$145,Indexation,0))</f>
        <v>0</v>
      </c>
      <c r="AW211" s="578">
        <f>AW135*INDEX('Timing &amp; Flags'!AW89:AW91,MATCH($D$145,Indexation,0))</f>
        <v>0</v>
      </c>
    </row>
    <row r="212" spans="2:49">
      <c r="B212" s="2" t="s">
        <v>972</v>
      </c>
      <c r="C212" s="577"/>
      <c r="D212" s="53"/>
      <c r="E212" s="489"/>
      <c r="F212" s="489"/>
      <c r="G212" s="489"/>
      <c r="H212" s="489"/>
      <c r="I212" s="578">
        <f>I136*INDEX('Timing &amp; Flags'!I89:I91,MATCH($D$145,Indexation,0))</f>
        <v>0</v>
      </c>
      <c r="J212" s="578">
        <f>J136*INDEX('Timing &amp; Flags'!J89:J91,MATCH($D$145,Indexation,0))</f>
        <v>0</v>
      </c>
      <c r="K212" s="578">
        <f ca="1">K136*INDEX('Timing &amp; Flags'!K89:K91,MATCH($D$145,Indexation,0))</f>
        <v>2173422.0588560621</v>
      </c>
      <c r="L212" s="578">
        <f ca="1">L136*INDEX('Timing &amp; Flags'!L89:L91,MATCH($D$145,Indexation,0))</f>
        <v>2223410.7662097514</v>
      </c>
      <c r="M212" s="578">
        <f ca="1">M136*INDEX('Timing &amp; Flags'!M89:M91,MATCH($D$145,Indexation,0))</f>
        <v>2274549.2138325749</v>
      </c>
      <c r="N212" s="578">
        <f ca="1">N136*INDEX('Timing &amp; Flags'!N89:N91,MATCH($D$145,Indexation,0))</f>
        <v>2322774.6288580964</v>
      </c>
      <c r="O212" s="578">
        <f ca="1">O136*INDEX('Timing &amp; Flags'!O89:O91,MATCH($D$145,Indexation,0))</f>
        <v>2391572.0663517714</v>
      </c>
      <c r="P212" s="578">
        <f ca="1">P136*INDEX('Timing &amp; Flags'!P89:P91,MATCH($D$145,Indexation,0))</f>
        <v>2442278.6216383553</v>
      </c>
      <c r="Q212" s="578">
        <f ca="1">Q136*INDEX('Timing &amp; Flags'!Q89:Q91,MATCH($D$145,Indexation,0))</f>
        <v>2500893.3085576757</v>
      </c>
      <c r="R212" s="578">
        <f ca="1">R136*INDEX('Timing &amp; Flags'!R89:R91,MATCH($D$145,Indexation,0))</f>
        <v>2553917.7131325603</v>
      </c>
      <c r="S212" s="578">
        <f ca="1">S136*INDEX('Timing &amp; Flags'!S89:S91,MATCH($D$145,Indexation,0))</f>
        <v>2629561.2956180484</v>
      </c>
      <c r="T212" s="578">
        <f ca="1">T136*INDEX('Timing &amp; Flags'!T89:T91,MATCH($D$145,Indexation,0))</f>
        <v>2685313.7427601139</v>
      </c>
      <c r="U212" s="578">
        <f ca="1">U136*INDEX('Timing &amp; Flags'!U89:U91,MATCH($D$145,Indexation,0))</f>
        <v>2749761.2725863564</v>
      </c>
      <c r="V212" s="578">
        <f ca="1">V136*INDEX('Timing &amp; Flags'!V89:V91,MATCH($D$145,Indexation,0))</f>
        <v>2808062.2219723403</v>
      </c>
      <c r="W212" s="578">
        <f ca="1">W136*INDEX('Timing &amp; Flags'!W89:W91,MATCH($D$145,Indexation,0))</f>
        <v>2891233.2204817678</v>
      </c>
      <c r="X212" s="578">
        <f ca="1">X136*INDEX('Timing &amp; Flags'!X89:X91,MATCH($D$145,Indexation,0))</f>
        <v>2952533.6843914357</v>
      </c>
      <c r="Y212" s="578">
        <f ca="1">Y136*INDEX('Timing &amp; Flags'!Y89:Y91,MATCH($D$145,Indexation,0))</f>
        <v>3023394.4928168305</v>
      </c>
      <c r="Z212" s="578">
        <f ca="1">Z136*INDEX('Timing &amp; Flags'!Z89:Z91,MATCH($D$145,Indexation,0))</f>
        <v>3087497.0645770999</v>
      </c>
      <c r="AA212" s="578">
        <f ca="1">AA136*INDEX('Timing &amp; Flags'!AA89:AA91,MATCH($D$145,Indexation,0))</f>
        <v>3178944.5445319558</v>
      </c>
      <c r="AB212" s="578">
        <f ca="1">AB136*INDEX('Timing &amp; Flags'!AB89:AB91,MATCH($D$145,Indexation,0))</f>
        <v>3246345.1173886987</v>
      </c>
      <c r="AC212" s="578">
        <f ca="1">AC136*INDEX('Timing &amp; Flags'!AC89:AC91,MATCH($D$145,Indexation,0))</f>
        <v>3324257.4002060276</v>
      </c>
      <c r="AD212" s="578">
        <f ca="1">AD136*INDEX('Timing &amp; Flags'!AD89:AD91,MATCH($D$145,Indexation,0))</f>
        <v>3394738.9232267896</v>
      </c>
      <c r="AE212" s="578">
        <f ca="1">AE136*INDEX('Timing &amp; Flags'!AE89:AE91,MATCH($D$145,Indexation,0))</f>
        <v>3495286.4907679665</v>
      </c>
      <c r="AF212" s="578">
        <f ca="1">AF136*INDEX('Timing &amp; Flags'!AF89:AF91,MATCH($D$145,Indexation,0))</f>
        <v>3569394.2043427187</v>
      </c>
      <c r="AG212" s="578">
        <f ca="1">AG136*INDEX('Timing &amp; Flags'!AG89:AG91,MATCH($D$145,Indexation,0))</f>
        <v>3655059.6652469439</v>
      </c>
      <c r="AH212" s="578">
        <f ca="1">AH136*INDEX('Timing &amp; Flags'!AH89:AH91,MATCH($D$145,Indexation,0))</f>
        <v>3732554.9193516336</v>
      </c>
      <c r="AI212" s="578">
        <f ca="1">AI136*INDEX('Timing &amp; Flags'!AI89:AI91,MATCH($D$145,Indexation,0))</f>
        <v>3843108.13900775</v>
      </c>
      <c r="AJ212" s="578">
        <f ca="1">AJ136*INDEX('Timing &amp; Flags'!AJ89:AJ91,MATCH($D$145,Indexation,0))</f>
        <v>3924590.4317910834</v>
      </c>
      <c r="AK212" s="578">
        <f ca="1">AK136*INDEX('Timing &amp; Flags'!AK89:AK91,MATCH($D$145,Indexation,0))</f>
        <v>4018780.6021540696</v>
      </c>
      <c r="AL212" s="578">
        <f ca="1">AL136*INDEX('Timing &amp; Flags'!AL89:AL91,MATCH($D$145,Indexation,0))</f>
        <v>4115231.3366057677</v>
      </c>
      <c r="AM212" s="578">
        <f>AM136*INDEX('Timing &amp; Flags'!AM89:AM91,MATCH($D$145,Indexation,0))</f>
        <v>0</v>
      </c>
      <c r="AN212" s="578">
        <f>AN136*INDEX('Timing &amp; Flags'!AN89:AN91,MATCH($D$145,Indexation,0))</f>
        <v>0</v>
      </c>
      <c r="AO212" s="578">
        <f>AO136*INDEX('Timing &amp; Flags'!AO89:AO91,MATCH($D$145,Indexation,0))</f>
        <v>0</v>
      </c>
      <c r="AP212" s="578">
        <f>AP136*INDEX('Timing &amp; Flags'!AP89:AP91,MATCH($D$145,Indexation,0))</f>
        <v>0</v>
      </c>
      <c r="AQ212" s="578">
        <f>AQ136*INDEX('Timing &amp; Flags'!AQ89:AQ91,MATCH($D$145,Indexation,0))</f>
        <v>0</v>
      </c>
      <c r="AR212" s="578">
        <f>AR136*INDEX('Timing &amp; Flags'!AR89:AR91,MATCH($D$145,Indexation,0))</f>
        <v>0</v>
      </c>
      <c r="AS212" s="578">
        <f>AS136*INDEX('Timing &amp; Flags'!AS89:AS91,MATCH($D$145,Indexation,0))</f>
        <v>0</v>
      </c>
      <c r="AT212" s="578">
        <f>AT136*INDEX('Timing &amp; Flags'!AT89:AT91,MATCH($D$145,Indexation,0))</f>
        <v>0</v>
      </c>
      <c r="AU212" s="578">
        <f>AU136*INDEX('Timing &amp; Flags'!AU89:AU91,MATCH($D$145,Indexation,0))</f>
        <v>0</v>
      </c>
      <c r="AV212" s="578">
        <f>AV136*INDEX('Timing &amp; Flags'!AV89:AV91,MATCH($D$145,Indexation,0))</f>
        <v>0</v>
      </c>
      <c r="AW212" s="578">
        <f>AW136*INDEX('Timing &amp; Flags'!AW89:AW91,MATCH($D$145,Indexation,0))</f>
        <v>0</v>
      </c>
    </row>
    <row r="213" spans="2:49">
      <c r="B213" s="489" t="s">
        <v>973</v>
      </c>
      <c r="C213" s="577"/>
      <c r="D213" s="53"/>
      <c r="E213" s="489"/>
      <c r="F213" s="489"/>
      <c r="G213" s="489"/>
      <c r="H213" s="489"/>
      <c r="I213" s="578">
        <f>I137*INDEX('Timing &amp; Flags'!I89:I91,MATCH($D$145,Indexation,0))</f>
        <v>0</v>
      </c>
      <c r="J213" s="578">
        <f>J137*INDEX('Timing &amp; Flags'!J89:J91,MATCH($D$145,Indexation,0))</f>
        <v>0</v>
      </c>
      <c r="K213" s="578">
        <f ca="1">K137*INDEX('Timing &amp; Flags'!K89:K91,MATCH($D$145,Indexation,0))</f>
        <v>764422.47802914097</v>
      </c>
      <c r="L213" s="578">
        <f ca="1">L137*INDEX('Timing &amp; Flags'!L89:L91,MATCH($D$145,Indexation,0))</f>
        <v>782004.19502381119</v>
      </c>
      <c r="M213" s="578">
        <f ca="1">M137*INDEX('Timing &amp; Flags'!M89:M91,MATCH($D$145,Indexation,0))</f>
        <v>799990.29150935868</v>
      </c>
      <c r="N213" s="578">
        <f ca="1">N137*INDEX('Timing &amp; Flags'!N89:N91,MATCH($D$145,Indexation,0))</f>
        <v>816951.83430201607</v>
      </c>
      <c r="O213" s="578">
        <f ca="1">O137*INDEX('Timing &amp; Flags'!O89:O91,MATCH($D$145,Indexation,0))</f>
        <v>841148.84078618244</v>
      </c>
      <c r="P213" s="578">
        <f ca="1">P137*INDEX('Timing &amp; Flags'!P89:P91,MATCH($D$145,Indexation,0))</f>
        <v>858983.03478755057</v>
      </c>
      <c r="Q213" s="578">
        <f ca="1">Q137*INDEX('Timing &amp; Flags'!Q89:Q91,MATCH($D$145,Indexation,0))</f>
        <v>879598.62762245175</v>
      </c>
      <c r="R213" s="578">
        <f ca="1">R137*INDEX('Timing &amp; Flags'!R89:R91,MATCH($D$145,Indexation,0))</f>
        <v>898248.04114799888</v>
      </c>
      <c r="S213" s="578">
        <f ca="1">S137*INDEX('Timing &amp; Flags'!S89:S91,MATCH($D$145,Indexation,0))</f>
        <v>924852.93113471102</v>
      </c>
      <c r="T213" s="578">
        <f ca="1">T137*INDEX('Timing &amp; Flags'!T89:T91,MATCH($D$145,Indexation,0))</f>
        <v>944461.83481122821</v>
      </c>
      <c r="U213" s="578">
        <f ca="1">U137*INDEX('Timing &amp; Flags'!U89:U91,MATCH($D$145,Indexation,0))</f>
        <v>967128.91884669766</v>
      </c>
      <c r="V213" s="578">
        <f ca="1">V137*INDEX('Timing &amp; Flags'!V89:V91,MATCH($D$145,Indexation,0))</f>
        <v>987634.1658692396</v>
      </c>
      <c r="W213" s="578">
        <f ca="1">W137*INDEX('Timing &amp; Flags'!W89:W91,MATCH($D$145,Indexation,0))</f>
        <v>1016886.551765331</v>
      </c>
      <c r="X213" s="578">
        <f ca="1">X137*INDEX('Timing &amp; Flags'!X89:X91,MATCH($D$145,Indexation,0))</f>
        <v>1038446.7693656012</v>
      </c>
      <c r="Y213" s="578">
        <f ca="1">Y137*INDEX('Timing &amp; Flags'!Y89:Y91,MATCH($D$145,Indexation,0))</f>
        <v>1063369.4918303757</v>
      </c>
      <c r="Z213" s="578">
        <f ca="1">Z137*INDEX('Timing &amp; Flags'!Z89:Z91,MATCH($D$145,Indexation,0))</f>
        <v>1085915.2493620799</v>
      </c>
      <c r="AA213" s="578">
        <f ca="1">AA137*INDEX('Timing &amp; Flags'!AA89:AA91,MATCH($D$145,Indexation,0))</f>
        <v>1118078.5877950229</v>
      </c>
      <c r="AB213" s="578">
        <f ca="1">AB137*INDEX('Timing &amp; Flags'!AB89:AB91,MATCH($D$145,Indexation,0))</f>
        <v>1141784.2977439009</v>
      </c>
      <c r="AC213" s="578">
        <f ca="1">AC137*INDEX('Timing &amp; Flags'!AC89:AC91,MATCH($D$145,Indexation,0))</f>
        <v>1169187.1208897545</v>
      </c>
      <c r="AD213" s="578">
        <f ca="1">AD137*INDEX('Timing &amp; Flags'!AD89:AD91,MATCH($D$145,Indexation,0))</f>
        <v>1193976.4434528816</v>
      </c>
      <c r="AE213" s="578">
        <f ca="1">AE137*INDEX('Timing &amp; Flags'!AE89:AE91,MATCH($D$145,Indexation,0))</f>
        <v>1229340.4080479972</v>
      </c>
      <c r="AF213" s="578">
        <f ca="1">AF137*INDEX('Timing &amp; Flags'!AF89:AF91,MATCH($D$145,Indexation,0))</f>
        <v>1255405.1117814737</v>
      </c>
      <c r="AG213" s="578">
        <f ca="1">AG137*INDEX('Timing &amp; Flags'!AG89:AG91,MATCH($D$145,Indexation,0))</f>
        <v>1285534.8344642292</v>
      </c>
      <c r="AH213" s="578">
        <f ca="1">AH137*INDEX('Timing &amp; Flags'!AH89:AH91,MATCH($D$145,Indexation,0))</f>
        <v>1312790.9828670772</v>
      </c>
      <c r="AI213" s="578">
        <f ca="1">AI137*INDEX('Timing &amp; Flags'!AI89:AI91,MATCH($D$145,Indexation,0))</f>
        <v>1351674.0731436657</v>
      </c>
      <c r="AJ213" s="578">
        <f ca="1">AJ137*INDEX('Timing &amp; Flags'!AJ89:AJ91,MATCH($D$145,Indexation,0))</f>
        <v>1380332.5179731594</v>
      </c>
      <c r="AK213" s="578">
        <f ca="1">AK137*INDEX('Timing &amp; Flags'!AK89:AK91,MATCH($D$145,Indexation,0))</f>
        <v>1413460.4984045154</v>
      </c>
      <c r="AL213" s="578">
        <f ca="1">AL137*INDEX('Timing &amp; Flags'!AL89:AL91,MATCH($D$145,Indexation,0))</f>
        <v>1447383.5503662238</v>
      </c>
      <c r="AM213" s="578">
        <f>AM137*INDEX('Timing &amp; Flags'!AM89:AM91,MATCH($D$145,Indexation,0))</f>
        <v>0</v>
      </c>
      <c r="AN213" s="578">
        <f>AN137*INDEX('Timing &amp; Flags'!AN89:AN91,MATCH($D$145,Indexation,0))</f>
        <v>0</v>
      </c>
      <c r="AO213" s="578">
        <f>AO137*INDEX('Timing &amp; Flags'!AO89:AO91,MATCH($D$145,Indexation,0))</f>
        <v>0</v>
      </c>
      <c r="AP213" s="578">
        <f>AP137*INDEX('Timing &amp; Flags'!AP89:AP91,MATCH($D$145,Indexation,0))</f>
        <v>0</v>
      </c>
      <c r="AQ213" s="578">
        <f>AQ137*INDEX('Timing &amp; Flags'!AQ89:AQ91,MATCH($D$145,Indexation,0))</f>
        <v>0</v>
      </c>
      <c r="AR213" s="578">
        <f>AR137*INDEX('Timing &amp; Flags'!AR89:AR91,MATCH($D$145,Indexation,0))</f>
        <v>0</v>
      </c>
      <c r="AS213" s="578">
        <f>AS137*INDEX('Timing &amp; Flags'!AS89:AS91,MATCH($D$145,Indexation,0))</f>
        <v>0</v>
      </c>
      <c r="AT213" s="578">
        <f>AT137*INDEX('Timing &amp; Flags'!AT89:AT91,MATCH($D$145,Indexation,0))</f>
        <v>0</v>
      </c>
      <c r="AU213" s="578">
        <f>AU137*INDEX('Timing &amp; Flags'!AU89:AU91,MATCH($D$145,Indexation,0))</f>
        <v>0</v>
      </c>
      <c r="AV213" s="578">
        <f>AV137*INDEX('Timing &amp; Flags'!AV89:AV91,MATCH($D$145,Indexation,0))</f>
        <v>0</v>
      </c>
      <c r="AW213" s="578">
        <f>AW137*INDEX('Timing &amp; Flags'!AW89:AW91,MATCH($D$145,Indexation,0))</f>
        <v>0</v>
      </c>
    </row>
    <row r="214" spans="2:49" ht="11.25" thickBot="1">
      <c r="B214" s="486"/>
      <c r="C214" s="1040"/>
      <c r="D214" s="997"/>
      <c r="E214" s="486"/>
      <c r="F214" s="486"/>
      <c r="G214" s="486"/>
      <c r="H214" s="486"/>
      <c r="I214" s="587">
        <f>SUM(I206:I213)</f>
        <v>0</v>
      </c>
      <c r="J214" s="587">
        <f t="shared" ref="J214:AW214" si="70">SUM(J206:J213)</f>
        <v>0</v>
      </c>
      <c r="K214" s="587">
        <f t="shared" ca="1" si="70"/>
        <v>62513843.383884795</v>
      </c>
      <c r="L214" s="587">
        <f t="shared" ca="1" si="70"/>
        <v>63951661.781714149</v>
      </c>
      <c r="M214" s="587">
        <f t="shared" ca="1" si="70"/>
        <v>65422550.002693556</v>
      </c>
      <c r="N214" s="587">
        <f t="shared" ca="1" si="70"/>
        <v>66809651.062859952</v>
      </c>
      <c r="O214" s="587">
        <f t="shared" ca="1" si="70"/>
        <v>68788462.41023162</v>
      </c>
      <c r="P214" s="587">
        <f t="shared" ca="1" si="70"/>
        <v>70246928.170623392</v>
      </c>
      <c r="Q214" s="587">
        <f t="shared" ca="1" si="70"/>
        <v>71932854.44671835</v>
      </c>
      <c r="R214" s="587">
        <f t="shared" ca="1" si="70"/>
        <v>73457988.191271722</v>
      </c>
      <c r="S214" s="587">
        <f t="shared" ca="1" si="70"/>
        <v>75633714.276881948</v>
      </c>
      <c r="T214" s="587">
        <f t="shared" ca="1" si="70"/>
        <v>77237314.339145869</v>
      </c>
      <c r="U214" s="587">
        <f t="shared" ca="1" si="70"/>
        <v>79091009.883285388</v>
      </c>
      <c r="V214" s="587">
        <f t="shared" ca="1" si="70"/>
        <v>80767912.16933535</v>
      </c>
      <c r="W214" s="587">
        <f t="shared" ca="1" si="70"/>
        <v>83160148.299319357</v>
      </c>
      <c r="X214" s="587">
        <f t="shared" ca="1" si="70"/>
        <v>84923325.21408087</v>
      </c>
      <c r="Y214" s="587">
        <f t="shared" ca="1" si="70"/>
        <v>86961485.019218832</v>
      </c>
      <c r="Z214" s="587">
        <f t="shared" ca="1" si="70"/>
        <v>88805258.581374943</v>
      </c>
      <c r="AA214" s="587">
        <f t="shared" ca="1" si="70"/>
        <v>91435550.022678211</v>
      </c>
      <c r="AB214" s="587">
        <f t="shared" ca="1" si="70"/>
        <v>93374183.542284697</v>
      </c>
      <c r="AC214" s="587">
        <f t="shared" ca="1" si="70"/>
        <v>95615163.94729954</v>
      </c>
      <c r="AD214" s="587">
        <f t="shared" ca="1" si="70"/>
        <v>97642414.417876169</v>
      </c>
      <c r="AE214" s="587">
        <f t="shared" ca="1" si="70"/>
        <v>100534450.44202879</v>
      </c>
      <c r="AF214" s="587">
        <f t="shared" ca="1" si="70"/>
        <v>102666000.53883247</v>
      </c>
      <c r="AG214" s="587">
        <f t="shared" ca="1" si="70"/>
        <v>105129984.55176444</v>
      </c>
      <c r="AH214" s="587">
        <f t="shared" ca="1" si="70"/>
        <v>107358970.01657782</v>
      </c>
      <c r="AI214" s="587">
        <f t="shared" ca="1" si="70"/>
        <v>110538797.2530807</v>
      </c>
      <c r="AJ214" s="587">
        <f t="shared" ca="1" si="70"/>
        <v>112882461.3697034</v>
      </c>
      <c r="AK214" s="587">
        <f t="shared" ca="1" si="70"/>
        <v>115591640.44257629</v>
      </c>
      <c r="AL214" s="587">
        <f t="shared" ca="1" si="70"/>
        <v>118365839.81319812</v>
      </c>
      <c r="AM214" s="587">
        <f t="shared" si="70"/>
        <v>0</v>
      </c>
      <c r="AN214" s="587">
        <f t="shared" si="70"/>
        <v>0</v>
      </c>
      <c r="AO214" s="587">
        <f t="shared" si="70"/>
        <v>0</v>
      </c>
      <c r="AP214" s="587">
        <f t="shared" si="70"/>
        <v>0</v>
      </c>
      <c r="AQ214" s="587">
        <f t="shared" si="70"/>
        <v>0</v>
      </c>
      <c r="AR214" s="587">
        <f t="shared" si="70"/>
        <v>0</v>
      </c>
      <c r="AS214" s="587">
        <f t="shared" si="70"/>
        <v>0</v>
      </c>
      <c r="AT214" s="587">
        <f t="shared" si="70"/>
        <v>0</v>
      </c>
      <c r="AU214" s="587">
        <f t="shared" si="70"/>
        <v>0</v>
      </c>
      <c r="AV214" s="587">
        <f t="shared" si="70"/>
        <v>0</v>
      </c>
      <c r="AW214" s="587">
        <f t="shared" si="70"/>
        <v>0</v>
      </c>
    </row>
    <row r="215" spans="2:49" ht="11.25" thickBot="1">
      <c r="B215" s="2" t="s">
        <v>1627</v>
      </c>
      <c r="C215" s="1514">
        <f>'Sens WIP'!D43</f>
        <v>0</v>
      </c>
      <c r="D215" s="53"/>
      <c r="E215" s="489"/>
      <c r="F215" s="489"/>
      <c r="G215" s="489"/>
      <c r="H215" s="489"/>
      <c r="I215" s="578"/>
      <c r="J215" s="578"/>
      <c r="K215" s="578"/>
      <c r="L215" s="578"/>
      <c r="M215" s="42"/>
      <c r="N215" s="578"/>
      <c r="O215" s="578"/>
      <c r="P215" s="578"/>
      <c r="Q215" s="578"/>
      <c r="R215" s="578"/>
      <c r="S215" s="578"/>
      <c r="T215" s="578"/>
      <c r="U215" s="578"/>
      <c r="V215" s="578"/>
      <c r="W215" s="578"/>
      <c r="X215" s="578"/>
      <c r="Y215" s="578"/>
      <c r="Z215" s="578"/>
      <c r="AA215" s="578"/>
      <c r="AB215" s="578"/>
      <c r="AC215" s="578"/>
      <c r="AD215" s="578"/>
      <c r="AE215" s="578"/>
      <c r="AF215" s="578"/>
      <c r="AG215" s="578"/>
      <c r="AH215" s="578"/>
      <c r="AI215" s="578"/>
      <c r="AJ215" s="578"/>
      <c r="AK215" s="578"/>
      <c r="AL215" s="578"/>
      <c r="AM215" s="578"/>
      <c r="AN215" s="578"/>
      <c r="AO215" s="578"/>
      <c r="AP215" s="578"/>
      <c r="AQ215" s="578"/>
      <c r="AR215" s="578"/>
      <c r="AS215" s="578"/>
      <c r="AT215" s="578"/>
      <c r="AU215" s="578"/>
      <c r="AV215" s="578"/>
      <c r="AW215" s="578"/>
    </row>
    <row r="216" spans="2:49">
      <c r="B216" s="2" t="s">
        <v>1628</v>
      </c>
      <c r="C216" s="577"/>
      <c r="D216" s="53"/>
      <c r="E216" s="489"/>
      <c r="F216" s="489"/>
      <c r="G216" s="489"/>
      <c r="H216" s="489"/>
      <c r="I216" s="578">
        <f>I214</f>
        <v>0</v>
      </c>
      <c r="J216" s="578">
        <f t="shared" ref="J216:AW216" si="71">J214</f>
        <v>0</v>
      </c>
      <c r="K216" s="578">
        <f t="shared" ca="1" si="71"/>
        <v>62513843.383884795</v>
      </c>
      <c r="L216" s="578">
        <f t="shared" ca="1" si="71"/>
        <v>63951661.781714149</v>
      </c>
      <c r="M216" s="578">
        <f t="shared" ca="1" si="71"/>
        <v>65422550.002693556</v>
      </c>
      <c r="N216" s="578">
        <f t="shared" ca="1" si="71"/>
        <v>66809651.062859952</v>
      </c>
      <c r="O216" s="578">
        <f t="shared" ca="1" si="71"/>
        <v>68788462.41023162</v>
      </c>
      <c r="P216" s="578">
        <f t="shared" ca="1" si="71"/>
        <v>70246928.170623392</v>
      </c>
      <c r="Q216" s="578">
        <f t="shared" ca="1" si="71"/>
        <v>71932854.44671835</v>
      </c>
      <c r="R216" s="578">
        <f t="shared" ca="1" si="71"/>
        <v>73457988.191271722</v>
      </c>
      <c r="S216" s="578">
        <f t="shared" ca="1" si="71"/>
        <v>75633714.276881948</v>
      </c>
      <c r="T216" s="578">
        <f t="shared" ca="1" si="71"/>
        <v>77237314.339145869</v>
      </c>
      <c r="U216" s="578">
        <f t="shared" ca="1" si="71"/>
        <v>79091009.883285388</v>
      </c>
      <c r="V216" s="578">
        <f t="shared" ca="1" si="71"/>
        <v>80767912.16933535</v>
      </c>
      <c r="W216" s="578">
        <f t="shared" ca="1" si="71"/>
        <v>83160148.299319357</v>
      </c>
      <c r="X216" s="578">
        <f t="shared" ca="1" si="71"/>
        <v>84923325.21408087</v>
      </c>
      <c r="Y216" s="578">
        <f t="shared" ca="1" si="71"/>
        <v>86961485.019218832</v>
      </c>
      <c r="Z216" s="578">
        <f t="shared" ca="1" si="71"/>
        <v>88805258.581374943</v>
      </c>
      <c r="AA216" s="578">
        <f t="shared" ca="1" si="71"/>
        <v>91435550.022678211</v>
      </c>
      <c r="AB216" s="578">
        <f t="shared" ca="1" si="71"/>
        <v>93374183.542284697</v>
      </c>
      <c r="AC216" s="578">
        <f t="shared" ca="1" si="71"/>
        <v>95615163.94729954</v>
      </c>
      <c r="AD216" s="578">
        <f t="shared" ca="1" si="71"/>
        <v>97642414.417876169</v>
      </c>
      <c r="AE216" s="578">
        <f t="shared" ca="1" si="71"/>
        <v>100534450.44202879</v>
      </c>
      <c r="AF216" s="578">
        <f t="shared" ca="1" si="71"/>
        <v>102666000.53883247</v>
      </c>
      <c r="AG216" s="578">
        <f t="shared" ca="1" si="71"/>
        <v>105129984.55176444</v>
      </c>
      <c r="AH216" s="578">
        <f t="shared" ca="1" si="71"/>
        <v>107358970.01657782</v>
      </c>
      <c r="AI216" s="578">
        <f t="shared" ca="1" si="71"/>
        <v>110538797.2530807</v>
      </c>
      <c r="AJ216" s="578">
        <f t="shared" ca="1" si="71"/>
        <v>112882461.3697034</v>
      </c>
      <c r="AK216" s="578">
        <f t="shared" ca="1" si="71"/>
        <v>115591640.44257629</v>
      </c>
      <c r="AL216" s="578">
        <f t="shared" ca="1" si="71"/>
        <v>118365839.81319812</v>
      </c>
      <c r="AM216" s="578">
        <f t="shared" si="71"/>
        <v>0</v>
      </c>
      <c r="AN216" s="578">
        <f t="shared" si="71"/>
        <v>0</v>
      </c>
      <c r="AO216" s="578">
        <f t="shared" si="71"/>
        <v>0</v>
      </c>
      <c r="AP216" s="578">
        <f t="shared" si="71"/>
        <v>0</v>
      </c>
      <c r="AQ216" s="578">
        <f t="shared" si="71"/>
        <v>0</v>
      </c>
      <c r="AR216" s="578">
        <f t="shared" si="71"/>
        <v>0</v>
      </c>
      <c r="AS216" s="578">
        <f t="shared" si="71"/>
        <v>0</v>
      </c>
      <c r="AT216" s="578">
        <f t="shared" si="71"/>
        <v>0</v>
      </c>
      <c r="AU216" s="578">
        <f t="shared" si="71"/>
        <v>0</v>
      </c>
      <c r="AV216" s="578">
        <f t="shared" si="71"/>
        <v>0</v>
      </c>
      <c r="AW216" s="578">
        <f t="shared" si="71"/>
        <v>0</v>
      </c>
    </row>
    <row r="217" spans="2:49">
      <c r="B217" s="2" t="s">
        <v>1629</v>
      </c>
      <c r="C217" s="577"/>
      <c r="D217" s="53"/>
      <c r="E217" s="489"/>
      <c r="F217" s="489"/>
      <c r="G217" s="489"/>
      <c r="H217" s="489"/>
      <c r="I217" s="578">
        <f>I216*(1+$C$215)</f>
        <v>0</v>
      </c>
      <c r="J217" s="578">
        <f t="shared" ref="J217:AW217" si="72">J216*(1+$C$215)</f>
        <v>0</v>
      </c>
      <c r="K217" s="578">
        <f t="shared" ca="1" si="72"/>
        <v>62513843.383884795</v>
      </c>
      <c r="L217" s="578">
        <f t="shared" ca="1" si="72"/>
        <v>63951661.781714149</v>
      </c>
      <c r="M217" s="578">
        <f t="shared" ca="1" si="72"/>
        <v>65422550.002693556</v>
      </c>
      <c r="N217" s="578">
        <f t="shared" ca="1" si="72"/>
        <v>66809651.062859952</v>
      </c>
      <c r="O217" s="578">
        <f t="shared" ca="1" si="72"/>
        <v>68788462.41023162</v>
      </c>
      <c r="P217" s="578">
        <f t="shared" ca="1" si="72"/>
        <v>70246928.170623392</v>
      </c>
      <c r="Q217" s="578">
        <f t="shared" ca="1" si="72"/>
        <v>71932854.44671835</v>
      </c>
      <c r="R217" s="578">
        <f t="shared" ca="1" si="72"/>
        <v>73457988.191271722</v>
      </c>
      <c r="S217" s="578">
        <f t="shared" ca="1" si="72"/>
        <v>75633714.276881948</v>
      </c>
      <c r="T217" s="578">
        <f t="shared" ca="1" si="72"/>
        <v>77237314.339145869</v>
      </c>
      <c r="U217" s="578">
        <f t="shared" ca="1" si="72"/>
        <v>79091009.883285388</v>
      </c>
      <c r="V217" s="578">
        <f t="shared" ca="1" si="72"/>
        <v>80767912.16933535</v>
      </c>
      <c r="W217" s="578">
        <f t="shared" ca="1" si="72"/>
        <v>83160148.299319357</v>
      </c>
      <c r="X217" s="578">
        <f t="shared" ca="1" si="72"/>
        <v>84923325.21408087</v>
      </c>
      <c r="Y217" s="578">
        <f t="shared" ca="1" si="72"/>
        <v>86961485.019218832</v>
      </c>
      <c r="Z217" s="578">
        <f t="shared" ca="1" si="72"/>
        <v>88805258.581374943</v>
      </c>
      <c r="AA217" s="578">
        <f t="shared" ca="1" si="72"/>
        <v>91435550.022678211</v>
      </c>
      <c r="AB217" s="578">
        <f t="shared" ca="1" si="72"/>
        <v>93374183.542284697</v>
      </c>
      <c r="AC217" s="578">
        <f t="shared" ca="1" si="72"/>
        <v>95615163.94729954</v>
      </c>
      <c r="AD217" s="578">
        <f t="shared" ca="1" si="72"/>
        <v>97642414.417876169</v>
      </c>
      <c r="AE217" s="578">
        <f t="shared" ca="1" si="72"/>
        <v>100534450.44202879</v>
      </c>
      <c r="AF217" s="578">
        <f t="shared" ca="1" si="72"/>
        <v>102666000.53883247</v>
      </c>
      <c r="AG217" s="578">
        <f t="shared" ca="1" si="72"/>
        <v>105129984.55176444</v>
      </c>
      <c r="AH217" s="578">
        <f t="shared" ca="1" si="72"/>
        <v>107358970.01657782</v>
      </c>
      <c r="AI217" s="578">
        <f t="shared" ca="1" si="72"/>
        <v>110538797.2530807</v>
      </c>
      <c r="AJ217" s="578">
        <f t="shared" ca="1" si="72"/>
        <v>112882461.3697034</v>
      </c>
      <c r="AK217" s="578">
        <f t="shared" ca="1" si="72"/>
        <v>115591640.44257629</v>
      </c>
      <c r="AL217" s="578">
        <f t="shared" ca="1" si="72"/>
        <v>118365839.81319812</v>
      </c>
      <c r="AM217" s="578">
        <f t="shared" si="72"/>
        <v>0</v>
      </c>
      <c r="AN217" s="578">
        <f t="shared" si="72"/>
        <v>0</v>
      </c>
      <c r="AO217" s="578">
        <f t="shared" si="72"/>
        <v>0</v>
      </c>
      <c r="AP217" s="578">
        <f t="shared" si="72"/>
        <v>0</v>
      </c>
      <c r="AQ217" s="578">
        <f t="shared" si="72"/>
        <v>0</v>
      </c>
      <c r="AR217" s="578">
        <f t="shared" si="72"/>
        <v>0</v>
      </c>
      <c r="AS217" s="578">
        <f t="shared" si="72"/>
        <v>0</v>
      </c>
      <c r="AT217" s="578">
        <f t="shared" si="72"/>
        <v>0</v>
      </c>
      <c r="AU217" s="578">
        <f t="shared" si="72"/>
        <v>0</v>
      </c>
      <c r="AV217" s="578">
        <f t="shared" si="72"/>
        <v>0</v>
      </c>
      <c r="AW217" s="578">
        <f t="shared" si="72"/>
        <v>0</v>
      </c>
    </row>
    <row r="218" spans="2:49">
      <c r="B218" s="489"/>
      <c r="C218" s="577"/>
      <c r="D218" s="53"/>
      <c r="E218" s="489"/>
      <c r="F218" s="489"/>
      <c r="G218" s="489"/>
      <c r="H218" s="489"/>
      <c r="I218" s="578"/>
      <c r="J218" s="578"/>
      <c r="K218" s="578"/>
      <c r="L218" s="578"/>
      <c r="M218" s="42"/>
      <c r="N218" s="578"/>
      <c r="O218" s="578"/>
      <c r="P218" s="578"/>
      <c r="Q218" s="578"/>
      <c r="R218" s="578"/>
      <c r="S218" s="578"/>
      <c r="T218" s="578"/>
      <c r="U218" s="578"/>
      <c r="V218" s="578"/>
      <c r="W218" s="578"/>
      <c r="X218" s="578"/>
      <c r="Y218" s="578"/>
      <c r="Z218" s="578"/>
      <c r="AA218" s="578"/>
      <c r="AB218" s="578"/>
      <c r="AC218" s="578"/>
      <c r="AD218" s="578"/>
      <c r="AE218" s="578"/>
      <c r="AF218" s="578"/>
      <c r="AG218" s="578"/>
      <c r="AH218" s="578"/>
      <c r="AI218" s="578"/>
      <c r="AJ218" s="578"/>
      <c r="AK218" s="578"/>
      <c r="AL218" s="578"/>
      <c r="AM218" s="578"/>
      <c r="AN218" s="578"/>
      <c r="AO218" s="578"/>
      <c r="AP218" s="578"/>
      <c r="AQ218" s="578"/>
      <c r="AR218" s="578"/>
      <c r="AS218" s="578"/>
      <c r="AT218" s="578"/>
      <c r="AU218" s="578"/>
      <c r="AV218" s="578"/>
      <c r="AW218" s="578"/>
    </row>
    <row r="219" spans="2:49">
      <c r="B219" s="489"/>
      <c r="C219" s="577"/>
      <c r="D219" s="53"/>
      <c r="E219" s="489"/>
      <c r="F219" s="489"/>
      <c r="G219" s="489"/>
      <c r="H219" s="489"/>
      <c r="I219" s="578"/>
      <c r="J219" s="578"/>
      <c r="K219" s="578"/>
      <c r="L219" s="578"/>
      <c r="M219" s="42"/>
      <c r="N219" s="578"/>
      <c r="O219" s="578"/>
      <c r="P219" s="578"/>
      <c r="Q219" s="578"/>
      <c r="R219" s="578"/>
      <c r="S219" s="578"/>
      <c r="T219" s="578"/>
      <c r="U219" s="578"/>
      <c r="V219" s="578"/>
      <c r="W219" s="578"/>
      <c r="X219" s="578"/>
      <c r="Y219" s="578"/>
      <c r="Z219" s="578"/>
      <c r="AA219" s="578"/>
      <c r="AB219" s="578"/>
      <c r="AC219" s="578"/>
      <c r="AD219" s="578"/>
      <c r="AE219" s="578"/>
      <c r="AF219" s="578"/>
      <c r="AG219" s="578"/>
      <c r="AH219" s="578"/>
      <c r="AI219" s="578"/>
      <c r="AJ219" s="578"/>
      <c r="AK219" s="578"/>
      <c r="AL219" s="578"/>
      <c r="AM219" s="578"/>
      <c r="AN219" s="578"/>
      <c r="AO219" s="578"/>
      <c r="AP219" s="578"/>
      <c r="AQ219" s="578"/>
      <c r="AR219" s="578"/>
      <c r="AS219" s="578"/>
      <c r="AT219" s="578"/>
      <c r="AU219" s="578"/>
      <c r="AV219" s="578"/>
      <c r="AW219" s="578"/>
    </row>
    <row r="220" spans="2:49">
      <c r="B220" s="489"/>
      <c r="C220" s="577"/>
      <c r="D220" s="53"/>
      <c r="E220" s="489"/>
      <c r="F220" s="489"/>
      <c r="G220" s="489"/>
      <c r="H220" s="489"/>
      <c r="I220" s="578"/>
      <c r="J220" s="578"/>
      <c r="K220" s="578"/>
      <c r="L220" s="578"/>
      <c r="M220" s="42"/>
      <c r="N220" s="578"/>
      <c r="O220" s="578"/>
      <c r="P220" s="578"/>
      <c r="Q220" s="578"/>
      <c r="R220" s="578"/>
      <c r="S220" s="578"/>
      <c r="T220" s="578"/>
      <c r="U220" s="578"/>
      <c r="V220" s="578"/>
      <c r="W220" s="578"/>
      <c r="X220" s="578"/>
      <c r="Y220" s="578"/>
      <c r="Z220" s="578"/>
      <c r="AA220" s="578"/>
      <c r="AB220" s="578"/>
      <c r="AC220" s="578"/>
      <c r="AD220" s="578"/>
      <c r="AE220" s="578"/>
      <c r="AF220" s="578"/>
      <c r="AG220" s="578"/>
      <c r="AH220" s="578"/>
      <c r="AI220" s="578"/>
      <c r="AJ220" s="578"/>
      <c r="AK220" s="578"/>
      <c r="AL220" s="578"/>
      <c r="AM220" s="578"/>
      <c r="AN220" s="578"/>
      <c r="AO220" s="578"/>
      <c r="AP220" s="578"/>
      <c r="AQ220" s="578"/>
      <c r="AR220" s="578"/>
      <c r="AS220" s="578"/>
      <c r="AT220" s="578"/>
      <c r="AU220" s="578"/>
      <c r="AV220" s="578"/>
      <c r="AW220" s="578"/>
    </row>
    <row r="221" spans="2:49">
      <c r="B221" s="2" t="s">
        <v>71</v>
      </c>
      <c r="C221" s="15" t="str">
        <f>$C$39</f>
        <v>US$</v>
      </c>
      <c r="D221" s="578">
        <f ca="1">SUM(D151:D198)*Sens_Opcost</f>
        <v>1631787402.9452279</v>
      </c>
      <c r="I221" s="42">
        <f>I202+I188+I174+I161</f>
        <v>0</v>
      </c>
      <c r="J221" s="42">
        <f>J202+J188+J174+J161</f>
        <v>0</v>
      </c>
      <c r="K221" s="42">
        <f ca="1">K202+K188+K174+K161</f>
        <v>29414131.261703771</v>
      </c>
      <c r="L221" s="42">
        <f t="shared" ref="L221:AW221" ca="1" si="73">L202+L188+L174+L161+L217</f>
        <v>106702586.72443059</v>
      </c>
      <c r="M221" s="42">
        <f t="shared" ca="1" si="73"/>
        <v>109168783.44192578</v>
      </c>
      <c r="N221" s="42">
        <f t="shared" ca="1" si="73"/>
        <v>111493998.38342088</v>
      </c>
      <c r="O221" s="42">
        <f t="shared" ca="1" si="73"/>
        <v>114807428.10413587</v>
      </c>
      <c r="P221" s="42">
        <f t="shared" ca="1" si="73"/>
        <v>117252871.77969016</v>
      </c>
      <c r="Q221" s="42">
        <f t="shared" ca="1" si="73"/>
        <v>120078554.21458776</v>
      </c>
      <c r="R221" s="42">
        <f t="shared" ca="1" si="73"/>
        <v>122636411.26543796</v>
      </c>
      <c r="S221" s="42">
        <f t="shared" ca="1" si="73"/>
        <v>126281261.90439415</v>
      </c>
      <c r="T221" s="42">
        <f t="shared" ca="1" si="73"/>
        <v>128971392.10746129</v>
      </c>
      <c r="U221" s="42">
        <f t="shared" ca="1" si="73"/>
        <v>132079777.68690053</v>
      </c>
      <c r="V221" s="42">
        <f t="shared" ca="1" si="73"/>
        <v>134893585.21895877</v>
      </c>
      <c r="W221" s="42">
        <f t="shared" ca="1" si="73"/>
        <v>138903050.04547429</v>
      </c>
      <c r="X221" s="42">
        <f t="shared" ca="1" si="73"/>
        <v>141862383.78835806</v>
      </c>
      <c r="Y221" s="42">
        <f t="shared" ca="1" si="73"/>
        <v>145281795.03203517</v>
      </c>
      <c r="Z221" s="42">
        <f t="shared" ca="1" si="73"/>
        <v>148377200.68794605</v>
      </c>
      <c r="AA221" s="42">
        <f t="shared" ca="1" si="73"/>
        <v>152787802.84469527</v>
      </c>
      <c r="AB221" s="42">
        <f t="shared" ca="1" si="73"/>
        <v>156043317.95041707</v>
      </c>
      <c r="AC221" s="42">
        <f t="shared" ca="1" si="73"/>
        <v>159804919.69592088</v>
      </c>
      <c r="AD221" s="42">
        <f t="shared" ca="1" si="73"/>
        <v>163210145.66275007</v>
      </c>
      <c r="AE221" s="42">
        <f t="shared" ca="1" si="73"/>
        <v>168062072.88757193</v>
      </c>
      <c r="AF221" s="42">
        <f t="shared" ca="1" si="73"/>
        <v>171643455.51716417</v>
      </c>
      <c r="AG221" s="42">
        <f t="shared" ca="1" si="73"/>
        <v>175781540.76522607</v>
      </c>
      <c r="AH221" s="42">
        <f t="shared" ca="1" si="73"/>
        <v>179527642.77316809</v>
      </c>
      <c r="AI221" s="42">
        <f t="shared" ca="1" si="73"/>
        <v>184865115.85168853</v>
      </c>
      <c r="AJ221" s="42">
        <f t="shared" ca="1" si="73"/>
        <v>188805032.99592233</v>
      </c>
      <c r="AK221" s="42">
        <f t="shared" ca="1" si="73"/>
        <v>193357337.57758921</v>
      </c>
      <c r="AL221" s="42">
        <f t="shared" ca="1" si="73"/>
        <v>198019526.98290899</v>
      </c>
      <c r="AM221" s="42">
        <f t="shared" si="73"/>
        <v>0</v>
      </c>
      <c r="AN221" s="42">
        <f t="shared" si="73"/>
        <v>0</v>
      </c>
      <c r="AO221" s="42">
        <f t="shared" si="73"/>
        <v>0</v>
      </c>
      <c r="AP221" s="42">
        <f t="shared" si="73"/>
        <v>0</v>
      </c>
      <c r="AQ221" s="42">
        <f t="shared" si="73"/>
        <v>0</v>
      </c>
      <c r="AR221" s="42">
        <f t="shared" si="73"/>
        <v>0</v>
      </c>
      <c r="AS221" s="42">
        <f t="shared" si="73"/>
        <v>0</v>
      </c>
      <c r="AT221" s="42">
        <f t="shared" si="73"/>
        <v>0</v>
      </c>
      <c r="AU221" s="42">
        <f t="shared" si="73"/>
        <v>0</v>
      </c>
      <c r="AV221" s="42">
        <f t="shared" si="73"/>
        <v>0</v>
      </c>
      <c r="AW221" s="42">
        <f t="shared" si="73"/>
        <v>0</v>
      </c>
    </row>
    <row r="222" spans="2:49" ht="11.25" thickBot="1">
      <c r="C222" s="15"/>
      <c r="D222" s="578"/>
      <c r="I222" s="42"/>
      <c r="J222" s="42"/>
      <c r="K222" s="42"/>
      <c r="L222" s="42"/>
      <c r="M222" s="42"/>
      <c r="N222" s="42"/>
      <c r="O222" s="42"/>
      <c r="P222" s="42"/>
      <c r="Q222" s="42"/>
      <c r="R222" s="42"/>
      <c r="S222" s="42"/>
      <c r="T222" s="42"/>
      <c r="U222" s="42"/>
      <c r="V222" s="42"/>
      <c r="W222" s="42"/>
      <c r="X222" s="42"/>
      <c r="Y222" s="42"/>
      <c r="Z222" s="42"/>
      <c r="AA222" s="42"/>
      <c r="AB222" s="42"/>
      <c r="AC222" s="42"/>
      <c r="AD222" s="42"/>
      <c r="AE222" s="42"/>
      <c r="AF222" s="42"/>
      <c r="AG222" s="42"/>
      <c r="AH222" s="42"/>
      <c r="AI222" s="42"/>
      <c r="AJ222" s="42"/>
      <c r="AK222" s="42"/>
      <c r="AL222" s="42"/>
      <c r="AM222" s="42"/>
      <c r="AN222" s="42"/>
      <c r="AO222" s="42"/>
      <c r="AP222" s="42"/>
      <c r="AQ222" s="42"/>
      <c r="AR222" s="42"/>
      <c r="AS222" s="42"/>
      <c r="AT222" s="42"/>
      <c r="AU222" s="42"/>
      <c r="AV222" s="42"/>
      <c r="AW222" s="42"/>
    </row>
    <row r="223" spans="2:49" ht="11.25" thickBot="1">
      <c r="B223" s="2" t="s">
        <v>1552</v>
      </c>
      <c r="C223" s="15"/>
      <c r="D223" s="1525">
        <f>'Sens WIP'!D13</f>
        <v>0</v>
      </c>
      <c r="I223" s="42"/>
      <c r="J223" s="42"/>
      <c r="K223" s="42"/>
      <c r="L223" s="42"/>
      <c r="M223" s="42"/>
      <c r="N223" s="42"/>
      <c r="O223" s="42"/>
      <c r="P223" s="42"/>
      <c r="Q223" s="42"/>
      <c r="R223" s="42"/>
      <c r="S223" s="42"/>
      <c r="T223" s="42"/>
      <c r="U223" s="42"/>
      <c r="V223" s="42"/>
      <c r="W223" s="42"/>
      <c r="X223" s="42"/>
      <c r="Y223" s="42"/>
      <c r="Z223" s="42"/>
      <c r="AA223" s="42"/>
      <c r="AB223" s="42"/>
      <c r="AC223" s="42"/>
      <c r="AD223" s="42"/>
      <c r="AE223" s="42"/>
      <c r="AF223" s="42"/>
      <c r="AG223" s="42"/>
      <c r="AH223" s="42"/>
      <c r="AI223" s="42"/>
      <c r="AJ223" s="42"/>
      <c r="AK223" s="42"/>
      <c r="AL223" s="42"/>
      <c r="AM223" s="42"/>
      <c r="AN223" s="42"/>
      <c r="AO223" s="42"/>
      <c r="AP223" s="42"/>
      <c r="AQ223" s="42"/>
      <c r="AR223" s="42"/>
      <c r="AS223" s="42"/>
      <c r="AT223" s="42"/>
      <c r="AU223" s="42"/>
      <c r="AV223" s="42"/>
      <c r="AW223" s="42"/>
    </row>
    <row r="224" spans="2:49">
      <c r="B224" s="2" t="s">
        <v>1023</v>
      </c>
      <c r="C224" s="15"/>
      <c r="D224" s="578"/>
      <c r="I224" s="42">
        <f>I221</f>
        <v>0</v>
      </c>
      <c r="J224" s="42">
        <f t="shared" ref="J224:AW224" si="74">J221</f>
        <v>0</v>
      </c>
      <c r="K224" s="42">
        <f ca="1">K221</f>
        <v>29414131.261703771</v>
      </c>
      <c r="L224" s="42">
        <f ca="1">L221</f>
        <v>106702586.72443059</v>
      </c>
      <c r="M224" s="42">
        <f t="shared" ca="1" si="74"/>
        <v>109168783.44192578</v>
      </c>
      <c r="N224" s="42">
        <f t="shared" ca="1" si="74"/>
        <v>111493998.38342088</v>
      </c>
      <c r="O224" s="42">
        <f t="shared" ca="1" si="74"/>
        <v>114807428.10413587</v>
      </c>
      <c r="P224" s="42">
        <f t="shared" ca="1" si="74"/>
        <v>117252871.77969016</v>
      </c>
      <c r="Q224" s="42">
        <f t="shared" ca="1" si="74"/>
        <v>120078554.21458776</v>
      </c>
      <c r="R224" s="42">
        <f t="shared" ca="1" si="74"/>
        <v>122636411.26543796</v>
      </c>
      <c r="S224" s="42">
        <f t="shared" ca="1" si="74"/>
        <v>126281261.90439415</v>
      </c>
      <c r="T224" s="42">
        <f t="shared" ca="1" si="74"/>
        <v>128971392.10746129</v>
      </c>
      <c r="U224" s="42">
        <f t="shared" ca="1" si="74"/>
        <v>132079777.68690053</v>
      </c>
      <c r="V224" s="42">
        <f t="shared" ca="1" si="74"/>
        <v>134893585.21895877</v>
      </c>
      <c r="W224" s="42">
        <f t="shared" ca="1" si="74"/>
        <v>138903050.04547429</v>
      </c>
      <c r="X224" s="42">
        <f t="shared" ca="1" si="74"/>
        <v>141862383.78835806</v>
      </c>
      <c r="Y224" s="42">
        <f t="shared" ca="1" si="74"/>
        <v>145281795.03203517</v>
      </c>
      <c r="Z224" s="42">
        <f t="shared" ca="1" si="74"/>
        <v>148377200.68794605</v>
      </c>
      <c r="AA224" s="42">
        <f t="shared" ca="1" si="74"/>
        <v>152787802.84469527</v>
      </c>
      <c r="AB224" s="42">
        <f t="shared" ca="1" si="74"/>
        <v>156043317.95041707</v>
      </c>
      <c r="AC224" s="42">
        <f t="shared" ca="1" si="74"/>
        <v>159804919.69592088</v>
      </c>
      <c r="AD224" s="42">
        <f t="shared" ca="1" si="74"/>
        <v>163210145.66275007</v>
      </c>
      <c r="AE224" s="42">
        <f t="shared" ca="1" si="74"/>
        <v>168062072.88757193</v>
      </c>
      <c r="AF224" s="42">
        <f t="shared" ca="1" si="74"/>
        <v>171643455.51716417</v>
      </c>
      <c r="AG224" s="42">
        <f t="shared" ca="1" si="74"/>
        <v>175781540.76522607</v>
      </c>
      <c r="AH224" s="42">
        <f t="shared" ca="1" si="74"/>
        <v>179527642.77316809</v>
      </c>
      <c r="AI224" s="42">
        <f t="shared" ca="1" si="74"/>
        <v>184865115.85168853</v>
      </c>
      <c r="AJ224" s="42">
        <f t="shared" ca="1" si="74"/>
        <v>188805032.99592233</v>
      </c>
      <c r="AK224" s="42">
        <f t="shared" ca="1" si="74"/>
        <v>193357337.57758921</v>
      </c>
      <c r="AL224" s="42">
        <f t="shared" ca="1" si="74"/>
        <v>198019526.98290899</v>
      </c>
      <c r="AM224" s="42">
        <f t="shared" si="74"/>
        <v>0</v>
      </c>
      <c r="AN224" s="42">
        <f t="shared" si="74"/>
        <v>0</v>
      </c>
      <c r="AO224" s="42">
        <f t="shared" si="74"/>
        <v>0</v>
      </c>
      <c r="AP224" s="42">
        <f t="shared" si="74"/>
        <v>0</v>
      </c>
      <c r="AQ224" s="42">
        <f t="shared" si="74"/>
        <v>0</v>
      </c>
      <c r="AR224" s="42">
        <f t="shared" si="74"/>
        <v>0</v>
      </c>
      <c r="AS224" s="42">
        <f t="shared" si="74"/>
        <v>0</v>
      </c>
      <c r="AT224" s="42">
        <f t="shared" si="74"/>
        <v>0</v>
      </c>
      <c r="AU224" s="42">
        <f t="shared" si="74"/>
        <v>0</v>
      </c>
      <c r="AV224" s="42">
        <f t="shared" si="74"/>
        <v>0</v>
      </c>
      <c r="AW224" s="42">
        <f t="shared" si="74"/>
        <v>0</v>
      </c>
    </row>
    <row r="225" spans="1:50">
      <c r="B225" s="2" t="s">
        <v>1553</v>
      </c>
      <c r="C225" s="15"/>
      <c r="D225" s="578"/>
      <c r="I225" s="42">
        <f t="shared" ref="I225:AW225" si="75">I224*(1+$D$223)</f>
        <v>0</v>
      </c>
      <c r="J225" s="42">
        <f t="shared" si="75"/>
        <v>0</v>
      </c>
      <c r="K225" s="42">
        <f t="shared" ca="1" si="75"/>
        <v>29414131.261703771</v>
      </c>
      <c r="L225" s="42">
        <f t="shared" ca="1" si="75"/>
        <v>106702586.72443059</v>
      </c>
      <c r="M225" s="42">
        <f t="shared" ca="1" si="75"/>
        <v>109168783.44192578</v>
      </c>
      <c r="N225" s="42">
        <f t="shared" ca="1" si="75"/>
        <v>111493998.38342088</v>
      </c>
      <c r="O225" s="42">
        <f t="shared" ca="1" si="75"/>
        <v>114807428.10413587</v>
      </c>
      <c r="P225" s="42">
        <f t="shared" ca="1" si="75"/>
        <v>117252871.77969016</v>
      </c>
      <c r="Q225" s="42">
        <f t="shared" ca="1" si="75"/>
        <v>120078554.21458776</v>
      </c>
      <c r="R225" s="42">
        <f t="shared" ca="1" si="75"/>
        <v>122636411.26543796</v>
      </c>
      <c r="S225" s="42">
        <f t="shared" ca="1" si="75"/>
        <v>126281261.90439415</v>
      </c>
      <c r="T225" s="42">
        <f t="shared" ca="1" si="75"/>
        <v>128971392.10746129</v>
      </c>
      <c r="U225" s="42">
        <f t="shared" ca="1" si="75"/>
        <v>132079777.68690053</v>
      </c>
      <c r="V225" s="42">
        <f t="shared" ca="1" si="75"/>
        <v>134893585.21895877</v>
      </c>
      <c r="W225" s="42">
        <f t="shared" ca="1" si="75"/>
        <v>138903050.04547429</v>
      </c>
      <c r="X225" s="42">
        <f t="shared" ca="1" si="75"/>
        <v>141862383.78835806</v>
      </c>
      <c r="Y225" s="42">
        <f t="shared" ca="1" si="75"/>
        <v>145281795.03203517</v>
      </c>
      <c r="Z225" s="42">
        <f t="shared" ca="1" si="75"/>
        <v>148377200.68794605</v>
      </c>
      <c r="AA225" s="42">
        <f t="shared" ca="1" si="75"/>
        <v>152787802.84469527</v>
      </c>
      <c r="AB225" s="42">
        <f t="shared" ca="1" si="75"/>
        <v>156043317.95041707</v>
      </c>
      <c r="AC225" s="42">
        <f t="shared" ca="1" si="75"/>
        <v>159804919.69592088</v>
      </c>
      <c r="AD225" s="42">
        <f t="shared" ca="1" si="75"/>
        <v>163210145.66275007</v>
      </c>
      <c r="AE225" s="42">
        <f t="shared" ca="1" si="75"/>
        <v>168062072.88757193</v>
      </c>
      <c r="AF225" s="42">
        <f t="shared" ca="1" si="75"/>
        <v>171643455.51716417</v>
      </c>
      <c r="AG225" s="42">
        <f t="shared" ca="1" si="75"/>
        <v>175781540.76522607</v>
      </c>
      <c r="AH225" s="42">
        <f t="shared" ca="1" si="75"/>
        <v>179527642.77316809</v>
      </c>
      <c r="AI225" s="42">
        <f t="shared" ca="1" si="75"/>
        <v>184865115.85168853</v>
      </c>
      <c r="AJ225" s="42">
        <f t="shared" ca="1" si="75"/>
        <v>188805032.99592233</v>
      </c>
      <c r="AK225" s="42">
        <f t="shared" ca="1" si="75"/>
        <v>193357337.57758921</v>
      </c>
      <c r="AL225" s="42">
        <f t="shared" ca="1" si="75"/>
        <v>198019526.98290899</v>
      </c>
      <c r="AM225" s="42">
        <f t="shared" si="75"/>
        <v>0</v>
      </c>
      <c r="AN225" s="42">
        <f t="shared" si="75"/>
        <v>0</v>
      </c>
      <c r="AO225" s="42">
        <f t="shared" si="75"/>
        <v>0</v>
      </c>
      <c r="AP225" s="42">
        <f t="shared" si="75"/>
        <v>0</v>
      </c>
      <c r="AQ225" s="42">
        <f t="shared" si="75"/>
        <v>0</v>
      </c>
      <c r="AR225" s="42">
        <f t="shared" si="75"/>
        <v>0</v>
      </c>
      <c r="AS225" s="42">
        <f t="shared" si="75"/>
        <v>0</v>
      </c>
      <c r="AT225" s="42">
        <f t="shared" si="75"/>
        <v>0</v>
      </c>
      <c r="AU225" s="42">
        <f t="shared" si="75"/>
        <v>0</v>
      </c>
      <c r="AV225" s="42">
        <f t="shared" si="75"/>
        <v>0</v>
      </c>
      <c r="AW225" s="42">
        <f t="shared" si="75"/>
        <v>0</v>
      </c>
    </row>
    <row r="226" spans="1:50">
      <c r="C226" s="15"/>
      <c r="D226" s="578"/>
      <c r="I226" s="42"/>
      <c r="J226" s="42"/>
      <c r="K226" s="42"/>
      <c r="L226" s="42"/>
      <c r="M226" s="42"/>
      <c r="N226" s="42"/>
      <c r="O226" s="42"/>
      <c r="P226" s="42"/>
      <c r="Q226" s="42"/>
      <c r="R226" s="42"/>
      <c r="S226" s="42"/>
      <c r="T226" s="42"/>
      <c r="U226" s="42"/>
      <c r="V226" s="42"/>
      <c r="W226" s="42"/>
      <c r="X226" s="42"/>
      <c r="Y226" s="42"/>
      <c r="Z226" s="42"/>
      <c r="AA226" s="42"/>
      <c r="AB226" s="42"/>
      <c r="AC226" s="42"/>
      <c r="AD226" s="42"/>
      <c r="AE226" s="42"/>
      <c r="AF226" s="42"/>
      <c r="AG226" s="42"/>
      <c r="AH226" s="42"/>
      <c r="AI226" s="42"/>
      <c r="AJ226" s="42"/>
      <c r="AK226" s="42"/>
      <c r="AL226" s="42"/>
      <c r="AM226" s="42"/>
      <c r="AN226" s="42"/>
      <c r="AO226" s="42"/>
      <c r="AP226" s="42"/>
      <c r="AQ226" s="42"/>
      <c r="AR226" s="42"/>
      <c r="AS226" s="42"/>
      <c r="AT226" s="42"/>
      <c r="AU226" s="42"/>
      <c r="AV226" s="42"/>
      <c r="AW226" s="42"/>
    </row>
    <row r="228" spans="1:50">
      <c r="B228" s="2" t="s">
        <v>326</v>
      </c>
    </row>
    <row r="230" spans="1:50">
      <c r="B230" s="2" t="s">
        <v>327</v>
      </c>
      <c r="C230" s="15" t="s">
        <v>19</v>
      </c>
      <c r="D230" s="49">
        <f>'Assumption '!J635</f>
        <v>30</v>
      </c>
    </row>
    <row r="231" spans="1:50">
      <c r="A231" s="12"/>
    </row>
    <row r="232" spans="1:50">
      <c r="B232" s="2" t="s">
        <v>263</v>
      </c>
      <c r="C232" s="15" t="str">
        <f>$C$39</f>
        <v>US$</v>
      </c>
      <c r="I232" s="41">
        <f>H235</f>
        <v>0</v>
      </c>
      <c r="J232" s="41">
        <f t="shared" ref="J232:AI232" ca="1" si="76">I235</f>
        <v>0</v>
      </c>
      <c r="K232" s="41">
        <f t="shared" ca="1" si="76"/>
        <v>0</v>
      </c>
      <c r="L232" s="41">
        <f t="shared" ca="1" si="76"/>
        <v>2417599.8297290769</v>
      </c>
      <c r="M232" s="41">
        <f t="shared" ca="1" si="76"/>
        <v>8770075.6211860757</v>
      </c>
      <c r="N232" s="41">
        <f t="shared" ca="1" si="76"/>
        <v>8972776.7212541737</v>
      </c>
      <c r="O232" s="41">
        <f t="shared" ca="1" si="76"/>
        <v>9138852.3265099078</v>
      </c>
      <c r="P232" s="41">
        <f t="shared" ca="1" si="76"/>
        <v>9436226.9674632214</v>
      </c>
      <c r="Q232" s="41">
        <f t="shared" ca="1" si="76"/>
        <v>9637222.3380567245</v>
      </c>
      <c r="R232" s="41">
        <f t="shared" ca="1" si="76"/>
        <v>9869470.209418172</v>
      </c>
      <c r="S232" s="41">
        <f t="shared" ca="1" si="76"/>
        <v>10052164.857822783</v>
      </c>
      <c r="T232" s="41">
        <f t="shared" ca="1" si="76"/>
        <v>10379281.800361164</v>
      </c>
      <c r="U232" s="41">
        <f t="shared" ca="1" si="76"/>
        <v>10600388.392394079</v>
      </c>
      <c r="V232" s="41">
        <f t="shared" ca="1" si="76"/>
        <v>10855872.138649357</v>
      </c>
      <c r="W232" s="41">
        <f t="shared" ca="1" si="76"/>
        <v>11056851.247455636</v>
      </c>
      <c r="X232" s="41">
        <f t="shared" ca="1" si="76"/>
        <v>11416689.044833504</v>
      </c>
      <c r="Y232" s="41">
        <f t="shared" ca="1" si="76"/>
        <v>11659921.955207512</v>
      </c>
      <c r="Z232" s="41">
        <f t="shared" ca="1" si="76"/>
        <v>11940969.454687821</v>
      </c>
      <c r="AA232" s="41">
        <f t="shared" ca="1" si="76"/>
        <v>12162065.630159514</v>
      </c>
      <c r="AB232" s="41">
        <f t="shared" ca="1" si="76"/>
        <v>12557901.603673585</v>
      </c>
      <c r="AC232" s="41">
        <f t="shared" ca="1" si="76"/>
        <v>12825478.187705513</v>
      </c>
      <c r="AD232" s="41">
        <f t="shared" ca="1" si="76"/>
        <v>13134650.933911305</v>
      </c>
      <c r="AE232" s="41">
        <f t="shared" ca="1" si="76"/>
        <v>13377880.792028693</v>
      </c>
      <c r="AF232" s="41">
        <f t="shared" ca="1" si="76"/>
        <v>13813321.059252487</v>
      </c>
      <c r="AG232" s="41">
        <f t="shared" ca="1" si="76"/>
        <v>14107681.275383357</v>
      </c>
      <c r="AH232" s="41">
        <f t="shared" ca="1" si="76"/>
        <v>14447797.871114472</v>
      </c>
      <c r="AI232" s="41">
        <f t="shared" ca="1" si="76"/>
        <v>14715380.555177713</v>
      </c>
      <c r="AJ232" s="41">
        <f t="shared" ref="AJ232:AW232" ca="1" si="77">AI235</f>
        <v>15194393.083700428</v>
      </c>
      <c r="AK232" s="41">
        <f t="shared" ca="1" si="77"/>
        <v>15518221.890075808</v>
      </c>
      <c r="AL232" s="41">
        <f t="shared" ca="1" si="77"/>
        <v>15892383.910486786</v>
      </c>
      <c r="AM232" s="41">
        <f t="shared" si="77"/>
        <v>0</v>
      </c>
      <c r="AN232" s="41">
        <f t="shared" ca="1" si="77"/>
        <v>0</v>
      </c>
      <c r="AO232" s="41">
        <f t="shared" ca="1" si="77"/>
        <v>0</v>
      </c>
      <c r="AP232" s="41">
        <f t="shared" ca="1" si="77"/>
        <v>0</v>
      </c>
      <c r="AQ232" s="41">
        <f t="shared" ca="1" si="77"/>
        <v>0</v>
      </c>
      <c r="AR232" s="41">
        <f t="shared" ca="1" si="77"/>
        <v>0</v>
      </c>
      <c r="AS232" s="41">
        <f t="shared" ca="1" si="77"/>
        <v>0</v>
      </c>
      <c r="AT232" s="41">
        <f t="shared" ca="1" si="77"/>
        <v>0</v>
      </c>
      <c r="AU232" s="41">
        <f t="shared" ca="1" si="77"/>
        <v>0</v>
      </c>
      <c r="AV232" s="41">
        <f t="shared" ca="1" si="77"/>
        <v>0</v>
      </c>
      <c r="AW232" s="41">
        <f t="shared" ca="1" si="77"/>
        <v>0</v>
      </c>
    </row>
    <row r="233" spans="1:50">
      <c r="B233" s="2" t="s">
        <v>328</v>
      </c>
      <c r="C233" s="15" t="str">
        <f>$C$39</f>
        <v>US$</v>
      </c>
      <c r="D233" s="41">
        <f ca="1">SUM(I233:AW233)</f>
        <v>4020113123.1518841</v>
      </c>
      <c r="I233" s="41">
        <f>I225</f>
        <v>0</v>
      </c>
      <c r="J233" s="41">
        <f t="shared" ref="J233:AW233" si="78">J225</f>
        <v>0</v>
      </c>
      <c r="K233" s="41">
        <f t="shared" ca="1" si="78"/>
        <v>29414131.261703771</v>
      </c>
      <c r="L233" s="41">
        <f ca="1">L225</f>
        <v>106702586.72443059</v>
      </c>
      <c r="M233" s="41">
        <f t="shared" ca="1" si="78"/>
        <v>109168783.44192578</v>
      </c>
      <c r="N233" s="41">
        <f t="shared" ca="1" si="78"/>
        <v>111493998.38342088</v>
      </c>
      <c r="O233" s="41">
        <f t="shared" ca="1" si="78"/>
        <v>114807428.10413587</v>
      </c>
      <c r="P233" s="41">
        <f t="shared" ca="1" si="78"/>
        <v>117252871.77969016</v>
      </c>
      <c r="Q233" s="41">
        <f t="shared" ca="1" si="78"/>
        <v>120078554.21458776</v>
      </c>
      <c r="R233" s="41">
        <f t="shared" ca="1" si="78"/>
        <v>122636411.26543796</v>
      </c>
      <c r="S233" s="41">
        <f t="shared" ca="1" si="78"/>
        <v>126281261.90439415</v>
      </c>
      <c r="T233" s="41">
        <f t="shared" ca="1" si="78"/>
        <v>128971392.10746129</v>
      </c>
      <c r="U233" s="41">
        <f t="shared" ca="1" si="78"/>
        <v>132079777.68690053</v>
      </c>
      <c r="V233" s="41">
        <f t="shared" ca="1" si="78"/>
        <v>134893585.21895877</v>
      </c>
      <c r="W233" s="41">
        <f t="shared" ca="1" si="78"/>
        <v>138903050.04547429</v>
      </c>
      <c r="X233" s="41">
        <f t="shared" ca="1" si="78"/>
        <v>141862383.78835806</v>
      </c>
      <c r="Y233" s="41">
        <f t="shared" ca="1" si="78"/>
        <v>145281795.03203517</v>
      </c>
      <c r="Z233" s="41">
        <f t="shared" ca="1" si="78"/>
        <v>148377200.68794605</v>
      </c>
      <c r="AA233" s="41">
        <f t="shared" ca="1" si="78"/>
        <v>152787802.84469527</v>
      </c>
      <c r="AB233" s="41">
        <f t="shared" ca="1" si="78"/>
        <v>156043317.95041707</v>
      </c>
      <c r="AC233" s="41">
        <f t="shared" ca="1" si="78"/>
        <v>159804919.69592088</v>
      </c>
      <c r="AD233" s="41">
        <f t="shared" ca="1" si="78"/>
        <v>163210145.66275007</v>
      </c>
      <c r="AE233" s="41">
        <f t="shared" ca="1" si="78"/>
        <v>168062072.88757193</v>
      </c>
      <c r="AF233" s="41">
        <f t="shared" ca="1" si="78"/>
        <v>171643455.51716417</v>
      </c>
      <c r="AG233" s="41">
        <f t="shared" ca="1" si="78"/>
        <v>175781540.76522607</v>
      </c>
      <c r="AH233" s="41">
        <f t="shared" ca="1" si="78"/>
        <v>179527642.77316809</v>
      </c>
      <c r="AI233" s="41">
        <f t="shared" ca="1" si="78"/>
        <v>184865115.85168853</v>
      </c>
      <c r="AJ233" s="41">
        <f t="shared" ca="1" si="78"/>
        <v>188805032.99592233</v>
      </c>
      <c r="AK233" s="41">
        <f t="shared" ca="1" si="78"/>
        <v>193357337.57758921</v>
      </c>
      <c r="AL233" s="41">
        <f t="shared" ca="1" si="78"/>
        <v>198019526.98290899</v>
      </c>
      <c r="AM233" s="41">
        <f t="shared" si="78"/>
        <v>0</v>
      </c>
      <c r="AN233" s="41">
        <f t="shared" si="78"/>
        <v>0</v>
      </c>
      <c r="AO233" s="41">
        <f t="shared" si="78"/>
        <v>0</v>
      </c>
      <c r="AP233" s="41">
        <f t="shared" si="78"/>
        <v>0</v>
      </c>
      <c r="AQ233" s="41">
        <f t="shared" si="78"/>
        <v>0</v>
      </c>
      <c r="AR233" s="41">
        <f t="shared" si="78"/>
        <v>0</v>
      </c>
      <c r="AS233" s="41">
        <f t="shared" si="78"/>
        <v>0</v>
      </c>
      <c r="AT233" s="41">
        <f t="shared" si="78"/>
        <v>0</v>
      </c>
      <c r="AU233" s="41">
        <f t="shared" si="78"/>
        <v>0</v>
      </c>
      <c r="AV233" s="41">
        <f t="shared" si="78"/>
        <v>0</v>
      </c>
      <c r="AW233" s="41">
        <f t="shared" si="78"/>
        <v>0</v>
      </c>
      <c r="AX233" s="578"/>
    </row>
    <row r="234" spans="1:50">
      <c r="B234" s="27" t="s">
        <v>329</v>
      </c>
      <c r="C234" s="28" t="str">
        <f>$C$39</f>
        <v>US$</v>
      </c>
      <c r="D234" s="43">
        <f ca="1">SUM(I234:AW234)</f>
        <v>-4020113123.1518836</v>
      </c>
      <c r="E234" s="27"/>
      <c r="F234" s="27"/>
      <c r="G234" s="27"/>
      <c r="H234" s="27"/>
      <c r="I234" s="43">
        <f t="shared" ref="I234:AI234" ca="1" si="79">I235-SUM(I232:I233)</f>
        <v>0</v>
      </c>
      <c r="J234" s="43">
        <f t="shared" ca="1" si="79"/>
        <v>0</v>
      </c>
      <c r="K234" s="43">
        <f t="shared" ca="1" si="79"/>
        <v>-26996531.431974694</v>
      </c>
      <c r="L234" s="43">
        <f ca="1">L235-SUM(L232:L233)</f>
        <v>-100350110.93297359</v>
      </c>
      <c r="M234" s="43">
        <f t="shared" ca="1" si="79"/>
        <v>-108966082.34185769</v>
      </c>
      <c r="N234" s="43">
        <f t="shared" ca="1" si="79"/>
        <v>-111327922.77816515</v>
      </c>
      <c r="O234" s="43">
        <f t="shared" ca="1" si="79"/>
        <v>-114510053.46318255</v>
      </c>
      <c r="P234" s="43">
        <f t="shared" ca="1" si="79"/>
        <v>-117051876.40909666</v>
      </c>
      <c r="Q234" s="43">
        <f t="shared" ca="1" si="79"/>
        <v>-119846306.34322631</v>
      </c>
      <c r="R234" s="43">
        <f t="shared" ca="1" si="79"/>
        <v>-122453716.61703336</v>
      </c>
      <c r="S234" s="43">
        <f t="shared" ca="1" si="79"/>
        <v>-125954144.96185577</v>
      </c>
      <c r="T234" s="43">
        <f t="shared" ca="1" si="79"/>
        <v>-128750285.51542838</v>
      </c>
      <c r="U234" s="43">
        <f t="shared" ca="1" si="79"/>
        <v>-131824293.94064523</v>
      </c>
      <c r="V234" s="43">
        <f t="shared" ca="1" si="79"/>
        <v>-134692606.11015248</v>
      </c>
      <c r="W234" s="43">
        <f t="shared" ca="1" si="79"/>
        <v>-138543212.24809641</v>
      </c>
      <c r="X234" s="43">
        <f t="shared" ca="1" si="79"/>
        <v>-141619150.87798405</v>
      </c>
      <c r="Y234" s="43">
        <f t="shared" ca="1" si="79"/>
        <v>-145000747.53255486</v>
      </c>
      <c r="Z234" s="43">
        <f t="shared" ca="1" si="79"/>
        <v>-148156104.51247436</v>
      </c>
      <c r="AA234" s="43">
        <f t="shared" ca="1" si="79"/>
        <v>-152391966.87118122</v>
      </c>
      <c r="AB234" s="43">
        <f t="shared" ca="1" si="79"/>
        <v>-155775741.36638513</v>
      </c>
      <c r="AC234" s="43">
        <f t="shared" ca="1" si="79"/>
        <v>-159495746.94971511</v>
      </c>
      <c r="AD234" s="43">
        <f t="shared" ca="1" si="79"/>
        <v>-162966915.80463266</v>
      </c>
      <c r="AE234" s="43">
        <f t="shared" ca="1" si="79"/>
        <v>-167626632.62034813</v>
      </c>
      <c r="AF234" s="43">
        <f t="shared" ca="1" si="79"/>
        <v>-171349095.30103332</v>
      </c>
      <c r="AG234" s="43">
        <f t="shared" ca="1" si="79"/>
        <v>-175441424.16949496</v>
      </c>
      <c r="AH234" s="43">
        <f t="shared" ca="1" si="79"/>
        <v>-179260060.08910483</v>
      </c>
      <c r="AI234" s="43">
        <f t="shared" ca="1" si="79"/>
        <v>-184386103.32316583</v>
      </c>
      <c r="AJ234" s="43">
        <f t="shared" ref="AJ234:AW234" ca="1" si="80">AJ235-SUM(AJ232:AJ233)</f>
        <v>-188481204.18954694</v>
      </c>
      <c r="AK234" s="43">
        <f t="shared" ca="1" si="80"/>
        <v>-192983175.55717823</v>
      </c>
      <c r="AL234" s="43">
        <f t="shared" ca="1" si="80"/>
        <v>-213911910.89339578</v>
      </c>
      <c r="AM234" s="43">
        <f t="shared" ca="1" si="80"/>
        <v>0</v>
      </c>
      <c r="AN234" s="43">
        <f t="shared" ca="1" si="80"/>
        <v>0</v>
      </c>
      <c r="AO234" s="43">
        <f t="shared" ca="1" si="80"/>
        <v>0</v>
      </c>
      <c r="AP234" s="43">
        <f t="shared" ca="1" si="80"/>
        <v>0</v>
      </c>
      <c r="AQ234" s="43">
        <f t="shared" ca="1" si="80"/>
        <v>0</v>
      </c>
      <c r="AR234" s="43">
        <f t="shared" ca="1" si="80"/>
        <v>0</v>
      </c>
      <c r="AS234" s="43">
        <f t="shared" ca="1" si="80"/>
        <v>0</v>
      </c>
      <c r="AT234" s="43">
        <f t="shared" ca="1" si="80"/>
        <v>0</v>
      </c>
      <c r="AU234" s="43">
        <f t="shared" ca="1" si="80"/>
        <v>0</v>
      </c>
      <c r="AV234" s="43">
        <f t="shared" ca="1" si="80"/>
        <v>0</v>
      </c>
      <c r="AW234" s="43">
        <f t="shared" ca="1" si="80"/>
        <v>0</v>
      </c>
    </row>
    <row r="235" spans="1:50">
      <c r="B235" s="2" t="s">
        <v>266</v>
      </c>
      <c r="C235" s="15" t="str">
        <f>$C$39</f>
        <v>US$</v>
      </c>
      <c r="D235" s="42">
        <f ca="1">SUM(D233:D234)</f>
        <v>0</v>
      </c>
      <c r="H235" s="135"/>
      <c r="I235" s="41">
        <f ca="1">IF('Fixed Assets'!I18=1,0,I233*$D$230/'Fixed Assets'!I5)</f>
        <v>0</v>
      </c>
      <c r="J235" s="41">
        <f ca="1">IF('Fixed Assets'!J18=1,0,J233*$D$230/'Fixed Assets'!J5)</f>
        <v>0</v>
      </c>
      <c r="K235" s="41">
        <f ca="1">IF('Fixed Assets'!K18=1,0,K233*$D$230/'Fixed Assets'!K5)</f>
        <v>2417599.8297290769</v>
      </c>
      <c r="L235" s="41">
        <f ca="1">IF('Fixed Assets'!L18=1,0,L233*$D$230/'Fixed Assets'!L5)</f>
        <v>8770075.6211860757</v>
      </c>
      <c r="M235" s="41">
        <f ca="1">IF('Fixed Assets'!M18=1,0,M233*$D$230/'Fixed Assets'!M5)</f>
        <v>8972776.7212541737</v>
      </c>
      <c r="N235" s="41">
        <f ca="1">IF('Fixed Assets'!N18=1,0,N233*$D$230/'Fixed Assets'!N5)</f>
        <v>9138852.3265099078</v>
      </c>
      <c r="O235" s="41">
        <f ca="1">IF('Fixed Assets'!O18=1,0,O233*$D$230/'Fixed Assets'!O5)</f>
        <v>9436226.9674632214</v>
      </c>
      <c r="P235" s="41">
        <f ca="1">IF('Fixed Assets'!P18=1,0,P233*$D$230/'Fixed Assets'!P5)</f>
        <v>9637222.3380567245</v>
      </c>
      <c r="Q235" s="41">
        <f ca="1">IF('Fixed Assets'!Q18=1,0,Q233*$D$230/'Fixed Assets'!Q5)</f>
        <v>9869470.209418172</v>
      </c>
      <c r="R235" s="41">
        <f ca="1">IF('Fixed Assets'!R18=1,0,R233*$D$230/'Fixed Assets'!R5)</f>
        <v>10052164.857822783</v>
      </c>
      <c r="S235" s="41">
        <f ca="1">IF('Fixed Assets'!S18=1,0,S233*$D$230/'Fixed Assets'!S5)</f>
        <v>10379281.800361164</v>
      </c>
      <c r="T235" s="41">
        <f ca="1">IF('Fixed Assets'!T18=1,0,T233*$D$230/'Fixed Assets'!T5)</f>
        <v>10600388.392394079</v>
      </c>
      <c r="U235" s="41">
        <f ca="1">IF('Fixed Assets'!U18=1,0,U233*$D$230/'Fixed Assets'!U5)</f>
        <v>10855872.138649357</v>
      </c>
      <c r="V235" s="41">
        <f ca="1">IF('Fixed Assets'!V18=1,0,V233*$D$230/'Fixed Assets'!V5)</f>
        <v>11056851.247455636</v>
      </c>
      <c r="W235" s="41">
        <f ca="1">IF('Fixed Assets'!W18=1,0,W233*$D$230/'Fixed Assets'!W5)</f>
        <v>11416689.044833504</v>
      </c>
      <c r="X235" s="41">
        <f ca="1">IF('Fixed Assets'!X18=1,0,X233*$D$230/'Fixed Assets'!X5)</f>
        <v>11659921.955207512</v>
      </c>
      <c r="Y235" s="41">
        <f ca="1">IF('Fixed Assets'!Y18=1,0,Y233*$D$230/'Fixed Assets'!Y5)</f>
        <v>11940969.454687821</v>
      </c>
      <c r="Z235" s="41">
        <f ca="1">IF('Fixed Assets'!Z18=1,0,Z233*$D$230/'Fixed Assets'!Z5)</f>
        <v>12162065.630159514</v>
      </c>
      <c r="AA235" s="41">
        <f ca="1">IF('Fixed Assets'!AA18=1,0,AA233*$D$230/'Fixed Assets'!AA5)</f>
        <v>12557901.603673585</v>
      </c>
      <c r="AB235" s="41">
        <f ca="1">IF('Fixed Assets'!AB18=1,0,AB233*$D$230/'Fixed Assets'!AB5)</f>
        <v>12825478.187705513</v>
      </c>
      <c r="AC235" s="41">
        <f ca="1">IF('Fixed Assets'!AC18=1,0,AC233*$D$230/'Fixed Assets'!AC5)</f>
        <v>13134650.933911305</v>
      </c>
      <c r="AD235" s="41">
        <f ca="1">IF('Fixed Assets'!AD18=1,0,AD233*$D$230/'Fixed Assets'!AD5)</f>
        <v>13377880.792028693</v>
      </c>
      <c r="AE235" s="41">
        <f ca="1">IF('Fixed Assets'!AE18=1,0,AE233*$D$230/'Fixed Assets'!AE5)</f>
        <v>13813321.059252487</v>
      </c>
      <c r="AF235" s="41">
        <f ca="1">IF('Fixed Assets'!AF18=1,0,AF233*$D$230/'Fixed Assets'!AF5)</f>
        <v>14107681.275383357</v>
      </c>
      <c r="AG235" s="41">
        <f ca="1">IF('Fixed Assets'!AG18=1,0,AG233*$D$230/'Fixed Assets'!AG5)</f>
        <v>14447797.871114472</v>
      </c>
      <c r="AH235" s="41">
        <f ca="1">IF('Fixed Assets'!AH18=1,0,AH233*$D$230/'Fixed Assets'!AH5)</f>
        <v>14715380.555177713</v>
      </c>
      <c r="AI235" s="41">
        <f ca="1">IF('Fixed Assets'!AI18=1,0,AI233*$D$230/'Fixed Assets'!AI5)</f>
        <v>15194393.083700428</v>
      </c>
      <c r="AJ235" s="41">
        <f ca="1">IF('Fixed Assets'!AJ18=1,0,AJ233*$D$230/'Fixed Assets'!AJ5)</f>
        <v>15518221.890075808</v>
      </c>
      <c r="AK235" s="41">
        <f ca="1">IF('Fixed Assets'!AK18=1,0,AK233*$D$230/'Fixed Assets'!AK5)</f>
        <v>15892383.910486786</v>
      </c>
      <c r="AL235" s="41">
        <f>IF('Fixed Assets'!AL18=1,0,AL233*$D$230/'Fixed Assets'!AL5)</f>
        <v>0</v>
      </c>
      <c r="AM235" s="41">
        <f ca="1">IF('Fixed Assets'!AM18=1,0,AM233*$D$230/'Fixed Assets'!AM5)</f>
        <v>0</v>
      </c>
      <c r="AN235" s="41">
        <f ca="1">IF('Fixed Assets'!AN18=1,0,AN233*$D$230/'Fixed Assets'!AN5)</f>
        <v>0</v>
      </c>
      <c r="AO235" s="41">
        <f ca="1">IF('Fixed Assets'!AO18=1,0,AO233*$D$230/'Fixed Assets'!AO5)</f>
        <v>0</v>
      </c>
      <c r="AP235" s="41">
        <f ca="1">IF('Fixed Assets'!AP18=1,0,AP233*$D$230/'Fixed Assets'!AP5)</f>
        <v>0</v>
      </c>
      <c r="AQ235" s="41">
        <f ca="1">IF('Fixed Assets'!AQ18=1,0,AQ233*$D$230/'Fixed Assets'!AQ5)</f>
        <v>0</v>
      </c>
      <c r="AR235" s="41">
        <f ca="1">IF('Fixed Assets'!AR18=1,0,AR233*$D$230/'Fixed Assets'!AR5)</f>
        <v>0</v>
      </c>
      <c r="AS235" s="41">
        <f ca="1">IF('Fixed Assets'!AS18=1,0,AS233*$D$230/'Fixed Assets'!AS5)</f>
        <v>0</v>
      </c>
      <c r="AT235" s="41">
        <f ca="1">IF('Fixed Assets'!AT18=1,0,AT233*$D$230/'Fixed Assets'!AT5)</f>
        <v>0</v>
      </c>
      <c r="AU235" s="41">
        <f ca="1">IF('Fixed Assets'!AU18=1,0,AU233*$D$230/'Fixed Assets'!AU5)</f>
        <v>0</v>
      </c>
      <c r="AV235" s="41">
        <f ca="1">IF('Fixed Assets'!AV18=1,0,AV233*$D$230/'Fixed Assets'!AV5)</f>
        <v>0</v>
      </c>
      <c r="AW235" s="41">
        <f ca="1">IF('Fixed Assets'!AW18=1,0,AW233*$D$230/'Fixed Assets'!AW5)</f>
        <v>0</v>
      </c>
    </row>
    <row r="237" spans="1:50">
      <c r="A237" s="6" t="s">
        <v>352</v>
      </c>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9" spans="1:50">
      <c r="B239" s="2" t="s">
        <v>334</v>
      </c>
      <c r="C239" s="15" t="str">
        <f>$C$39</f>
        <v>US$</v>
      </c>
      <c r="D239" s="118">
        <f>IF('Input '!$F$9=1,'Input '!F202,'Input '!F202*Exchange_Rate)</f>
        <v>0</v>
      </c>
    </row>
    <row r="240" spans="1:50">
      <c r="B240" s="2" t="s">
        <v>337</v>
      </c>
      <c r="C240" s="15" t="str">
        <f>$C$39</f>
        <v>US$</v>
      </c>
      <c r="D240" s="118">
        <f>IF('Input '!$F$9=1,'Input '!F206,'Input '!F206*Exchange_Rate)</f>
        <v>0</v>
      </c>
    </row>
    <row r="242" spans="2:49">
      <c r="B242" s="30" t="s">
        <v>338</v>
      </c>
    </row>
    <row r="243" spans="2:49">
      <c r="B243" s="185" t="s">
        <v>90</v>
      </c>
      <c r="C243" s="15" t="str">
        <f>$C$39</f>
        <v>US$</v>
      </c>
      <c r="D243" s="118">
        <f>IF('Input '!$F$9=1,'Input '!F210,'Input '!F210*Exchange_Rate)</f>
        <v>0</v>
      </c>
    </row>
    <row r="244" spans="2:49">
      <c r="B244" s="113" t="s">
        <v>91</v>
      </c>
      <c r="C244" s="15" t="str">
        <f>$C$39</f>
        <v>US$</v>
      </c>
      <c r="D244" s="118">
        <f>IF('Input '!$F$9=1,'Input '!F211,'Input '!F211*Exchange_Rate)</f>
        <v>0</v>
      </c>
    </row>
    <row r="245" spans="2:49">
      <c r="B245" s="113" t="s">
        <v>92</v>
      </c>
      <c r="C245" s="15" t="str">
        <f>$C$39</f>
        <v>US$</v>
      </c>
      <c r="D245" s="118">
        <f>IF('Input '!$F$9=1,'Input '!F212,'Input '!F212*Exchange_Rate)</f>
        <v>0</v>
      </c>
    </row>
    <row r="246" spans="2:49">
      <c r="B246" s="113" t="s">
        <v>93</v>
      </c>
      <c r="C246" s="15" t="str">
        <f>$C$39</f>
        <v>US$</v>
      </c>
      <c r="D246" s="118">
        <f>IF('Input '!$F$9=1,'Input '!F213,'Input '!F213*Exchange_Rate)</f>
        <v>0</v>
      </c>
    </row>
    <row r="249" spans="2:49">
      <c r="B249" s="29" t="s">
        <v>353</v>
      </c>
    </row>
    <row r="250" spans="2:49">
      <c r="B250" s="2" t="s">
        <v>334</v>
      </c>
      <c r="C250" s="15" t="str">
        <f t="shared" ref="C250:C255" si="81">$C$39</f>
        <v>US$</v>
      </c>
      <c r="D250" s="41">
        <f ca="1">SUM(I250:AI250)</f>
        <v>0</v>
      </c>
      <c r="I250" s="42">
        <f>$D$239*I24*'Timing &amp; Flags'!I99*Sens_Maintenance</f>
        <v>0</v>
      </c>
      <c r="J250" s="42">
        <f>$D$239*J24*'Timing &amp; Flags'!J99*Sens_Maintenance</f>
        <v>0</v>
      </c>
      <c r="K250" s="42">
        <f>$D$239*K24*'Timing &amp; Flags'!K99*Sens_Maintenance</f>
        <v>0</v>
      </c>
      <c r="L250" s="42">
        <f ca="1">$D$239*L24*'Timing &amp; Flags'!L99*Sens_Maintenance</f>
        <v>0</v>
      </c>
      <c r="M250" s="42">
        <f ca="1">$D$239*M24*'Timing &amp; Flags'!M99*Sens_Maintenance</f>
        <v>0</v>
      </c>
      <c r="N250" s="42">
        <f ca="1">$D$239*N24*'Timing &amp; Flags'!N99*Sens_Maintenance</f>
        <v>0</v>
      </c>
      <c r="O250" s="42">
        <f ca="1">$D$239*O24*'Timing &amp; Flags'!O99*Sens_Maintenance</f>
        <v>0</v>
      </c>
      <c r="P250" s="42">
        <f ca="1">$D$239*P24*'Timing &amp; Flags'!P99*Sens_Maintenance</f>
        <v>0</v>
      </c>
      <c r="Q250" s="42">
        <f ca="1">$D$239*Q24*'Timing &amp; Flags'!Q99*Sens_Maintenance</f>
        <v>0</v>
      </c>
      <c r="R250" s="42">
        <f ca="1">$D$239*R24*'Timing &amp; Flags'!R99*Sens_Maintenance</f>
        <v>0</v>
      </c>
      <c r="S250" s="42">
        <f ca="1">$D$239*S24*'Timing &amp; Flags'!S99*Sens_Maintenance</f>
        <v>0</v>
      </c>
      <c r="T250" s="42">
        <f ca="1">$D$239*T24*'Timing &amp; Flags'!T99*Sens_Maintenance</f>
        <v>0</v>
      </c>
      <c r="U250" s="42">
        <f ca="1">$D$239*U24*'Timing &amp; Flags'!U99*Sens_Maintenance</f>
        <v>0</v>
      </c>
      <c r="V250" s="42">
        <f ca="1">$D$239*V24*'Timing &amp; Flags'!V99*Sens_Maintenance</f>
        <v>0</v>
      </c>
      <c r="W250" s="42">
        <f ca="1">$D$239*W24*'Timing &amp; Flags'!W99*Sens_Maintenance</f>
        <v>0</v>
      </c>
      <c r="X250" s="42">
        <f ca="1">$D$239*X24*'Timing &amp; Flags'!X99*Sens_Maintenance</f>
        <v>0</v>
      </c>
      <c r="Y250" s="42">
        <f ca="1">$D$239*Y24*'Timing &amp; Flags'!Y99*Sens_Maintenance</f>
        <v>0</v>
      </c>
      <c r="Z250" s="42">
        <f ca="1">$D$239*Z24*'Timing &amp; Flags'!Z99*Sens_Maintenance</f>
        <v>0</v>
      </c>
      <c r="AA250" s="42">
        <f ca="1">$D$239*AA24*'Timing &amp; Flags'!AA99*Sens_Maintenance</f>
        <v>0</v>
      </c>
      <c r="AB250" s="42">
        <f ca="1">$D$239*AB24*'Timing &amp; Flags'!AB99*Sens_Maintenance</f>
        <v>0</v>
      </c>
      <c r="AC250" s="42">
        <f ca="1">$D$239*AC24*'Timing &amp; Flags'!AC99*Sens_Maintenance</f>
        <v>0</v>
      </c>
      <c r="AD250" s="42">
        <f ca="1">$D$239*AD24*'Timing &amp; Flags'!AD99*Sens_Maintenance</f>
        <v>0</v>
      </c>
      <c r="AE250" s="42">
        <f ca="1">$D$239*AE24*'Timing &amp; Flags'!AE99*Sens_Maintenance</f>
        <v>0</v>
      </c>
      <c r="AF250" s="42">
        <f ca="1">$D$239*AF24*'Timing &amp; Flags'!AF99*Sens_Maintenance</f>
        <v>0</v>
      </c>
      <c r="AG250" s="42">
        <f ca="1">$D$239*AG24*'Timing &amp; Flags'!AG99*Sens_Maintenance</f>
        <v>0</v>
      </c>
      <c r="AH250" s="42">
        <f ca="1">$D$239*AH24*'Timing &amp; Flags'!AH99*Sens_Maintenance</f>
        <v>0</v>
      </c>
      <c r="AI250" s="42">
        <f ca="1">$D$239*AI24*'Timing &amp; Flags'!AI99*Sens_Maintenance</f>
        <v>0</v>
      </c>
      <c r="AJ250" s="42">
        <f ca="1">$D$239*AJ24*'Timing &amp; Flags'!AJ99*Sens_Maintenance</f>
        <v>0</v>
      </c>
      <c r="AK250" s="42">
        <f ca="1">$D$239*AK24*'Timing &amp; Flags'!AK99*Sens_Maintenance</f>
        <v>0</v>
      </c>
      <c r="AL250" s="42">
        <f ca="1">$D$239*AL24*'Timing &amp; Flags'!AL99*Sens_Maintenance</f>
        <v>0</v>
      </c>
      <c r="AM250" s="42">
        <f>$D$239*AM24*'Timing &amp; Flags'!AM99*Sens_Maintenance</f>
        <v>0</v>
      </c>
      <c r="AN250" s="42">
        <f>$D$239*AN24*'Timing &amp; Flags'!AN99*Sens_Maintenance</f>
        <v>0</v>
      </c>
      <c r="AO250" s="42">
        <f>$D$239*AO24*'Timing &amp; Flags'!AO99*Sens_Maintenance</f>
        <v>0</v>
      </c>
      <c r="AP250" s="42">
        <f>$D$239*AP24*'Timing &amp; Flags'!AP99*Sens_Maintenance</f>
        <v>0</v>
      </c>
      <c r="AQ250" s="42">
        <f>$D$239*AQ24*'Timing &amp; Flags'!AQ99*Sens_Maintenance</f>
        <v>0</v>
      </c>
      <c r="AR250" s="42">
        <f>$D$239*AR24*'Timing &amp; Flags'!AR99*Sens_Maintenance</f>
        <v>0</v>
      </c>
      <c r="AS250" s="42">
        <f>$D$239*AS24*'Timing &amp; Flags'!AS99*Sens_Maintenance</f>
        <v>0</v>
      </c>
      <c r="AT250" s="42">
        <f>$D$239*AT24*'Timing &amp; Flags'!AT99*Sens_Maintenance</f>
        <v>0</v>
      </c>
      <c r="AU250" s="42">
        <f>$D$239*AU24*'Timing &amp; Flags'!AU99*Sens_Maintenance</f>
        <v>0</v>
      </c>
      <c r="AV250" s="42">
        <f>$D$239*AV24*'Timing &amp; Flags'!AV99*Sens_Maintenance</f>
        <v>0</v>
      </c>
      <c r="AW250" s="42">
        <f>$D$239*AW24*'Timing &amp; Flags'!AW99*Sens_Maintenance</f>
        <v>0</v>
      </c>
    </row>
    <row r="251" spans="2:49">
      <c r="B251" s="2" t="s">
        <v>337</v>
      </c>
      <c r="C251" s="15" t="str">
        <f t="shared" si="81"/>
        <v>US$</v>
      </c>
      <c r="D251" s="41">
        <f ca="1">SUM(I251:AI251)</f>
        <v>0</v>
      </c>
      <c r="I251" s="42">
        <f>$D$240*I24*'Timing &amp; Flags'!I99*Sens_Maintenance</f>
        <v>0</v>
      </c>
      <c r="J251" s="42">
        <f>$D$240*J24*'Timing &amp; Flags'!J99*Sens_Maintenance</f>
        <v>0</v>
      </c>
      <c r="K251" s="42">
        <f>$D$240*K24*'Timing &amp; Flags'!K99*Sens_Maintenance</f>
        <v>0</v>
      </c>
      <c r="L251" s="42">
        <f ca="1">$D$240*L24*'Timing &amp; Flags'!L99*Sens_Maintenance</f>
        <v>0</v>
      </c>
      <c r="M251" s="42">
        <f ca="1">$D$240*M24*'Timing &amp; Flags'!M99*Sens_Maintenance</f>
        <v>0</v>
      </c>
      <c r="N251" s="42">
        <f ca="1">$D$240*N24*'Timing &amp; Flags'!N99*Sens_Maintenance</f>
        <v>0</v>
      </c>
      <c r="O251" s="42">
        <f ca="1">$D$240*O24*'Timing &amp; Flags'!O99*Sens_Maintenance</f>
        <v>0</v>
      </c>
      <c r="P251" s="42">
        <f ca="1">$D$240*P24*'Timing &amp; Flags'!P99*Sens_Maintenance</f>
        <v>0</v>
      </c>
      <c r="Q251" s="42">
        <f ca="1">$D$240*Q24*'Timing &amp; Flags'!Q99*Sens_Maintenance</f>
        <v>0</v>
      </c>
      <c r="R251" s="42">
        <f ca="1">$D$240*R24*'Timing &amp; Flags'!R99*Sens_Maintenance</f>
        <v>0</v>
      </c>
      <c r="S251" s="42">
        <f ca="1">$D$240*S24*'Timing &amp; Flags'!S99*Sens_Maintenance</f>
        <v>0</v>
      </c>
      <c r="T251" s="42">
        <f ca="1">$D$240*T24*'Timing &amp; Flags'!T99*Sens_Maintenance</f>
        <v>0</v>
      </c>
      <c r="U251" s="42">
        <f ca="1">$D$240*U24*'Timing &amp; Flags'!U99*Sens_Maintenance</f>
        <v>0</v>
      </c>
      <c r="V251" s="42">
        <f ca="1">$D$240*V24*'Timing &amp; Flags'!V99*Sens_Maintenance</f>
        <v>0</v>
      </c>
      <c r="W251" s="42">
        <f ca="1">$D$240*W24*'Timing &amp; Flags'!W99*Sens_Maintenance</f>
        <v>0</v>
      </c>
      <c r="X251" s="42">
        <f ca="1">$D$240*X24*'Timing &amp; Flags'!X99*Sens_Maintenance</f>
        <v>0</v>
      </c>
      <c r="Y251" s="42">
        <f ca="1">$D$240*Y24*'Timing &amp; Flags'!Y99*Sens_Maintenance</f>
        <v>0</v>
      </c>
      <c r="Z251" s="42">
        <f ca="1">$D$240*Z24*'Timing &amp; Flags'!Z99*Sens_Maintenance</f>
        <v>0</v>
      </c>
      <c r="AA251" s="42">
        <f ca="1">$D$240*AA24*'Timing &amp; Flags'!AA99*Sens_Maintenance</f>
        <v>0</v>
      </c>
      <c r="AB251" s="42">
        <f ca="1">$D$240*AB24*'Timing &amp; Flags'!AB99*Sens_Maintenance</f>
        <v>0</v>
      </c>
      <c r="AC251" s="42">
        <f ca="1">$D$240*AC24*'Timing &amp; Flags'!AC99*Sens_Maintenance</f>
        <v>0</v>
      </c>
      <c r="AD251" s="42">
        <f ca="1">$D$240*AD24*'Timing &amp; Flags'!AD99*Sens_Maintenance</f>
        <v>0</v>
      </c>
      <c r="AE251" s="42">
        <f ca="1">$D$240*AE24*'Timing &amp; Flags'!AE99*Sens_Maintenance</f>
        <v>0</v>
      </c>
      <c r="AF251" s="42">
        <f ca="1">$D$240*AF24*'Timing &amp; Flags'!AF99*Sens_Maintenance</f>
        <v>0</v>
      </c>
      <c r="AG251" s="42">
        <f ca="1">$D$240*AG24*'Timing &amp; Flags'!AG99*Sens_Maintenance</f>
        <v>0</v>
      </c>
      <c r="AH251" s="42">
        <f ca="1">$D$240*AH24*'Timing &amp; Flags'!AH99*Sens_Maintenance</f>
        <v>0</v>
      </c>
      <c r="AI251" s="42">
        <f ca="1">$D$240*AI24*'Timing &amp; Flags'!AI99*Sens_Maintenance</f>
        <v>0</v>
      </c>
      <c r="AJ251" s="42">
        <f ca="1">$D$240*AJ24*'Timing &amp; Flags'!AJ99*Sens_Maintenance</f>
        <v>0</v>
      </c>
      <c r="AK251" s="42">
        <f ca="1">$D$240*AK24*'Timing &amp; Flags'!AK99*Sens_Maintenance</f>
        <v>0</v>
      </c>
      <c r="AL251" s="42">
        <f ca="1">$D$240*AL24*'Timing &amp; Flags'!AL99*Sens_Maintenance</f>
        <v>0</v>
      </c>
      <c r="AM251" s="42">
        <f>$D$240*AM24*'Timing &amp; Flags'!AM99*Sens_Maintenance</f>
        <v>0</v>
      </c>
      <c r="AN251" s="42">
        <f>$D$240*AN24*'Timing &amp; Flags'!AN99*Sens_Maintenance</f>
        <v>0</v>
      </c>
      <c r="AO251" s="42">
        <f>$D$240*AO24*'Timing &amp; Flags'!AO99*Sens_Maintenance</f>
        <v>0</v>
      </c>
      <c r="AP251" s="42">
        <f>$D$240*AP24*'Timing &amp; Flags'!AP99*Sens_Maintenance</f>
        <v>0</v>
      </c>
      <c r="AQ251" s="42">
        <f>$D$240*AQ24*'Timing &amp; Flags'!AQ99*Sens_Maintenance</f>
        <v>0</v>
      </c>
      <c r="AR251" s="42">
        <f>$D$240*AR24*'Timing &amp; Flags'!AR99*Sens_Maintenance</f>
        <v>0</v>
      </c>
      <c r="AS251" s="42">
        <f>$D$240*AS24*'Timing &amp; Flags'!AS99*Sens_Maintenance</f>
        <v>0</v>
      </c>
      <c r="AT251" s="42">
        <f>$D$240*AT24*'Timing &amp; Flags'!AT99*Sens_Maintenance</f>
        <v>0</v>
      </c>
      <c r="AU251" s="42">
        <f>$D$240*AU24*'Timing &amp; Flags'!AU99*Sens_Maintenance</f>
        <v>0</v>
      </c>
      <c r="AV251" s="42">
        <f>$D$240*AV24*'Timing &amp; Flags'!AV99*Sens_Maintenance</f>
        <v>0</v>
      </c>
      <c r="AW251" s="42">
        <f>$D$240*AW24*'Timing &amp; Flags'!AW99*Sens_Maintenance</f>
        <v>0</v>
      </c>
    </row>
    <row r="252" spans="2:49">
      <c r="B252" s="2" t="s">
        <v>90</v>
      </c>
      <c r="C252" s="15" t="str">
        <f t="shared" si="81"/>
        <v>US$</v>
      </c>
      <c r="D252" s="41">
        <f ca="1">SUM(I252:AI252)</f>
        <v>0</v>
      </c>
      <c r="I252" s="42">
        <f>$D$243*I24*'Timing &amp; Flags'!I101*Sens_Maintenance</f>
        <v>0</v>
      </c>
      <c r="J252" s="42">
        <f>$D$243*J24*'Timing &amp; Flags'!J101*Sens_Maintenance</f>
        <v>0</v>
      </c>
      <c r="K252" s="42">
        <f>$D$243*K24*'Timing &amp; Flags'!K101*Sens_Maintenance</f>
        <v>0</v>
      </c>
      <c r="L252" s="42">
        <f ca="1">$D$243*L24*'Timing &amp; Flags'!L101*Sens_Maintenance</f>
        <v>0</v>
      </c>
      <c r="M252" s="42">
        <f ca="1">$D$243*M24*'Timing &amp; Flags'!M101*Sens_Maintenance</f>
        <v>0</v>
      </c>
      <c r="N252" s="42">
        <f ca="1">$D$243*N24*'Timing &amp; Flags'!N101*Sens_Maintenance</f>
        <v>0</v>
      </c>
      <c r="O252" s="42">
        <f ca="1">$D$243*O24*'Timing &amp; Flags'!O101*Sens_Maintenance</f>
        <v>0</v>
      </c>
      <c r="P252" s="42">
        <f ca="1">$D$243*P24*'Timing &amp; Flags'!P101*Sens_Maintenance</f>
        <v>0</v>
      </c>
      <c r="Q252" s="42">
        <f ca="1">$D$243*Q24*'Timing &amp; Flags'!Q101*Sens_Maintenance</f>
        <v>0</v>
      </c>
      <c r="R252" s="42">
        <f ca="1">$D$243*R24*'Timing &amp; Flags'!R101*Sens_Maintenance</f>
        <v>0</v>
      </c>
      <c r="S252" s="42">
        <f ca="1">$D$243*S24*'Timing &amp; Flags'!S101*Sens_Maintenance</f>
        <v>0</v>
      </c>
      <c r="T252" s="42">
        <f ca="1">$D$243*T24*'Timing &amp; Flags'!T101*Sens_Maintenance</f>
        <v>0</v>
      </c>
      <c r="U252" s="42">
        <f ca="1">$D$243*U24*'Timing &amp; Flags'!U101*Sens_Maintenance</f>
        <v>0</v>
      </c>
      <c r="V252" s="42">
        <f ca="1">$D$243*V24*'Timing &amp; Flags'!V101*Sens_Maintenance</f>
        <v>0</v>
      </c>
      <c r="W252" s="42">
        <f ca="1">$D$243*W24*'Timing &amp; Flags'!W101*Sens_Maintenance</f>
        <v>0</v>
      </c>
      <c r="X252" s="42">
        <f ca="1">$D$243*X24*'Timing &amp; Flags'!X101*Sens_Maintenance</f>
        <v>0</v>
      </c>
      <c r="Y252" s="42">
        <f ca="1">$D$243*Y24*'Timing &amp; Flags'!Y101*Sens_Maintenance</f>
        <v>0</v>
      </c>
      <c r="Z252" s="42">
        <f ca="1">$D$243*Z24*'Timing &amp; Flags'!Z101*Sens_Maintenance</f>
        <v>0</v>
      </c>
      <c r="AA252" s="42">
        <f ca="1">$D$243*AA24*'Timing &amp; Flags'!AA101*Sens_Maintenance</f>
        <v>0</v>
      </c>
      <c r="AB252" s="42">
        <f ca="1">$D$243*AB24*'Timing &amp; Flags'!AB101*Sens_Maintenance</f>
        <v>0</v>
      </c>
      <c r="AC252" s="42">
        <f ca="1">$D$243*AC24*'Timing &amp; Flags'!AC101*Sens_Maintenance</f>
        <v>0</v>
      </c>
      <c r="AD252" s="42">
        <f ca="1">$D$243*AD24*'Timing &amp; Flags'!AD101*Sens_Maintenance</f>
        <v>0</v>
      </c>
      <c r="AE252" s="42">
        <f ca="1">$D$243*AE24*'Timing &amp; Flags'!AE101*Sens_Maintenance</f>
        <v>0</v>
      </c>
      <c r="AF252" s="42">
        <f ca="1">$D$243*AF24*'Timing &amp; Flags'!AF101*Sens_Maintenance</f>
        <v>0</v>
      </c>
      <c r="AG252" s="42">
        <f ca="1">$D$243*AG24*'Timing &amp; Flags'!AG101*Sens_Maintenance</f>
        <v>0</v>
      </c>
      <c r="AH252" s="42">
        <f ca="1">$D$243*AH24*'Timing &amp; Flags'!AH101*Sens_Maintenance</f>
        <v>0</v>
      </c>
      <c r="AI252" s="42">
        <f ca="1">$D$243*AI24*'Timing &amp; Flags'!AI101*Sens_Maintenance</f>
        <v>0</v>
      </c>
      <c r="AJ252" s="42">
        <f ca="1">$D$243*AJ24*'Timing &amp; Flags'!AJ101*Sens_Maintenance</f>
        <v>0</v>
      </c>
      <c r="AK252" s="42">
        <f ca="1">$D$243*AK24*'Timing &amp; Flags'!AK101*Sens_Maintenance</f>
        <v>0</v>
      </c>
      <c r="AL252" s="42">
        <f ca="1">$D$243*AL24*'Timing &amp; Flags'!AL101*Sens_Maintenance</f>
        <v>0</v>
      </c>
      <c r="AM252" s="42">
        <f>$D$243*AM24*'Timing &amp; Flags'!AM101*Sens_Maintenance</f>
        <v>0</v>
      </c>
      <c r="AN252" s="42">
        <f>$D$243*AN24*'Timing &amp; Flags'!AN101*Sens_Maintenance</f>
        <v>0</v>
      </c>
      <c r="AO252" s="42">
        <f>$D$243*AO24*'Timing &amp; Flags'!AO101*Sens_Maintenance</f>
        <v>0</v>
      </c>
      <c r="AP252" s="42">
        <f>$D$243*AP24*'Timing &amp; Flags'!AP101*Sens_Maintenance</f>
        <v>0</v>
      </c>
      <c r="AQ252" s="42">
        <f>$D$243*AQ24*'Timing &amp; Flags'!AQ101*Sens_Maintenance</f>
        <v>0</v>
      </c>
      <c r="AR252" s="42">
        <f>$D$243*AR24*'Timing &amp; Flags'!AR101*Sens_Maintenance</f>
        <v>0</v>
      </c>
      <c r="AS252" s="42">
        <f>$D$243*AS24*'Timing &amp; Flags'!AS101*Sens_Maintenance</f>
        <v>0</v>
      </c>
      <c r="AT252" s="42">
        <f>$D$243*AT24*'Timing &amp; Flags'!AT101*Sens_Maintenance</f>
        <v>0</v>
      </c>
      <c r="AU252" s="42">
        <f>$D$243*AU24*'Timing &amp; Flags'!AU101*Sens_Maintenance</f>
        <v>0</v>
      </c>
      <c r="AV252" s="42">
        <f>$D$243*AV24*'Timing &amp; Flags'!AV101*Sens_Maintenance</f>
        <v>0</v>
      </c>
      <c r="AW252" s="42">
        <f>$D$243*AW24*'Timing &amp; Flags'!AW101*Sens_Maintenance</f>
        <v>0</v>
      </c>
    </row>
    <row r="253" spans="2:49">
      <c r="B253" s="2" t="s">
        <v>91</v>
      </c>
      <c r="C253" s="15" t="str">
        <f t="shared" si="81"/>
        <v>US$</v>
      </c>
      <c r="D253" s="41">
        <f ca="1">SUM(I253:AI253)</f>
        <v>0</v>
      </c>
      <c r="I253" s="42">
        <f>$D$244*I24*'Timing &amp; Flags'!I102*Sens_Maintenance</f>
        <v>0</v>
      </c>
      <c r="J253" s="42">
        <f>$D$244*J24*'Timing &amp; Flags'!J102*Sens_Maintenance</f>
        <v>0</v>
      </c>
      <c r="K253" s="42">
        <f>$D$244*K24*'Timing &amp; Flags'!K102*Sens_Maintenance</f>
        <v>0</v>
      </c>
      <c r="L253" s="42">
        <f ca="1">$D$244*L24*'Timing &amp; Flags'!L102*Sens_Maintenance</f>
        <v>0</v>
      </c>
      <c r="M253" s="42">
        <f ca="1">$D$244*M24*'Timing &amp; Flags'!M102*Sens_Maintenance</f>
        <v>0</v>
      </c>
      <c r="N253" s="42">
        <f ca="1">$D$244*N24*'Timing &amp; Flags'!N102*Sens_Maintenance</f>
        <v>0</v>
      </c>
      <c r="O253" s="42">
        <f ca="1">$D$244*O24*'Timing &amp; Flags'!O102*Sens_Maintenance</f>
        <v>0</v>
      </c>
      <c r="P253" s="42">
        <f ca="1">$D$244*P24*'Timing &amp; Flags'!P102*Sens_Maintenance</f>
        <v>0</v>
      </c>
      <c r="Q253" s="42">
        <f ca="1">$D$244*Q24*'Timing &amp; Flags'!Q102*Sens_Maintenance</f>
        <v>0</v>
      </c>
      <c r="R253" s="42">
        <f ca="1">$D$244*R24*'Timing &amp; Flags'!R102*Sens_Maintenance</f>
        <v>0</v>
      </c>
      <c r="S253" s="42">
        <f ca="1">$D$244*S24*'Timing &amp; Flags'!S102*Sens_Maintenance</f>
        <v>0</v>
      </c>
      <c r="T253" s="42">
        <f ca="1">$D$244*T24*'Timing &amp; Flags'!T102*Sens_Maintenance</f>
        <v>0</v>
      </c>
      <c r="U253" s="42">
        <f ca="1">$D$244*U24*'Timing &amp; Flags'!U102*Sens_Maintenance</f>
        <v>0</v>
      </c>
      <c r="V253" s="42">
        <f ca="1">$D$244*V24*'Timing &amp; Flags'!V102*Sens_Maintenance</f>
        <v>0</v>
      </c>
      <c r="W253" s="42">
        <f ca="1">$D$244*W24*'Timing &amp; Flags'!W102*Sens_Maintenance</f>
        <v>0</v>
      </c>
      <c r="X253" s="42">
        <f ca="1">$D$244*X24*'Timing &amp; Flags'!X102*Sens_Maintenance</f>
        <v>0</v>
      </c>
      <c r="Y253" s="42">
        <f ca="1">$D$244*Y24*'Timing &amp; Flags'!Y102*Sens_Maintenance</f>
        <v>0</v>
      </c>
      <c r="Z253" s="42">
        <f ca="1">$D$244*Z24*'Timing &amp; Flags'!Z102*Sens_Maintenance</f>
        <v>0</v>
      </c>
      <c r="AA253" s="42">
        <f ca="1">$D$244*AA24*'Timing &amp; Flags'!AA102*Sens_Maintenance</f>
        <v>0</v>
      </c>
      <c r="AB253" s="42">
        <f ca="1">$D$244*AB24*'Timing &amp; Flags'!AB102*Sens_Maintenance</f>
        <v>0</v>
      </c>
      <c r="AC253" s="42">
        <f ca="1">$D$244*AC24*'Timing &amp; Flags'!AC102*Sens_Maintenance</f>
        <v>0</v>
      </c>
      <c r="AD253" s="42">
        <f ca="1">$D$244*AD24*'Timing &amp; Flags'!AD102*Sens_Maintenance</f>
        <v>0</v>
      </c>
      <c r="AE253" s="42">
        <f ca="1">$D$244*AE24*'Timing &amp; Flags'!AE102*Sens_Maintenance</f>
        <v>0</v>
      </c>
      <c r="AF253" s="42">
        <f ca="1">$D$244*AF24*'Timing &amp; Flags'!AF102*Sens_Maintenance</f>
        <v>0</v>
      </c>
      <c r="AG253" s="42">
        <f ca="1">$D$244*AG24*'Timing &amp; Flags'!AG102*Sens_Maintenance</f>
        <v>0</v>
      </c>
      <c r="AH253" s="42">
        <f ca="1">$D$244*AH24*'Timing &amp; Flags'!AH102*Sens_Maintenance</f>
        <v>0</v>
      </c>
      <c r="AI253" s="42">
        <f ca="1">$D$244*AI24*'Timing &amp; Flags'!AI102*Sens_Maintenance</f>
        <v>0</v>
      </c>
      <c r="AJ253" s="42">
        <f ca="1">$D$244*AJ24*'Timing &amp; Flags'!AJ102*Sens_Maintenance</f>
        <v>0</v>
      </c>
      <c r="AK253" s="42">
        <f ca="1">$D$244*AK24*'Timing &amp; Flags'!AK102*Sens_Maintenance</f>
        <v>0</v>
      </c>
      <c r="AL253" s="42">
        <f ca="1">$D$244*AL24*'Timing &amp; Flags'!AL102*Sens_Maintenance</f>
        <v>0</v>
      </c>
      <c r="AM253" s="42">
        <f>$D$244*AM24*'Timing &amp; Flags'!AM102*Sens_Maintenance</f>
        <v>0</v>
      </c>
      <c r="AN253" s="42">
        <f>$D$244*AN24*'Timing &amp; Flags'!AN102*Sens_Maintenance</f>
        <v>0</v>
      </c>
      <c r="AO253" s="42">
        <f>$D$244*AO24*'Timing &amp; Flags'!AO102*Sens_Maintenance</f>
        <v>0</v>
      </c>
      <c r="AP253" s="42">
        <f>$D$244*AP24*'Timing &amp; Flags'!AP102*Sens_Maintenance</f>
        <v>0</v>
      </c>
      <c r="AQ253" s="42">
        <f>$D$244*AQ24*'Timing &amp; Flags'!AQ102*Sens_Maintenance</f>
        <v>0</v>
      </c>
      <c r="AR253" s="42">
        <f>$D$244*AR24*'Timing &amp; Flags'!AR102*Sens_Maintenance</f>
        <v>0</v>
      </c>
      <c r="AS253" s="42">
        <f>$D$244*AS24*'Timing &amp; Flags'!AS102*Sens_Maintenance</f>
        <v>0</v>
      </c>
      <c r="AT253" s="42">
        <f>$D$244*AT24*'Timing &amp; Flags'!AT102*Sens_Maintenance</f>
        <v>0</v>
      </c>
      <c r="AU253" s="42">
        <f>$D$244*AU24*'Timing &amp; Flags'!AU102*Sens_Maintenance</f>
        <v>0</v>
      </c>
      <c r="AV253" s="42">
        <f>$D$244*AV24*'Timing &amp; Flags'!AV102*Sens_Maintenance</f>
        <v>0</v>
      </c>
      <c r="AW253" s="42">
        <f>$D$244*AW24*'Timing &amp; Flags'!AW102*Sens_Maintenance</f>
        <v>0</v>
      </c>
    </row>
    <row r="254" spans="2:49">
      <c r="B254" s="27" t="s">
        <v>92</v>
      </c>
      <c r="C254" s="28" t="str">
        <f t="shared" si="81"/>
        <v>US$</v>
      </c>
      <c r="D254" s="43">
        <f ca="1">SUM(I254:AI254)</f>
        <v>0</v>
      </c>
      <c r="E254" s="27"/>
      <c r="F254" s="27"/>
      <c r="G254" s="27"/>
      <c r="H254" s="27"/>
      <c r="I254" s="108">
        <f>$D$245*I24*'Timing &amp; Flags'!I103*Sens_Maintenance</f>
        <v>0</v>
      </c>
      <c r="J254" s="108">
        <f>$D$245*J24*'Timing &amp; Flags'!J103*Sens_Maintenance</f>
        <v>0</v>
      </c>
      <c r="K254" s="108">
        <f>$D$245*K24*'Timing &amp; Flags'!K103*Sens_Maintenance</f>
        <v>0</v>
      </c>
      <c r="L254" s="108">
        <f ca="1">$D$245*L24*'Timing &amp; Flags'!L103*Sens_Maintenance</f>
        <v>0</v>
      </c>
      <c r="M254" s="108">
        <f ca="1">$D$245*M24*'Timing &amp; Flags'!M103*Sens_Maintenance</f>
        <v>0</v>
      </c>
      <c r="N254" s="108">
        <f ca="1">$D$245*N24*'Timing &amp; Flags'!N103*Sens_Maintenance</f>
        <v>0</v>
      </c>
      <c r="O254" s="108">
        <f ca="1">$D$245*O24*'Timing &amp; Flags'!O103*Sens_Maintenance</f>
        <v>0</v>
      </c>
      <c r="P254" s="108">
        <f ca="1">$D$245*P24*'Timing &amp; Flags'!P103*Sens_Maintenance</f>
        <v>0</v>
      </c>
      <c r="Q254" s="108">
        <f ca="1">$D$245*Q24*'Timing &amp; Flags'!Q103*Sens_Maintenance</f>
        <v>0</v>
      </c>
      <c r="R254" s="108">
        <f ca="1">$D$245*R24*'Timing &amp; Flags'!R103*Sens_Maintenance</f>
        <v>0</v>
      </c>
      <c r="S254" s="108">
        <f ca="1">$D$245*S24*'Timing &amp; Flags'!S103*Sens_Maintenance</f>
        <v>0</v>
      </c>
      <c r="T254" s="108">
        <f ca="1">$D$245*T24*'Timing &amp; Flags'!T103*Sens_Maintenance</f>
        <v>0</v>
      </c>
      <c r="U254" s="108">
        <f ca="1">$D$245*U24*'Timing &amp; Flags'!U103*Sens_Maintenance</f>
        <v>0</v>
      </c>
      <c r="V254" s="108">
        <f ca="1">$D$245*V24*'Timing &amp; Flags'!V103*Sens_Maintenance</f>
        <v>0</v>
      </c>
      <c r="W254" s="108">
        <f ca="1">$D$245*W24*'Timing &amp; Flags'!W103*Sens_Maintenance</f>
        <v>0</v>
      </c>
      <c r="X254" s="108">
        <f ca="1">$D$245*X24*'Timing &amp; Flags'!X103*Sens_Maintenance</f>
        <v>0</v>
      </c>
      <c r="Y254" s="108">
        <f ca="1">$D$245*Y24*'Timing &amp; Flags'!Y103*Sens_Maintenance</f>
        <v>0</v>
      </c>
      <c r="Z254" s="108">
        <f ca="1">$D$245*Z24*'Timing &amp; Flags'!Z103*Sens_Maintenance</f>
        <v>0</v>
      </c>
      <c r="AA254" s="108">
        <f ca="1">$D$245*AA24*'Timing &amp; Flags'!AA103*Sens_Maintenance</f>
        <v>0</v>
      </c>
      <c r="AB254" s="108">
        <f ca="1">$D$245*AB24*'Timing &amp; Flags'!AB103*Sens_Maintenance</f>
        <v>0</v>
      </c>
      <c r="AC254" s="108">
        <f ca="1">$D$245*AC24*'Timing &amp; Flags'!AC103*Sens_Maintenance</f>
        <v>0</v>
      </c>
      <c r="AD254" s="108">
        <f ca="1">$D$245*AD24*'Timing &amp; Flags'!AD103*Sens_Maintenance</f>
        <v>0</v>
      </c>
      <c r="AE254" s="108">
        <f ca="1">$D$245*AE24*'Timing &amp; Flags'!AE103*Sens_Maintenance</f>
        <v>0</v>
      </c>
      <c r="AF254" s="108">
        <f ca="1">$D$245*AF24*'Timing &amp; Flags'!AF103*Sens_Maintenance</f>
        <v>0</v>
      </c>
      <c r="AG254" s="108">
        <f ca="1">$D$245*AG24*'Timing &amp; Flags'!AG103*Sens_Maintenance</f>
        <v>0</v>
      </c>
      <c r="AH254" s="108">
        <f ca="1">$D$245*AH24*'Timing &amp; Flags'!AH103*Sens_Maintenance</f>
        <v>0</v>
      </c>
      <c r="AI254" s="108">
        <f ca="1">$D$245*AI24*'Timing &amp; Flags'!AI103*Sens_Maintenance</f>
        <v>0</v>
      </c>
      <c r="AJ254" s="108">
        <f ca="1">$D$245*AJ24*'Timing &amp; Flags'!AJ103*Sens_Maintenance</f>
        <v>0</v>
      </c>
      <c r="AK254" s="108">
        <f ca="1">$D$245*AK24*'Timing &amp; Flags'!AK103*Sens_Maintenance</f>
        <v>0</v>
      </c>
      <c r="AL254" s="108">
        <f ca="1">$D$245*AL24*'Timing &amp; Flags'!AL103*Sens_Maintenance</f>
        <v>0</v>
      </c>
      <c r="AM254" s="108">
        <f>$D$245*AM24*'Timing &amp; Flags'!AM103*Sens_Maintenance</f>
        <v>0</v>
      </c>
      <c r="AN254" s="108">
        <f>$D$245*AN24*'Timing &amp; Flags'!AN103*Sens_Maintenance</f>
        <v>0</v>
      </c>
      <c r="AO254" s="108">
        <f>$D$245*AO24*'Timing &amp; Flags'!AO103*Sens_Maintenance</f>
        <v>0</v>
      </c>
      <c r="AP254" s="108">
        <f>$D$245*AP24*'Timing &amp; Flags'!AP103*Sens_Maintenance</f>
        <v>0</v>
      </c>
      <c r="AQ254" s="108">
        <f>$D$245*AQ24*'Timing &amp; Flags'!AQ103*Sens_Maintenance</f>
        <v>0</v>
      </c>
      <c r="AR254" s="108">
        <f>$D$245*AR24*'Timing &amp; Flags'!AR103*Sens_Maintenance</f>
        <v>0</v>
      </c>
      <c r="AS254" s="108">
        <f>$D$245*AS24*'Timing &amp; Flags'!AS103*Sens_Maintenance</f>
        <v>0</v>
      </c>
      <c r="AT254" s="108">
        <f>$D$245*AT24*'Timing &amp; Flags'!AT103*Sens_Maintenance</f>
        <v>0</v>
      </c>
      <c r="AU254" s="108">
        <f>$D$245*AU24*'Timing &amp; Flags'!AU103*Sens_Maintenance</f>
        <v>0</v>
      </c>
      <c r="AV254" s="108">
        <f>$D$245*AV24*'Timing &amp; Flags'!AV103*Sens_Maintenance</f>
        <v>0</v>
      </c>
      <c r="AW254" s="108">
        <f>$D$245*AW24*'Timing &amp; Flags'!AW103*Sens_Maintenance</f>
        <v>0</v>
      </c>
    </row>
    <row r="255" spans="2:49">
      <c r="B255" s="2" t="s">
        <v>71</v>
      </c>
      <c r="C255" s="15" t="str">
        <f t="shared" si="81"/>
        <v>US$</v>
      </c>
      <c r="D255" s="42">
        <f ca="1">SUM(D250:D254)</f>
        <v>0</v>
      </c>
      <c r="I255" s="42">
        <f>SUM(I250:I254)</f>
        <v>0</v>
      </c>
      <c r="J255" s="42">
        <f t="shared" ref="J255:AW255" si="82">SUM(J250:J254)</f>
        <v>0</v>
      </c>
      <c r="K255" s="42">
        <f t="shared" si="82"/>
        <v>0</v>
      </c>
      <c r="L255" s="42">
        <f t="shared" ca="1" si="82"/>
        <v>0</v>
      </c>
      <c r="M255" s="42">
        <f t="shared" ca="1" si="82"/>
        <v>0</v>
      </c>
      <c r="N255" s="42">
        <f t="shared" ca="1" si="82"/>
        <v>0</v>
      </c>
      <c r="O255" s="42">
        <f t="shared" ca="1" si="82"/>
        <v>0</v>
      </c>
      <c r="P255" s="42">
        <f t="shared" ca="1" si="82"/>
        <v>0</v>
      </c>
      <c r="Q255" s="42">
        <f t="shared" ca="1" si="82"/>
        <v>0</v>
      </c>
      <c r="R255" s="42">
        <f t="shared" ca="1" si="82"/>
        <v>0</v>
      </c>
      <c r="S255" s="42">
        <f t="shared" ca="1" si="82"/>
        <v>0</v>
      </c>
      <c r="T255" s="42">
        <f t="shared" ca="1" si="82"/>
        <v>0</v>
      </c>
      <c r="U255" s="42">
        <f t="shared" ca="1" si="82"/>
        <v>0</v>
      </c>
      <c r="V255" s="42">
        <f t="shared" ca="1" si="82"/>
        <v>0</v>
      </c>
      <c r="W255" s="42">
        <f t="shared" ca="1" si="82"/>
        <v>0</v>
      </c>
      <c r="X255" s="42">
        <f t="shared" ca="1" si="82"/>
        <v>0</v>
      </c>
      <c r="Y255" s="42">
        <f t="shared" ca="1" si="82"/>
        <v>0</v>
      </c>
      <c r="Z255" s="42">
        <f t="shared" ca="1" si="82"/>
        <v>0</v>
      </c>
      <c r="AA255" s="42">
        <f t="shared" ca="1" si="82"/>
        <v>0</v>
      </c>
      <c r="AB255" s="42">
        <f t="shared" ca="1" si="82"/>
        <v>0</v>
      </c>
      <c r="AC255" s="42">
        <f t="shared" ca="1" si="82"/>
        <v>0</v>
      </c>
      <c r="AD255" s="42">
        <f t="shared" ca="1" si="82"/>
        <v>0</v>
      </c>
      <c r="AE255" s="42">
        <f t="shared" ca="1" si="82"/>
        <v>0</v>
      </c>
      <c r="AF255" s="42">
        <f t="shared" ca="1" si="82"/>
        <v>0</v>
      </c>
      <c r="AG255" s="42">
        <f t="shared" ca="1" si="82"/>
        <v>0</v>
      </c>
      <c r="AH255" s="42">
        <f t="shared" ca="1" si="82"/>
        <v>0</v>
      </c>
      <c r="AI255" s="42">
        <f t="shared" ca="1" si="82"/>
        <v>0</v>
      </c>
      <c r="AJ255" s="42">
        <f t="shared" ca="1" si="82"/>
        <v>0</v>
      </c>
      <c r="AK255" s="42">
        <f t="shared" ca="1" si="82"/>
        <v>0</v>
      </c>
      <c r="AL255" s="42">
        <f t="shared" ca="1" si="82"/>
        <v>0</v>
      </c>
      <c r="AM255" s="42">
        <f t="shared" si="82"/>
        <v>0</v>
      </c>
      <c r="AN255" s="42">
        <f t="shared" si="82"/>
        <v>0</v>
      </c>
      <c r="AO255" s="42">
        <f t="shared" si="82"/>
        <v>0</v>
      </c>
      <c r="AP255" s="42">
        <f t="shared" si="82"/>
        <v>0</v>
      </c>
      <c r="AQ255" s="42">
        <f t="shared" si="82"/>
        <v>0</v>
      </c>
      <c r="AR255" s="42">
        <f t="shared" si="82"/>
        <v>0</v>
      </c>
      <c r="AS255" s="42">
        <f t="shared" si="82"/>
        <v>0</v>
      </c>
      <c r="AT255" s="42">
        <f t="shared" si="82"/>
        <v>0</v>
      </c>
      <c r="AU255" s="42">
        <f t="shared" si="82"/>
        <v>0</v>
      </c>
      <c r="AV255" s="42">
        <f t="shared" si="82"/>
        <v>0</v>
      </c>
      <c r="AW255" s="42">
        <f t="shared" si="82"/>
        <v>0</v>
      </c>
    </row>
    <row r="257" spans="2:49">
      <c r="B257" s="29" t="s">
        <v>324</v>
      </c>
    </row>
    <row r="258" spans="2:49">
      <c r="B258" s="2" t="s">
        <v>334</v>
      </c>
      <c r="C258" s="15" t="s">
        <v>183</v>
      </c>
      <c r="D258" s="49" t="str">
        <f>'Input '!F204</f>
        <v>Maintenance</v>
      </c>
    </row>
    <row r="259" spans="2:49">
      <c r="B259" s="2" t="s">
        <v>90</v>
      </c>
      <c r="C259" s="15" t="s">
        <v>183</v>
      </c>
      <c r="D259" s="49" t="str">
        <f>'Input '!F221</f>
        <v>Maintenance</v>
      </c>
    </row>
    <row r="260" spans="2:49">
      <c r="B260" s="2" t="s">
        <v>91</v>
      </c>
      <c r="C260" s="15" t="s">
        <v>183</v>
      </c>
      <c r="D260" s="49" t="str">
        <f>'Input '!F221</f>
        <v>Maintenance</v>
      </c>
    </row>
    <row r="261" spans="2:49">
      <c r="B261" s="2" t="s">
        <v>92</v>
      </c>
      <c r="C261" s="15" t="s">
        <v>183</v>
      </c>
      <c r="D261" s="49" t="str">
        <f>'Input '!F221</f>
        <v>Maintenance</v>
      </c>
    </row>
    <row r="262" spans="2:49">
      <c r="B262" s="2" t="s">
        <v>344</v>
      </c>
      <c r="C262" s="15" t="s">
        <v>183</v>
      </c>
      <c r="D262" s="49" t="str">
        <f>'Input '!F221</f>
        <v>Maintenance</v>
      </c>
    </row>
    <row r="265" spans="2:49">
      <c r="B265" s="29" t="s">
        <v>354</v>
      </c>
    </row>
    <row r="266" spans="2:49">
      <c r="B266" s="2" t="s">
        <v>334</v>
      </c>
      <c r="C266" s="15" t="str">
        <f t="shared" ref="C266:C271" si="83">$C$39</f>
        <v>US$</v>
      </c>
      <c r="D266" s="41">
        <f ca="1">SUM(I266:AI266)</f>
        <v>0</v>
      </c>
      <c r="I266" s="42">
        <f>I250*INDEX('Timing &amp; Flags'!I89:I91,MATCH($D$258,Indexation,0))</f>
        <v>0</v>
      </c>
      <c r="J266" s="42">
        <f>J250*INDEX('Timing &amp; Flags'!J89:J91,MATCH($D$258,Indexation,0))</f>
        <v>0</v>
      </c>
      <c r="K266" s="42">
        <f>K250*INDEX('Timing &amp; Flags'!K89:K91,MATCH($D$258,Indexation,0))</f>
        <v>0</v>
      </c>
      <c r="L266" s="42">
        <f ca="1">L250*INDEX('Timing &amp; Flags'!L89:L91,MATCH($D$258,Indexation,0))</f>
        <v>0</v>
      </c>
      <c r="M266" s="42">
        <f ca="1">M250*INDEX('Timing &amp; Flags'!M89:M91,MATCH($D$258,Indexation,0))</f>
        <v>0</v>
      </c>
      <c r="N266" s="42">
        <f ca="1">N250*INDEX('Timing &amp; Flags'!N89:N91,MATCH($D$258,Indexation,0))</f>
        <v>0</v>
      </c>
      <c r="O266" s="42">
        <f ca="1">O250*INDEX('Timing &amp; Flags'!O89:O91,MATCH($D$258,Indexation,0))</f>
        <v>0</v>
      </c>
      <c r="P266" s="42">
        <f ca="1">P250*INDEX('Timing &amp; Flags'!P89:P91,MATCH($D$258,Indexation,0))</f>
        <v>0</v>
      </c>
      <c r="Q266" s="42">
        <f ca="1">Q250*INDEX('Timing &amp; Flags'!Q89:Q91,MATCH($D$258,Indexation,0))</f>
        <v>0</v>
      </c>
      <c r="R266" s="42">
        <f ca="1">R250*INDEX('Timing &amp; Flags'!R89:R91,MATCH($D$258,Indexation,0))</f>
        <v>0</v>
      </c>
      <c r="S266" s="42">
        <f ca="1">S250*INDEX('Timing &amp; Flags'!S89:S91,MATCH($D$258,Indexation,0))</f>
        <v>0</v>
      </c>
      <c r="T266" s="42">
        <f ca="1">T250*INDEX('Timing &amp; Flags'!T89:T91,MATCH($D$258,Indexation,0))</f>
        <v>0</v>
      </c>
      <c r="U266" s="42">
        <f ca="1">U250*INDEX('Timing &amp; Flags'!U89:U91,MATCH($D$258,Indexation,0))</f>
        <v>0</v>
      </c>
      <c r="V266" s="42">
        <f ca="1">V250*INDEX('Timing &amp; Flags'!V89:V91,MATCH($D$258,Indexation,0))</f>
        <v>0</v>
      </c>
      <c r="W266" s="42">
        <f ca="1">W250*INDEX('Timing &amp; Flags'!W89:W91,MATCH($D$258,Indexation,0))</f>
        <v>0</v>
      </c>
      <c r="X266" s="42">
        <f ca="1">X250*INDEX('Timing &amp; Flags'!X89:X91,MATCH($D$258,Indexation,0))</f>
        <v>0</v>
      </c>
      <c r="Y266" s="42">
        <f ca="1">Y250*INDEX('Timing &amp; Flags'!Y89:Y91,MATCH($D$258,Indexation,0))</f>
        <v>0</v>
      </c>
      <c r="Z266" s="42">
        <f ca="1">Z250*INDEX('Timing &amp; Flags'!Z89:Z91,MATCH($D$258,Indexation,0))</f>
        <v>0</v>
      </c>
      <c r="AA266" s="42">
        <f ca="1">AA250*INDEX('Timing &amp; Flags'!AA89:AA91,MATCH($D$258,Indexation,0))</f>
        <v>0</v>
      </c>
      <c r="AB266" s="42">
        <f ca="1">AB250*INDEX('Timing &amp; Flags'!AB89:AB91,MATCH($D$258,Indexation,0))</f>
        <v>0</v>
      </c>
      <c r="AC266" s="42">
        <f ca="1">AC250*INDEX('Timing &amp; Flags'!AC89:AC91,MATCH($D$258,Indexation,0))</f>
        <v>0</v>
      </c>
      <c r="AD266" s="42">
        <f ca="1">AD250*INDEX('Timing &amp; Flags'!AD89:AD91,MATCH($D$258,Indexation,0))</f>
        <v>0</v>
      </c>
      <c r="AE266" s="42">
        <f ca="1">AE250*INDEX('Timing &amp; Flags'!AE89:AE91,MATCH($D$258,Indexation,0))</f>
        <v>0</v>
      </c>
      <c r="AF266" s="42">
        <f ca="1">AF250*INDEX('Timing &amp; Flags'!AF89:AF91,MATCH($D$258,Indexation,0))</f>
        <v>0</v>
      </c>
      <c r="AG266" s="42">
        <f ca="1">AG250*INDEX('Timing &amp; Flags'!AG89:AG91,MATCH($D$258,Indexation,0))</f>
        <v>0</v>
      </c>
      <c r="AH266" s="42">
        <f ca="1">AH250*INDEX('Timing &amp; Flags'!AH89:AH91,MATCH($D$258,Indexation,0))</f>
        <v>0</v>
      </c>
      <c r="AI266" s="42">
        <f ca="1">AI250*INDEX('Timing &amp; Flags'!AI89:AI91,MATCH($D$258,Indexation,0))</f>
        <v>0</v>
      </c>
      <c r="AJ266" s="42">
        <f ca="1">AJ250*INDEX('Timing &amp; Flags'!AJ89:AJ91,MATCH($D$258,Indexation,0))</f>
        <v>0</v>
      </c>
      <c r="AK266" s="42">
        <f ca="1">AK250*INDEX('Timing &amp; Flags'!AK89:AK91,MATCH($D$258,Indexation,0))</f>
        <v>0</v>
      </c>
      <c r="AL266" s="42">
        <f ca="1">AL250*INDEX('Timing &amp; Flags'!AL89:AL91,MATCH($D$258,Indexation,0))</f>
        <v>0</v>
      </c>
      <c r="AM266" s="42">
        <f>AM250*INDEX('Timing &amp; Flags'!AM89:AM91,MATCH($D$258,Indexation,0))</f>
        <v>0</v>
      </c>
      <c r="AN266" s="42">
        <f>AN250*INDEX('Timing &amp; Flags'!AN89:AN91,MATCH($D$258,Indexation,0))</f>
        <v>0</v>
      </c>
      <c r="AO266" s="42">
        <f>AO250*INDEX('Timing &amp; Flags'!AO89:AO91,MATCH($D$258,Indexation,0))</f>
        <v>0</v>
      </c>
      <c r="AP266" s="42">
        <f>AP250*INDEX('Timing &amp; Flags'!AP89:AP91,MATCH($D$258,Indexation,0))</f>
        <v>0</v>
      </c>
      <c r="AQ266" s="42">
        <f>AQ250*INDEX('Timing &amp; Flags'!AQ89:AQ91,MATCH($D$258,Indexation,0))</f>
        <v>0</v>
      </c>
      <c r="AR266" s="42">
        <f>AR250*INDEX('Timing &amp; Flags'!AR89:AR91,MATCH($D$258,Indexation,0))</f>
        <v>0</v>
      </c>
      <c r="AS266" s="42">
        <f>AS250*INDEX('Timing &amp; Flags'!AS89:AS91,MATCH($D$258,Indexation,0))</f>
        <v>0</v>
      </c>
      <c r="AT266" s="42">
        <f>AT250*INDEX('Timing &amp; Flags'!AT89:AT91,MATCH($D$258,Indexation,0))</f>
        <v>0</v>
      </c>
      <c r="AU266" s="42">
        <f>AU250*INDEX('Timing &amp; Flags'!AU89:AU91,MATCH($D$258,Indexation,0))</f>
        <v>0</v>
      </c>
      <c r="AV266" s="42">
        <f>AV250*INDEX('Timing &amp; Flags'!AV89:AV91,MATCH($D$258,Indexation,0))</f>
        <v>0</v>
      </c>
      <c r="AW266" s="42">
        <f>AW250*INDEX('Timing &amp; Flags'!AW89:AW91,MATCH($D$258,Indexation,0))</f>
        <v>0</v>
      </c>
    </row>
    <row r="267" spans="2:49">
      <c r="B267" s="2" t="s">
        <v>337</v>
      </c>
      <c r="C267" s="15" t="str">
        <f t="shared" si="83"/>
        <v>US$</v>
      </c>
      <c r="D267" s="41">
        <f ca="1">SUM(I267:AI267)</f>
        <v>0</v>
      </c>
      <c r="I267" s="42">
        <f>I251*INDEX('Timing &amp; Flags'!I89:I91,MATCH($D$258,Indexation,0))</f>
        <v>0</v>
      </c>
      <c r="J267" s="42">
        <f>J251*INDEX('Timing &amp; Flags'!J89:J91,MATCH($D$258,Indexation,0))</f>
        <v>0</v>
      </c>
      <c r="K267" s="42">
        <f>K251*INDEX('Timing &amp; Flags'!K89:K91,MATCH($D$258,Indexation,0))</f>
        <v>0</v>
      </c>
      <c r="L267" s="42">
        <f ca="1">L251*INDEX('Timing &amp; Flags'!L89:L91,MATCH($D$258,Indexation,0))</f>
        <v>0</v>
      </c>
      <c r="M267" s="42">
        <f ca="1">M251*INDEX('Timing &amp; Flags'!M89:M91,MATCH($D$258,Indexation,0))</f>
        <v>0</v>
      </c>
      <c r="N267" s="42">
        <f ca="1">N251*INDEX('Timing &amp; Flags'!N89:N91,MATCH($D$258,Indexation,0))</f>
        <v>0</v>
      </c>
      <c r="O267" s="42">
        <f ca="1">O251*INDEX('Timing &amp; Flags'!O89:O91,MATCH($D$258,Indexation,0))</f>
        <v>0</v>
      </c>
      <c r="P267" s="42">
        <f ca="1">P251*INDEX('Timing &amp; Flags'!P89:P91,MATCH($D$258,Indexation,0))</f>
        <v>0</v>
      </c>
      <c r="Q267" s="42">
        <f ca="1">Q251*INDEX('Timing &amp; Flags'!Q89:Q91,MATCH($D$258,Indexation,0))</f>
        <v>0</v>
      </c>
      <c r="R267" s="42">
        <f ca="1">R251*INDEX('Timing &amp; Flags'!R89:R91,MATCH($D$258,Indexation,0))</f>
        <v>0</v>
      </c>
      <c r="S267" s="42">
        <f ca="1">S251*INDEX('Timing &amp; Flags'!S89:S91,MATCH($D$258,Indexation,0))</f>
        <v>0</v>
      </c>
      <c r="T267" s="42">
        <f ca="1">T251*INDEX('Timing &amp; Flags'!T89:T91,MATCH($D$258,Indexation,0))</f>
        <v>0</v>
      </c>
      <c r="U267" s="42">
        <f ca="1">U251*INDEX('Timing &amp; Flags'!U89:U91,MATCH($D$258,Indexation,0))</f>
        <v>0</v>
      </c>
      <c r="V267" s="42">
        <f ca="1">V251*INDEX('Timing &amp; Flags'!V89:V91,MATCH($D$258,Indexation,0))</f>
        <v>0</v>
      </c>
      <c r="W267" s="42">
        <f ca="1">W251*INDEX('Timing &amp; Flags'!W89:W91,MATCH($D$258,Indexation,0))</f>
        <v>0</v>
      </c>
      <c r="X267" s="42">
        <f ca="1">X251*INDEX('Timing &amp; Flags'!X89:X91,MATCH($D$258,Indexation,0))</f>
        <v>0</v>
      </c>
      <c r="Y267" s="42">
        <f ca="1">Y251*INDEX('Timing &amp; Flags'!Y89:Y91,MATCH($D$258,Indexation,0))</f>
        <v>0</v>
      </c>
      <c r="Z267" s="42">
        <f ca="1">Z251*INDEX('Timing &amp; Flags'!Z89:Z91,MATCH($D$258,Indexation,0))</f>
        <v>0</v>
      </c>
      <c r="AA267" s="42">
        <f ca="1">AA251*INDEX('Timing &amp; Flags'!AA89:AA91,MATCH($D$258,Indexation,0))</f>
        <v>0</v>
      </c>
      <c r="AB267" s="42">
        <f ca="1">AB251*INDEX('Timing &amp; Flags'!AB89:AB91,MATCH($D$258,Indexation,0))</f>
        <v>0</v>
      </c>
      <c r="AC267" s="42">
        <f ca="1">AC251*INDEX('Timing &amp; Flags'!AC89:AC91,MATCH($D$258,Indexation,0))</f>
        <v>0</v>
      </c>
      <c r="AD267" s="42">
        <f ca="1">AD251*INDEX('Timing &amp; Flags'!AD89:AD91,MATCH($D$258,Indexation,0))</f>
        <v>0</v>
      </c>
      <c r="AE267" s="42">
        <f ca="1">AE251*INDEX('Timing &amp; Flags'!AE89:AE91,MATCH($D$258,Indexation,0))</f>
        <v>0</v>
      </c>
      <c r="AF267" s="42">
        <f ca="1">AF251*INDEX('Timing &amp; Flags'!AF89:AF91,MATCH($D$258,Indexation,0))</f>
        <v>0</v>
      </c>
      <c r="AG267" s="42">
        <f ca="1">AG251*INDEX('Timing &amp; Flags'!AG89:AG91,MATCH($D$258,Indexation,0))</f>
        <v>0</v>
      </c>
      <c r="AH267" s="42">
        <f ca="1">AH251*INDEX('Timing &amp; Flags'!AH89:AH91,MATCH($D$258,Indexation,0))</f>
        <v>0</v>
      </c>
      <c r="AI267" s="42">
        <f ca="1">AI251*INDEX('Timing &amp; Flags'!AI89:AI91,MATCH($D$258,Indexation,0))</f>
        <v>0</v>
      </c>
      <c r="AJ267" s="42">
        <f ca="1">AJ251*INDEX('Timing &amp; Flags'!AJ89:AJ91,MATCH($D$258,Indexation,0))</f>
        <v>0</v>
      </c>
      <c r="AK267" s="42">
        <f ca="1">AK251*INDEX('Timing &amp; Flags'!AK89:AK91,MATCH($D$258,Indexation,0))</f>
        <v>0</v>
      </c>
      <c r="AL267" s="42">
        <f ca="1">AL251*INDEX('Timing &amp; Flags'!AL89:AL91,MATCH($D$258,Indexation,0))</f>
        <v>0</v>
      </c>
      <c r="AM267" s="42">
        <f>AM251*INDEX('Timing &amp; Flags'!AM89:AM91,MATCH($D$258,Indexation,0))</f>
        <v>0</v>
      </c>
      <c r="AN267" s="42">
        <f>AN251*INDEX('Timing &amp; Flags'!AN89:AN91,MATCH($D$258,Indexation,0))</f>
        <v>0</v>
      </c>
      <c r="AO267" s="42">
        <f>AO251*INDEX('Timing &amp; Flags'!AO89:AO91,MATCH($D$258,Indexation,0))</f>
        <v>0</v>
      </c>
      <c r="AP267" s="42">
        <f>AP251*INDEX('Timing &amp; Flags'!AP89:AP91,MATCH($D$258,Indexation,0))</f>
        <v>0</v>
      </c>
      <c r="AQ267" s="42">
        <f>AQ251*INDEX('Timing &amp; Flags'!AQ89:AQ91,MATCH($D$258,Indexation,0))</f>
        <v>0</v>
      </c>
      <c r="AR267" s="42">
        <f>AR251*INDEX('Timing &amp; Flags'!AR89:AR91,MATCH($D$258,Indexation,0))</f>
        <v>0</v>
      </c>
      <c r="AS267" s="42">
        <f>AS251*INDEX('Timing &amp; Flags'!AS89:AS91,MATCH($D$258,Indexation,0))</f>
        <v>0</v>
      </c>
      <c r="AT267" s="42">
        <f>AT251*INDEX('Timing &amp; Flags'!AT89:AT91,MATCH($D$258,Indexation,0))</f>
        <v>0</v>
      </c>
      <c r="AU267" s="42">
        <f>AU251*INDEX('Timing &amp; Flags'!AU89:AU91,MATCH($D$258,Indexation,0))</f>
        <v>0</v>
      </c>
      <c r="AV267" s="42">
        <f>AV251*INDEX('Timing &amp; Flags'!AV89:AV91,MATCH($D$258,Indexation,0))</f>
        <v>0</v>
      </c>
      <c r="AW267" s="42">
        <f>AW251*INDEX('Timing &amp; Flags'!AW89:AW91,MATCH($D$258,Indexation,0))</f>
        <v>0</v>
      </c>
    </row>
    <row r="268" spans="2:49">
      <c r="B268" s="2" t="s">
        <v>90</v>
      </c>
      <c r="C268" s="15" t="str">
        <f t="shared" si="83"/>
        <v>US$</v>
      </c>
      <c r="D268" s="41">
        <f ca="1">SUM(I268:AI268)</f>
        <v>0</v>
      </c>
      <c r="I268" s="42">
        <f>I252*INDEX('Timing &amp; Flags'!I89:I91,MATCH($D$259,Indexation,0))</f>
        <v>0</v>
      </c>
      <c r="J268" s="42">
        <f>J252*INDEX('Timing &amp; Flags'!J89:J91,MATCH($D$259,Indexation,0))</f>
        <v>0</v>
      </c>
      <c r="K268" s="42">
        <f>K252*INDEX('Timing &amp; Flags'!K89:K91,MATCH($D$259,Indexation,0))</f>
        <v>0</v>
      </c>
      <c r="L268" s="42">
        <f ca="1">L252*INDEX('Timing &amp; Flags'!L89:L91,MATCH($D$259,Indexation,0))</f>
        <v>0</v>
      </c>
      <c r="M268" s="42">
        <f ca="1">M252*INDEX('Timing &amp; Flags'!M89:M91,MATCH($D$259,Indexation,0))</f>
        <v>0</v>
      </c>
      <c r="N268" s="42">
        <f ca="1">N252*INDEX('Timing &amp; Flags'!N89:N91,MATCH($D$259,Indexation,0))</f>
        <v>0</v>
      </c>
      <c r="O268" s="42">
        <f ca="1">O252*INDEX('Timing &amp; Flags'!O89:O91,MATCH($D$259,Indexation,0))</f>
        <v>0</v>
      </c>
      <c r="P268" s="42">
        <f ca="1">P252*INDEX('Timing &amp; Flags'!P89:P91,MATCH($D$259,Indexation,0))</f>
        <v>0</v>
      </c>
      <c r="Q268" s="42">
        <f ca="1">Q252*INDEX('Timing &amp; Flags'!Q89:Q91,MATCH($D$259,Indexation,0))</f>
        <v>0</v>
      </c>
      <c r="R268" s="42">
        <f ca="1">R252*INDEX('Timing &amp; Flags'!R89:R91,MATCH($D$259,Indexation,0))</f>
        <v>0</v>
      </c>
      <c r="S268" s="42">
        <f ca="1">S252*INDEX('Timing &amp; Flags'!S89:S91,MATCH($D$259,Indexation,0))</f>
        <v>0</v>
      </c>
      <c r="T268" s="42">
        <f ca="1">T252*INDEX('Timing &amp; Flags'!T89:T91,MATCH($D$259,Indexation,0))</f>
        <v>0</v>
      </c>
      <c r="U268" s="42">
        <f ca="1">U252*INDEX('Timing &amp; Flags'!U89:U91,MATCH($D$259,Indexation,0))</f>
        <v>0</v>
      </c>
      <c r="V268" s="42">
        <f ca="1">V252*INDEX('Timing &amp; Flags'!V89:V91,MATCH($D$259,Indexation,0))</f>
        <v>0</v>
      </c>
      <c r="W268" s="42">
        <f ca="1">W252*INDEX('Timing &amp; Flags'!W89:W91,MATCH($D$259,Indexation,0))</f>
        <v>0</v>
      </c>
      <c r="X268" s="42">
        <f ca="1">X252*INDEX('Timing &amp; Flags'!X89:X91,MATCH($D$259,Indexation,0))</f>
        <v>0</v>
      </c>
      <c r="Y268" s="42">
        <f ca="1">Y252*INDEX('Timing &amp; Flags'!Y89:Y91,MATCH($D$259,Indexation,0))</f>
        <v>0</v>
      </c>
      <c r="Z268" s="42">
        <f ca="1">Z252*INDEX('Timing &amp; Flags'!Z89:Z91,MATCH($D$259,Indexation,0))</f>
        <v>0</v>
      </c>
      <c r="AA268" s="42">
        <f ca="1">AA252*INDEX('Timing &amp; Flags'!AA89:AA91,MATCH($D$259,Indexation,0))</f>
        <v>0</v>
      </c>
      <c r="AB268" s="42">
        <f ca="1">AB252*INDEX('Timing &amp; Flags'!AB89:AB91,MATCH($D$259,Indexation,0))</f>
        <v>0</v>
      </c>
      <c r="AC268" s="42">
        <f ca="1">AC252*INDEX('Timing &amp; Flags'!AC89:AC91,MATCH($D$259,Indexation,0))</f>
        <v>0</v>
      </c>
      <c r="AD268" s="42">
        <f ca="1">AD252*INDEX('Timing &amp; Flags'!AD89:AD91,MATCH($D$259,Indexation,0))</f>
        <v>0</v>
      </c>
      <c r="AE268" s="42">
        <f ca="1">AE252*INDEX('Timing &amp; Flags'!AE89:AE91,MATCH($D$259,Indexation,0))</f>
        <v>0</v>
      </c>
      <c r="AF268" s="42">
        <f ca="1">AF252*INDEX('Timing &amp; Flags'!AF89:AF91,MATCH($D$259,Indexation,0))</f>
        <v>0</v>
      </c>
      <c r="AG268" s="42">
        <f ca="1">AG252*INDEX('Timing &amp; Flags'!AG89:AG91,MATCH($D$259,Indexation,0))</f>
        <v>0</v>
      </c>
      <c r="AH268" s="42">
        <f ca="1">AH252*INDEX('Timing &amp; Flags'!AH89:AH91,MATCH($D$259,Indexation,0))</f>
        <v>0</v>
      </c>
      <c r="AI268" s="42">
        <f ca="1">AI252*INDEX('Timing &amp; Flags'!AI89:AI91,MATCH($D$259,Indexation,0))</f>
        <v>0</v>
      </c>
      <c r="AJ268" s="42">
        <f ca="1">AJ252*INDEX('Timing &amp; Flags'!AJ89:AJ91,MATCH($D$259,Indexation,0))</f>
        <v>0</v>
      </c>
      <c r="AK268" s="42">
        <f ca="1">AK252*INDEX('Timing &amp; Flags'!AK89:AK91,MATCH($D$259,Indexation,0))</f>
        <v>0</v>
      </c>
      <c r="AL268" s="42">
        <f ca="1">AL252*INDEX('Timing &amp; Flags'!AL89:AL91,MATCH($D$259,Indexation,0))</f>
        <v>0</v>
      </c>
      <c r="AM268" s="42">
        <f>AM252*INDEX('Timing &amp; Flags'!AM89:AM91,MATCH($D$259,Indexation,0))</f>
        <v>0</v>
      </c>
      <c r="AN268" s="42">
        <f>AN252*INDEX('Timing &amp; Flags'!AN89:AN91,MATCH($D$259,Indexation,0))</f>
        <v>0</v>
      </c>
      <c r="AO268" s="42">
        <f>AO252*INDEX('Timing &amp; Flags'!AO89:AO91,MATCH($D$259,Indexation,0))</f>
        <v>0</v>
      </c>
      <c r="AP268" s="42">
        <f>AP252*INDEX('Timing &amp; Flags'!AP89:AP91,MATCH($D$259,Indexation,0))</f>
        <v>0</v>
      </c>
      <c r="AQ268" s="42">
        <f>AQ252*INDEX('Timing &amp; Flags'!AQ89:AQ91,MATCH($D$259,Indexation,0))</f>
        <v>0</v>
      </c>
      <c r="AR268" s="42">
        <f>AR252*INDEX('Timing &amp; Flags'!AR89:AR91,MATCH($D$259,Indexation,0))</f>
        <v>0</v>
      </c>
      <c r="AS268" s="42">
        <f>AS252*INDEX('Timing &amp; Flags'!AS89:AS91,MATCH($D$259,Indexation,0))</f>
        <v>0</v>
      </c>
      <c r="AT268" s="42">
        <f>AT252*INDEX('Timing &amp; Flags'!AT89:AT91,MATCH($D$259,Indexation,0))</f>
        <v>0</v>
      </c>
      <c r="AU268" s="42">
        <f>AU252*INDEX('Timing &amp; Flags'!AU89:AU91,MATCH($D$259,Indexation,0))</f>
        <v>0</v>
      </c>
      <c r="AV268" s="42">
        <f>AV252*INDEX('Timing &amp; Flags'!AV89:AV91,MATCH($D$259,Indexation,0))</f>
        <v>0</v>
      </c>
      <c r="AW268" s="42">
        <f>AW252*INDEX('Timing &amp; Flags'!AW89:AW91,MATCH($D$259,Indexation,0))</f>
        <v>0</v>
      </c>
    </row>
    <row r="269" spans="2:49">
      <c r="B269" s="2" t="s">
        <v>91</v>
      </c>
      <c r="C269" s="15" t="str">
        <f t="shared" si="83"/>
        <v>US$</v>
      </c>
      <c r="D269" s="41">
        <f ca="1">SUM(I269:AI269)</f>
        <v>0</v>
      </c>
      <c r="I269" s="42">
        <f>I253*INDEX('Timing &amp; Flags'!I89:I91,MATCH($D$260,Indexation,0))</f>
        <v>0</v>
      </c>
      <c r="J269" s="42">
        <f>J253*INDEX('Timing &amp; Flags'!J89:J91,MATCH($D$260,Indexation,0))</f>
        <v>0</v>
      </c>
      <c r="K269" s="42">
        <f>K253*INDEX('Timing &amp; Flags'!K89:K91,MATCH($D$260,Indexation,0))</f>
        <v>0</v>
      </c>
      <c r="L269" s="42">
        <f ca="1">L253*INDEX('Timing &amp; Flags'!L89:L91,MATCH($D$260,Indexation,0))</f>
        <v>0</v>
      </c>
      <c r="M269" s="42">
        <f ca="1">M253*INDEX('Timing &amp; Flags'!M89:M91,MATCH($D$260,Indexation,0))</f>
        <v>0</v>
      </c>
      <c r="N269" s="42">
        <f ca="1">N253*INDEX('Timing &amp; Flags'!N89:N91,MATCH($D$260,Indexation,0))</f>
        <v>0</v>
      </c>
      <c r="O269" s="42">
        <f ca="1">O253*INDEX('Timing &amp; Flags'!O89:O91,MATCH($D$260,Indexation,0))</f>
        <v>0</v>
      </c>
      <c r="P269" s="42">
        <f ca="1">P253*INDEX('Timing &amp; Flags'!P89:P91,MATCH($D$260,Indexation,0))</f>
        <v>0</v>
      </c>
      <c r="Q269" s="42">
        <f ca="1">Q253*INDEX('Timing &amp; Flags'!Q89:Q91,MATCH($D$260,Indexation,0))</f>
        <v>0</v>
      </c>
      <c r="R269" s="42">
        <f ca="1">R253*INDEX('Timing &amp; Flags'!R89:R91,MATCH($D$260,Indexation,0))</f>
        <v>0</v>
      </c>
      <c r="S269" s="42">
        <f ca="1">S253*INDEX('Timing &amp; Flags'!S89:S91,MATCH($D$260,Indexation,0))</f>
        <v>0</v>
      </c>
      <c r="T269" s="42">
        <f ca="1">T253*INDEX('Timing &amp; Flags'!T89:T91,MATCH($D$260,Indexation,0))</f>
        <v>0</v>
      </c>
      <c r="U269" s="42">
        <f ca="1">U253*INDEX('Timing &amp; Flags'!U89:U91,MATCH($D$260,Indexation,0))</f>
        <v>0</v>
      </c>
      <c r="V269" s="42">
        <f ca="1">V253*INDEX('Timing &amp; Flags'!V89:V91,MATCH($D$260,Indexation,0))</f>
        <v>0</v>
      </c>
      <c r="W269" s="42">
        <f ca="1">W253*INDEX('Timing &amp; Flags'!W89:W91,MATCH($D$260,Indexation,0))</f>
        <v>0</v>
      </c>
      <c r="X269" s="42">
        <f ca="1">X253*INDEX('Timing &amp; Flags'!X89:X91,MATCH($D$260,Indexation,0))</f>
        <v>0</v>
      </c>
      <c r="Y269" s="42">
        <f ca="1">Y253*INDEX('Timing &amp; Flags'!Y89:Y91,MATCH($D$260,Indexation,0))</f>
        <v>0</v>
      </c>
      <c r="Z269" s="42">
        <f ca="1">Z253*INDEX('Timing &amp; Flags'!Z89:Z91,MATCH($D$260,Indexation,0))</f>
        <v>0</v>
      </c>
      <c r="AA269" s="42">
        <f ca="1">AA253*INDEX('Timing &amp; Flags'!AA89:AA91,MATCH($D$260,Indexation,0))</f>
        <v>0</v>
      </c>
      <c r="AB269" s="42">
        <f ca="1">AB253*INDEX('Timing &amp; Flags'!AB89:AB91,MATCH($D$260,Indexation,0))</f>
        <v>0</v>
      </c>
      <c r="AC269" s="42">
        <f ca="1">AC253*INDEX('Timing &amp; Flags'!AC89:AC91,MATCH($D$260,Indexation,0))</f>
        <v>0</v>
      </c>
      <c r="AD269" s="42">
        <f ca="1">AD253*INDEX('Timing &amp; Flags'!AD89:AD91,MATCH($D$260,Indexation,0))</f>
        <v>0</v>
      </c>
      <c r="AE269" s="42">
        <f ca="1">AE253*INDEX('Timing &amp; Flags'!AE89:AE91,MATCH($D$260,Indexation,0))</f>
        <v>0</v>
      </c>
      <c r="AF269" s="42">
        <f ca="1">AF253*INDEX('Timing &amp; Flags'!AF89:AF91,MATCH($D$260,Indexation,0))</f>
        <v>0</v>
      </c>
      <c r="AG269" s="42">
        <f ca="1">AG253*INDEX('Timing &amp; Flags'!AG89:AG91,MATCH($D$260,Indexation,0))</f>
        <v>0</v>
      </c>
      <c r="AH269" s="42">
        <f ca="1">AH253*INDEX('Timing &amp; Flags'!AH89:AH91,MATCH($D$260,Indexation,0))</f>
        <v>0</v>
      </c>
      <c r="AI269" s="42">
        <f ca="1">AI253*INDEX('Timing &amp; Flags'!AI89:AI91,MATCH($D$260,Indexation,0))</f>
        <v>0</v>
      </c>
      <c r="AJ269" s="42">
        <f ca="1">AJ253*INDEX('Timing &amp; Flags'!AJ89:AJ91,MATCH($D$260,Indexation,0))</f>
        <v>0</v>
      </c>
      <c r="AK269" s="42">
        <f ca="1">AK253*INDEX('Timing &amp; Flags'!AK89:AK91,MATCH($D$260,Indexation,0))</f>
        <v>0</v>
      </c>
      <c r="AL269" s="42">
        <f ca="1">AL253*INDEX('Timing &amp; Flags'!AL89:AL91,MATCH($D$260,Indexation,0))</f>
        <v>0</v>
      </c>
      <c r="AM269" s="42">
        <f>AM253*INDEX('Timing &amp; Flags'!AM89:AM91,MATCH($D$260,Indexation,0))</f>
        <v>0</v>
      </c>
      <c r="AN269" s="42">
        <f>AN253*INDEX('Timing &amp; Flags'!AN89:AN91,MATCH($D$260,Indexation,0))</f>
        <v>0</v>
      </c>
      <c r="AO269" s="42">
        <f>AO253*INDEX('Timing &amp; Flags'!AO89:AO91,MATCH($D$260,Indexation,0))</f>
        <v>0</v>
      </c>
      <c r="AP269" s="42">
        <f>AP253*INDEX('Timing &amp; Flags'!AP89:AP91,MATCH($D$260,Indexation,0))</f>
        <v>0</v>
      </c>
      <c r="AQ269" s="42">
        <f>AQ253*INDEX('Timing &amp; Flags'!AQ89:AQ91,MATCH($D$260,Indexation,0))</f>
        <v>0</v>
      </c>
      <c r="AR269" s="42">
        <f>AR253*INDEX('Timing &amp; Flags'!AR89:AR91,MATCH($D$260,Indexation,0))</f>
        <v>0</v>
      </c>
      <c r="AS269" s="42">
        <f>AS253*INDEX('Timing &amp; Flags'!AS89:AS91,MATCH($D$260,Indexation,0))</f>
        <v>0</v>
      </c>
      <c r="AT269" s="42">
        <f>AT253*INDEX('Timing &amp; Flags'!AT89:AT91,MATCH($D$260,Indexation,0))</f>
        <v>0</v>
      </c>
      <c r="AU269" s="42">
        <f>AU253*INDEX('Timing &amp; Flags'!AU89:AU91,MATCH($D$260,Indexation,0))</f>
        <v>0</v>
      </c>
      <c r="AV269" s="42">
        <f>AV253*INDEX('Timing &amp; Flags'!AV89:AV91,MATCH($D$260,Indexation,0))</f>
        <v>0</v>
      </c>
      <c r="AW269" s="42">
        <f>AW253*INDEX('Timing &amp; Flags'!AW89:AW91,MATCH($D$260,Indexation,0))</f>
        <v>0</v>
      </c>
    </row>
    <row r="270" spans="2:49">
      <c r="B270" s="27" t="s">
        <v>92</v>
      </c>
      <c r="C270" s="28" t="str">
        <f t="shared" si="83"/>
        <v>US$</v>
      </c>
      <c r="D270" s="43">
        <f ca="1">SUM(I270:AI270)</f>
        <v>0</v>
      </c>
      <c r="E270" s="27"/>
      <c r="F270" s="27"/>
      <c r="G270" s="27"/>
      <c r="H270" s="27"/>
      <c r="I270" s="108">
        <f>I254*INDEX('Timing &amp; Flags'!I89:I91,MATCH($D$261,Indexation,0))</f>
        <v>0</v>
      </c>
      <c r="J270" s="108">
        <f>J254*INDEX('Timing &amp; Flags'!J89:J91,MATCH($D$261,Indexation,0))</f>
        <v>0</v>
      </c>
      <c r="K270" s="108">
        <f>K254*INDEX('Timing &amp; Flags'!K89:K91,MATCH($D$261,Indexation,0))</f>
        <v>0</v>
      </c>
      <c r="L270" s="108">
        <f ca="1">L254*INDEX('Timing &amp; Flags'!L89:L91,MATCH($D$261,Indexation,0))</f>
        <v>0</v>
      </c>
      <c r="M270" s="108">
        <f ca="1">M254*INDEX('Timing &amp; Flags'!M89:M91,MATCH($D$261,Indexation,0))</f>
        <v>0</v>
      </c>
      <c r="N270" s="108">
        <f ca="1">N254*INDEX('Timing &amp; Flags'!N89:N91,MATCH($D$261,Indexation,0))</f>
        <v>0</v>
      </c>
      <c r="O270" s="108">
        <f ca="1">O254*INDEX('Timing &amp; Flags'!O89:O91,MATCH($D$261,Indexation,0))</f>
        <v>0</v>
      </c>
      <c r="P270" s="108">
        <f ca="1">P254*INDEX('Timing &amp; Flags'!P89:P91,MATCH($D$261,Indexation,0))</f>
        <v>0</v>
      </c>
      <c r="Q270" s="108">
        <f ca="1">Q254*INDEX('Timing &amp; Flags'!Q89:Q91,MATCH($D$261,Indexation,0))</f>
        <v>0</v>
      </c>
      <c r="R270" s="108">
        <f ca="1">R254*INDEX('Timing &amp; Flags'!R89:R91,MATCH($D$261,Indexation,0))</f>
        <v>0</v>
      </c>
      <c r="S270" s="108">
        <f ca="1">S254*INDEX('Timing &amp; Flags'!S89:S91,MATCH($D$261,Indexation,0))</f>
        <v>0</v>
      </c>
      <c r="T270" s="108">
        <f ca="1">T254*INDEX('Timing &amp; Flags'!T89:T91,MATCH($D$261,Indexation,0))</f>
        <v>0</v>
      </c>
      <c r="U270" s="108">
        <f ca="1">U254*INDEX('Timing &amp; Flags'!U89:U91,MATCH($D$261,Indexation,0))</f>
        <v>0</v>
      </c>
      <c r="V270" s="108">
        <f ca="1">V254*INDEX('Timing &amp; Flags'!V89:V91,MATCH($D$261,Indexation,0))</f>
        <v>0</v>
      </c>
      <c r="W270" s="108">
        <f ca="1">W254*INDEX('Timing &amp; Flags'!W89:W91,MATCH($D$261,Indexation,0))</f>
        <v>0</v>
      </c>
      <c r="X270" s="108">
        <f ca="1">X254*INDEX('Timing &amp; Flags'!X89:X91,MATCH($D$261,Indexation,0))</f>
        <v>0</v>
      </c>
      <c r="Y270" s="108">
        <f ca="1">Y254*INDEX('Timing &amp; Flags'!Y89:Y91,MATCH($D$261,Indexation,0))</f>
        <v>0</v>
      </c>
      <c r="Z270" s="108">
        <f ca="1">Z254*INDEX('Timing &amp; Flags'!Z89:Z91,MATCH($D$261,Indexation,0))</f>
        <v>0</v>
      </c>
      <c r="AA270" s="108">
        <f ca="1">AA254*INDEX('Timing &amp; Flags'!AA89:AA91,MATCH($D$261,Indexation,0))</f>
        <v>0</v>
      </c>
      <c r="AB270" s="108">
        <f ca="1">AB254*INDEX('Timing &amp; Flags'!AB89:AB91,MATCH($D$261,Indexation,0))</f>
        <v>0</v>
      </c>
      <c r="AC270" s="108">
        <f ca="1">AC254*INDEX('Timing &amp; Flags'!AC89:AC91,MATCH($D$261,Indexation,0))</f>
        <v>0</v>
      </c>
      <c r="AD270" s="108">
        <f ca="1">AD254*INDEX('Timing &amp; Flags'!AD89:AD91,MATCH($D$261,Indexation,0))</f>
        <v>0</v>
      </c>
      <c r="AE270" s="108">
        <f ca="1">AE254*INDEX('Timing &amp; Flags'!AE89:AE91,MATCH($D$261,Indexation,0))</f>
        <v>0</v>
      </c>
      <c r="AF270" s="108">
        <f ca="1">AF254*INDEX('Timing &amp; Flags'!AF89:AF91,MATCH($D$261,Indexation,0))</f>
        <v>0</v>
      </c>
      <c r="AG270" s="108">
        <f ca="1">AG254*INDEX('Timing &amp; Flags'!AG89:AG91,MATCH($D$261,Indexation,0))</f>
        <v>0</v>
      </c>
      <c r="AH270" s="108">
        <f ca="1">AH254*INDEX('Timing &amp; Flags'!AH89:AH91,MATCH($D$261,Indexation,0))</f>
        <v>0</v>
      </c>
      <c r="AI270" s="108">
        <f ca="1">AI254*INDEX('Timing &amp; Flags'!AI89:AI91,MATCH($D$261,Indexation,0))</f>
        <v>0</v>
      </c>
      <c r="AJ270" s="108">
        <f ca="1">AJ254*INDEX('Timing &amp; Flags'!AJ89:AJ91,MATCH($D$261,Indexation,0))</f>
        <v>0</v>
      </c>
      <c r="AK270" s="108">
        <f ca="1">AK254*INDEX('Timing &amp; Flags'!AK89:AK91,MATCH($D$261,Indexation,0))</f>
        <v>0</v>
      </c>
      <c r="AL270" s="108">
        <f ca="1">AL254*INDEX('Timing &amp; Flags'!AL89:AL91,MATCH($D$261,Indexation,0))</f>
        <v>0</v>
      </c>
      <c r="AM270" s="108">
        <f>AM254*INDEX('Timing &amp; Flags'!AM89:AM91,MATCH($D$261,Indexation,0))</f>
        <v>0</v>
      </c>
      <c r="AN270" s="108">
        <f>AN254*INDEX('Timing &amp; Flags'!AN89:AN91,MATCH($D$261,Indexation,0))</f>
        <v>0</v>
      </c>
      <c r="AO270" s="108">
        <f>AO254*INDEX('Timing &amp; Flags'!AO89:AO91,MATCH($D$261,Indexation,0))</f>
        <v>0</v>
      </c>
      <c r="AP270" s="108">
        <f>AP254*INDEX('Timing &amp; Flags'!AP89:AP91,MATCH($D$261,Indexation,0))</f>
        <v>0</v>
      </c>
      <c r="AQ270" s="108">
        <f>AQ254*INDEX('Timing &amp; Flags'!AQ89:AQ91,MATCH($D$261,Indexation,0))</f>
        <v>0</v>
      </c>
      <c r="AR270" s="108">
        <f>AR254*INDEX('Timing &amp; Flags'!AR89:AR91,MATCH($D$261,Indexation,0))</f>
        <v>0</v>
      </c>
      <c r="AS270" s="108">
        <f>AS254*INDEX('Timing &amp; Flags'!AS89:AS91,MATCH($D$261,Indexation,0))</f>
        <v>0</v>
      </c>
      <c r="AT270" s="108">
        <f>AT254*INDEX('Timing &amp; Flags'!AT89:AT91,MATCH($D$261,Indexation,0))</f>
        <v>0</v>
      </c>
      <c r="AU270" s="108">
        <f>AU254*INDEX('Timing &amp; Flags'!AU89:AU91,MATCH($D$261,Indexation,0))</f>
        <v>0</v>
      </c>
      <c r="AV270" s="108">
        <f>AV254*INDEX('Timing &amp; Flags'!AV89:AV91,MATCH($D$261,Indexation,0))</f>
        <v>0</v>
      </c>
      <c r="AW270" s="108">
        <f>AW254*INDEX('Timing &amp; Flags'!AW89:AW91,MATCH($D$261,Indexation,0))</f>
        <v>0</v>
      </c>
    </row>
    <row r="271" spans="2:49">
      <c r="B271" s="2" t="s">
        <v>71</v>
      </c>
      <c r="C271" s="15" t="str">
        <f t="shared" si="83"/>
        <v>US$</v>
      </c>
      <c r="D271" s="42">
        <f ca="1">SUM(D266:D270)</f>
        <v>0</v>
      </c>
      <c r="I271" s="42">
        <f>SUM(I266:I270)</f>
        <v>0</v>
      </c>
      <c r="J271" s="42">
        <f t="shared" ref="J271:AW271" si="84">SUM(J266:J270)</f>
        <v>0</v>
      </c>
      <c r="K271" s="42">
        <f t="shared" si="84"/>
        <v>0</v>
      </c>
      <c r="L271" s="42">
        <f t="shared" ca="1" si="84"/>
        <v>0</v>
      </c>
      <c r="M271" s="42">
        <f t="shared" ca="1" si="84"/>
        <v>0</v>
      </c>
      <c r="N271" s="42">
        <f t="shared" ca="1" si="84"/>
        <v>0</v>
      </c>
      <c r="O271" s="42">
        <f t="shared" ca="1" si="84"/>
        <v>0</v>
      </c>
      <c r="P271" s="42">
        <f t="shared" ca="1" si="84"/>
        <v>0</v>
      </c>
      <c r="Q271" s="42">
        <f t="shared" ca="1" si="84"/>
        <v>0</v>
      </c>
      <c r="R271" s="42">
        <f t="shared" ca="1" si="84"/>
        <v>0</v>
      </c>
      <c r="S271" s="42">
        <f t="shared" ca="1" si="84"/>
        <v>0</v>
      </c>
      <c r="T271" s="42">
        <f t="shared" ca="1" si="84"/>
        <v>0</v>
      </c>
      <c r="U271" s="42">
        <f t="shared" ca="1" si="84"/>
        <v>0</v>
      </c>
      <c r="V271" s="42">
        <f t="shared" ca="1" si="84"/>
        <v>0</v>
      </c>
      <c r="W271" s="42">
        <f t="shared" ca="1" si="84"/>
        <v>0</v>
      </c>
      <c r="X271" s="42">
        <f t="shared" ca="1" si="84"/>
        <v>0</v>
      </c>
      <c r="Y271" s="42">
        <f t="shared" ca="1" si="84"/>
        <v>0</v>
      </c>
      <c r="Z271" s="42">
        <f t="shared" ca="1" si="84"/>
        <v>0</v>
      </c>
      <c r="AA271" s="42">
        <f t="shared" ca="1" si="84"/>
        <v>0</v>
      </c>
      <c r="AB271" s="42">
        <f t="shared" ca="1" si="84"/>
        <v>0</v>
      </c>
      <c r="AC271" s="42">
        <f t="shared" ca="1" si="84"/>
        <v>0</v>
      </c>
      <c r="AD271" s="42">
        <f t="shared" ca="1" si="84"/>
        <v>0</v>
      </c>
      <c r="AE271" s="42">
        <f t="shared" ca="1" si="84"/>
        <v>0</v>
      </c>
      <c r="AF271" s="42">
        <f t="shared" ca="1" si="84"/>
        <v>0</v>
      </c>
      <c r="AG271" s="42">
        <f t="shared" ca="1" si="84"/>
        <v>0</v>
      </c>
      <c r="AH271" s="42">
        <f t="shared" ca="1" si="84"/>
        <v>0</v>
      </c>
      <c r="AI271" s="42">
        <f t="shared" ca="1" si="84"/>
        <v>0</v>
      </c>
      <c r="AJ271" s="42">
        <f t="shared" ca="1" si="84"/>
        <v>0</v>
      </c>
      <c r="AK271" s="42">
        <f t="shared" ca="1" si="84"/>
        <v>0</v>
      </c>
      <c r="AL271" s="42">
        <f t="shared" ca="1" si="84"/>
        <v>0</v>
      </c>
      <c r="AM271" s="42">
        <f t="shared" si="84"/>
        <v>0</v>
      </c>
      <c r="AN271" s="42">
        <f t="shared" si="84"/>
        <v>0</v>
      </c>
      <c r="AO271" s="42">
        <f t="shared" si="84"/>
        <v>0</v>
      </c>
      <c r="AP271" s="42">
        <f t="shared" si="84"/>
        <v>0</v>
      </c>
      <c r="AQ271" s="42">
        <f t="shared" si="84"/>
        <v>0</v>
      </c>
      <c r="AR271" s="42">
        <f t="shared" si="84"/>
        <v>0</v>
      </c>
      <c r="AS271" s="42">
        <f t="shared" si="84"/>
        <v>0</v>
      </c>
      <c r="AT271" s="42">
        <f t="shared" si="84"/>
        <v>0</v>
      </c>
      <c r="AU271" s="42">
        <f t="shared" si="84"/>
        <v>0</v>
      </c>
      <c r="AV271" s="42">
        <f t="shared" si="84"/>
        <v>0</v>
      </c>
      <c r="AW271" s="42">
        <f t="shared" si="84"/>
        <v>0</v>
      </c>
    </row>
    <row r="273" spans="2:49">
      <c r="B273" s="10" t="s">
        <v>355</v>
      </c>
    </row>
    <row r="275" spans="2:49">
      <c r="B275" s="2" t="s">
        <v>356</v>
      </c>
      <c r="C275" s="15" t="s">
        <v>19</v>
      </c>
      <c r="D275" s="118">
        <f>'Input '!F293</f>
        <v>45</v>
      </c>
    </row>
    <row r="277" spans="2:49">
      <c r="B277" s="2" t="s">
        <v>263</v>
      </c>
      <c r="C277" s="15" t="str">
        <f>$C$39</f>
        <v>US$</v>
      </c>
      <c r="I277" s="53">
        <f>H280</f>
        <v>0</v>
      </c>
      <c r="J277" s="53">
        <f t="shared" ref="J277:AI277" ca="1" si="85">I280</f>
        <v>0</v>
      </c>
      <c r="K277" s="53">
        <f t="shared" ca="1" si="85"/>
        <v>0</v>
      </c>
      <c r="L277" s="53">
        <f t="shared" ca="1" si="85"/>
        <v>0</v>
      </c>
      <c r="M277" s="53">
        <f t="shared" ca="1" si="85"/>
        <v>0</v>
      </c>
      <c r="N277" s="53">
        <f t="shared" ca="1" si="85"/>
        <v>0</v>
      </c>
      <c r="O277" s="53">
        <f t="shared" ca="1" si="85"/>
        <v>0</v>
      </c>
      <c r="P277" s="53">
        <f t="shared" ca="1" si="85"/>
        <v>0</v>
      </c>
      <c r="Q277" s="53">
        <f t="shared" ca="1" si="85"/>
        <v>0</v>
      </c>
      <c r="R277" s="53">
        <f t="shared" ca="1" si="85"/>
        <v>0</v>
      </c>
      <c r="S277" s="53">
        <f t="shared" ca="1" si="85"/>
        <v>0</v>
      </c>
      <c r="T277" s="53">
        <f t="shared" ca="1" si="85"/>
        <v>0</v>
      </c>
      <c r="U277" s="53">
        <f t="shared" ca="1" si="85"/>
        <v>0</v>
      </c>
      <c r="V277" s="53">
        <f t="shared" ca="1" si="85"/>
        <v>0</v>
      </c>
      <c r="W277" s="53">
        <f t="shared" ca="1" si="85"/>
        <v>0</v>
      </c>
      <c r="X277" s="53">
        <f t="shared" ca="1" si="85"/>
        <v>0</v>
      </c>
      <c r="Y277" s="53">
        <f t="shared" ca="1" si="85"/>
        <v>0</v>
      </c>
      <c r="Z277" s="53">
        <f t="shared" ca="1" si="85"/>
        <v>0</v>
      </c>
      <c r="AA277" s="53">
        <f t="shared" ca="1" si="85"/>
        <v>0</v>
      </c>
      <c r="AB277" s="53">
        <f t="shared" ca="1" si="85"/>
        <v>0</v>
      </c>
      <c r="AC277" s="53">
        <f t="shared" ca="1" si="85"/>
        <v>0</v>
      </c>
      <c r="AD277" s="53">
        <f t="shared" ca="1" si="85"/>
        <v>0</v>
      </c>
      <c r="AE277" s="53">
        <f t="shared" ca="1" si="85"/>
        <v>0</v>
      </c>
      <c r="AF277" s="53">
        <f t="shared" ca="1" si="85"/>
        <v>0</v>
      </c>
      <c r="AG277" s="53">
        <f t="shared" ca="1" si="85"/>
        <v>0</v>
      </c>
      <c r="AH277" s="53">
        <f t="shared" ca="1" si="85"/>
        <v>0</v>
      </c>
      <c r="AI277" s="53">
        <f t="shared" ca="1" si="85"/>
        <v>0</v>
      </c>
      <c r="AJ277" s="53">
        <f t="shared" ref="AJ277:AW277" ca="1" si="86">AI280</f>
        <v>0</v>
      </c>
      <c r="AK277" s="53">
        <f t="shared" ca="1" si="86"/>
        <v>0</v>
      </c>
      <c r="AL277" s="53">
        <f t="shared" ca="1" si="86"/>
        <v>0</v>
      </c>
      <c r="AM277" s="53">
        <f t="shared" si="86"/>
        <v>0</v>
      </c>
      <c r="AN277" s="53">
        <f t="shared" ca="1" si="86"/>
        <v>0</v>
      </c>
      <c r="AO277" s="53">
        <f t="shared" ca="1" si="86"/>
        <v>0</v>
      </c>
      <c r="AP277" s="53">
        <f t="shared" ca="1" si="86"/>
        <v>0</v>
      </c>
      <c r="AQ277" s="53">
        <f t="shared" ca="1" si="86"/>
        <v>0</v>
      </c>
      <c r="AR277" s="53">
        <f t="shared" ca="1" si="86"/>
        <v>0</v>
      </c>
      <c r="AS277" s="53">
        <f t="shared" ca="1" si="86"/>
        <v>0</v>
      </c>
      <c r="AT277" s="53">
        <f t="shared" ca="1" si="86"/>
        <v>0</v>
      </c>
      <c r="AU277" s="53">
        <f t="shared" ca="1" si="86"/>
        <v>0</v>
      </c>
      <c r="AV277" s="53">
        <f t="shared" ca="1" si="86"/>
        <v>0</v>
      </c>
      <c r="AW277" s="53">
        <f t="shared" ca="1" si="86"/>
        <v>0</v>
      </c>
    </row>
    <row r="278" spans="2:49">
      <c r="B278" s="2" t="s">
        <v>357</v>
      </c>
      <c r="C278" s="15" t="str">
        <f>$C$39</f>
        <v>US$</v>
      </c>
      <c r="D278" s="41">
        <f ca="1">SUM(I278:AI278)</f>
        <v>0</v>
      </c>
      <c r="I278" s="53">
        <f>I271</f>
        <v>0</v>
      </c>
      <c r="J278" s="53">
        <f t="shared" ref="J278:AI278" si="87">J271</f>
        <v>0</v>
      </c>
      <c r="K278" s="53">
        <f t="shared" si="87"/>
        <v>0</v>
      </c>
      <c r="L278" s="53">
        <f ca="1">L271</f>
        <v>0</v>
      </c>
      <c r="M278" s="53">
        <f t="shared" ca="1" si="87"/>
        <v>0</v>
      </c>
      <c r="N278" s="53">
        <f t="shared" ca="1" si="87"/>
        <v>0</v>
      </c>
      <c r="O278" s="53">
        <f t="shared" ca="1" si="87"/>
        <v>0</v>
      </c>
      <c r="P278" s="53">
        <f t="shared" ca="1" si="87"/>
        <v>0</v>
      </c>
      <c r="Q278" s="53">
        <f t="shared" ca="1" si="87"/>
        <v>0</v>
      </c>
      <c r="R278" s="53">
        <f t="shared" ca="1" si="87"/>
        <v>0</v>
      </c>
      <c r="S278" s="53">
        <f t="shared" ca="1" si="87"/>
        <v>0</v>
      </c>
      <c r="T278" s="53">
        <f t="shared" ca="1" si="87"/>
        <v>0</v>
      </c>
      <c r="U278" s="53">
        <f t="shared" ca="1" si="87"/>
        <v>0</v>
      </c>
      <c r="V278" s="53">
        <f t="shared" ca="1" si="87"/>
        <v>0</v>
      </c>
      <c r="W278" s="53">
        <f t="shared" ca="1" si="87"/>
        <v>0</v>
      </c>
      <c r="X278" s="53">
        <f t="shared" ca="1" si="87"/>
        <v>0</v>
      </c>
      <c r="Y278" s="53">
        <f t="shared" ca="1" si="87"/>
        <v>0</v>
      </c>
      <c r="Z278" s="53">
        <f t="shared" ca="1" si="87"/>
        <v>0</v>
      </c>
      <c r="AA278" s="53">
        <f t="shared" ca="1" si="87"/>
        <v>0</v>
      </c>
      <c r="AB278" s="53">
        <f t="shared" ca="1" si="87"/>
        <v>0</v>
      </c>
      <c r="AC278" s="53">
        <f t="shared" ca="1" si="87"/>
        <v>0</v>
      </c>
      <c r="AD278" s="53">
        <f t="shared" ca="1" si="87"/>
        <v>0</v>
      </c>
      <c r="AE278" s="53">
        <f t="shared" ca="1" si="87"/>
        <v>0</v>
      </c>
      <c r="AF278" s="53">
        <f t="shared" ca="1" si="87"/>
        <v>0</v>
      </c>
      <c r="AG278" s="53">
        <f t="shared" ca="1" si="87"/>
        <v>0</v>
      </c>
      <c r="AH278" s="53">
        <f t="shared" ca="1" si="87"/>
        <v>0</v>
      </c>
      <c r="AI278" s="53">
        <f t="shared" ca="1" si="87"/>
        <v>0</v>
      </c>
      <c r="AJ278" s="53">
        <f t="shared" ref="AJ278:AW278" ca="1" si="88">AJ271</f>
        <v>0</v>
      </c>
      <c r="AK278" s="53">
        <f t="shared" ca="1" si="88"/>
        <v>0</v>
      </c>
      <c r="AL278" s="53">
        <f t="shared" ca="1" si="88"/>
        <v>0</v>
      </c>
      <c r="AM278" s="53">
        <f t="shared" si="88"/>
        <v>0</v>
      </c>
      <c r="AN278" s="53">
        <f t="shared" si="88"/>
        <v>0</v>
      </c>
      <c r="AO278" s="53">
        <f t="shared" si="88"/>
        <v>0</v>
      </c>
      <c r="AP278" s="53">
        <f t="shared" si="88"/>
        <v>0</v>
      </c>
      <c r="AQ278" s="53">
        <f t="shared" si="88"/>
        <v>0</v>
      </c>
      <c r="AR278" s="53">
        <f t="shared" si="88"/>
        <v>0</v>
      </c>
      <c r="AS278" s="53">
        <f t="shared" si="88"/>
        <v>0</v>
      </c>
      <c r="AT278" s="53">
        <f t="shared" si="88"/>
        <v>0</v>
      </c>
      <c r="AU278" s="53">
        <f t="shared" si="88"/>
        <v>0</v>
      </c>
      <c r="AV278" s="53">
        <f t="shared" si="88"/>
        <v>0</v>
      </c>
      <c r="AW278" s="53">
        <f t="shared" si="88"/>
        <v>0</v>
      </c>
    </row>
    <row r="279" spans="2:49">
      <c r="B279" s="27" t="s">
        <v>358</v>
      </c>
      <c r="C279" s="28" t="str">
        <f>$C$39</f>
        <v>US$</v>
      </c>
      <c r="D279" s="43">
        <f ca="1">SUM(I279:AI279)</f>
        <v>0</v>
      </c>
      <c r="E279" s="27"/>
      <c r="F279" s="27"/>
      <c r="G279" s="27"/>
      <c r="H279" s="27"/>
      <c r="I279" s="43">
        <f t="shared" ref="I279:AI279" ca="1" si="89">I280-SUM(I277:I278)</f>
        <v>0</v>
      </c>
      <c r="J279" s="43">
        <f t="shared" ca="1" si="89"/>
        <v>0</v>
      </c>
      <c r="K279" s="43">
        <f t="shared" ca="1" si="89"/>
        <v>0</v>
      </c>
      <c r="L279" s="43">
        <f ca="1">L280-SUM(L277:L278)</f>
        <v>0</v>
      </c>
      <c r="M279" s="43">
        <f t="shared" ca="1" si="89"/>
        <v>0</v>
      </c>
      <c r="N279" s="43">
        <f t="shared" ca="1" si="89"/>
        <v>0</v>
      </c>
      <c r="O279" s="43">
        <f t="shared" ca="1" si="89"/>
        <v>0</v>
      </c>
      <c r="P279" s="43">
        <f t="shared" ca="1" si="89"/>
        <v>0</v>
      </c>
      <c r="Q279" s="43">
        <f t="shared" ca="1" si="89"/>
        <v>0</v>
      </c>
      <c r="R279" s="43">
        <f t="shared" ca="1" si="89"/>
        <v>0</v>
      </c>
      <c r="S279" s="43">
        <f t="shared" ca="1" si="89"/>
        <v>0</v>
      </c>
      <c r="T279" s="43">
        <f t="shared" ca="1" si="89"/>
        <v>0</v>
      </c>
      <c r="U279" s="43">
        <f t="shared" ca="1" si="89"/>
        <v>0</v>
      </c>
      <c r="V279" s="43">
        <f t="shared" ca="1" si="89"/>
        <v>0</v>
      </c>
      <c r="W279" s="43">
        <f t="shared" ca="1" si="89"/>
        <v>0</v>
      </c>
      <c r="X279" s="43">
        <f t="shared" ca="1" si="89"/>
        <v>0</v>
      </c>
      <c r="Y279" s="43">
        <f t="shared" ca="1" si="89"/>
        <v>0</v>
      </c>
      <c r="Z279" s="43">
        <f t="shared" ca="1" si="89"/>
        <v>0</v>
      </c>
      <c r="AA279" s="43">
        <f t="shared" ca="1" si="89"/>
        <v>0</v>
      </c>
      <c r="AB279" s="43">
        <f t="shared" ca="1" si="89"/>
        <v>0</v>
      </c>
      <c r="AC279" s="43">
        <f t="shared" ca="1" si="89"/>
        <v>0</v>
      </c>
      <c r="AD279" s="43">
        <f t="shared" ca="1" si="89"/>
        <v>0</v>
      </c>
      <c r="AE279" s="43">
        <f t="shared" ca="1" si="89"/>
        <v>0</v>
      </c>
      <c r="AF279" s="43">
        <f t="shared" ca="1" si="89"/>
        <v>0</v>
      </c>
      <c r="AG279" s="43">
        <f t="shared" ca="1" si="89"/>
        <v>0</v>
      </c>
      <c r="AH279" s="43">
        <f t="shared" ca="1" si="89"/>
        <v>0</v>
      </c>
      <c r="AI279" s="43">
        <f t="shared" ca="1" si="89"/>
        <v>0</v>
      </c>
      <c r="AJ279" s="43">
        <f t="shared" ref="AJ279:AW279" ca="1" si="90">AJ280-SUM(AJ277:AJ278)</f>
        <v>0</v>
      </c>
      <c r="AK279" s="43">
        <f t="shared" ca="1" si="90"/>
        <v>0</v>
      </c>
      <c r="AL279" s="43">
        <f t="shared" ca="1" si="90"/>
        <v>0</v>
      </c>
      <c r="AM279" s="43">
        <f t="shared" ca="1" si="90"/>
        <v>0</v>
      </c>
      <c r="AN279" s="43">
        <f t="shared" ca="1" si="90"/>
        <v>0</v>
      </c>
      <c r="AO279" s="43">
        <f t="shared" ca="1" si="90"/>
        <v>0</v>
      </c>
      <c r="AP279" s="43">
        <f t="shared" ca="1" si="90"/>
        <v>0</v>
      </c>
      <c r="AQ279" s="43">
        <f t="shared" ca="1" si="90"/>
        <v>0</v>
      </c>
      <c r="AR279" s="43">
        <f t="shared" ca="1" si="90"/>
        <v>0</v>
      </c>
      <c r="AS279" s="43">
        <f t="shared" ca="1" si="90"/>
        <v>0</v>
      </c>
      <c r="AT279" s="43">
        <f t="shared" ca="1" si="90"/>
        <v>0</v>
      </c>
      <c r="AU279" s="43">
        <f t="shared" ca="1" si="90"/>
        <v>0</v>
      </c>
      <c r="AV279" s="43">
        <f t="shared" ca="1" si="90"/>
        <v>0</v>
      </c>
      <c r="AW279" s="43">
        <f t="shared" ca="1" si="90"/>
        <v>0</v>
      </c>
    </row>
    <row r="280" spans="2:49">
      <c r="B280" s="2" t="s">
        <v>266</v>
      </c>
      <c r="C280" s="15" t="str">
        <f>$C$39</f>
        <v>US$</v>
      </c>
      <c r="D280" s="42">
        <f ca="1">SUM(D277:D279)</f>
        <v>0</v>
      </c>
      <c r="H280" s="135"/>
      <c r="I280" s="41">
        <f ca="1">IF('Fixed Assets'!I18=1,0,I278*$D$275/'Fixed Assets'!I5)</f>
        <v>0</v>
      </c>
      <c r="J280" s="41">
        <f ca="1">IF('Fixed Assets'!J18=1,0,J278*$D$275/'Fixed Assets'!J5)</f>
        <v>0</v>
      </c>
      <c r="K280" s="41">
        <f ca="1">IF('Fixed Assets'!K18=1,0,K278*$D$275/'Fixed Assets'!K5)</f>
        <v>0</v>
      </c>
      <c r="L280" s="41">
        <f ca="1">IF('Fixed Assets'!L18=1,0,L278*$D$275/'Fixed Assets'!L5)</f>
        <v>0</v>
      </c>
      <c r="M280" s="41">
        <f ca="1">IF('Fixed Assets'!M18=1,0,M278*$D$275/'Fixed Assets'!M5)</f>
        <v>0</v>
      </c>
      <c r="N280" s="41">
        <f ca="1">IF('Fixed Assets'!N18=1,0,N278*$D$275/'Fixed Assets'!N5)</f>
        <v>0</v>
      </c>
      <c r="O280" s="41">
        <f ca="1">IF('Fixed Assets'!O18=1,0,O278*$D$275/'Fixed Assets'!O5)</f>
        <v>0</v>
      </c>
      <c r="P280" s="41">
        <f ca="1">IF('Fixed Assets'!P18=1,0,P278*$D$275/'Fixed Assets'!P5)</f>
        <v>0</v>
      </c>
      <c r="Q280" s="41">
        <f ca="1">IF('Fixed Assets'!Q18=1,0,Q278*$D$275/'Fixed Assets'!Q5)</f>
        <v>0</v>
      </c>
      <c r="R280" s="41">
        <f ca="1">IF('Fixed Assets'!R18=1,0,R278*$D$275/'Fixed Assets'!R5)</f>
        <v>0</v>
      </c>
      <c r="S280" s="41">
        <f ca="1">IF('Fixed Assets'!S18=1,0,S278*$D$275/'Fixed Assets'!S5)</f>
        <v>0</v>
      </c>
      <c r="T280" s="41">
        <f ca="1">IF('Fixed Assets'!T18=1,0,T278*$D$275/'Fixed Assets'!T5)</f>
        <v>0</v>
      </c>
      <c r="U280" s="41">
        <f ca="1">IF('Fixed Assets'!U18=1,0,U278*$D$275/'Fixed Assets'!U5)</f>
        <v>0</v>
      </c>
      <c r="V280" s="41">
        <f ca="1">IF('Fixed Assets'!V18=1,0,V278*$D$275/'Fixed Assets'!V5)</f>
        <v>0</v>
      </c>
      <c r="W280" s="41">
        <f ca="1">IF('Fixed Assets'!W18=1,0,W278*$D$275/'Fixed Assets'!W5)</f>
        <v>0</v>
      </c>
      <c r="X280" s="41">
        <f ca="1">IF('Fixed Assets'!X18=1,0,X278*$D$275/'Fixed Assets'!X5)</f>
        <v>0</v>
      </c>
      <c r="Y280" s="41">
        <f ca="1">IF('Fixed Assets'!Y18=1,0,Y278*$D$275/'Fixed Assets'!Y5)</f>
        <v>0</v>
      </c>
      <c r="Z280" s="41">
        <f ca="1">IF('Fixed Assets'!Z18=1,0,Z278*$D$275/'Fixed Assets'!Z5)</f>
        <v>0</v>
      </c>
      <c r="AA280" s="41">
        <f ca="1">IF('Fixed Assets'!AA18=1,0,AA278*$D$275/'Fixed Assets'!AA5)</f>
        <v>0</v>
      </c>
      <c r="AB280" s="41">
        <f ca="1">IF('Fixed Assets'!AB18=1,0,AB278*$D$275/'Fixed Assets'!AB5)</f>
        <v>0</v>
      </c>
      <c r="AC280" s="41">
        <f ca="1">IF('Fixed Assets'!AC18=1,0,AC278*$D$275/'Fixed Assets'!AC5)</f>
        <v>0</v>
      </c>
      <c r="AD280" s="41">
        <f ca="1">IF('Fixed Assets'!AD18=1,0,AD278*$D$275/'Fixed Assets'!AD5)</f>
        <v>0</v>
      </c>
      <c r="AE280" s="41">
        <f ca="1">IF('Fixed Assets'!AE18=1,0,AE278*$D$275/'Fixed Assets'!AE5)</f>
        <v>0</v>
      </c>
      <c r="AF280" s="41">
        <f ca="1">IF('Fixed Assets'!AF18=1,0,AF278*$D$275/'Fixed Assets'!AF5)</f>
        <v>0</v>
      </c>
      <c r="AG280" s="41">
        <f ca="1">IF('Fixed Assets'!AG18=1,0,AG278*$D$275/'Fixed Assets'!AG5)</f>
        <v>0</v>
      </c>
      <c r="AH280" s="41">
        <f ca="1">IF('Fixed Assets'!AH18=1,0,AH278*$D$275/'Fixed Assets'!AH5)</f>
        <v>0</v>
      </c>
      <c r="AI280" s="41">
        <f ca="1">IF('Fixed Assets'!AI18=1,0,AI278*$D$275/'Fixed Assets'!AI5)</f>
        <v>0</v>
      </c>
      <c r="AJ280" s="41">
        <f ca="1">IF('Fixed Assets'!AJ18=1,0,AJ278*$D$275/'Fixed Assets'!AJ5)</f>
        <v>0</v>
      </c>
      <c r="AK280" s="41">
        <f ca="1">IF('Fixed Assets'!AK18=1,0,AK278*$D$275/'Fixed Assets'!AK5)</f>
        <v>0</v>
      </c>
      <c r="AL280" s="41">
        <f>IF('Fixed Assets'!AL18=1,0,AL278*$D$275/'Fixed Assets'!AL5)</f>
        <v>0</v>
      </c>
      <c r="AM280" s="41">
        <f ca="1">IF('Fixed Assets'!AM18=1,0,AM278*$D$275/'Fixed Assets'!AM5)</f>
        <v>0</v>
      </c>
      <c r="AN280" s="41">
        <f ca="1">IF('Fixed Assets'!AN18=1,0,AN278*$D$275/'Fixed Assets'!AN5)</f>
        <v>0</v>
      </c>
      <c r="AO280" s="41">
        <f ca="1">IF('Fixed Assets'!AO18=1,0,AO278*$D$275/'Fixed Assets'!AO5)</f>
        <v>0</v>
      </c>
      <c r="AP280" s="41">
        <f ca="1">IF('Fixed Assets'!AP18=1,0,AP278*$D$275/'Fixed Assets'!AP5)</f>
        <v>0</v>
      </c>
      <c r="AQ280" s="41">
        <f ca="1">IF('Fixed Assets'!AQ18=1,0,AQ278*$D$275/'Fixed Assets'!AQ5)</f>
        <v>0</v>
      </c>
      <c r="AR280" s="41">
        <f ca="1">IF('Fixed Assets'!AR18=1,0,AR278*$D$275/'Fixed Assets'!AR5)</f>
        <v>0</v>
      </c>
      <c r="AS280" s="41">
        <f ca="1">IF('Fixed Assets'!AS18=1,0,AS278*$D$275/'Fixed Assets'!AS5)</f>
        <v>0</v>
      </c>
      <c r="AT280" s="41">
        <f ca="1">IF('Fixed Assets'!AT18=1,0,AT278*$D$275/'Fixed Assets'!AT5)</f>
        <v>0</v>
      </c>
      <c r="AU280" s="41">
        <f ca="1">IF('Fixed Assets'!AU18=1,0,AU278*$D$275/'Fixed Assets'!AU5)</f>
        <v>0</v>
      </c>
      <c r="AV280" s="41">
        <f ca="1">IF('Fixed Assets'!AV18=1,0,AV278*$D$275/'Fixed Assets'!AV5)</f>
        <v>0</v>
      </c>
      <c r="AW280" s="41">
        <f ca="1">IF('Fixed Assets'!AW18=1,0,AW278*$D$275/'Fixed Assets'!AW5)</f>
        <v>0</v>
      </c>
    </row>
    <row r="282" spans="2:49">
      <c r="B282" s="10" t="s">
        <v>359</v>
      </c>
    </row>
    <row r="284" spans="2:49">
      <c r="B284" s="2" t="s">
        <v>360</v>
      </c>
      <c r="C284" s="15" t="str">
        <f>$C$39</f>
        <v>US$</v>
      </c>
      <c r="D284" s="41">
        <f ca="1">SUM(I284:AI284)</f>
        <v>0</v>
      </c>
      <c r="I284" s="42">
        <f>$D$246*I24*'Timing &amp; Flags'!I104</f>
        <v>0</v>
      </c>
      <c r="J284" s="42">
        <f>$D$246*J24*'Timing &amp; Flags'!J104</f>
        <v>0</v>
      </c>
      <c r="K284" s="42">
        <f>$D$246*K24*'Timing &amp; Flags'!K104</f>
        <v>0</v>
      </c>
      <c r="L284" s="42">
        <f ca="1">$D$246*L24*'Timing &amp; Flags'!L104</f>
        <v>0</v>
      </c>
      <c r="M284" s="42">
        <f ca="1">$D$246*M24*'Timing &amp; Flags'!M104</f>
        <v>0</v>
      </c>
      <c r="N284" s="42">
        <f ca="1">$D$246*N24*'Timing &amp; Flags'!N104</f>
        <v>0</v>
      </c>
      <c r="O284" s="42">
        <f ca="1">$D$246*O24*'Timing &amp; Flags'!O104</f>
        <v>0</v>
      </c>
      <c r="P284" s="42">
        <f ca="1">$D$246*P24*'Timing &amp; Flags'!P104</f>
        <v>0</v>
      </c>
      <c r="Q284" s="42">
        <f ca="1">$D$246*Q24*'Timing &amp; Flags'!Q104</f>
        <v>0</v>
      </c>
      <c r="R284" s="42">
        <f ca="1">$D$246*R24*'Timing &amp; Flags'!R104</f>
        <v>0</v>
      </c>
      <c r="S284" s="42">
        <f ca="1">$D$246*S24*'Timing &amp; Flags'!S104</f>
        <v>0</v>
      </c>
      <c r="T284" s="42">
        <f ca="1">$D$246*T24*'Timing &amp; Flags'!T104</f>
        <v>0</v>
      </c>
      <c r="U284" s="42">
        <f ca="1">$D$246*U24*'Timing &amp; Flags'!U104</f>
        <v>0</v>
      </c>
      <c r="V284" s="42">
        <f ca="1">$D$246*V24*'Timing &amp; Flags'!V104</f>
        <v>0</v>
      </c>
      <c r="W284" s="42">
        <f ca="1">$D$246*W24*'Timing &amp; Flags'!W104</f>
        <v>0</v>
      </c>
      <c r="X284" s="42">
        <f ca="1">$D$246*X24*'Timing &amp; Flags'!X104</f>
        <v>0</v>
      </c>
      <c r="Y284" s="42">
        <f ca="1">$D$246*Y24*'Timing &amp; Flags'!Y104</f>
        <v>0</v>
      </c>
      <c r="Z284" s="42">
        <f ca="1">$D$246*Z24*'Timing &amp; Flags'!Z104</f>
        <v>0</v>
      </c>
      <c r="AA284" s="42">
        <f ca="1">$D$246*AA24*'Timing &amp; Flags'!AA104</f>
        <v>0</v>
      </c>
      <c r="AB284" s="42">
        <f ca="1">$D$246*AB24*'Timing &amp; Flags'!AB104</f>
        <v>0</v>
      </c>
      <c r="AC284" s="42">
        <f ca="1">$D$246*AC24*'Timing &amp; Flags'!AC104</f>
        <v>0</v>
      </c>
      <c r="AD284" s="42">
        <f ca="1">$D$246*AD24*'Timing &amp; Flags'!AD104</f>
        <v>0</v>
      </c>
      <c r="AE284" s="42">
        <f ca="1">$D$246*AE24*'Timing &amp; Flags'!AE104</f>
        <v>0</v>
      </c>
      <c r="AF284" s="42">
        <f ca="1">$D$246*AF24*'Timing &amp; Flags'!AF104</f>
        <v>0</v>
      </c>
      <c r="AG284" s="42">
        <f ca="1">$D$246*AG24*'Timing &amp; Flags'!AG104</f>
        <v>0</v>
      </c>
      <c r="AH284" s="42">
        <f ca="1">$D$246*AH24*'Timing &amp; Flags'!AH104</f>
        <v>0</v>
      </c>
      <c r="AI284" s="42">
        <f ca="1">$D$246*AI24*'Timing &amp; Flags'!AI104</f>
        <v>0</v>
      </c>
      <c r="AJ284" s="42">
        <f ca="1">$D$246*AJ24*'Timing &amp; Flags'!AJ104</f>
        <v>0</v>
      </c>
      <c r="AK284" s="42">
        <f ca="1">$D$246*AK24*'Timing &amp; Flags'!AK104</f>
        <v>0</v>
      </c>
      <c r="AL284" s="42">
        <f ca="1">$D$246*AL24*'Timing &amp; Flags'!AL104</f>
        <v>0</v>
      </c>
      <c r="AM284" s="42">
        <f>$D$246*AM24*'Timing &amp; Flags'!AM104</f>
        <v>0</v>
      </c>
      <c r="AN284" s="42">
        <f>$D$246*AN24*'Timing &amp; Flags'!AN104</f>
        <v>0</v>
      </c>
      <c r="AO284" s="42">
        <f>$D$246*AO24*'Timing &amp; Flags'!AO104</f>
        <v>0</v>
      </c>
      <c r="AP284" s="42">
        <f>$D$246*AP24*'Timing &amp; Flags'!AP104</f>
        <v>0</v>
      </c>
      <c r="AQ284" s="42">
        <f>$D$246*AQ24*'Timing &amp; Flags'!AQ104</f>
        <v>0</v>
      </c>
      <c r="AR284" s="42">
        <f>$D$246*AR24*'Timing &amp; Flags'!AR104</f>
        <v>0</v>
      </c>
      <c r="AS284" s="42">
        <f>$D$246*AS24*'Timing &amp; Flags'!AS104</f>
        <v>0</v>
      </c>
      <c r="AT284" s="42">
        <f>$D$246*AT24*'Timing &amp; Flags'!AT104</f>
        <v>0</v>
      </c>
      <c r="AU284" s="42">
        <f>$D$246*AU24*'Timing &amp; Flags'!AU104</f>
        <v>0</v>
      </c>
      <c r="AV284" s="42">
        <f>$D$246*AV24*'Timing &amp; Flags'!AV104</f>
        <v>0</v>
      </c>
      <c r="AW284" s="42">
        <f>$D$246*AW24*'Timing &amp; Flags'!AW104</f>
        <v>0</v>
      </c>
    </row>
    <row r="285" spans="2:49">
      <c r="B285" s="2" t="s">
        <v>361</v>
      </c>
      <c r="C285" s="15" t="str">
        <f>$C$39</f>
        <v>US$</v>
      </c>
      <c r="D285" s="41">
        <f ca="1">SUM(I285:AI285)</f>
        <v>0</v>
      </c>
      <c r="I285" s="42">
        <f>I284*INDEX('Timing &amp; Flags'!I89:I91,MATCH($D$262,Indexation,0))</f>
        <v>0</v>
      </c>
      <c r="J285" s="42">
        <f>J284*INDEX('Timing &amp; Flags'!J89:J91,MATCH($D$262,Indexation,0))</f>
        <v>0</v>
      </c>
      <c r="K285" s="42">
        <f>K284*INDEX('Timing &amp; Flags'!K89:K91,MATCH($D$262,Indexation,0))</f>
        <v>0</v>
      </c>
      <c r="L285" s="42">
        <f ca="1">L284*INDEX('Timing &amp; Flags'!L89:L91,MATCH($D$262,Indexation,0))</f>
        <v>0</v>
      </c>
      <c r="M285" s="42">
        <f ca="1">M284*INDEX('Timing &amp; Flags'!M89:M91,MATCH($D$262,Indexation,0))</f>
        <v>0</v>
      </c>
      <c r="N285" s="42">
        <f ca="1">N284*INDEX('Timing &amp; Flags'!N89:N91,MATCH($D$262,Indexation,0))</f>
        <v>0</v>
      </c>
      <c r="O285" s="42">
        <f ca="1">O284*INDEX('Timing &amp; Flags'!O89:O91,MATCH($D$262,Indexation,0))</f>
        <v>0</v>
      </c>
      <c r="P285" s="42">
        <f ca="1">P284*INDEX('Timing &amp; Flags'!P89:P91,MATCH($D$262,Indexation,0))</f>
        <v>0</v>
      </c>
      <c r="Q285" s="42">
        <f ca="1">Q284*INDEX('Timing &amp; Flags'!Q89:Q91,MATCH($D$262,Indexation,0))</f>
        <v>0</v>
      </c>
      <c r="R285" s="42">
        <f ca="1">R284*INDEX('Timing &amp; Flags'!R89:R91,MATCH($D$262,Indexation,0))</f>
        <v>0</v>
      </c>
      <c r="S285" s="42">
        <f ca="1">S284*INDEX('Timing &amp; Flags'!S89:S91,MATCH($D$262,Indexation,0))</f>
        <v>0</v>
      </c>
      <c r="T285" s="42">
        <f ca="1">T284*INDEX('Timing &amp; Flags'!T89:T91,MATCH($D$262,Indexation,0))</f>
        <v>0</v>
      </c>
      <c r="U285" s="42">
        <f ca="1">U284*INDEX('Timing &amp; Flags'!U89:U91,MATCH($D$262,Indexation,0))</f>
        <v>0</v>
      </c>
      <c r="V285" s="42">
        <f ca="1">V284*INDEX('Timing &amp; Flags'!V89:V91,MATCH($D$262,Indexation,0))</f>
        <v>0</v>
      </c>
      <c r="W285" s="42">
        <f ca="1">W284*INDEX('Timing &amp; Flags'!W89:W91,MATCH($D$262,Indexation,0))</f>
        <v>0</v>
      </c>
      <c r="X285" s="42">
        <f ca="1">X284*INDEX('Timing &amp; Flags'!X89:X91,MATCH($D$262,Indexation,0))</f>
        <v>0</v>
      </c>
      <c r="Y285" s="42">
        <f ca="1">Y284*INDEX('Timing &amp; Flags'!Y89:Y91,MATCH($D$262,Indexation,0))</f>
        <v>0</v>
      </c>
      <c r="Z285" s="42">
        <f ca="1">Z284*INDEX('Timing &amp; Flags'!Z89:Z91,MATCH($D$262,Indexation,0))</f>
        <v>0</v>
      </c>
      <c r="AA285" s="42">
        <f ca="1">AA284*INDEX('Timing &amp; Flags'!AA89:AA91,MATCH($D$262,Indexation,0))</f>
        <v>0</v>
      </c>
      <c r="AB285" s="42">
        <f ca="1">AB284*INDEX('Timing &amp; Flags'!AB89:AB91,MATCH($D$262,Indexation,0))</f>
        <v>0</v>
      </c>
      <c r="AC285" s="42">
        <f ca="1">AC284*INDEX('Timing &amp; Flags'!AC89:AC91,MATCH($D$262,Indexation,0))</f>
        <v>0</v>
      </c>
      <c r="AD285" s="42">
        <f ca="1">AD284*INDEX('Timing &amp; Flags'!AD89:AD91,MATCH($D$262,Indexation,0))</f>
        <v>0</v>
      </c>
      <c r="AE285" s="42">
        <f ca="1">AE284*INDEX('Timing &amp; Flags'!AE89:AE91,MATCH($D$262,Indexation,0))</f>
        <v>0</v>
      </c>
      <c r="AF285" s="42">
        <f ca="1">AF284*INDEX('Timing &amp; Flags'!AF89:AF91,MATCH($D$262,Indexation,0))</f>
        <v>0</v>
      </c>
      <c r="AG285" s="42">
        <f ca="1">AG284*INDEX('Timing &amp; Flags'!AG89:AG91,MATCH($D$262,Indexation,0))</f>
        <v>0</v>
      </c>
      <c r="AH285" s="42">
        <f ca="1">AH284*INDEX('Timing &amp; Flags'!AH89:AH91,MATCH($D$262,Indexation,0))</f>
        <v>0</v>
      </c>
      <c r="AI285" s="42">
        <f ca="1">AI284*INDEX('Timing &amp; Flags'!AI89:AI91,MATCH($D$262,Indexation,0))</f>
        <v>0</v>
      </c>
      <c r="AJ285" s="42">
        <f ca="1">AJ284*INDEX('Timing &amp; Flags'!AJ89:AJ91,MATCH($D$262,Indexation,0))</f>
        <v>0</v>
      </c>
      <c r="AK285" s="42">
        <f ca="1">AK284*INDEX('Timing &amp; Flags'!AK89:AK91,MATCH($D$262,Indexation,0))</f>
        <v>0</v>
      </c>
      <c r="AL285" s="42">
        <f ca="1">AL284*INDEX('Timing &amp; Flags'!AL89:AL91,MATCH($D$262,Indexation,0))</f>
        <v>0</v>
      </c>
      <c r="AM285" s="42">
        <f>AM284*INDEX('Timing &amp; Flags'!AM89:AM91,MATCH($D$262,Indexation,0))</f>
        <v>0</v>
      </c>
      <c r="AN285" s="42">
        <f>AN284*INDEX('Timing &amp; Flags'!AN89:AN91,MATCH($D$262,Indexation,0))</f>
        <v>0</v>
      </c>
      <c r="AO285" s="42">
        <f>AO284*INDEX('Timing &amp; Flags'!AO89:AO91,MATCH($D$262,Indexation,0))</f>
        <v>0</v>
      </c>
      <c r="AP285" s="42">
        <f>AP284*INDEX('Timing &amp; Flags'!AP89:AP91,MATCH($D$262,Indexation,0))</f>
        <v>0</v>
      </c>
      <c r="AQ285" s="42">
        <f>AQ284*INDEX('Timing &amp; Flags'!AQ89:AQ91,MATCH($D$262,Indexation,0))</f>
        <v>0</v>
      </c>
      <c r="AR285" s="42">
        <f>AR284*INDEX('Timing &amp; Flags'!AR89:AR91,MATCH($D$262,Indexation,0))</f>
        <v>0</v>
      </c>
      <c r="AS285" s="42">
        <f>AS284*INDEX('Timing &amp; Flags'!AS89:AS91,MATCH($D$262,Indexation,0))</f>
        <v>0</v>
      </c>
      <c r="AT285" s="42">
        <f>AT284*INDEX('Timing &amp; Flags'!AT89:AT91,MATCH($D$262,Indexation,0))</f>
        <v>0</v>
      </c>
      <c r="AU285" s="42">
        <f>AU284*INDEX('Timing &amp; Flags'!AU89:AU91,MATCH($D$262,Indexation,0))</f>
        <v>0</v>
      </c>
      <c r="AV285" s="42">
        <f>AV284*INDEX('Timing &amp; Flags'!AV89:AV91,MATCH($D$262,Indexation,0))</f>
        <v>0</v>
      </c>
      <c r="AW285" s="42">
        <f>AW284*INDEX('Timing &amp; Flags'!AW89:AW91,MATCH($D$262,Indexation,0))</f>
        <v>0</v>
      </c>
    </row>
    <row r="286" spans="2:49">
      <c r="B286" s="2" t="s">
        <v>362</v>
      </c>
      <c r="C286" s="15" t="s">
        <v>48</v>
      </c>
      <c r="D286" s="118">
        <f>'Input '!F219</f>
        <v>3</v>
      </c>
    </row>
    <row r="288" spans="2:49">
      <c r="B288" s="29" t="s">
        <v>363</v>
      </c>
    </row>
    <row r="289" spans="2:49">
      <c r="B289" s="15">
        <f t="array" ref="B289:B315">TRANSPOSE(I2:AI2)</f>
        <v>1</v>
      </c>
      <c r="C289" s="15" t="str">
        <f t="shared" ref="C289:C315" si="91">$C$39</f>
        <v>US$</v>
      </c>
      <c r="D289" s="41">
        <f t="array" ref="D289:D315">TRANSPOSE(I284:AI284)</f>
        <v>0</v>
      </c>
      <c r="I289" s="41">
        <f t="shared" ref="I289:R298" si="92">IF(AND(I$2&gt;=($B289-$D$286+1),I$2&lt;=$B289),$D289/$D$286,0)</f>
        <v>0</v>
      </c>
      <c r="J289" s="41">
        <f t="shared" si="92"/>
        <v>0</v>
      </c>
      <c r="K289" s="41">
        <f t="shared" si="92"/>
        <v>0</v>
      </c>
      <c r="L289" s="41">
        <f t="shared" si="92"/>
        <v>0</v>
      </c>
      <c r="M289" s="41">
        <f t="shared" si="92"/>
        <v>0</v>
      </c>
      <c r="N289" s="41">
        <f t="shared" si="92"/>
        <v>0</v>
      </c>
      <c r="O289" s="41">
        <f t="shared" si="92"/>
        <v>0</v>
      </c>
      <c r="P289" s="41">
        <f t="shared" si="92"/>
        <v>0</v>
      </c>
      <c r="Q289" s="41">
        <f t="shared" si="92"/>
        <v>0</v>
      </c>
      <c r="R289" s="41">
        <f t="shared" si="92"/>
        <v>0</v>
      </c>
      <c r="S289" s="41">
        <f t="shared" ref="S289:AB298" si="93">IF(AND(S$2&gt;=($B289-$D$286+1),S$2&lt;=$B289),$D289/$D$286,0)</f>
        <v>0</v>
      </c>
      <c r="T289" s="41">
        <f t="shared" si="93"/>
        <v>0</v>
      </c>
      <c r="U289" s="41">
        <f t="shared" si="93"/>
        <v>0</v>
      </c>
      <c r="V289" s="41">
        <f t="shared" si="93"/>
        <v>0</v>
      </c>
      <c r="W289" s="41">
        <f t="shared" si="93"/>
        <v>0</v>
      </c>
      <c r="X289" s="41">
        <f t="shared" si="93"/>
        <v>0</v>
      </c>
      <c r="Y289" s="41">
        <f t="shared" si="93"/>
        <v>0</v>
      </c>
      <c r="Z289" s="41">
        <f t="shared" si="93"/>
        <v>0</v>
      </c>
      <c r="AA289" s="41">
        <f t="shared" si="93"/>
        <v>0</v>
      </c>
      <c r="AB289" s="41">
        <f t="shared" si="93"/>
        <v>0</v>
      </c>
      <c r="AC289" s="41">
        <f t="shared" ref="AC289:AL298" si="94">IF(AND(AC$2&gt;=($B289-$D$286+1),AC$2&lt;=$B289),$D289/$D$286,0)</f>
        <v>0</v>
      </c>
      <c r="AD289" s="41">
        <f t="shared" si="94"/>
        <v>0</v>
      </c>
      <c r="AE289" s="41">
        <f t="shared" si="94"/>
        <v>0</v>
      </c>
      <c r="AF289" s="41">
        <f t="shared" si="94"/>
        <v>0</v>
      </c>
      <c r="AG289" s="41">
        <f t="shared" si="94"/>
        <v>0</v>
      </c>
      <c r="AH289" s="41">
        <f t="shared" si="94"/>
        <v>0</v>
      </c>
      <c r="AI289" s="41">
        <f t="shared" si="94"/>
        <v>0</v>
      </c>
      <c r="AJ289" s="41">
        <f t="shared" si="94"/>
        <v>0</v>
      </c>
      <c r="AK289" s="41">
        <f t="shared" si="94"/>
        <v>0</v>
      </c>
      <c r="AL289" s="41">
        <f t="shared" si="94"/>
        <v>0</v>
      </c>
      <c r="AM289" s="41">
        <f t="shared" ref="AM289:AW298" si="95">IF(AND(AM$2&gt;=($B289-$D$286+1),AM$2&lt;=$B289),$D289/$D$286,0)</f>
        <v>0</v>
      </c>
      <c r="AN289" s="41">
        <f t="shared" si="95"/>
        <v>0</v>
      </c>
      <c r="AO289" s="41">
        <f t="shared" si="95"/>
        <v>0</v>
      </c>
      <c r="AP289" s="41">
        <f t="shared" si="95"/>
        <v>0</v>
      </c>
      <c r="AQ289" s="41">
        <f t="shared" si="95"/>
        <v>0</v>
      </c>
      <c r="AR289" s="41">
        <f t="shared" si="95"/>
        <v>0</v>
      </c>
      <c r="AS289" s="41">
        <f t="shared" si="95"/>
        <v>0</v>
      </c>
      <c r="AT289" s="41">
        <f t="shared" si="95"/>
        <v>0</v>
      </c>
      <c r="AU289" s="41">
        <f t="shared" si="95"/>
        <v>0</v>
      </c>
      <c r="AV289" s="41">
        <f t="shared" si="95"/>
        <v>0</v>
      </c>
      <c r="AW289" s="41">
        <f t="shared" si="95"/>
        <v>0</v>
      </c>
    </row>
    <row r="290" spans="2:49">
      <c r="B290" s="15">
        <v>2</v>
      </c>
      <c r="C290" s="15" t="str">
        <f t="shared" si="91"/>
        <v>US$</v>
      </c>
      <c r="D290" s="41">
        <v>0</v>
      </c>
      <c r="I290" s="41">
        <f t="shared" si="92"/>
        <v>0</v>
      </c>
      <c r="J290" s="41">
        <f t="shared" si="92"/>
        <v>0</v>
      </c>
      <c r="K290" s="41">
        <f t="shared" si="92"/>
        <v>0</v>
      </c>
      <c r="L290" s="41">
        <f t="shared" si="92"/>
        <v>0</v>
      </c>
      <c r="M290" s="41">
        <f t="shared" si="92"/>
        <v>0</v>
      </c>
      <c r="N290" s="41">
        <f t="shared" si="92"/>
        <v>0</v>
      </c>
      <c r="O290" s="41">
        <f t="shared" si="92"/>
        <v>0</v>
      </c>
      <c r="P290" s="41">
        <f t="shared" si="92"/>
        <v>0</v>
      </c>
      <c r="Q290" s="41">
        <f t="shared" si="92"/>
        <v>0</v>
      </c>
      <c r="R290" s="41">
        <f t="shared" si="92"/>
        <v>0</v>
      </c>
      <c r="S290" s="41">
        <f t="shared" si="93"/>
        <v>0</v>
      </c>
      <c r="T290" s="41">
        <f t="shared" si="93"/>
        <v>0</v>
      </c>
      <c r="U290" s="41">
        <f t="shared" si="93"/>
        <v>0</v>
      </c>
      <c r="V290" s="41">
        <f t="shared" si="93"/>
        <v>0</v>
      </c>
      <c r="W290" s="41">
        <f t="shared" si="93"/>
        <v>0</v>
      </c>
      <c r="X290" s="41">
        <f t="shared" si="93"/>
        <v>0</v>
      </c>
      <c r="Y290" s="41">
        <f t="shared" si="93"/>
        <v>0</v>
      </c>
      <c r="Z290" s="41">
        <f t="shared" si="93"/>
        <v>0</v>
      </c>
      <c r="AA290" s="41">
        <f t="shared" si="93"/>
        <v>0</v>
      </c>
      <c r="AB290" s="41">
        <f t="shared" si="93"/>
        <v>0</v>
      </c>
      <c r="AC290" s="41">
        <f t="shared" si="94"/>
        <v>0</v>
      </c>
      <c r="AD290" s="41">
        <f t="shared" si="94"/>
        <v>0</v>
      </c>
      <c r="AE290" s="41">
        <f t="shared" si="94"/>
        <v>0</v>
      </c>
      <c r="AF290" s="41">
        <f t="shared" si="94"/>
        <v>0</v>
      </c>
      <c r="AG290" s="41">
        <f t="shared" si="94"/>
        <v>0</v>
      </c>
      <c r="AH290" s="41">
        <f t="shared" si="94"/>
        <v>0</v>
      </c>
      <c r="AI290" s="41">
        <f t="shared" si="94"/>
        <v>0</v>
      </c>
      <c r="AJ290" s="41">
        <f t="shared" si="94"/>
        <v>0</v>
      </c>
      <c r="AK290" s="41">
        <f t="shared" si="94"/>
        <v>0</v>
      </c>
      <c r="AL290" s="41">
        <f t="shared" si="94"/>
        <v>0</v>
      </c>
      <c r="AM290" s="41">
        <f t="shared" si="95"/>
        <v>0</v>
      </c>
      <c r="AN290" s="41">
        <f t="shared" si="95"/>
        <v>0</v>
      </c>
      <c r="AO290" s="41">
        <f t="shared" si="95"/>
        <v>0</v>
      </c>
      <c r="AP290" s="41">
        <f t="shared" si="95"/>
        <v>0</v>
      </c>
      <c r="AQ290" s="41">
        <f t="shared" si="95"/>
        <v>0</v>
      </c>
      <c r="AR290" s="41">
        <f t="shared" si="95"/>
        <v>0</v>
      </c>
      <c r="AS290" s="41">
        <f t="shared" si="95"/>
        <v>0</v>
      </c>
      <c r="AT290" s="41">
        <f t="shared" si="95"/>
        <v>0</v>
      </c>
      <c r="AU290" s="41">
        <f t="shared" si="95"/>
        <v>0</v>
      </c>
      <c r="AV290" s="41">
        <f t="shared" si="95"/>
        <v>0</v>
      </c>
      <c r="AW290" s="41">
        <f t="shared" si="95"/>
        <v>0</v>
      </c>
    </row>
    <row r="291" spans="2:49">
      <c r="B291" s="15">
        <v>3</v>
      </c>
      <c r="C291" s="15" t="str">
        <f t="shared" si="91"/>
        <v>US$</v>
      </c>
      <c r="D291" s="41">
        <v>0</v>
      </c>
      <c r="I291" s="41">
        <f t="shared" si="92"/>
        <v>0</v>
      </c>
      <c r="J291" s="41">
        <f t="shared" si="92"/>
        <v>0</v>
      </c>
      <c r="K291" s="41">
        <f t="shared" si="92"/>
        <v>0</v>
      </c>
      <c r="L291" s="41">
        <f t="shared" si="92"/>
        <v>0</v>
      </c>
      <c r="M291" s="41">
        <f t="shared" si="92"/>
        <v>0</v>
      </c>
      <c r="N291" s="41">
        <f t="shared" si="92"/>
        <v>0</v>
      </c>
      <c r="O291" s="41">
        <f t="shared" si="92"/>
        <v>0</v>
      </c>
      <c r="P291" s="41">
        <f t="shared" si="92"/>
        <v>0</v>
      </c>
      <c r="Q291" s="41">
        <f t="shared" si="92"/>
        <v>0</v>
      </c>
      <c r="R291" s="41">
        <f t="shared" si="92"/>
        <v>0</v>
      </c>
      <c r="S291" s="41">
        <f t="shared" si="93"/>
        <v>0</v>
      </c>
      <c r="T291" s="41">
        <f t="shared" si="93"/>
        <v>0</v>
      </c>
      <c r="U291" s="41">
        <f t="shared" si="93"/>
        <v>0</v>
      </c>
      <c r="V291" s="41">
        <f t="shared" si="93"/>
        <v>0</v>
      </c>
      <c r="W291" s="41">
        <f t="shared" si="93"/>
        <v>0</v>
      </c>
      <c r="X291" s="41">
        <f t="shared" si="93"/>
        <v>0</v>
      </c>
      <c r="Y291" s="41">
        <f t="shared" si="93"/>
        <v>0</v>
      </c>
      <c r="Z291" s="41">
        <f t="shared" si="93"/>
        <v>0</v>
      </c>
      <c r="AA291" s="41">
        <f t="shared" si="93"/>
        <v>0</v>
      </c>
      <c r="AB291" s="41">
        <f t="shared" si="93"/>
        <v>0</v>
      </c>
      <c r="AC291" s="41">
        <f t="shared" si="94"/>
        <v>0</v>
      </c>
      <c r="AD291" s="41">
        <f t="shared" si="94"/>
        <v>0</v>
      </c>
      <c r="AE291" s="41">
        <f t="shared" si="94"/>
        <v>0</v>
      </c>
      <c r="AF291" s="41">
        <f t="shared" si="94"/>
        <v>0</v>
      </c>
      <c r="AG291" s="41">
        <f t="shared" si="94"/>
        <v>0</v>
      </c>
      <c r="AH291" s="41">
        <f t="shared" si="94"/>
        <v>0</v>
      </c>
      <c r="AI291" s="41">
        <f t="shared" si="94"/>
        <v>0</v>
      </c>
      <c r="AJ291" s="41">
        <f t="shared" si="94"/>
        <v>0</v>
      </c>
      <c r="AK291" s="41">
        <f t="shared" si="94"/>
        <v>0</v>
      </c>
      <c r="AL291" s="41">
        <f t="shared" si="94"/>
        <v>0</v>
      </c>
      <c r="AM291" s="41">
        <f t="shared" si="95"/>
        <v>0</v>
      </c>
      <c r="AN291" s="41">
        <f t="shared" si="95"/>
        <v>0</v>
      </c>
      <c r="AO291" s="41">
        <f t="shared" si="95"/>
        <v>0</v>
      </c>
      <c r="AP291" s="41">
        <f t="shared" si="95"/>
        <v>0</v>
      </c>
      <c r="AQ291" s="41">
        <f t="shared" si="95"/>
        <v>0</v>
      </c>
      <c r="AR291" s="41">
        <f t="shared" si="95"/>
        <v>0</v>
      </c>
      <c r="AS291" s="41">
        <f t="shared" si="95"/>
        <v>0</v>
      </c>
      <c r="AT291" s="41">
        <f t="shared" si="95"/>
        <v>0</v>
      </c>
      <c r="AU291" s="41">
        <f t="shared" si="95"/>
        <v>0</v>
      </c>
      <c r="AV291" s="41">
        <f t="shared" si="95"/>
        <v>0</v>
      </c>
      <c r="AW291" s="41">
        <f t="shared" si="95"/>
        <v>0</v>
      </c>
    </row>
    <row r="292" spans="2:49">
      <c r="B292" s="15">
        <v>4</v>
      </c>
      <c r="C292" s="15" t="str">
        <f t="shared" si="91"/>
        <v>US$</v>
      </c>
      <c r="D292" s="41">
        <f ca="1"/>
        <v>0</v>
      </c>
      <c r="I292" s="41">
        <f t="shared" si="92"/>
        <v>0</v>
      </c>
      <c r="J292" s="41">
        <f t="shared" ca="1" si="92"/>
        <v>0</v>
      </c>
      <c r="K292" s="41">
        <f t="shared" ca="1" si="92"/>
        <v>0</v>
      </c>
      <c r="L292" s="41">
        <f t="shared" ca="1" si="92"/>
        <v>0</v>
      </c>
      <c r="M292" s="41">
        <f t="shared" si="92"/>
        <v>0</v>
      </c>
      <c r="N292" s="41">
        <f t="shared" si="92"/>
        <v>0</v>
      </c>
      <c r="O292" s="41">
        <f t="shared" si="92"/>
        <v>0</v>
      </c>
      <c r="P292" s="41">
        <f t="shared" si="92"/>
        <v>0</v>
      </c>
      <c r="Q292" s="41">
        <f t="shared" si="92"/>
        <v>0</v>
      </c>
      <c r="R292" s="41">
        <f t="shared" si="92"/>
        <v>0</v>
      </c>
      <c r="S292" s="41">
        <f t="shared" si="93"/>
        <v>0</v>
      </c>
      <c r="T292" s="41">
        <f t="shared" si="93"/>
        <v>0</v>
      </c>
      <c r="U292" s="41">
        <f t="shared" si="93"/>
        <v>0</v>
      </c>
      <c r="V292" s="41">
        <f t="shared" si="93"/>
        <v>0</v>
      </c>
      <c r="W292" s="41">
        <f t="shared" si="93"/>
        <v>0</v>
      </c>
      <c r="X292" s="41">
        <f t="shared" si="93"/>
        <v>0</v>
      </c>
      <c r="Y292" s="41">
        <f t="shared" si="93"/>
        <v>0</v>
      </c>
      <c r="Z292" s="41">
        <f t="shared" si="93"/>
        <v>0</v>
      </c>
      <c r="AA292" s="41">
        <f t="shared" si="93"/>
        <v>0</v>
      </c>
      <c r="AB292" s="41">
        <f t="shared" si="93"/>
        <v>0</v>
      </c>
      <c r="AC292" s="41">
        <f t="shared" si="94"/>
        <v>0</v>
      </c>
      <c r="AD292" s="41">
        <f t="shared" si="94"/>
        <v>0</v>
      </c>
      <c r="AE292" s="41">
        <f t="shared" si="94"/>
        <v>0</v>
      </c>
      <c r="AF292" s="41">
        <f t="shared" si="94"/>
        <v>0</v>
      </c>
      <c r="AG292" s="41">
        <f t="shared" si="94"/>
        <v>0</v>
      </c>
      <c r="AH292" s="41">
        <f t="shared" si="94"/>
        <v>0</v>
      </c>
      <c r="AI292" s="41">
        <f t="shared" si="94"/>
        <v>0</v>
      </c>
      <c r="AJ292" s="41">
        <f t="shared" si="94"/>
        <v>0</v>
      </c>
      <c r="AK292" s="41">
        <f t="shared" si="94"/>
        <v>0</v>
      </c>
      <c r="AL292" s="41">
        <f t="shared" si="94"/>
        <v>0</v>
      </c>
      <c r="AM292" s="41">
        <f t="shared" si="95"/>
        <v>0</v>
      </c>
      <c r="AN292" s="41">
        <f t="shared" si="95"/>
        <v>0</v>
      </c>
      <c r="AO292" s="41">
        <f t="shared" si="95"/>
        <v>0</v>
      </c>
      <c r="AP292" s="41">
        <f t="shared" si="95"/>
        <v>0</v>
      </c>
      <c r="AQ292" s="41">
        <f t="shared" si="95"/>
        <v>0</v>
      </c>
      <c r="AR292" s="41">
        <f t="shared" si="95"/>
        <v>0</v>
      </c>
      <c r="AS292" s="41">
        <f t="shared" si="95"/>
        <v>0</v>
      </c>
      <c r="AT292" s="41">
        <f t="shared" si="95"/>
        <v>0</v>
      </c>
      <c r="AU292" s="41">
        <f t="shared" si="95"/>
        <v>0</v>
      </c>
      <c r="AV292" s="41">
        <f t="shared" si="95"/>
        <v>0</v>
      </c>
      <c r="AW292" s="41">
        <f t="shared" si="95"/>
        <v>0</v>
      </c>
    </row>
    <row r="293" spans="2:49">
      <c r="B293" s="15">
        <v>5</v>
      </c>
      <c r="C293" s="15" t="str">
        <f t="shared" si="91"/>
        <v>US$</v>
      </c>
      <c r="D293" s="41">
        <f ca="1"/>
        <v>0</v>
      </c>
      <c r="I293" s="41">
        <f t="shared" si="92"/>
        <v>0</v>
      </c>
      <c r="J293" s="41">
        <f t="shared" si="92"/>
        <v>0</v>
      </c>
      <c r="K293" s="41">
        <f t="shared" ca="1" si="92"/>
        <v>0</v>
      </c>
      <c r="L293" s="41">
        <f t="shared" ca="1" si="92"/>
        <v>0</v>
      </c>
      <c r="M293" s="41">
        <f t="shared" ca="1" si="92"/>
        <v>0</v>
      </c>
      <c r="N293" s="41">
        <f t="shared" si="92"/>
        <v>0</v>
      </c>
      <c r="O293" s="41">
        <f t="shared" si="92"/>
        <v>0</v>
      </c>
      <c r="P293" s="41">
        <f t="shared" si="92"/>
        <v>0</v>
      </c>
      <c r="Q293" s="41">
        <f t="shared" si="92"/>
        <v>0</v>
      </c>
      <c r="R293" s="41">
        <f t="shared" si="92"/>
        <v>0</v>
      </c>
      <c r="S293" s="41">
        <f t="shared" si="93"/>
        <v>0</v>
      </c>
      <c r="T293" s="41">
        <f t="shared" si="93"/>
        <v>0</v>
      </c>
      <c r="U293" s="41">
        <f t="shared" si="93"/>
        <v>0</v>
      </c>
      <c r="V293" s="41">
        <f t="shared" si="93"/>
        <v>0</v>
      </c>
      <c r="W293" s="41">
        <f t="shared" si="93"/>
        <v>0</v>
      </c>
      <c r="X293" s="41">
        <f t="shared" si="93"/>
        <v>0</v>
      </c>
      <c r="Y293" s="41">
        <f t="shared" si="93"/>
        <v>0</v>
      </c>
      <c r="Z293" s="41">
        <f t="shared" si="93"/>
        <v>0</v>
      </c>
      <c r="AA293" s="41">
        <f t="shared" si="93"/>
        <v>0</v>
      </c>
      <c r="AB293" s="41">
        <f t="shared" si="93"/>
        <v>0</v>
      </c>
      <c r="AC293" s="41">
        <f t="shared" si="94"/>
        <v>0</v>
      </c>
      <c r="AD293" s="41">
        <f t="shared" si="94"/>
        <v>0</v>
      </c>
      <c r="AE293" s="41">
        <f t="shared" si="94"/>
        <v>0</v>
      </c>
      <c r="AF293" s="41">
        <f t="shared" si="94"/>
        <v>0</v>
      </c>
      <c r="AG293" s="41">
        <f t="shared" si="94"/>
        <v>0</v>
      </c>
      <c r="AH293" s="41">
        <f t="shared" si="94"/>
        <v>0</v>
      </c>
      <c r="AI293" s="41">
        <f t="shared" si="94"/>
        <v>0</v>
      </c>
      <c r="AJ293" s="41">
        <f t="shared" si="94"/>
        <v>0</v>
      </c>
      <c r="AK293" s="41">
        <f t="shared" si="94"/>
        <v>0</v>
      </c>
      <c r="AL293" s="41">
        <f t="shared" si="94"/>
        <v>0</v>
      </c>
      <c r="AM293" s="41">
        <f t="shared" si="95"/>
        <v>0</v>
      </c>
      <c r="AN293" s="41">
        <f t="shared" si="95"/>
        <v>0</v>
      </c>
      <c r="AO293" s="41">
        <f t="shared" si="95"/>
        <v>0</v>
      </c>
      <c r="AP293" s="41">
        <f t="shared" si="95"/>
        <v>0</v>
      </c>
      <c r="AQ293" s="41">
        <f t="shared" si="95"/>
        <v>0</v>
      </c>
      <c r="AR293" s="41">
        <f t="shared" si="95"/>
        <v>0</v>
      </c>
      <c r="AS293" s="41">
        <f t="shared" si="95"/>
        <v>0</v>
      </c>
      <c r="AT293" s="41">
        <f t="shared" si="95"/>
        <v>0</v>
      </c>
      <c r="AU293" s="41">
        <f t="shared" si="95"/>
        <v>0</v>
      </c>
      <c r="AV293" s="41">
        <f t="shared" si="95"/>
        <v>0</v>
      </c>
      <c r="AW293" s="41">
        <f t="shared" si="95"/>
        <v>0</v>
      </c>
    </row>
    <row r="294" spans="2:49">
      <c r="B294" s="15">
        <v>6</v>
      </c>
      <c r="C294" s="15" t="str">
        <f t="shared" si="91"/>
        <v>US$</v>
      </c>
      <c r="D294" s="41">
        <f ca="1"/>
        <v>0</v>
      </c>
      <c r="I294" s="41">
        <f t="shared" si="92"/>
        <v>0</v>
      </c>
      <c r="J294" s="41">
        <f t="shared" si="92"/>
        <v>0</v>
      </c>
      <c r="K294" s="41">
        <f t="shared" si="92"/>
        <v>0</v>
      </c>
      <c r="L294" s="41">
        <f t="shared" ca="1" si="92"/>
        <v>0</v>
      </c>
      <c r="M294" s="41">
        <f t="shared" ca="1" si="92"/>
        <v>0</v>
      </c>
      <c r="N294" s="41">
        <f t="shared" ca="1" si="92"/>
        <v>0</v>
      </c>
      <c r="O294" s="41">
        <f t="shared" si="92"/>
        <v>0</v>
      </c>
      <c r="P294" s="41">
        <f t="shared" si="92"/>
        <v>0</v>
      </c>
      <c r="Q294" s="41">
        <f t="shared" si="92"/>
        <v>0</v>
      </c>
      <c r="R294" s="41">
        <f t="shared" si="92"/>
        <v>0</v>
      </c>
      <c r="S294" s="41">
        <f t="shared" si="93"/>
        <v>0</v>
      </c>
      <c r="T294" s="41">
        <f t="shared" si="93"/>
        <v>0</v>
      </c>
      <c r="U294" s="41">
        <f t="shared" si="93"/>
        <v>0</v>
      </c>
      <c r="V294" s="41">
        <f t="shared" si="93"/>
        <v>0</v>
      </c>
      <c r="W294" s="41">
        <f t="shared" si="93"/>
        <v>0</v>
      </c>
      <c r="X294" s="41">
        <f t="shared" si="93"/>
        <v>0</v>
      </c>
      <c r="Y294" s="41">
        <f t="shared" si="93"/>
        <v>0</v>
      </c>
      <c r="Z294" s="41">
        <f t="shared" si="93"/>
        <v>0</v>
      </c>
      <c r="AA294" s="41">
        <f t="shared" si="93"/>
        <v>0</v>
      </c>
      <c r="AB294" s="41">
        <f t="shared" si="93"/>
        <v>0</v>
      </c>
      <c r="AC294" s="41">
        <f t="shared" si="94"/>
        <v>0</v>
      </c>
      <c r="AD294" s="41">
        <f t="shared" si="94"/>
        <v>0</v>
      </c>
      <c r="AE294" s="41">
        <f t="shared" si="94"/>
        <v>0</v>
      </c>
      <c r="AF294" s="41">
        <f t="shared" si="94"/>
        <v>0</v>
      </c>
      <c r="AG294" s="41">
        <f t="shared" si="94"/>
        <v>0</v>
      </c>
      <c r="AH294" s="41">
        <f t="shared" si="94"/>
        <v>0</v>
      </c>
      <c r="AI294" s="41">
        <f t="shared" si="94"/>
        <v>0</v>
      </c>
      <c r="AJ294" s="41">
        <f t="shared" si="94"/>
        <v>0</v>
      </c>
      <c r="AK294" s="41">
        <f t="shared" si="94"/>
        <v>0</v>
      </c>
      <c r="AL294" s="41">
        <f t="shared" si="94"/>
        <v>0</v>
      </c>
      <c r="AM294" s="41">
        <f t="shared" si="95"/>
        <v>0</v>
      </c>
      <c r="AN294" s="41">
        <f t="shared" si="95"/>
        <v>0</v>
      </c>
      <c r="AO294" s="41">
        <f t="shared" si="95"/>
        <v>0</v>
      </c>
      <c r="AP294" s="41">
        <f t="shared" si="95"/>
        <v>0</v>
      </c>
      <c r="AQ294" s="41">
        <f t="shared" si="95"/>
        <v>0</v>
      </c>
      <c r="AR294" s="41">
        <f t="shared" si="95"/>
        <v>0</v>
      </c>
      <c r="AS294" s="41">
        <f t="shared" si="95"/>
        <v>0</v>
      </c>
      <c r="AT294" s="41">
        <f t="shared" si="95"/>
        <v>0</v>
      </c>
      <c r="AU294" s="41">
        <f t="shared" si="95"/>
        <v>0</v>
      </c>
      <c r="AV294" s="41">
        <f t="shared" si="95"/>
        <v>0</v>
      </c>
      <c r="AW294" s="41">
        <f t="shared" si="95"/>
        <v>0</v>
      </c>
    </row>
    <row r="295" spans="2:49">
      <c r="B295" s="15">
        <v>7</v>
      </c>
      <c r="C295" s="15" t="str">
        <f t="shared" si="91"/>
        <v>US$</v>
      </c>
      <c r="D295" s="41">
        <f ca="1"/>
        <v>0</v>
      </c>
      <c r="I295" s="41">
        <f t="shared" si="92"/>
        <v>0</v>
      </c>
      <c r="J295" s="41">
        <f t="shared" si="92"/>
        <v>0</v>
      </c>
      <c r="K295" s="41">
        <f t="shared" si="92"/>
        <v>0</v>
      </c>
      <c r="L295" s="41">
        <f t="shared" si="92"/>
        <v>0</v>
      </c>
      <c r="M295" s="41">
        <f t="shared" ca="1" si="92"/>
        <v>0</v>
      </c>
      <c r="N295" s="41">
        <f t="shared" ca="1" si="92"/>
        <v>0</v>
      </c>
      <c r="O295" s="41">
        <f t="shared" ca="1" si="92"/>
        <v>0</v>
      </c>
      <c r="P295" s="41">
        <f t="shared" si="92"/>
        <v>0</v>
      </c>
      <c r="Q295" s="41">
        <f t="shared" si="92"/>
        <v>0</v>
      </c>
      <c r="R295" s="41">
        <f t="shared" si="92"/>
        <v>0</v>
      </c>
      <c r="S295" s="41">
        <f t="shared" si="93"/>
        <v>0</v>
      </c>
      <c r="T295" s="41">
        <f t="shared" si="93"/>
        <v>0</v>
      </c>
      <c r="U295" s="41">
        <f t="shared" si="93"/>
        <v>0</v>
      </c>
      <c r="V295" s="41">
        <f t="shared" si="93"/>
        <v>0</v>
      </c>
      <c r="W295" s="41">
        <f t="shared" si="93"/>
        <v>0</v>
      </c>
      <c r="X295" s="41">
        <f t="shared" si="93"/>
        <v>0</v>
      </c>
      <c r="Y295" s="41">
        <f t="shared" si="93"/>
        <v>0</v>
      </c>
      <c r="Z295" s="41">
        <f t="shared" si="93"/>
        <v>0</v>
      </c>
      <c r="AA295" s="41">
        <f t="shared" si="93"/>
        <v>0</v>
      </c>
      <c r="AB295" s="41">
        <f t="shared" si="93"/>
        <v>0</v>
      </c>
      <c r="AC295" s="41">
        <f t="shared" si="94"/>
        <v>0</v>
      </c>
      <c r="AD295" s="41">
        <f t="shared" si="94"/>
        <v>0</v>
      </c>
      <c r="AE295" s="41">
        <f t="shared" si="94"/>
        <v>0</v>
      </c>
      <c r="AF295" s="41">
        <f t="shared" si="94"/>
        <v>0</v>
      </c>
      <c r="AG295" s="41">
        <f t="shared" si="94"/>
        <v>0</v>
      </c>
      <c r="AH295" s="41">
        <f t="shared" si="94"/>
        <v>0</v>
      </c>
      <c r="AI295" s="41">
        <f t="shared" si="94"/>
        <v>0</v>
      </c>
      <c r="AJ295" s="41">
        <f t="shared" si="94"/>
        <v>0</v>
      </c>
      <c r="AK295" s="41">
        <f t="shared" si="94"/>
        <v>0</v>
      </c>
      <c r="AL295" s="41">
        <f t="shared" si="94"/>
        <v>0</v>
      </c>
      <c r="AM295" s="41">
        <f t="shared" si="95"/>
        <v>0</v>
      </c>
      <c r="AN295" s="41">
        <f t="shared" si="95"/>
        <v>0</v>
      </c>
      <c r="AO295" s="41">
        <f t="shared" si="95"/>
        <v>0</v>
      </c>
      <c r="AP295" s="41">
        <f t="shared" si="95"/>
        <v>0</v>
      </c>
      <c r="AQ295" s="41">
        <f t="shared" si="95"/>
        <v>0</v>
      </c>
      <c r="AR295" s="41">
        <f t="shared" si="95"/>
        <v>0</v>
      </c>
      <c r="AS295" s="41">
        <f t="shared" si="95"/>
        <v>0</v>
      </c>
      <c r="AT295" s="41">
        <f t="shared" si="95"/>
        <v>0</v>
      </c>
      <c r="AU295" s="41">
        <f t="shared" si="95"/>
        <v>0</v>
      </c>
      <c r="AV295" s="41">
        <f t="shared" si="95"/>
        <v>0</v>
      </c>
      <c r="AW295" s="41">
        <f t="shared" si="95"/>
        <v>0</v>
      </c>
    </row>
    <row r="296" spans="2:49">
      <c r="B296" s="15">
        <v>8</v>
      </c>
      <c r="C296" s="15" t="str">
        <f t="shared" si="91"/>
        <v>US$</v>
      </c>
      <c r="D296" s="41">
        <f ca="1"/>
        <v>0</v>
      </c>
      <c r="I296" s="41">
        <f t="shared" si="92"/>
        <v>0</v>
      </c>
      <c r="J296" s="41">
        <f t="shared" si="92"/>
        <v>0</v>
      </c>
      <c r="K296" s="41">
        <f t="shared" si="92"/>
        <v>0</v>
      </c>
      <c r="L296" s="41">
        <f t="shared" si="92"/>
        <v>0</v>
      </c>
      <c r="M296" s="41">
        <f t="shared" si="92"/>
        <v>0</v>
      </c>
      <c r="N296" s="41">
        <f t="shared" ca="1" si="92"/>
        <v>0</v>
      </c>
      <c r="O296" s="41">
        <f t="shared" ca="1" si="92"/>
        <v>0</v>
      </c>
      <c r="P296" s="41">
        <f t="shared" ca="1" si="92"/>
        <v>0</v>
      </c>
      <c r="Q296" s="41">
        <f t="shared" si="92"/>
        <v>0</v>
      </c>
      <c r="R296" s="41">
        <f t="shared" si="92"/>
        <v>0</v>
      </c>
      <c r="S296" s="41">
        <f t="shared" si="93"/>
        <v>0</v>
      </c>
      <c r="T296" s="41">
        <f t="shared" si="93"/>
        <v>0</v>
      </c>
      <c r="U296" s="41">
        <f t="shared" si="93"/>
        <v>0</v>
      </c>
      <c r="V296" s="41">
        <f t="shared" si="93"/>
        <v>0</v>
      </c>
      <c r="W296" s="41">
        <f t="shared" si="93"/>
        <v>0</v>
      </c>
      <c r="X296" s="41">
        <f t="shared" si="93"/>
        <v>0</v>
      </c>
      <c r="Y296" s="41">
        <f t="shared" si="93"/>
        <v>0</v>
      </c>
      <c r="Z296" s="41">
        <f t="shared" si="93"/>
        <v>0</v>
      </c>
      <c r="AA296" s="41">
        <f t="shared" si="93"/>
        <v>0</v>
      </c>
      <c r="AB296" s="41">
        <f t="shared" si="93"/>
        <v>0</v>
      </c>
      <c r="AC296" s="41">
        <f t="shared" si="94"/>
        <v>0</v>
      </c>
      <c r="AD296" s="41">
        <f t="shared" si="94"/>
        <v>0</v>
      </c>
      <c r="AE296" s="41">
        <f t="shared" si="94"/>
        <v>0</v>
      </c>
      <c r="AF296" s="41">
        <f t="shared" si="94"/>
        <v>0</v>
      </c>
      <c r="AG296" s="41">
        <f t="shared" si="94"/>
        <v>0</v>
      </c>
      <c r="AH296" s="41">
        <f t="shared" si="94"/>
        <v>0</v>
      </c>
      <c r="AI296" s="41">
        <f t="shared" si="94"/>
        <v>0</v>
      </c>
      <c r="AJ296" s="41">
        <f t="shared" si="94"/>
        <v>0</v>
      </c>
      <c r="AK296" s="41">
        <f t="shared" si="94"/>
        <v>0</v>
      </c>
      <c r="AL296" s="41">
        <f t="shared" si="94"/>
        <v>0</v>
      </c>
      <c r="AM296" s="41">
        <f t="shared" si="95"/>
        <v>0</v>
      </c>
      <c r="AN296" s="41">
        <f t="shared" si="95"/>
        <v>0</v>
      </c>
      <c r="AO296" s="41">
        <f t="shared" si="95"/>
        <v>0</v>
      </c>
      <c r="AP296" s="41">
        <f t="shared" si="95"/>
        <v>0</v>
      </c>
      <c r="AQ296" s="41">
        <f t="shared" si="95"/>
        <v>0</v>
      </c>
      <c r="AR296" s="41">
        <f t="shared" si="95"/>
        <v>0</v>
      </c>
      <c r="AS296" s="41">
        <f t="shared" si="95"/>
        <v>0</v>
      </c>
      <c r="AT296" s="41">
        <f t="shared" si="95"/>
        <v>0</v>
      </c>
      <c r="AU296" s="41">
        <f t="shared" si="95"/>
        <v>0</v>
      </c>
      <c r="AV296" s="41">
        <f t="shared" si="95"/>
        <v>0</v>
      </c>
      <c r="AW296" s="41">
        <f t="shared" si="95"/>
        <v>0</v>
      </c>
    </row>
    <row r="297" spans="2:49">
      <c r="B297" s="15">
        <v>9</v>
      </c>
      <c r="C297" s="15" t="str">
        <f t="shared" si="91"/>
        <v>US$</v>
      </c>
      <c r="D297" s="41">
        <f ca="1"/>
        <v>0</v>
      </c>
      <c r="I297" s="41">
        <f t="shared" si="92"/>
        <v>0</v>
      </c>
      <c r="J297" s="41">
        <f t="shared" si="92"/>
        <v>0</v>
      </c>
      <c r="K297" s="41">
        <f t="shared" si="92"/>
        <v>0</v>
      </c>
      <c r="L297" s="41">
        <f t="shared" si="92"/>
        <v>0</v>
      </c>
      <c r="M297" s="41">
        <f t="shared" si="92"/>
        <v>0</v>
      </c>
      <c r="N297" s="41">
        <f t="shared" si="92"/>
        <v>0</v>
      </c>
      <c r="O297" s="41">
        <f t="shared" ca="1" si="92"/>
        <v>0</v>
      </c>
      <c r="P297" s="41">
        <f t="shared" ca="1" si="92"/>
        <v>0</v>
      </c>
      <c r="Q297" s="41">
        <f t="shared" ca="1" si="92"/>
        <v>0</v>
      </c>
      <c r="R297" s="41">
        <f t="shared" si="92"/>
        <v>0</v>
      </c>
      <c r="S297" s="41">
        <f t="shared" si="93"/>
        <v>0</v>
      </c>
      <c r="T297" s="41">
        <f t="shared" si="93"/>
        <v>0</v>
      </c>
      <c r="U297" s="41">
        <f t="shared" si="93"/>
        <v>0</v>
      </c>
      <c r="V297" s="41">
        <f t="shared" si="93"/>
        <v>0</v>
      </c>
      <c r="W297" s="41">
        <f t="shared" si="93"/>
        <v>0</v>
      </c>
      <c r="X297" s="41">
        <f t="shared" si="93"/>
        <v>0</v>
      </c>
      <c r="Y297" s="41">
        <f t="shared" si="93"/>
        <v>0</v>
      </c>
      <c r="Z297" s="41">
        <f t="shared" si="93"/>
        <v>0</v>
      </c>
      <c r="AA297" s="41">
        <f t="shared" si="93"/>
        <v>0</v>
      </c>
      <c r="AB297" s="41">
        <f t="shared" si="93"/>
        <v>0</v>
      </c>
      <c r="AC297" s="41">
        <f t="shared" si="94"/>
        <v>0</v>
      </c>
      <c r="AD297" s="41">
        <f t="shared" si="94"/>
        <v>0</v>
      </c>
      <c r="AE297" s="41">
        <f t="shared" si="94"/>
        <v>0</v>
      </c>
      <c r="AF297" s="41">
        <f t="shared" si="94"/>
        <v>0</v>
      </c>
      <c r="AG297" s="41">
        <f t="shared" si="94"/>
        <v>0</v>
      </c>
      <c r="AH297" s="41">
        <f t="shared" si="94"/>
        <v>0</v>
      </c>
      <c r="AI297" s="41">
        <f t="shared" si="94"/>
        <v>0</v>
      </c>
      <c r="AJ297" s="41">
        <f t="shared" si="94"/>
        <v>0</v>
      </c>
      <c r="AK297" s="41">
        <f t="shared" si="94"/>
        <v>0</v>
      </c>
      <c r="AL297" s="41">
        <f t="shared" si="94"/>
        <v>0</v>
      </c>
      <c r="AM297" s="41">
        <f t="shared" si="95"/>
        <v>0</v>
      </c>
      <c r="AN297" s="41">
        <f t="shared" si="95"/>
        <v>0</v>
      </c>
      <c r="AO297" s="41">
        <f t="shared" si="95"/>
        <v>0</v>
      </c>
      <c r="AP297" s="41">
        <f t="shared" si="95"/>
        <v>0</v>
      </c>
      <c r="AQ297" s="41">
        <f t="shared" si="95"/>
        <v>0</v>
      </c>
      <c r="AR297" s="41">
        <f t="shared" si="95"/>
        <v>0</v>
      </c>
      <c r="AS297" s="41">
        <f t="shared" si="95"/>
        <v>0</v>
      </c>
      <c r="AT297" s="41">
        <f t="shared" si="95"/>
        <v>0</v>
      </c>
      <c r="AU297" s="41">
        <f t="shared" si="95"/>
        <v>0</v>
      </c>
      <c r="AV297" s="41">
        <f t="shared" si="95"/>
        <v>0</v>
      </c>
      <c r="AW297" s="41">
        <f t="shared" si="95"/>
        <v>0</v>
      </c>
    </row>
    <row r="298" spans="2:49">
      <c r="B298" s="15">
        <v>10</v>
      </c>
      <c r="C298" s="15" t="str">
        <f t="shared" si="91"/>
        <v>US$</v>
      </c>
      <c r="D298" s="41">
        <f ca="1"/>
        <v>0</v>
      </c>
      <c r="I298" s="41">
        <f t="shared" si="92"/>
        <v>0</v>
      </c>
      <c r="J298" s="41">
        <f t="shared" si="92"/>
        <v>0</v>
      </c>
      <c r="K298" s="41">
        <f t="shared" si="92"/>
        <v>0</v>
      </c>
      <c r="L298" s="41">
        <f t="shared" si="92"/>
        <v>0</v>
      </c>
      <c r="M298" s="41">
        <f t="shared" si="92"/>
        <v>0</v>
      </c>
      <c r="N298" s="41">
        <f t="shared" si="92"/>
        <v>0</v>
      </c>
      <c r="O298" s="41">
        <f t="shared" si="92"/>
        <v>0</v>
      </c>
      <c r="P298" s="41">
        <f t="shared" ca="1" si="92"/>
        <v>0</v>
      </c>
      <c r="Q298" s="41">
        <f t="shared" ca="1" si="92"/>
        <v>0</v>
      </c>
      <c r="R298" s="41">
        <f t="shared" ca="1" si="92"/>
        <v>0</v>
      </c>
      <c r="S298" s="41">
        <f t="shared" si="93"/>
        <v>0</v>
      </c>
      <c r="T298" s="41">
        <f t="shared" si="93"/>
        <v>0</v>
      </c>
      <c r="U298" s="41">
        <f t="shared" si="93"/>
        <v>0</v>
      </c>
      <c r="V298" s="41">
        <f t="shared" si="93"/>
        <v>0</v>
      </c>
      <c r="W298" s="41">
        <f t="shared" si="93"/>
        <v>0</v>
      </c>
      <c r="X298" s="41">
        <f t="shared" si="93"/>
        <v>0</v>
      </c>
      <c r="Y298" s="41">
        <f t="shared" si="93"/>
        <v>0</v>
      </c>
      <c r="Z298" s="41">
        <f t="shared" si="93"/>
        <v>0</v>
      </c>
      <c r="AA298" s="41">
        <f t="shared" si="93"/>
        <v>0</v>
      </c>
      <c r="AB298" s="41">
        <f t="shared" si="93"/>
        <v>0</v>
      </c>
      <c r="AC298" s="41">
        <f t="shared" si="94"/>
        <v>0</v>
      </c>
      <c r="AD298" s="41">
        <f t="shared" si="94"/>
        <v>0</v>
      </c>
      <c r="AE298" s="41">
        <f t="shared" si="94"/>
        <v>0</v>
      </c>
      <c r="AF298" s="41">
        <f t="shared" si="94"/>
        <v>0</v>
      </c>
      <c r="AG298" s="41">
        <f t="shared" si="94"/>
        <v>0</v>
      </c>
      <c r="AH298" s="41">
        <f t="shared" si="94"/>
        <v>0</v>
      </c>
      <c r="AI298" s="41">
        <f t="shared" si="94"/>
        <v>0</v>
      </c>
      <c r="AJ298" s="41">
        <f t="shared" si="94"/>
        <v>0</v>
      </c>
      <c r="AK298" s="41">
        <f t="shared" si="94"/>
        <v>0</v>
      </c>
      <c r="AL298" s="41">
        <f t="shared" si="94"/>
        <v>0</v>
      </c>
      <c r="AM298" s="41">
        <f t="shared" si="95"/>
        <v>0</v>
      </c>
      <c r="AN298" s="41">
        <f t="shared" si="95"/>
        <v>0</v>
      </c>
      <c r="AO298" s="41">
        <f t="shared" si="95"/>
        <v>0</v>
      </c>
      <c r="AP298" s="41">
        <f t="shared" si="95"/>
        <v>0</v>
      </c>
      <c r="AQ298" s="41">
        <f t="shared" si="95"/>
        <v>0</v>
      </c>
      <c r="AR298" s="41">
        <f t="shared" si="95"/>
        <v>0</v>
      </c>
      <c r="AS298" s="41">
        <f t="shared" si="95"/>
        <v>0</v>
      </c>
      <c r="AT298" s="41">
        <f t="shared" si="95"/>
        <v>0</v>
      </c>
      <c r="AU298" s="41">
        <f t="shared" si="95"/>
        <v>0</v>
      </c>
      <c r="AV298" s="41">
        <f t="shared" si="95"/>
        <v>0</v>
      </c>
      <c r="AW298" s="41">
        <f t="shared" si="95"/>
        <v>0</v>
      </c>
    </row>
    <row r="299" spans="2:49">
      <c r="B299" s="15">
        <v>11</v>
      </c>
      <c r="C299" s="15" t="str">
        <f t="shared" si="91"/>
        <v>US$</v>
      </c>
      <c r="D299" s="41">
        <f ca="1"/>
        <v>0</v>
      </c>
      <c r="I299" s="41">
        <f t="shared" ref="I299:R308" si="96">IF(AND(I$2&gt;=($B299-$D$286+1),I$2&lt;=$B299),$D299/$D$286,0)</f>
        <v>0</v>
      </c>
      <c r="J299" s="41">
        <f t="shared" si="96"/>
        <v>0</v>
      </c>
      <c r="K299" s="41">
        <f t="shared" si="96"/>
        <v>0</v>
      </c>
      <c r="L299" s="41">
        <f t="shared" si="96"/>
        <v>0</v>
      </c>
      <c r="M299" s="41">
        <f t="shared" si="96"/>
        <v>0</v>
      </c>
      <c r="N299" s="41">
        <f t="shared" si="96"/>
        <v>0</v>
      </c>
      <c r="O299" s="41">
        <f t="shared" si="96"/>
        <v>0</v>
      </c>
      <c r="P299" s="41">
        <f t="shared" si="96"/>
        <v>0</v>
      </c>
      <c r="Q299" s="41">
        <f t="shared" ca="1" si="96"/>
        <v>0</v>
      </c>
      <c r="R299" s="41">
        <f t="shared" ca="1" si="96"/>
        <v>0</v>
      </c>
      <c r="S299" s="41">
        <f t="shared" ref="S299:AB308" ca="1" si="97">IF(AND(S$2&gt;=($B299-$D$286+1),S$2&lt;=$B299),$D299/$D$286,0)</f>
        <v>0</v>
      </c>
      <c r="T299" s="41">
        <f t="shared" si="97"/>
        <v>0</v>
      </c>
      <c r="U299" s="41">
        <f t="shared" si="97"/>
        <v>0</v>
      </c>
      <c r="V299" s="41">
        <f t="shared" si="97"/>
        <v>0</v>
      </c>
      <c r="W299" s="41">
        <f t="shared" si="97"/>
        <v>0</v>
      </c>
      <c r="X299" s="41">
        <f t="shared" si="97"/>
        <v>0</v>
      </c>
      <c r="Y299" s="41">
        <f t="shared" si="97"/>
        <v>0</v>
      </c>
      <c r="Z299" s="41">
        <f t="shared" si="97"/>
        <v>0</v>
      </c>
      <c r="AA299" s="41">
        <f t="shared" si="97"/>
        <v>0</v>
      </c>
      <c r="AB299" s="41">
        <f t="shared" si="97"/>
        <v>0</v>
      </c>
      <c r="AC299" s="41">
        <f t="shared" ref="AC299:AL308" si="98">IF(AND(AC$2&gt;=($B299-$D$286+1),AC$2&lt;=$B299),$D299/$D$286,0)</f>
        <v>0</v>
      </c>
      <c r="AD299" s="41">
        <f t="shared" si="98"/>
        <v>0</v>
      </c>
      <c r="AE299" s="41">
        <f t="shared" si="98"/>
        <v>0</v>
      </c>
      <c r="AF299" s="41">
        <f t="shared" si="98"/>
        <v>0</v>
      </c>
      <c r="AG299" s="41">
        <f t="shared" si="98"/>
        <v>0</v>
      </c>
      <c r="AH299" s="41">
        <f t="shared" si="98"/>
        <v>0</v>
      </c>
      <c r="AI299" s="41">
        <f t="shared" si="98"/>
        <v>0</v>
      </c>
      <c r="AJ299" s="41">
        <f t="shared" si="98"/>
        <v>0</v>
      </c>
      <c r="AK299" s="41">
        <f t="shared" si="98"/>
        <v>0</v>
      </c>
      <c r="AL299" s="41">
        <f t="shared" si="98"/>
        <v>0</v>
      </c>
      <c r="AM299" s="41">
        <f t="shared" ref="AM299:AW308" si="99">IF(AND(AM$2&gt;=($B299-$D$286+1),AM$2&lt;=$B299),$D299/$D$286,0)</f>
        <v>0</v>
      </c>
      <c r="AN299" s="41">
        <f t="shared" si="99"/>
        <v>0</v>
      </c>
      <c r="AO299" s="41">
        <f t="shared" si="99"/>
        <v>0</v>
      </c>
      <c r="AP299" s="41">
        <f t="shared" si="99"/>
        <v>0</v>
      </c>
      <c r="AQ299" s="41">
        <f t="shared" si="99"/>
        <v>0</v>
      </c>
      <c r="AR299" s="41">
        <f t="shared" si="99"/>
        <v>0</v>
      </c>
      <c r="AS299" s="41">
        <f t="shared" si="99"/>
        <v>0</v>
      </c>
      <c r="AT299" s="41">
        <f t="shared" si="99"/>
        <v>0</v>
      </c>
      <c r="AU299" s="41">
        <f t="shared" si="99"/>
        <v>0</v>
      </c>
      <c r="AV299" s="41">
        <f t="shared" si="99"/>
        <v>0</v>
      </c>
      <c r="AW299" s="41">
        <f t="shared" si="99"/>
        <v>0</v>
      </c>
    </row>
    <row r="300" spans="2:49">
      <c r="B300" s="15">
        <v>12</v>
      </c>
      <c r="C300" s="15" t="str">
        <f t="shared" si="91"/>
        <v>US$</v>
      </c>
      <c r="D300" s="41">
        <f ca="1"/>
        <v>0</v>
      </c>
      <c r="I300" s="41">
        <f t="shared" si="96"/>
        <v>0</v>
      </c>
      <c r="J300" s="41">
        <f t="shared" si="96"/>
        <v>0</v>
      </c>
      <c r="K300" s="41">
        <f t="shared" si="96"/>
        <v>0</v>
      </c>
      <c r="L300" s="41">
        <f t="shared" si="96"/>
        <v>0</v>
      </c>
      <c r="M300" s="41">
        <f t="shared" si="96"/>
        <v>0</v>
      </c>
      <c r="N300" s="41">
        <f t="shared" si="96"/>
        <v>0</v>
      </c>
      <c r="O300" s="41">
        <f t="shared" si="96"/>
        <v>0</v>
      </c>
      <c r="P300" s="41">
        <f t="shared" si="96"/>
        <v>0</v>
      </c>
      <c r="Q300" s="41">
        <f t="shared" si="96"/>
        <v>0</v>
      </c>
      <c r="R300" s="41">
        <f t="shared" ca="1" si="96"/>
        <v>0</v>
      </c>
      <c r="S300" s="41">
        <f t="shared" ca="1" si="97"/>
        <v>0</v>
      </c>
      <c r="T300" s="41">
        <f t="shared" ca="1" si="97"/>
        <v>0</v>
      </c>
      <c r="U300" s="41">
        <f t="shared" si="97"/>
        <v>0</v>
      </c>
      <c r="V300" s="41">
        <f t="shared" si="97"/>
        <v>0</v>
      </c>
      <c r="W300" s="41">
        <f t="shared" si="97"/>
        <v>0</v>
      </c>
      <c r="X300" s="41">
        <f t="shared" si="97"/>
        <v>0</v>
      </c>
      <c r="Y300" s="41">
        <f t="shared" si="97"/>
        <v>0</v>
      </c>
      <c r="Z300" s="41">
        <f t="shared" si="97"/>
        <v>0</v>
      </c>
      <c r="AA300" s="41">
        <f t="shared" si="97"/>
        <v>0</v>
      </c>
      <c r="AB300" s="41">
        <f t="shared" si="97"/>
        <v>0</v>
      </c>
      <c r="AC300" s="41">
        <f t="shared" si="98"/>
        <v>0</v>
      </c>
      <c r="AD300" s="41">
        <f t="shared" si="98"/>
        <v>0</v>
      </c>
      <c r="AE300" s="41">
        <f t="shared" si="98"/>
        <v>0</v>
      </c>
      <c r="AF300" s="41">
        <f t="shared" si="98"/>
        <v>0</v>
      </c>
      <c r="AG300" s="41">
        <f t="shared" si="98"/>
        <v>0</v>
      </c>
      <c r="AH300" s="41">
        <f t="shared" si="98"/>
        <v>0</v>
      </c>
      <c r="AI300" s="41">
        <f t="shared" si="98"/>
        <v>0</v>
      </c>
      <c r="AJ300" s="41">
        <f t="shared" si="98"/>
        <v>0</v>
      </c>
      <c r="AK300" s="41">
        <f t="shared" si="98"/>
        <v>0</v>
      </c>
      <c r="AL300" s="41">
        <f t="shared" si="98"/>
        <v>0</v>
      </c>
      <c r="AM300" s="41">
        <f t="shared" si="99"/>
        <v>0</v>
      </c>
      <c r="AN300" s="41">
        <f t="shared" si="99"/>
        <v>0</v>
      </c>
      <c r="AO300" s="41">
        <f t="shared" si="99"/>
        <v>0</v>
      </c>
      <c r="AP300" s="41">
        <f t="shared" si="99"/>
        <v>0</v>
      </c>
      <c r="AQ300" s="41">
        <f t="shared" si="99"/>
        <v>0</v>
      </c>
      <c r="AR300" s="41">
        <f t="shared" si="99"/>
        <v>0</v>
      </c>
      <c r="AS300" s="41">
        <f t="shared" si="99"/>
        <v>0</v>
      </c>
      <c r="AT300" s="41">
        <f t="shared" si="99"/>
        <v>0</v>
      </c>
      <c r="AU300" s="41">
        <f t="shared" si="99"/>
        <v>0</v>
      </c>
      <c r="AV300" s="41">
        <f t="shared" si="99"/>
        <v>0</v>
      </c>
      <c r="AW300" s="41">
        <f t="shared" si="99"/>
        <v>0</v>
      </c>
    </row>
    <row r="301" spans="2:49">
      <c r="B301" s="15">
        <v>13</v>
      </c>
      <c r="C301" s="15" t="str">
        <f t="shared" si="91"/>
        <v>US$</v>
      </c>
      <c r="D301" s="41">
        <f ca="1"/>
        <v>0</v>
      </c>
      <c r="I301" s="41">
        <f t="shared" si="96"/>
        <v>0</v>
      </c>
      <c r="J301" s="41">
        <f t="shared" si="96"/>
        <v>0</v>
      </c>
      <c r="K301" s="41">
        <f t="shared" si="96"/>
        <v>0</v>
      </c>
      <c r="L301" s="41">
        <f t="shared" si="96"/>
        <v>0</v>
      </c>
      <c r="M301" s="41">
        <f t="shared" si="96"/>
        <v>0</v>
      </c>
      <c r="N301" s="41">
        <f t="shared" si="96"/>
        <v>0</v>
      </c>
      <c r="O301" s="41">
        <f t="shared" si="96"/>
        <v>0</v>
      </c>
      <c r="P301" s="41">
        <f t="shared" si="96"/>
        <v>0</v>
      </c>
      <c r="Q301" s="41">
        <f t="shared" si="96"/>
        <v>0</v>
      </c>
      <c r="R301" s="41">
        <f t="shared" si="96"/>
        <v>0</v>
      </c>
      <c r="S301" s="41">
        <f t="shared" ca="1" si="97"/>
        <v>0</v>
      </c>
      <c r="T301" s="41">
        <f t="shared" ca="1" si="97"/>
        <v>0</v>
      </c>
      <c r="U301" s="41">
        <f t="shared" ca="1" si="97"/>
        <v>0</v>
      </c>
      <c r="V301" s="41">
        <f t="shared" si="97"/>
        <v>0</v>
      </c>
      <c r="W301" s="41">
        <f t="shared" si="97"/>
        <v>0</v>
      </c>
      <c r="X301" s="41">
        <f t="shared" si="97"/>
        <v>0</v>
      </c>
      <c r="Y301" s="41">
        <f t="shared" si="97"/>
        <v>0</v>
      </c>
      <c r="Z301" s="41">
        <f t="shared" si="97"/>
        <v>0</v>
      </c>
      <c r="AA301" s="41">
        <f t="shared" si="97"/>
        <v>0</v>
      </c>
      <c r="AB301" s="41">
        <f t="shared" si="97"/>
        <v>0</v>
      </c>
      <c r="AC301" s="41">
        <f t="shared" si="98"/>
        <v>0</v>
      </c>
      <c r="AD301" s="41">
        <f t="shared" si="98"/>
        <v>0</v>
      </c>
      <c r="AE301" s="41">
        <f t="shared" si="98"/>
        <v>0</v>
      </c>
      <c r="AF301" s="41">
        <f t="shared" si="98"/>
        <v>0</v>
      </c>
      <c r="AG301" s="41">
        <f t="shared" si="98"/>
        <v>0</v>
      </c>
      <c r="AH301" s="41">
        <f t="shared" si="98"/>
        <v>0</v>
      </c>
      <c r="AI301" s="41">
        <f t="shared" si="98"/>
        <v>0</v>
      </c>
      <c r="AJ301" s="41">
        <f t="shared" si="98"/>
        <v>0</v>
      </c>
      <c r="AK301" s="41">
        <f t="shared" si="98"/>
        <v>0</v>
      </c>
      <c r="AL301" s="41">
        <f t="shared" si="98"/>
        <v>0</v>
      </c>
      <c r="AM301" s="41">
        <f t="shared" si="99"/>
        <v>0</v>
      </c>
      <c r="AN301" s="41">
        <f t="shared" si="99"/>
        <v>0</v>
      </c>
      <c r="AO301" s="41">
        <f t="shared" si="99"/>
        <v>0</v>
      </c>
      <c r="AP301" s="41">
        <f t="shared" si="99"/>
        <v>0</v>
      </c>
      <c r="AQ301" s="41">
        <f t="shared" si="99"/>
        <v>0</v>
      </c>
      <c r="AR301" s="41">
        <f t="shared" si="99"/>
        <v>0</v>
      </c>
      <c r="AS301" s="41">
        <f t="shared" si="99"/>
        <v>0</v>
      </c>
      <c r="AT301" s="41">
        <f t="shared" si="99"/>
        <v>0</v>
      </c>
      <c r="AU301" s="41">
        <f t="shared" si="99"/>
        <v>0</v>
      </c>
      <c r="AV301" s="41">
        <f t="shared" si="99"/>
        <v>0</v>
      </c>
      <c r="AW301" s="41">
        <f t="shared" si="99"/>
        <v>0</v>
      </c>
    </row>
    <row r="302" spans="2:49">
      <c r="B302" s="15">
        <v>14</v>
      </c>
      <c r="C302" s="15" t="str">
        <f t="shared" si="91"/>
        <v>US$</v>
      </c>
      <c r="D302" s="41">
        <f ca="1"/>
        <v>0</v>
      </c>
      <c r="I302" s="41">
        <f t="shared" si="96"/>
        <v>0</v>
      </c>
      <c r="J302" s="41">
        <f t="shared" si="96"/>
        <v>0</v>
      </c>
      <c r="K302" s="41">
        <f t="shared" si="96"/>
        <v>0</v>
      </c>
      <c r="L302" s="41">
        <f t="shared" si="96"/>
        <v>0</v>
      </c>
      <c r="M302" s="41">
        <f t="shared" si="96"/>
        <v>0</v>
      </c>
      <c r="N302" s="41">
        <f t="shared" si="96"/>
        <v>0</v>
      </c>
      <c r="O302" s="41">
        <f t="shared" si="96"/>
        <v>0</v>
      </c>
      <c r="P302" s="41">
        <f t="shared" si="96"/>
        <v>0</v>
      </c>
      <c r="Q302" s="41">
        <f t="shared" si="96"/>
        <v>0</v>
      </c>
      <c r="R302" s="41">
        <f t="shared" si="96"/>
        <v>0</v>
      </c>
      <c r="S302" s="41">
        <f t="shared" si="97"/>
        <v>0</v>
      </c>
      <c r="T302" s="41">
        <f t="shared" ca="1" si="97"/>
        <v>0</v>
      </c>
      <c r="U302" s="41">
        <f t="shared" ca="1" si="97"/>
        <v>0</v>
      </c>
      <c r="V302" s="41">
        <f t="shared" ca="1" si="97"/>
        <v>0</v>
      </c>
      <c r="W302" s="41">
        <f t="shared" si="97"/>
        <v>0</v>
      </c>
      <c r="X302" s="41">
        <f t="shared" si="97"/>
        <v>0</v>
      </c>
      <c r="Y302" s="41">
        <f t="shared" si="97"/>
        <v>0</v>
      </c>
      <c r="Z302" s="41">
        <f t="shared" si="97"/>
        <v>0</v>
      </c>
      <c r="AA302" s="41">
        <f t="shared" si="97"/>
        <v>0</v>
      </c>
      <c r="AB302" s="41">
        <f t="shared" si="97"/>
        <v>0</v>
      </c>
      <c r="AC302" s="41">
        <f t="shared" si="98"/>
        <v>0</v>
      </c>
      <c r="AD302" s="41">
        <f t="shared" si="98"/>
        <v>0</v>
      </c>
      <c r="AE302" s="41">
        <f t="shared" si="98"/>
        <v>0</v>
      </c>
      <c r="AF302" s="41">
        <f t="shared" si="98"/>
        <v>0</v>
      </c>
      <c r="AG302" s="41">
        <f t="shared" si="98"/>
        <v>0</v>
      </c>
      <c r="AH302" s="41">
        <f t="shared" si="98"/>
        <v>0</v>
      </c>
      <c r="AI302" s="41">
        <f t="shared" si="98"/>
        <v>0</v>
      </c>
      <c r="AJ302" s="41">
        <f t="shared" si="98"/>
        <v>0</v>
      </c>
      <c r="AK302" s="41">
        <f t="shared" si="98"/>
        <v>0</v>
      </c>
      <c r="AL302" s="41">
        <f t="shared" si="98"/>
        <v>0</v>
      </c>
      <c r="AM302" s="41">
        <f t="shared" si="99"/>
        <v>0</v>
      </c>
      <c r="AN302" s="41">
        <f t="shared" si="99"/>
        <v>0</v>
      </c>
      <c r="AO302" s="41">
        <f t="shared" si="99"/>
        <v>0</v>
      </c>
      <c r="AP302" s="41">
        <f t="shared" si="99"/>
        <v>0</v>
      </c>
      <c r="AQ302" s="41">
        <f t="shared" si="99"/>
        <v>0</v>
      </c>
      <c r="AR302" s="41">
        <f t="shared" si="99"/>
        <v>0</v>
      </c>
      <c r="AS302" s="41">
        <f t="shared" si="99"/>
        <v>0</v>
      </c>
      <c r="AT302" s="41">
        <f t="shared" si="99"/>
        <v>0</v>
      </c>
      <c r="AU302" s="41">
        <f t="shared" si="99"/>
        <v>0</v>
      </c>
      <c r="AV302" s="41">
        <f t="shared" si="99"/>
        <v>0</v>
      </c>
      <c r="AW302" s="41">
        <f t="shared" si="99"/>
        <v>0</v>
      </c>
    </row>
    <row r="303" spans="2:49">
      <c r="B303" s="15">
        <v>15</v>
      </c>
      <c r="C303" s="15" t="str">
        <f t="shared" si="91"/>
        <v>US$</v>
      </c>
      <c r="D303" s="41">
        <f ca="1"/>
        <v>0</v>
      </c>
      <c r="I303" s="41">
        <f t="shared" si="96"/>
        <v>0</v>
      </c>
      <c r="J303" s="41">
        <f t="shared" si="96"/>
        <v>0</v>
      </c>
      <c r="K303" s="41">
        <f t="shared" si="96"/>
        <v>0</v>
      </c>
      <c r="L303" s="41">
        <f t="shared" si="96"/>
        <v>0</v>
      </c>
      <c r="M303" s="41">
        <f t="shared" si="96"/>
        <v>0</v>
      </c>
      <c r="N303" s="41">
        <f t="shared" si="96"/>
        <v>0</v>
      </c>
      <c r="O303" s="41">
        <f t="shared" si="96"/>
        <v>0</v>
      </c>
      <c r="P303" s="41">
        <f t="shared" si="96"/>
        <v>0</v>
      </c>
      <c r="Q303" s="41">
        <f t="shared" si="96"/>
        <v>0</v>
      </c>
      <c r="R303" s="41">
        <f t="shared" si="96"/>
        <v>0</v>
      </c>
      <c r="S303" s="41">
        <f t="shared" si="97"/>
        <v>0</v>
      </c>
      <c r="T303" s="41">
        <f t="shared" si="97"/>
        <v>0</v>
      </c>
      <c r="U303" s="41">
        <f t="shared" ca="1" si="97"/>
        <v>0</v>
      </c>
      <c r="V303" s="41">
        <f t="shared" ca="1" si="97"/>
        <v>0</v>
      </c>
      <c r="W303" s="41">
        <f t="shared" ca="1" si="97"/>
        <v>0</v>
      </c>
      <c r="X303" s="41">
        <f t="shared" si="97"/>
        <v>0</v>
      </c>
      <c r="Y303" s="41">
        <f t="shared" si="97"/>
        <v>0</v>
      </c>
      <c r="Z303" s="41">
        <f t="shared" si="97"/>
        <v>0</v>
      </c>
      <c r="AA303" s="41">
        <f t="shared" si="97"/>
        <v>0</v>
      </c>
      <c r="AB303" s="41">
        <f t="shared" si="97"/>
        <v>0</v>
      </c>
      <c r="AC303" s="41">
        <f t="shared" si="98"/>
        <v>0</v>
      </c>
      <c r="AD303" s="41">
        <f t="shared" si="98"/>
        <v>0</v>
      </c>
      <c r="AE303" s="41">
        <f t="shared" si="98"/>
        <v>0</v>
      </c>
      <c r="AF303" s="41">
        <f t="shared" si="98"/>
        <v>0</v>
      </c>
      <c r="AG303" s="41">
        <f t="shared" si="98"/>
        <v>0</v>
      </c>
      <c r="AH303" s="41">
        <f t="shared" si="98"/>
        <v>0</v>
      </c>
      <c r="AI303" s="41">
        <f t="shared" si="98"/>
        <v>0</v>
      </c>
      <c r="AJ303" s="41">
        <f t="shared" si="98"/>
        <v>0</v>
      </c>
      <c r="AK303" s="41">
        <f t="shared" si="98"/>
        <v>0</v>
      </c>
      <c r="AL303" s="41">
        <f t="shared" si="98"/>
        <v>0</v>
      </c>
      <c r="AM303" s="41">
        <f t="shared" si="99"/>
        <v>0</v>
      </c>
      <c r="AN303" s="41">
        <f t="shared" si="99"/>
        <v>0</v>
      </c>
      <c r="AO303" s="41">
        <f t="shared" si="99"/>
        <v>0</v>
      </c>
      <c r="AP303" s="41">
        <f t="shared" si="99"/>
        <v>0</v>
      </c>
      <c r="AQ303" s="41">
        <f t="shared" si="99"/>
        <v>0</v>
      </c>
      <c r="AR303" s="41">
        <f t="shared" si="99"/>
        <v>0</v>
      </c>
      <c r="AS303" s="41">
        <f t="shared" si="99"/>
        <v>0</v>
      </c>
      <c r="AT303" s="41">
        <f t="shared" si="99"/>
        <v>0</v>
      </c>
      <c r="AU303" s="41">
        <f t="shared" si="99"/>
        <v>0</v>
      </c>
      <c r="AV303" s="41">
        <f t="shared" si="99"/>
        <v>0</v>
      </c>
      <c r="AW303" s="41">
        <f t="shared" si="99"/>
        <v>0</v>
      </c>
    </row>
    <row r="304" spans="2:49">
      <c r="B304" s="15">
        <v>16</v>
      </c>
      <c r="C304" s="15" t="str">
        <f t="shared" si="91"/>
        <v>US$</v>
      </c>
      <c r="D304" s="41">
        <f ca="1"/>
        <v>0</v>
      </c>
      <c r="I304" s="41">
        <f t="shared" si="96"/>
        <v>0</v>
      </c>
      <c r="J304" s="41">
        <f t="shared" si="96"/>
        <v>0</v>
      </c>
      <c r="K304" s="41">
        <f t="shared" si="96"/>
        <v>0</v>
      </c>
      <c r="L304" s="41">
        <f t="shared" si="96"/>
        <v>0</v>
      </c>
      <c r="M304" s="41">
        <f t="shared" si="96"/>
        <v>0</v>
      </c>
      <c r="N304" s="41">
        <f t="shared" si="96"/>
        <v>0</v>
      </c>
      <c r="O304" s="41">
        <f t="shared" si="96"/>
        <v>0</v>
      </c>
      <c r="P304" s="41">
        <f t="shared" si="96"/>
        <v>0</v>
      </c>
      <c r="Q304" s="41">
        <f t="shared" si="96"/>
        <v>0</v>
      </c>
      <c r="R304" s="41">
        <f t="shared" si="96"/>
        <v>0</v>
      </c>
      <c r="S304" s="41">
        <f t="shared" si="97"/>
        <v>0</v>
      </c>
      <c r="T304" s="41">
        <f t="shared" si="97"/>
        <v>0</v>
      </c>
      <c r="U304" s="41">
        <f t="shared" si="97"/>
        <v>0</v>
      </c>
      <c r="V304" s="41">
        <f t="shared" ca="1" si="97"/>
        <v>0</v>
      </c>
      <c r="W304" s="41">
        <f t="shared" ca="1" si="97"/>
        <v>0</v>
      </c>
      <c r="X304" s="41">
        <f t="shared" ca="1" si="97"/>
        <v>0</v>
      </c>
      <c r="Y304" s="41">
        <f t="shared" si="97"/>
        <v>0</v>
      </c>
      <c r="Z304" s="41">
        <f t="shared" si="97"/>
        <v>0</v>
      </c>
      <c r="AA304" s="41">
        <f t="shared" si="97"/>
        <v>0</v>
      </c>
      <c r="AB304" s="41">
        <f t="shared" si="97"/>
        <v>0</v>
      </c>
      <c r="AC304" s="41">
        <f t="shared" si="98"/>
        <v>0</v>
      </c>
      <c r="AD304" s="41">
        <f t="shared" si="98"/>
        <v>0</v>
      </c>
      <c r="AE304" s="41">
        <f t="shared" si="98"/>
        <v>0</v>
      </c>
      <c r="AF304" s="41">
        <f t="shared" si="98"/>
        <v>0</v>
      </c>
      <c r="AG304" s="41">
        <f t="shared" si="98"/>
        <v>0</v>
      </c>
      <c r="AH304" s="41">
        <f t="shared" si="98"/>
        <v>0</v>
      </c>
      <c r="AI304" s="41">
        <f t="shared" si="98"/>
        <v>0</v>
      </c>
      <c r="AJ304" s="41">
        <f t="shared" si="98"/>
        <v>0</v>
      </c>
      <c r="AK304" s="41">
        <f t="shared" si="98"/>
        <v>0</v>
      </c>
      <c r="AL304" s="41">
        <f t="shared" si="98"/>
        <v>0</v>
      </c>
      <c r="AM304" s="41">
        <f t="shared" si="99"/>
        <v>0</v>
      </c>
      <c r="AN304" s="41">
        <f t="shared" si="99"/>
        <v>0</v>
      </c>
      <c r="AO304" s="41">
        <f t="shared" si="99"/>
        <v>0</v>
      </c>
      <c r="AP304" s="41">
        <f t="shared" si="99"/>
        <v>0</v>
      </c>
      <c r="AQ304" s="41">
        <f t="shared" si="99"/>
        <v>0</v>
      </c>
      <c r="AR304" s="41">
        <f t="shared" si="99"/>
        <v>0</v>
      </c>
      <c r="AS304" s="41">
        <f t="shared" si="99"/>
        <v>0</v>
      </c>
      <c r="AT304" s="41">
        <f t="shared" si="99"/>
        <v>0</v>
      </c>
      <c r="AU304" s="41">
        <f t="shared" si="99"/>
        <v>0</v>
      </c>
      <c r="AV304" s="41">
        <f t="shared" si="99"/>
        <v>0</v>
      </c>
      <c r="AW304" s="41">
        <f t="shared" si="99"/>
        <v>0</v>
      </c>
    </row>
    <row r="305" spans="1:49">
      <c r="B305" s="15">
        <v>17</v>
      </c>
      <c r="C305" s="15" t="str">
        <f t="shared" si="91"/>
        <v>US$</v>
      </c>
      <c r="D305" s="41">
        <f ca="1"/>
        <v>0</v>
      </c>
      <c r="I305" s="41">
        <f t="shared" si="96"/>
        <v>0</v>
      </c>
      <c r="J305" s="41">
        <f t="shared" si="96"/>
        <v>0</v>
      </c>
      <c r="K305" s="41">
        <f t="shared" si="96"/>
        <v>0</v>
      </c>
      <c r="L305" s="41">
        <f t="shared" si="96"/>
        <v>0</v>
      </c>
      <c r="M305" s="41">
        <f t="shared" si="96"/>
        <v>0</v>
      </c>
      <c r="N305" s="41">
        <f t="shared" si="96"/>
        <v>0</v>
      </c>
      <c r="O305" s="41">
        <f t="shared" si="96"/>
        <v>0</v>
      </c>
      <c r="P305" s="41">
        <f t="shared" si="96"/>
        <v>0</v>
      </c>
      <c r="Q305" s="41">
        <f t="shared" si="96"/>
        <v>0</v>
      </c>
      <c r="R305" s="41">
        <f t="shared" si="96"/>
        <v>0</v>
      </c>
      <c r="S305" s="41">
        <f t="shared" si="97"/>
        <v>0</v>
      </c>
      <c r="T305" s="41">
        <f t="shared" si="97"/>
        <v>0</v>
      </c>
      <c r="U305" s="41">
        <f t="shared" si="97"/>
        <v>0</v>
      </c>
      <c r="V305" s="41">
        <f t="shared" si="97"/>
        <v>0</v>
      </c>
      <c r="W305" s="41">
        <f t="shared" ca="1" si="97"/>
        <v>0</v>
      </c>
      <c r="X305" s="41">
        <f t="shared" ca="1" si="97"/>
        <v>0</v>
      </c>
      <c r="Y305" s="41">
        <f t="shared" ca="1" si="97"/>
        <v>0</v>
      </c>
      <c r="Z305" s="41">
        <f t="shared" si="97"/>
        <v>0</v>
      </c>
      <c r="AA305" s="41">
        <f t="shared" si="97"/>
        <v>0</v>
      </c>
      <c r="AB305" s="41">
        <f t="shared" si="97"/>
        <v>0</v>
      </c>
      <c r="AC305" s="41">
        <f t="shared" si="98"/>
        <v>0</v>
      </c>
      <c r="AD305" s="41">
        <f t="shared" si="98"/>
        <v>0</v>
      </c>
      <c r="AE305" s="41">
        <f t="shared" si="98"/>
        <v>0</v>
      </c>
      <c r="AF305" s="41">
        <f t="shared" si="98"/>
        <v>0</v>
      </c>
      <c r="AG305" s="41">
        <f t="shared" si="98"/>
        <v>0</v>
      </c>
      <c r="AH305" s="41">
        <f t="shared" si="98"/>
        <v>0</v>
      </c>
      <c r="AI305" s="41">
        <f t="shared" si="98"/>
        <v>0</v>
      </c>
      <c r="AJ305" s="41">
        <f t="shared" si="98"/>
        <v>0</v>
      </c>
      <c r="AK305" s="41">
        <f t="shared" si="98"/>
        <v>0</v>
      </c>
      <c r="AL305" s="41">
        <f t="shared" si="98"/>
        <v>0</v>
      </c>
      <c r="AM305" s="41">
        <f t="shared" si="99"/>
        <v>0</v>
      </c>
      <c r="AN305" s="41">
        <f t="shared" si="99"/>
        <v>0</v>
      </c>
      <c r="AO305" s="41">
        <f t="shared" si="99"/>
        <v>0</v>
      </c>
      <c r="AP305" s="41">
        <f t="shared" si="99"/>
        <v>0</v>
      </c>
      <c r="AQ305" s="41">
        <f t="shared" si="99"/>
        <v>0</v>
      </c>
      <c r="AR305" s="41">
        <f t="shared" si="99"/>
        <v>0</v>
      </c>
      <c r="AS305" s="41">
        <f t="shared" si="99"/>
        <v>0</v>
      </c>
      <c r="AT305" s="41">
        <f t="shared" si="99"/>
        <v>0</v>
      </c>
      <c r="AU305" s="41">
        <f t="shared" si="99"/>
        <v>0</v>
      </c>
      <c r="AV305" s="41">
        <f t="shared" si="99"/>
        <v>0</v>
      </c>
      <c r="AW305" s="41">
        <f t="shared" si="99"/>
        <v>0</v>
      </c>
    </row>
    <row r="306" spans="1:49">
      <c r="B306" s="15">
        <v>18</v>
      </c>
      <c r="C306" s="15" t="str">
        <f t="shared" si="91"/>
        <v>US$</v>
      </c>
      <c r="D306" s="41">
        <f ca="1"/>
        <v>0</v>
      </c>
      <c r="I306" s="41">
        <f t="shared" si="96"/>
        <v>0</v>
      </c>
      <c r="J306" s="41">
        <f t="shared" si="96"/>
        <v>0</v>
      </c>
      <c r="K306" s="41">
        <f t="shared" si="96"/>
        <v>0</v>
      </c>
      <c r="L306" s="41">
        <f t="shared" si="96"/>
        <v>0</v>
      </c>
      <c r="M306" s="41">
        <f t="shared" si="96"/>
        <v>0</v>
      </c>
      <c r="N306" s="41">
        <f t="shared" si="96"/>
        <v>0</v>
      </c>
      <c r="O306" s="41">
        <f t="shared" si="96"/>
        <v>0</v>
      </c>
      <c r="P306" s="41">
        <f t="shared" si="96"/>
        <v>0</v>
      </c>
      <c r="Q306" s="41">
        <f t="shared" si="96"/>
        <v>0</v>
      </c>
      <c r="R306" s="41">
        <f t="shared" si="96"/>
        <v>0</v>
      </c>
      <c r="S306" s="41">
        <f t="shared" si="97"/>
        <v>0</v>
      </c>
      <c r="T306" s="41">
        <f t="shared" si="97"/>
        <v>0</v>
      </c>
      <c r="U306" s="41">
        <f t="shared" si="97"/>
        <v>0</v>
      </c>
      <c r="V306" s="41">
        <f t="shared" si="97"/>
        <v>0</v>
      </c>
      <c r="W306" s="41">
        <f t="shared" si="97"/>
        <v>0</v>
      </c>
      <c r="X306" s="41">
        <f t="shared" ca="1" si="97"/>
        <v>0</v>
      </c>
      <c r="Y306" s="41">
        <f t="shared" ca="1" si="97"/>
        <v>0</v>
      </c>
      <c r="Z306" s="41">
        <f t="shared" ca="1" si="97"/>
        <v>0</v>
      </c>
      <c r="AA306" s="41">
        <f t="shared" si="97"/>
        <v>0</v>
      </c>
      <c r="AB306" s="41">
        <f t="shared" si="97"/>
        <v>0</v>
      </c>
      <c r="AC306" s="41">
        <f t="shared" si="98"/>
        <v>0</v>
      </c>
      <c r="AD306" s="41">
        <f t="shared" si="98"/>
        <v>0</v>
      </c>
      <c r="AE306" s="41">
        <f t="shared" si="98"/>
        <v>0</v>
      </c>
      <c r="AF306" s="41">
        <f t="shared" si="98"/>
        <v>0</v>
      </c>
      <c r="AG306" s="41">
        <f t="shared" si="98"/>
        <v>0</v>
      </c>
      <c r="AH306" s="41">
        <f t="shared" si="98"/>
        <v>0</v>
      </c>
      <c r="AI306" s="41">
        <f t="shared" si="98"/>
        <v>0</v>
      </c>
      <c r="AJ306" s="41">
        <f t="shared" si="98"/>
        <v>0</v>
      </c>
      <c r="AK306" s="41">
        <f t="shared" si="98"/>
        <v>0</v>
      </c>
      <c r="AL306" s="41">
        <f t="shared" si="98"/>
        <v>0</v>
      </c>
      <c r="AM306" s="41">
        <f t="shared" si="99"/>
        <v>0</v>
      </c>
      <c r="AN306" s="41">
        <f t="shared" si="99"/>
        <v>0</v>
      </c>
      <c r="AO306" s="41">
        <f t="shared" si="99"/>
        <v>0</v>
      </c>
      <c r="AP306" s="41">
        <f t="shared" si="99"/>
        <v>0</v>
      </c>
      <c r="AQ306" s="41">
        <f t="shared" si="99"/>
        <v>0</v>
      </c>
      <c r="AR306" s="41">
        <f t="shared" si="99"/>
        <v>0</v>
      </c>
      <c r="AS306" s="41">
        <f t="shared" si="99"/>
        <v>0</v>
      </c>
      <c r="AT306" s="41">
        <f t="shared" si="99"/>
        <v>0</v>
      </c>
      <c r="AU306" s="41">
        <f t="shared" si="99"/>
        <v>0</v>
      </c>
      <c r="AV306" s="41">
        <f t="shared" si="99"/>
        <v>0</v>
      </c>
      <c r="AW306" s="41">
        <f t="shared" si="99"/>
        <v>0</v>
      </c>
    </row>
    <row r="307" spans="1:49">
      <c r="B307" s="15">
        <v>19</v>
      </c>
      <c r="C307" s="15" t="str">
        <f t="shared" si="91"/>
        <v>US$</v>
      </c>
      <c r="D307" s="41">
        <f ca="1"/>
        <v>0</v>
      </c>
      <c r="I307" s="41">
        <f t="shared" si="96"/>
        <v>0</v>
      </c>
      <c r="J307" s="41">
        <f t="shared" si="96"/>
        <v>0</v>
      </c>
      <c r="K307" s="41">
        <f t="shared" si="96"/>
        <v>0</v>
      </c>
      <c r="L307" s="41">
        <f t="shared" si="96"/>
        <v>0</v>
      </c>
      <c r="M307" s="41">
        <f t="shared" si="96"/>
        <v>0</v>
      </c>
      <c r="N307" s="41">
        <f t="shared" si="96"/>
        <v>0</v>
      </c>
      <c r="O307" s="41">
        <f t="shared" si="96"/>
        <v>0</v>
      </c>
      <c r="P307" s="41">
        <f t="shared" si="96"/>
        <v>0</v>
      </c>
      <c r="Q307" s="41">
        <f t="shared" si="96"/>
        <v>0</v>
      </c>
      <c r="R307" s="41">
        <f t="shared" si="96"/>
        <v>0</v>
      </c>
      <c r="S307" s="41">
        <f t="shared" si="97"/>
        <v>0</v>
      </c>
      <c r="T307" s="41">
        <f t="shared" si="97"/>
        <v>0</v>
      </c>
      <c r="U307" s="41">
        <f t="shared" si="97"/>
        <v>0</v>
      </c>
      <c r="V307" s="41">
        <f t="shared" si="97"/>
        <v>0</v>
      </c>
      <c r="W307" s="41">
        <f t="shared" si="97"/>
        <v>0</v>
      </c>
      <c r="X307" s="41">
        <f t="shared" si="97"/>
        <v>0</v>
      </c>
      <c r="Y307" s="41">
        <f t="shared" ca="1" si="97"/>
        <v>0</v>
      </c>
      <c r="Z307" s="41">
        <f t="shared" ca="1" si="97"/>
        <v>0</v>
      </c>
      <c r="AA307" s="41">
        <f t="shared" ca="1" si="97"/>
        <v>0</v>
      </c>
      <c r="AB307" s="41">
        <f t="shared" si="97"/>
        <v>0</v>
      </c>
      <c r="AC307" s="41">
        <f t="shared" si="98"/>
        <v>0</v>
      </c>
      <c r="AD307" s="41">
        <f t="shared" si="98"/>
        <v>0</v>
      </c>
      <c r="AE307" s="41">
        <f t="shared" si="98"/>
        <v>0</v>
      </c>
      <c r="AF307" s="41">
        <f t="shared" si="98"/>
        <v>0</v>
      </c>
      <c r="AG307" s="41">
        <f t="shared" si="98"/>
        <v>0</v>
      </c>
      <c r="AH307" s="41">
        <f t="shared" si="98"/>
        <v>0</v>
      </c>
      <c r="AI307" s="41">
        <f t="shared" si="98"/>
        <v>0</v>
      </c>
      <c r="AJ307" s="41">
        <f t="shared" si="98"/>
        <v>0</v>
      </c>
      <c r="AK307" s="41">
        <f t="shared" si="98"/>
        <v>0</v>
      </c>
      <c r="AL307" s="41">
        <f t="shared" si="98"/>
        <v>0</v>
      </c>
      <c r="AM307" s="41">
        <f t="shared" si="99"/>
        <v>0</v>
      </c>
      <c r="AN307" s="41">
        <f t="shared" si="99"/>
        <v>0</v>
      </c>
      <c r="AO307" s="41">
        <f t="shared" si="99"/>
        <v>0</v>
      </c>
      <c r="AP307" s="41">
        <f t="shared" si="99"/>
        <v>0</v>
      </c>
      <c r="AQ307" s="41">
        <f t="shared" si="99"/>
        <v>0</v>
      </c>
      <c r="AR307" s="41">
        <f t="shared" si="99"/>
        <v>0</v>
      </c>
      <c r="AS307" s="41">
        <f t="shared" si="99"/>
        <v>0</v>
      </c>
      <c r="AT307" s="41">
        <f t="shared" si="99"/>
        <v>0</v>
      </c>
      <c r="AU307" s="41">
        <f t="shared" si="99"/>
        <v>0</v>
      </c>
      <c r="AV307" s="41">
        <f t="shared" si="99"/>
        <v>0</v>
      </c>
      <c r="AW307" s="41">
        <f t="shared" si="99"/>
        <v>0</v>
      </c>
    </row>
    <row r="308" spans="1:49">
      <c r="B308" s="15">
        <v>20</v>
      </c>
      <c r="C308" s="15" t="str">
        <f t="shared" si="91"/>
        <v>US$</v>
      </c>
      <c r="D308" s="41">
        <f ca="1"/>
        <v>0</v>
      </c>
      <c r="I308" s="41">
        <f t="shared" si="96"/>
        <v>0</v>
      </c>
      <c r="J308" s="41">
        <f t="shared" si="96"/>
        <v>0</v>
      </c>
      <c r="K308" s="41">
        <f t="shared" si="96"/>
        <v>0</v>
      </c>
      <c r="L308" s="41">
        <f t="shared" si="96"/>
        <v>0</v>
      </c>
      <c r="M308" s="41">
        <f t="shared" si="96"/>
        <v>0</v>
      </c>
      <c r="N308" s="41">
        <f t="shared" si="96"/>
        <v>0</v>
      </c>
      <c r="O308" s="41">
        <f t="shared" si="96"/>
        <v>0</v>
      </c>
      <c r="P308" s="41">
        <f t="shared" si="96"/>
        <v>0</v>
      </c>
      <c r="Q308" s="41">
        <f t="shared" si="96"/>
        <v>0</v>
      </c>
      <c r="R308" s="41">
        <f t="shared" si="96"/>
        <v>0</v>
      </c>
      <c r="S308" s="41">
        <f t="shared" si="97"/>
        <v>0</v>
      </c>
      <c r="T308" s="41">
        <f t="shared" si="97"/>
        <v>0</v>
      </c>
      <c r="U308" s="41">
        <f t="shared" si="97"/>
        <v>0</v>
      </c>
      <c r="V308" s="41">
        <f t="shared" si="97"/>
        <v>0</v>
      </c>
      <c r="W308" s="41">
        <f t="shared" si="97"/>
        <v>0</v>
      </c>
      <c r="X308" s="41">
        <f t="shared" si="97"/>
        <v>0</v>
      </c>
      <c r="Y308" s="41">
        <f t="shared" si="97"/>
        <v>0</v>
      </c>
      <c r="Z308" s="41">
        <f t="shared" ca="1" si="97"/>
        <v>0</v>
      </c>
      <c r="AA308" s="41">
        <f t="shared" ca="1" si="97"/>
        <v>0</v>
      </c>
      <c r="AB308" s="41">
        <f t="shared" ca="1" si="97"/>
        <v>0</v>
      </c>
      <c r="AC308" s="41">
        <f t="shared" si="98"/>
        <v>0</v>
      </c>
      <c r="AD308" s="41">
        <f t="shared" si="98"/>
        <v>0</v>
      </c>
      <c r="AE308" s="41">
        <f t="shared" si="98"/>
        <v>0</v>
      </c>
      <c r="AF308" s="41">
        <f t="shared" si="98"/>
        <v>0</v>
      </c>
      <c r="AG308" s="41">
        <f t="shared" si="98"/>
        <v>0</v>
      </c>
      <c r="AH308" s="41">
        <f t="shared" si="98"/>
        <v>0</v>
      </c>
      <c r="AI308" s="41">
        <f t="shared" si="98"/>
        <v>0</v>
      </c>
      <c r="AJ308" s="41">
        <f t="shared" si="98"/>
        <v>0</v>
      </c>
      <c r="AK308" s="41">
        <f t="shared" si="98"/>
        <v>0</v>
      </c>
      <c r="AL308" s="41">
        <f t="shared" si="98"/>
        <v>0</v>
      </c>
      <c r="AM308" s="41">
        <f t="shared" si="99"/>
        <v>0</v>
      </c>
      <c r="AN308" s="41">
        <f t="shared" si="99"/>
        <v>0</v>
      </c>
      <c r="AO308" s="41">
        <f t="shared" si="99"/>
        <v>0</v>
      </c>
      <c r="AP308" s="41">
        <f t="shared" si="99"/>
        <v>0</v>
      </c>
      <c r="AQ308" s="41">
        <f t="shared" si="99"/>
        <v>0</v>
      </c>
      <c r="AR308" s="41">
        <f t="shared" si="99"/>
        <v>0</v>
      </c>
      <c r="AS308" s="41">
        <f t="shared" si="99"/>
        <v>0</v>
      </c>
      <c r="AT308" s="41">
        <f t="shared" si="99"/>
        <v>0</v>
      </c>
      <c r="AU308" s="41">
        <f t="shared" si="99"/>
        <v>0</v>
      </c>
      <c r="AV308" s="41">
        <f t="shared" si="99"/>
        <v>0</v>
      </c>
      <c r="AW308" s="41">
        <f t="shared" si="99"/>
        <v>0</v>
      </c>
    </row>
    <row r="309" spans="1:49">
      <c r="B309" s="15">
        <v>21</v>
      </c>
      <c r="C309" s="15" t="str">
        <f t="shared" si="91"/>
        <v>US$</v>
      </c>
      <c r="D309" s="41">
        <f ca="1"/>
        <v>0</v>
      </c>
      <c r="I309" s="41">
        <f t="shared" ref="I309:R315" si="100">IF(AND(I$2&gt;=($B309-$D$286+1),I$2&lt;=$B309),$D309/$D$286,0)</f>
        <v>0</v>
      </c>
      <c r="J309" s="41">
        <f t="shared" si="100"/>
        <v>0</v>
      </c>
      <c r="K309" s="41">
        <f t="shared" si="100"/>
        <v>0</v>
      </c>
      <c r="L309" s="41">
        <f t="shared" si="100"/>
        <v>0</v>
      </c>
      <c r="M309" s="41">
        <f t="shared" si="100"/>
        <v>0</v>
      </c>
      <c r="N309" s="41">
        <f t="shared" si="100"/>
        <v>0</v>
      </c>
      <c r="O309" s="41">
        <f t="shared" si="100"/>
        <v>0</v>
      </c>
      <c r="P309" s="41">
        <f t="shared" si="100"/>
        <v>0</v>
      </c>
      <c r="Q309" s="41">
        <f t="shared" si="100"/>
        <v>0</v>
      </c>
      <c r="R309" s="41">
        <f t="shared" si="100"/>
        <v>0</v>
      </c>
      <c r="S309" s="41">
        <f t="shared" ref="S309:AB315" si="101">IF(AND(S$2&gt;=($B309-$D$286+1),S$2&lt;=$B309),$D309/$D$286,0)</f>
        <v>0</v>
      </c>
      <c r="T309" s="41">
        <f t="shared" si="101"/>
        <v>0</v>
      </c>
      <c r="U309" s="41">
        <f t="shared" si="101"/>
        <v>0</v>
      </c>
      <c r="V309" s="41">
        <f t="shared" si="101"/>
        <v>0</v>
      </c>
      <c r="W309" s="41">
        <f t="shared" si="101"/>
        <v>0</v>
      </c>
      <c r="X309" s="41">
        <f t="shared" si="101"/>
        <v>0</v>
      </c>
      <c r="Y309" s="41">
        <f t="shared" si="101"/>
        <v>0</v>
      </c>
      <c r="Z309" s="41">
        <f t="shared" si="101"/>
        <v>0</v>
      </c>
      <c r="AA309" s="41">
        <f t="shared" ca="1" si="101"/>
        <v>0</v>
      </c>
      <c r="AB309" s="41">
        <f t="shared" ca="1" si="101"/>
        <v>0</v>
      </c>
      <c r="AC309" s="41">
        <f t="shared" ref="AC309:AL315" ca="1" si="102">IF(AND(AC$2&gt;=($B309-$D$286+1),AC$2&lt;=$B309),$D309/$D$286,0)</f>
        <v>0</v>
      </c>
      <c r="AD309" s="41">
        <f t="shared" si="102"/>
        <v>0</v>
      </c>
      <c r="AE309" s="41">
        <f t="shared" si="102"/>
        <v>0</v>
      </c>
      <c r="AF309" s="41">
        <f t="shared" si="102"/>
        <v>0</v>
      </c>
      <c r="AG309" s="41">
        <f t="shared" si="102"/>
        <v>0</v>
      </c>
      <c r="AH309" s="41">
        <f t="shared" si="102"/>
        <v>0</v>
      </c>
      <c r="AI309" s="41">
        <f t="shared" si="102"/>
        <v>0</v>
      </c>
      <c r="AJ309" s="41">
        <f t="shared" si="102"/>
        <v>0</v>
      </c>
      <c r="AK309" s="41">
        <f t="shared" si="102"/>
        <v>0</v>
      </c>
      <c r="AL309" s="41">
        <f t="shared" si="102"/>
        <v>0</v>
      </c>
      <c r="AM309" s="41">
        <f t="shared" ref="AM309:AW315" si="103">IF(AND(AM$2&gt;=($B309-$D$286+1),AM$2&lt;=$B309),$D309/$D$286,0)</f>
        <v>0</v>
      </c>
      <c r="AN309" s="41">
        <f t="shared" si="103"/>
        <v>0</v>
      </c>
      <c r="AO309" s="41">
        <f t="shared" si="103"/>
        <v>0</v>
      </c>
      <c r="AP309" s="41">
        <f t="shared" si="103"/>
        <v>0</v>
      </c>
      <c r="AQ309" s="41">
        <f t="shared" si="103"/>
        <v>0</v>
      </c>
      <c r="AR309" s="41">
        <f t="shared" si="103"/>
        <v>0</v>
      </c>
      <c r="AS309" s="41">
        <f t="shared" si="103"/>
        <v>0</v>
      </c>
      <c r="AT309" s="41">
        <f t="shared" si="103"/>
        <v>0</v>
      </c>
      <c r="AU309" s="41">
        <f t="shared" si="103"/>
        <v>0</v>
      </c>
      <c r="AV309" s="41">
        <f t="shared" si="103"/>
        <v>0</v>
      </c>
      <c r="AW309" s="41">
        <f t="shared" si="103"/>
        <v>0</v>
      </c>
    </row>
    <row r="310" spans="1:49">
      <c r="B310" s="15">
        <v>22</v>
      </c>
      <c r="C310" s="15" t="str">
        <f t="shared" si="91"/>
        <v>US$</v>
      </c>
      <c r="D310" s="41">
        <f ca="1"/>
        <v>0</v>
      </c>
      <c r="I310" s="41">
        <f t="shared" si="100"/>
        <v>0</v>
      </c>
      <c r="J310" s="41">
        <f t="shared" si="100"/>
        <v>0</v>
      </c>
      <c r="K310" s="41">
        <f t="shared" si="100"/>
        <v>0</v>
      </c>
      <c r="L310" s="41">
        <f t="shared" si="100"/>
        <v>0</v>
      </c>
      <c r="M310" s="41">
        <f t="shared" si="100"/>
        <v>0</v>
      </c>
      <c r="N310" s="41">
        <f t="shared" si="100"/>
        <v>0</v>
      </c>
      <c r="O310" s="41">
        <f t="shared" si="100"/>
        <v>0</v>
      </c>
      <c r="P310" s="41">
        <f t="shared" si="100"/>
        <v>0</v>
      </c>
      <c r="Q310" s="41">
        <f t="shared" si="100"/>
        <v>0</v>
      </c>
      <c r="R310" s="41">
        <f t="shared" si="100"/>
        <v>0</v>
      </c>
      <c r="S310" s="41">
        <f t="shared" si="101"/>
        <v>0</v>
      </c>
      <c r="T310" s="41">
        <f t="shared" si="101"/>
        <v>0</v>
      </c>
      <c r="U310" s="41">
        <f t="shared" si="101"/>
        <v>0</v>
      </c>
      <c r="V310" s="41">
        <f t="shared" si="101"/>
        <v>0</v>
      </c>
      <c r="W310" s="41">
        <f t="shared" si="101"/>
        <v>0</v>
      </c>
      <c r="X310" s="41">
        <f t="shared" si="101"/>
        <v>0</v>
      </c>
      <c r="Y310" s="41">
        <f t="shared" si="101"/>
        <v>0</v>
      </c>
      <c r="Z310" s="41">
        <f t="shared" si="101"/>
        <v>0</v>
      </c>
      <c r="AA310" s="41">
        <f t="shared" si="101"/>
        <v>0</v>
      </c>
      <c r="AB310" s="41">
        <f t="shared" ca="1" si="101"/>
        <v>0</v>
      </c>
      <c r="AC310" s="41">
        <f t="shared" ca="1" si="102"/>
        <v>0</v>
      </c>
      <c r="AD310" s="41">
        <f t="shared" ca="1" si="102"/>
        <v>0</v>
      </c>
      <c r="AE310" s="41">
        <f t="shared" si="102"/>
        <v>0</v>
      </c>
      <c r="AF310" s="41">
        <f t="shared" si="102"/>
        <v>0</v>
      </c>
      <c r="AG310" s="41">
        <f t="shared" si="102"/>
        <v>0</v>
      </c>
      <c r="AH310" s="41">
        <f t="shared" si="102"/>
        <v>0</v>
      </c>
      <c r="AI310" s="41">
        <f t="shared" si="102"/>
        <v>0</v>
      </c>
      <c r="AJ310" s="41">
        <f t="shared" si="102"/>
        <v>0</v>
      </c>
      <c r="AK310" s="41">
        <f t="shared" si="102"/>
        <v>0</v>
      </c>
      <c r="AL310" s="41">
        <f t="shared" si="102"/>
        <v>0</v>
      </c>
      <c r="AM310" s="41">
        <f t="shared" si="103"/>
        <v>0</v>
      </c>
      <c r="AN310" s="41">
        <f t="shared" si="103"/>
        <v>0</v>
      </c>
      <c r="AO310" s="41">
        <f t="shared" si="103"/>
        <v>0</v>
      </c>
      <c r="AP310" s="41">
        <f t="shared" si="103"/>
        <v>0</v>
      </c>
      <c r="AQ310" s="41">
        <f t="shared" si="103"/>
        <v>0</v>
      </c>
      <c r="AR310" s="41">
        <f t="shared" si="103"/>
        <v>0</v>
      </c>
      <c r="AS310" s="41">
        <f t="shared" si="103"/>
        <v>0</v>
      </c>
      <c r="AT310" s="41">
        <f t="shared" si="103"/>
        <v>0</v>
      </c>
      <c r="AU310" s="41">
        <f t="shared" si="103"/>
        <v>0</v>
      </c>
      <c r="AV310" s="41">
        <f t="shared" si="103"/>
        <v>0</v>
      </c>
      <c r="AW310" s="41">
        <f t="shared" si="103"/>
        <v>0</v>
      </c>
    </row>
    <row r="311" spans="1:49">
      <c r="B311" s="15">
        <v>23</v>
      </c>
      <c r="C311" s="15" t="str">
        <f t="shared" si="91"/>
        <v>US$</v>
      </c>
      <c r="D311" s="41">
        <f ca="1"/>
        <v>0</v>
      </c>
      <c r="I311" s="41">
        <f t="shared" si="100"/>
        <v>0</v>
      </c>
      <c r="J311" s="41">
        <f t="shared" si="100"/>
        <v>0</v>
      </c>
      <c r="K311" s="41">
        <f t="shared" si="100"/>
        <v>0</v>
      </c>
      <c r="L311" s="41">
        <f t="shared" si="100"/>
        <v>0</v>
      </c>
      <c r="M311" s="41">
        <f t="shared" si="100"/>
        <v>0</v>
      </c>
      <c r="N311" s="41">
        <f t="shared" si="100"/>
        <v>0</v>
      </c>
      <c r="O311" s="41">
        <f t="shared" si="100"/>
        <v>0</v>
      </c>
      <c r="P311" s="41">
        <f t="shared" si="100"/>
        <v>0</v>
      </c>
      <c r="Q311" s="41">
        <f t="shared" si="100"/>
        <v>0</v>
      </c>
      <c r="R311" s="41">
        <f t="shared" si="100"/>
        <v>0</v>
      </c>
      <c r="S311" s="41">
        <f t="shared" si="101"/>
        <v>0</v>
      </c>
      <c r="T311" s="41">
        <f t="shared" si="101"/>
        <v>0</v>
      </c>
      <c r="U311" s="41">
        <f t="shared" si="101"/>
        <v>0</v>
      </c>
      <c r="V311" s="41">
        <f t="shared" si="101"/>
        <v>0</v>
      </c>
      <c r="W311" s="41">
        <f t="shared" si="101"/>
        <v>0</v>
      </c>
      <c r="X311" s="41">
        <f t="shared" si="101"/>
        <v>0</v>
      </c>
      <c r="Y311" s="41">
        <f t="shared" si="101"/>
        <v>0</v>
      </c>
      <c r="Z311" s="41">
        <f t="shared" si="101"/>
        <v>0</v>
      </c>
      <c r="AA311" s="41">
        <f t="shared" si="101"/>
        <v>0</v>
      </c>
      <c r="AB311" s="41">
        <f t="shared" si="101"/>
        <v>0</v>
      </c>
      <c r="AC311" s="41">
        <f t="shared" ca="1" si="102"/>
        <v>0</v>
      </c>
      <c r="AD311" s="41">
        <f t="shared" ca="1" si="102"/>
        <v>0</v>
      </c>
      <c r="AE311" s="41">
        <f t="shared" ca="1" si="102"/>
        <v>0</v>
      </c>
      <c r="AF311" s="41">
        <f t="shared" si="102"/>
        <v>0</v>
      </c>
      <c r="AG311" s="41">
        <f t="shared" si="102"/>
        <v>0</v>
      </c>
      <c r="AH311" s="41">
        <f t="shared" si="102"/>
        <v>0</v>
      </c>
      <c r="AI311" s="41">
        <f t="shared" si="102"/>
        <v>0</v>
      </c>
      <c r="AJ311" s="41">
        <f t="shared" si="102"/>
        <v>0</v>
      </c>
      <c r="AK311" s="41">
        <f t="shared" si="102"/>
        <v>0</v>
      </c>
      <c r="AL311" s="41">
        <f t="shared" si="102"/>
        <v>0</v>
      </c>
      <c r="AM311" s="41">
        <f t="shared" si="103"/>
        <v>0</v>
      </c>
      <c r="AN311" s="41">
        <f t="shared" si="103"/>
        <v>0</v>
      </c>
      <c r="AO311" s="41">
        <f t="shared" si="103"/>
        <v>0</v>
      </c>
      <c r="AP311" s="41">
        <f t="shared" si="103"/>
        <v>0</v>
      </c>
      <c r="AQ311" s="41">
        <f t="shared" si="103"/>
        <v>0</v>
      </c>
      <c r="AR311" s="41">
        <f t="shared" si="103"/>
        <v>0</v>
      </c>
      <c r="AS311" s="41">
        <f t="shared" si="103"/>
        <v>0</v>
      </c>
      <c r="AT311" s="41">
        <f t="shared" si="103"/>
        <v>0</v>
      </c>
      <c r="AU311" s="41">
        <f t="shared" si="103"/>
        <v>0</v>
      </c>
      <c r="AV311" s="41">
        <f t="shared" si="103"/>
        <v>0</v>
      </c>
      <c r="AW311" s="41">
        <f t="shared" si="103"/>
        <v>0</v>
      </c>
    </row>
    <row r="312" spans="1:49">
      <c r="B312" s="15">
        <v>24</v>
      </c>
      <c r="C312" s="15" t="str">
        <f t="shared" si="91"/>
        <v>US$</v>
      </c>
      <c r="D312" s="41">
        <f ca="1"/>
        <v>0</v>
      </c>
      <c r="I312" s="41">
        <f t="shared" si="100"/>
        <v>0</v>
      </c>
      <c r="J312" s="41">
        <f t="shared" si="100"/>
        <v>0</v>
      </c>
      <c r="K312" s="41">
        <f t="shared" si="100"/>
        <v>0</v>
      </c>
      <c r="L312" s="41">
        <f t="shared" si="100"/>
        <v>0</v>
      </c>
      <c r="M312" s="41">
        <f t="shared" si="100"/>
        <v>0</v>
      </c>
      <c r="N312" s="41">
        <f t="shared" si="100"/>
        <v>0</v>
      </c>
      <c r="O312" s="41">
        <f t="shared" si="100"/>
        <v>0</v>
      </c>
      <c r="P312" s="41">
        <f t="shared" si="100"/>
        <v>0</v>
      </c>
      <c r="Q312" s="41">
        <f t="shared" si="100"/>
        <v>0</v>
      </c>
      <c r="R312" s="41">
        <f t="shared" si="100"/>
        <v>0</v>
      </c>
      <c r="S312" s="41">
        <f t="shared" si="101"/>
        <v>0</v>
      </c>
      <c r="T312" s="41">
        <f t="shared" si="101"/>
        <v>0</v>
      </c>
      <c r="U312" s="41">
        <f t="shared" si="101"/>
        <v>0</v>
      </c>
      <c r="V312" s="41">
        <f t="shared" si="101"/>
        <v>0</v>
      </c>
      <c r="W312" s="41">
        <f t="shared" si="101"/>
        <v>0</v>
      </c>
      <c r="X312" s="41">
        <f t="shared" si="101"/>
        <v>0</v>
      </c>
      <c r="Y312" s="41">
        <f t="shared" si="101"/>
        <v>0</v>
      </c>
      <c r="Z312" s="41">
        <f t="shared" si="101"/>
        <v>0</v>
      </c>
      <c r="AA312" s="41">
        <f t="shared" si="101"/>
        <v>0</v>
      </c>
      <c r="AB312" s="41">
        <f t="shared" si="101"/>
        <v>0</v>
      </c>
      <c r="AC312" s="41">
        <f t="shared" si="102"/>
        <v>0</v>
      </c>
      <c r="AD312" s="41">
        <f t="shared" ca="1" si="102"/>
        <v>0</v>
      </c>
      <c r="AE312" s="41">
        <f t="shared" ca="1" si="102"/>
        <v>0</v>
      </c>
      <c r="AF312" s="41">
        <f t="shared" ca="1" si="102"/>
        <v>0</v>
      </c>
      <c r="AG312" s="41">
        <f t="shared" si="102"/>
        <v>0</v>
      </c>
      <c r="AH312" s="41">
        <f t="shared" si="102"/>
        <v>0</v>
      </c>
      <c r="AI312" s="41">
        <f t="shared" si="102"/>
        <v>0</v>
      </c>
      <c r="AJ312" s="41">
        <f t="shared" si="102"/>
        <v>0</v>
      </c>
      <c r="AK312" s="41">
        <f t="shared" si="102"/>
        <v>0</v>
      </c>
      <c r="AL312" s="41">
        <f t="shared" si="102"/>
        <v>0</v>
      </c>
      <c r="AM312" s="41">
        <f t="shared" si="103"/>
        <v>0</v>
      </c>
      <c r="AN312" s="41">
        <f t="shared" si="103"/>
        <v>0</v>
      </c>
      <c r="AO312" s="41">
        <f t="shared" si="103"/>
        <v>0</v>
      </c>
      <c r="AP312" s="41">
        <f t="shared" si="103"/>
        <v>0</v>
      </c>
      <c r="AQ312" s="41">
        <f t="shared" si="103"/>
        <v>0</v>
      </c>
      <c r="AR312" s="41">
        <f t="shared" si="103"/>
        <v>0</v>
      </c>
      <c r="AS312" s="41">
        <f t="shared" si="103"/>
        <v>0</v>
      </c>
      <c r="AT312" s="41">
        <f t="shared" si="103"/>
        <v>0</v>
      </c>
      <c r="AU312" s="41">
        <f t="shared" si="103"/>
        <v>0</v>
      </c>
      <c r="AV312" s="41">
        <f t="shared" si="103"/>
        <v>0</v>
      </c>
      <c r="AW312" s="41">
        <f t="shared" si="103"/>
        <v>0</v>
      </c>
    </row>
    <row r="313" spans="1:49">
      <c r="B313" s="15">
        <v>25</v>
      </c>
      <c r="C313" s="15" t="str">
        <f t="shared" si="91"/>
        <v>US$</v>
      </c>
      <c r="D313" s="41">
        <f ca="1"/>
        <v>0</v>
      </c>
      <c r="I313" s="41">
        <f t="shared" si="100"/>
        <v>0</v>
      </c>
      <c r="J313" s="41">
        <f t="shared" si="100"/>
        <v>0</v>
      </c>
      <c r="K313" s="41">
        <f t="shared" si="100"/>
        <v>0</v>
      </c>
      <c r="L313" s="41">
        <f t="shared" si="100"/>
        <v>0</v>
      </c>
      <c r="M313" s="41">
        <f t="shared" si="100"/>
        <v>0</v>
      </c>
      <c r="N313" s="41">
        <f t="shared" si="100"/>
        <v>0</v>
      </c>
      <c r="O313" s="41">
        <f t="shared" si="100"/>
        <v>0</v>
      </c>
      <c r="P313" s="41">
        <f t="shared" si="100"/>
        <v>0</v>
      </c>
      <c r="Q313" s="41">
        <f t="shared" si="100"/>
        <v>0</v>
      </c>
      <c r="R313" s="41">
        <f t="shared" si="100"/>
        <v>0</v>
      </c>
      <c r="S313" s="41">
        <f t="shared" si="101"/>
        <v>0</v>
      </c>
      <c r="T313" s="41">
        <f t="shared" si="101"/>
        <v>0</v>
      </c>
      <c r="U313" s="41">
        <f t="shared" si="101"/>
        <v>0</v>
      </c>
      <c r="V313" s="41">
        <f t="shared" si="101"/>
        <v>0</v>
      </c>
      <c r="W313" s="41">
        <f t="shared" si="101"/>
        <v>0</v>
      </c>
      <c r="X313" s="41">
        <f t="shared" si="101"/>
        <v>0</v>
      </c>
      <c r="Y313" s="41">
        <f t="shared" si="101"/>
        <v>0</v>
      </c>
      <c r="Z313" s="41">
        <f t="shared" si="101"/>
        <v>0</v>
      </c>
      <c r="AA313" s="41">
        <f t="shared" si="101"/>
        <v>0</v>
      </c>
      <c r="AB313" s="41">
        <f t="shared" si="101"/>
        <v>0</v>
      </c>
      <c r="AC313" s="41">
        <f t="shared" si="102"/>
        <v>0</v>
      </c>
      <c r="AD313" s="41">
        <f t="shared" si="102"/>
        <v>0</v>
      </c>
      <c r="AE313" s="41">
        <f t="shared" ca="1" si="102"/>
        <v>0</v>
      </c>
      <c r="AF313" s="41">
        <f t="shared" ca="1" si="102"/>
        <v>0</v>
      </c>
      <c r="AG313" s="41">
        <f t="shared" ca="1" si="102"/>
        <v>0</v>
      </c>
      <c r="AH313" s="41">
        <f t="shared" si="102"/>
        <v>0</v>
      </c>
      <c r="AI313" s="41">
        <f t="shared" si="102"/>
        <v>0</v>
      </c>
      <c r="AJ313" s="41">
        <f t="shared" si="102"/>
        <v>0</v>
      </c>
      <c r="AK313" s="41">
        <f t="shared" si="102"/>
        <v>0</v>
      </c>
      <c r="AL313" s="41">
        <f t="shared" si="102"/>
        <v>0</v>
      </c>
      <c r="AM313" s="41">
        <f t="shared" si="103"/>
        <v>0</v>
      </c>
      <c r="AN313" s="41">
        <f t="shared" si="103"/>
        <v>0</v>
      </c>
      <c r="AO313" s="41">
        <f t="shared" si="103"/>
        <v>0</v>
      </c>
      <c r="AP313" s="41">
        <f t="shared" si="103"/>
        <v>0</v>
      </c>
      <c r="AQ313" s="41">
        <f t="shared" si="103"/>
        <v>0</v>
      </c>
      <c r="AR313" s="41">
        <f t="shared" si="103"/>
        <v>0</v>
      </c>
      <c r="AS313" s="41">
        <f t="shared" si="103"/>
        <v>0</v>
      </c>
      <c r="AT313" s="41">
        <f t="shared" si="103"/>
        <v>0</v>
      </c>
      <c r="AU313" s="41">
        <f t="shared" si="103"/>
        <v>0</v>
      </c>
      <c r="AV313" s="41">
        <f t="shared" si="103"/>
        <v>0</v>
      </c>
      <c r="AW313" s="41">
        <f t="shared" si="103"/>
        <v>0</v>
      </c>
    </row>
    <row r="314" spans="1:49">
      <c r="B314" s="15">
        <v>26</v>
      </c>
      <c r="C314" s="15" t="str">
        <f t="shared" si="91"/>
        <v>US$</v>
      </c>
      <c r="D314" s="41">
        <f ca="1"/>
        <v>0</v>
      </c>
      <c r="I314" s="41">
        <f t="shared" si="100"/>
        <v>0</v>
      </c>
      <c r="J314" s="41">
        <f t="shared" si="100"/>
        <v>0</v>
      </c>
      <c r="K314" s="41">
        <f t="shared" si="100"/>
        <v>0</v>
      </c>
      <c r="L314" s="41">
        <f t="shared" si="100"/>
        <v>0</v>
      </c>
      <c r="M314" s="41">
        <f t="shared" si="100"/>
        <v>0</v>
      </c>
      <c r="N314" s="41">
        <f t="shared" si="100"/>
        <v>0</v>
      </c>
      <c r="O314" s="41">
        <f t="shared" si="100"/>
        <v>0</v>
      </c>
      <c r="P314" s="41">
        <f t="shared" si="100"/>
        <v>0</v>
      </c>
      <c r="Q314" s="41">
        <f t="shared" si="100"/>
        <v>0</v>
      </c>
      <c r="R314" s="41">
        <f t="shared" si="100"/>
        <v>0</v>
      </c>
      <c r="S314" s="41">
        <f t="shared" si="101"/>
        <v>0</v>
      </c>
      <c r="T314" s="41">
        <f t="shared" si="101"/>
        <v>0</v>
      </c>
      <c r="U314" s="41">
        <f t="shared" si="101"/>
        <v>0</v>
      </c>
      <c r="V314" s="41">
        <f t="shared" si="101"/>
        <v>0</v>
      </c>
      <c r="W314" s="41">
        <f t="shared" si="101"/>
        <v>0</v>
      </c>
      <c r="X314" s="41">
        <f t="shared" si="101"/>
        <v>0</v>
      </c>
      <c r="Y314" s="41">
        <f t="shared" si="101"/>
        <v>0</v>
      </c>
      <c r="Z314" s="41">
        <f t="shared" si="101"/>
        <v>0</v>
      </c>
      <c r="AA314" s="41">
        <f t="shared" si="101"/>
        <v>0</v>
      </c>
      <c r="AB314" s="41">
        <f t="shared" si="101"/>
        <v>0</v>
      </c>
      <c r="AC314" s="41">
        <f t="shared" si="102"/>
        <v>0</v>
      </c>
      <c r="AD314" s="41">
        <f t="shared" si="102"/>
        <v>0</v>
      </c>
      <c r="AE314" s="41">
        <f t="shared" si="102"/>
        <v>0</v>
      </c>
      <c r="AF314" s="41">
        <f t="shared" ca="1" si="102"/>
        <v>0</v>
      </c>
      <c r="AG314" s="41">
        <f t="shared" ca="1" si="102"/>
        <v>0</v>
      </c>
      <c r="AH314" s="41">
        <f t="shared" ca="1" si="102"/>
        <v>0</v>
      </c>
      <c r="AI314" s="41">
        <f t="shared" si="102"/>
        <v>0</v>
      </c>
      <c r="AJ314" s="41">
        <f t="shared" si="102"/>
        <v>0</v>
      </c>
      <c r="AK314" s="41">
        <f t="shared" si="102"/>
        <v>0</v>
      </c>
      <c r="AL314" s="41">
        <f t="shared" si="102"/>
        <v>0</v>
      </c>
      <c r="AM314" s="41">
        <f t="shared" si="103"/>
        <v>0</v>
      </c>
      <c r="AN314" s="41">
        <f t="shared" si="103"/>
        <v>0</v>
      </c>
      <c r="AO314" s="41">
        <f t="shared" si="103"/>
        <v>0</v>
      </c>
      <c r="AP314" s="41">
        <f t="shared" si="103"/>
        <v>0</v>
      </c>
      <c r="AQ314" s="41">
        <f t="shared" si="103"/>
        <v>0</v>
      </c>
      <c r="AR314" s="41">
        <f t="shared" si="103"/>
        <v>0</v>
      </c>
      <c r="AS314" s="41">
        <f t="shared" si="103"/>
        <v>0</v>
      </c>
      <c r="AT314" s="41">
        <f t="shared" si="103"/>
        <v>0</v>
      </c>
      <c r="AU314" s="41">
        <f t="shared" si="103"/>
        <v>0</v>
      </c>
      <c r="AV314" s="41">
        <f t="shared" si="103"/>
        <v>0</v>
      </c>
      <c r="AW314" s="41">
        <f t="shared" si="103"/>
        <v>0</v>
      </c>
    </row>
    <row r="315" spans="1:49">
      <c r="A315" s="27"/>
      <c r="B315" s="28">
        <v>27</v>
      </c>
      <c r="C315" s="28" t="str">
        <f t="shared" si="91"/>
        <v>US$</v>
      </c>
      <c r="D315" s="43">
        <f ca="1"/>
        <v>0</v>
      </c>
      <c r="E315" s="27"/>
      <c r="F315" s="27"/>
      <c r="G315" s="27"/>
      <c r="H315" s="27"/>
      <c r="I315" s="43">
        <f t="shared" si="100"/>
        <v>0</v>
      </c>
      <c r="J315" s="43">
        <f t="shared" si="100"/>
        <v>0</v>
      </c>
      <c r="K315" s="43">
        <f t="shared" si="100"/>
        <v>0</v>
      </c>
      <c r="L315" s="43">
        <f t="shared" si="100"/>
        <v>0</v>
      </c>
      <c r="M315" s="43">
        <f t="shared" si="100"/>
        <v>0</v>
      </c>
      <c r="N315" s="43">
        <f t="shared" si="100"/>
        <v>0</v>
      </c>
      <c r="O315" s="43">
        <f t="shared" si="100"/>
        <v>0</v>
      </c>
      <c r="P315" s="43">
        <f t="shared" si="100"/>
        <v>0</v>
      </c>
      <c r="Q315" s="43">
        <f t="shared" si="100"/>
        <v>0</v>
      </c>
      <c r="R315" s="43">
        <f t="shared" si="100"/>
        <v>0</v>
      </c>
      <c r="S315" s="43">
        <f t="shared" si="101"/>
        <v>0</v>
      </c>
      <c r="T315" s="43">
        <f t="shared" si="101"/>
        <v>0</v>
      </c>
      <c r="U315" s="43">
        <f t="shared" si="101"/>
        <v>0</v>
      </c>
      <c r="V315" s="43">
        <f t="shared" si="101"/>
        <v>0</v>
      </c>
      <c r="W315" s="43">
        <f t="shared" si="101"/>
        <v>0</v>
      </c>
      <c r="X315" s="43">
        <f t="shared" si="101"/>
        <v>0</v>
      </c>
      <c r="Y315" s="43">
        <f t="shared" si="101"/>
        <v>0</v>
      </c>
      <c r="Z315" s="43">
        <f t="shared" si="101"/>
        <v>0</v>
      </c>
      <c r="AA315" s="43">
        <f t="shared" si="101"/>
        <v>0</v>
      </c>
      <c r="AB315" s="43">
        <f t="shared" si="101"/>
        <v>0</v>
      </c>
      <c r="AC315" s="43">
        <f t="shared" si="102"/>
        <v>0</v>
      </c>
      <c r="AD315" s="43">
        <f t="shared" si="102"/>
        <v>0</v>
      </c>
      <c r="AE315" s="43">
        <f t="shared" si="102"/>
        <v>0</v>
      </c>
      <c r="AF315" s="43">
        <f t="shared" si="102"/>
        <v>0</v>
      </c>
      <c r="AG315" s="43">
        <f t="shared" ca="1" si="102"/>
        <v>0</v>
      </c>
      <c r="AH315" s="43">
        <f t="shared" ca="1" si="102"/>
        <v>0</v>
      </c>
      <c r="AI315" s="43">
        <f t="shared" ca="1" si="102"/>
        <v>0</v>
      </c>
      <c r="AJ315" s="43">
        <f t="shared" si="102"/>
        <v>0</v>
      </c>
      <c r="AK315" s="43">
        <f t="shared" si="102"/>
        <v>0</v>
      </c>
      <c r="AL315" s="43">
        <f t="shared" si="102"/>
        <v>0</v>
      </c>
      <c r="AM315" s="43">
        <f t="shared" si="103"/>
        <v>0</v>
      </c>
      <c r="AN315" s="43">
        <f t="shared" si="103"/>
        <v>0</v>
      </c>
      <c r="AO315" s="43">
        <f t="shared" si="103"/>
        <v>0</v>
      </c>
      <c r="AP315" s="43">
        <f t="shared" si="103"/>
        <v>0</v>
      </c>
      <c r="AQ315" s="43">
        <f t="shared" si="103"/>
        <v>0</v>
      </c>
      <c r="AR315" s="43">
        <f t="shared" si="103"/>
        <v>0</v>
      </c>
      <c r="AS315" s="43">
        <f t="shared" si="103"/>
        <v>0</v>
      </c>
      <c r="AT315" s="43">
        <f t="shared" si="103"/>
        <v>0</v>
      </c>
      <c r="AU315" s="43">
        <f t="shared" si="103"/>
        <v>0</v>
      </c>
      <c r="AV315" s="43">
        <f t="shared" si="103"/>
        <v>0</v>
      </c>
      <c r="AW315" s="43">
        <f t="shared" si="103"/>
        <v>0</v>
      </c>
    </row>
    <row r="316" spans="1:49">
      <c r="D316" s="42">
        <f ca="1">SUM(D289:D315)</f>
        <v>0</v>
      </c>
      <c r="I316" s="42">
        <f t="shared" ref="I316:AW316" si="104">SUM(I289:I315)</f>
        <v>0</v>
      </c>
      <c r="J316" s="42">
        <f t="shared" ca="1" si="104"/>
        <v>0</v>
      </c>
      <c r="K316" s="42">
        <f t="shared" ca="1" si="104"/>
        <v>0</v>
      </c>
      <c r="L316" s="42">
        <f t="shared" ca="1" si="104"/>
        <v>0</v>
      </c>
      <c r="M316" s="42">
        <f t="shared" ca="1" si="104"/>
        <v>0</v>
      </c>
      <c r="N316" s="42">
        <f t="shared" ca="1" si="104"/>
        <v>0</v>
      </c>
      <c r="O316" s="42">
        <f t="shared" ca="1" si="104"/>
        <v>0</v>
      </c>
      <c r="P316" s="42">
        <f t="shared" ca="1" si="104"/>
        <v>0</v>
      </c>
      <c r="Q316" s="42">
        <f t="shared" ca="1" si="104"/>
        <v>0</v>
      </c>
      <c r="R316" s="42">
        <f t="shared" ca="1" si="104"/>
        <v>0</v>
      </c>
      <c r="S316" s="42">
        <f t="shared" ca="1" si="104"/>
        <v>0</v>
      </c>
      <c r="T316" s="42">
        <f t="shared" ca="1" si="104"/>
        <v>0</v>
      </c>
      <c r="U316" s="42">
        <f t="shared" ca="1" si="104"/>
        <v>0</v>
      </c>
      <c r="V316" s="42">
        <f t="shared" ca="1" si="104"/>
        <v>0</v>
      </c>
      <c r="W316" s="42">
        <f t="shared" ca="1" si="104"/>
        <v>0</v>
      </c>
      <c r="X316" s="42">
        <f t="shared" ca="1" si="104"/>
        <v>0</v>
      </c>
      <c r="Y316" s="42">
        <f t="shared" ca="1" si="104"/>
        <v>0</v>
      </c>
      <c r="Z316" s="42">
        <f t="shared" ca="1" si="104"/>
        <v>0</v>
      </c>
      <c r="AA316" s="42">
        <f t="shared" ca="1" si="104"/>
        <v>0</v>
      </c>
      <c r="AB316" s="42">
        <f t="shared" ca="1" si="104"/>
        <v>0</v>
      </c>
      <c r="AC316" s="42">
        <f t="shared" ca="1" si="104"/>
        <v>0</v>
      </c>
      <c r="AD316" s="42">
        <f t="shared" ca="1" si="104"/>
        <v>0</v>
      </c>
      <c r="AE316" s="42">
        <f t="shared" ca="1" si="104"/>
        <v>0</v>
      </c>
      <c r="AF316" s="42">
        <f t="shared" ca="1" si="104"/>
        <v>0</v>
      </c>
      <c r="AG316" s="42">
        <f t="shared" ca="1" si="104"/>
        <v>0</v>
      </c>
      <c r="AH316" s="42">
        <f t="shared" ca="1" si="104"/>
        <v>0</v>
      </c>
      <c r="AI316" s="42">
        <f t="shared" ca="1" si="104"/>
        <v>0</v>
      </c>
      <c r="AJ316" s="42">
        <f t="shared" si="104"/>
        <v>0</v>
      </c>
      <c r="AK316" s="42">
        <f t="shared" si="104"/>
        <v>0</v>
      </c>
      <c r="AL316" s="42">
        <f t="shared" si="104"/>
        <v>0</v>
      </c>
      <c r="AM316" s="42">
        <f t="shared" si="104"/>
        <v>0</v>
      </c>
      <c r="AN316" s="42">
        <f t="shared" si="104"/>
        <v>0</v>
      </c>
      <c r="AO316" s="42">
        <f t="shared" si="104"/>
        <v>0</v>
      </c>
      <c r="AP316" s="42">
        <f t="shared" si="104"/>
        <v>0</v>
      </c>
      <c r="AQ316" s="42">
        <f t="shared" si="104"/>
        <v>0</v>
      </c>
      <c r="AR316" s="42">
        <f t="shared" si="104"/>
        <v>0</v>
      </c>
      <c r="AS316" s="42">
        <f t="shared" si="104"/>
        <v>0</v>
      </c>
      <c r="AT316" s="42">
        <f t="shared" si="104"/>
        <v>0</v>
      </c>
      <c r="AU316" s="42">
        <f t="shared" si="104"/>
        <v>0</v>
      </c>
      <c r="AV316" s="42">
        <f t="shared" si="104"/>
        <v>0</v>
      </c>
      <c r="AW316" s="42">
        <f t="shared" si="104"/>
        <v>0</v>
      </c>
    </row>
    <row r="318" spans="1:49">
      <c r="B318" s="29" t="s">
        <v>364</v>
      </c>
    </row>
    <row r="319" spans="1:49">
      <c r="B319" s="15">
        <f t="array" ref="B319:B345">TRANSPOSE(I2:AI2)</f>
        <v>1</v>
      </c>
      <c r="C319" s="15" t="str">
        <f t="shared" ref="C319:C345" si="105">$C$39</f>
        <v>US$</v>
      </c>
      <c r="D319" s="41">
        <f t="array" ref="D319:D345">TRANSPOSE(I285:AI285)</f>
        <v>0</v>
      </c>
      <c r="I319" s="41">
        <f t="shared" ref="I319:R328" si="106">IF(AND(I$2&gt;=($B319-$D$286+1),I$2&lt;=$B319),$D319/$D$286,0)</f>
        <v>0</v>
      </c>
      <c r="J319" s="41">
        <f t="shared" si="106"/>
        <v>0</v>
      </c>
      <c r="K319" s="41">
        <f t="shared" si="106"/>
        <v>0</v>
      </c>
      <c r="L319" s="41">
        <f t="shared" si="106"/>
        <v>0</v>
      </c>
      <c r="M319" s="41">
        <f t="shared" si="106"/>
        <v>0</v>
      </c>
      <c r="N319" s="41">
        <f t="shared" si="106"/>
        <v>0</v>
      </c>
      <c r="O319" s="41">
        <f t="shared" si="106"/>
        <v>0</v>
      </c>
      <c r="P319" s="41">
        <f t="shared" si="106"/>
        <v>0</v>
      </c>
      <c r="Q319" s="41">
        <f t="shared" si="106"/>
        <v>0</v>
      </c>
      <c r="R319" s="41">
        <f t="shared" si="106"/>
        <v>0</v>
      </c>
      <c r="S319" s="41">
        <f t="shared" ref="S319:AB328" si="107">IF(AND(S$2&gt;=($B319-$D$286+1),S$2&lt;=$B319),$D319/$D$286,0)</f>
        <v>0</v>
      </c>
      <c r="T319" s="41">
        <f t="shared" si="107"/>
        <v>0</v>
      </c>
      <c r="U319" s="41">
        <f t="shared" si="107"/>
        <v>0</v>
      </c>
      <c r="V319" s="41">
        <f t="shared" si="107"/>
        <v>0</v>
      </c>
      <c r="W319" s="41">
        <f t="shared" si="107"/>
        <v>0</v>
      </c>
      <c r="X319" s="41">
        <f t="shared" si="107"/>
        <v>0</v>
      </c>
      <c r="Y319" s="41">
        <f t="shared" si="107"/>
        <v>0</v>
      </c>
      <c r="Z319" s="41">
        <f t="shared" si="107"/>
        <v>0</v>
      </c>
      <c r="AA319" s="41">
        <f t="shared" si="107"/>
        <v>0</v>
      </c>
      <c r="AB319" s="41">
        <f t="shared" si="107"/>
        <v>0</v>
      </c>
      <c r="AC319" s="41">
        <f t="shared" ref="AC319:AL328" si="108">IF(AND(AC$2&gt;=($B319-$D$286+1),AC$2&lt;=$B319),$D319/$D$286,0)</f>
        <v>0</v>
      </c>
      <c r="AD319" s="41">
        <f t="shared" si="108"/>
        <v>0</v>
      </c>
      <c r="AE319" s="41">
        <f t="shared" si="108"/>
        <v>0</v>
      </c>
      <c r="AF319" s="41">
        <f t="shared" si="108"/>
        <v>0</v>
      </c>
      <c r="AG319" s="41">
        <f t="shared" si="108"/>
        <v>0</v>
      </c>
      <c r="AH319" s="41">
        <f t="shared" si="108"/>
        <v>0</v>
      </c>
      <c r="AI319" s="41">
        <f t="shared" si="108"/>
        <v>0</v>
      </c>
      <c r="AJ319" s="41">
        <f t="shared" si="108"/>
        <v>0</v>
      </c>
      <c r="AK319" s="41">
        <f t="shared" si="108"/>
        <v>0</v>
      </c>
      <c r="AL319" s="41">
        <f t="shared" si="108"/>
        <v>0</v>
      </c>
      <c r="AM319" s="41">
        <f t="shared" ref="AM319:AW328" si="109">IF(AND(AM$2&gt;=($B319-$D$286+1),AM$2&lt;=$B319),$D319/$D$286,0)</f>
        <v>0</v>
      </c>
      <c r="AN319" s="41">
        <f t="shared" si="109"/>
        <v>0</v>
      </c>
      <c r="AO319" s="41">
        <f t="shared" si="109"/>
        <v>0</v>
      </c>
      <c r="AP319" s="41">
        <f t="shared" si="109"/>
        <v>0</v>
      </c>
      <c r="AQ319" s="41">
        <f t="shared" si="109"/>
        <v>0</v>
      </c>
      <c r="AR319" s="41">
        <f t="shared" si="109"/>
        <v>0</v>
      </c>
      <c r="AS319" s="41">
        <f t="shared" si="109"/>
        <v>0</v>
      </c>
      <c r="AT319" s="41">
        <f t="shared" si="109"/>
        <v>0</v>
      </c>
      <c r="AU319" s="41">
        <f t="shared" si="109"/>
        <v>0</v>
      </c>
      <c r="AV319" s="41">
        <f t="shared" si="109"/>
        <v>0</v>
      </c>
      <c r="AW319" s="41">
        <f t="shared" si="109"/>
        <v>0</v>
      </c>
    </row>
    <row r="320" spans="1:49">
      <c r="B320" s="15">
        <v>2</v>
      </c>
      <c r="C320" s="15" t="str">
        <f t="shared" si="105"/>
        <v>US$</v>
      </c>
      <c r="D320" s="41">
        <v>0</v>
      </c>
      <c r="I320" s="41">
        <f t="shared" si="106"/>
        <v>0</v>
      </c>
      <c r="J320" s="41">
        <f t="shared" si="106"/>
        <v>0</v>
      </c>
      <c r="K320" s="41">
        <f t="shared" si="106"/>
        <v>0</v>
      </c>
      <c r="L320" s="41">
        <f t="shared" si="106"/>
        <v>0</v>
      </c>
      <c r="M320" s="41">
        <f t="shared" si="106"/>
        <v>0</v>
      </c>
      <c r="N320" s="41">
        <f t="shared" si="106"/>
        <v>0</v>
      </c>
      <c r="O320" s="41">
        <f t="shared" si="106"/>
        <v>0</v>
      </c>
      <c r="P320" s="41">
        <f t="shared" si="106"/>
        <v>0</v>
      </c>
      <c r="Q320" s="41">
        <f t="shared" si="106"/>
        <v>0</v>
      </c>
      <c r="R320" s="41">
        <f t="shared" si="106"/>
        <v>0</v>
      </c>
      <c r="S320" s="41">
        <f t="shared" si="107"/>
        <v>0</v>
      </c>
      <c r="T320" s="41">
        <f t="shared" si="107"/>
        <v>0</v>
      </c>
      <c r="U320" s="41">
        <f t="shared" si="107"/>
        <v>0</v>
      </c>
      <c r="V320" s="41">
        <f t="shared" si="107"/>
        <v>0</v>
      </c>
      <c r="W320" s="41">
        <f t="shared" si="107"/>
        <v>0</v>
      </c>
      <c r="X320" s="41">
        <f t="shared" si="107"/>
        <v>0</v>
      </c>
      <c r="Y320" s="41">
        <f t="shared" si="107"/>
        <v>0</v>
      </c>
      <c r="Z320" s="41">
        <f t="shared" si="107"/>
        <v>0</v>
      </c>
      <c r="AA320" s="41">
        <f t="shared" si="107"/>
        <v>0</v>
      </c>
      <c r="AB320" s="41">
        <f t="shared" si="107"/>
        <v>0</v>
      </c>
      <c r="AC320" s="41">
        <f t="shared" si="108"/>
        <v>0</v>
      </c>
      <c r="AD320" s="41">
        <f t="shared" si="108"/>
        <v>0</v>
      </c>
      <c r="AE320" s="41">
        <f t="shared" si="108"/>
        <v>0</v>
      </c>
      <c r="AF320" s="41">
        <f t="shared" si="108"/>
        <v>0</v>
      </c>
      <c r="AG320" s="41">
        <f t="shared" si="108"/>
        <v>0</v>
      </c>
      <c r="AH320" s="41">
        <f t="shared" si="108"/>
        <v>0</v>
      </c>
      <c r="AI320" s="41">
        <f t="shared" si="108"/>
        <v>0</v>
      </c>
      <c r="AJ320" s="41">
        <f t="shared" si="108"/>
        <v>0</v>
      </c>
      <c r="AK320" s="41">
        <f t="shared" si="108"/>
        <v>0</v>
      </c>
      <c r="AL320" s="41">
        <f t="shared" si="108"/>
        <v>0</v>
      </c>
      <c r="AM320" s="41">
        <f t="shared" si="109"/>
        <v>0</v>
      </c>
      <c r="AN320" s="41">
        <f t="shared" si="109"/>
        <v>0</v>
      </c>
      <c r="AO320" s="41">
        <f t="shared" si="109"/>
        <v>0</v>
      </c>
      <c r="AP320" s="41">
        <f t="shared" si="109"/>
        <v>0</v>
      </c>
      <c r="AQ320" s="41">
        <f t="shared" si="109"/>
        <v>0</v>
      </c>
      <c r="AR320" s="41">
        <f t="shared" si="109"/>
        <v>0</v>
      </c>
      <c r="AS320" s="41">
        <f t="shared" si="109"/>
        <v>0</v>
      </c>
      <c r="AT320" s="41">
        <f t="shared" si="109"/>
        <v>0</v>
      </c>
      <c r="AU320" s="41">
        <f t="shared" si="109"/>
        <v>0</v>
      </c>
      <c r="AV320" s="41">
        <f t="shared" si="109"/>
        <v>0</v>
      </c>
      <c r="AW320" s="41">
        <f t="shared" si="109"/>
        <v>0</v>
      </c>
    </row>
    <row r="321" spans="2:49">
      <c r="B321" s="15">
        <v>3</v>
      </c>
      <c r="C321" s="15" t="str">
        <f t="shared" si="105"/>
        <v>US$</v>
      </c>
      <c r="D321" s="41">
        <v>0</v>
      </c>
      <c r="I321" s="41">
        <f t="shared" si="106"/>
        <v>0</v>
      </c>
      <c r="J321" s="41">
        <f t="shared" si="106"/>
        <v>0</v>
      </c>
      <c r="K321" s="41">
        <f t="shared" si="106"/>
        <v>0</v>
      </c>
      <c r="L321" s="41">
        <f t="shared" si="106"/>
        <v>0</v>
      </c>
      <c r="M321" s="41">
        <f t="shared" si="106"/>
        <v>0</v>
      </c>
      <c r="N321" s="41">
        <f t="shared" si="106"/>
        <v>0</v>
      </c>
      <c r="O321" s="41">
        <f t="shared" si="106"/>
        <v>0</v>
      </c>
      <c r="P321" s="41">
        <f t="shared" si="106"/>
        <v>0</v>
      </c>
      <c r="Q321" s="41">
        <f t="shared" si="106"/>
        <v>0</v>
      </c>
      <c r="R321" s="41">
        <f t="shared" si="106"/>
        <v>0</v>
      </c>
      <c r="S321" s="41">
        <f t="shared" si="107"/>
        <v>0</v>
      </c>
      <c r="T321" s="41">
        <f t="shared" si="107"/>
        <v>0</v>
      </c>
      <c r="U321" s="41">
        <f t="shared" si="107"/>
        <v>0</v>
      </c>
      <c r="V321" s="41">
        <f t="shared" si="107"/>
        <v>0</v>
      </c>
      <c r="W321" s="41">
        <f t="shared" si="107"/>
        <v>0</v>
      </c>
      <c r="X321" s="41">
        <f t="shared" si="107"/>
        <v>0</v>
      </c>
      <c r="Y321" s="41">
        <f t="shared" si="107"/>
        <v>0</v>
      </c>
      <c r="Z321" s="41">
        <f t="shared" si="107"/>
        <v>0</v>
      </c>
      <c r="AA321" s="41">
        <f t="shared" si="107"/>
        <v>0</v>
      </c>
      <c r="AB321" s="41">
        <f t="shared" si="107"/>
        <v>0</v>
      </c>
      <c r="AC321" s="41">
        <f t="shared" si="108"/>
        <v>0</v>
      </c>
      <c r="AD321" s="41">
        <f t="shared" si="108"/>
        <v>0</v>
      </c>
      <c r="AE321" s="41">
        <f t="shared" si="108"/>
        <v>0</v>
      </c>
      <c r="AF321" s="41">
        <f t="shared" si="108"/>
        <v>0</v>
      </c>
      <c r="AG321" s="41">
        <f t="shared" si="108"/>
        <v>0</v>
      </c>
      <c r="AH321" s="41">
        <f t="shared" si="108"/>
        <v>0</v>
      </c>
      <c r="AI321" s="41">
        <f t="shared" si="108"/>
        <v>0</v>
      </c>
      <c r="AJ321" s="41">
        <f t="shared" si="108"/>
        <v>0</v>
      </c>
      <c r="AK321" s="41">
        <f t="shared" si="108"/>
        <v>0</v>
      </c>
      <c r="AL321" s="41">
        <f t="shared" si="108"/>
        <v>0</v>
      </c>
      <c r="AM321" s="41">
        <f t="shared" si="109"/>
        <v>0</v>
      </c>
      <c r="AN321" s="41">
        <f t="shared" si="109"/>
        <v>0</v>
      </c>
      <c r="AO321" s="41">
        <f t="shared" si="109"/>
        <v>0</v>
      </c>
      <c r="AP321" s="41">
        <f t="shared" si="109"/>
        <v>0</v>
      </c>
      <c r="AQ321" s="41">
        <f t="shared" si="109"/>
        <v>0</v>
      </c>
      <c r="AR321" s="41">
        <f t="shared" si="109"/>
        <v>0</v>
      </c>
      <c r="AS321" s="41">
        <f t="shared" si="109"/>
        <v>0</v>
      </c>
      <c r="AT321" s="41">
        <f t="shared" si="109"/>
        <v>0</v>
      </c>
      <c r="AU321" s="41">
        <f t="shared" si="109"/>
        <v>0</v>
      </c>
      <c r="AV321" s="41">
        <f t="shared" si="109"/>
        <v>0</v>
      </c>
      <c r="AW321" s="41">
        <f t="shared" si="109"/>
        <v>0</v>
      </c>
    </row>
    <row r="322" spans="2:49">
      <c r="B322" s="15">
        <v>4</v>
      </c>
      <c r="C322" s="15" t="str">
        <f t="shared" si="105"/>
        <v>US$</v>
      </c>
      <c r="D322" s="41">
        <f ca="1"/>
        <v>0</v>
      </c>
      <c r="I322" s="41">
        <f t="shared" si="106"/>
        <v>0</v>
      </c>
      <c r="J322" s="41">
        <f t="shared" ca="1" si="106"/>
        <v>0</v>
      </c>
      <c r="K322" s="41">
        <f t="shared" ca="1" si="106"/>
        <v>0</v>
      </c>
      <c r="L322" s="41">
        <f t="shared" ca="1" si="106"/>
        <v>0</v>
      </c>
      <c r="M322" s="41">
        <f t="shared" si="106"/>
        <v>0</v>
      </c>
      <c r="N322" s="41">
        <f t="shared" si="106"/>
        <v>0</v>
      </c>
      <c r="O322" s="41">
        <f t="shared" si="106"/>
        <v>0</v>
      </c>
      <c r="P322" s="41">
        <f t="shared" si="106"/>
        <v>0</v>
      </c>
      <c r="Q322" s="41">
        <f t="shared" si="106"/>
        <v>0</v>
      </c>
      <c r="R322" s="41">
        <f t="shared" si="106"/>
        <v>0</v>
      </c>
      <c r="S322" s="41">
        <f t="shared" si="107"/>
        <v>0</v>
      </c>
      <c r="T322" s="41">
        <f t="shared" si="107"/>
        <v>0</v>
      </c>
      <c r="U322" s="41">
        <f t="shared" si="107"/>
        <v>0</v>
      </c>
      <c r="V322" s="41">
        <f t="shared" si="107"/>
        <v>0</v>
      </c>
      <c r="W322" s="41">
        <f t="shared" si="107"/>
        <v>0</v>
      </c>
      <c r="X322" s="41">
        <f t="shared" si="107"/>
        <v>0</v>
      </c>
      <c r="Y322" s="41">
        <f t="shared" si="107"/>
        <v>0</v>
      </c>
      <c r="Z322" s="41">
        <f t="shared" si="107"/>
        <v>0</v>
      </c>
      <c r="AA322" s="41">
        <f t="shared" si="107"/>
        <v>0</v>
      </c>
      <c r="AB322" s="41">
        <f t="shared" si="107"/>
        <v>0</v>
      </c>
      <c r="AC322" s="41">
        <f t="shared" si="108"/>
        <v>0</v>
      </c>
      <c r="AD322" s="41">
        <f t="shared" si="108"/>
        <v>0</v>
      </c>
      <c r="AE322" s="41">
        <f t="shared" si="108"/>
        <v>0</v>
      </c>
      <c r="AF322" s="41">
        <f t="shared" si="108"/>
        <v>0</v>
      </c>
      <c r="AG322" s="41">
        <f t="shared" si="108"/>
        <v>0</v>
      </c>
      <c r="AH322" s="41">
        <f t="shared" si="108"/>
        <v>0</v>
      </c>
      <c r="AI322" s="41">
        <f t="shared" si="108"/>
        <v>0</v>
      </c>
      <c r="AJ322" s="41">
        <f t="shared" si="108"/>
        <v>0</v>
      </c>
      <c r="AK322" s="41">
        <f t="shared" si="108"/>
        <v>0</v>
      </c>
      <c r="AL322" s="41">
        <f t="shared" si="108"/>
        <v>0</v>
      </c>
      <c r="AM322" s="41">
        <f t="shared" si="109"/>
        <v>0</v>
      </c>
      <c r="AN322" s="41">
        <f t="shared" si="109"/>
        <v>0</v>
      </c>
      <c r="AO322" s="41">
        <f t="shared" si="109"/>
        <v>0</v>
      </c>
      <c r="AP322" s="41">
        <f t="shared" si="109"/>
        <v>0</v>
      </c>
      <c r="AQ322" s="41">
        <f t="shared" si="109"/>
        <v>0</v>
      </c>
      <c r="AR322" s="41">
        <f t="shared" si="109"/>
        <v>0</v>
      </c>
      <c r="AS322" s="41">
        <f t="shared" si="109"/>
        <v>0</v>
      </c>
      <c r="AT322" s="41">
        <f t="shared" si="109"/>
        <v>0</v>
      </c>
      <c r="AU322" s="41">
        <f t="shared" si="109"/>
        <v>0</v>
      </c>
      <c r="AV322" s="41">
        <f t="shared" si="109"/>
        <v>0</v>
      </c>
      <c r="AW322" s="41">
        <f t="shared" si="109"/>
        <v>0</v>
      </c>
    </row>
    <row r="323" spans="2:49">
      <c r="B323" s="15">
        <v>5</v>
      </c>
      <c r="C323" s="15" t="str">
        <f t="shared" si="105"/>
        <v>US$</v>
      </c>
      <c r="D323" s="41">
        <f ca="1"/>
        <v>0</v>
      </c>
      <c r="I323" s="41">
        <f t="shared" si="106"/>
        <v>0</v>
      </c>
      <c r="J323" s="41">
        <f t="shared" si="106"/>
        <v>0</v>
      </c>
      <c r="K323" s="41">
        <f t="shared" ca="1" si="106"/>
        <v>0</v>
      </c>
      <c r="L323" s="41">
        <f t="shared" ca="1" si="106"/>
        <v>0</v>
      </c>
      <c r="M323" s="41">
        <f t="shared" ca="1" si="106"/>
        <v>0</v>
      </c>
      <c r="N323" s="41">
        <f t="shared" si="106"/>
        <v>0</v>
      </c>
      <c r="O323" s="41">
        <f t="shared" si="106"/>
        <v>0</v>
      </c>
      <c r="P323" s="41">
        <f t="shared" si="106"/>
        <v>0</v>
      </c>
      <c r="Q323" s="41">
        <f t="shared" si="106"/>
        <v>0</v>
      </c>
      <c r="R323" s="41">
        <f t="shared" si="106"/>
        <v>0</v>
      </c>
      <c r="S323" s="41">
        <f t="shared" si="107"/>
        <v>0</v>
      </c>
      <c r="T323" s="41">
        <f t="shared" si="107"/>
        <v>0</v>
      </c>
      <c r="U323" s="41">
        <f t="shared" si="107"/>
        <v>0</v>
      </c>
      <c r="V323" s="41">
        <f t="shared" si="107"/>
        <v>0</v>
      </c>
      <c r="W323" s="41">
        <f t="shared" si="107"/>
        <v>0</v>
      </c>
      <c r="X323" s="41">
        <f t="shared" si="107"/>
        <v>0</v>
      </c>
      <c r="Y323" s="41">
        <f t="shared" si="107"/>
        <v>0</v>
      </c>
      <c r="Z323" s="41">
        <f t="shared" si="107"/>
        <v>0</v>
      </c>
      <c r="AA323" s="41">
        <f t="shared" si="107"/>
        <v>0</v>
      </c>
      <c r="AB323" s="41">
        <f t="shared" si="107"/>
        <v>0</v>
      </c>
      <c r="AC323" s="41">
        <f t="shared" si="108"/>
        <v>0</v>
      </c>
      <c r="AD323" s="41">
        <f t="shared" si="108"/>
        <v>0</v>
      </c>
      <c r="AE323" s="41">
        <f t="shared" si="108"/>
        <v>0</v>
      </c>
      <c r="AF323" s="41">
        <f t="shared" si="108"/>
        <v>0</v>
      </c>
      <c r="AG323" s="41">
        <f t="shared" si="108"/>
        <v>0</v>
      </c>
      <c r="AH323" s="41">
        <f t="shared" si="108"/>
        <v>0</v>
      </c>
      <c r="AI323" s="41">
        <f t="shared" si="108"/>
        <v>0</v>
      </c>
      <c r="AJ323" s="41">
        <f t="shared" si="108"/>
        <v>0</v>
      </c>
      <c r="AK323" s="41">
        <f t="shared" si="108"/>
        <v>0</v>
      </c>
      <c r="AL323" s="41">
        <f t="shared" si="108"/>
        <v>0</v>
      </c>
      <c r="AM323" s="41">
        <f t="shared" si="109"/>
        <v>0</v>
      </c>
      <c r="AN323" s="41">
        <f t="shared" si="109"/>
        <v>0</v>
      </c>
      <c r="AO323" s="41">
        <f t="shared" si="109"/>
        <v>0</v>
      </c>
      <c r="AP323" s="41">
        <f t="shared" si="109"/>
        <v>0</v>
      </c>
      <c r="AQ323" s="41">
        <f t="shared" si="109"/>
        <v>0</v>
      </c>
      <c r="AR323" s="41">
        <f t="shared" si="109"/>
        <v>0</v>
      </c>
      <c r="AS323" s="41">
        <f t="shared" si="109"/>
        <v>0</v>
      </c>
      <c r="AT323" s="41">
        <f t="shared" si="109"/>
        <v>0</v>
      </c>
      <c r="AU323" s="41">
        <f t="shared" si="109"/>
        <v>0</v>
      </c>
      <c r="AV323" s="41">
        <f t="shared" si="109"/>
        <v>0</v>
      </c>
      <c r="AW323" s="41">
        <f t="shared" si="109"/>
        <v>0</v>
      </c>
    </row>
    <row r="324" spans="2:49">
      <c r="B324" s="15">
        <v>6</v>
      </c>
      <c r="C324" s="15" t="str">
        <f t="shared" si="105"/>
        <v>US$</v>
      </c>
      <c r="D324" s="41">
        <f ca="1"/>
        <v>0</v>
      </c>
      <c r="I324" s="41">
        <f t="shared" si="106"/>
        <v>0</v>
      </c>
      <c r="J324" s="41">
        <f t="shared" si="106"/>
        <v>0</v>
      </c>
      <c r="K324" s="41">
        <f t="shared" si="106"/>
        <v>0</v>
      </c>
      <c r="L324" s="41">
        <f t="shared" ca="1" si="106"/>
        <v>0</v>
      </c>
      <c r="M324" s="41">
        <f t="shared" ca="1" si="106"/>
        <v>0</v>
      </c>
      <c r="N324" s="41">
        <f t="shared" ca="1" si="106"/>
        <v>0</v>
      </c>
      <c r="O324" s="41">
        <f t="shared" si="106"/>
        <v>0</v>
      </c>
      <c r="P324" s="41">
        <f t="shared" si="106"/>
        <v>0</v>
      </c>
      <c r="Q324" s="41">
        <f t="shared" si="106"/>
        <v>0</v>
      </c>
      <c r="R324" s="41">
        <f t="shared" si="106"/>
        <v>0</v>
      </c>
      <c r="S324" s="41">
        <f t="shared" si="107"/>
        <v>0</v>
      </c>
      <c r="T324" s="41">
        <f t="shared" si="107"/>
        <v>0</v>
      </c>
      <c r="U324" s="41">
        <f t="shared" si="107"/>
        <v>0</v>
      </c>
      <c r="V324" s="41">
        <f t="shared" si="107"/>
        <v>0</v>
      </c>
      <c r="W324" s="41">
        <f t="shared" si="107"/>
        <v>0</v>
      </c>
      <c r="X324" s="41">
        <f t="shared" si="107"/>
        <v>0</v>
      </c>
      <c r="Y324" s="41">
        <f t="shared" si="107"/>
        <v>0</v>
      </c>
      <c r="Z324" s="41">
        <f t="shared" si="107"/>
        <v>0</v>
      </c>
      <c r="AA324" s="41">
        <f t="shared" si="107"/>
        <v>0</v>
      </c>
      <c r="AB324" s="41">
        <f t="shared" si="107"/>
        <v>0</v>
      </c>
      <c r="AC324" s="41">
        <f t="shared" si="108"/>
        <v>0</v>
      </c>
      <c r="AD324" s="41">
        <f t="shared" si="108"/>
        <v>0</v>
      </c>
      <c r="AE324" s="41">
        <f t="shared" si="108"/>
        <v>0</v>
      </c>
      <c r="AF324" s="41">
        <f t="shared" si="108"/>
        <v>0</v>
      </c>
      <c r="AG324" s="41">
        <f t="shared" si="108"/>
        <v>0</v>
      </c>
      <c r="AH324" s="41">
        <f t="shared" si="108"/>
        <v>0</v>
      </c>
      <c r="AI324" s="41">
        <f t="shared" si="108"/>
        <v>0</v>
      </c>
      <c r="AJ324" s="41">
        <f t="shared" si="108"/>
        <v>0</v>
      </c>
      <c r="AK324" s="41">
        <f t="shared" si="108"/>
        <v>0</v>
      </c>
      <c r="AL324" s="41">
        <f t="shared" si="108"/>
        <v>0</v>
      </c>
      <c r="AM324" s="41">
        <f t="shared" si="109"/>
        <v>0</v>
      </c>
      <c r="AN324" s="41">
        <f t="shared" si="109"/>
        <v>0</v>
      </c>
      <c r="AO324" s="41">
        <f t="shared" si="109"/>
        <v>0</v>
      </c>
      <c r="AP324" s="41">
        <f t="shared" si="109"/>
        <v>0</v>
      </c>
      <c r="AQ324" s="41">
        <f t="shared" si="109"/>
        <v>0</v>
      </c>
      <c r="AR324" s="41">
        <f t="shared" si="109"/>
        <v>0</v>
      </c>
      <c r="AS324" s="41">
        <f t="shared" si="109"/>
        <v>0</v>
      </c>
      <c r="AT324" s="41">
        <f t="shared" si="109"/>
        <v>0</v>
      </c>
      <c r="AU324" s="41">
        <f t="shared" si="109"/>
        <v>0</v>
      </c>
      <c r="AV324" s="41">
        <f t="shared" si="109"/>
        <v>0</v>
      </c>
      <c r="AW324" s="41">
        <f t="shared" si="109"/>
        <v>0</v>
      </c>
    </row>
    <row r="325" spans="2:49">
      <c r="B325" s="15">
        <v>7</v>
      </c>
      <c r="C325" s="15" t="str">
        <f t="shared" si="105"/>
        <v>US$</v>
      </c>
      <c r="D325" s="41">
        <f ca="1"/>
        <v>0</v>
      </c>
      <c r="I325" s="41">
        <f t="shared" si="106"/>
        <v>0</v>
      </c>
      <c r="J325" s="41">
        <f t="shared" si="106"/>
        <v>0</v>
      </c>
      <c r="K325" s="41">
        <f t="shared" si="106"/>
        <v>0</v>
      </c>
      <c r="L325" s="41">
        <f t="shared" si="106"/>
        <v>0</v>
      </c>
      <c r="M325" s="41">
        <f t="shared" ca="1" si="106"/>
        <v>0</v>
      </c>
      <c r="N325" s="41">
        <f t="shared" ca="1" si="106"/>
        <v>0</v>
      </c>
      <c r="O325" s="41">
        <f t="shared" ca="1" si="106"/>
        <v>0</v>
      </c>
      <c r="P325" s="41">
        <f t="shared" si="106"/>
        <v>0</v>
      </c>
      <c r="Q325" s="41">
        <f t="shared" si="106"/>
        <v>0</v>
      </c>
      <c r="R325" s="41">
        <f t="shared" si="106"/>
        <v>0</v>
      </c>
      <c r="S325" s="41">
        <f t="shared" si="107"/>
        <v>0</v>
      </c>
      <c r="T325" s="41">
        <f t="shared" si="107"/>
        <v>0</v>
      </c>
      <c r="U325" s="41">
        <f t="shared" si="107"/>
        <v>0</v>
      </c>
      <c r="V325" s="41">
        <f t="shared" si="107"/>
        <v>0</v>
      </c>
      <c r="W325" s="41">
        <f t="shared" si="107"/>
        <v>0</v>
      </c>
      <c r="X325" s="41">
        <f t="shared" si="107"/>
        <v>0</v>
      </c>
      <c r="Y325" s="41">
        <f t="shared" si="107"/>
        <v>0</v>
      </c>
      <c r="Z325" s="41">
        <f t="shared" si="107"/>
        <v>0</v>
      </c>
      <c r="AA325" s="41">
        <f t="shared" si="107"/>
        <v>0</v>
      </c>
      <c r="AB325" s="41">
        <f t="shared" si="107"/>
        <v>0</v>
      </c>
      <c r="AC325" s="41">
        <f t="shared" si="108"/>
        <v>0</v>
      </c>
      <c r="AD325" s="41">
        <f t="shared" si="108"/>
        <v>0</v>
      </c>
      <c r="AE325" s="41">
        <f t="shared" si="108"/>
        <v>0</v>
      </c>
      <c r="AF325" s="41">
        <f t="shared" si="108"/>
        <v>0</v>
      </c>
      <c r="AG325" s="41">
        <f t="shared" si="108"/>
        <v>0</v>
      </c>
      <c r="AH325" s="41">
        <f t="shared" si="108"/>
        <v>0</v>
      </c>
      <c r="AI325" s="41">
        <f t="shared" si="108"/>
        <v>0</v>
      </c>
      <c r="AJ325" s="41">
        <f t="shared" si="108"/>
        <v>0</v>
      </c>
      <c r="AK325" s="41">
        <f t="shared" si="108"/>
        <v>0</v>
      </c>
      <c r="AL325" s="41">
        <f t="shared" si="108"/>
        <v>0</v>
      </c>
      <c r="AM325" s="41">
        <f t="shared" si="109"/>
        <v>0</v>
      </c>
      <c r="AN325" s="41">
        <f t="shared" si="109"/>
        <v>0</v>
      </c>
      <c r="AO325" s="41">
        <f t="shared" si="109"/>
        <v>0</v>
      </c>
      <c r="AP325" s="41">
        <f t="shared" si="109"/>
        <v>0</v>
      </c>
      <c r="AQ325" s="41">
        <f t="shared" si="109"/>
        <v>0</v>
      </c>
      <c r="AR325" s="41">
        <f t="shared" si="109"/>
        <v>0</v>
      </c>
      <c r="AS325" s="41">
        <f t="shared" si="109"/>
        <v>0</v>
      </c>
      <c r="AT325" s="41">
        <f t="shared" si="109"/>
        <v>0</v>
      </c>
      <c r="AU325" s="41">
        <f t="shared" si="109"/>
        <v>0</v>
      </c>
      <c r="AV325" s="41">
        <f t="shared" si="109"/>
        <v>0</v>
      </c>
      <c r="AW325" s="41">
        <f t="shared" si="109"/>
        <v>0</v>
      </c>
    </row>
    <row r="326" spans="2:49">
      <c r="B326" s="15">
        <v>8</v>
      </c>
      <c r="C326" s="15" t="str">
        <f t="shared" si="105"/>
        <v>US$</v>
      </c>
      <c r="D326" s="41">
        <f ca="1"/>
        <v>0</v>
      </c>
      <c r="I326" s="41">
        <f t="shared" si="106"/>
        <v>0</v>
      </c>
      <c r="J326" s="41">
        <f t="shared" si="106"/>
        <v>0</v>
      </c>
      <c r="K326" s="41">
        <f t="shared" si="106"/>
        <v>0</v>
      </c>
      <c r="L326" s="41">
        <f t="shared" si="106"/>
        <v>0</v>
      </c>
      <c r="M326" s="41">
        <f t="shared" si="106"/>
        <v>0</v>
      </c>
      <c r="N326" s="41">
        <f t="shared" ca="1" si="106"/>
        <v>0</v>
      </c>
      <c r="O326" s="41">
        <f t="shared" ca="1" si="106"/>
        <v>0</v>
      </c>
      <c r="P326" s="41">
        <f t="shared" ca="1" si="106"/>
        <v>0</v>
      </c>
      <c r="Q326" s="41">
        <f t="shared" si="106"/>
        <v>0</v>
      </c>
      <c r="R326" s="41">
        <f t="shared" si="106"/>
        <v>0</v>
      </c>
      <c r="S326" s="41">
        <f t="shared" si="107"/>
        <v>0</v>
      </c>
      <c r="T326" s="41">
        <f t="shared" si="107"/>
        <v>0</v>
      </c>
      <c r="U326" s="41">
        <f t="shared" si="107"/>
        <v>0</v>
      </c>
      <c r="V326" s="41">
        <f t="shared" si="107"/>
        <v>0</v>
      </c>
      <c r="W326" s="41">
        <f t="shared" si="107"/>
        <v>0</v>
      </c>
      <c r="X326" s="41">
        <f t="shared" si="107"/>
        <v>0</v>
      </c>
      <c r="Y326" s="41">
        <f t="shared" si="107"/>
        <v>0</v>
      </c>
      <c r="Z326" s="41">
        <f t="shared" si="107"/>
        <v>0</v>
      </c>
      <c r="AA326" s="41">
        <f t="shared" si="107"/>
        <v>0</v>
      </c>
      <c r="AB326" s="41">
        <f t="shared" si="107"/>
        <v>0</v>
      </c>
      <c r="AC326" s="41">
        <f t="shared" si="108"/>
        <v>0</v>
      </c>
      <c r="AD326" s="41">
        <f t="shared" si="108"/>
        <v>0</v>
      </c>
      <c r="AE326" s="41">
        <f t="shared" si="108"/>
        <v>0</v>
      </c>
      <c r="AF326" s="41">
        <f t="shared" si="108"/>
        <v>0</v>
      </c>
      <c r="AG326" s="41">
        <f t="shared" si="108"/>
        <v>0</v>
      </c>
      <c r="AH326" s="41">
        <f t="shared" si="108"/>
        <v>0</v>
      </c>
      <c r="AI326" s="41">
        <f t="shared" si="108"/>
        <v>0</v>
      </c>
      <c r="AJ326" s="41">
        <f t="shared" si="108"/>
        <v>0</v>
      </c>
      <c r="AK326" s="41">
        <f t="shared" si="108"/>
        <v>0</v>
      </c>
      <c r="AL326" s="41">
        <f t="shared" si="108"/>
        <v>0</v>
      </c>
      <c r="AM326" s="41">
        <f t="shared" si="109"/>
        <v>0</v>
      </c>
      <c r="AN326" s="41">
        <f t="shared" si="109"/>
        <v>0</v>
      </c>
      <c r="AO326" s="41">
        <f t="shared" si="109"/>
        <v>0</v>
      </c>
      <c r="AP326" s="41">
        <f t="shared" si="109"/>
        <v>0</v>
      </c>
      <c r="AQ326" s="41">
        <f t="shared" si="109"/>
        <v>0</v>
      </c>
      <c r="AR326" s="41">
        <f t="shared" si="109"/>
        <v>0</v>
      </c>
      <c r="AS326" s="41">
        <f t="shared" si="109"/>
        <v>0</v>
      </c>
      <c r="AT326" s="41">
        <f t="shared" si="109"/>
        <v>0</v>
      </c>
      <c r="AU326" s="41">
        <f t="shared" si="109"/>
        <v>0</v>
      </c>
      <c r="AV326" s="41">
        <f t="shared" si="109"/>
        <v>0</v>
      </c>
      <c r="AW326" s="41">
        <f t="shared" si="109"/>
        <v>0</v>
      </c>
    </row>
    <row r="327" spans="2:49">
      <c r="B327" s="15">
        <v>9</v>
      </c>
      <c r="C327" s="15" t="str">
        <f t="shared" si="105"/>
        <v>US$</v>
      </c>
      <c r="D327" s="41">
        <f ca="1"/>
        <v>0</v>
      </c>
      <c r="I327" s="41">
        <f t="shared" si="106"/>
        <v>0</v>
      </c>
      <c r="J327" s="41">
        <f t="shared" si="106"/>
        <v>0</v>
      </c>
      <c r="K327" s="41">
        <f t="shared" si="106"/>
        <v>0</v>
      </c>
      <c r="L327" s="41">
        <f t="shared" si="106"/>
        <v>0</v>
      </c>
      <c r="M327" s="41">
        <f t="shared" si="106"/>
        <v>0</v>
      </c>
      <c r="N327" s="41">
        <f t="shared" si="106"/>
        <v>0</v>
      </c>
      <c r="O327" s="41">
        <f t="shared" ca="1" si="106"/>
        <v>0</v>
      </c>
      <c r="P327" s="41">
        <f t="shared" ca="1" si="106"/>
        <v>0</v>
      </c>
      <c r="Q327" s="41">
        <f t="shared" ca="1" si="106"/>
        <v>0</v>
      </c>
      <c r="R327" s="41">
        <f t="shared" si="106"/>
        <v>0</v>
      </c>
      <c r="S327" s="41">
        <f t="shared" si="107"/>
        <v>0</v>
      </c>
      <c r="T327" s="41">
        <f t="shared" si="107"/>
        <v>0</v>
      </c>
      <c r="U327" s="41">
        <f t="shared" si="107"/>
        <v>0</v>
      </c>
      <c r="V327" s="41">
        <f t="shared" si="107"/>
        <v>0</v>
      </c>
      <c r="W327" s="41">
        <f t="shared" si="107"/>
        <v>0</v>
      </c>
      <c r="X327" s="41">
        <f t="shared" si="107"/>
        <v>0</v>
      </c>
      <c r="Y327" s="41">
        <f t="shared" si="107"/>
        <v>0</v>
      </c>
      <c r="Z327" s="41">
        <f t="shared" si="107"/>
        <v>0</v>
      </c>
      <c r="AA327" s="41">
        <f t="shared" si="107"/>
        <v>0</v>
      </c>
      <c r="AB327" s="41">
        <f t="shared" si="107"/>
        <v>0</v>
      </c>
      <c r="AC327" s="41">
        <f t="shared" si="108"/>
        <v>0</v>
      </c>
      <c r="AD327" s="41">
        <f t="shared" si="108"/>
        <v>0</v>
      </c>
      <c r="AE327" s="41">
        <f t="shared" si="108"/>
        <v>0</v>
      </c>
      <c r="AF327" s="41">
        <f t="shared" si="108"/>
        <v>0</v>
      </c>
      <c r="AG327" s="41">
        <f t="shared" si="108"/>
        <v>0</v>
      </c>
      <c r="AH327" s="41">
        <f t="shared" si="108"/>
        <v>0</v>
      </c>
      <c r="AI327" s="41">
        <f t="shared" si="108"/>
        <v>0</v>
      </c>
      <c r="AJ327" s="41">
        <f t="shared" si="108"/>
        <v>0</v>
      </c>
      <c r="AK327" s="41">
        <f t="shared" si="108"/>
        <v>0</v>
      </c>
      <c r="AL327" s="41">
        <f t="shared" si="108"/>
        <v>0</v>
      </c>
      <c r="AM327" s="41">
        <f t="shared" si="109"/>
        <v>0</v>
      </c>
      <c r="AN327" s="41">
        <f t="shared" si="109"/>
        <v>0</v>
      </c>
      <c r="AO327" s="41">
        <f t="shared" si="109"/>
        <v>0</v>
      </c>
      <c r="AP327" s="41">
        <f t="shared" si="109"/>
        <v>0</v>
      </c>
      <c r="AQ327" s="41">
        <f t="shared" si="109"/>
        <v>0</v>
      </c>
      <c r="AR327" s="41">
        <f t="shared" si="109"/>
        <v>0</v>
      </c>
      <c r="AS327" s="41">
        <f t="shared" si="109"/>
        <v>0</v>
      </c>
      <c r="AT327" s="41">
        <f t="shared" si="109"/>
        <v>0</v>
      </c>
      <c r="AU327" s="41">
        <f t="shared" si="109"/>
        <v>0</v>
      </c>
      <c r="AV327" s="41">
        <f t="shared" si="109"/>
        <v>0</v>
      </c>
      <c r="AW327" s="41">
        <f t="shared" si="109"/>
        <v>0</v>
      </c>
    </row>
    <row r="328" spans="2:49">
      <c r="B328" s="15">
        <v>10</v>
      </c>
      <c r="C328" s="15" t="str">
        <f t="shared" si="105"/>
        <v>US$</v>
      </c>
      <c r="D328" s="41">
        <f ca="1"/>
        <v>0</v>
      </c>
      <c r="I328" s="41">
        <f t="shared" si="106"/>
        <v>0</v>
      </c>
      <c r="J328" s="41">
        <f t="shared" si="106"/>
        <v>0</v>
      </c>
      <c r="K328" s="41">
        <f t="shared" si="106"/>
        <v>0</v>
      </c>
      <c r="L328" s="41">
        <f t="shared" si="106"/>
        <v>0</v>
      </c>
      <c r="M328" s="41">
        <f t="shared" si="106"/>
        <v>0</v>
      </c>
      <c r="N328" s="41">
        <f t="shared" si="106"/>
        <v>0</v>
      </c>
      <c r="O328" s="41">
        <f t="shared" si="106"/>
        <v>0</v>
      </c>
      <c r="P328" s="41">
        <f t="shared" ca="1" si="106"/>
        <v>0</v>
      </c>
      <c r="Q328" s="41">
        <f t="shared" ca="1" si="106"/>
        <v>0</v>
      </c>
      <c r="R328" s="41">
        <f t="shared" ca="1" si="106"/>
        <v>0</v>
      </c>
      <c r="S328" s="41">
        <f t="shared" si="107"/>
        <v>0</v>
      </c>
      <c r="T328" s="41">
        <f t="shared" si="107"/>
        <v>0</v>
      </c>
      <c r="U328" s="41">
        <f t="shared" si="107"/>
        <v>0</v>
      </c>
      <c r="V328" s="41">
        <f t="shared" si="107"/>
        <v>0</v>
      </c>
      <c r="W328" s="41">
        <f t="shared" si="107"/>
        <v>0</v>
      </c>
      <c r="X328" s="41">
        <f t="shared" si="107"/>
        <v>0</v>
      </c>
      <c r="Y328" s="41">
        <f t="shared" si="107"/>
        <v>0</v>
      </c>
      <c r="Z328" s="41">
        <f t="shared" si="107"/>
        <v>0</v>
      </c>
      <c r="AA328" s="41">
        <f t="shared" si="107"/>
        <v>0</v>
      </c>
      <c r="AB328" s="41">
        <f t="shared" si="107"/>
        <v>0</v>
      </c>
      <c r="AC328" s="41">
        <f t="shared" si="108"/>
        <v>0</v>
      </c>
      <c r="AD328" s="41">
        <f t="shared" si="108"/>
        <v>0</v>
      </c>
      <c r="AE328" s="41">
        <f t="shared" si="108"/>
        <v>0</v>
      </c>
      <c r="AF328" s="41">
        <f t="shared" si="108"/>
        <v>0</v>
      </c>
      <c r="AG328" s="41">
        <f t="shared" si="108"/>
        <v>0</v>
      </c>
      <c r="AH328" s="41">
        <f t="shared" si="108"/>
        <v>0</v>
      </c>
      <c r="AI328" s="41">
        <f t="shared" si="108"/>
        <v>0</v>
      </c>
      <c r="AJ328" s="41">
        <f t="shared" si="108"/>
        <v>0</v>
      </c>
      <c r="AK328" s="41">
        <f t="shared" si="108"/>
        <v>0</v>
      </c>
      <c r="AL328" s="41">
        <f t="shared" si="108"/>
        <v>0</v>
      </c>
      <c r="AM328" s="41">
        <f t="shared" si="109"/>
        <v>0</v>
      </c>
      <c r="AN328" s="41">
        <f t="shared" si="109"/>
        <v>0</v>
      </c>
      <c r="AO328" s="41">
        <f t="shared" si="109"/>
        <v>0</v>
      </c>
      <c r="AP328" s="41">
        <f t="shared" si="109"/>
        <v>0</v>
      </c>
      <c r="AQ328" s="41">
        <f t="shared" si="109"/>
        <v>0</v>
      </c>
      <c r="AR328" s="41">
        <f t="shared" si="109"/>
        <v>0</v>
      </c>
      <c r="AS328" s="41">
        <f t="shared" si="109"/>
        <v>0</v>
      </c>
      <c r="AT328" s="41">
        <f t="shared" si="109"/>
        <v>0</v>
      </c>
      <c r="AU328" s="41">
        <f t="shared" si="109"/>
        <v>0</v>
      </c>
      <c r="AV328" s="41">
        <f t="shared" si="109"/>
        <v>0</v>
      </c>
      <c r="AW328" s="41">
        <f t="shared" si="109"/>
        <v>0</v>
      </c>
    </row>
    <row r="329" spans="2:49">
      <c r="B329" s="15">
        <v>11</v>
      </c>
      <c r="C329" s="15" t="str">
        <f t="shared" si="105"/>
        <v>US$</v>
      </c>
      <c r="D329" s="41">
        <f ca="1"/>
        <v>0</v>
      </c>
      <c r="I329" s="41">
        <f t="shared" ref="I329:R338" si="110">IF(AND(I$2&gt;=($B329-$D$286+1),I$2&lt;=$B329),$D329/$D$286,0)</f>
        <v>0</v>
      </c>
      <c r="J329" s="41">
        <f t="shared" si="110"/>
        <v>0</v>
      </c>
      <c r="K329" s="41">
        <f t="shared" si="110"/>
        <v>0</v>
      </c>
      <c r="L329" s="41">
        <f t="shared" si="110"/>
        <v>0</v>
      </c>
      <c r="M329" s="41">
        <f t="shared" si="110"/>
        <v>0</v>
      </c>
      <c r="N329" s="41">
        <f t="shared" si="110"/>
        <v>0</v>
      </c>
      <c r="O329" s="41">
        <f t="shared" si="110"/>
        <v>0</v>
      </c>
      <c r="P329" s="41">
        <f t="shared" si="110"/>
        <v>0</v>
      </c>
      <c r="Q329" s="41">
        <f t="shared" ca="1" si="110"/>
        <v>0</v>
      </c>
      <c r="R329" s="41">
        <f t="shared" ca="1" si="110"/>
        <v>0</v>
      </c>
      <c r="S329" s="41">
        <f t="shared" ref="S329:AB338" ca="1" si="111">IF(AND(S$2&gt;=($B329-$D$286+1),S$2&lt;=$B329),$D329/$D$286,0)</f>
        <v>0</v>
      </c>
      <c r="T329" s="41">
        <f t="shared" si="111"/>
        <v>0</v>
      </c>
      <c r="U329" s="41">
        <f t="shared" si="111"/>
        <v>0</v>
      </c>
      <c r="V329" s="41">
        <f t="shared" si="111"/>
        <v>0</v>
      </c>
      <c r="W329" s="41">
        <f t="shared" si="111"/>
        <v>0</v>
      </c>
      <c r="X329" s="41">
        <f t="shared" si="111"/>
        <v>0</v>
      </c>
      <c r="Y329" s="41">
        <f t="shared" si="111"/>
        <v>0</v>
      </c>
      <c r="Z329" s="41">
        <f t="shared" si="111"/>
        <v>0</v>
      </c>
      <c r="AA329" s="41">
        <f t="shared" si="111"/>
        <v>0</v>
      </c>
      <c r="AB329" s="41">
        <f t="shared" si="111"/>
        <v>0</v>
      </c>
      <c r="AC329" s="41">
        <f t="shared" ref="AC329:AL338" si="112">IF(AND(AC$2&gt;=($B329-$D$286+1),AC$2&lt;=$B329),$D329/$D$286,0)</f>
        <v>0</v>
      </c>
      <c r="AD329" s="41">
        <f t="shared" si="112"/>
        <v>0</v>
      </c>
      <c r="AE329" s="41">
        <f t="shared" si="112"/>
        <v>0</v>
      </c>
      <c r="AF329" s="41">
        <f t="shared" si="112"/>
        <v>0</v>
      </c>
      <c r="AG329" s="41">
        <f t="shared" si="112"/>
        <v>0</v>
      </c>
      <c r="AH329" s="41">
        <f t="shared" si="112"/>
        <v>0</v>
      </c>
      <c r="AI329" s="41">
        <f t="shared" si="112"/>
        <v>0</v>
      </c>
      <c r="AJ329" s="41">
        <f t="shared" si="112"/>
        <v>0</v>
      </c>
      <c r="AK329" s="41">
        <f t="shared" si="112"/>
        <v>0</v>
      </c>
      <c r="AL329" s="41">
        <f t="shared" si="112"/>
        <v>0</v>
      </c>
      <c r="AM329" s="41">
        <f t="shared" ref="AM329:AW338" si="113">IF(AND(AM$2&gt;=($B329-$D$286+1),AM$2&lt;=$B329),$D329/$D$286,0)</f>
        <v>0</v>
      </c>
      <c r="AN329" s="41">
        <f t="shared" si="113"/>
        <v>0</v>
      </c>
      <c r="AO329" s="41">
        <f t="shared" si="113"/>
        <v>0</v>
      </c>
      <c r="AP329" s="41">
        <f t="shared" si="113"/>
        <v>0</v>
      </c>
      <c r="AQ329" s="41">
        <f t="shared" si="113"/>
        <v>0</v>
      </c>
      <c r="AR329" s="41">
        <f t="shared" si="113"/>
        <v>0</v>
      </c>
      <c r="AS329" s="41">
        <f t="shared" si="113"/>
        <v>0</v>
      </c>
      <c r="AT329" s="41">
        <f t="shared" si="113"/>
        <v>0</v>
      </c>
      <c r="AU329" s="41">
        <f t="shared" si="113"/>
        <v>0</v>
      </c>
      <c r="AV329" s="41">
        <f t="shared" si="113"/>
        <v>0</v>
      </c>
      <c r="AW329" s="41">
        <f t="shared" si="113"/>
        <v>0</v>
      </c>
    </row>
    <row r="330" spans="2:49">
      <c r="B330" s="15">
        <v>12</v>
      </c>
      <c r="C330" s="15" t="str">
        <f t="shared" si="105"/>
        <v>US$</v>
      </c>
      <c r="D330" s="41">
        <f ca="1"/>
        <v>0</v>
      </c>
      <c r="I330" s="41">
        <f t="shared" si="110"/>
        <v>0</v>
      </c>
      <c r="J330" s="41">
        <f t="shared" si="110"/>
        <v>0</v>
      </c>
      <c r="K330" s="41">
        <f t="shared" si="110"/>
        <v>0</v>
      </c>
      <c r="L330" s="41">
        <f t="shared" si="110"/>
        <v>0</v>
      </c>
      <c r="M330" s="41">
        <f t="shared" si="110"/>
        <v>0</v>
      </c>
      <c r="N330" s="41">
        <f t="shared" si="110"/>
        <v>0</v>
      </c>
      <c r="O330" s="41">
        <f t="shared" si="110"/>
        <v>0</v>
      </c>
      <c r="P330" s="41">
        <f t="shared" si="110"/>
        <v>0</v>
      </c>
      <c r="Q330" s="41">
        <f t="shared" si="110"/>
        <v>0</v>
      </c>
      <c r="R330" s="41">
        <f t="shared" ca="1" si="110"/>
        <v>0</v>
      </c>
      <c r="S330" s="41">
        <f t="shared" ca="1" si="111"/>
        <v>0</v>
      </c>
      <c r="T330" s="41">
        <f t="shared" ca="1" si="111"/>
        <v>0</v>
      </c>
      <c r="U330" s="41">
        <f t="shared" si="111"/>
        <v>0</v>
      </c>
      <c r="V330" s="41">
        <f t="shared" si="111"/>
        <v>0</v>
      </c>
      <c r="W330" s="41">
        <f t="shared" si="111"/>
        <v>0</v>
      </c>
      <c r="X330" s="41">
        <f t="shared" si="111"/>
        <v>0</v>
      </c>
      <c r="Y330" s="41">
        <f t="shared" si="111"/>
        <v>0</v>
      </c>
      <c r="Z330" s="41">
        <f t="shared" si="111"/>
        <v>0</v>
      </c>
      <c r="AA330" s="41">
        <f t="shared" si="111"/>
        <v>0</v>
      </c>
      <c r="AB330" s="41">
        <f t="shared" si="111"/>
        <v>0</v>
      </c>
      <c r="AC330" s="41">
        <f t="shared" si="112"/>
        <v>0</v>
      </c>
      <c r="AD330" s="41">
        <f t="shared" si="112"/>
        <v>0</v>
      </c>
      <c r="AE330" s="41">
        <f t="shared" si="112"/>
        <v>0</v>
      </c>
      <c r="AF330" s="41">
        <f t="shared" si="112"/>
        <v>0</v>
      </c>
      <c r="AG330" s="41">
        <f t="shared" si="112"/>
        <v>0</v>
      </c>
      <c r="AH330" s="41">
        <f t="shared" si="112"/>
        <v>0</v>
      </c>
      <c r="AI330" s="41">
        <f t="shared" si="112"/>
        <v>0</v>
      </c>
      <c r="AJ330" s="41">
        <f t="shared" si="112"/>
        <v>0</v>
      </c>
      <c r="AK330" s="41">
        <f t="shared" si="112"/>
        <v>0</v>
      </c>
      <c r="AL330" s="41">
        <f t="shared" si="112"/>
        <v>0</v>
      </c>
      <c r="AM330" s="41">
        <f t="shared" si="113"/>
        <v>0</v>
      </c>
      <c r="AN330" s="41">
        <f t="shared" si="113"/>
        <v>0</v>
      </c>
      <c r="AO330" s="41">
        <f t="shared" si="113"/>
        <v>0</v>
      </c>
      <c r="AP330" s="41">
        <f t="shared" si="113"/>
        <v>0</v>
      </c>
      <c r="AQ330" s="41">
        <f t="shared" si="113"/>
        <v>0</v>
      </c>
      <c r="AR330" s="41">
        <f t="shared" si="113"/>
        <v>0</v>
      </c>
      <c r="AS330" s="41">
        <f t="shared" si="113"/>
        <v>0</v>
      </c>
      <c r="AT330" s="41">
        <f t="shared" si="113"/>
        <v>0</v>
      </c>
      <c r="AU330" s="41">
        <f t="shared" si="113"/>
        <v>0</v>
      </c>
      <c r="AV330" s="41">
        <f t="shared" si="113"/>
        <v>0</v>
      </c>
      <c r="AW330" s="41">
        <f t="shared" si="113"/>
        <v>0</v>
      </c>
    </row>
    <row r="331" spans="2:49">
      <c r="B331" s="15">
        <v>13</v>
      </c>
      <c r="C331" s="15" t="str">
        <f t="shared" si="105"/>
        <v>US$</v>
      </c>
      <c r="D331" s="41">
        <f ca="1"/>
        <v>0</v>
      </c>
      <c r="I331" s="41">
        <f t="shared" si="110"/>
        <v>0</v>
      </c>
      <c r="J331" s="41">
        <f t="shared" si="110"/>
        <v>0</v>
      </c>
      <c r="K331" s="41">
        <f t="shared" si="110"/>
        <v>0</v>
      </c>
      <c r="L331" s="41">
        <f t="shared" si="110"/>
        <v>0</v>
      </c>
      <c r="M331" s="41">
        <f t="shared" si="110"/>
        <v>0</v>
      </c>
      <c r="N331" s="41">
        <f t="shared" si="110"/>
        <v>0</v>
      </c>
      <c r="O331" s="41">
        <f t="shared" si="110"/>
        <v>0</v>
      </c>
      <c r="P331" s="41">
        <f t="shared" si="110"/>
        <v>0</v>
      </c>
      <c r="Q331" s="41">
        <f t="shared" si="110"/>
        <v>0</v>
      </c>
      <c r="R331" s="41">
        <f t="shared" si="110"/>
        <v>0</v>
      </c>
      <c r="S331" s="41">
        <f t="shared" ca="1" si="111"/>
        <v>0</v>
      </c>
      <c r="T331" s="41">
        <f t="shared" ca="1" si="111"/>
        <v>0</v>
      </c>
      <c r="U331" s="41">
        <f t="shared" ca="1" si="111"/>
        <v>0</v>
      </c>
      <c r="V331" s="41">
        <f t="shared" si="111"/>
        <v>0</v>
      </c>
      <c r="W331" s="41">
        <f t="shared" si="111"/>
        <v>0</v>
      </c>
      <c r="X331" s="41">
        <f t="shared" si="111"/>
        <v>0</v>
      </c>
      <c r="Y331" s="41">
        <f t="shared" si="111"/>
        <v>0</v>
      </c>
      <c r="Z331" s="41">
        <f t="shared" si="111"/>
        <v>0</v>
      </c>
      <c r="AA331" s="41">
        <f t="shared" si="111"/>
        <v>0</v>
      </c>
      <c r="AB331" s="41">
        <f t="shared" si="111"/>
        <v>0</v>
      </c>
      <c r="AC331" s="41">
        <f t="shared" si="112"/>
        <v>0</v>
      </c>
      <c r="AD331" s="41">
        <f t="shared" si="112"/>
        <v>0</v>
      </c>
      <c r="AE331" s="41">
        <f t="shared" si="112"/>
        <v>0</v>
      </c>
      <c r="AF331" s="41">
        <f t="shared" si="112"/>
        <v>0</v>
      </c>
      <c r="AG331" s="41">
        <f t="shared" si="112"/>
        <v>0</v>
      </c>
      <c r="AH331" s="41">
        <f t="shared" si="112"/>
        <v>0</v>
      </c>
      <c r="AI331" s="41">
        <f t="shared" si="112"/>
        <v>0</v>
      </c>
      <c r="AJ331" s="41">
        <f t="shared" si="112"/>
        <v>0</v>
      </c>
      <c r="AK331" s="41">
        <f t="shared" si="112"/>
        <v>0</v>
      </c>
      <c r="AL331" s="41">
        <f t="shared" si="112"/>
        <v>0</v>
      </c>
      <c r="AM331" s="41">
        <f t="shared" si="113"/>
        <v>0</v>
      </c>
      <c r="AN331" s="41">
        <f t="shared" si="113"/>
        <v>0</v>
      </c>
      <c r="AO331" s="41">
        <f t="shared" si="113"/>
        <v>0</v>
      </c>
      <c r="AP331" s="41">
        <f t="shared" si="113"/>
        <v>0</v>
      </c>
      <c r="AQ331" s="41">
        <f t="shared" si="113"/>
        <v>0</v>
      </c>
      <c r="AR331" s="41">
        <f t="shared" si="113"/>
        <v>0</v>
      </c>
      <c r="AS331" s="41">
        <f t="shared" si="113"/>
        <v>0</v>
      </c>
      <c r="AT331" s="41">
        <f t="shared" si="113"/>
        <v>0</v>
      </c>
      <c r="AU331" s="41">
        <f t="shared" si="113"/>
        <v>0</v>
      </c>
      <c r="AV331" s="41">
        <f t="shared" si="113"/>
        <v>0</v>
      </c>
      <c r="AW331" s="41">
        <f t="shared" si="113"/>
        <v>0</v>
      </c>
    </row>
    <row r="332" spans="2:49">
      <c r="B332" s="15">
        <v>14</v>
      </c>
      <c r="C332" s="15" t="str">
        <f t="shared" si="105"/>
        <v>US$</v>
      </c>
      <c r="D332" s="41">
        <f ca="1"/>
        <v>0</v>
      </c>
      <c r="I332" s="41">
        <f t="shared" si="110"/>
        <v>0</v>
      </c>
      <c r="J332" s="41">
        <f t="shared" si="110"/>
        <v>0</v>
      </c>
      <c r="K332" s="41">
        <f t="shared" si="110"/>
        <v>0</v>
      </c>
      <c r="L332" s="41">
        <f t="shared" si="110"/>
        <v>0</v>
      </c>
      <c r="M332" s="41">
        <f t="shared" si="110"/>
        <v>0</v>
      </c>
      <c r="N332" s="41">
        <f t="shared" si="110"/>
        <v>0</v>
      </c>
      <c r="O332" s="41">
        <f t="shared" si="110"/>
        <v>0</v>
      </c>
      <c r="P332" s="41">
        <f t="shared" si="110"/>
        <v>0</v>
      </c>
      <c r="Q332" s="41">
        <f t="shared" si="110"/>
        <v>0</v>
      </c>
      <c r="R332" s="41">
        <f t="shared" si="110"/>
        <v>0</v>
      </c>
      <c r="S332" s="41">
        <f t="shared" si="111"/>
        <v>0</v>
      </c>
      <c r="T332" s="41">
        <f t="shared" ca="1" si="111"/>
        <v>0</v>
      </c>
      <c r="U332" s="41">
        <f t="shared" ca="1" si="111"/>
        <v>0</v>
      </c>
      <c r="V332" s="41">
        <f t="shared" ca="1" si="111"/>
        <v>0</v>
      </c>
      <c r="W332" s="41">
        <f t="shared" si="111"/>
        <v>0</v>
      </c>
      <c r="X332" s="41">
        <f t="shared" si="111"/>
        <v>0</v>
      </c>
      <c r="Y332" s="41">
        <f t="shared" si="111"/>
        <v>0</v>
      </c>
      <c r="Z332" s="41">
        <f t="shared" si="111"/>
        <v>0</v>
      </c>
      <c r="AA332" s="41">
        <f t="shared" si="111"/>
        <v>0</v>
      </c>
      <c r="AB332" s="41">
        <f t="shared" si="111"/>
        <v>0</v>
      </c>
      <c r="AC332" s="41">
        <f t="shared" si="112"/>
        <v>0</v>
      </c>
      <c r="AD332" s="41">
        <f t="shared" si="112"/>
        <v>0</v>
      </c>
      <c r="AE332" s="41">
        <f t="shared" si="112"/>
        <v>0</v>
      </c>
      <c r="AF332" s="41">
        <f t="shared" si="112"/>
        <v>0</v>
      </c>
      <c r="AG332" s="41">
        <f t="shared" si="112"/>
        <v>0</v>
      </c>
      <c r="AH332" s="41">
        <f t="shared" si="112"/>
        <v>0</v>
      </c>
      <c r="AI332" s="41">
        <f t="shared" si="112"/>
        <v>0</v>
      </c>
      <c r="AJ332" s="41">
        <f t="shared" si="112"/>
        <v>0</v>
      </c>
      <c r="AK332" s="41">
        <f t="shared" si="112"/>
        <v>0</v>
      </c>
      <c r="AL332" s="41">
        <f t="shared" si="112"/>
        <v>0</v>
      </c>
      <c r="AM332" s="41">
        <f t="shared" si="113"/>
        <v>0</v>
      </c>
      <c r="AN332" s="41">
        <f t="shared" si="113"/>
        <v>0</v>
      </c>
      <c r="AO332" s="41">
        <f t="shared" si="113"/>
        <v>0</v>
      </c>
      <c r="AP332" s="41">
        <f t="shared" si="113"/>
        <v>0</v>
      </c>
      <c r="AQ332" s="41">
        <f t="shared" si="113"/>
        <v>0</v>
      </c>
      <c r="AR332" s="41">
        <f t="shared" si="113"/>
        <v>0</v>
      </c>
      <c r="AS332" s="41">
        <f t="shared" si="113"/>
        <v>0</v>
      </c>
      <c r="AT332" s="41">
        <f t="shared" si="113"/>
        <v>0</v>
      </c>
      <c r="AU332" s="41">
        <f t="shared" si="113"/>
        <v>0</v>
      </c>
      <c r="AV332" s="41">
        <f t="shared" si="113"/>
        <v>0</v>
      </c>
      <c r="AW332" s="41">
        <f t="shared" si="113"/>
        <v>0</v>
      </c>
    </row>
    <row r="333" spans="2:49">
      <c r="B333" s="15">
        <v>15</v>
      </c>
      <c r="C333" s="15" t="str">
        <f t="shared" si="105"/>
        <v>US$</v>
      </c>
      <c r="D333" s="41">
        <f ca="1"/>
        <v>0</v>
      </c>
      <c r="I333" s="41">
        <f t="shared" si="110"/>
        <v>0</v>
      </c>
      <c r="J333" s="41">
        <f t="shared" si="110"/>
        <v>0</v>
      </c>
      <c r="K333" s="41">
        <f t="shared" si="110"/>
        <v>0</v>
      </c>
      <c r="L333" s="41">
        <f t="shared" si="110"/>
        <v>0</v>
      </c>
      <c r="M333" s="41">
        <f t="shared" si="110"/>
        <v>0</v>
      </c>
      <c r="N333" s="41">
        <f t="shared" si="110"/>
        <v>0</v>
      </c>
      <c r="O333" s="41">
        <f t="shared" si="110"/>
        <v>0</v>
      </c>
      <c r="P333" s="41">
        <f t="shared" si="110"/>
        <v>0</v>
      </c>
      <c r="Q333" s="41">
        <f t="shared" si="110"/>
        <v>0</v>
      </c>
      <c r="R333" s="41">
        <f t="shared" si="110"/>
        <v>0</v>
      </c>
      <c r="S333" s="41">
        <f t="shared" si="111"/>
        <v>0</v>
      </c>
      <c r="T333" s="41">
        <f t="shared" si="111"/>
        <v>0</v>
      </c>
      <c r="U333" s="41">
        <f t="shared" ca="1" si="111"/>
        <v>0</v>
      </c>
      <c r="V333" s="41">
        <f t="shared" ca="1" si="111"/>
        <v>0</v>
      </c>
      <c r="W333" s="41">
        <f t="shared" ca="1" si="111"/>
        <v>0</v>
      </c>
      <c r="X333" s="41">
        <f t="shared" si="111"/>
        <v>0</v>
      </c>
      <c r="Y333" s="41">
        <f t="shared" si="111"/>
        <v>0</v>
      </c>
      <c r="Z333" s="41">
        <f t="shared" si="111"/>
        <v>0</v>
      </c>
      <c r="AA333" s="41">
        <f t="shared" si="111"/>
        <v>0</v>
      </c>
      <c r="AB333" s="41">
        <f t="shared" si="111"/>
        <v>0</v>
      </c>
      <c r="AC333" s="41">
        <f t="shared" si="112"/>
        <v>0</v>
      </c>
      <c r="AD333" s="41">
        <f t="shared" si="112"/>
        <v>0</v>
      </c>
      <c r="AE333" s="41">
        <f t="shared" si="112"/>
        <v>0</v>
      </c>
      <c r="AF333" s="41">
        <f t="shared" si="112"/>
        <v>0</v>
      </c>
      <c r="AG333" s="41">
        <f t="shared" si="112"/>
        <v>0</v>
      </c>
      <c r="AH333" s="41">
        <f t="shared" si="112"/>
        <v>0</v>
      </c>
      <c r="AI333" s="41">
        <f t="shared" si="112"/>
        <v>0</v>
      </c>
      <c r="AJ333" s="41">
        <f t="shared" si="112"/>
        <v>0</v>
      </c>
      <c r="AK333" s="41">
        <f t="shared" si="112"/>
        <v>0</v>
      </c>
      <c r="AL333" s="41">
        <f t="shared" si="112"/>
        <v>0</v>
      </c>
      <c r="AM333" s="41">
        <f t="shared" si="113"/>
        <v>0</v>
      </c>
      <c r="AN333" s="41">
        <f t="shared" si="113"/>
        <v>0</v>
      </c>
      <c r="AO333" s="41">
        <f t="shared" si="113"/>
        <v>0</v>
      </c>
      <c r="AP333" s="41">
        <f t="shared" si="113"/>
        <v>0</v>
      </c>
      <c r="AQ333" s="41">
        <f t="shared" si="113"/>
        <v>0</v>
      </c>
      <c r="AR333" s="41">
        <f t="shared" si="113"/>
        <v>0</v>
      </c>
      <c r="AS333" s="41">
        <f t="shared" si="113"/>
        <v>0</v>
      </c>
      <c r="AT333" s="41">
        <f t="shared" si="113"/>
        <v>0</v>
      </c>
      <c r="AU333" s="41">
        <f t="shared" si="113"/>
        <v>0</v>
      </c>
      <c r="AV333" s="41">
        <f t="shared" si="113"/>
        <v>0</v>
      </c>
      <c r="AW333" s="41">
        <f t="shared" si="113"/>
        <v>0</v>
      </c>
    </row>
    <row r="334" spans="2:49">
      <c r="B334" s="15">
        <v>16</v>
      </c>
      <c r="C334" s="15" t="str">
        <f t="shared" si="105"/>
        <v>US$</v>
      </c>
      <c r="D334" s="41">
        <f ca="1"/>
        <v>0</v>
      </c>
      <c r="I334" s="41">
        <f t="shared" si="110"/>
        <v>0</v>
      </c>
      <c r="J334" s="41">
        <f t="shared" si="110"/>
        <v>0</v>
      </c>
      <c r="K334" s="41">
        <f t="shared" si="110"/>
        <v>0</v>
      </c>
      <c r="L334" s="41">
        <f t="shared" si="110"/>
        <v>0</v>
      </c>
      <c r="M334" s="41">
        <f t="shared" si="110"/>
        <v>0</v>
      </c>
      <c r="N334" s="41">
        <f t="shared" si="110"/>
        <v>0</v>
      </c>
      <c r="O334" s="41">
        <f t="shared" si="110"/>
        <v>0</v>
      </c>
      <c r="P334" s="41">
        <f t="shared" si="110"/>
        <v>0</v>
      </c>
      <c r="Q334" s="41">
        <f t="shared" si="110"/>
        <v>0</v>
      </c>
      <c r="R334" s="41">
        <f t="shared" si="110"/>
        <v>0</v>
      </c>
      <c r="S334" s="41">
        <f t="shared" si="111"/>
        <v>0</v>
      </c>
      <c r="T334" s="41">
        <f t="shared" si="111"/>
        <v>0</v>
      </c>
      <c r="U334" s="41">
        <f t="shared" si="111"/>
        <v>0</v>
      </c>
      <c r="V334" s="41">
        <f t="shared" ca="1" si="111"/>
        <v>0</v>
      </c>
      <c r="W334" s="41">
        <f t="shared" ca="1" si="111"/>
        <v>0</v>
      </c>
      <c r="X334" s="41">
        <f t="shared" ca="1" si="111"/>
        <v>0</v>
      </c>
      <c r="Y334" s="41">
        <f t="shared" si="111"/>
        <v>0</v>
      </c>
      <c r="Z334" s="41">
        <f t="shared" si="111"/>
        <v>0</v>
      </c>
      <c r="AA334" s="41">
        <f t="shared" si="111"/>
        <v>0</v>
      </c>
      <c r="AB334" s="41">
        <f t="shared" si="111"/>
        <v>0</v>
      </c>
      <c r="AC334" s="41">
        <f t="shared" si="112"/>
        <v>0</v>
      </c>
      <c r="AD334" s="41">
        <f t="shared" si="112"/>
        <v>0</v>
      </c>
      <c r="AE334" s="41">
        <f t="shared" si="112"/>
        <v>0</v>
      </c>
      <c r="AF334" s="41">
        <f t="shared" si="112"/>
        <v>0</v>
      </c>
      <c r="AG334" s="41">
        <f t="shared" si="112"/>
        <v>0</v>
      </c>
      <c r="AH334" s="41">
        <f t="shared" si="112"/>
        <v>0</v>
      </c>
      <c r="AI334" s="41">
        <f t="shared" si="112"/>
        <v>0</v>
      </c>
      <c r="AJ334" s="41">
        <f t="shared" si="112"/>
        <v>0</v>
      </c>
      <c r="AK334" s="41">
        <f t="shared" si="112"/>
        <v>0</v>
      </c>
      <c r="AL334" s="41">
        <f t="shared" si="112"/>
        <v>0</v>
      </c>
      <c r="AM334" s="41">
        <f t="shared" si="113"/>
        <v>0</v>
      </c>
      <c r="AN334" s="41">
        <f t="shared" si="113"/>
        <v>0</v>
      </c>
      <c r="AO334" s="41">
        <f t="shared" si="113"/>
        <v>0</v>
      </c>
      <c r="AP334" s="41">
        <f t="shared" si="113"/>
        <v>0</v>
      </c>
      <c r="AQ334" s="41">
        <f t="shared" si="113"/>
        <v>0</v>
      </c>
      <c r="AR334" s="41">
        <f t="shared" si="113"/>
        <v>0</v>
      </c>
      <c r="AS334" s="41">
        <f t="shared" si="113"/>
        <v>0</v>
      </c>
      <c r="AT334" s="41">
        <f t="shared" si="113"/>
        <v>0</v>
      </c>
      <c r="AU334" s="41">
        <f t="shared" si="113"/>
        <v>0</v>
      </c>
      <c r="AV334" s="41">
        <f t="shared" si="113"/>
        <v>0</v>
      </c>
      <c r="AW334" s="41">
        <f t="shared" si="113"/>
        <v>0</v>
      </c>
    </row>
    <row r="335" spans="2:49">
      <c r="B335" s="15">
        <v>17</v>
      </c>
      <c r="C335" s="15" t="str">
        <f t="shared" si="105"/>
        <v>US$</v>
      </c>
      <c r="D335" s="41">
        <f ca="1"/>
        <v>0</v>
      </c>
      <c r="I335" s="41">
        <f t="shared" si="110"/>
        <v>0</v>
      </c>
      <c r="J335" s="41">
        <f t="shared" si="110"/>
        <v>0</v>
      </c>
      <c r="K335" s="41">
        <f t="shared" si="110"/>
        <v>0</v>
      </c>
      <c r="L335" s="41">
        <f t="shared" si="110"/>
        <v>0</v>
      </c>
      <c r="M335" s="41">
        <f t="shared" si="110"/>
        <v>0</v>
      </c>
      <c r="N335" s="41">
        <f t="shared" si="110"/>
        <v>0</v>
      </c>
      <c r="O335" s="41">
        <f t="shared" si="110"/>
        <v>0</v>
      </c>
      <c r="P335" s="41">
        <f t="shared" si="110"/>
        <v>0</v>
      </c>
      <c r="Q335" s="41">
        <f t="shared" si="110"/>
        <v>0</v>
      </c>
      <c r="R335" s="41">
        <f t="shared" si="110"/>
        <v>0</v>
      </c>
      <c r="S335" s="41">
        <f t="shared" si="111"/>
        <v>0</v>
      </c>
      <c r="T335" s="41">
        <f t="shared" si="111"/>
        <v>0</v>
      </c>
      <c r="U335" s="41">
        <f t="shared" si="111"/>
        <v>0</v>
      </c>
      <c r="V335" s="41">
        <f t="shared" si="111"/>
        <v>0</v>
      </c>
      <c r="W335" s="41">
        <f t="shared" ca="1" si="111"/>
        <v>0</v>
      </c>
      <c r="X335" s="41">
        <f t="shared" ca="1" si="111"/>
        <v>0</v>
      </c>
      <c r="Y335" s="41">
        <f t="shared" ca="1" si="111"/>
        <v>0</v>
      </c>
      <c r="Z335" s="41">
        <f t="shared" si="111"/>
        <v>0</v>
      </c>
      <c r="AA335" s="41">
        <f t="shared" si="111"/>
        <v>0</v>
      </c>
      <c r="AB335" s="41">
        <f t="shared" si="111"/>
        <v>0</v>
      </c>
      <c r="AC335" s="41">
        <f t="shared" si="112"/>
        <v>0</v>
      </c>
      <c r="AD335" s="41">
        <f t="shared" si="112"/>
        <v>0</v>
      </c>
      <c r="AE335" s="41">
        <f t="shared" si="112"/>
        <v>0</v>
      </c>
      <c r="AF335" s="41">
        <f t="shared" si="112"/>
        <v>0</v>
      </c>
      <c r="AG335" s="41">
        <f t="shared" si="112"/>
        <v>0</v>
      </c>
      <c r="AH335" s="41">
        <f t="shared" si="112"/>
        <v>0</v>
      </c>
      <c r="AI335" s="41">
        <f t="shared" si="112"/>
        <v>0</v>
      </c>
      <c r="AJ335" s="41">
        <f t="shared" si="112"/>
        <v>0</v>
      </c>
      <c r="AK335" s="41">
        <f t="shared" si="112"/>
        <v>0</v>
      </c>
      <c r="AL335" s="41">
        <f t="shared" si="112"/>
        <v>0</v>
      </c>
      <c r="AM335" s="41">
        <f t="shared" si="113"/>
        <v>0</v>
      </c>
      <c r="AN335" s="41">
        <f t="shared" si="113"/>
        <v>0</v>
      </c>
      <c r="AO335" s="41">
        <f t="shared" si="113"/>
        <v>0</v>
      </c>
      <c r="AP335" s="41">
        <f t="shared" si="113"/>
        <v>0</v>
      </c>
      <c r="AQ335" s="41">
        <f t="shared" si="113"/>
        <v>0</v>
      </c>
      <c r="AR335" s="41">
        <f t="shared" si="113"/>
        <v>0</v>
      </c>
      <c r="AS335" s="41">
        <f t="shared" si="113"/>
        <v>0</v>
      </c>
      <c r="AT335" s="41">
        <f t="shared" si="113"/>
        <v>0</v>
      </c>
      <c r="AU335" s="41">
        <f t="shared" si="113"/>
        <v>0</v>
      </c>
      <c r="AV335" s="41">
        <f t="shared" si="113"/>
        <v>0</v>
      </c>
      <c r="AW335" s="41">
        <f t="shared" si="113"/>
        <v>0</v>
      </c>
    </row>
    <row r="336" spans="2:49">
      <c r="B336" s="15">
        <v>18</v>
      </c>
      <c r="C336" s="15" t="str">
        <f t="shared" si="105"/>
        <v>US$</v>
      </c>
      <c r="D336" s="41">
        <f ca="1"/>
        <v>0</v>
      </c>
      <c r="I336" s="41">
        <f t="shared" si="110"/>
        <v>0</v>
      </c>
      <c r="J336" s="41">
        <f t="shared" si="110"/>
        <v>0</v>
      </c>
      <c r="K336" s="41">
        <f t="shared" si="110"/>
        <v>0</v>
      </c>
      <c r="L336" s="41">
        <f t="shared" si="110"/>
        <v>0</v>
      </c>
      <c r="M336" s="41">
        <f t="shared" si="110"/>
        <v>0</v>
      </c>
      <c r="N336" s="41">
        <f t="shared" si="110"/>
        <v>0</v>
      </c>
      <c r="O336" s="41">
        <f t="shared" si="110"/>
        <v>0</v>
      </c>
      <c r="P336" s="41">
        <f t="shared" si="110"/>
        <v>0</v>
      </c>
      <c r="Q336" s="41">
        <f t="shared" si="110"/>
        <v>0</v>
      </c>
      <c r="R336" s="41">
        <f t="shared" si="110"/>
        <v>0</v>
      </c>
      <c r="S336" s="41">
        <f t="shared" si="111"/>
        <v>0</v>
      </c>
      <c r="T336" s="41">
        <f t="shared" si="111"/>
        <v>0</v>
      </c>
      <c r="U336" s="41">
        <f t="shared" si="111"/>
        <v>0</v>
      </c>
      <c r="V336" s="41">
        <f t="shared" si="111"/>
        <v>0</v>
      </c>
      <c r="W336" s="41">
        <f t="shared" si="111"/>
        <v>0</v>
      </c>
      <c r="X336" s="41">
        <f t="shared" ca="1" si="111"/>
        <v>0</v>
      </c>
      <c r="Y336" s="41">
        <f t="shared" ca="1" si="111"/>
        <v>0</v>
      </c>
      <c r="Z336" s="41">
        <f t="shared" ca="1" si="111"/>
        <v>0</v>
      </c>
      <c r="AA336" s="41">
        <f t="shared" si="111"/>
        <v>0</v>
      </c>
      <c r="AB336" s="41">
        <f t="shared" si="111"/>
        <v>0</v>
      </c>
      <c r="AC336" s="41">
        <f t="shared" si="112"/>
        <v>0</v>
      </c>
      <c r="AD336" s="41">
        <f t="shared" si="112"/>
        <v>0</v>
      </c>
      <c r="AE336" s="41">
        <f t="shared" si="112"/>
        <v>0</v>
      </c>
      <c r="AF336" s="41">
        <f t="shared" si="112"/>
        <v>0</v>
      </c>
      <c r="AG336" s="41">
        <f t="shared" si="112"/>
        <v>0</v>
      </c>
      <c r="AH336" s="41">
        <f t="shared" si="112"/>
        <v>0</v>
      </c>
      <c r="AI336" s="41">
        <f t="shared" si="112"/>
        <v>0</v>
      </c>
      <c r="AJ336" s="41">
        <f t="shared" si="112"/>
        <v>0</v>
      </c>
      <c r="AK336" s="41">
        <f t="shared" si="112"/>
        <v>0</v>
      </c>
      <c r="AL336" s="41">
        <f t="shared" si="112"/>
        <v>0</v>
      </c>
      <c r="AM336" s="41">
        <f t="shared" si="113"/>
        <v>0</v>
      </c>
      <c r="AN336" s="41">
        <f t="shared" si="113"/>
        <v>0</v>
      </c>
      <c r="AO336" s="41">
        <f t="shared" si="113"/>
        <v>0</v>
      </c>
      <c r="AP336" s="41">
        <f t="shared" si="113"/>
        <v>0</v>
      </c>
      <c r="AQ336" s="41">
        <f t="shared" si="113"/>
        <v>0</v>
      </c>
      <c r="AR336" s="41">
        <f t="shared" si="113"/>
        <v>0</v>
      </c>
      <c r="AS336" s="41">
        <f t="shared" si="113"/>
        <v>0</v>
      </c>
      <c r="AT336" s="41">
        <f t="shared" si="113"/>
        <v>0</v>
      </c>
      <c r="AU336" s="41">
        <f t="shared" si="113"/>
        <v>0</v>
      </c>
      <c r="AV336" s="41">
        <f t="shared" si="113"/>
        <v>0</v>
      </c>
      <c r="AW336" s="41">
        <f t="shared" si="113"/>
        <v>0</v>
      </c>
    </row>
    <row r="337" spans="2:49">
      <c r="B337" s="15">
        <v>19</v>
      </c>
      <c r="C337" s="15" t="str">
        <f t="shared" si="105"/>
        <v>US$</v>
      </c>
      <c r="D337" s="41">
        <f ca="1"/>
        <v>0</v>
      </c>
      <c r="I337" s="41">
        <f t="shared" si="110"/>
        <v>0</v>
      </c>
      <c r="J337" s="41">
        <f t="shared" si="110"/>
        <v>0</v>
      </c>
      <c r="K337" s="41">
        <f t="shared" si="110"/>
        <v>0</v>
      </c>
      <c r="L337" s="41">
        <f t="shared" si="110"/>
        <v>0</v>
      </c>
      <c r="M337" s="41">
        <f t="shared" si="110"/>
        <v>0</v>
      </c>
      <c r="N337" s="41">
        <f t="shared" si="110"/>
        <v>0</v>
      </c>
      <c r="O337" s="41">
        <f t="shared" si="110"/>
        <v>0</v>
      </c>
      <c r="P337" s="41">
        <f t="shared" si="110"/>
        <v>0</v>
      </c>
      <c r="Q337" s="41">
        <f t="shared" si="110"/>
        <v>0</v>
      </c>
      <c r="R337" s="41">
        <f t="shared" si="110"/>
        <v>0</v>
      </c>
      <c r="S337" s="41">
        <f t="shared" si="111"/>
        <v>0</v>
      </c>
      <c r="T337" s="41">
        <f t="shared" si="111"/>
        <v>0</v>
      </c>
      <c r="U337" s="41">
        <f t="shared" si="111"/>
        <v>0</v>
      </c>
      <c r="V337" s="41">
        <f t="shared" si="111"/>
        <v>0</v>
      </c>
      <c r="W337" s="41">
        <f t="shared" si="111"/>
        <v>0</v>
      </c>
      <c r="X337" s="41">
        <f t="shared" si="111"/>
        <v>0</v>
      </c>
      <c r="Y337" s="41">
        <f t="shared" ca="1" si="111"/>
        <v>0</v>
      </c>
      <c r="Z337" s="41">
        <f t="shared" ca="1" si="111"/>
        <v>0</v>
      </c>
      <c r="AA337" s="41">
        <f t="shared" ca="1" si="111"/>
        <v>0</v>
      </c>
      <c r="AB337" s="41">
        <f t="shared" si="111"/>
        <v>0</v>
      </c>
      <c r="AC337" s="41">
        <f t="shared" si="112"/>
        <v>0</v>
      </c>
      <c r="AD337" s="41">
        <f t="shared" si="112"/>
        <v>0</v>
      </c>
      <c r="AE337" s="41">
        <f t="shared" si="112"/>
        <v>0</v>
      </c>
      <c r="AF337" s="41">
        <f t="shared" si="112"/>
        <v>0</v>
      </c>
      <c r="AG337" s="41">
        <f t="shared" si="112"/>
        <v>0</v>
      </c>
      <c r="AH337" s="41">
        <f t="shared" si="112"/>
        <v>0</v>
      </c>
      <c r="AI337" s="41">
        <f t="shared" si="112"/>
        <v>0</v>
      </c>
      <c r="AJ337" s="41">
        <f t="shared" si="112"/>
        <v>0</v>
      </c>
      <c r="AK337" s="41">
        <f t="shared" si="112"/>
        <v>0</v>
      </c>
      <c r="AL337" s="41">
        <f t="shared" si="112"/>
        <v>0</v>
      </c>
      <c r="AM337" s="41">
        <f t="shared" si="113"/>
        <v>0</v>
      </c>
      <c r="AN337" s="41">
        <f t="shared" si="113"/>
        <v>0</v>
      </c>
      <c r="AO337" s="41">
        <f t="shared" si="113"/>
        <v>0</v>
      </c>
      <c r="AP337" s="41">
        <f t="shared" si="113"/>
        <v>0</v>
      </c>
      <c r="AQ337" s="41">
        <f t="shared" si="113"/>
        <v>0</v>
      </c>
      <c r="AR337" s="41">
        <f t="shared" si="113"/>
        <v>0</v>
      </c>
      <c r="AS337" s="41">
        <f t="shared" si="113"/>
        <v>0</v>
      </c>
      <c r="AT337" s="41">
        <f t="shared" si="113"/>
        <v>0</v>
      </c>
      <c r="AU337" s="41">
        <f t="shared" si="113"/>
        <v>0</v>
      </c>
      <c r="AV337" s="41">
        <f t="shared" si="113"/>
        <v>0</v>
      </c>
      <c r="AW337" s="41">
        <f t="shared" si="113"/>
        <v>0</v>
      </c>
    </row>
    <row r="338" spans="2:49">
      <c r="B338" s="15">
        <v>20</v>
      </c>
      <c r="C338" s="15" t="str">
        <f t="shared" si="105"/>
        <v>US$</v>
      </c>
      <c r="D338" s="41">
        <f ca="1"/>
        <v>0</v>
      </c>
      <c r="I338" s="41">
        <f t="shared" si="110"/>
        <v>0</v>
      </c>
      <c r="J338" s="41">
        <f t="shared" si="110"/>
        <v>0</v>
      </c>
      <c r="K338" s="41">
        <f t="shared" si="110"/>
        <v>0</v>
      </c>
      <c r="L338" s="41">
        <f t="shared" si="110"/>
        <v>0</v>
      </c>
      <c r="M338" s="41">
        <f t="shared" si="110"/>
        <v>0</v>
      </c>
      <c r="N338" s="41">
        <f t="shared" si="110"/>
        <v>0</v>
      </c>
      <c r="O338" s="41">
        <f t="shared" si="110"/>
        <v>0</v>
      </c>
      <c r="P338" s="41">
        <f t="shared" si="110"/>
        <v>0</v>
      </c>
      <c r="Q338" s="41">
        <f t="shared" si="110"/>
        <v>0</v>
      </c>
      <c r="R338" s="41">
        <f t="shared" si="110"/>
        <v>0</v>
      </c>
      <c r="S338" s="41">
        <f t="shared" si="111"/>
        <v>0</v>
      </c>
      <c r="T338" s="41">
        <f t="shared" si="111"/>
        <v>0</v>
      </c>
      <c r="U338" s="41">
        <f t="shared" si="111"/>
        <v>0</v>
      </c>
      <c r="V338" s="41">
        <f t="shared" si="111"/>
        <v>0</v>
      </c>
      <c r="W338" s="41">
        <f t="shared" si="111"/>
        <v>0</v>
      </c>
      <c r="X338" s="41">
        <f t="shared" si="111"/>
        <v>0</v>
      </c>
      <c r="Y338" s="41">
        <f t="shared" si="111"/>
        <v>0</v>
      </c>
      <c r="Z338" s="41">
        <f t="shared" ca="1" si="111"/>
        <v>0</v>
      </c>
      <c r="AA338" s="41">
        <f t="shared" ca="1" si="111"/>
        <v>0</v>
      </c>
      <c r="AB338" s="41">
        <f t="shared" ca="1" si="111"/>
        <v>0</v>
      </c>
      <c r="AC338" s="41">
        <f t="shared" si="112"/>
        <v>0</v>
      </c>
      <c r="AD338" s="41">
        <f t="shared" si="112"/>
        <v>0</v>
      </c>
      <c r="AE338" s="41">
        <f t="shared" si="112"/>
        <v>0</v>
      </c>
      <c r="AF338" s="41">
        <f t="shared" si="112"/>
        <v>0</v>
      </c>
      <c r="AG338" s="41">
        <f t="shared" si="112"/>
        <v>0</v>
      </c>
      <c r="AH338" s="41">
        <f t="shared" si="112"/>
        <v>0</v>
      </c>
      <c r="AI338" s="41">
        <f t="shared" si="112"/>
        <v>0</v>
      </c>
      <c r="AJ338" s="41">
        <f t="shared" si="112"/>
        <v>0</v>
      </c>
      <c r="AK338" s="41">
        <f t="shared" si="112"/>
        <v>0</v>
      </c>
      <c r="AL338" s="41">
        <f t="shared" si="112"/>
        <v>0</v>
      </c>
      <c r="AM338" s="41">
        <f t="shared" si="113"/>
        <v>0</v>
      </c>
      <c r="AN338" s="41">
        <f t="shared" si="113"/>
        <v>0</v>
      </c>
      <c r="AO338" s="41">
        <f t="shared" si="113"/>
        <v>0</v>
      </c>
      <c r="AP338" s="41">
        <f t="shared" si="113"/>
        <v>0</v>
      </c>
      <c r="AQ338" s="41">
        <f t="shared" si="113"/>
        <v>0</v>
      </c>
      <c r="AR338" s="41">
        <f t="shared" si="113"/>
        <v>0</v>
      </c>
      <c r="AS338" s="41">
        <f t="shared" si="113"/>
        <v>0</v>
      </c>
      <c r="AT338" s="41">
        <f t="shared" si="113"/>
        <v>0</v>
      </c>
      <c r="AU338" s="41">
        <f t="shared" si="113"/>
        <v>0</v>
      </c>
      <c r="AV338" s="41">
        <f t="shared" si="113"/>
        <v>0</v>
      </c>
      <c r="AW338" s="41">
        <f t="shared" si="113"/>
        <v>0</v>
      </c>
    </row>
    <row r="339" spans="2:49">
      <c r="B339" s="15">
        <v>21</v>
      </c>
      <c r="C339" s="15" t="str">
        <f t="shared" si="105"/>
        <v>US$</v>
      </c>
      <c r="D339" s="41">
        <f ca="1"/>
        <v>0</v>
      </c>
      <c r="I339" s="41">
        <f t="shared" ref="I339:R345" si="114">IF(AND(I$2&gt;=($B339-$D$286+1),I$2&lt;=$B339),$D339/$D$286,0)</f>
        <v>0</v>
      </c>
      <c r="J339" s="41">
        <f t="shared" si="114"/>
        <v>0</v>
      </c>
      <c r="K339" s="41">
        <f t="shared" si="114"/>
        <v>0</v>
      </c>
      <c r="L339" s="41">
        <f t="shared" si="114"/>
        <v>0</v>
      </c>
      <c r="M339" s="41">
        <f t="shared" si="114"/>
        <v>0</v>
      </c>
      <c r="N339" s="41">
        <f t="shared" si="114"/>
        <v>0</v>
      </c>
      <c r="O339" s="41">
        <f t="shared" si="114"/>
        <v>0</v>
      </c>
      <c r="P339" s="41">
        <f t="shared" si="114"/>
        <v>0</v>
      </c>
      <c r="Q339" s="41">
        <f t="shared" si="114"/>
        <v>0</v>
      </c>
      <c r="R339" s="41">
        <f t="shared" si="114"/>
        <v>0</v>
      </c>
      <c r="S339" s="41">
        <f t="shared" ref="S339:AB345" si="115">IF(AND(S$2&gt;=($B339-$D$286+1),S$2&lt;=$B339),$D339/$D$286,0)</f>
        <v>0</v>
      </c>
      <c r="T339" s="41">
        <f t="shared" si="115"/>
        <v>0</v>
      </c>
      <c r="U339" s="41">
        <f t="shared" si="115"/>
        <v>0</v>
      </c>
      <c r="V339" s="41">
        <f t="shared" si="115"/>
        <v>0</v>
      </c>
      <c r="W339" s="41">
        <f t="shared" si="115"/>
        <v>0</v>
      </c>
      <c r="X339" s="41">
        <f t="shared" si="115"/>
        <v>0</v>
      </c>
      <c r="Y339" s="41">
        <f t="shared" si="115"/>
        <v>0</v>
      </c>
      <c r="Z339" s="41">
        <f t="shared" si="115"/>
        <v>0</v>
      </c>
      <c r="AA339" s="41">
        <f t="shared" ca="1" si="115"/>
        <v>0</v>
      </c>
      <c r="AB339" s="41">
        <f t="shared" ca="1" si="115"/>
        <v>0</v>
      </c>
      <c r="AC339" s="41">
        <f t="shared" ref="AC339:AL345" ca="1" si="116">IF(AND(AC$2&gt;=($B339-$D$286+1),AC$2&lt;=$B339),$D339/$D$286,0)</f>
        <v>0</v>
      </c>
      <c r="AD339" s="41">
        <f t="shared" si="116"/>
        <v>0</v>
      </c>
      <c r="AE339" s="41">
        <f t="shared" si="116"/>
        <v>0</v>
      </c>
      <c r="AF339" s="41">
        <f t="shared" si="116"/>
        <v>0</v>
      </c>
      <c r="AG339" s="41">
        <f t="shared" si="116"/>
        <v>0</v>
      </c>
      <c r="AH339" s="41">
        <f t="shared" si="116"/>
        <v>0</v>
      </c>
      <c r="AI339" s="41">
        <f t="shared" si="116"/>
        <v>0</v>
      </c>
      <c r="AJ339" s="41">
        <f t="shared" si="116"/>
        <v>0</v>
      </c>
      <c r="AK339" s="41">
        <f t="shared" si="116"/>
        <v>0</v>
      </c>
      <c r="AL339" s="41">
        <f t="shared" si="116"/>
        <v>0</v>
      </c>
      <c r="AM339" s="41">
        <f t="shared" ref="AM339:AW345" si="117">IF(AND(AM$2&gt;=($B339-$D$286+1),AM$2&lt;=$B339),$D339/$D$286,0)</f>
        <v>0</v>
      </c>
      <c r="AN339" s="41">
        <f t="shared" si="117"/>
        <v>0</v>
      </c>
      <c r="AO339" s="41">
        <f t="shared" si="117"/>
        <v>0</v>
      </c>
      <c r="AP339" s="41">
        <f t="shared" si="117"/>
        <v>0</v>
      </c>
      <c r="AQ339" s="41">
        <f t="shared" si="117"/>
        <v>0</v>
      </c>
      <c r="AR339" s="41">
        <f t="shared" si="117"/>
        <v>0</v>
      </c>
      <c r="AS339" s="41">
        <f t="shared" si="117"/>
        <v>0</v>
      </c>
      <c r="AT339" s="41">
        <f t="shared" si="117"/>
        <v>0</v>
      </c>
      <c r="AU339" s="41">
        <f t="shared" si="117"/>
        <v>0</v>
      </c>
      <c r="AV339" s="41">
        <f t="shared" si="117"/>
        <v>0</v>
      </c>
      <c r="AW339" s="41">
        <f t="shared" si="117"/>
        <v>0</v>
      </c>
    </row>
    <row r="340" spans="2:49">
      <c r="B340" s="15">
        <v>22</v>
      </c>
      <c r="C340" s="15" t="str">
        <f t="shared" si="105"/>
        <v>US$</v>
      </c>
      <c r="D340" s="41">
        <f ca="1"/>
        <v>0</v>
      </c>
      <c r="I340" s="41">
        <f t="shared" si="114"/>
        <v>0</v>
      </c>
      <c r="J340" s="41">
        <f t="shared" si="114"/>
        <v>0</v>
      </c>
      <c r="K340" s="41">
        <f t="shared" si="114"/>
        <v>0</v>
      </c>
      <c r="L340" s="41">
        <f t="shared" si="114"/>
        <v>0</v>
      </c>
      <c r="M340" s="41">
        <f t="shared" si="114"/>
        <v>0</v>
      </c>
      <c r="N340" s="41">
        <f t="shared" si="114"/>
        <v>0</v>
      </c>
      <c r="O340" s="41">
        <f t="shared" si="114"/>
        <v>0</v>
      </c>
      <c r="P340" s="41">
        <f t="shared" si="114"/>
        <v>0</v>
      </c>
      <c r="Q340" s="41">
        <f t="shared" si="114"/>
        <v>0</v>
      </c>
      <c r="R340" s="41">
        <f t="shared" si="114"/>
        <v>0</v>
      </c>
      <c r="S340" s="41">
        <f t="shared" si="115"/>
        <v>0</v>
      </c>
      <c r="T340" s="41">
        <f t="shared" si="115"/>
        <v>0</v>
      </c>
      <c r="U340" s="41">
        <f t="shared" si="115"/>
        <v>0</v>
      </c>
      <c r="V340" s="41">
        <f t="shared" si="115"/>
        <v>0</v>
      </c>
      <c r="W340" s="41">
        <f t="shared" si="115"/>
        <v>0</v>
      </c>
      <c r="X340" s="41">
        <f t="shared" si="115"/>
        <v>0</v>
      </c>
      <c r="Y340" s="41">
        <f t="shared" si="115"/>
        <v>0</v>
      </c>
      <c r="Z340" s="41">
        <f t="shared" si="115"/>
        <v>0</v>
      </c>
      <c r="AA340" s="41">
        <f t="shared" si="115"/>
        <v>0</v>
      </c>
      <c r="AB340" s="41">
        <f t="shared" ca="1" si="115"/>
        <v>0</v>
      </c>
      <c r="AC340" s="41">
        <f t="shared" ca="1" si="116"/>
        <v>0</v>
      </c>
      <c r="AD340" s="41">
        <f t="shared" ca="1" si="116"/>
        <v>0</v>
      </c>
      <c r="AE340" s="41">
        <f t="shared" si="116"/>
        <v>0</v>
      </c>
      <c r="AF340" s="41">
        <f t="shared" si="116"/>
        <v>0</v>
      </c>
      <c r="AG340" s="41">
        <f t="shared" si="116"/>
        <v>0</v>
      </c>
      <c r="AH340" s="41">
        <f t="shared" si="116"/>
        <v>0</v>
      </c>
      <c r="AI340" s="41">
        <f t="shared" si="116"/>
        <v>0</v>
      </c>
      <c r="AJ340" s="41">
        <f t="shared" si="116"/>
        <v>0</v>
      </c>
      <c r="AK340" s="41">
        <f t="shared" si="116"/>
        <v>0</v>
      </c>
      <c r="AL340" s="41">
        <f t="shared" si="116"/>
        <v>0</v>
      </c>
      <c r="AM340" s="41">
        <f t="shared" si="117"/>
        <v>0</v>
      </c>
      <c r="AN340" s="41">
        <f t="shared" si="117"/>
        <v>0</v>
      </c>
      <c r="AO340" s="41">
        <f t="shared" si="117"/>
        <v>0</v>
      </c>
      <c r="AP340" s="41">
        <f t="shared" si="117"/>
        <v>0</v>
      </c>
      <c r="AQ340" s="41">
        <f t="shared" si="117"/>
        <v>0</v>
      </c>
      <c r="AR340" s="41">
        <f t="shared" si="117"/>
        <v>0</v>
      </c>
      <c r="AS340" s="41">
        <f t="shared" si="117"/>
        <v>0</v>
      </c>
      <c r="AT340" s="41">
        <f t="shared" si="117"/>
        <v>0</v>
      </c>
      <c r="AU340" s="41">
        <f t="shared" si="117"/>
        <v>0</v>
      </c>
      <c r="AV340" s="41">
        <f t="shared" si="117"/>
        <v>0</v>
      </c>
      <c r="AW340" s="41">
        <f t="shared" si="117"/>
        <v>0</v>
      </c>
    </row>
    <row r="341" spans="2:49">
      <c r="B341" s="15">
        <v>23</v>
      </c>
      <c r="C341" s="15" t="str">
        <f t="shared" si="105"/>
        <v>US$</v>
      </c>
      <c r="D341" s="41">
        <f ca="1"/>
        <v>0</v>
      </c>
      <c r="I341" s="41">
        <f t="shared" si="114"/>
        <v>0</v>
      </c>
      <c r="J341" s="41">
        <f t="shared" si="114"/>
        <v>0</v>
      </c>
      <c r="K341" s="41">
        <f t="shared" si="114"/>
        <v>0</v>
      </c>
      <c r="L341" s="41">
        <f t="shared" si="114"/>
        <v>0</v>
      </c>
      <c r="M341" s="41">
        <f t="shared" si="114"/>
        <v>0</v>
      </c>
      <c r="N341" s="41">
        <f t="shared" si="114"/>
        <v>0</v>
      </c>
      <c r="O341" s="41">
        <f t="shared" si="114"/>
        <v>0</v>
      </c>
      <c r="P341" s="41">
        <f t="shared" si="114"/>
        <v>0</v>
      </c>
      <c r="Q341" s="41">
        <f t="shared" si="114"/>
        <v>0</v>
      </c>
      <c r="R341" s="41">
        <f t="shared" si="114"/>
        <v>0</v>
      </c>
      <c r="S341" s="41">
        <f t="shared" si="115"/>
        <v>0</v>
      </c>
      <c r="T341" s="41">
        <f t="shared" si="115"/>
        <v>0</v>
      </c>
      <c r="U341" s="41">
        <f t="shared" si="115"/>
        <v>0</v>
      </c>
      <c r="V341" s="41">
        <f t="shared" si="115"/>
        <v>0</v>
      </c>
      <c r="W341" s="41">
        <f t="shared" si="115"/>
        <v>0</v>
      </c>
      <c r="X341" s="41">
        <f t="shared" si="115"/>
        <v>0</v>
      </c>
      <c r="Y341" s="41">
        <f t="shared" si="115"/>
        <v>0</v>
      </c>
      <c r="Z341" s="41">
        <f t="shared" si="115"/>
        <v>0</v>
      </c>
      <c r="AA341" s="41">
        <f t="shared" si="115"/>
        <v>0</v>
      </c>
      <c r="AB341" s="41">
        <f t="shared" si="115"/>
        <v>0</v>
      </c>
      <c r="AC341" s="41">
        <f t="shared" ca="1" si="116"/>
        <v>0</v>
      </c>
      <c r="AD341" s="41">
        <f t="shared" ca="1" si="116"/>
        <v>0</v>
      </c>
      <c r="AE341" s="41">
        <f t="shared" ca="1" si="116"/>
        <v>0</v>
      </c>
      <c r="AF341" s="41">
        <f t="shared" si="116"/>
        <v>0</v>
      </c>
      <c r="AG341" s="41">
        <f t="shared" si="116"/>
        <v>0</v>
      </c>
      <c r="AH341" s="41">
        <f t="shared" si="116"/>
        <v>0</v>
      </c>
      <c r="AI341" s="41">
        <f t="shared" si="116"/>
        <v>0</v>
      </c>
      <c r="AJ341" s="41">
        <f t="shared" si="116"/>
        <v>0</v>
      </c>
      <c r="AK341" s="41">
        <f t="shared" si="116"/>
        <v>0</v>
      </c>
      <c r="AL341" s="41">
        <f t="shared" si="116"/>
        <v>0</v>
      </c>
      <c r="AM341" s="41">
        <f t="shared" si="117"/>
        <v>0</v>
      </c>
      <c r="AN341" s="41">
        <f t="shared" si="117"/>
        <v>0</v>
      </c>
      <c r="AO341" s="41">
        <f t="shared" si="117"/>
        <v>0</v>
      </c>
      <c r="AP341" s="41">
        <f t="shared" si="117"/>
        <v>0</v>
      </c>
      <c r="AQ341" s="41">
        <f t="shared" si="117"/>
        <v>0</v>
      </c>
      <c r="AR341" s="41">
        <f t="shared" si="117"/>
        <v>0</v>
      </c>
      <c r="AS341" s="41">
        <f t="shared" si="117"/>
        <v>0</v>
      </c>
      <c r="AT341" s="41">
        <f t="shared" si="117"/>
        <v>0</v>
      </c>
      <c r="AU341" s="41">
        <f t="shared" si="117"/>
        <v>0</v>
      </c>
      <c r="AV341" s="41">
        <f t="shared" si="117"/>
        <v>0</v>
      </c>
      <c r="AW341" s="41">
        <f t="shared" si="117"/>
        <v>0</v>
      </c>
    </row>
    <row r="342" spans="2:49">
      <c r="B342" s="15">
        <v>24</v>
      </c>
      <c r="C342" s="15" t="str">
        <f t="shared" si="105"/>
        <v>US$</v>
      </c>
      <c r="D342" s="41">
        <f ca="1"/>
        <v>0</v>
      </c>
      <c r="I342" s="41">
        <f t="shared" si="114"/>
        <v>0</v>
      </c>
      <c r="J342" s="41">
        <f t="shared" si="114"/>
        <v>0</v>
      </c>
      <c r="K342" s="41">
        <f t="shared" si="114"/>
        <v>0</v>
      </c>
      <c r="L342" s="41">
        <f t="shared" si="114"/>
        <v>0</v>
      </c>
      <c r="M342" s="41">
        <f t="shared" si="114"/>
        <v>0</v>
      </c>
      <c r="N342" s="41">
        <f t="shared" si="114"/>
        <v>0</v>
      </c>
      <c r="O342" s="41">
        <f t="shared" si="114"/>
        <v>0</v>
      </c>
      <c r="P342" s="41">
        <f t="shared" si="114"/>
        <v>0</v>
      </c>
      <c r="Q342" s="41">
        <f t="shared" si="114"/>
        <v>0</v>
      </c>
      <c r="R342" s="41">
        <f t="shared" si="114"/>
        <v>0</v>
      </c>
      <c r="S342" s="41">
        <f t="shared" si="115"/>
        <v>0</v>
      </c>
      <c r="T342" s="41">
        <f t="shared" si="115"/>
        <v>0</v>
      </c>
      <c r="U342" s="41">
        <f t="shared" si="115"/>
        <v>0</v>
      </c>
      <c r="V342" s="41">
        <f t="shared" si="115"/>
        <v>0</v>
      </c>
      <c r="W342" s="41">
        <f t="shared" si="115"/>
        <v>0</v>
      </c>
      <c r="X342" s="41">
        <f t="shared" si="115"/>
        <v>0</v>
      </c>
      <c r="Y342" s="41">
        <f t="shared" si="115"/>
        <v>0</v>
      </c>
      <c r="Z342" s="41">
        <f t="shared" si="115"/>
        <v>0</v>
      </c>
      <c r="AA342" s="41">
        <f t="shared" si="115"/>
        <v>0</v>
      </c>
      <c r="AB342" s="41">
        <f t="shared" si="115"/>
        <v>0</v>
      </c>
      <c r="AC342" s="41">
        <f t="shared" si="116"/>
        <v>0</v>
      </c>
      <c r="AD342" s="41">
        <f t="shared" ca="1" si="116"/>
        <v>0</v>
      </c>
      <c r="AE342" s="41">
        <f t="shared" ca="1" si="116"/>
        <v>0</v>
      </c>
      <c r="AF342" s="41">
        <f t="shared" ca="1" si="116"/>
        <v>0</v>
      </c>
      <c r="AG342" s="41">
        <f t="shared" si="116"/>
        <v>0</v>
      </c>
      <c r="AH342" s="41">
        <f t="shared" si="116"/>
        <v>0</v>
      </c>
      <c r="AI342" s="41">
        <f t="shared" si="116"/>
        <v>0</v>
      </c>
      <c r="AJ342" s="41">
        <f t="shared" si="116"/>
        <v>0</v>
      </c>
      <c r="AK342" s="41">
        <f t="shared" si="116"/>
        <v>0</v>
      </c>
      <c r="AL342" s="41">
        <f t="shared" si="116"/>
        <v>0</v>
      </c>
      <c r="AM342" s="41">
        <f t="shared" si="117"/>
        <v>0</v>
      </c>
      <c r="AN342" s="41">
        <f t="shared" si="117"/>
        <v>0</v>
      </c>
      <c r="AO342" s="41">
        <f t="shared" si="117"/>
        <v>0</v>
      </c>
      <c r="AP342" s="41">
        <f t="shared" si="117"/>
        <v>0</v>
      </c>
      <c r="AQ342" s="41">
        <f t="shared" si="117"/>
        <v>0</v>
      </c>
      <c r="AR342" s="41">
        <f t="shared" si="117"/>
        <v>0</v>
      </c>
      <c r="AS342" s="41">
        <f t="shared" si="117"/>
        <v>0</v>
      </c>
      <c r="AT342" s="41">
        <f t="shared" si="117"/>
        <v>0</v>
      </c>
      <c r="AU342" s="41">
        <f t="shared" si="117"/>
        <v>0</v>
      </c>
      <c r="AV342" s="41">
        <f t="shared" si="117"/>
        <v>0</v>
      </c>
      <c r="AW342" s="41">
        <f t="shared" si="117"/>
        <v>0</v>
      </c>
    </row>
    <row r="343" spans="2:49">
      <c r="B343" s="15">
        <v>25</v>
      </c>
      <c r="C343" s="15" t="str">
        <f t="shared" si="105"/>
        <v>US$</v>
      </c>
      <c r="D343" s="41">
        <f ca="1"/>
        <v>0</v>
      </c>
      <c r="I343" s="41">
        <f t="shared" si="114"/>
        <v>0</v>
      </c>
      <c r="J343" s="41">
        <f t="shared" si="114"/>
        <v>0</v>
      </c>
      <c r="K343" s="41">
        <f t="shared" si="114"/>
        <v>0</v>
      </c>
      <c r="L343" s="41">
        <f t="shared" si="114"/>
        <v>0</v>
      </c>
      <c r="M343" s="41">
        <f t="shared" si="114"/>
        <v>0</v>
      </c>
      <c r="N343" s="41">
        <f t="shared" si="114"/>
        <v>0</v>
      </c>
      <c r="O343" s="41">
        <f t="shared" si="114"/>
        <v>0</v>
      </c>
      <c r="P343" s="41">
        <f t="shared" si="114"/>
        <v>0</v>
      </c>
      <c r="Q343" s="41">
        <f t="shared" si="114"/>
        <v>0</v>
      </c>
      <c r="R343" s="41">
        <f t="shared" si="114"/>
        <v>0</v>
      </c>
      <c r="S343" s="41">
        <f t="shared" si="115"/>
        <v>0</v>
      </c>
      <c r="T343" s="41">
        <f t="shared" si="115"/>
        <v>0</v>
      </c>
      <c r="U343" s="41">
        <f t="shared" si="115"/>
        <v>0</v>
      </c>
      <c r="V343" s="41">
        <f t="shared" si="115"/>
        <v>0</v>
      </c>
      <c r="W343" s="41">
        <f t="shared" si="115"/>
        <v>0</v>
      </c>
      <c r="X343" s="41">
        <f t="shared" si="115"/>
        <v>0</v>
      </c>
      <c r="Y343" s="41">
        <f t="shared" si="115"/>
        <v>0</v>
      </c>
      <c r="Z343" s="41">
        <f t="shared" si="115"/>
        <v>0</v>
      </c>
      <c r="AA343" s="41">
        <f t="shared" si="115"/>
        <v>0</v>
      </c>
      <c r="AB343" s="41">
        <f t="shared" si="115"/>
        <v>0</v>
      </c>
      <c r="AC343" s="41">
        <f t="shared" si="116"/>
        <v>0</v>
      </c>
      <c r="AD343" s="41">
        <f t="shared" si="116"/>
        <v>0</v>
      </c>
      <c r="AE343" s="41">
        <f t="shared" ca="1" si="116"/>
        <v>0</v>
      </c>
      <c r="AF343" s="41">
        <f t="shared" ca="1" si="116"/>
        <v>0</v>
      </c>
      <c r="AG343" s="41">
        <f t="shared" ca="1" si="116"/>
        <v>0</v>
      </c>
      <c r="AH343" s="41">
        <f t="shared" si="116"/>
        <v>0</v>
      </c>
      <c r="AI343" s="41">
        <f t="shared" si="116"/>
        <v>0</v>
      </c>
      <c r="AJ343" s="41">
        <f t="shared" si="116"/>
        <v>0</v>
      </c>
      <c r="AK343" s="41">
        <f t="shared" si="116"/>
        <v>0</v>
      </c>
      <c r="AL343" s="41">
        <f t="shared" si="116"/>
        <v>0</v>
      </c>
      <c r="AM343" s="41">
        <f t="shared" si="117"/>
        <v>0</v>
      </c>
      <c r="AN343" s="41">
        <f t="shared" si="117"/>
        <v>0</v>
      </c>
      <c r="AO343" s="41">
        <f t="shared" si="117"/>
        <v>0</v>
      </c>
      <c r="AP343" s="41">
        <f t="shared" si="117"/>
        <v>0</v>
      </c>
      <c r="AQ343" s="41">
        <f t="shared" si="117"/>
        <v>0</v>
      </c>
      <c r="AR343" s="41">
        <f t="shared" si="117"/>
        <v>0</v>
      </c>
      <c r="AS343" s="41">
        <f t="shared" si="117"/>
        <v>0</v>
      </c>
      <c r="AT343" s="41">
        <f t="shared" si="117"/>
        <v>0</v>
      </c>
      <c r="AU343" s="41">
        <f t="shared" si="117"/>
        <v>0</v>
      </c>
      <c r="AV343" s="41">
        <f t="shared" si="117"/>
        <v>0</v>
      </c>
      <c r="AW343" s="41">
        <f t="shared" si="117"/>
        <v>0</v>
      </c>
    </row>
    <row r="344" spans="2:49">
      <c r="B344" s="15">
        <v>26</v>
      </c>
      <c r="C344" s="15" t="str">
        <f t="shared" si="105"/>
        <v>US$</v>
      </c>
      <c r="D344" s="41">
        <f ca="1"/>
        <v>0</v>
      </c>
      <c r="I344" s="41">
        <f t="shared" si="114"/>
        <v>0</v>
      </c>
      <c r="J344" s="41">
        <f t="shared" si="114"/>
        <v>0</v>
      </c>
      <c r="K344" s="41">
        <f t="shared" si="114"/>
        <v>0</v>
      </c>
      <c r="L344" s="41">
        <f t="shared" si="114"/>
        <v>0</v>
      </c>
      <c r="M344" s="41">
        <f t="shared" si="114"/>
        <v>0</v>
      </c>
      <c r="N344" s="41">
        <f t="shared" si="114"/>
        <v>0</v>
      </c>
      <c r="O344" s="41">
        <f t="shared" si="114"/>
        <v>0</v>
      </c>
      <c r="P344" s="41">
        <f t="shared" si="114"/>
        <v>0</v>
      </c>
      <c r="Q344" s="41">
        <f t="shared" si="114"/>
        <v>0</v>
      </c>
      <c r="R344" s="41">
        <f t="shared" si="114"/>
        <v>0</v>
      </c>
      <c r="S344" s="41">
        <f t="shared" si="115"/>
        <v>0</v>
      </c>
      <c r="T344" s="41">
        <f t="shared" si="115"/>
        <v>0</v>
      </c>
      <c r="U344" s="41">
        <f t="shared" si="115"/>
        <v>0</v>
      </c>
      <c r="V344" s="41">
        <f t="shared" si="115"/>
        <v>0</v>
      </c>
      <c r="W344" s="41">
        <f t="shared" si="115"/>
        <v>0</v>
      </c>
      <c r="X344" s="41">
        <f t="shared" si="115"/>
        <v>0</v>
      </c>
      <c r="Y344" s="41">
        <f t="shared" si="115"/>
        <v>0</v>
      </c>
      <c r="Z344" s="41">
        <f t="shared" si="115"/>
        <v>0</v>
      </c>
      <c r="AA344" s="41">
        <f t="shared" si="115"/>
        <v>0</v>
      </c>
      <c r="AB344" s="41">
        <f t="shared" si="115"/>
        <v>0</v>
      </c>
      <c r="AC344" s="41">
        <f t="shared" si="116"/>
        <v>0</v>
      </c>
      <c r="AD344" s="41">
        <f t="shared" si="116"/>
        <v>0</v>
      </c>
      <c r="AE344" s="41">
        <f t="shared" si="116"/>
        <v>0</v>
      </c>
      <c r="AF344" s="41">
        <f t="shared" ca="1" si="116"/>
        <v>0</v>
      </c>
      <c r="AG344" s="41">
        <f t="shared" ca="1" si="116"/>
        <v>0</v>
      </c>
      <c r="AH344" s="41">
        <f t="shared" ca="1" si="116"/>
        <v>0</v>
      </c>
      <c r="AI344" s="41">
        <f t="shared" si="116"/>
        <v>0</v>
      </c>
      <c r="AJ344" s="41">
        <f t="shared" si="116"/>
        <v>0</v>
      </c>
      <c r="AK344" s="41">
        <f t="shared" si="116"/>
        <v>0</v>
      </c>
      <c r="AL344" s="41">
        <f t="shared" si="116"/>
        <v>0</v>
      </c>
      <c r="AM344" s="41">
        <f t="shared" si="117"/>
        <v>0</v>
      </c>
      <c r="AN344" s="41">
        <f t="shared" si="117"/>
        <v>0</v>
      </c>
      <c r="AO344" s="41">
        <f t="shared" si="117"/>
        <v>0</v>
      </c>
      <c r="AP344" s="41">
        <f t="shared" si="117"/>
        <v>0</v>
      </c>
      <c r="AQ344" s="41">
        <f t="shared" si="117"/>
        <v>0</v>
      </c>
      <c r="AR344" s="41">
        <f t="shared" si="117"/>
        <v>0</v>
      </c>
      <c r="AS344" s="41">
        <f t="shared" si="117"/>
        <v>0</v>
      </c>
      <c r="AT344" s="41">
        <f t="shared" si="117"/>
        <v>0</v>
      </c>
      <c r="AU344" s="41">
        <f t="shared" si="117"/>
        <v>0</v>
      </c>
      <c r="AV344" s="41">
        <f t="shared" si="117"/>
        <v>0</v>
      </c>
      <c r="AW344" s="41">
        <f t="shared" si="117"/>
        <v>0</v>
      </c>
    </row>
    <row r="345" spans="2:49">
      <c r="B345" s="28">
        <v>27</v>
      </c>
      <c r="C345" s="28" t="str">
        <f t="shared" si="105"/>
        <v>US$</v>
      </c>
      <c r="D345" s="43">
        <f ca="1"/>
        <v>0</v>
      </c>
      <c r="E345" s="27"/>
      <c r="F345" s="27"/>
      <c r="G345" s="27"/>
      <c r="H345" s="27"/>
      <c r="I345" s="43">
        <f t="shared" si="114"/>
        <v>0</v>
      </c>
      <c r="J345" s="43">
        <f t="shared" si="114"/>
        <v>0</v>
      </c>
      <c r="K345" s="43">
        <f t="shared" si="114"/>
        <v>0</v>
      </c>
      <c r="L345" s="43">
        <f t="shared" si="114"/>
        <v>0</v>
      </c>
      <c r="M345" s="43">
        <f t="shared" si="114"/>
        <v>0</v>
      </c>
      <c r="N345" s="43">
        <f t="shared" si="114"/>
        <v>0</v>
      </c>
      <c r="O345" s="43">
        <f t="shared" si="114"/>
        <v>0</v>
      </c>
      <c r="P345" s="43">
        <f t="shared" si="114"/>
        <v>0</v>
      </c>
      <c r="Q345" s="43">
        <f t="shared" si="114"/>
        <v>0</v>
      </c>
      <c r="R345" s="43">
        <f t="shared" si="114"/>
        <v>0</v>
      </c>
      <c r="S345" s="43">
        <f t="shared" si="115"/>
        <v>0</v>
      </c>
      <c r="T345" s="43">
        <f t="shared" si="115"/>
        <v>0</v>
      </c>
      <c r="U345" s="43">
        <f t="shared" si="115"/>
        <v>0</v>
      </c>
      <c r="V345" s="43">
        <f t="shared" si="115"/>
        <v>0</v>
      </c>
      <c r="W345" s="43">
        <f t="shared" si="115"/>
        <v>0</v>
      </c>
      <c r="X345" s="43">
        <f t="shared" si="115"/>
        <v>0</v>
      </c>
      <c r="Y345" s="43">
        <f t="shared" si="115"/>
        <v>0</v>
      </c>
      <c r="Z345" s="43">
        <f t="shared" si="115"/>
        <v>0</v>
      </c>
      <c r="AA345" s="43">
        <f t="shared" si="115"/>
        <v>0</v>
      </c>
      <c r="AB345" s="43">
        <f t="shared" si="115"/>
        <v>0</v>
      </c>
      <c r="AC345" s="43">
        <f t="shared" si="116"/>
        <v>0</v>
      </c>
      <c r="AD345" s="43">
        <f t="shared" si="116"/>
        <v>0</v>
      </c>
      <c r="AE345" s="43">
        <f t="shared" si="116"/>
        <v>0</v>
      </c>
      <c r="AF345" s="43">
        <f t="shared" si="116"/>
        <v>0</v>
      </c>
      <c r="AG345" s="43">
        <f t="shared" ca="1" si="116"/>
        <v>0</v>
      </c>
      <c r="AH345" s="43">
        <f t="shared" ca="1" si="116"/>
        <v>0</v>
      </c>
      <c r="AI345" s="43">
        <f t="shared" ca="1" si="116"/>
        <v>0</v>
      </c>
      <c r="AJ345" s="43">
        <f t="shared" si="116"/>
        <v>0</v>
      </c>
      <c r="AK345" s="43">
        <f t="shared" si="116"/>
        <v>0</v>
      </c>
      <c r="AL345" s="43">
        <f t="shared" si="116"/>
        <v>0</v>
      </c>
      <c r="AM345" s="43">
        <f t="shared" si="117"/>
        <v>0</v>
      </c>
      <c r="AN345" s="43">
        <f t="shared" si="117"/>
        <v>0</v>
      </c>
      <c r="AO345" s="43">
        <f t="shared" si="117"/>
        <v>0</v>
      </c>
      <c r="AP345" s="43">
        <f t="shared" si="117"/>
        <v>0</v>
      </c>
      <c r="AQ345" s="43">
        <f t="shared" si="117"/>
        <v>0</v>
      </c>
      <c r="AR345" s="43">
        <f t="shared" si="117"/>
        <v>0</v>
      </c>
      <c r="AS345" s="43">
        <f t="shared" si="117"/>
        <v>0</v>
      </c>
      <c r="AT345" s="43">
        <f t="shared" si="117"/>
        <v>0</v>
      </c>
      <c r="AU345" s="43">
        <f t="shared" si="117"/>
        <v>0</v>
      </c>
      <c r="AV345" s="43">
        <f t="shared" si="117"/>
        <v>0</v>
      </c>
      <c r="AW345" s="43">
        <f t="shared" si="117"/>
        <v>0</v>
      </c>
    </row>
    <row r="346" spans="2:49">
      <c r="D346" s="42">
        <f ca="1">SUM(D319:D345)</f>
        <v>0</v>
      </c>
      <c r="I346" s="42">
        <f t="shared" ref="I346:AW346" si="118">SUM(I319:I345)</f>
        <v>0</v>
      </c>
      <c r="J346" s="42">
        <f t="shared" ca="1" si="118"/>
        <v>0</v>
      </c>
      <c r="K346" s="42">
        <f t="shared" ca="1" si="118"/>
        <v>0</v>
      </c>
      <c r="L346" s="42">
        <f t="shared" ca="1" si="118"/>
        <v>0</v>
      </c>
      <c r="M346" s="42">
        <f t="shared" ca="1" si="118"/>
        <v>0</v>
      </c>
      <c r="N346" s="42">
        <f t="shared" ca="1" si="118"/>
        <v>0</v>
      </c>
      <c r="O346" s="42">
        <f t="shared" ca="1" si="118"/>
        <v>0</v>
      </c>
      <c r="P346" s="42">
        <f t="shared" ca="1" si="118"/>
        <v>0</v>
      </c>
      <c r="Q346" s="42">
        <f t="shared" ca="1" si="118"/>
        <v>0</v>
      </c>
      <c r="R346" s="42">
        <f t="shared" ca="1" si="118"/>
        <v>0</v>
      </c>
      <c r="S346" s="42">
        <f t="shared" ca="1" si="118"/>
        <v>0</v>
      </c>
      <c r="T346" s="42">
        <f t="shared" ca="1" si="118"/>
        <v>0</v>
      </c>
      <c r="U346" s="42">
        <f t="shared" ca="1" si="118"/>
        <v>0</v>
      </c>
      <c r="V346" s="42">
        <f t="shared" ca="1" si="118"/>
        <v>0</v>
      </c>
      <c r="W346" s="42">
        <f t="shared" ca="1" si="118"/>
        <v>0</v>
      </c>
      <c r="X346" s="42">
        <f t="shared" ca="1" si="118"/>
        <v>0</v>
      </c>
      <c r="Y346" s="42">
        <f t="shared" ca="1" si="118"/>
        <v>0</v>
      </c>
      <c r="Z346" s="42">
        <f t="shared" ca="1" si="118"/>
        <v>0</v>
      </c>
      <c r="AA346" s="42">
        <f t="shared" ca="1" si="118"/>
        <v>0</v>
      </c>
      <c r="AB346" s="42">
        <f t="shared" ca="1" si="118"/>
        <v>0</v>
      </c>
      <c r="AC346" s="42">
        <f t="shared" ca="1" si="118"/>
        <v>0</v>
      </c>
      <c r="AD346" s="42">
        <f t="shared" ca="1" si="118"/>
        <v>0</v>
      </c>
      <c r="AE346" s="42">
        <f t="shared" ca="1" si="118"/>
        <v>0</v>
      </c>
      <c r="AF346" s="42">
        <f t="shared" ca="1" si="118"/>
        <v>0</v>
      </c>
      <c r="AG346" s="42">
        <f t="shared" ca="1" si="118"/>
        <v>0</v>
      </c>
      <c r="AH346" s="42">
        <f t="shared" ca="1" si="118"/>
        <v>0</v>
      </c>
      <c r="AI346" s="42">
        <f t="shared" ca="1" si="118"/>
        <v>0</v>
      </c>
      <c r="AJ346" s="42">
        <f t="shared" si="118"/>
        <v>0</v>
      </c>
      <c r="AK346" s="42">
        <f t="shared" si="118"/>
        <v>0</v>
      </c>
      <c r="AL346" s="42">
        <f t="shared" si="118"/>
        <v>0</v>
      </c>
      <c r="AM346" s="42">
        <f t="shared" si="118"/>
        <v>0</v>
      </c>
      <c r="AN346" s="42">
        <f t="shared" si="118"/>
        <v>0</v>
      </c>
      <c r="AO346" s="42">
        <f t="shared" si="118"/>
        <v>0</v>
      </c>
      <c r="AP346" s="42">
        <f t="shared" si="118"/>
        <v>0</v>
      </c>
      <c r="AQ346" s="42">
        <f t="shared" si="118"/>
        <v>0</v>
      </c>
      <c r="AR346" s="42">
        <f t="shared" si="118"/>
        <v>0</v>
      </c>
      <c r="AS346" s="42">
        <f t="shared" si="118"/>
        <v>0</v>
      </c>
      <c r="AT346" s="42">
        <f t="shared" si="118"/>
        <v>0</v>
      </c>
      <c r="AU346" s="42">
        <f t="shared" si="118"/>
        <v>0</v>
      </c>
      <c r="AV346" s="42">
        <f t="shared" si="118"/>
        <v>0</v>
      </c>
      <c r="AW346" s="42">
        <f t="shared" si="118"/>
        <v>0</v>
      </c>
    </row>
    <row r="348" spans="2:49">
      <c r="B348" s="29" t="s">
        <v>365</v>
      </c>
    </row>
    <row r="349" spans="2:49">
      <c r="B349" s="2" t="s">
        <v>366</v>
      </c>
      <c r="I349" s="41">
        <f>H352</f>
        <v>0</v>
      </c>
      <c r="J349" s="41">
        <f t="shared" ref="J349:AI349" si="119">I352</f>
        <v>0</v>
      </c>
      <c r="K349" s="41">
        <f t="shared" ca="1" si="119"/>
        <v>0</v>
      </c>
      <c r="L349" s="41">
        <f t="shared" ca="1" si="119"/>
        <v>0</v>
      </c>
      <c r="M349" s="41">
        <f t="shared" ca="1" si="119"/>
        <v>0</v>
      </c>
      <c r="N349" s="41">
        <f t="shared" ca="1" si="119"/>
        <v>0</v>
      </c>
      <c r="O349" s="41">
        <f t="shared" ca="1" si="119"/>
        <v>0</v>
      </c>
      <c r="P349" s="41">
        <f t="shared" ca="1" si="119"/>
        <v>0</v>
      </c>
      <c r="Q349" s="41">
        <f t="shared" ca="1" si="119"/>
        <v>0</v>
      </c>
      <c r="R349" s="41">
        <f t="shared" ca="1" si="119"/>
        <v>0</v>
      </c>
      <c r="S349" s="41">
        <f t="shared" ca="1" si="119"/>
        <v>0</v>
      </c>
      <c r="T349" s="41">
        <f t="shared" ca="1" si="119"/>
        <v>0</v>
      </c>
      <c r="U349" s="41">
        <f t="shared" ca="1" si="119"/>
        <v>0</v>
      </c>
      <c r="V349" s="41">
        <f t="shared" ca="1" si="119"/>
        <v>0</v>
      </c>
      <c r="W349" s="41">
        <f t="shared" ca="1" si="119"/>
        <v>0</v>
      </c>
      <c r="X349" s="41">
        <f t="shared" ca="1" si="119"/>
        <v>0</v>
      </c>
      <c r="Y349" s="41">
        <f t="shared" ca="1" si="119"/>
        <v>0</v>
      </c>
      <c r="Z349" s="41">
        <f t="shared" ca="1" si="119"/>
        <v>0</v>
      </c>
      <c r="AA349" s="41">
        <f t="shared" ca="1" si="119"/>
        <v>0</v>
      </c>
      <c r="AB349" s="41">
        <f t="shared" ca="1" si="119"/>
        <v>0</v>
      </c>
      <c r="AC349" s="41">
        <f t="shared" ca="1" si="119"/>
        <v>0</v>
      </c>
      <c r="AD349" s="41">
        <f t="shared" ca="1" si="119"/>
        <v>0</v>
      </c>
      <c r="AE349" s="41">
        <f t="shared" ca="1" si="119"/>
        <v>0</v>
      </c>
      <c r="AF349" s="41">
        <f t="shared" ca="1" si="119"/>
        <v>0</v>
      </c>
      <c r="AG349" s="41">
        <f t="shared" ca="1" si="119"/>
        <v>0</v>
      </c>
      <c r="AH349" s="41">
        <f t="shared" ca="1" si="119"/>
        <v>0</v>
      </c>
      <c r="AI349" s="41">
        <f t="shared" ca="1" si="119"/>
        <v>0</v>
      </c>
      <c r="AJ349" s="41">
        <f t="shared" ref="AJ349:AW349" ca="1" si="120">AI352</f>
        <v>0</v>
      </c>
      <c r="AK349" s="41">
        <f t="shared" ca="1" si="120"/>
        <v>0</v>
      </c>
      <c r="AL349" s="41">
        <f t="shared" ca="1" si="120"/>
        <v>0</v>
      </c>
      <c r="AM349" s="41">
        <f t="shared" ca="1" si="120"/>
        <v>0</v>
      </c>
      <c r="AN349" s="41">
        <f t="shared" ca="1" si="120"/>
        <v>0</v>
      </c>
      <c r="AO349" s="41">
        <f t="shared" ca="1" si="120"/>
        <v>0</v>
      </c>
      <c r="AP349" s="41">
        <f t="shared" ca="1" si="120"/>
        <v>0</v>
      </c>
      <c r="AQ349" s="41">
        <f t="shared" ca="1" si="120"/>
        <v>0</v>
      </c>
      <c r="AR349" s="41">
        <f t="shared" ca="1" si="120"/>
        <v>0</v>
      </c>
      <c r="AS349" s="41">
        <f t="shared" ca="1" si="120"/>
        <v>0</v>
      </c>
      <c r="AT349" s="41">
        <f t="shared" ca="1" si="120"/>
        <v>0</v>
      </c>
      <c r="AU349" s="41">
        <f t="shared" ca="1" si="120"/>
        <v>0</v>
      </c>
      <c r="AV349" s="41">
        <f t="shared" ca="1" si="120"/>
        <v>0</v>
      </c>
      <c r="AW349" s="41">
        <f t="shared" ca="1" si="120"/>
        <v>0</v>
      </c>
    </row>
    <row r="350" spans="2:49">
      <c r="B350" s="2" t="s">
        <v>367</v>
      </c>
      <c r="D350" s="41">
        <f ca="1">SUM(I350:AI350)</f>
        <v>0</v>
      </c>
      <c r="I350" s="42">
        <f>I346</f>
        <v>0</v>
      </c>
      <c r="J350" s="42">
        <f t="shared" ref="J350:AI350" ca="1" si="121">J346</f>
        <v>0</v>
      </c>
      <c r="K350" s="42">
        <f t="shared" ca="1" si="121"/>
        <v>0</v>
      </c>
      <c r="L350" s="42">
        <f t="shared" ca="1" si="121"/>
        <v>0</v>
      </c>
      <c r="M350" s="42">
        <f t="shared" ca="1" si="121"/>
        <v>0</v>
      </c>
      <c r="N350" s="42">
        <f t="shared" ca="1" si="121"/>
        <v>0</v>
      </c>
      <c r="O350" s="42">
        <f t="shared" ca="1" si="121"/>
        <v>0</v>
      </c>
      <c r="P350" s="42">
        <f t="shared" ca="1" si="121"/>
        <v>0</v>
      </c>
      <c r="Q350" s="42">
        <f t="shared" ca="1" si="121"/>
        <v>0</v>
      </c>
      <c r="R350" s="42">
        <f t="shared" ca="1" si="121"/>
        <v>0</v>
      </c>
      <c r="S350" s="42">
        <f t="shared" ca="1" si="121"/>
        <v>0</v>
      </c>
      <c r="T350" s="42">
        <f t="shared" ca="1" si="121"/>
        <v>0</v>
      </c>
      <c r="U350" s="42">
        <f t="shared" ca="1" si="121"/>
        <v>0</v>
      </c>
      <c r="V350" s="42">
        <f t="shared" ca="1" si="121"/>
        <v>0</v>
      </c>
      <c r="W350" s="42">
        <f t="shared" ca="1" si="121"/>
        <v>0</v>
      </c>
      <c r="X350" s="42">
        <f t="shared" ca="1" si="121"/>
        <v>0</v>
      </c>
      <c r="Y350" s="42">
        <f t="shared" ca="1" si="121"/>
        <v>0</v>
      </c>
      <c r="Z350" s="42">
        <f t="shared" ca="1" si="121"/>
        <v>0</v>
      </c>
      <c r="AA350" s="42">
        <f t="shared" ca="1" si="121"/>
        <v>0</v>
      </c>
      <c r="AB350" s="42">
        <f t="shared" ca="1" si="121"/>
        <v>0</v>
      </c>
      <c r="AC350" s="42">
        <f t="shared" ca="1" si="121"/>
        <v>0</v>
      </c>
      <c r="AD350" s="42">
        <f t="shared" ca="1" si="121"/>
        <v>0</v>
      </c>
      <c r="AE350" s="42">
        <f t="shared" ca="1" si="121"/>
        <v>0</v>
      </c>
      <c r="AF350" s="42">
        <f t="shared" ca="1" si="121"/>
        <v>0</v>
      </c>
      <c r="AG350" s="42">
        <f t="shared" ca="1" si="121"/>
        <v>0</v>
      </c>
      <c r="AH350" s="42">
        <f t="shared" ca="1" si="121"/>
        <v>0</v>
      </c>
      <c r="AI350" s="42">
        <f t="shared" ca="1" si="121"/>
        <v>0</v>
      </c>
      <c r="AJ350" s="42">
        <f t="shared" ref="AJ350:AW350" si="122">AJ346</f>
        <v>0</v>
      </c>
      <c r="AK350" s="42">
        <f t="shared" si="122"/>
        <v>0</v>
      </c>
      <c r="AL350" s="42">
        <f t="shared" si="122"/>
        <v>0</v>
      </c>
      <c r="AM350" s="42">
        <f t="shared" si="122"/>
        <v>0</v>
      </c>
      <c r="AN350" s="42">
        <f t="shared" si="122"/>
        <v>0</v>
      </c>
      <c r="AO350" s="42">
        <f t="shared" si="122"/>
        <v>0</v>
      </c>
      <c r="AP350" s="42">
        <f t="shared" si="122"/>
        <v>0</v>
      </c>
      <c r="AQ350" s="42">
        <f t="shared" si="122"/>
        <v>0</v>
      </c>
      <c r="AR350" s="42">
        <f t="shared" si="122"/>
        <v>0</v>
      </c>
      <c r="AS350" s="42">
        <f t="shared" si="122"/>
        <v>0</v>
      </c>
      <c r="AT350" s="42">
        <f t="shared" si="122"/>
        <v>0</v>
      </c>
      <c r="AU350" s="42">
        <f t="shared" si="122"/>
        <v>0</v>
      </c>
      <c r="AV350" s="42">
        <f t="shared" si="122"/>
        <v>0</v>
      </c>
      <c r="AW350" s="42">
        <f t="shared" si="122"/>
        <v>0</v>
      </c>
    </row>
    <row r="351" spans="2:49">
      <c r="B351" s="27" t="s">
        <v>368</v>
      </c>
      <c r="C351" s="27"/>
      <c r="D351" s="43">
        <f ca="1">SUM(I351:AI351)</f>
        <v>0</v>
      </c>
      <c r="E351" s="43"/>
      <c r="F351" s="43"/>
      <c r="G351" s="43"/>
      <c r="H351" s="43"/>
      <c r="I351" s="43">
        <f>-I285</f>
        <v>0</v>
      </c>
      <c r="J351" s="43">
        <f t="shared" ref="J351:AI351" si="123">-J285</f>
        <v>0</v>
      </c>
      <c r="K351" s="43">
        <f t="shared" si="123"/>
        <v>0</v>
      </c>
      <c r="L351" s="43">
        <f t="shared" ca="1" si="123"/>
        <v>0</v>
      </c>
      <c r="M351" s="43">
        <f t="shared" ca="1" si="123"/>
        <v>0</v>
      </c>
      <c r="N351" s="43">
        <f t="shared" ca="1" si="123"/>
        <v>0</v>
      </c>
      <c r="O351" s="43">
        <f t="shared" ca="1" si="123"/>
        <v>0</v>
      </c>
      <c r="P351" s="43">
        <f t="shared" ca="1" si="123"/>
        <v>0</v>
      </c>
      <c r="Q351" s="43">
        <f t="shared" ca="1" si="123"/>
        <v>0</v>
      </c>
      <c r="R351" s="43">
        <f t="shared" ca="1" si="123"/>
        <v>0</v>
      </c>
      <c r="S351" s="43">
        <f t="shared" ca="1" si="123"/>
        <v>0</v>
      </c>
      <c r="T351" s="43">
        <f t="shared" ca="1" si="123"/>
        <v>0</v>
      </c>
      <c r="U351" s="43">
        <f t="shared" ca="1" si="123"/>
        <v>0</v>
      </c>
      <c r="V351" s="43">
        <f t="shared" ca="1" si="123"/>
        <v>0</v>
      </c>
      <c r="W351" s="43">
        <f t="shared" ca="1" si="123"/>
        <v>0</v>
      </c>
      <c r="X351" s="43">
        <f t="shared" ca="1" si="123"/>
        <v>0</v>
      </c>
      <c r="Y351" s="43">
        <f t="shared" ca="1" si="123"/>
        <v>0</v>
      </c>
      <c r="Z351" s="43">
        <f t="shared" ca="1" si="123"/>
        <v>0</v>
      </c>
      <c r="AA351" s="43">
        <f t="shared" ca="1" si="123"/>
        <v>0</v>
      </c>
      <c r="AB351" s="43">
        <f t="shared" ca="1" si="123"/>
        <v>0</v>
      </c>
      <c r="AC351" s="43">
        <f t="shared" ca="1" si="123"/>
        <v>0</v>
      </c>
      <c r="AD351" s="43">
        <f t="shared" ca="1" si="123"/>
        <v>0</v>
      </c>
      <c r="AE351" s="43">
        <f t="shared" ca="1" si="123"/>
        <v>0</v>
      </c>
      <c r="AF351" s="43">
        <f t="shared" ca="1" si="123"/>
        <v>0</v>
      </c>
      <c r="AG351" s="43">
        <f t="shared" ca="1" si="123"/>
        <v>0</v>
      </c>
      <c r="AH351" s="43">
        <f t="shared" ca="1" si="123"/>
        <v>0</v>
      </c>
      <c r="AI351" s="43">
        <f t="shared" ca="1" si="123"/>
        <v>0</v>
      </c>
      <c r="AJ351" s="43">
        <f t="shared" ref="AJ351:AW351" ca="1" si="124">-AJ285</f>
        <v>0</v>
      </c>
      <c r="AK351" s="43">
        <f t="shared" ca="1" si="124"/>
        <v>0</v>
      </c>
      <c r="AL351" s="43">
        <f t="shared" ca="1" si="124"/>
        <v>0</v>
      </c>
      <c r="AM351" s="43">
        <f t="shared" si="124"/>
        <v>0</v>
      </c>
      <c r="AN351" s="43">
        <f t="shared" si="124"/>
        <v>0</v>
      </c>
      <c r="AO351" s="43">
        <f t="shared" si="124"/>
        <v>0</v>
      </c>
      <c r="AP351" s="43">
        <f t="shared" si="124"/>
        <v>0</v>
      </c>
      <c r="AQ351" s="43">
        <f t="shared" si="124"/>
        <v>0</v>
      </c>
      <c r="AR351" s="43">
        <f t="shared" si="124"/>
        <v>0</v>
      </c>
      <c r="AS351" s="43">
        <f t="shared" si="124"/>
        <v>0</v>
      </c>
      <c r="AT351" s="43">
        <f t="shared" si="124"/>
        <v>0</v>
      </c>
      <c r="AU351" s="43">
        <f t="shared" si="124"/>
        <v>0</v>
      </c>
      <c r="AV351" s="43">
        <f t="shared" si="124"/>
        <v>0</v>
      </c>
      <c r="AW351" s="43">
        <f t="shared" si="124"/>
        <v>0</v>
      </c>
    </row>
    <row r="352" spans="2:49">
      <c r="B352" s="2" t="s">
        <v>266</v>
      </c>
      <c r="H352" s="135"/>
      <c r="I352" s="42">
        <f>SUM(I349:I351)</f>
        <v>0</v>
      </c>
      <c r="J352" s="42">
        <f t="shared" ref="J352:AW352" ca="1" si="125">SUM(J349:J351)</f>
        <v>0</v>
      </c>
      <c r="K352" s="42">
        <f t="shared" ca="1" si="125"/>
        <v>0</v>
      </c>
      <c r="L352" s="42">
        <f t="shared" ca="1" si="125"/>
        <v>0</v>
      </c>
      <c r="M352" s="42">
        <f t="shared" ca="1" si="125"/>
        <v>0</v>
      </c>
      <c r="N352" s="42">
        <f t="shared" ca="1" si="125"/>
        <v>0</v>
      </c>
      <c r="O352" s="42">
        <f t="shared" ca="1" si="125"/>
        <v>0</v>
      </c>
      <c r="P352" s="42">
        <f t="shared" ca="1" si="125"/>
        <v>0</v>
      </c>
      <c r="Q352" s="42">
        <f t="shared" ca="1" si="125"/>
        <v>0</v>
      </c>
      <c r="R352" s="42">
        <f t="shared" ca="1" si="125"/>
        <v>0</v>
      </c>
      <c r="S352" s="42">
        <f t="shared" ca="1" si="125"/>
        <v>0</v>
      </c>
      <c r="T352" s="42">
        <f t="shared" ca="1" si="125"/>
        <v>0</v>
      </c>
      <c r="U352" s="42">
        <f t="shared" ca="1" si="125"/>
        <v>0</v>
      </c>
      <c r="V352" s="42">
        <f t="shared" ca="1" si="125"/>
        <v>0</v>
      </c>
      <c r="W352" s="42">
        <f t="shared" ca="1" si="125"/>
        <v>0</v>
      </c>
      <c r="X352" s="42">
        <f t="shared" ca="1" si="125"/>
        <v>0</v>
      </c>
      <c r="Y352" s="42">
        <f t="shared" ca="1" si="125"/>
        <v>0</v>
      </c>
      <c r="Z352" s="42">
        <f t="shared" ca="1" si="125"/>
        <v>0</v>
      </c>
      <c r="AA352" s="42">
        <f t="shared" ca="1" si="125"/>
        <v>0</v>
      </c>
      <c r="AB352" s="42">
        <f t="shared" ca="1" si="125"/>
        <v>0</v>
      </c>
      <c r="AC352" s="42">
        <f t="shared" ca="1" si="125"/>
        <v>0</v>
      </c>
      <c r="AD352" s="42">
        <f t="shared" ca="1" si="125"/>
        <v>0</v>
      </c>
      <c r="AE352" s="42">
        <f t="shared" ca="1" si="125"/>
        <v>0</v>
      </c>
      <c r="AF352" s="42">
        <f t="shared" ca="1" si="125"/>
        <v>0</v>
      </c>
      <c r="AG352" s="42">
        <f t="shared" ca="1" si="125"/>
        <v>0</v>
      </c>
      <c r="AH352" s="42">
        <f t="shared" ca="1" si="125"/>
        <v>0</v>
      </c>
      <c r="AI352" s="42">
        <f t="shared" ca="1" si="125"/>
        <v>0</v>
      </c>
      <c r="AJ352" s="42">
        <f t="shared" ca="1" si="125"/>
        <v>0</v>
      </c>
      <c r="AK352" s="42">
        <f t="shared" ca="1" si="125"/>
        <v>0</v>
      </c>
      <c r="AL352" s="42">
        <f t="shared" ca="1" si="125"/>
        <v>0</v>
      </c>
      <c r="AM352" s="42">
        <f t="shared" ca="1" si="125"/>
        <v>0</v>
      </c>
      <c r="AN352" s="42">
        <f t="shared" ca="1" si="125"/>
        <v>0</v>
      </c>
      <c r="AO352" s="42">
        <f t="shared" ca="1" si="125"/>
        <v>0</v>
      </c>
      <c r="AP352" s="42">
        <f t="shared" ca="1" si="125"/>
        <v>0</v>
      </c>
      <c r="AQ352" s="42">
        <f t="shared" ca="1" si="125"/>
        <v>0</v>
      </c>
      <c r="AR352" s="42">
        <f t="shared" ca="1" si="125"/>
        <v>0</v>
      </c>
      <c r="AS352" s="42">
        <f t="shared" ca="1" si="125"/>
        <v>0</v>
      </c>
      <c r="AT352" s="42">
        <f t="shared" ca="1" si="125"/>
        <v>0</v>
      </c>
      <c r="AU352" s="42">
        <f t="shared" ca="1" si="125"/>
        <v>0</v>
      </c>
      <c r="AV352" s="42">
        <f t="shared" ca="1" si="125"/>
        <v>0</v>
      </c>
      <c r="AW352" s="42">
        <f t="shared" ca="1" si="125"/>
        <v>0</v>
      </c>
    </row>
    <row r="354" spans="1:49">
      <c r="A354" s="6" t="s">
        <v>369</v>
      </c>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row>
    <row r="356" spans="1:49">
      <c r="B356" s="10" t="s">
        <v>209</v>
      </c>
    </row>
    <row r="358" spans="1:49">
      <c r="B358" s="2" t="s">
        <v>370</v>
      </c>
      <c r="C358" s="15" t="str">
        <f>$C$39</f>
        <v>US$</v>
      </c>
      <c r="I358" s="41">
        <f ca="1">CF!I43</f>
        <v>0</v>
      </c>
      <c r="J358" s="41">
        <f ca="1">CF!J43</f>
        <v>-132913371.73613448</v>
      </c>
      <c r="K358" s="41">
        <f ca="1">CF!K43</f>
        <v>632979160.75820112</v>
      </c>
      <c r="L358" s="41">
        <f ca="1">CF!L43</f>
        <v>878476565.64138186</v>
      </c>
      <c r="M358" s="41">
        <f ca="1">CF!M43</f>
        <v>1288299890.1069081</v>
      </c>
      <c r="N358" s="41">
        <f ca="1">CF!N43</f>
        <v>1637966395.679565</v>
      </c>
      <c r="O358" s="41">
        <f ca="1">CF!O43</f>
        <v>2040726817.8025031</v>
      </c>
      <c r="P358" s="41">
        <f ca="1">CF!P43</f>
        <v>2485380857.1483808</v>
      </c>
      <c r="Q358" s="41">
        <f ca="1">CF!Q43</f>
        <v>2965996236.233273</v>
      </c>
      <c r="R358" s="41">
        <f ca="1">CF!R43</f>
        <v>3260022660.1744308</v>
      </c>
      <c r="S358" s="41">
        <f ca="1">CF!S43</f>
        <v>3859761865.2041125</v>
      </c>
      <c r="T358" s="41">
        <f ca="1">CF!T43</f>
        <v>4437755346.5319462</v>
      </c>
      <c r="U358" s="41">
        <f ca="1">CF!U43</f>
        <v>4998010898.8891544</v>
      </c>
      <c r="V358" s="41">
        <f ca="1">CF!V43</f>
        <v>5549935527.9177265</v>
      </c>
      <c r="W358" s="41">
        <f ca="1">CF!W43</f>
        <v>6088236447.4359055</v>
      </c>
      <c r="X358" s="41">
        <f ca="1">CF!X43</f>
        <v>6225215361.3162832</v>
      </c>
      <c r="Y358" s="41">
        <f ca="1">CF!Y43</f>
        <v>6288190203.7340374</v>
      </c>
      <c r="Z358" s="41">
        <f ca="1">CF!Z43</f>
        <v>6375851763.5649385</v>
      </c>
      <c r="AA358" s="41">
        <f ca="1">CF!AA43</f>
        <v>6475174472.3235817</v>
      </c>
      <c r="AB358" s="41">
        <f ca="1">CF!AB43</f>
        <v>6610492805.2316284</v>
      </c>
      <c r="AC358" s="41">
        <f ca="1">CF!AC43</f>
        <v>6774454777.4897223</v>
      </c>
      <c r="AD358" s="41">
        <f ca="1">CF!AD43</f>
        <v>6967936720.2900257</v>
      </c>
      <c r="AE358" s="41">
        <f ca="1">CF!AE43</f>
        <v>7176319197.5057688</v>
      </c>
      <c r="AF358" s="41">
        <f ca="1">CF!AF43</f>
        <v>7410087118.0503836</v>
      </c>
      <c r="AG358" s="41">
        <f ca="1">CF!AG43</f>
        <v>7663044541.6729469</v>
      </c>
      <c r="AH358" s="41">
        <f ca="1">CF!AH43</f>
        <v>7937849158.0875101</v>
      </c>
      <c r="AI358" s="41">
        <f ca="1">CF!AI43</f>
        <v>8219935390.2149868</v>
      </c>
      <c r="AJ358" s="41">
        <f ca="1">CF!AJ43</f>
        <v>9875293214.6079426</v>
      </c>
      <c r="AK358" s="41">
        <f ca="1">CF!AK43</f>
        <v>11605184399.40288</v>
      </c>
      <c r="AL358" s="41">
        <f ca="1">CF!AL43</f>
        <v>12504018718.493343</v>
      </c>
      <c r="AM358" s="41">
        <f>CF!AM43</f>
        <v>0</v>
      </c>
      <c r="AN358" s="41">
        <f>CF!AN43</f>
        <v>0</v>
      </c>
      <c r="AO358" s="41">
        <f>CF!AO43</f>
        <v>0</v>
      </c>
      <c r="AP358" s="41">
        <f>CF!AP43</f>
        <v>0</v>
      </c>
      <c r="AQ358" s="41">
        <f>CF!AQ43</f>
        <v>0</v>
      </c>
      <c r="AR358" s="41">
        <f>CF!AR43</f>
        <v>0</v>
      </c>
      <c r="AS358" s="41">
        <f>CF!AS43</f>
        <v>0</v>
      </c>
      <c r="AT358" s="41">
        <f>CF!AT43</f>
        <v>0</v>
      </c>
      <c r="AU358" s="41">
        <f>CF!AU43</f>
        <v>0</v>
      </c>
      <c r="AV358" s="41">
        <f>CF!AV43</f>
        <v>0</v>
      </c>
      <c r="AW358" s="41">
        <f>CF!AW43</f>
        <v>0</v>
      </c>
    </row>
    <row r="359" spans="1:49">
      <c r="B359" s="2" t="s">
        <v>371</v>
      </c>
      <c r="C359" s="15" t="str">
        <f>$C$39</f>
        <v>US$</v>
      </c>
      <c r="H359" s="135"/>
      <c r="I359" s="41">
        <f t="shared" ref="I359:AW359" ca="1" si="126">MIN(I358,0)</f>
        <v>0</v>
      </c>
      <c r="J359" s="41">
        <f t="shared" ca="1" si="126"/>
        <v>-132913371.73613448</v>
      </c>
      <c r="K359" s="41">
        <f t="shared" ca="1" si="126"/>
        <v>0</v>
      </c>
      <c r="L359" s="41">
        <f t="shared" ca="1" si="126"/>
        <v>0</v>
      </c>
      <c r="M359" s="41">
        <f t="shared" ca="1" si="126"/>
        <v>0</v>
      </c>
      <c r="N359" s="41">
        <f t="shared" ca="1" si="126"/>
        <v>0</v>
      </c>
      <c r="O359" s="41">
        <f t="shared" ca="1" si="126"/>
        <v>0</v>
      </c>
      <c r="P359" s="41">
        <f t="shared" ca="1" si="126"/>
        <v>0</v>
      </c>
      <c r="Q359" s="41">
        <f t="shared" ca="1" si="126"/>
        <v>0</v>
      </c>
      <c r="R359" s="41">
        <f t="shared" ca="1" si="126"/>
        <v>0</v>
      </c>
      <c r="S359" s="41">
        <f t="shared" ca="1" si="126"/>
        <v>0</v>
      </c>
      <c r="T359" s="41">
        <f t="shared" ca="1" si="126"/>
        <v>0</v>
      </c>
      <c r="U359" s="41">
        <f t="shared" ca="1" si="126"/>
        <v>0</v>
      </c>
      <c r="V359" s="41">
        <f t="shared" ca="1" si="126"/>
        <v>0</v>
      </c>
      <c r="W359" s="41">
        <f t="shared" ca="1" si="126"/>
        <v>0</v>
      </c>
      <c r="X359" s="41">
        <f t="shared" ca="1" si="126"/>
        <v>0</v>
      </c>
      <c r="Y359" s="41">
        <f t="shared" ca="1" si="126"/>
        <v>0</v>
      </c>
      <c r="Z359" s="41">
        <f t="shared" ca="1" si="126"/>
        <v>0</v>
      </c>
      <c r="AA359" s="41">
        <f t="shared" ca="1" si="126"/>
        <v>0</v>
      </c>
      <c r="AB359" s="41">
        <f t="shared" ca="1" si="126"/>
        <v>0</v>
      </c>
      <c r="AC359" s="41">
        <f t="shared" ca="1" si="126"/>
        <v>0</v>
      </c>
      <c r="AD359" s="41">
        <f t="shared" ca="1" si="126"/>
        <v>0</v>
      </c>
      <c r="AE359" s="41">
        <f t="shared" ca="1" si="126"/>
        <v>0</v>
      </c>
      <c r="AF359" s="41">
        <f t="shared" ca="1" si="126"/>
        <v>0</v>
      </c>
      <c r="AG359" s="41">
        <f t="shared" ca="1" si="126"/>
        <v>0</v>
      </c>
      <c r="AH359" s="41">
        <f t="shared" ca="1" si="126"/>
        <v>0</v>
      </c>
      <c r="AI359" s="41">
        <f t="shared" ca="1" si="126"/>
        <v>0</v>
      </c>
      <c r="AJ359" s="41">
        <f t="shared" ca="1" si="126"/>
        <v>0</v>
      </c>
      <c r="AK359" s="41">
        <f t="shared" ca="1" si="126"/>
        <v>0</v>
      </c>
      <c r="AL359" s="41">
        <f t="shared" ca="1" si="126"/>
        <v>0</v>
      </c>
      <c r="AM359" s="41">
        <f t="shared" si="126"/>
        <v>0</v>
      </c>
      <c r="AN359" s="41">
        <f t="shared" si="126"/>
        <v>0</v>
      </c>
      <c r="AO359" s="41">
        <f t="shared" si="126"/>
        <v>0</v>
      </c>
      <c r="AP359" s="41">
        <f t="shared" si="126"/>
        <v>0</v>
      </c>
      <c r="AQ359" s="41">
        <f t="shared" si="126"/>
        <v>0</v>
      </c>
      <c r="AR359" s="41">
        <f t="shared" si="126"/>
        <v>0</v>
      </c>
      <c r="AS359" s="41">
        <f t="shared" si="126"/>
        <v>0</v>
      </c>
      <c r="AT359" s="41">
        <f t="shared" si="126"/>
        <v>0</v>
      </c>
      <c r="AU359" s="41">
        <f t="shared" si="126"/>
        <v>0</v>
      </c>
      <c r="AV359" s="41">
        <f t="shared" si="126"/>
        <v>0</v>
      </c>
      <c r="AW359" s="41">
        <f t="shared" si="126"/>
        <v>0</v>
      </c>
    </row>
    <row r="360" spans="1:49">
      <c r="B360" s="2" t="s">
        <v>291</v>
      </c>
      <c r="D360" s="99">
        <f>'Input '!E391</f>
        <v>0.1</v>
      </c>
    </row>
    <row r="361" spans="1:49">
      <c r="B361" s="2" t="s">
        <v>372</v>
      </c>
      <c r="C361" s="15" t="str">
        <f>$C$39</f>
        <v>US$</v>
      </c>
      <c r="H361" s="150"/>
      <c r="I361" s="41">
        <f t="shared" ref="I361:AW361" si="127">H359*$D$360*I24</f>
        <v>0</v>
      </c>
      <c r="J361" s="41">
        <f t="shared" ca="1" si="127"/>
        <v>0</v>
      </c>
      <c r="K361" s="41">
        <f t="shared" ca="1" si="127"/>
        <v>0</v>
      </c>
      <c r="L361" s="41">
        <f t="shared" ca="1" si="127"/>
        <v>0</v>
      </c>
      <c r="M361" s="41">
        <f t="shared" ca="1" si="127"/>
        <v>0</v>
      </c>
      <c r="N361" s="41">
        <f t="shared" ca="1" si="127"/>
        <v>0</v>
      </c>
      <c r="O361" s="41">
        <f t="shared" ca="1" si="127"/>
        <v>0</v>
      </c>
      <c r="P361" s="41">
        <f t="shared" ca="1" si="127"/>
        <v>0</v>
      </c>
      <c r="Q361" s="41">
        <f t="shared" ca="1" si="127"/>
        <v>0</v>
      </c>
      <c r="R361" s="41">
        <f t="shared" ca="1" si="127"/>
        <v>0</v>
      </c>
      <c r="S361" s="41">
        <f t="shared" ca="1" si="127"/>
        <v>0</v>
      </c>
      <c r="T361" s="41">
        <f t="shared" ca="1" si="127"/>
        <v>0</v>
      </c>
      <c r="U361" s="41">
        <f t="shared" ca="1" si="127"/>
        <v>0</v>
      </c>
      <c r="V361" s="41">
        <f t="shared" ca="1" si="127"/>
        <v>0</v>
      </c>
      <c r="W361" s="41">
        <f t="shared" ca="1" si="127"/>
        <v>0</v>
      </c>
      <c r="X361" s="41">
        <f t="shared" ca="1" si="127"/>
        <v>0</v>
      </c>
      <c r="Y361" s="41">
        <f t="shared" ca="1" si="127"/>
        <v>0</v>
      </c>
      <c r="Z361" s="41">
        <f t="shared" ca="1" si="127"/>
        <v>0</v>
      </c>
      <c r="AA361" s="41">
        <f t="shared" ca="1" si="127"/>
        <v>0</v>
      </c>
      <c r="AB361" s="41">
        <f t="shared" ca="1" si="127"/>
        <v>0</v>
      </c>
      <c r="AC361" s="41">
        <f t="shared" ca="1" si="127"/>
        <v>0</v>
      </c>
      <c r="AD361" s="41">
        <f t="shared" ca="1" si="127"/>
        <v>0</v>
      </c>
      <c r="AE361" s="41">
        <f t="shared" ca="1" si="127"/>
        <v>0</v>
      </c>
      <c r="AF361" s="41">
        <f t="shared" ca="1" si="127"/>
        <v>0</v>
      </c>
      <c r="AG361" s="41">
        <f t="shared" ca="1" si="127"/>
        <v>0</v>
      </c>
      <c r="AH361" s="41">
        <f t="shared" ca="1" si="127"/>
        <v>0</v>
      </c>
      <c r="AI361" s="41">
        <f t="shared" ca="1" si="127"/>
        <v>0</v>
      </c>
      <c r="AJ361" s="41">
        <f t="shared" ca="1" si="127"/>
        <v>0</v>
      </c>
      <c r="AK361" s="41">
        <f t="shared" ca="1" si="127"/>
        <v>0</v>
      </c>
      <c r="AL361" s="41">
        <f t="shared" ca="1" si="127"/>
        <v>0</v>
      </c>
      <c r="AM361" s="41">
        <f t="shared" ca="1" si="127"/>
        <v>0</v>
      </c>
      <c r="AN361" s="41">
        <f t="shared" si="127"/>
        <v>0</v>
      </c>
      <c r="AO361" s="41">
        <f t="shared" si="127"/>
        <v>0</v>
      </c>
      <c r="AP361" s="41">
        <f t="shared" si="127"/>
        <v>0</v>
      </c>
      <c r="AQ361" s="41">
        <f t="shared" si="127"/>
        <v>0</v>
      </c>
      <c r="AR361" s="41">
        <f t="shared" si="127"/>
        <v>0</v>
      </c>
      <c r="AS361" s="41">
        <f t="shared" si="127"/>
        <v>0</v>
      </c>
      <c r="AT361" s="41">
        <f t="shared" si="127"/>
        <v>0</v>
      </c>
      <c r="AU361" s="41">
        <f t="shared" si="127"/>
        <v>0</v>
      </c>
      <c r="AV361" s="41">
        <f t="shared" si="127"/>
        <v>0</v>
      </c>
      <c r="AW361" s="41">
        <f t="shared" si="127"/>
        <v>0</v>
      </c>
    </row>
    <row r="363" spans="1:49">
      <c r="A363" s="40" t="s">
        <v>373</v>
      </c>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row>
    <row r="369" spans="3:49">
      <c r="C369" s="501" t="s">
        <v>867</v>
      </c>
    </row>
    <row r="372" spans="3:49">
      <c r="C372" s="2" t="s">
        <v>1664</v>
      </c>
    </row>
    <row r="373" spans="3:49">
      <c r="I373" s="42">
        <f>I153+I180+I166</f>
        <v>0</v>
      </c>
      <c r="J373" s="42">
        <f t="shared" ref="J373:AW373" si="128">J153+J180+J166</f>
        <v>0</v>
      </c>
      <c r="K373" s="42">
        <f t="shared" ca="1" si="128"/>
        <v>1710282.1692824995</v>
      </c>
      <c r="L373" s="42">
        <f t="shared" ca="1" si="128"/>
        <v>3104957.0571292341</v>
      </c>
      <c r="M373" s="42">
        <f t="shared" ca="1" si="128"/>
        <v>3176371.0694432058</v>
      </c>
      <c r="N373" s="42">
        <f t="shared" ca="1" si="128"/>
        <v>3243717.0790029848</v>
      </c>
      <c r="O373" s="42">
        <f t="shared" ca="1" si="128"/>
        <v>3339791.5841303216</v>
      </c>
      <c r="P373" s="42">
        <f t="shared" ca="1" si="128"/>
        <v>3410602.465804779</v>
      </c>
      <c r="Q373" s="42">
        <f t="shared" ca="1" si="128"/>
        <v>3492456.9249840933</v>
      </c>
      <c r="R373" s="42">
        <f t="shared" ca="1" si="128"/>
        <v>3566504.6455793846</v>
      </c>
      <c r="S373" s="42">
        <f t="shared" ca="1" si="128"/>
        <v>3672139.6810997156</v>
      </c>
      <c r="T373" s="42">
        <f t="shared" ca="1" si="128"/>
        <v>3749997.0688738516</v>
      </c>
      <c r="U373" s="42">
        <f t="shared" ca="1" si="128"/>
        <v>3839996.9985268237</v>
      </c>
      <c r="V373" s="42">
        <f t="shared" ca="1" si="128"/>
        <v>3921413.3283316549</v>
      </c>
      <c r="W373" s="42">
        <f t="shared" ca="1" si="128"/>
        <v>4037560.2781867906</v>
      </c>
      <c r="X373" s="42">
        <f t="shared" ca="1" si="128"/>
        <v>4123165.381352718</v>
      </c>
      <c r="Y373" s="42">
        <f t="shared" ca="1" si="128"/>
        <v>4222121.3505051835</v>
      </c>
      <c r="Z373" s="42">
        <f t="shared" ca="1" si="128"/>
        <v>4311639.5518164411</v>
      </c>
      <c r="AA373" s="42">
        <f t="shared" ca="1" si="128"/>
        <v>4439344.4737128783</v>
      </c>
      <c r="AB373" s="42">
        <f t="shared" ca="1" si="128"/>
        <v>4533468.2800407792</v>
      </c>
      <c r="AC373" s="42">
        <f t="shared" ca="1" si="128"/>
        <v>4642271.5187617578</v>
      </c>
      <c r="AD373" s="42">
        <f t="shared" ca="1" si="128"/>
        <v>4740697.8220010791</v>
      </c>
      <c r="AE373" s="42">
        <f t="shared" ca="1" si="128"/>
        <v>4881110.8685504366</v>
      </c>
      <c r="AF373" s="42">
        <f t="shared" ca="1" si="128"/>
        <v>4984601.0880585015</v>
      </c>
      <c r="AG373" s="42">
        <f t="shared" ca="1" si="128"/>
        <v>5104231.5141719058</v>
      </c>
      <c r="AH373" s="42">
        <f t="shared" ca="1" si="128"/>
        <v>5212452.3790625446</v>
      </c>
      <c r="AI373" s="42">
        <f t="shared" ca="1" si="128"/>
        <v>5366838.1564350175</v>
      </c>
      <c r="AJ373" s="42">
        <f t="shared" ca="1" si="128"/>
        <v>5480626.8561452236</v>
      </c>
      <c r="AK373" s="42">
        <f t="shared" ca="1" si="128"/>
        <v>5612161.9006927088</v>
      </c>
      <c r="AL373" s="42">
        <f t="shared" ca="1" si="128"/>
        <v>5746853.7863093354</v>
      </c>
      <c r="AM373" s="42">
        <f t="shared" si="128"/>
        <v>0</v>
      </c>
      <c r="AN373" s="42">
        <f t="shared" si="128"/>
        <v>0</v>
      </c>
      <c r="AO373" s="42">
        <f t="shared" si="128"/>
        <v>0</v>
      </c>
      <c r="AP373" s="42">
        <f t="shared" si="128"/>
        <v>0</v>
      </c>
      <c r="AQ373" s="42">
        <f t="shared" si="128"/>
        <v>0</v>
      </c>
      <c r="AR373" s="42">
        <f t="shared" si="128"/>
        <v>0</v>
      </c>
      <c r="AS373" s="42">
        <f t="shared" si="128"/>
        <v>0</v>
      </c>
      <c r="AT373" s="42">
        <f t="shared" si="128"/>
        <v>0</v>
      </c>
      <c r="AU373" s="42">
        <f t="shared" si="128"/>
        <v>0</v>
      </c>
      <c r="AV373" s="42">
        <f t="shared" si="128"/>
        <v>0</v>
      </c>
      <c r="AW373" s="42">
        <f t="shared" si="128"/>
        <v>0</v>
      </c>
    </row>
    <row r="374" spans="3:49">
      <c r="C374" s="2" t="s">
        <v>1665</v>
      </c>
    </row>
    <row r="375" spans="3:49">
      <c r="I375" s="42">
        <f>I165+I179+I152</f>
        <v>0</v>
      </c>
      <c r="J375" s="42">
        <f t="shared" ref="J375:AW375" si="129">J165+J179+J152</f>
        <v>0</v>
      </c>
      <c r="K375" s="42">
        <f t="shared" ca="1" si="129"/>
        <v>0</v>
      </c>
      <c r="L375" s="42">
        <f ca="1">L165+L179+L152</f>
        <v>0</v>
      </c>
      <c r="M375" s="42">
        <f t="shared" ca="1" si="129"/>
        <v>0</v>
      </c>
      <c r="N375" s="42">
        <f t="shared" ca="1" si="129"/>
        <v>0</v>
      </c>
      <c r="O375" s="42">
        <f t="shared" ca="1" si="129"/>
        <v>0</v>
      </c>
      <c r="P375" s="42">
        <f t="shared" ca="1" si="129"/>
        <v>0</v>
      </c>
      <c r="Q375" s="42">
        <f t="shared" ca="1" si="129"/>
        <v>0</v>
      </c>
      <c r="R375" s="42">
        <f t="shared" ca="1" si="129"/>
        <v>0</v>
      </c>
      <c r="S375" s="42">
        <f t="shared" ca="1" si="129"/>
        <v>0</v>
      </c>
      <c r="T375" s="42">
        <f t="shared" ca="1" si="129"/>
        <v>0</v>
      </c>
      <c r="U375" s="42">
        <f t="shared" ca="1" si="129"/>
        <v>0</v>
      </c>
      <c r="V375" s="42">
        <f t="shared" ca="1" si="129"/>
        <v>0</v>
      </c>
      <c r="W375" s="42">
        <f t="shared" ca="1" si="129"/>
        <v>0</v>
      </c>
      <c r="X375" s="42">
        <f t="shared" ca="1" si="129"/>
        <v>0</v>
      </c>
      <c r="Y375" s="42">
        <f t="shared" ca="1" si="129"/>
        <v>0</v>
      </c>
      <c r="Z375" s="42">
        <f t="shared" ca="1" si="129"/>
        <v>0</v>
      </c>
      <c r="AA375" s="42">
        <f t="shared" ca="1" si="129"/>
        <v>0</v>
      </c>
      <c r="AB375" s="42">
        <f t="shared" ca="1" si="129"/>
        <v>0</v>
      </c>
      <c r="AC375" s="42">
        <f t="shared" ca="1" si="129"/>
        <v>0</v>
      </c>
      <c r="AD375" s="42">
        <f t="shared" ca="1" si="129"/>
        <v>0</v>
      </c>
      <c r="AE375" s="42">
        <f t="shared" ca="1" si="129"/>
        <v>0</v>
      </c>
      <c r="AF375" s="42">
        <f t="shared" ca="1" si="129"/>
        <v>0</v>
      </c>
      <c r="AG375" s="42">
        <f t="shared" ca="1" si="129"/>
        <v>0</v>
      </c>
      <c r="AH375" s="42">
        <f t="shared" ca="1" si="129"/>
        <v>0</v>
      </c>
      <c r="AI375" s="42">
        <f t="shared" ca="1" si="129"/>
        <v>0</v>
      </c>
      <c r="AJ375" s="42">
        <f t="shared" ca="1" si="129"/>
        <v>0</v>
      </c>
      <c r="AK375" s="42">
        <f t="shared" ca="1" si="129"/>
        <v>0</v>
      </c>
      <c r="AL375" s="42">
        <f t="shared" ca="1" si="129"/>
        <v>0</v>
      </c>
      <c r="AM375" s="42">
        <f t="shared" si="129"/>
        <v>0</v>
      </c>
      <c r="AN375" s="42">
        <f t="shared" si="129"/>
        <v>0</v>
      </c>
      <c r="AO375" s="42">
        <f t="shared" si="129"/>
        <v>0</v>
      </c>
      <c r="AP375" s="42">
        <f t="shared" si="129"/>
        <v>0</v>
      </c>
      <c r="AQ375" s="42">
        <f t="shared" si="129"/>
        <v>0</v>
      </c>
      <c r="AR375" s="42">
        <f t="shared" si="129"/>
        <v>0</v>
      </c>
      <c r="AS375" s="42">
        <f t="shared" si="129"/>
        <v>0</v>
      </c>
      <c r="AT375" s="42">
        <f t="shared" si="129"/>
        <v>0</v>
      </c>
      <c r="AU375" s="42">
        <f t="shared" si="129"/>
        <v>0</v>
      </c>
      <c r="AV375" s="42">
        <f t="shared" si="129"/>
        <v>0</v>
      </c>
      <c r="AW375" s="42">
        <f t="shared" si="129"/>
        <v>0</v>
      </c>
    </row>
    <row r="378" spans="3:49">
      <c r="C378" s="586" t="s">
        <v>1630</v>
      </c>
      <c r="L378" s="104">
        <f>$D$429/$D$431</f>
        <v>0.64259068247046236</v>
      </c>
      <c r="M378" s="104">
        <f t="shared" ref="M378:AW378" si="130">$D$429/$D$431</f>
        <v>0.64259068247046236</v>
      </c>
      <c r="N378" s="104">
        <f t="shared" si="130"/>
        <v>0.64259068247046236</v>
      </c>
      <c r="O378" s="104">
        <f t="shared" si="130"/>
        <v>0.64259068247046236</v>
      </c>
      <c r="P378" s="104">
        <f t="shared" si="130"/>
        <v>0.64259068247046236</v>
      </c>
      <c r="Q378" s="104">
        <f t="shared" si="130"/>
        <v>0.64259068247046236</v>
      </c>
      <c r="R378" s="104">
        <f t="shared" si="130"/>
        <v>0.64259068247046236</v>
      </c>
      <c r="S378" s="104">
        <f t="shared" si="130"/>
        <v>0.64259068247046236</v>
      </c>
      <c r="T378" s="104">
        <f t="shared" si="130"/>
        <v>0.64259068247046236</v>
      </c>
      <c r="U378" s="104">
        <f t="shared" si="130"/>
        <v>0.64259068247046236</v>
      </c>
      <c r="V378" s="104">
        <f t="shared" si="130"/>
        <v>0.64259068247046236</v>
      </c>
      <c r="W378" s="104">
        <f t="shared" si="130"/>
        <v>0.64259068247046236</v>
      </c>
      <c r="X378" s="104">
        <f t="shared" si="130"/>
        <v>0.64259068247046236</v>
      </c>
      <c r="Y378" s="104">
        <f t="shared" si="130"/>
        <v>0.64259068247046236</v>
      </c>
      <c r="Z378" s="104">
        <f t="shared" si="130"/>
        <v>0.64259068247046236</v>
      </c>
      <c r="AA378" s="104">
        <f t="shared" si="130"/>
        <v>0.64259068247046236</v>
      </c>
      <c r="AB378" s="104">
        <f t="shared" si="130"/>
        <v>0.64259068247046236</v>
      </c>
      <c r="AC378" s="104">
        <f t="shared" si="130"/>
        <v>0.64259068247046236</v>
      </c>
      <c r="AD378" s="104">
        <f t="shared" si="130"/>
        <v>0.64259068247046236</v>
      </c>
      <c r="AE378" s="104">
        <f t="shared" si="130"/>
        <v>0.64259068247046236</v>
      </c>
      <c r="AF378" s="104">
        <f t="shared" si="130"/>
        <v>0.64259068247046236</v>
      </c>
      <c r="AG378" s="104">
        <f t="shared" si="130"/>
        <v>0.64259068247046236</v>
      </c>
      <c r="AH378" s="104">
        <f t="shared" si="130"/>
        <v>0.64259068247046236</v>
      </c>
      <c r="AI378" s="104">
        <f t="shared" si="130"/>
        <v>0.64259068247046236</v>
      </c>
      <c r="AJ378" s="104">
        <f t="shared" si="130"/>
        <v>0.64259068247046236</v>
      </c>
      <c r="AK378" s="104">
        <f t="shared" si="130"/>
        <v>0.64259068247046236</v>
      </c>
      <c r="AL378" s="104">
        <f t="shared" si="130"/>
        <v>0.64259068247046236</v>
      </c>
      <c r="AM378" s="104">
        <f t="shared" si="130"/>
        <v>0.64259068247046236</v>
      </c>
      <c r="AN378" s="104">
        <f t="shared" si="130"/>
        <v>0.64259068247046236</v>
      </c>
      <c r="AO378" s="104">
        <f t="shared" si="130"/>
        <v>0.64259068247046236</v>
      </c>
      <c r="AP378" s="104">
        <f t="shared" si="130"/>
        <v>0.64259068247046236</v>
      </c>
      <c r="AQ378" s="104">
        <f t="shared" si="130"/>
        <v>0.64259068247046236</v>
      </c>
      <c r="AR378" s="104">
        <f t="shared" si="130"/>
        <v>0.64259068247046236</v>
      </c>
      <c r="AS378" s="104">
        <f t="shared" si="130"/>
        <v>0.64259068247046236</v>
      </c>
      <c r="AT378" s="104">
        <f t="shared" si="130"/>
        <v>0.64259068247046236</v>
      </c>
      <c r="AU378" s="104">
        <f t="shared" si="130"/>
        <v>0.64259068247046236</v>
      </c>
      <c r="AV378" s="104">
        <f t="shared" si="130"/>
        <v>0.64259068247046236</v>
      </c>
      <c r="AW378" s="104">
        <f t="shared" si="130"/>
        <v>0.64259068247046236</v>
      </c>
    </row>
    <row r="379" spans="3:49">
      <c r="L379" s="42">
        <f t="shared" ref="L379:AW379" ca="1" si="131">L378*L214</f>
        <v>41094741.98943188</v>
      </c>
      <c r="M379" s="42">
        <f t="shared" ca="1" si="131"/>
        <v>42039921.055188805</v>
      </c>
      <c r="N379" s="42">
        <f t="shared" ca="1" si="131"/>
        <v>42931259.272096626</v>
      </c>
      <c r="O379" s="42">
        <f t="shared" ca="1" si="131"/>
        <v>44202825.006284483</v>
      </c>
      <c r="P379" s="42">
        <f t="shared" ca="1" si="131"/>
        <v>45140021.514614433</v>
      </c>
      <c r="Q379" s="42">
        <f t="shared" ca="1" si="131"/>
        <v>46223382.030965179</v>
      </c>
      <c r="R379" s="42">
        <f t="shared" ca="1" si="131"/>
        <v>47203418.764736459</v>
      </c>
      <c r="S379" s="42">
        <f t="shared" ca="1" si="131"/>
        <v>48601520.074957527</v>
      </c>
      <c r="T379" s="42">
        <f t="shared" ca="1" si="131"/>
        <v>49631978.533377372</v>
      </c>
      <c r="U379" s="42">
        <f t="shared" ca="1" si="131"/>
        <v>50823146.018178441</v>
      </c>
      <c r="V379" s="42">
        <f t="shared" ca="1" si="131"/>
        <v>51900707.802607566</v>
      </c>
      <c r="W379" s="42">
        <f t="shared" ca="1" si="131"/>
        <v>53437936.450004488</v>
      </c>
      <c r="X379" s="42">
        <f t="shared" ca="1" si="131"/>
        <v>54570937.506977253</v>
      </c>
      <c r="Y379" s="42">
        <f t="shared" ca="1" si="131"/>
        <v>55880640.007144719</v>
      </c>
      <c r="Z379" s="42">
        <f t="shared" ca="1" si="131"/>
        <v>57065431.718771607</v>
      </c>
      <c r="AA379" s="42">
        <f t="shared" ca="1" si="131"/>
        <v>58755632.491134889</v>
      </c>
      <c r="AB379" s="42">
        <f t="shared" ca="1" si="131"/>
        <v>60001380.327558935</v>
      </c>
      <c r="AC379" s="42">
        <f t="shared" ca="1" si="131"/>
        <v>61441413.45542036</v>
      </c>
      <c r="AD379" s="42">
        <f t="shared" ca="1" si="131"/>
        <v>62744105.718846761</v>
      </c>
      <c r="AE379" s="42">
        <f t="shared" ca="1" si="131"/>
        <v>64602501.121336155</v>
      </c>
      <c r="AF379" s="42">
        <f t="shared" ca="1" si="131"/>
        <v>65972215.352761216</v>
      </c>
      <c r="AG379" s="42">
        <f t="shared" ca="1" si="131"/>
        <v>67555548.521227479</v>
      </c>
      <c r="AH379" s="42">
        <f t="shared" ca="1" si="131"/>
        <v>68987873.812278643</v>
      </c>
      <c r="AI379" s="42">
        <f t="shared" ca="1" si="131"/>
        <v>71031201.166321188</v>
      </c>
      <c r="AJ379" s="42">
        <f t="shared" ca="1" si="131"/>
        <v>72537217.890503302</v>
      </c>
      <c r="AK379" s="42">
        <f t="shared" ca="1" si="131"/>
        <v>74278111.119875401</v>
      </c>
      <c r="AL379" s="42">
        <f t="shared" ca="1" si="131"/>
        <v>76060785.786752403</v>
      </c>
      <c r="AM379" s="42">
        <f t="shared" si="131"/>
        <v>0</v>
      </c>
      <c r="AN379" s="42">
        <f t="shared" si="131"/>
        <v>0</v>
      </c>
      <c r="AO379" s="42">
        <f t="shared" si="131"/>
        <v>0</v>
      </c>
      <c r="AP379" s="42">
        <f t="shared" si="131"/>
        <v>0</v>
      </c>
      <c r="AQ379" s="42">
        <f t="shared" si="131"/>
        <v>0</v>
      </c>
      <c r="AR379" s="42">
        <f t="shared" si="131"/>
        <v>0</v>
      </c>
      <c r="AS379" s="42">
        <f t="shared" si="131"/>
        <v>0</v>
      </c>
      <c r="AT379" s="42">
        <f t="shared" si="131"/>
        <v>0</v>
      </c>
      <c r="AU379" s="42">
        <f t="shared" si="131"/>
        <v>0</v>
      </c>
      <c r="AV379" s="42">
        <f t="shared" si="131"/>
        <v>0</v>
      </c>
      <c r="AW379" s="42">
        <f t="shared" si="131"/>
        <v>0</v>
      </c>
    </row>
    <row r="381" spans="3:49">
      <c r="C381" s="2" t="s">
        <v>1668</v>
      </c>
    </row>
    <row r="382" spans="3:49">
      <c r="L382" s="42">
        <f ca="1">L379+L375</f>
        <v>41094741.98943188</v>
      </c>
      <c r="M382" s="42">
        <f t="shared" ref="M382:AW382" ca="1" si="132">M379+M375</f>
        <v>42039921.055188805</v>
      </c>
      <c r="N382" s="42">
        <f t="shared" ca="1" si="132"/>
        <v>42931259.272096626</v>
      </c>
      <c r="O382" s="42">
        <f t="shared" ca="1" si="132"/>
        <v>44202825.006284483</v>
      </c>
      <c r="P382" s="42">
        <f t="shared" ca="1" si="132"/>
        <v>45140021.514614433</v>
      </c>
      <c r="Q382" s="42">
        <f t="shared" ca="1" si="132"/>
        <v>46223382.030965179</v>
      </c>
      <c r="R382" s="42">
        <f t="shared" ca="1" si="132"/>
        <v>47203418.764736459</v>
      </c>
      <c r="S382" s="42">
        <f t="shared" ca="1" si="132"/>
        <v>48601520.074957527</v>
      </c>
      <c r="T382" s="42">
        <f t="shared" ca="1" si="132"/>
        <v>49631978.533377372</v>
      </c>
      <c r="U382" s="42">
        <f t="shared" ca="1" si="132"/>
        <v>50823146.018178441</v>
      </c>
      <c r="V382" s="42">
        <f t="shared" ca="1" si="132"/>
        <v>51900707.802607566</v>
      </c>
      <c r="W382" s="42">
        <f t="shared" ca="1" si="132"/>
        <v>53437936.450004488</v>
      </c>
      <c r="X382" s="42">
        <f t="shared" ca="1" si="132"/>
        <v>54570937.506977253</v>
      </c>
      <c r="Y382" s="42">
        <f t="shared" ca="1" si="132"/>
        <v>55880640.007144719</v>
      </c>
      <c r="Z382" s="42">
        <f t="shared" ca="1" si="132"/>
        <v>57065431.718771607</v>
      </c>
      <c r="AA382" s="42">
        <f t="shared" ca="1" si="132"/>
        <v>58755632.491134889</v>
      </c>
      <c r="AB382" s="42">
        <f t="shared" ca="1" si="132"/>
        <v>60001380.327558935</v>
      </c>
      <c r="AC382" s="42">
        <f t="shared" ca="1" si="132"/>
        <v>61441413.45542036</v>
      </c>
      <c r="AD382" s="42">
        <f t="shared" ca="1" si="132"/>
        <v>62744105.718846761</v>
      </c>
      <c r="AE382" s="42">
        <f t="shared" ca="1" si="132"/>
        <v>64602501.121336155</v>
      </c>
      <c r="AF382" s="42">
        <f t="shared" ca="1" si="132"/>
        <v>65972215.352761216</v>
      </c>
      <c r="AG382" s="42">
        <f t="shared" ca="1" si="132"/>
        <v>67555548.521227479</v>
      </c>
      <c r="AH382" s="42">
        <f t="shared" ca="1" si="132"/>
        <v>68987873.812278643</v>
      </c>
      <c r="AI382" s="42">
        <f t="shared" ca="1" si="132"/>
        <v>71031201.166321188</v>
      </c>
      <c r="AJ382" s="42">
        <f t="shared" ca="1" si="132"/>
        <v>72537217.890503302</v>
      </c>
      <c r="AK382" s="42">
        <f t="shared" ca="1" si="132"/>
        <v>74278111.119875401</v>
      </c>
      <c r="AL382" s="42">
        <f t="shared" ca="1" si="132"/>
        <v>76060785.786752403</v>
      </c>
      <c r="AM382" s="42">
        <f t="shared" si="132"/>
        <v>0</v>
      </c>
      <c r="AN382" s="42">
        <f t="shared" si="132"/>
        <v>0</v>
      </c>
      <c r="AO382" s="42">
        <f t="shared" si="132"/>
        <v>0</v>
      </c>
      <c r="AP382" s="42">
        <f t="shared" si="132"/>
        <v>0</v>
      </c>
      <c r="AQ382" s="42">
        <f t="shared" si="132"/>
        <v>0</v>
      </c>
      <c r="AR382" s="42">
        <f t="shared" si="132"/>
        <v>0</v>
      </c>
      <c r="AS382" s="42">
        <f t="shared" si="132"/>
        <v>0</v>
      </c>
      <c r="AT382" s="42">
        <f t="shared" si="132"/>
        <v>0</v>
      </c>
      <c r="AU382" s="42">
        <f t="shared" si="132"/>
        <v>0</v>
      </c>
      <c r="AV382" s="42">
        <f t="shared" si="132"/>
        <v>0</v>
      </c>
      <c r="AW382" s="42">
        <f t="shared" si="132"/>
        <v>0</v>
      </c>
    </row>
    <row r="383" spans="3:49">
      <c r="C383" s="501" t="s">
        <v>1673</v>
      </c>
    </row>
    <row r="384" spans="3:49">
      <c r="C384" s="2" t="s">
        <v>1502</v>
      </c>
      <c r="I384" s="42">
        <f>I151+I164+I178</f>
        <v>0</v>
      </c>
      <c r="J384" s="42">
        <f t="shared" ref="J384:AW384" si="133">J151+J164+J178</f>
        <v>0</v>
      </c>
      <c r="K384" s="42">
        <f t="shared" ca="1" si="133"/>
        <v>669050.25973088108</v>
      </c>
      <c r="L384" s="42">
        <f t="shared" ca="1" si="133"/>
        <v>1371189.2717305608</v>
      </c>
      <c r="M384" s="42">
        <f t="shared" ca="1" si="133"/>
        <v>1402726.6249803635</v>
      </c>
      <c r="N384" s="42">
        <f t="shared" ca="1" si="133"/>
        <v>1432467.4954990728</v>
      </c>
      <c r="O384" s="42">
        <f t="shared" ca="1" si="133"/>
        <v>1474895.2419360001</v>
      </c>
      <c r="P384" s="42">
        <f t="shared" ca="1" si="133"/>
        <v>1506166.2448797799</v>
      </c>
      <c r="Q384" s="42">
        <f t="shared" ca="1" si="133"/>
        <v>1542314.2347568944</v>
      </c>
      <c r="R384" s="42">
        <f t="shared" ca="1" si="133"/>
        <v>1575014.6677123958</v>
      </c>
      <c r="S384" s="42">
        <f t="shared" ca="1" si="133"/>
        <v>1621664.468260129</v>
      </c>
      <c r="T384" s="42">
        <f t="shared" ca="1" si="133"/>
        <v>1656047.299609032</v>
      </c>
      <c r="U384" s="42">
        <f t="shared" ca="1" si="133"/>
        <v>1695792.4347996488</v>
      </c>
      <c r="V384" s="42">
        <f t="shared" ca="1" si="133"/>
        <v>1731746.9410675317</v>
      </c>
      <c r="W384" s="42">
        <f t="shared" ca="1" si="133"/>
        <v>1783038.9392031957</v>
      </c>
      <c r="X384" s="42">
        <f t="shared" ca="1" si="133"/>
        <v>1820843.2620671762</v>
      </c>
      <c r="Y384" s="42">
        <f t="shared" ca="1" si="133"/>
        <v>1864543.5003567885</v>
      </c>
      <c r="Z384" s="42">
        <f t="shared" ca="1" si="133"/>
        <v>1904075.8980692711</v>
      </c>
      <c r="AA384" s="42">
        <f t="shared" ca="1" si="133"/>
        <v>1960472.0464312984</v>
      </c>
      <c r="AB384" s="42">
        <f t="shared" ca="1" si="133"/>
        <v>2002038.3390004428</v>
      </c>
      <c r="AC384" s="42">
        <f t="shared" ca="1" si="133"/>
        <v>2050087.2591364535</v>
      </c>
      <c r="AD384" s="42">
        <f t="shared" ca="1" si="133"/>
        <v>2093553.5900951936</v>
      </c>
      <c r="AE384" s="42">
        <f t="shared" ca="1" si="133"/>
        <v>2155561.8109810231</v>
      </c>
      <c r="AF384" s="42">
        <f t="shared" ca="1" si="133"/>
        <v>2201264.4329843367</v>
      </c>
      <c r="AG384" s="42">
        <f t="shared" ca="1" si="133"/>
        <v>2254094.7793759611</v>
      </c>
      <c r="AH384" s="42">
        <f t="shared" ca="1" si="133"/>
        <v>2301886.5156818554</v>
      </c>
      <c r="AI384" s="42">
        <f t="shared" ca="1" si="133"/>
        <v>2370065.2755635278</v>
      </c>
      <c r="AJ384" s="42">
        <f t="shared" ca="1" si="133"/>
        <v>2420315.8398760222</v>
      </c>
      <c r="AK384" s="42">
        <f t="shared" ca="1" si="133"/>
        <v>2478403.420033047</v>
      </c>
      <c r="AL384" s="42">
        <f t="shared" ca="1" si="133"/>
        <v>2537885.1021138402</v>
      </c>
      <c r="AM384" s="42">
        <f t="shared" si="133"/>
        <v>0</v>
      </c>
      <c r="AN384" s="42">
        <f t="shared" si="133"/>
        <v>0</v>
      </c>
      <c r="AO384" s="42">
        <f t="shared" si="133"/>
        <v>0</v>
      </c>
      <c r="AP384" s="42">
        <f t="shared" si="133"/>
        <v>0</v>
      </c>
      <c r="AQ384" s="42">
        <f t="shared" si="133"/>
        <v>0</v>
      </c>
      <c r="AR384" s="42">
        <f t="shared" si="133"/>
        <v>0</v>
      </c>
      <c r="AS384" s="42">
        <f t="shared" si="133"/>
        <v>0</v>
      </c>
      <c r="AT384" s="42">
        <f t="shared" si="133"/>
        <v>0</v>
      </c>
      <c r="AU384" s="42">
        <f t="shared" si="133"/>
        <v>0</v>
      </c>
      <c r="AV384" s="42">
        <f t="shared" si="133"/>
        <v>0</v>
      </c>
      <c r="AW384" s="42">
        <f t="shared" si="133"/>
        <v>0</v>
      </c>
    </row>
    <row r="385" spans="3:49">
      <c r="C385" s="2" t="s">
        <v>971</v>
      </c>
      <c r="I385" s="42">
        <f>I155+I168+I182</f>
        <v>0</v>
      </c>
      <c r="J385" s="42">
        <f t="shared" ref="J385:AW385" si="134">J155+J168+J182</f>
        <v>0</v>
      </c>
      <c r="K385" s="42">
        <f t="shared" ca="1" si="134"/>
        <v>520959.97825720184</v>
      </c>
      <c r="L385" s="42">
        <f t="shared" ca="1" si="134"/>
        <v>968224.18047820078</v>
      </c>
      <c r="M385" s="42">
        <f t="shared" ca="1" si="134"/>
        <v>990493.33662919921</v>
      </c>
      <c r="N385" s="42">
        <f t="shared" ca="1" si="134"/>
        <v>1011493.9603784959</v>
      </c>
      <c r="O385" s="42">
        <f t="shared" ca="1" si="134"/>
        <v>1041453.0410614893</v>
      </c>
      <c r="P385" s="42">
        <f t="shared" ca="1" si="134"/>
        <v>1063534.1219320826</v>
      </c>
      <c r="Q385" s="42">
        <f t="shared" ca="1" si="134"/>
        <v>1089058.9408584526</v>
      </c>
      <c r="R385" s="42">
        <f t="shared" ca="1" si="134"/>
        <v>1112149.3708613529</v>
      </c>
      <c r="S385" s="42">
        <f t="shared" ca="1" si="134"/>
        <v>1145089.7284297836</v>
      </c>
      <c r="T385" s="42">
        <f t="shared" ca="1" si="134"/>
        <v>1169368.1336008627</v>
      </c>
      <c r="U385" s="42">
        <f t="shared" ca="1" si="134"/>
        <v>1197432.9688072838</v>
      </c>
      <c r="V385" s="42">
        <f t="shared" ca="1" si="134"/>
        <v>1222821.1650858205</v>
      </c>
      <c r="W385" s="42">
        <f t="shared" ca="1" si="134"/>
        <v>1259039.4712554091</v>
      </c>
      <c r="X385" s="42">
        <f t="shared" ca="1" si="134"/>
        <v>1285733.8600448677</v>
      </c>
      <c r="Y385" s="42">
        <f t="shared" ca="1" si="134"/>
        <v>1316591.4726859448</v>
      </c>
      <c r="Z385" s="42">
        <f t="shared" ca="1" si="134"/>
        <v>1344506.0897024556</v>
      </c>
      <c r="AA385" s="42">
        <f t="shared" ca="1" si="134"/>
        <v>1384328.5384742694</v>
      </c>
      <c r="AB385" s="42">
        <f t="shared" ca="1" si="134"/>
        <v>1413679.3293446526</v>
      </c>
      <c r="AC385" s="42">
        <f t="shared" ca="1" si="134"/>
        <v>1447607.6332489243</v>
      </c>
      <c r="AD385" s="42">
        <f t="shared" ca="1" si="134"/>
        <v>1478300.0792434919</v>
      </c>
      <c r="AE385" s="42">
        <f t="shared" ca="1" si="134"/>
        <v>1522085.3247146152</v>
      </c>
      <c r="AF385" s="42">
        <f t="shared" ca="1" si="134"/>
        <v>1554356.8605610235</v>
      </c>
      <c r="AG385" s="42">
        <f t="shared" ca="1" si="134"/>
        <v>1591661.4252144881</v>
      </c>
      <c r="AH385" s="42">
        <f t="shared" ca="1" si="134"/>
        <v>1625408.1264704019</v>
      </c>
      <c r="AI385" s="42">
        <f t="shared" ca="1" si="134"/>
        <v>1673550.5129909283</v>
      </c>
      <c r="AJ385" s="42">
        <f t="shared" ca="1" si="134"/>
        <v>1709033.441900244</v>
      </c>
      <c r="AK385" s="42">
        <f t="shared" ca="1" si="134"/>
        <v>1750050.2445058501</v>
      </c>
      <c r="AL385" s="42">
        <f t="shared" ca="1" si="134"/>
        <v>1792051.4503739905</v>
      </c>
      <c r="AM385" s="42">
        <f t="shared" si="134"/>
        <v>0</v>
      </c>
      <c r="AN385" s="42">
        <f t="shared" si="134"/>
        <v>0</v>
      </c>
      <c r="AO385" s="42">
        <f t="shared" si="134"/>
        <v>0</v>
      </c>
      <c r="AP385" s="42">
        <f t="shared" si="134"/>
        <v>0</v>
      </c>
      <c r="AQ385" s="42">
        <f t="shared" si="134"/>
        <v>0</v>
      </c>
      <c r="AR385" s="42">
        <f t="shared" si="134"/>
        <v>0</v>
      </c>
      <c r="AS385" s="42">
        <f t="shared" si="134"/>
        <v>0</v>
      </c>
      <c r="AT385" s="42">
        <f t="shared" si="134"/>
        <v>0</v>
      </c>
      <c r="AU385" s="42">
        <f t="shared" si="134"/>
        <v>0</v>
      </c>
      <c r="AV385" s="42">
        <f t="shared" si="134"/>
        <v>0</v>
      </c>
      <c r="AW385" s="42">
        <f t="shared" si="134"/>
        <v>0</v>
      </c>
    </row>
    <row r="386" spans="3:49">
      <c r="C386" s="2" t="s">
        <v>972</v>
      </c>
      <c r="I386" s="42">
        <f>I156+I169+I183</f>
        <v>0</v>
      </c>
      <c r="J386" s="42">
        <f>J156+J169+J183</f>
        <v>0</v>
      </c>
      <c r="K386" s="42">
        <f ca="1">K156+K169+K183</f>
        <v>1949950.7812037875</v>
      </c>
      <c r="L386" s="42">
        <f ca="1">L156+L169+L183</f>
        <v>3540067.2298475062</v>
      </c>
      <c r="M386" s="42">
        <f ca="1">M156+M169+M183</f>
        <v>3621488.7761339983</v>
      </c>
      <c r="N386" s="42">
        <f t="shared" ref="N386:AW386" ca="1" si="135">N156+N169+N183</f>
        <v>3698272.2540105004</v>
      </c>
      <c r="O386" s="42">
        <f t="shared" ca="1" si="135"/>
        <v>3807810.0675671101</v>
      </c>
      <c r="P386" s="42">
        <f t="shared" ca="1" si="135"/>
        <v>3888543.9640816478</v>
      </c>
      <c r="Q386" s="42">
        <f t="shared" ca="1" si="135"/>
        <v>3981869.0192196071</v>
      </c>
      <c r="R386" s="42">
        <f t="shared" ca="1" si="135"/>
        <v>4066293.3459659023</v>
      </c>
      <c r="S386" s="42">
        <f t="shared" ca="1" si="135"/>
        <v>4186731.4456525533</v>
      </c>
      <c r="T386" s="42">
        <f t="shared" ca="1" si="135"/>
        <v>4275499.3036259515</v>
      </c>
      <c r="U386" s="42">
        <f t="shared" ca="1" si="135"/>
        <v>4378111.286912974</v>
      </c>
      <c r="V386" s="42">
        <f t="shared" ca="1" si="135"/>
        <v>4470936.8158376869</v>
      </c>
      <c r="W386" s="42">
        <f t="shared" ca="1" si="135"/>
        <v>4603359.9068704052</v>
      </c>
      <c r="X386" s="42">
        <f t="shared" ca="1" si="135"/>
        <v>4700961.1988849249</v>
      </c>
      <c r="Y386" s="42">
        <f t="shared" ca="1" si="135"/>
        <v>4813784.2676581629</v>
      </c>
      <c r="Z386" s="42">
        <f t="shared" ca="1" si="135"/>
        <v>4915847.0160653414</v>
      </c>
      <c r="AA386" s="42">
        <f t="shared" ca="1" si="135"/>
        <v>5061447.7444418557</v>
      </c>
      <c r="AB386" s="42">
        <f t="shared" ca="1" si="135"/>
        <v>5168761.4998977818</v>
      </c>
      <c r="AC386" s="42">
        <f t="shared" ca="1" si="135"/>
        <v>5292811.7758953283</v>
      </c>
      <c r="AD386" s="42">
        <f t="shared" ca="1" si="135"/>
        <v>5405030.9545317972</v>
      </c>
      <c r="AE386" s="42">
        <f t="shared" ca="1" si="135"/>
        <v>5565120.6483944301</v>
      </c>
      <c r="AF386" s="42">
        <f t="shared" ca="1" si="135"/>
        <v>5683113.3703385293</v>
      </c>
      <c r="AG386" s="42">
        <f t="shared" ca="1" si="135"/>
        <v>5819508.0912266541</v>
      </c>
      <c r="AH386" s="42">
        <f t="shared" ca="1" si="135"/>
        <v>5942894.3829969242</v>
      </c>
      <c r="AI386" s="42">
        <f t="shared" ca="1" si="135"/>
        <v>6118914.8628859883</v>
      </c>
      <c r="AJ386" s="42">
        <f t="shared" ca="1" si="135"/>
        <v>6248649.2326564668</v>
      </c>
      <c r="AK386" s="42">
        <f t="shared" ca="1" si="135"/>
        <v>6398616.8142402228</v>
      </c>
      <c r="AL386" s="42">
        <f t="shared" ca="1" si="135"/>
        <v>6552183.6177819883</v>
      </c>
      <c r="AM386" s="42">
        <f t="shared" si="135"/>
        <v>0</v>
      </c>
      <c r="AN386" s="42">
        <f t="shared" si="135"/>
        <v>0</v>
      </c>
      <c r="AO386" s="42">
        <f t="shared" si="135"/>
        <v>0</v>
      </c>
      <c r="AP386" s="42">
        <f t="shared" si="135"/>
        <v>0</v>
      </c>
      <c r="AQ386" s="42">
        <f t="shared" si="135"/>
        <v>0</v>
      </c>
      <c r="AR386" s="42">
        <f t="shared" si="135"/>
        <v>0</v>
      </c>
      <c r="AS386" s="42">
        <f t="shared" si="135"/>
        <v>0</v>
      </c>
      <c r="AT386" s="42">
        <f t="shared" si="135"/>
        <v>0</v>
      </c>
      <c r="AU386" s="42">
        <f t="shared" si="135"/>
        <v>0</v>
      </c>
      <c r="AV386" s="42">
        <f t="shared" si="135"/>
        <v>0</v>
      </c>
      <c r="AW386" s="42">
        <f t="shared" si="135"/>
        <v>0</v>
      </c>
    </row>
    <row r="387" spans="3:49">
      <c r="C387" s="2" t="s">
        <v>973</v>
      </c>
      <c r="I387" s="42">
        <f>I170+I184+I198</f>
        <v>0</v>
      </c>
      <c r="J387" s="42">
        <f>J170+J184+J198</f>
        <v>0</v>
      </c>
      <c r="K387" s="42">
        <f ca="1">K170+K184+K198</f>
        <v>1669517.73</v>
      </c>
      <c r="L387" s="42">
        <f ca="1">L170+L184+L198</f>
        <v>3568854.3526410926</v>
      </c>
      <c r="M387" s="42">
        <f ca="1">M170+M184+M198</f>
        <v>3662975.2255851375</v>
      </c>
      <c r="N387" s="42">
        <f t="shared" ref="N387:AW387" ca="1" si="136">N170+N184+N198</f>
        <v>3751236.4191053789</v>
      </c>
      <c r="O387" s="42">
        <f t="shared" ca="1" si="136"/>
        <v>3873471.5058062919</v>
      </c>
      <c r="P387" s="42">
        <f t="shared" ca="1" si="136"/>
        <v>3966872.8228823575</v>
      </c>
      <c r="Q387" s="42">
        <f t="shared" ca="1" si="136"/>
        <v>4073691.2828165796</v>
      </c>
      <c r="R387" s="42">
        <f t="shared" ca="1" si="136"/>
        <v>4171991.6769712921</v>
      </c>
      <c r="S387" s="42">
        <f t="shared" ca="1" si="136"/>
        <v>4308086.7093326636</v>
      </c>
      <c r="T387" s="42">
        <f t="shared" ca="1" si="136"/>
        <v>4412118.9902313091</v>
      </c>
      <c r="U387" s="42">
        <f t="shared" ca="1" si="136"/>
        <v>4531082.0148570184</v>
      </c>
      <c r="V387" s="42">
        <f t="shared" ca="1" si="136"/>
        <v>4640578.403704742</v>
      </c>
      <c r="W387" s="42">
        <f t="shared" ca="1" si="136"/>
        <v>4792125.6417449974</v>
      </c>
      <c r="X387" s="42">
        <f t="shared" ca="1" si="136"/>
        <v>4908014.6486371625</v>
      </c>
      <c r="Y387" s="42">
        <f t="shared" ca="1" si="136"/>
        <v>5040521.032960929</v>
      </c>
      <c r="Z387" s="42">
        <f t="shared" ca="1" si="136"/>
        <v>5162505.1417876314</v>
      </c>
      <c r="AA387" s="42">
        <f t="shared" ca="1" si="136"/>
        <v>5331282.0510067865</v>
      </c>
      <c r="AB387" s="42">
        <f t="shared" ca="1" si="136"/>
        <v>5460396.6065673353</v>
      </c>
      <c r="AC387" s="42">
        <f t="shared" ca="1" si="136"/>
        <v>5608008.2398187462</v>
      </c>
      <c r="AD387" s="42">
        <f t="shared" ca="1" si="136"/>
        <v>5743922.6413491443</v>
      </c>
      <c r="AE387" s="42">
        <f t="shared" ca="1" si="136"/>
        <v>5931913.6835178742</v>
      </c>
      <c r="AF387" s="42">
        <f t="shared" ca="1" si="136"/>
        <v>6075782.5551225115</v>
      </c>
      <c r="AG387" s="42">
        <f t="shared" ca="1" si="136"/>
        <v>6240243.652095438</v>
      </c>
      <c r="AH387" s="42">
        <f t="shared" ca="1" si="136"/>
        <v>6391699.5791688617</v>
      </c>
      <c r="AI387" s="42">
        <f t="shared" ca="1" si="136"/>
        <v>6601120.5936570074</v>
      </c>
      <c r="AJ387" s="42">
        <f t="shared" ca="1" si="136"/>
        <v>6761451.3903434835</v>
      </c>
      <c r="AK387" s="42">
        <f t="shared" ca="1" si="136"/>
        <v>6944710.0134764425</v>
      </c>
      <c r="AL387" s="42">
        <f t="shared" ca="1" si="136"/>
        <v>7132996.3572575338</v>
      </c>
      <c r="AM387" s="42">
        <f t="shared" si="136"/>
        <v>0</v>
      </c>
      <c r="AN387" s="42">
        <f t="shared" si="136"/>
        <v>0</v>
      </c>
      <c r="AO387" s="42">
        <f t="shared" si="136"/>
        <v>0</v>
      </c>
      <c r="AP387" s="42">
        <f t="shared" si="136"/>
        <v>0</v>
      </c>
      <c r="AQ387" s="42">
        <f t="shared" si="136"/>
        <v>0</v>
      </c>
      <c r="AR387" s="42">
        <f t="shared" si="136"/>
        <v>0</v>
      </c>
      <c r="AS387" s="42">
        <f t="shared" si="136"/>
        <v>0</v>
      </c>
      <c r="AT387" s="42">
        <f t="shared" si="136"/>
        <v>0</v>
      </c>
      <c r="AU387" s="42">
        <f t="shared" si="136"/>
        <v>0</v>
      </c>
      <c r="AV387" s="42">
        <f t="shared" si="136"/>
        <v>0</v>
      </c>
      <c r="AW387" s="42">
        <f t="shared" si="136"/>
        <v>0</v>
      </c>
    </row>
    <row r="388" spans="3:49" ht="11.25" thickBot="1">
      <c r="C388" s="1518" t="s">
        <v>1024</v>
      </c>
      <c r="D388" s="1518"/>
      <c r="E388" s="1518"/>
      <c r="F388" s="1518"/>
      <c r="G388" s="1518"/>
      <c r="H388" s="1518"/>
      <c r="I388" s="1518"/>
      <c r="J388" s="1518"/>
      <c r="K388" s="1518"/>
      <c r="L388" s="1521">
        <f ca="1">SUM(L384:L387)</f>
        <v>9448335.0346973613</v>
      </c>
      <c r="M388" s="1521">
        <f t="shared" ref="M388:AW388" ca="1" si="137">SUM(M384:M387)</f>
        <v>9677683.9633286987</v>
      </c>
      <c r="N388" s="1521">
        <f t="shared" ca="1" si="137"/>
        <v>9893470.1289934479</v>
      </c>
      <c r="O388" s="1521">
        <f t="shared" ca="1" si="137"/>
        <v>10197629.856370891</v>
      </c>
      <c r="P388" s="1521">
        <f t="shared" ca="1" si="137"/>
        <v>10425117.153775867</v>
      </c>
      <c r="Q388" s="1521">
        <f t="shared" ca="1" si="137"/>
        <v>10686933.477651533</v>
      </c>
      <c r="R388" s="1521">
        <f t="shared" ca="1" si="137"/>
        <v>10925449.061510943</v>
      </c>
      <c r="S388" s="1521">
        <f t="shared" ca="1" si="137"/>
        <v>11261572.35167513</v>
      </c>
      <c r="T388" s="1521">
        <f t="shared" ca="1" si="137"/>
        <v>11513033.727067156</v>
      </c>
      <c r="U388" s="1521">
        <f t="shared" ca="1" si="137"/>
        <v>11802418.705376925</v>
      </c>
      <c r="V388" s="1521">
        <f t="shared" ca="1" si="137"/>
        <v>12066083.325695781</v>
      </c>
      <c r="W388" s="1521">
        <f t="shared" ca="1" si="137"/>
        <v>12437563.959074007</v>
      </c>
      <c r="X388" s="1521">
        <f t="shared" ca="1" si="137"/>
        <v>12715552.969634131</v>
      </c>
      <c r="Y388" s="1521">
        <f t="shared" ca="1" si="137"/>
        <v>13035440.273661826</v>
      </c>
      <c r="Z388" s="1521">
        <f t="shared" ca="1" si="137"/>
        <v>13326934.145624699</v>
      </c>
      <c r="AA388" s="1521">
        <f t="shared" ca="1" si="137"/>
        <v>13737530.380354211</v>
      </c>
      <c r="AB388" s="1521">
        <f t="shared" ca="1" si="137"/>
        <v>14044875.774810214</v>
      </c>
      <c r="AC388" s="1521">
        <f t="shared" ca="1" si="137"/>
        <v>14398514.908099452</v>
      </c>
      <c r="AD388" s="1521">
        <f t="shared" ca="1" si="137"/>
        <v>14720807.265219627</v>
      </c>
      <c r="AE388" s="1521">
        <f t="shared" ca="1" si="137"/>
        <v>15174681.467607941</v>
      </c>
      <c r="AF388" s="1521">
        <f t="shared" ca="1" si="137"/>
        <v>15514517.219006401</v>
      </c>
      <c r="AG388" s="1521">
        <f t="shared" ca="1" si="137"/>
        <v>15905507.94791254</v>
      </c>
      <c r="AH388" s="1521">
        <f t="shared" ca="1" si="137"/>
        <v>16261888.604318043</v>
      </c>
      <c r="AI388" s="1521">
        <f t="shared" ca="1" si="137"/>
        <v>16763651.245097453</v>
      </c>
      <c r="AJ388" s="1521">
        <f t="shared" ca="1" si="137"/>
        <v>17139449.904776216</v>
      </c>
      <c r="AK388" s="1521">
        <f t="shared" ca="1" si="137"/>
        <v>17571780.492255561</v>
      </c>
      <c r="AL388" s="1521">
        <f t="shared" ca="1" si="137"/>
        <v>18015116.527527355</v>
      </c>
      <c r="AM388" s="1521">
        <f t="shared" si="137"/>
        <v>0</v>
      </c>
      <c r="AN388" s="1521">
        <f t="shared" si="137"/>
        <v>0</v>
      </c>
      <c r="AO388" s="1521">
        <f t="shared" si="137"/>
        <v>0</v>
      </c>
      <c r="AP388" s="1521">
        <f t="shared" si="137"/>
        <v>0</v>
      </c>
      <c r="AQ388" s="1521">
        <f t="shared" si="137"/>
        <v>0</v>
      </c>
      <c r="AR388" s="1521">
        <f t="shared" si="137"/>
        <v>0</v>
      </c>
      <c r="AS388" s="1521">
        <f t="shared" si="137"/>
        <v>0</v>
      </c>
      <c r="AT388" s="1521">
        <f t="shared" si="137"/>
        <v>0</v>
      </c>
      <c r="AU388" s="1521">
        <f t="shared" si="137"/>
        <v>0</v>
      </c>
      <c r="AV388" s="1521">
        <f t="shared" si="137"/>
        <v>0</v>
      </c>
      <c r="AW388" s="1521">
        <f t="shared" si="137"/>
        <v>0</v>
      </c>
    </row>
    <row r="389" spans="3:49" ht="11.25" thickTop="1"/>
    <row r="391" spans="3:49" ht="11.25" thickBot="1">
      <c r="C391" s="1518" t="s">
        <v>970</v>
      </c>
      <c r="D391" s="1518"/>
      <c r="E391" s="1518"/>
      <c r="F391" s="1518"/>
      <c r="G391" s="1518"/>
      <c r="H391" s="1518"/>
      <c r="I391" s="1521">
        <f>I154+I167+I181</f>
        <v>0</v>
      </c>
      <c r="J391" s="1521">
        <f t="shared" ref="J391:AW391" si="138">J154+J167+J181</f>
        <v>0</v>
      </c>
      <c r="K391" s="1521">
        <f t="shared" ca="1" si="138"/>
        <v>9064495.497197248</v>
      </c>
      <c r="L391" s="1521">
        <f t="shared" ca="1" si="138"/>
        <v>16049670.883398969</v>
      </c>
      <c r="M391" s="1521">
        <f t="shared" ca="1" si="138"/>
        <v>16418813.313717142</v>
      </c>
      <c r="N391" s="1521">
        <f t="shared" ca="1" si="138"/>
        <v>16766928.044084478</v>
      </c>
      <c r="O391" s="1521">
        <f t="shared" ca="1" si="138"/>
        <v>17263541.736064114</v>
      </c>
      <c r="P391" s="1521">
        <f t="shared" ca="1" si="138"/>
        <v>17629566.55538613</v>
      </c>
      <c r="Q391" s="1521">
        <f t="shared" ca="1" si="138"/>
        <v>18052676.152715396</v>
      </c>
      <c r="R391" s="1521">
        <f t="shared" ca="1" si="138"/>
        <v>18435432.346554391</v>
      </c>
      <c r="S391" s="1521">
        <f t="shared" ca="1" si="138"/>
        <v>18981464.87539877</v>
      </c>
      <c r="T391" s="1521">
        <f t="shared" ca="1" si="138"/>
        <v>19383913.420297932</v>
      </c>
      <c r="U391" s="1521">
        <f t="shared" ca="1" si="138"/>
        <v>19849127.342385083</v>
      </c>
      <c r="V391" s="1521">
        <f t="shared" ca="1" si="138"/>
        <v>20269972.22811434</v>
      </c>
      <c r="W391" s="1521">
        <f t="shared" ca="1" si="138"/>
        <v>20870341.342722669</v>
      </c>
      <c r="X391" s="1521">
        <f t="shared" ca="1" si="138"/>
        <v>21312838.197420835</v>
      </c>
      <c r="Y391" s="1521">
        <f t="shared" ca="1" si="138"/>
        <v>21824346.314158935</v>
      </c>
      <c r="Z391" s="1521">
        <f t="shared" ca="1" si="138"/>
        <v>22287070.159508318</v>
      </c>
      <c r="AA391" s="1521">
        <f t="shared" ca="1" si="138"/>
        <v>22947182.981977757</v>
      </c>
      <c r="AB391" s="1521">
        <f t="shared" ca="1" si="138"/>
        <v>23433713.418972693</v>
      </c>
      <c r="AC391" s="1521">
        <f t="shared" ca="1" si="138"/>
        <v>23996122.541028038</v>
      </c>
      <c r="AD391" s="1521">
        <f t="shared" ca="1" si="138"/>
        <v>24504892.789438911</v>
      </c>
      <c r="AE391" s="1521">
        <f t="shared" ca="1" si="138"/>
        <v>25230694.513388097</v>
      </c>
      <c r="AF391" s="1521">
        <f t="shared" ca="1" si="138"/>
        <v>25765640.386130966</v>
      </c>
      <c r="AG391" s="1521">
        <f t="shared" ca="1" si="138"/>
        <v>26384015.75539811</v>
      </c>
      <c r="AH391" s="1521">
        <f t="shared" ca="1" si="138"/>
        <v>26943414.559392344</v>
      </c>
      <c r="AI391" s="1521">
        <f t="shared" ca="1" si="138"/>
        <v>27741441.99433434</v>
      </c>
      <c r="AJ391" s="1521">
        <f t="shared" ca="1" si="138"/>
        <v>28329621.201645907</v>
      </c>
      <c r="AK391" s="1521">
        <f t="shared" ca="1" si="138"/>
        <v>29009532.110485408</v>
      </c>
      <c r="AL391" s="1521">
        <f t="shared" ca="1" si="138"/>
        <v>29705760.881137066</v>
      </c>
      <c r="AM391" s="1521">
        <f t="shared" si="138"/>
        <v>0</v>
      </c>
      <c r="AN391" s="1521">
        <f t="shared" si="138"/>
        <v>0</v>
      </c>
      <c r="AO391" s="1521">
        <f t="shared" si="138"/>
        <v>0</v>
      </c>
      <c r="AP391" s="1521">
        <f t="shared" si="138"/>
        <v>0</v>
      </c>
      <c r="AQ391" s="1521">
        <f t="shared" si="138"/>
        <v>0</v>
      </c>
      <c r="AR391" s="1521">
        <f t="shared" si="138"/>
        <v>0</v>
      </c>
      <c r="AS391" s="1521">
        <f t="shared" si="138"/>
        <v>0</v>
      </c>
      <c r="AT391" s="1521">
        <f t="shared" si="138"/>
        <v>0</v>
      </c>
      <c r="AU391" s="1521">
        <f t="shared" si="138"/>
        <v>0</v>
      </c>
      <c r="AV391" s="1521">
        <f t="shared" si="138"/>
        <v>0</v>
      </c>
      <c r="AW391" s="1521">
        <f t="shared" si="138"/>
        <v>0</v>
      </c>
    </row>
    <row r="392" spans="3:49" ht="11.25" thickTop="1"/>
    <row r="396" spans="3:49">
      <c r="C396" s="501" t="s">
        <v>863</v>
      </c>
    </row>
    <row r="398" spans="3:49">
      <c r="C398" s="2" t="s">
        <v>1666</v>
      </c>
      <c r="I398" s="42">
        <f t="shared" ref="I398:AW398" si="139">I194</f>
        <v>0</v>
      </c>
      <c r="J398" s="42">
        <f t="shared" si="139"/>
        <v>0</v>
      </c>
      <c r="K398" s="42">
        <f t="shared" ca="1" si="139"/>
        <v>1327542.9670799996</v>
      </c>
      <c r="L398" s="42">
        <f t="shared" ca="1" si="139"/>
        <v>1358076.4553228396</v>
      </c>
      <c r="M398" s="42">
        <f t="shared" ca="1" si="139"/>
        <v>1389312.2137952645</v>
      </c>
      <c r="N398" s="42">
        <f t="shared" ca="1" si="139"/>
        <v>1418768.6694757326</v>
      </c>
      <c r="O398" s="42">
        <f t="shared" ca="1" si="139"/>
        <v>1460790.6752457139</v>
      </c>
      <c r="P398" s="42">
        <f t="shared" ca="1" si="139"/>
        <v>1491762.6305460054</v>
      </c>
      <c r="Q398" s="42">
        <f t="shared" ca="1" si="139"/>
        <v>1527564.9336791097</v>
      </c>
      <c r="R398" s="42">
        <f t="shared" ca="1" si="139"/>
        <v>1559952.6492128528</v>
      </c>
      <c r="S398" s="42">
        <f t="shared" ca="1" si="139"/>
        <v>1606156.3331794173</v>
      </c>
      <c r="T398" s="42">
        <f t="shared" ca="1" si="139"/>
        <v>1640210.3581670462</v>
      </c>
      <c r="U398" s="42">
        <f t="shared" ca="1" si="139"/>
        <v>1679575.4067630554</v>
      </c>
      <c r="V398" s="42">
        <f t="shared" ca="1" si="139"/>
        <v>1715186.0765895071</v>
      </c>
      <c r="W398" s="42">
        <f t="shared" ca="1" si="139"/>
        <v>1765987.5643568325</v>
      </c>
      <c r="X398" s="42">
        <f t="shared" ca="1" si="139"/>
        <v>1803430.3608033052</v>
      </c>
      <c r="Y398" s="42">
        <f t="shared" ca="1" si="139"/>
        <v>1846712.6894625847</v>
      </c>
      <c r="Z398" s="42">
        <f t="shared" ca="1" si="139"/>
        <v>1885867.0350096603</v>
      </c>
      <c r="AA398" s="42">
        <f t="shared" ca="1" si="139"/>
        <v>1941723.8615181549</v>
      </c>
      <c r="AB398" s="42">
        <f t="shared" ca="1" si="139"/>
        <v>1982892.6515875012</v>
      </c>
      <c r="AC398" s="42">
        <f t="shared" ca="1" si="139"/>
        <v>2030482.0752256014</v>
      </c>
      <c r="AD398" s="42">
        <f t="shared" ca="1" si="139"/>
        <v>2073532.7334325707</v>
      </c>
      <c r="AE398" s="42">
        <f t="shared" ca="1" si="139"/>
        <v>2134947.9636693271</v>
      </c>
      <c r="AF398" s="42">
        <f t="shared" ca="1" si="139"/>
        <v>2180213.5270520425</v>
      </c>
      <c r="AG398" s="42">
        <f t="shared" ca="1" si="139"/>
        <v>2232538.651701292</v>
      </c>
      <c r="AH398" s="42">
        <f t="shared" ca="1" si="139"/>
        <v>2279873.3509832649</v>
      </c>
      <c r="AI398" s="42">
        <f t="shared" ca="1" si="139"/>
        <v>2347400.1107511185</v>
      </c>
      <c r="AJ398" s="42">
        <f t="shared" ca="1" si="139"/>
        <v>2397170.1240282459</v>
      </c>
      <c r="AK398" s="42">
        <f t="shared" ca="1" si="139"/>
        <v>2454702.2070049238</v>
      </c>
      <c r="AL398" s="42">
        <f t="shared" ca="1" si="139"/>
        <v>2513615.0599730425</v>
      </c>
      <c r="AM398" s="42">
        <f t="shared" si="139"/>
        <v>0</v>
      </c>
      <c r="AN398" s="42">
        <f t="shared" si="139"/>
        <v>0</v>
      </c>
      <c r="AO398" s="42">
        <f t="shared" si="139"/>
        <v>0</v>
      </c>
      <c r="AP398" s="42">
        <f t="shared" si="139"/>
        <v>0</v>
      </c>
      <c r="AQ398" s="42">
        <f t="shared" si="139"/>
        <v>0</v>
      </c>
      <c r="AR398" s="42">
        <f t="shared" si="139"/>
        <v>0</v>
      </c>
      <c r="AS398" s="42">
        <f t="shared" si="139"/>
        <v>0</v>
      </c>
      <c r="AT398" s="42">
        <f t="shared" si="139"/>
        <v>0</v>
      </c>
      <c r="AU398" s="42">
        <f t="shared" si="139"/>
        <v>0</v>
      </c>
      <c r="AV398" s="42">
        <f t="shared" si="139"/>
        <v>0</v>
      </c>
      <c r="AW398" s="42">
        <f t="shared" si="139"/>
        <v>0</v>
      </c>
    </row>
    <row r="400" spans="3:49">
      <c r="C400" s="2" t="s">
        <v>1667</v>
      </c>
      <c r="I400" s="188">
        <f t="shared" ref="I400:AW400" si="140">I193</f>
        <v>0</v>
      </c>
      <c r="J400" s="188">
        <f t="shared" si="140"/>
        <v>0</v>
      </c>
      <c r="K400" s="188">
        <f t="shared" ca="1" si="140"/>
        <v>0</v>
      </c>
      <c r="L400" s="188">
        <f t="shared" ca="1" si="140"/>
        <v>0</v>
      </c>
      <c r="M400" s="188">
        <f ca="1">M193</f>
        <v>0</v>
      </c>
      <c r="N400" s="188">
        <f t="shared" ca="1" si="140"/>
        <v>0</v>
      </c>
      <c r="O400" s="188">
        <f t="shared" ca="1" si="140"/>
        <v>0</v>
      </c>
      <c r="P400" s="188">
        <f t="shared" ca="1" si="140"/>
        <v>0</v>
      </c>
      <c r="Q400" s="188">
        <f t="shared" ca="1" si="140"/>
        <v>0</v>
      </c>
      <c r="R400" s="188">
        <f t="shared" ca="1" si="140"/>
        <v>0</v>
      </c>
      <c r="S400" s="188">
        <f t="shared" ca="1" si="140"/>
        <v>0</v>
      </c>
      <c r="T400" s="188">
        <f t="shared" ca="1" si="140"/>
        <v>0</v>
      </c>
      <c r="U400" s="188">
        <f t="shared" ca="1" si="140"/>
        <v>0</v>
      </c>
      <c r="V400" s="188">
        <f t="shared" ca="1" si="140"/>
        <v>0</v>
      </c>
      <c r="W400" s="188">
        <f t="shared" ca="1" si="140"/>
        <v>0</v>
      </c>
      <c r="X400" s="188">
        <f t="shared" ca="1" si="140"/>
        <v>0</v>
      </c>
      <c r="Y400" s="188">
        <f t="shared" ca="1" si="140"/>
        <v>0</v>
      </c>
      <c r="Z400" s="188">
        <f t="shared" ca="1" si="140"/>
        <v>0</v>
      </c>
      <c r="AA400" s="188">
        <f t="shared" ca="1" si="140"/>
        <v>0</v>
      </c>
      <c r="AB400" s="188">
        <f t="shared" ca="1" si="140"/>
        <v>0</v>
      </c>
      <c r="AC400" s="188">
        <f t="shared" ca="1" si="140"/>
        <v>0</v>
      </c>
      <c r="AD400" s="188">
        <f t="shared" ca="1" si="140"/>
        <v>0</v>
      </c>
      <c r="AE400" s="188">
        <f t="shared" ca="1" si="140"/>
        <v>0</v>
      </c>
      <c r="AF400" s="188">
        <f t="shared" ca="1" si="140"/>
        <v>0</v>
      </c>
      <c r="AG400" s="188">
        <f t="shared" ca="1" si="140"/>
        <v>0</v>
      </c>
      <c r="AH400" s="188">
        <f t="shared" ca="1" si="140"/>
        <v>0</v>
      </c>
      <c r="AI400" s="188">
        <f t="shared" ca="1" si="140"/>
        <v>0</v>
      </c>
      <c r="AJ400" s="188">
        <f t="shared" ca="1" si="140"/>
        <v>0</v>
      </c>
      <c r="AK400" s="188">
        <f t="shared" ca="1" si="140"/>
        <v>0</v>
      </c>
      <c r="AL400" s="188">
        <f t="shared" ca="1" si="140"/>
        <v>0</v>
      </c>
      <c r="AM400" s="188">
        <f t="shared" si="140"/>
        <v>0</v>
      </c>
      <c r="AN400" s="188">
        <f t="shared" si="140"/>
        <v>0</v>
      </c>
      <c r="AO400" s="188">
        <f t="shared" si="140"/>
        <v>0</v>
      </c>
      <c r="AP400" s="188">
        <f t="shared" si="140"/>
        <v>0</v>
      </c>
      <c r="AQ400" s="188">
        <f t="shared" si="140"/>
        <v>0</v>
      </c>
      <c r="AR400" s="188">
        <f t="shared" si="140"/>
        <v>0</v>
      </c>
      <c r="AS400" s="188">
        <f t="shared" si="140"/>
        <v>0</v>
      </c>
      <c r="AT400" s="188">
        <f t="shared" si="140"/>
        <v>0</v>
      </c>
      <c r="AU400" s="188">
        <f t="shared" si="140"/>
        <v>0</v>
      </c>
      <c r="AV400" s="188">
        <f t="shared" si="140"/>
        <v>0</v>
      </c>
      <c r="AW400" s="188">
        <f t="shared" si="140"/>
        <v>0</v>
      </c>
    </row>
    <row r="402" spans="3:49">
      <c r="C402" s="501" t="s">
        <v>1663</v>
      </c>
      <c r="L402" s="17">
        <f>$E$426/$D$431</f>
        <v>0.35740931752953758</v>
      </c>
      <c r="M402" s="17">
        <f t="shared" ref="M402:AW402" si="141">$E$426/$D$431</f>
        <v>0.35740931752953758</v>
      </c>
      <c r="N402" s="17">
        <f t="shared" si="141"/>
        <v>0.35740931752953758</v>
      </c>
      <c r="O402" s="17">
        <f t="shared" si="141"/>
        <v>0.35740931752953758</v>
      </c>
      <c r="P402" s="17">
        <f t="shared" si="141"/>
        <v>0.35740931752953758</v>
      </c>
      <c r="Q402" s="17">
        <f t="shared" si="141"/>
        <v>0.35740931752953758</v>
      </c>
      <c r="R402" s="17">
        <f t="shared" si="141"/>
        <v>0.35740931752953758</v>
      </c>
      <c r="S402" s="17">
        <f t="shared" si="141"/>
        <v>0.35740931752953758</v>
      </c>
      <c r="T402" s="17">
        <f t="shared" si="141"/>
        <v>0.35740931752953758</v>
      </c>
      <c r="U402" s="17">
        <f t="shared" si="141"/>
        <v>0.35740931752953758</v>
      </c>
      <c r="V402" s="17">
        <f t="shared" si="141"/>
        <v>0.35740931752953758</v>
      </c>
      <c r="W402" s="17">
        <f t="shared" si="141"/>
        <v>0.35740931752953758</v>
      </c>
      <c r="X402" s="17">
        <f t="shared" si="141"/>
        <v>0.35740931752953758</v>
      </c>
      <c r="Y402" s="17">
        <f t="shared" si="141"/>
        <v>0.35740931752953758</v>
      </c>
      <c r="Z402" s="17">
        <f t="shared" si="141"/>
        <v>0.35740931752953758</v>
      </c>
      <c r="AA402" s="17">
        <f t="shared" si="141"/>
        <v>0.35740931752953758</v>
      </c>
      <c r="AB402" s="17">
        <f t="shared" si="141"/>
        <v>0.35740931752953758</v>
      </c>
      <c r="AC402" s="17">
        <f t="shared" si="141"/>
        <v>0.35740931752953758</v>
      </c>
      <c r="AD402" s="17">
        <f t="shared" si="141"/>
        <v>0.35740931752953758</v>
      </c>
      <c r="AE402" s="17">
        <f t="shared" si="141"/>
        <v>0.35740931752953758</v>
      </c>
      <c r="AF402" s="17">
        <f t="shared" si="141"/>
        <v>0.35740931752953758</v>
      </c>
      <c r="AG402" s="17">
        <f t="shared" si="141"/>
        <v>0.35740931752953758</v>
      </c>
      <c r="AH402" s="17">
        <f t="shared" si="141"/>
        <v>0.35740931752953758</v>
      </c>
      <c r="AI402" s="17">
        <f t="shared" si="141"/>
        <v>0.35740931752953758</v>
      </c>
      <c r="AJ402" s="17">
        <f t="shared" si="141"/>
        <v>0.35740931752953758</v>
      </c>
      <c r="AK402" s="17">
        <f t="shared" si="141"/>
        <v>0.35740931752953758</v>
      </c>
      <c r="AL402" s="17">
        <f t="shared" si="141"/>
        <v>0.35740931752953758</v>
      </c>
      <c r="AM402" s="17">
        <f t="shared" si="141"/>
        <v>0.35740931752953758</v>
      </c>
      <c r="AN402" s="17">
        <f t="shared" si="141"/>
        <v>0.35740931752953758</v>
      </c>
      <c r="AO402" s="17">
        <f t="shared" si="141"/>
        <v>0.35740931752953758</v>
      </c>
      <c r="AP402" s="17">
        <f t="shared" si="141"/>
        <v>0.35740931752953758</v>
      </c>
      <c r="AQ402" s="17">
        <f t="shared" si="141"/>
        <v>0.35740931752953758</v>
      </c>
      <c r="AR402" s="17">
        <f t="shared" si="141"/>
        <v>0.35740931752953758</v>
      </c>
      <c r="AS402" s="17">
        <f t="shared" si="141"/>
        <v>0.35740931752953758</v>
      </c>
      <c r="AT402" s="17">
        <f t="shared" si="141"/>
        <v>0.35740931752953758</v>
      </c>
      <c r="AU402" s="17">
        <f t="shared" si="141"/>
        <v>0.35740931752953758</v>
      </c>
      <c r="AV402" s="17">
        <f t="shared" si="141"/>
        <v>0.35740931752953758</v>
      </c>
      <c r="AW402" s="17">
        <f t="shared" si="141"/>
        <v>0.35740931752953758</v>
      </c>
    </row>
    <row r="403" spans="3:49">
      <c r="L403" s="42">
        <f ca="1">L402*L214</f>
        <v>22856919.792282265</v>
      </c>
      <c r="M403" s="42">
        <f t="shared" ref="M403:AW403" ca="1" si="142">M402*M214</f>
        <v>23382628.947504751</v>
      </c>
      <c r="N403" s="42">
        <f t="shared" ca="1" si="142"/>
        <v>23878391.790763322</v>
      </c>
      <c r="O403" s="42">
        <f t="shared" ca="1" si="142"/>
        <v>24585637.403947134</v>
      </c>
      <c r="P403" s="42">
        <f t="shared" ca="1" si="142"/>
        <v>25106906.656008955</v>
      </c>
      <c r="Q403" s="42">
        <f t="shared" ca="1" si="142"/>
        <v>25709472.415753167</v>
      </c>
      <c r="R403" s="42">
        <f t="shared" ca="1" si="142"/>
        <v>26254569.426535256</v>
      </c>
      <c r="S403" s="42">
        <f t="shared" ca="1" si="142"/>
        <v>27032194.201924421</v>
      </c>
      <c r="T403" s="42">
        <f t="shared" ca="1" si="142"/>
        <v>27605335.805768494</v>
      </c>
      <c r="U403" s="42">
        <f t="shared" ca="1" si="142"/>
        <v>28267863.865106944</v>
      </c>
      <c r="V403" s="42">
        <f t="shared" ca="1" si="142"/>
        <v>28867204.366727781</v>
      </c>
      <c r="W403" s="42">
        <f t="shared" ca="1" si="142"/>
        <v>29722211.849314868</v>
      </c>
      <c r="X403" s="42">
        <f t="shared" ca="1" si="142"/>
        <v>30352387.707103614</v>
      </c>
      <c r="Y403" s="42">
        <f t="shared" ca="1" si="142"/>
        <v>31080845.012074109</v>
      </c>
      <c r="Z403" s="42">
        <f t="shared" ca="1" si="142"/>
        <v>31739826.862603329</v>
      </c>
      <c r="AA403" s="42">
        <f t="shared" ca="1" si="142"/>
        <v>32679917.531543314</v>
      </c>
      <c r="AB403" s="42">
        <f t="shared" ca="1" si="142"/>
        <v>33372803.214725755</v>
      </c>
      <c r="AC403" s="42">
        <f t="shared" ca="1" si="142"/>
        <v>34173750.491879173</v>
      </c>
      <c r="AD403" s="42">
        <f t="shared" ca="1" si="142"/>
        <v>34898308.699029401</v>
      </c>
      <c r="AE403" s="42">
        <f t="shared" ca="1" si="142"/>
        <v>35931949.320692629</v>
      </c>
      <c r="AF403" s="42">
        <f t="shared" ca="1" si="142"/>
        <v>36693785.186071254</v>
      </c>
      <c r="AG403" s="42">
        <f t="shared" ca="1" si="142"/>
        <v>37574436.030536957</v>
      </c>
      <c r="AH403" s="42">
        <f t="shared" ca="1" si="142"/>
        <v>38371096.204299167</v>
      </c>
      <c r="AI403" s="42">
        <f t="shared" ca="1" si="142"/>
        <v>39507596.086759493</v>
      </c>
      <c r="AJ403" s="42">
        <f t="shared" ca="1" si="142"/>
        <v>40345243.47920008</v>
      </c>
      <c r="AK403" s="42">
        <f t="shared" ca="1" si="142"/>
        <v>41313529.322700888</v>
      </c>
      <c r="AL403" s="42">
        <f t="shared" ca="1" si="142"/>
        <v>42305054.026445709</v>
      </c>
      <c r="AM403" s="42">
        <f t="shared" si="142"/>
        <v>0</v>
      </c>
      <c r="AN403" s="42">
        <f t="shared" si="142"/>
        <v>0</v>
      </c>
      <c r="AO403" s="42">
        <f t="shared" si="142"/>
        <v>0</v>
      </c>
      <c r="AP403" s="42">
        <f t="shared" si="142"/>
        <v>0</v>
      </c>
      <c r="AQ403" s="42">
        <f t="shared" si="142"/>
        <v>0</v>
      </c>
      <c r="AR403" s="42">
        <f t="shared" si="142"/>
        <v>0</v>
      </c>
      <c r="AS403" s="42">
        <f t="shared" si="142"/>
        <v>0</v>
      </c>
      <c r="AT403" s="42">
        <f t="shared" si="142"/>
        <v>0</v>
      </c>
      <c r="AU403" s="42">
        <f t="shared" si="142"/>
        <v>0</v>
      </c>
      <c r="AV403" s="42">
        <f t="shared" si="142"/>
        <v>0</v>
      </c>
      <c r="AW403" s="42">
        <f t="shared" si="142"/>
        <v>0</v>
      </c>
    </row>
    <row r="405" spans="3:49">
      <c r="C405" s="2" t="s">
        <v>1689</v>
      </c>
      <c r="L405" s="107">
        <f ca="1">L403+L400</f>
        <v>22856919.792282265</v>
      </c>
      <c r="M405" s="107">
        <f t="shared" ref="M405:AW405" ca="1" si="143">M403+M400</f>
        <v>23382628.947504751</v>
      </c>
      <c r="N405" s="107">
        <f t="shared" ca="1" si="143"/>
        <v>23878391.790763322</v>
      </c>
      <c r="O405" s="107">
        <f t="shared" ca="1" si="143"/>
        <v>24585637.403947134</v>
      </c>
      <c r="P405" s="107">
        <f t="shared" ca="1" si="143"/>
        <v>25106906.656008955</v>
      </c>
      <c r="Q405" s="107">
        <f t="shared" ca="1" si="143"/>
        <v>25709472.415753167</v>
      </c>
      <c r="R405" s="107">
        <f t="shared" ca="1" si="143"/>
        <v>26254569.426535256</v>
      </c>
      <c r="S405" s="107">
        <f t="shared" ca="1" si="143"/>
        <v>27032194.201924421</v>
      </c>
      <c r="T405" s="107">
        <f t="shared" ca="1" si="143"/>
        <v>27605335.805768494</v>
      </c>
      <c r="U405" s="107">
        <f t="shared" ca="1" si="143"/>
        <v>28267863.865106944</v>
      </c>
      <c r="V405" s="107">
        <f t="shared" ca="1" si="143"/>
        <v>28867204.366727781</v>
      </c>
      <c r="W405" s="107">
        <f t="shared" ca="1" si="143"/>
        <v>29722211.849314868</v>
      </c>
      <c r="X405" s="107">
        <f t="shared" ca="1" si="143"/>
        <v>30352387.707103614</v>
      </c>
      <c r="Y405" s="107">
        <f t="shared" ca="1" si="143"/>
        <v>31080845.012074109</v>
      </c>
      <c r="Z405" s="107">
        <f t="shared" ca="1" si="143"/>
        <v>31739826.862603329</v>
      </c>
      <c r="AA405" s="107">
        <f t="shared" ca="1" si="143"/>
        <v>32679917.531543314</v>
      </c>
      <c r="AB405" s="107">
        <f t="shared" ca="1" si="143"/>
        <v>33372803.214725755</v>
      </c>
      <c r="AC405" s="107">
        <f t="shared" ca="1" si="143"/>
        <v>34173750.491879173</v>
      </c>
      <c r="AD405" s="107">
        <f t="shared" ca="1" si="143"/>
        <v>34898308.699029401</v>
      </c>
      <c r="AE405" s="107">
        <f t="shared" ca="1" si="143"/>
        <v>35931949.320692629</v>
      </c>
      <c r="AF405" s="107">
        <f t="shared" ca="1" si="143"/>
        <v>36693785.186071254</v>
      </c>
      <c r="AG405" s="107">
        <f t="shared" ca="1" si="143"/>
        <v>37574436.030536957</v>
      </c>
      <c r="AH405" s="107">
        <f t="shared" ca="1" si="143"/>
        <v>38371096.204299167</v>
      </c>
      <c r="AI405" s="107">
        <f t="shared" ca="1" si="143"/>
        <v>39507596.086759493</v>
      </c>
      <c r="AJ405" s="107">
        <f t="shared" ca="1" si="143"/>
        <v>40345243.47920008</v>
      </c>
      <c r="AK405" s="107">
        <f t="shared" ca="1" si="143"/>
        <v>41313529.322700888</v>
      </c>
      <c r="AL405" s="107">
        <f t="shared" ca="1" si="143"/>
        <v>42305054.026445709</v>
      </c>
      <c r="AM405" s="107">
        <f t="shared" si="143"/>
        <v>0</v>
      </c>
      <c r="AN405" s="107">
        <f t="shared" si="143"/>
        <v>0</v>
      </c>
      <c r="AO405" s="107">
        <f t="shared" si="143"/>
        <v>0</v>
      </c>
      <c r="AP405" s="107">
        <f t="shared" si="143"/>
        <v>0</v>
      </c>
      <c r="AQ405" s="107">
        <f t="shared" si="143"/>
        <v>0</v>
      </c>
      <c r="AR405" s="107">
        <f t="shared" si="143"/>
        <v>0</v>
      </c>
      <c r="AS405" s="107">
        <f t="shared" si="143"/>
        <v>0</v>
      </c>
      <c r="AT405" s="107">
        <f t="shared" si="143"/>
        <v>0</v>
      </c>
      <c r="AU405" s="107">
        <f t="shared" si="143"/>
        <v>0</v>
      </c>
      <c r="AV405" s="107">
        <f t="shared" si="143"/>
        <v>0</v>
      </c>
      <c r="AW405" s="107">
        <f t="shared" si="143"/>
        <v>0</v>
      </c>
    </row>
    <row r="407" spans="3:49">
      <c r="C407" s="501" t="s">
        <v>1673</v>
      </c>
    </row>
    <row r="408" spans="3:49">
      <c r="C408" s="2" t="s">
        <v>1502</v>
      </c>
      <c r="L408" s="42">
        <f ca="1">L192</f>
        <v>686750.85602586961</v>
      </c>
      <c r="M408" s="42">
        <f t="shared" ref="M408:AW408" ca="1" si="144">M192</f>
        <v>702546.12571446446</v>
      </c>
      <c r="N408" s="42">
        <f t="shared" ca="1" si="144"/>
        <v>717441.63919955795</v>
      </c>
      <c r="O408" s="42">
        <f t="shared" ca="1" si="144"/>
        <v>738691.28852625843</v>
      </c>
      <c r="P408" s="42">
        <f t="shared" ca="1" si="144"/>
        <v>754353.15846878244</v>
      </c>
      <c r="Q408" s="42">
        <f t="shared" ca="1" si="144"/>
        <v>772457.63427203323</v>
      </c>
      <c r="R408" s="42">
        <f t="shared" ca="1" si="144"/>
        <v>788835.42455058778</v>
      </c>
      <c r="S408" s="42">
        <f t="shared" ca="1" si="144"/>
        <v>812199.66107145743</v>
      </c>
      <c r="T408" s="42">
        <f t="shared" ca="1" si="144"/>
        <v>829420.0691859778</v>
      </c>
      <c r="U408" s="42">
        <f t="shared" ca="1" si="144"/>
        <v>849326.15084644128</v>
      </c>
      <c r="V408" s="42">
        <f t="shared" ca="1" si="144"/>
        <v>867333.72169498866</v>
      </c>
      <c r="W408" s="42">
        <f t="shared" ca="1" si="144"/>
        <v>893022.9714237937</v>
      </c>
      <c r="X408" s="42">
        <f t="shared" ca="1" si="144"/>
        <v>911957.01038075716</v>
      </c>
      <c r="Y408" s="42">
        <f t="shared" ca="1" si="144"/>
        <v>933843.97862989537</v>
      </c>
      <c r="Z408" s="42">
        <f t="shared" ca="1" si="144"/>
        <v>953643.51216587343</v>
      </c>
      <c r="AA408" s="42">
        <f t="shared" ca="1" si="144"/>
        <v>981889.1409515359</v>
      </c>
      <c r="AB408" s="42">
        <f t="shared" ca="1" si="144"/>
        <v>1002707.3369454809</v>
      </c>
      <c r="AC408" s="42">
        <f t="shared" ca="1" si="144"/>
        <v>1026772.3130321725</v>
      </c>
      <c r="AD408" s="42">
        <f t="shared" ca="1" si="144"/>
        <v>1048542.1303795213</v>
      </c>
      <c r="AE408" s="42">
        <f t="shared" ca="1" si="144"/>
        <v>1079598.5276632016</v>
      </c>
      <c r="AF408" s="42">
        <f t="shared" ca="1" si="144"/>
        <v>1102488.3762278641</v>
      </c>
      <c r="AG408" s="42">
        <f t="shared" ca="1" si="144"/>
        <v>1128948.0972573329</v>
      </c>
      <c r="AH408" s="42">
        <f t="shared" ca="1" si="144"/>
        <v>1152884.2645653025</v>
      </c>
      <c r="AI408" s="42">
        <f t="shared" ca="1" si="144"/>
        <v>1187031.1344955401</v>
      </c>
      <c r="AJ408" s="42">
        <f t="shared" ca="1" si="144"/>
        <v>1212198.789150418</v>
      </c>
      <c r="AK408" s="42">
        <f t="shared" ca="1" si="144"/>
        <v>1241291.5600900282</v>
      </c>
      <c r="AL408" s="42">
        <f t="shared" ca="1" si="144"/>
        <v>1271082.5575321889</v>
      </c>
      <c r="AM408" s="42">
        <f t="shared" si="144"/>
        <v>0</v>
      </c>
      <c r="AN408" s="42">
        <f t="shared" si="144"/>
        <v>0</v>
      </c>
      <c r="AO408" s="42">
        <f t="shared" si="144"/>
        <v>0</v>
      </c>
      <c r="AP408" s="42">
        <f t="shared" si="144"/>
        <v>0</v>
      </c>
      <c r="AQ408" s="42">
        <f t="shared" si="144"/>
        <v>0</v>
      </c>
      <c r="AR408" s="42">
        <f t="shared" si="144"/>
        <v>0</v>
      </c>
      <c r="AS408" s="42">
        <f t="shared" si="144"/>
        <v>0</v>
      </c>
      <c r="AT408" s="42">
        <f t="shared" si="144"/>
        <v>0</v>
      </c>
      <c r="AU408" s="42">
        <f t="shared" si="144"/>
        <v>0</v>
      </c>
      <c r="AV408" s="42">
        <f t="shared" si="144"/>
        <v>0</v>
      </c>
      <c r="AW408" s="42">
        <f t="shared" si="144"/>
        <v>0</v>
      </c>
    </row>
    <row r="409" spans="3:49">
      <c r="C409" s="2" t="s">
        <v>971</v>
      </c>
      <c r="L409" s="42">
        <f ca="1">L196</f>
        <v>413676.65962902398</v>
      </c>
      <c r="M409" s="42">
        <f t="shared" ref="M409:AW409" ca="1" si="145">M196</f>
        <v>423191.22280049144</v>
      </c>
      <c r="N409" s="42">
        <f t="shared" ca="1" si="145"/>
        <v>432163.80173199915</v>
      </c>
      <c r="O409" s="42">
        <f t="shared" ca="1" si="145"/>
        <v>444963.90802182147</v>
      </c>
      <c r="P409" s="42">
        <f t="shared" ca="1" si="145"/>
        <v>454398.11547059013</v>
      </c>
      <c r="Q409" s="42">
        <f t="shared" ca="1" si="145"/>
        <v>465303.67024188425</v>
      </c>
      <c r="R409" s="42">
        <f t="shared" ca="1" si="145"/>
        <v>475169.12510821497</v>
      </c>
      <c r="S409" s="42">
        <f t="shared" ca="1" si="145"/>
        <v>489242.9908106433</v>
      </c>
      <c r="T409" s="42">
        <f t="shared" ca="1" si="145"/>
        <v>499616.01159941533</v>
      </c>
      <c r="U409" s="42">
        <f t="shared" ca="1" si="145"/>
        <v>511606.79587780131</v>
      </c>
      <c r="V409" s="42">
        <f t="shared" ca="1" si="145"/>
        <v>522453.97821663122</v>
      </c>
      <c r="W409" s="42">
        <f t="shared" ca="1" si="145"/>
        <v>537928.35720420908</v>
      </c>
      <c r="X409" s="42">
        <f t="shared" ca="1" si="145"/>
        <v>549333.61417662608</v>
      </c>
      <c r="Y409" s="42">
        <f t="shared" ca="1" si="145"/>
        <v>562517.62091686518</v>
      </c>
      <c r="Z409" s="42">
        <f t="shared" ca="1" si="145"/>
        <v>574444.22402701515</v>
      </c>
      <c r="AA409" s="42">
        <f t="shared" ca="1" si="145"/>
        <v>591458.4836564695</v>
      </c>
      <c r="AB409" s="42">
        <f t="shared" ca="1" si="145"/>
        <v>603998.69631541544</v>
      </c>
      <c r="AC409" s="42">
        <f t="shared" ca="1" si="145"/>
        <v>618494.66502698546</v>
      </c>
      <c r="AD409" s="42">
        <f t="shared" ca="1" si="145"/>
        <v>631608.10382646474</v>
      </c>
      <c r="AE409" s="42">
        <f t="shared" ca="1" si="145"/>
        <v>650315.48012704961</v>
      </c>
      <c r="AF409" s="42">
        <f t="shared" ca="1" si="145"/>
        <v>664103.58976034436</v>
      </c>
      <c r="AG409" s="42">
        <f t="shared" ca="1" si="145"/>
        <v>680042.07591459271</v>
      </c>
      <c r="AH409" s="42">
        <f t="shared" ca="1" si="145"/>
        <v>694460.45435474918</v>
      </c>
      <c r="AI409" s="42">
        <f t="shared" ca="1" si="145"/>
        <v>715029.43212242343</v>
      </c>
      <c r="AJ409" s="42">
        <f t="shared" ca="1" si="145"/>
        <v>730189.61898928124</v>
      </c>
      <c r="AK409" s="42">
        <f t="shared" ca="1" si="145"/>
        <v>747714.16984502412</v>
      </c>
      <c r="AL409" s="42">
        <f t="shared" ca="1" si="145"/>
        <v>765659.3099213047</v>
      </c>
      <c r="AM409" s="42">
        <f t="shared" si="145"/>
        <v>0</v>
      </c>
      <c r="AN409" s="42">
        <f t="shared" si="145"/>
        <v>0</v>
      </c>
      <c r="AO409" s="42">
        <f t="shared" si="145"/>
        <v>0</v>
      </c>
      <c r="AP409" s="42">
        <f t="shared" si="145"/>
        <v>0</v>
      </c>
      <c r="AQ409" s="42">
        <f t="shared" si="145"/>
        <v>0</v>
      </c>
      <c r="AR409" s="42">
        <f t="shared" si="145"/>
        <v>0</v>
      </c>
      <c r="AS409" s="42">
        <f t="shared" si="145"/>
        <v>0</v>
      </c>
      <c r="AT409" s="42">
        <f t="shared" si="145"/>
        <v>0</v>
      </c>
      <c r="AU409" s="42">
        <f t="shared" si="145"/>
        <v>0</v>
      </c>
      <c r="AV409" s="42">
        <f t="shared" si="145"/>
        <v>0</v>
      </c>
      <c r="AW409" s="42">
        <f t="shared" si="145"/>
        <v>0</v>
      </c>
    </row>
    <row r="410" spans="3:49">
      <c r="C410" s="2" t="s">
        <v>972</v>
      </c>
      <c r="L410" s="42">
        <f ca="1">L197</f>
        <v>1548388.9660773787</v>
      </c>
      <c r="M410" s="42">
        <f t="shared" ref="M410:AW410" ca="1" si="146">M197</f>
        <v>1584001.912297158</v>
      </c>
      <c r="N410" s="42">
        <f t="shared" ca="1" si="146"/>
        <v>1617586.2151371196</v>
      </c>
      <c r="O410" s="42">
        <f t="shared" ca="1" si="146"/>
        <v>1665496.9272414774</v>
      </c>
      <c r="P410" s="42">
        <f t="shared" ca="1" si="146"/>
        <v>1700809.1025294387</v>
      </c>
      <c r="Q410" s="42">
        <f t="shared" ca="1" si="146"/>
        <v>1741628.5209901452</v>
      </c>
      <c r="R410" s="42">
        <f t="shared" ca="1" si="146"/>
        <v>1778554.8524734338</v>
      </c>
      <c r="S410" s="42">
        <f t="shared" ca="1" si="146"/>
        <v>1831233.2375272033</v>
      </c>
      <c r="T410" s="42">
        <f t="shared" ca="1" si="146"/>
        <v>1870059.3848583808</v>
      </c>
      <c r="U410" s="42">
        <f t="shared" ca="1" si="146"/>
        <v>1914940.8100949819</v>
      </c>
      <c r="V410" s="42">
        <f t="shared" ca="1" si="146"/>
        <v>1955541.7409319684</v>
      </c>
      <c r="W410" s="42">
        <f t="shared" ca="1" si="146"/>
        <v>2013462.2378310498</v>
      </c>
      <c r="X410" s="42">
        <f t="shared" ca="1" si="146"/>
        <v>2056152.0382834238</v>
      </c>
      <c r="Y410" s="42">
        <f t="shared" ca="1" si="146"/>
        <v>2105499.6872022259</v>
      </c>
      <c r="Z410" s="42">
        <f t="shared" ca="1" si="146"/>
        <v>2150140.8827560218</v>
      </c>
      <c r="AA410" s="42">
        <f t="shared" ca="1" si="146"/>
        <v>2213825.1425831257</v>
      </c>
      <c r="AB410" s="42">
        <f t="shared" ca="1" si="146"/>
        <v>2260763.074567948</v>
      </c>
      <c r="AC410" s="42">
        <f t="shared" ca="1" si="146"/>
        <v>2315021.3883575788</v>
      </c>
      <c r="AD410" s="42">
        <f t="shared" ca="1" si="146"/>
        <v>2364104.9019467998</v>
      </c>
      <c r="AE410" s="42">
        <f t="shared" ca="1" si="146"/>
        <v>2434126.4861330078</v>
      </c>
      <c r="AF410" s="42">
        <f t="shared" ca="1" si="146"/>
        <v>2485735.2881340794</v>
      </c>
      <c r="AG410" s="42">
        <f t="shared" ca="1" si="146"/>
        <v>2545392.9350492973</v>
      </c>
      <c r="AH410" s="42">
        <f t="shared" ca="1" si="146"/>
        <v>2599360.8289727471</v>
      </c>
      <c r="AI410" s="42">
        <f t="shared" ca="1" si="146"/>
        <v>2676350.3749807789</v>
      </c>
      <c r="AJ410" s="42">
        <f t="shared" ca="1" si="146"/>
        <v>2733094.8528765463</v>
      </c>
      <c r="AK410" s="42">
        <f t="shared" ca="1" si="146"/>
        <v>2798689.1293455833</v>
      </c>
      <c r="AL410" s="42">
        <f t="shared" ca="1" si="146"/>
        <v>2865857.6684498778</v>
      </c>
      <c r="AM410" s="42">
        <f t="shared" si="146"/>
        <v>0</v>
      </c>
      <c r="AN410" s="42">
        <f t="shared" si="146"/>
        <v>0</v>
      </c>
      <c r="AO410" s="42">
        <f t="shared" si="146"/>
        <v>0</v>
      </c>
      <c r="AP410" s="42">
        <f t="shared" si="146"/>
        <v>0</v>
      </c>
      <c r="AQ410" s="42">
        <f t="shared" si="146"/>
        <v>0</v>
      </c>
      <c r="AR410" s="42">
        <f t="shared" si="146"/>
        <v>0</v>
      </c>
      <c r="AS410" s="42">
        <f t="shared" si="146"/>
        <v>0</v>
      </c>
      <c r="AT410" s="42">
        <f t="shared" si="146"/>
        <v>0</v>
      </c>
      <c r="AU410" s="42">
        <f t="shared" si="146"/>
        <v>0</v>
      </c>
      <c r="AV410" s="42">
        <f t="shared" si="146"/>
        <v>0</v>
      </c>
      <c r="AW410" s="42">
        <f t="shared" si="146"/>
        <v>0</v>
      </c>
    </row>
    <row r="411" spans="3:49">
      <c r="C411" s="2" t="s">
        <v>973</v>
      </c>
      <c r="L411" s="42">
        <f ca="1">L198</f>
        <v>1719603.2619</v>
      </c>
      <c r="M411" s="42">
        <f t="shared" ref="M411:AW411" ca="1" si="147">M198</f>
        <v>1771191.3597570001</v>
      </c>
      <c r="N411" s="42">
        <f t="shared" ca="1" si="147"/>
        <v>1819342.600274984</v>
      </c>
      <c r="O411" s="42">
        <f t="shared" ca="1" si="147"/>
        <v>1884357.6094900577</v>
      </c>
      <c r="P411" s="42">
        <f t="shared" ca="1" si="147"/>
        <v>1935585.3641742817</v>
      </c>
      <c r="Q411" s="42">
        <f t="shared" ca="1" si="147"/>
        <v>1993652.9250995102</v>
      </c>
      <c r="R411" s="42">
        <f t="shared" ca="1" si="147"/>
        <v>2047851.959538691</v>
      </c>
      <c r="S411" s="42">
        <f t="shared" ca="1" si="147"/>
        <v>2121032.851362139</v>
      </c>
      <c r="T411" s="42">
        <f t="shared" ca="1" si="147"/>
        <v>2178694.8100262186</v>
      </c>
      <c r="U411" s="42">
        <f t="shared" ca="1" si="147"/>
        <v>2244055.6543270051</v>
      </c>
      <c r="V411" s="42">
        <f t="shared" ca="1" si="147"/>
        <v>2305062.0853667697</v>
      </c>
      <c r="W411" s="42">
        <f t="shared" ca="1" si="147"/>
        <v>2387434.4943340453</v>
      </c>
      <c r="X411" s="42">
        <f t="shared" ca="1" si="147"/>
        <v>2452338.7927455851</v>
      </c>
      <c r="Y411" s="42">
        <f t="shared" ca="1" si="147"/>
        <v>2525908.9565279526</v>
      </c>
      <c r="Z411" s="42">
        <f t="shared" ca="1" si="147"/>
        <v>2594577.7929144371</v>
      </c>
      <c r="AA411" s="42">
        <f t="shared" ca="1" si="147"/>
        <v>2687296.1732184328</v>
      </c>
      <c r="AB411" s="42">
        <f t="shared" ca="1" si="147"/>
        <v>2760352.4489657641</v>
      </c>
      <c r="AC411" s="42">
        <f t="shared" ca="1" si="147"/>
        <v>2843163.0224347371</v>
      </c>
      <c r="AD411" s="42">
        <f t="shared" ca="1" si="147"/>
        <v>2920456.6619790699</v>
      </c>
      <c r="AE411" s="42">
        <f t="shared" ca="1" si="147"/>
        <v>3024820.4672140446</v>
      </c>
      <c r="AF411" s="42">
        <f t="shared" ca="1" si="147"/>
        <v>3107052.6083309287</v>
      </c>
      <c r="AG411" s="42">
        <f t="shared" ca="1" si="147"/>
        <v>3200264.1865808573</v>
      </c>
      <c r="AH411" s="42">
        <f t="shared" ca="1" si="147"/>
        <v>3287265.9042215119</v>
      </c>
      <c r="AI411" s="42">
        <f t="shared" ca="1" si="147"/>
        <v>3404737.7993022157</v>
      </c>
      <c r="AJ411" s="42">
        <f t="shared" ca="1" si="147"/>
        <v>3497298.2941193115</v>
      </c>
      <c r="AK411" s="42">
        <f t="shared" ca="1" si="147"/>
        <v>3602217.2429428906</v>
      </c>
      <c r="AL411" s="42">
        <f t="shared" ca="1" si="147"/>
        <v>3710283.7602311773</v>
      </c>
      <c r="AM411" s="42">
        <f t="shared" si="147"/>
        <v>0</v>
      </c>
      <c r="AN411" s="42">
        <f t="shared" si="147"/>
        <v>0</v>
      </c>
      <c r="AO411" s="42">
        <f t="shared" si="147"/>
        <v>0</v>
      </c>
      <c r="AP411" s="42">
        <f t="shared" si="147"/>
        <v>0</v>
      </c>
      <c r="AQ411" s="42">
        <f t="shared" si="147"/>
        <v>0</v>
      </c>
      <c r="AR411" s="42">
        <f t="shared" si="147"/>
        <v>0</v>
      </c>
      <c r="AS411" s="42">
        <f t="shared" si="147"/>
        <v>0</v>
      </c>
      <c r="AT411" s="42">
        <f t="shared" si="147"/>
        <v>0</v>
      </c>
      <c r="AU411" s="42">
        <f t="shared" si="147"/>
        <v>0</v>
      </c>
      <c r="AV411" s="42">
        <f t="shared" si="147"/>
        <v>0</v>
      </c>
      <c r="AW411" s="42">
        <f t="shared" si="147"/>
        <v>0</v>
      </c>
    </row>
    <row r="412" spans="3:49" ht="11.25" thickBot="1">
      <c r="C412" s="1518" t="s">
        <v>1024</v>
      </c>
      <c r="D412" s="1518"/>
      <c r="E412" s="1518"/>
      <c r="F412" s="1518"/>
      <c r="G412" s="1518"/>
      <c r="H412" s="1518"/>
      <c r="I412" s="1518"/>
      <c r="J412" s="1518"/>
      <c r="K412" s="1518"/>
      <c r="L412" s="1521">
        <f ca="1">SUM(L408:L411)</f>
        <v>4368419.7436322728</v>
      </c>
      <c r="M412" s="1521">
        <f t="shared" ref="M412:AW412" ca="1" si="148">SUM(M408:M411)</f>
        <v>4480930.6205691136</v>
      </c>
      <c r="N412" s="1521">
        <f t="shared" ca="1" si="148"/>
        <v>4586534.2563436609</v>
      </c>
      <c r="O412" s="1521">
        <f t="shared" ca="1" si="148"/>
        <v>4733509.7332796147</v>
      </c>
      <c r="P412" s="1521">
        <f t="shared" ca="1" si="148"/>
        <v>4845145.7406430934</v>
      </c>
      <c r="Q412" s="1521">
        <f t="shared" ca="1" si="148"/>
        <v>4973042.7506035734</v>
      </c>
      <c r="R412" s="1521">
        <f t="shared" ca="1" si="148"/>
        <v>5090411.3616709271</v>
      </c>
      <c r="S412" s="1521">
        <f t="shared" ca="1" si="148"/>
        <v>5253708.7407714427</v>
      </c>
      <c r="T412" s="1521">
        <f t="shared" ca="1" si="148"/>
        <v>5377790.275669992</v>
      </c>
      <c r="U412" s="1521">
        <f t="shared" ca="1" si="148"/>
        <v>5519929.4111462291</v>
      </c>
      <c r="V412" s="1521">
        <f t="shared" ca="1" si="148"/>
        <v>5650391.5262103584</v>
      </c>
      <c r="W412" s="1521">
        <f t="shared" ca="1" si="148"/>
        <v>5831848.0607930981</v>
      </c>
      <c r="X412" s="1521">
        <f t="shared" ca="1" si="148"/>
        <v>5969781.4555863924</v>
      </c>
      <c r="Y412" s="1521">
        <f t="shared" ca="1" si="148"/>
        <v>6127770.2432769388</v>
      </c>
      <c r="Z412" s="1521">
        <f t="shared" ca="1" si="148"/>
        <v>6272806.4118633475</v>
      </c>
      <c r="AA412" s="1521">
        <f t="shared" ca="1" si="148"/>
        <v>6474468.9404095635</v>
      </c>
      <c r="AB412" s="1521">
        <f t="shared" ca="1" si="148"/>
        <v>6627821.556794608</v>
      </c>
      <c r="AC412" s="1521">
        <f t="shared" ca="1" si="148"/>
        <v>6803451.3888514731</v>
      </c>
      <c r="AD412" s="1521">
        <f t="shared" ca="1" si="148"/>
        <v>6964711.7981318552</v>
      </c>
      <c r="AE412" s="1521">
        <f t="shared" ca="1" si="148"/>
        <v>7188860.9611373041</v>
      </c>
      <c r="AF412" s="1521">
        <f t="shared" ca="1" si="148"/>
        <v>7359379.8624532167</v>
      </c>
      <c r="AG412" s="1521">
        <f t="shared" ca="1" si="148"/>
        <v>7554647.2948020799</v>
      </c>
      <c r="AH412" s="1521">
        <f t="shared" ca="1" si="148"/>
        <v>7733971.4521143101</v>
      </c>
      <c r="AI412" s="1521">
        <f t="shared" ca="1" si="148"/>
        <v>7983148.740900958</v>
      </c>
      <c r="AJ412" s="1521">
        <f t="shared" ca="1" si="148"/>
        <v>8172781.5551355574</v>
      </c>
      <c r="AK412" s="1521">
        <f t="shared" ca="1" si="148"/>
        <v>8389912.1022235267</v>
      </c>
      <c r="AL412" s="1521">
        <f t="shared" ca="1" si="148"/>
        <v>8612883.2961345501</v>
      </c>
      <c r="AM412" s="1521">
        <f t="shared" si="148"/>
        <v>0</v>
      </c>
      <c r="AN412" s="1521">
        <f t="shared" si="148"/>
        <v>0</v>
      </c>
      <c r="AO412" s="1521">
        <f t="shared" si="148"/>
        <v>0</v>
      </c>
      <c r="AP412" s="1521">
        <f t="shared" si="148"/>
        <v>0</v>
      </c>
      <c r="AQ412" s="1521">
        <f t="shared" si="148"/>
        <v>0</v>
      </c>
      <c r="AR412" s="1521">
        <f t="shared" si="148"/>
        <v>0</v>
      </c>
      <c r="AS412" s="1521">
        <f t="shared" si="148"/>
        <v>0</v>
      </c>
      <c r="AT412" s="1521">
        <f t="shared" si="148"/>
        <v>0</v>
      </c>
      <c r="AU412" s="1521">
        <f t="shared" si="148"/>
        <v>0</v>
      </c>
      <c r="AV412" s="1521">
        <f t="shared" si="148"/>
        <v>0</v>
      </c>
      <c r="AW412" s="1521">
        <f t="shared" si="148"/>
        <v>0</v>
      </c>
    </row>
    <row r="413" spans="3:49" ht="11.25" thickTop="1"/>
    <row r="414" spans="3:49" ht="11.25" thickBot="1">
      <c r="C414" s="1518" t="s">
        <v>1622</v>
      </c>
      <c r="D414" s="1518"/>
      <c r="E414" s="1518"/>
      <c r="F414" s="1518"/>
      <c r="G414" s="1518"/>
      <c r="H414" s="1518"/>
      <c r="I414" s="1518"/>
      <c r="J414" s="1518"/>
      <c r="K414" s="1518"/>
      <c r="L414" s="1521">
        <f ca="1">L195</f>
        <v>7197805.2132110493</v>
      </c>
      <c r="M414" s="1521">
        <f t="shared" ref="M414:AW414" ca="1" si="149">M195</f>
        <v>7363354.7331149019</v>
      </c>
      <c r="N414" s="1521">
        <f t="shared" ca="1" si="149"/>
        <v>7519473.9482213827</v>
      </c>
      <c r="O414" s="1521">
        <f t="shared" ca="1" si="149"/>
        <v>7742190.5788022839</v>
      </c>
      <c r="P414" s="1521">
        <f t="shared" ca="1" si="149"/>
        <v>7906341.941893829</v>
      </c>
      <c r="Q414" s="1521">
        <f t="shared" ca="1" si="149"/>
        <v>8096094.1484992811</v>
      </c>
      <c r="R414" s="1521">
        <f t="shared" ca="1" si="149"/>
        <v>8267749.040828119</v>
      </c>
      <c r="S414" s="1521">
        <f t="shared" ca="1" si="149"/>
        <v>8512628.5658509117</v>
      </c>
      <c r="T414" s="1521">
        <f t="shared" ca="1" si="149"/>
        <v>8693114.8982853442</v>
      </c>
      <c r="U414" s="1521">
        <f t="shared" ca="1" si="149"/>
        <v>8901749.655844193</v>
      </c>
      <c r="V414" s="1521">
        <f t="shared" ca="1" si="149"/>
        <v>9090486.205924388</v>
      </c>
      <c r="W414" s="1521">
        <f t="shared" ca="1" si="149"/>
        <v>9359734.0910912119</v>
      </c>
      <c r="X414" s="1521">
        <f t="shared" ca="1" si="149"/>
        <v>9558180.9122575168</v>
      </c>
      <c r="Y414" s="1521">
        <f t="shared" ca="1" si="149"/>
        <v>9787577.2541516982</v>
      </c>
      <c r="Z414" s="1521">
        <f t="shared" ca="1" si="149"/>
        <v>9995095.2855511997</v>
      </c>
      <c r="AA414" s="1521">
        <f t="shared" ca="1" si="149"/>
        <v>10291136.466046222</v>
      </c>
      <c r="AB414" s="1521">
        <f t="shared" ca="1" si="149"/>
        <v>10509331.053413756</v>
      </c>
      <c r="AC414" s="1521">
        <f t="shared" ca="1" si="149"/>
        <v>10761554.998695686</v>
      </c>
      <c r="AD414" s="1521">
        <f t="shared" ca="1" si="149"/>
        <v>10989723.487192625</v>
      </c>
      <c r="AE414" s="1521">
        <f t="shared" ca="1" si="149"/>
        <v>11315224.207447434</v>
      </c>
      <c r="AF414" s="1521">
        <f t="shared" ca="1" si="149"/>
        <v>11555131.693375826</v>
      </c>
      <c r="AG414" s="1521">
        <f t="shared" ca="1" si="149"/>
        <v>11832454.854016846</v>
      </c>
      <c r="AH414" s="1521">
        <f t="shared" ca="1" si="149"/>
        <v>12083328.760211304</v>
      </c>
      <c r="AI414" s="1521">
        <f t="shared" ca="1" si="149"/>
        <v>12441220.58698093</v>
      </c>
      <c r="AJ414" s="1521">
        <f t="shared" ca="1" si="149"/>
        <v>12705001.657349704</v>
      </c>
      <c r="AK414" s="1521">
        <f t="shared" ca="1" si="149"/>
        <v>13009921.697126098</v>
      </c>
      <c r="AL414" s="1521">
        <f t="shared" ca="1" si="149"/>
        <v>13322159.817857124</v>
      </c>
      <c r="AM414" s="1521">
        <f t="shared" si="149"/>
        <v>0</v>
      </c>
      <c r="AN414" s="1521">
        <f t="shared" si="149"/>
        <v>0</v>
      </c>
      <c r="AO414" s="1521">
        <f t="shared" si="149"/>
        <v>0</v>
      </c>
      <c r="AP414" s="1521">
        <f t="shared" si="149"/>
        <v>0</v>
      </c>
      <c r="AQ414" s="1521">
        <f t="shared" si="149"/>
        <v>0</v>
      </c>
      <c r="AR414" s="1521">
        <f t="shared" si="149"/>
        <v>0</v>
      </c>
      <c r="AS414" s="1521">
        <f t="shared" si="149"/>
        <v>0</v>
      </c>
      <c r="AT414" s="1521">
        <f t="shared" si="149"/>
        <v>0</v>
      </c>
      <c r="AU414" s="1521">
        <f t="shared" si="149"/>
        <v>0</v>
      </c>
      <c r="AV414" s="1521">
        <f t="shared" si="149"/>
        <v>0</v>
      </c>
      <c r="AW414" s="1521">
        <f t="shared" si="149"/>
        <v>0</v>
      </c>
    </row>
    <row r="415" spans="3:49" ht="11.25" thickTop="1"/>
    <row r="423" spans="2:5">
      <c r="D423" s="2" t="s">
        <v>710</v>
      </c>
    </row>
    <row r="425" spans="2:5">
      <c r="D425" s="15" t="s">
        <v>867</v>
      </c>
      <c r="E425" s="15" t="s">
        <v>863</v>
      </c>
    </row>
    <row r="426" spans="2:5">
      <c r="D426" s="1559">
        <f>'Input '!D83-'Input '!C81</f>
        <v>1419008619.7448981</v>
      </c>
      <c r="E426" s="41">
        <f>'Input '!D131</f>
        <v>1284980092.2448981</v>
      </c>
    </row>
    <row r="427" spans="2:5">
      <c r="B427" s="2" t="s">
        <v>1053</v>
      </c>
      <c r="D427" s="41">
        <f>'Input '!D98</f>
        <v>891273160.66326535</v>
      </c>
      <c r="E427" s="41"/>
    </row>
    <row r="428" spans="2:5">
      <c r="B428" s="2" t="s">
        <v>1005</v>
      </c>
      <c r="D428" s="41">
        <f>'Input '!D114</f>
        <v>0</v>
      </c>
      <c r="E428" s="41"/>
    </row>
    <row r="429" spans="2:5" ht="11.25" thickBot="1">
      <c r="B429" s="2" t="s">
        <v>1012</v>
      </c>
      <c r="D429" s="587">
        <f>SUM(D426:D428)</f>
        <v>2310281780.4081635</v>
      </c>
      <c r="E429" s="587">
        <f>SUM(E426:E428)</f>
        <v>1284980092.2448981</v>
      </c>
    </row>
    <row r="431" spans="2:5">
      <c r="D431" s="42">
        <f>D429+E429</f>
        <v>3595261872.6530619</v>
      </c>
    </row>
    <row r="433" spans="4:5">
      <c r="D433" s="104">
        <f>D429/D431</f>
        <v>0.64259068247046236</v>
      </c>
      <c r="E433" s="104">
        <f>E429/D431</f>
        <v>0.35740931752953758</v>
      </c>
    </row>
  </sheetData>
  <sheetProtection formatCells="0" formatColumns="0" formatRows="0" insertColumns="0" insertRows="0" insertHyperlinks="0" deleteColumns="0" deleteRows="0" sort="0" autoFilter="0" pivotTables="0"/>
  <phoneticPr fontId="47" type="noConversion"/>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EEA0C-4852-466A-8A60-7ECBCB758E69}">
  <sheetPr codeName="Sheet23"/>
  <dimension ref="C2:M75"/>
  <sheetViews>
    <sheetView topLeftCell="A57" zoomScale="124" workbookViewId="0">
      <selection activeCell="E67" sqref="E67"/>
    </sheetView>
  </sheetViews>
  <sheetFormatPr defaultRowHeight="15"/>
  <cols>
    <col min="3" max="3" width="20.04296875" customWidth="1"/>
    <col min="4" max="4" width="42.10546875" customWidth="1"/>
    <col min="5" max="5" width="18.83203125" customWidth="1"/>
    <col min="6" max="6" width="16.140625" customWidth="1"/>
    <col min="7" max="7" width="26.90234375" customWidth="1"/>
    <col min="8" max="8" width="0.94140625" style="535" customWidth="1"/>
    <col min="9" max="9" width="41.56640625" customWidth="1"/>
    <col min="10" max="10" width="17.08203125" customWidth="1"/>
    <col min="11" max="11" width="4.3046875" customWidth="1"/>
    <col min="12" max="12" width="18.6953125" customWidth="1"/>
    <col min="13" max="13" width="20.58203125" customWidth="1"/>
  </cols>
  <sheetData>
    <row r="2" spans="4:12">
      <c r="D2" s="433" t="s">
        <v>868</v>
      </c>
      <c r="E2" s="445" t="s">
        <v>867</v>
      </c>
      <c r="I2" s="433" t="s">
        <v>868</v>
      </c>
      <c r="J2" s="445" t="s">
        <v>892</v>
      </c>
    </row>
    <row r="3" spans="4:12">
      <c r="D3" s="433" t="s">
        <v>869</v>
      </c>
      <c r="E3" s="446" t="s">
        <v>870</v>
      </c>
      <c r="I3" s="433" t="s">
        <v>869</v>
      </c>
      <c r="J3" s="534" t="s">
        <v>951</v>
      </c>
    </row>
    <row r="4" spans="4:12">
      <c r="D4" s="433" t="s">
        <v>888</v>
      </c>
      <c r="E4" s="446">
        <f>Fx_Rate</f>
        <v>1400</v>
      </c>
      <c r="I4" s="433" t="s">
        <v>888</v>
      </c>
      <c r="J4">
        <v>1500</v>
      </c>
    </row>
    <row r="7" spans="4:12" ht="15.75" thickBot="1">
      <c r="D7" s="3491" t="s">
        <v>956</v>
      </c>
      <c r="E7" s="3491"/>
      <c r="F7" s="3491"/>
      <c r="G7" s="3491"/>
      <c r="I7" s="433" t="s">
        <v>952</v>
      </c>
    </row>
    <row r="8" spans="4:12" ht="15.75" thickBot="1">
      <c r="D8" s="548" t="s">
        <v>758</v>
      </c>
      <c r="E8" s="549" t="s">
        <v>953</v>
      </c>
      <c r="F8" s="550" t="s">
        <v>954</v>
      </c>
      <c r="G8" s="551" t="s">
        <v>890</v>
      </c>
      <c r="I8" s="439" t="s">
        <v>758</v>
      </c>
      <c r="J8" s="440" t="s">
        <v>887</v>
      </c>
      <c r="K8" s="440"/>
      <c r="L8" s="441" t="s">
        <v>890</v>
      </c>
    </row>
    <row r="9" spans="4:12">
      <c r="D9" s="542" t="s">
        <v>871</v>
      </c>
      <c r="E9" s="547">
        <v>660969000</v>
      </c>
      <c r="F9" s="541">
        <v>660969000</v>
      </c>
      <c r="G9" s="546">
        <f>(E9+F9)*$E$4</f>
        <v>1850713200000</v>
      </c>
      <c r="I9" s="472" t="s">
        <v>871</v>
      </c>
      <c r="J9" s="438">
        <v>155740000</v>
      </c>
      <c r="K9" s="437"/>
      <c r="L9" s="473">
        <f t="shared" ref="L9:L26" si="0">$E$4*J9</f>
        <v>218036000000</v>
      </c>
    </row>
    <row r="10" spans="4:12">
      <c r="D10" s="252" t="s">
        <v>872</v>
      </c>
      <c r="E10" s="544">
        <v>58184000</v>
      </c>
      <c r="F10" s="436">
        <v>58184000</v>
      </c>
      <c r="G10" s="546">
        <f t="shared" ref="G10:G18" si="1">(E10+F10)*$E$4</f>
        <v>162915200000</v>
      </c>
      <c r="I10" s="459" t="s">
        <v>872</v>
      </c>
      <c r="J10" s="435">
        <v>35428000</v>
      </c>
      <c r="K10" s="434"/>
      <c r="L10" s="461">
        <f t="shared" si="0"/>
        <v>49599200000</v>
      </c>
    </row>
    <row r="11" spans="4:12">
      <c r="D11" s="252" t="s">
        <v>873</v>
      </c>
      <c r="E11" s="544">
        <v>37122000</v>
      </c>
      <c r="F11" s="436">
        <v>37122000</v>
      </c>
      <c r="G11" s="546">
        <f t="shared" si="1"/>
        <v>103941600000</v>
      </c>
      <c r="I11" s="459" t="s">
        <v>873</v>
      </c>
      <c r="J11" s="435">
        <v>10589000</v>
      </c>
      <c r="K11" s="434"/>
      <c r="L11" s="461">
        <f t="shared" si="0"/>
        <v>14824600000</v>
      </c>
    </row>
    <row r="12" spans="4:12">
      <c r="D12" s="252" t="s">
        <v>874</v>
      </c>
      <c r="E12" s="544">
        <v>100703000</v>
      </c>
      <c r="F12" s="436">
        <v>100703000</v>
      </c>
      <c r="G12" s="546">
        <f t="shared" si="1"/>
        <v>281968400000</v>
      </c>
      <c r="I12" s="459" t="s">
        <v>874</v>
      </c>
      <c r="J12" s="435">
        <v>56541000</v>
      </c>
      <c r="K12" s="434"/>
      <c r="L12" s="461">
        <f t="shared" si="0"/>
        <v>79157400000</v>
      </c>
    </row>
    <row r="13" spans="4:12">
      <c r="D13" s="252" t="s">
        <v>875</v>
      </c>
      <c r="E13" s="544">
        <v>224729000</v>
      </c>
      <c r="F13" s="436">
        <v>191020000</v>
      </c>
      <c r="G13" s="546">
        <f t="shared" si="1"/>
        <v>582048600000</v>
      </c>
      <c r="I13" s="459" t="s">
        <v>875</v>
      </c>
      <c r="J13" s="435">
        <v>74755000</v>
      </c>
      <c r="K13" s="434"/>
      <c r="L13" s="461">
        <f t="shared" si="0"/>
        <v>104657000000</v>
      </c>
    </row>
    <row r="14" spans="4:12">
      <c r="D14" s="252" t="s">
        <v>876</v>
      </c>
      <c r="E14" s="544">
        <v>56868000</v>
      </c>
      <c r="F14" s="436">
        <v>36964000</v>
      </c>
      <c r="G14" s="546">
        <f t="shared" si="1"/>
        <v>131364800000</v>
      </c>
      <c r="I14" s="459" t="s">
        <v>876</v>
      </c>
      <c r="J14" s="435">
        <v>28238000</v>
      </c>
      <c r="K14" s="434"/>
      <c r="L14" s="461">
        <f t="shared" si="0"/>
        <v>39533200000</v>
      </c>
    </row>
    <row r="15" spans="4:12">
      <c r="D15" s="252" t="s">
        <v>877</v>
      </c>
      <c r="E15" s="544">
        <v>98465000</v>
      </c>
      <c r="F15" s="436">
        <v>49223000</v>
      </c>
      <c r="G15" s="546">
        <f t="shared" si="1"/>
        <v>206763200000</v>
      </c>
      <c r="I15" s="459" t="s">
        <v>877</v>
      </c>
      <c r="J15" s="435">
        <v>42356000</v>
      </c>
      <c r="K15" s="434"/>
      <c r="L15" s="461">
        <f t="shared" si="0"/>
        <v>59298400000</v>
      </c>
    </row>
    <row r="16" spans="4:12">
      <c r="D16" s="252" t="s">
        <v>878</v>
      </c>
      <c r="E16" s="544">
        <v>28434000</v>
      </c>
      <c r="F16" s="436">
        <v>17060000</v>
      </c>
      <c r="G16" s="546">
        <f t="shared" si="1"/>
        <v>63691600000</v>
      </c>
      <c r="I16" s="459" t="s">
        <v>878</v>
      </c>
      <c r="J16" s="435">
        <v>14119000</v>
      </c>
      <c r="K16" s="434"/>
      <c r="L16" s="461">
        <f t="shared" si="0"/>
        <v>19766600000</v>
      </c>
    </row>
    <row r="17" spans="3:13">
      <c r="D17" s="252" t="s">
        <v>879</v>
      </c>
      <c r="E17" s="544">
        <v>155464000</v>
      </c>
      <c r="F17" s="436">
        <v>116598000</v>
      </c>
      <c r="G17" s="546">
        <f t="shared" si="1"/>
        <v>380886800000</v>
      </c>
      <c r="I17" s="459" t="s">
        <v>879</v>
      </c>
      <c r="J17" s="435">
        <v>70660000</v>
      </c>
      <c r="K17" s="434"/>
      <c r="L17" s="461">
        <f t="shared" si="0"/>
        <v>98924000000</v>
      </c>
    </row>
    <row r="18" spans="3:13">
      <c r="D18" s="596" t="s">
        <v>988</v>
      </c>
      <c r="E18" s="597">
        <v>15955000</v>
      </c>
      <c r="F18" s="598">
        <v>15955000</v>
      </c>
      <c r="G18" s="546">
        <f t="shared" si="1"/>
        <v>44674000000</v>
      </c>
      <c r="I18" s="459" t="s">
        <v>654</v>
      </c>
      <c r="J18" s="435">
        <v>5929000</v>
      </c>
      <c r="K18" s="434"/>
      <c r="L18" s="461">
        <f t="shared" si="0"/>
        <v>8300600000</v>
      </c>
    </row>
    <row r="19" spans="3:13">
      <c r="D19" s="543" t="s">
        <v>880</v>
      </c>
      <c r="E19" s="545"/>
      <c r="F19" s="436"/>
      <c r="G19" s="546">
        <f t="shared" ref="G19:G26" si="2">(E19+F19)*$E$4</f>
        <v>0</v>
      </c>
      <c r="I19" s="474" t="s">
        <v>880</v>
      </c>
      <c r="J19" s="434"/>
      <c r="K19" s="434"/>
      <c r="L19" s="461">
        <f t="shared" si="0"/>
        <v>0</v>
      </c>
    </row>
    <row r="20" spans="3:13">
      <c r="D20" s="252" t="s">
        <v>881</v>
      </c>
      <c r="E20" s="544">
        <v>79316000</v>
      </c>
      <c r="F20" s="436">
        <v>67419000</v>
      </c>
      <c r="G20" s="546">
        <f t="shared" si="2"/>
        <v>205429000000</v>
      </c>
      <c r="I20" s="459" t="s">
        <v>881</v>
      </c>
      <c r="J20" s="435">
        <v>29591000</v>
      </c>
      <c r="K20" s="434"/>
      <c r="L20" s="461">
        <f t="shared" si="0"/>
        <v>41427400000</v>
      </c>
    </row>
    <row r="21" spans="3:13">
      <c r="D21" s="252" t="s">
        <v>882</v>
      </c>
      <c r="E21" s="544">
        <v>43704000</v>
      </c>
      <c r="F21" s="436">
        <v>21852000</v>
      </c>
      <c r="G21" s="546">
        <f t="shared" si="2"/>
        <v>91778400000</v>
      </c>
      <c r="I21" s="459" t="s">
        <v>882</v>
      </c>
      <c r="J21" s="435">
        <v>28238000</v>
      </c>
      <c r="K21" s="434"/>
      <c r="L21" s="461">
        <f t="shared" si="0"/>
        <v>39533200000</v>
      </c>
    </row>
    <row r="22" spans="3:13">
      <c r="D22" s="252" t="s">
        <v>883</v>
      </c>
      <c r="E22" s="544">
        <v>66214000</v>
      </c>
      <c r="F22" s="436">
        <v>39728000</v>
      </c>
      <c r="G22" s="546">
        <f t="shared" si="2"/>
        <v>148318800000</v>
      </c>
      <c r="I22" s="459" t="s">
        <v>883</v>
      </c>
      <c r="J22" s="435">
        <v>45952000</v>
      </c>
      <c r="K22" s="434"/>
      <c r="L22" s="461">
        <f t="shared" si="0"/>
        <v>64332800000</v>
      </c>
    </row>
    <row r="23" spans="3:13">
      <c r="D23" s="252" t="s">
        <v>884</v>
      </c>
      <c r="E23" s="544">
        <v>27381000</v>
      </c>
      <c r="F23" s="436">
        <v>20536000</v>
      </c>
      <c r="G23" s="546">
        <f t="shared" si="2"/>
        <v>67083800000</v>
      </c>
      <c r="I23" s="459" t="s">
        <v>884</v>
      </c>
      <c r="J23" s="435">
        <v>7059000</v>
      </c>
      <c r="K23" s="434"/>
      <c r="L23" s="461">
        <f t="shared" si="0"/>
        <v>9882600000</v>
      </c>
    </row>
    <row r="24" spans="3:13" ht="18">
      <c r="C24" s="413"/>
      <c r="D24" s="252" t="s">
        <v>885</v>
      </c>
      <c r="E24" s="544">
        <v>63976000</v>
      </c>
      <c r="F24" s="436">
        <v>47982000</v>
      </c>
      <c r="G24" s="546">
        <f t="shared" si="2"/>
        <v>156741200000</v>
      </c>
      <c r="I24" s="459" t="s">
        <v>885</v>
      </c>
      <c r="J24" s="435">
        <v>31767000</v>
      </c>
      <c r="K24" s="434"/>
      <c r="L24" s="461">
        <f t="shared" si="0"/>
        <v>44473800000</v>
      </c>
      <c r="M24" s="533"/>
    </row>
    <row r="25" spans="3:13">
      <c r="D25" s="252" t="s">
        <v>886</v>
      </c>
      <c r="E25" s="544">
        <v>88592000</v>
      </c>
      <c r="F25" s="436">
        <v>66444000</v>
      </c>
      <c r="G25" s="546">
        <f t="shared" si="2"/>
        <v>217050400000</v>
      </c>
      <c r="I25" s="459" t="s">
        <v>886</v>
      </c>
      <c r="J25" s="435">
        <v>63600000</v>
      </c>
      <c r="K25" s="434"/>
      <c r="L25" s="461">
        <f t="shared" si="0"/>
        <v>89040000000</v>
      </c>
    </row>
    <row r="26" spans="3:13">
      <c r="D26" s="297" t="s">
        <v>966</v>
      </c>
      <c r="E26" s="552">
        <v>382888000</v>
      </c>
      <c r="F26" s="553">
        <v>371155000</v>
      </c>
      <c r="G26" s="546">
        <f t="shared" si="2"/>
        <v>1055660200000</v>
      </c>
      <c r="I26" s="297" t="s">
        <v>966</v>
      </c>
      <c r="J26" s="436">
        <v>133247000</v>
      </c>
      <c r="K26" s="434"/>
      <c r="L26" s="536">
        <f t="shared" si="0"/>
        <v>186545800000</v>
      </c>
    </row>
    <row r="27" spans="3:13" ht="15.75" thickBot="1">
      <c r="D27" s="593"/>
      <c r="E27" s="594"/>
      <c r="F27" s="595"/>
      <c r="G27" s="546"/>
      <c r="I27" s="297"/>
      <c r="J27" s="435"/>
      <c r="K27" s="434"/>
      <c r="L27" s="536"/>
    </row>
    <row r="28" spans="3:13" ht="15.75" thickBot="1">
      <c r="D28" s="554" t="s">
        <v>655</v>
      </c>
      <c r="E28" s="555">
        <f>SUM(E9:E27)</f>
        <v>2188964000</v>
      </c>
      <c r="F28" s="555">
        <f>SUM(F9:F27)</f>
        <v>1918914000</v>
      </c>
      <c r="G28" s="555">
        <f>SUM(G9:G27)</f>
        <v>5751029200000</v>
      </c>
      <c r="I28" s="439" t="s">
        <v>655</v>
      </c>
      <c r="J28" s="537">
        <f>SUM(J9:J27)</f>
        <v>833809000</v>
      </c>
      <c r="K28" s="539"/>
      <c r="L28" s="538">
        <f>SUM(L9:L27)</f>
        <v>1167332600000</v>
      </c>
    </row>
    <row r="29" spans="3:13" ht="15.75" thickBot="1">
      <c r="C29" s="413"/>
      <c r="E29" s="437"/>
    </row>
    <row r="30" spans="3:13" ht="15.75" thickBot="1">
      <c r="D30" s="557"/>
      <c r="E30" s="564" t="s">
        <v>953</v>
      </c>
      <c r="F30" s="540" t="s">
        <v>955</v>
      </c>
      <c r="G30" s="448" t="s">
        <v>889</v>
      </c>
      <c r="I30" s="251"/>
      <c r="J30" s="447" t="s">
        <v>887</v>
      </c>
      <c r="K30" s="302"/>
      <c r="L30" s="448" t="s">
        <v>889</v>
      </c>
    </row>
    <row r="31" spans="3:13">
      <c r="D31" s="252" t="s">
        <v>826</v>
      </c>
      <c r="E31" s="393">
        <f>E18</f>
        <v>15955000</v>
      </c>
      <c r="F31" s="393">
        <f>F18</f>
        <v>15955000</v>
      </c>
      <c r="G31" s="393">
        <f>G18</f>
        <v>44674000000</v>
      </c>
      <c r="I31" s="449" t="s">
        <v>826</v>
      </c>
      <c r="J31" s="442">
        <f>J18</f>
        <v>5929000</v>
      </c>
      <c r="K31" s="442"/>
      <c r="L31" s="443">
        <f>L18</f>
        <v>8300600000</v>
      </c>
    </row>
    <row r="32" spans="3:13">
      <c r="D32" s="252" t="s">
        <v>824</v>
      </c>
      <c r="E32" s="393">
        <f>SUM(E9:E16)</f>
        <v>1265474000</v>
      </c>
      <c r="F32" s="393">
        <f>SUM(F9:F16)</f>
        <v>1151245000</v>
      </c>
      <c r="G32" s="393">
        <f>SUM(G9:G16)</f>
        <v>3383406600000</v>
      </c>
      <c r="I32" s="449" t="s">
        <v>824</v>
      </c>
      <c r="J32" s="442">
        <f>SUM(J9:J16)</f>
        <v>417766000</v>
      </c>
      <c r="K32" s="442"/>
      <c r="L32" s="443">
        <f>SUM(L9:L16)</f>
        <v>584872400000</v>
      </c>
    </row>
    <row r="33" spans="3:12">
      <c r="D33" s="252" t="s">
        <v>845</v>
      </c>
      <c r="E33" s="393">
        <f>E17</f>
        <v>155464000</v>
      </c>
      <c r="F33" s="393">
        <f>F17</f>
        <v>116598000</v>
      </c>
      <c r="G33" s="393">
        <f>G17</f>
        <v>380886800000</v>
      </c>
      <c r="I33" s="449" t="s">
        <v>845</v>
      </c>
      <c r="J33" s="442">
        <f>J17</f>
        <v>70660000</v>
      </c>
      <c r="K33" s="442"/>
      <c r="L33" s="443">
        <f>L17</f>
        <v>98924000000</v>
      </c>
    </row>
    <row r="34" spans="3:12">
      <c r="D34" s="252" t="s">
        <v>119</v>
      </c>
      <c r="E34" s="393">
        <f>E25</f>
        <v>88592000</v>
      </c>
      <c r="F34" s="393">
        <f>F25</f>
        <v>66444000</v>
      </c>
      <c r="G34" s="393">
        <f>G25</f>
        <v>217050400000</v>
      </c>
      <c r="I34" s="449" t="s">
        <v>119</v>
      </c>
      <c r="J34" s="442">
        <f>J25</f>
        <v>63600000</v>
      </c>
      <c r="K34" s="442"/>
      <c r="L34" s="443">
        <f>L25</f>
        <v>89040000000</v>
      </c>
    </row>
    <row r="35" spans="3:12">
      <c r="D35" s="252" t="s">
        <v>122</v>
      </c>
      <c r="E35" s="393">
        <f>E20+E21+E22+E23+E27</f>
        <v>216615000</v>
      </c>
      <c r="F35" s="393">
        <f>F20+F21+F22+F23+F27</f>
        <v>149535000</v>
      </c>
      <c r="G35" s="393">
        <f>G20+G21+G22+G23+G27</f>
        <v>512610000000</v>
      </c>
      <c r="I35" s="449" t="s">
        <v>122</v>
      </c>
      <c r="J35" s="442">
        <f>J20+J21+J22+J23+J27</f>
        <v>110840000</v>
      </c>
      <c r="K35" s="442"/>
      <c r="L35" s="443">
        <f>L20+L21+L22+L23</f>
        <v>155176000000</v>
      </c>
    </row>
    <row r="36" spans="3:12" ht="15.75" thickBot="1">
      <c r="D36" s="252" t="s">
        <v>120</v>
      </c>
      <c r="E36" s="393">
        <f>E26</f>
        <v>382888000</v>
      </c>
      <c r="F36" s="393">
        <f>F26</f>
        <v>371155000</v>
      </c>
      <c r="G36" s="536"/>
      <c r="I36" s="449" t="s">
        <v>120</v>
      </c>
      <c r="J36" s="394"/>
      <c r="K36" s="394"/>
      <c r="L36" s="444"/>
    </row>
    <row r="37" spans="3:12" ht="15.75" thickBot="1">
      <c r="C37" s="413"/>
      <c r="D37" s="560" t="s">
        <v>907</v>
      </c>
      <c r="E37" s="561">
        <f>SUM(E31:E36)</f>
        <v>2124988000</v>
      </c>
      <c r="F37" s="561">
        <f>SUM(F31:F36)</f>
        <v>1870932000</v>
      </c>
      <c r="G37" s="562">
        <f>SUM(G31:G36)</f>
        <v>4538627800000</v>
      </c>
      <c r="I37" s="451" t="s">
        <v>907</v>
      </c>
      <c r="J37" s="452">
        <f>SUM(J31:J36)</f>
        <v>668795000</v>
      </c>
      <c r="K37" s="452"/>
      <c r="L37" s="453">
        <f>SUM(L31:L36)</f>
        <v>936313000000</v>
      </c>
    </row>
    <row r="38" spans="3:12">
      <c r="D38" s="559" t="s">
        <v>711</v>
      </c>
      <c r="E38" s="393">
        <f>E24</f>
        <v>63976000</v>
      </c>
      <c r="F38" s="393">
        <f>F24</f>
        <v>47982000</v>
      </c>
      <c r="G38" s="393">
        <f>G24</f>
        <v>156741200000</v>
      </c>
      <c r="I38" s="450" t="s">
        <v>711</v>
      </c>
      <c r="J38" s="442">
        <f>J24</f>
        <v>31767000</v>
      </c>
      <c r="K38" s="442"/>
      <c r="L38" s="443">
        <f>L24</f>
        <v>44473800000</v>
      </c>
    </row>
    <row r="39" spans="3:12">
      <c r="D39" s="558" t="s">
        <v>712</v>
      </c>
      <c r="E39" s="393">
        <f>0.075*E37</f>
        <v>159374100</v>
      </c>
      <c r="F39" s="393">
        <f>0.075*F37</f>
        <v>140319900</v>
      </c>
      <c r="G39" s="393">
        <f>0.075*G37</f>
        <v>340397085000</v>
      </c>
      <c r="I39" s="449" t="s">
        <v>712</v>
      </c>
      <c r="J39" s="469">
        <f>0.075*J37</f>
        <v>50159625</v>
      </c>
      <c r="K39" s="469"/>
      <c r="L39" s="470">
        <f>0.075*L37</f>
        <v>70223475000</v>
      </c>
    </row>
    <row r="40" spans="3:12" ht="15.75" thickBot="1">
      <c r="D40" s="563" t="s">
        <v>713</v>
      </c>
      <c r="E40" s="393"/>
      <c r="F40" s="393"/>
      <c r="G40" s="536"/>
      <c r="I40" s="450" t="s">
        <v>713</v>
      </c>
      <c r="J40" s="394"/>
      <c r="K40" s="394"/>
      <c r="L40" s="444"/>
    </row>
    <row r="41" spans="3:12" ht="15.75" thickBot="1">
      <c r="D41" s="560" t="s">
        <v>714</v>
      </c>
      <c r="E41" s="561">
        <f>SUM(E37:E40)</f>
        <v>2348338100</v>
      </c>
      <c r="F41" s="561">
        <f>SUM(F37:F40)</f>
        <v>2059233900</v>
      </c>
      <c r="G41" s="562">
        <f>SUM(G37:G40)</f>
        <v>5035766085000</v>
      </c>
      <c r="I41" s="451" t="s">
        <v>714</v>
      </c>
      <c r="J41" s="452">
        <f>SUM(J37:J40)</f>
        <v>750721625</v>
      </c>
      <c r="K41" s="452"/>
      <c r="L41" s="453">
        <f>SUM(L37:L40)</f>
        <v>1051010275000</v>
      </c>
    </row>
    <row r="44" spans="3:12" ht="15.75" thickBot="1">
      <c r="D44" s="433" t="s">
        <v>957</v>
      </c>
      <c r="I44" s="433" t="s">
        <v>908</v>
      </c>
    </row>
    <row r="45" spans="3:12">
      <c r="D45" s="463" t="s">
        <v>893</v>
      </c>
      <c r="E45" s="454" t="s">
        <v>953</v>
      </c>
      <c r="F45" s="454" t="s">
        <v>954</v>
      </c>
      <c r="G45" s="556" t="s">
        <v>889</v>
      </c>
      <c r="I45" s="463" t="s">
        <v>893</v>
      </c>
      <c r="J45" s="454" t="s">
        <v>887</v>
      </c>
      <c r="K45" s="455"/>
      <c r="L45" s="456" t="s">
        <v>889</v>
      </c>
    </row>
    <row r="46" spans="3:12">
      <c r="D46" s="464" t="s">
        <v>905</v>
      </c>
      <c r="E46" s="394"/>
      <c r="F46" s="434"/>
      <c r="G46" s="458"/>
      <c r="I46" s="464" t="s">
        <v>905</v>
      </c>
      <c r="J46" s="394"/>
      <c r="K46" s="434"/>
      <c r="L46" s="458"/>
    </row>
    <row r="47" spans="3:12">
      <c r="D47" s="459" t="s">
        <v>894</v>
      </c>
      <c r="E47" s="436">
        <v>237748100</v>
      </c>
      <c r="F47" s="436"/>
      <c r="G47" s="461">
        <f>E47*$E$4</f>
        <v>332847340000</v>
      </c>
      <c r="I47" s="459" t="s">
        <v>894</v>
      </c>
      <c r="J47" s="436">
        <v>237748100</v>
      </c>
      <c r="K47" s="436"/>
      <c r="L47" s="461">
        <f>J47*$E$4</f>
        <v>332847340000</v>
      </c>
    </row>
    <row r="48" spans="3:12">
      <c r="D48" s="459" t="s">
        <v>895</v>
      </c>
      <c r="E48" s="436">
        <v>51633300</v>
      </c>
      <c r="F48" s="436"/>
      <c r="G48" s="461">
        <f t="shared" ref="G48:G61" si="3">E48*$E$4</f>
        <v>72286620000</v>
      </c>
      <c r="I48" s="459" t="s">
        <v>895</v>
      </c>
      <c r="J48" s="436">
        <v>51633300</v>
      </c>
      <c r="K48" s="436"/>
      <c r="L48" s="461">
        <f t="shared" ref="L48:L61" si="4">J48*$E$4</f>
        <v>72286620000</v>
      </c>
    </row>
    <row r="49" spans="4:12">
      <c r="D49" s="459" t="s">
        <v>896</v>
      </c>
      <c r="E49" s="436">
        <v>15461300</v>
      </c>
      <c r="F49" s="436"/>
      <c r="G49" s="461">
        <f t="shared" si="3"/>
        <v>21645820000</v>
      </c>
      <c r="I49" s="459" t="s">
        <v>896</v>
      </c>
      <c r="J49" s="436">
        <v>15461300</v>
      </c>
      <c r="K49" s="436"/>
      <c r="L49" s="461">
        <f t="shared" si="4"/>
        <v>21645820000</v>
      </c>
    </row>
    <row r="50" spans="4:12">
      <c r="D50" s="459" t="s">
        <v>874</v>
      </c>
      <c r="E50" s="436">
        <v>82556000</v>
      </c>
      <c r="F50" s="436"/>
      <c r="G50" s="461">
        <f t="shared" si="3"/>
        <v>115578400000</v>
      </c>
      <c r="I50" s="459" t="s">
        <v>874</v>
      </c>
      <c r="J50" s="436">
        <v>82556000</v>
      </c>
      <c r="K50" s="436"/>
      <c r="L50" s="461">
        <f t="shared" si="4"/>
        <v>115578400000</v>
      </c>
    </row>
    <row r="51" spans="4:12">
      <c r="D51" s="459" t="s">
        <v>897</v>
      </c>
      <c r="E51" s="436">
        <v>113639100</v>
      </c>
      <c r="F51" s="436"/>
      <c r="G51" s="461">
        <f t="shared" si="3"/>
        <v>159094740000</v>
      </c>
      <c r="I51" s="459" t="s">
        <v>897</v>
      </c>
      <c r="J51" s="436">
        <v>113639100</v>
      </c>
      <c r="K51" s="436"/>
      <c r="L51" s="461">
        <f t="shared" si="4"/>
        <v>159094740000</v>
      </c>
    </row>
    <row r="52" spans="4:12">
      <c r="D52" s="459" t="s">
        <v>876</v>
      </c>
      <c r="E52" s="436">
        <v>41230300</v>
      </c>
      <c r="F52" s="436"/>
      <c r="G52" s="461">
        <f t="shared" si="3"/>
        <v>57722420000</v>
      </c>
      <c r="I52" s="459" t="s">
        <v>876</v>
      </c>
      <c r="J52" s="436">
        <v>41230300</v>
      </c>
      <c r="K52" s="436"/>
      <c r="L52" s="461">
        <f t="shared" si="4"/>
        <v>57722420000</v>
      </c>
    </row>
    <row r="53" spans="4:12">
      <c r="D53" s="459" t="s">
        <v>898</v>
      </c>
      <c r="E53" s="436">
        <v>61843400</v>
      </c>
      <c r="F53" s="436"/>
      <c r="G53" s="461">
        <f t="shared" si="3"/>
        <v>86580760000</v>
      </c>
      <c r="I53" s="459" t="s">
        <v>898</v>
      </c>
      <c r="J53" s="436">
        <v>61843400</v>
      </c>
      <c r="K53" s="436"/>
      <c r="L53" s="461">
        <f t="shared" si="4"/>
        <v>86580760000</v>
      </c>
    </row>
    <row r="54" spans="4:12">
      <c r="D54" s="459" t="s">
        <v>899</v>
      </c>
      <c r="E54" s="436">
        <v>20615100</v>
      </c>
      <c r="F54" s="436"/>
      <c r="G54" s="461">
        <f t="shared" si="3"/>
        <v>28861140000</v>
      </c>
      <c r="I54" s="459" t="s">
        <v>899</v>
      </c>
      <c r="J54" s="436">
        <v>20615100</v>
      </c>
      <c r="K54" s="436"/>
      <c r="L54" s="461">
        <f t="shared" si="4"/>
        <v>28861140000</v>
      </c>
    </row>
    <row r="55" spans="4:12">
      <c r="D55" s="459" t="s">
        <v>900</v>
      </c>
      <c r="E55" s="436">
        <v>103171100</v>
      </c>
      <c r="F55" s="436"/>
      <c r="G55" s="461">
        <f t="shared" si="3"/>
        <v>144439540000</v>
      </c>
      <c r="I55" s="459" t="s">
        <v>900</v>
      </c>
      <c r="J55" s="436">
        <v>103171100</v>
      </c>
      <c r="K55" s="436"/>
      <c r="L55" s="461">
        <f t="shared" si="4"/>
        <v>144439540000</v>
      </c>
    </row>
    <row r="56" spans="4:12">
      <c r="D56" s="459" t="s">
        <v>118</v>
      </c>
      <c r="E56" s="436">
        <v>8303300</v>
      </c>
      <c r="F56" s="436"/>
      <c r="G56" s="461">
        <f t="shared" si="3"/>
        <v>11624620000</v>
      </c>
      <c r="I56" s="459" t="s">
        <v>118</v>
      </c>
      <c r="J56" s="436">
        <v>8303300</v>
      </c>
      <c r="K56" s="436"/>
      <c r="L56" s="461">
        <f t="shared" si="4"/>
        <v>11624620000</v>
      </c>
    </row>
    <row r="57" spans="4:12">
      <c r="D57" s="457" t="s">
        <v>880</v>
      </c>
      <c r="E57" s="436"/>
      <c r="F57" s="436"/>
      <c r="G57" s="461">
        <f t="shared" si="3"/>
        <v>0</v>
      </c>
      <c r="I57" s="457" t="s">
        <v>880</v>
      </c>
      <c r="J57" s="436"/>
      <c r="K57" s="436"/>
      <c r="L57" s="461">
        <f t="shared" si="4"/>
        <v>0</v>
      </c>
    </row>
    <row r="58" spans="4:12">
      <c r="D58" s="459" t="s">
        <v>901</v>
      </c>
      <c r="E58" s="436">
        <v>44982000</v>
      </c>
      <c r="F58" s="436"/>
      <c r="G58" s="461">
        <f t="shared" si="3"/>
        <v>62974800000</v>
      </c>
      <c r="I58" s="459" t="s">
        <v>901</v>
      </c>
      <c r="J58" s="436">
        <v>44982000</v>
      </c>
      <c r="K58" s="436"/>
      <c r="L58" s="461">
        <f t="shared" si="4"/>
        <v>62974800000</v>
      </c>
    </row>
    <row r="59" spans="4:12">
      <c r="D59" s="459" t="s">
        <v>902</v>
      </c>
      <c r="E59" s="436">
        <v>41230300</v>
      </c>
      <c r="F59" s="436"/>
      <c r="G59" s="461">
        <f t="shared" si="3"/>
        <v>57722420000</v>
      </c>
      <c r="I59" s="459" t="s">
        <v>902</v>
      </c>
      <c r="J59" s="436">
        <v>41230300</v>
      </c>
      <c r="K59" s="436"/>
      <c r="L59" s="461">
        <f t="shared" si="4"/>
        <v>57722420000</v>
      </c>
    </row>
    <row r="60" spans="4:12">
      <c r="D60" s="459" t="s">
        <v>903</v>
      </c>
      <c r="E60" s="436">
        <v>67094600</v>
      </c>
      <c r="F60" s="436"/>
      <c r="G60" s="461">
        <f t="shared" si="3"/>
        <v>93932440000</v>
      </c>
      <c r="I60" s="459" t="s">
        <v>903</v>
      </c>
      <c r="J60" s="436">
        <v>67094600</v>
      </c>
      <c r="K60" s="436"/>
      <c r="L60" s="461">
        <f t="shared" si="4"/>
        <v>93932440000</v>
      </c>
    </row>
    <row r="61" spans="4:12" ht="15.75" thickBot="1">
      <c r="D61" s="460" t="s">
        <v>904</v>
      </c>
      <c r="E61" s="462">
        <v>10307600</v>
      </c>
      <c r="F61" s="462"/>
      <c r="G61" s="461">
        <f t="shared" si="3"/>
        <v>14430640000</v>
      </c>
      <c r="I61" s="460" t="s">
        <v>904</v>
      </c>
      <c r="J61" s="462">
        <v>10307600</v>
      </c>
      <c r="K61" s="462"/>
      <c r="L61" s="461">
        <f t="shared" si="4"/>
        <v>14430640000</v>
      </c>
    </row>
    <row r="62" spans="4:12" ht="15.75" thickBot="1">
      <c r="D62" s="251"/>
      <c r="E62" s="310">
        <f>SUM(E47:E61)</f>
        <v>899815500</v>
      </c>
      <c r="F62" s="310">
        <f>SUM(F47:F61)</f>
        <v>0</v>
      </c>
      <c r="G62" s="465">
        <f>SUM(G47:G61)</f>
        <v>1259741700000</v>
      </c>
      <c r="I62" s="251"/>
      <c r="J62" s="310">
        <f>SUM(J47:J61)</f>
        <v>899815500</v>
      </c>
      <c r="K62" s="310">
        <f>SUM(K47:K61)</f>
        <v>0</v>
      </c>
      <c r="L62" s="465">
        <f>SUM(L47:L61)</f>
        <v>1259741700000</v>
      </c>
    </row>
    <row r="63" spans="4:12" ht="15.75" thickBot="1"/>
    <row r="64" spans="4:12" ht="15.75" thickBot="1">
      <c r="D64" s="251" t="s">
        <v>893</v>
      </c>
      <c r="E64" s="540" t="s">
        <v>887</v>
      </c>
      <c r="F64" s="302"/>
      <c r="G64" s="448" t="s">
        <v>889</v>
      </c>
      <c r="I64" s="251" t="s">
        <v>893</v>
      </c>
      <c r="J64" s="447" t="s">
        <v>887</v>
      </c>
      <c r="K64" s="302"/>
      <c r="L64" s="448" t="s">
        <v>889</v>
      </c>
    </row>
    <row r="65" spans="4:12">
      <c r="D65" s="449" t="s">
        <v>826</v>
      </c>
      <c r="E65" s="442">
        <f>E56</f>
        <v>8303300</v>
      </c>
      <c r="F65" s="442"/>
      <c r="G65" s="443">
        <f>G56</f>
        <v>11624620000</v>
      </c>
      <c r="I65" s="449" t="s">
        <v>826</v>
      </c>
      <c r="J65" s="442">
        <f>J56</f>
        <v>8303300</v>
      </c>
      <c r="K65" s="442"/>
      <c r="L65" s="443">
        <f>L56</f>
        <v>11624620000</v>
      </c>
    </row>
    <row r="66" spans="4:12">
      <c r="D66" s="449" t="s">
        <v>824</v>
      </c>
      <c r="E66" s="442">
        <f>SUM(E47:E54)</f>
        <v>624726600</v>
      </c>
      <c r="F66" s="442"/>
      <c r="G66" s="443">
        <f>SUM(G47:G54)</f>
        <v>874617240000</v>
      </c>
      <c r="I66" s="449" t="s">
        <v>824</v>
      </c>
      <c r="J66" s="442">
        <f>SUM(J47:J54)</f>
        <v>624726600</v>
      </c>
      <c r="K66" s="442"/>
      <c r="L66" s="443">
        <f>SUM(L47:L54)</f>
        <v>874617240000</v>
      </c>
    </row>
    <row r="67" spans="4:12">
      <c r="D67" s="449" t="s">
        <v>845</v>
      </c>
      <c r="E67" s="442">
        <f>E55</f>
        <v>103171100</v>
      </c>
      <c r="F67" s="442"/>
      <c r="G67" s="443">
        <f>G55</f>
        <v>144439540000</v>
      </c>
      <c r="I67" s="449" t="s">
        <v>845</v>
      </c>
      <c r="J67" s="442">
        <f>J55</f>
        <v>103171100</v>
      </c>
      <c r="K67" s="442"/>
      <c r="L67" s="443">
        <f>L55</f>
        <v>144439540000</v>
      </c>
    </row>
    <row r="68" spans="4:12">
      <c r="D68" s="449" t="s">
        <v>119</v>
      </c>
      <c r="E68" s="442"/>
      <c r="F68" s="442"/>
      <c r="G68" s="443"/>
      <c r="I68" s="449" t="s">
        <v>119</v>
      </c>
      <c r="J68" s="442"/>
      <c r="K68" s="442"/>
      <c r="L68" s="443"/>
    </row>
    <row r="69" spans="4:12">
      <c r="D69" s="449" t="s">
        <v>122</v>
      </c>
      <c r="E69" s="442">
        <f>E58+E59+E60+E61</f>
        <v>163614500</v>
      </c>
      <c r="F69" s="442"/>
      <c r="G69" s="443">
        <f>G58+G59+G60+G61</f>
        <v>229060300000</v>
      </c>
      <c r="I69" s="449" t="s">
        <v>122</v>
      </c>
      <c r="J69" s="442">
        <f>J58+J59+J60+J61</f>
        <v>163614500</v>
      </c>
      <c r="K69" s="442"/>
      <c r="L69" s="443">
        <f>L58+L59+L60+L61</f>
        <v>229060300000</v>
      </c>
    </row>
    <row r="70" spans="4:12">
      <c r="D70" s="449" t="s">
        <v>120</v>
      </c>
      <c r="E70" s="394"/>
      <c r="F70" s="394"/>
      <c r="G70" s="444"/>
      <c r="I70" s="449" t="s">
        <v>120</v>
      </c>
      <c r="J70" s="394"/>
      <c r="K70" s="394"/>
      <c r="L70" s="444"/>
    </row>
    <row r="71" spans="4:12">
      <c r="D71" s="449"/>
      <c r="E71" s="394"/>
      <c r="F71" s="394"/>
      <c r="G71" s="444"/>
      <c r="I71" s="449"/>
      <c r="J71" s="394"/>
      <c r="K71" s="394"/>
      <c r="L71" s="444"/>
    </row>
    <row r="72" spans="4:12">
      <c r="D72" s="450" t="s">
        <v>711</v>
      </c>
      <c r="E72" s="442"/>
      <c r="F72" s="442"/>
      <c r="G72" s="443"/>
      <c r="I72" s="450" t="s">
        <v>711</v>
      </c>
      <c r="J72" s="442"/>
      <c r="K72" s="442"/>
      <c r="L72" s="443"/>
    </row>
    <row r="73" spans="4:12">
      <c r="D73" s="449" t="s">
        <v>712</v>
      </c>
      <c r="E73" s="394"/>
      <c r="F73" s="394"/>
      <c r="G73" s="444"/>
      <c r="I73" s="449" t="s">
        <v>712</v>
      </c>
      <c r="J73" s="394"/>
      <c r="K73" s="394"/>
      <c r="L73" s="444"/>
    </row>
    <row r="74" spans="4:12">
      <c r="D74" s="450" t="s">
        <v>713</v>
      </c>
      <c r="E74" s="394"/>
      <c r="F74" s="394"/>
      <c r="G74" s="444"/>
      <c r="I74" s="450" t="s">
        <v>713</v>
      </c>
      <c r="J74" s="394"/>
      <c r="K74" s="394"/>
      <c r="L74" s="444"/>
    </row>
    <row r="75" spans="4:12" ht="15.75" thickBot="1">
      <c r="D75" s="451" t="s">
        <v>714</v>
      </c>
      <c r="E75" s="452">
        <f>SUM(E65:E74)</f>
        <v>899815500</v>
      </c>
      <c r="F75" s="452"/>
      <c r="G75" s="453">
        <f>SUM(G65:G74)</f>
        <v>1259741700000</v>
      </c>
      <c r="I75" s="451" t="s">
        <v>714</v>
      </c>
      <c r="J75" s="452">
        <f>SUM(J65:J74)</f>
        <v>899815500</v>
      </c>
      <c r="K75" s="452"/>
      <c r="L75" s="453">
        <f>SUM(L65:L74)</f>
        <v>1259741700000</v>
      </c>
    </row>
  </sheetData>
  <mergeCells count="1">
    <mergeCell ref="D7:G7"/>
  </mergeCells>
  <phoneticPr fontId="47" type="noConversion"/>
  <pageMargins left="0.7" right="0.7" top="0.75" bottom="0.75" header="0.3" footer="0.3"/>
  <ignoredErrors>
    <ignoredError sqref="F32 E66 J66 J32" formulaRange="1"/>
  </ignoredErrors>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dimension ref="C2:M64"/>
  <sheetViews>
    <sheetView topLeftCell="A13" workbookViewId="0">
      <selection activeCell="D55" sqref="D55"/>
    </sheetView>
  </sheetViews>
  <sheetFormatPr defaultRowHeight="15"/>
  <cols>
    <col min="3" max="3" width="57.7109375" customWidth="1"/>
    <col min="4" max="4" width="23.26953125" customWidth="1"/>
    <col min="5" max="5" width="20.17578125" customWidth="1"/>
    <col min="6" max="6" width="22.59765625" customWidth="1"/>
    <col min="7" max="7" width="22.46484375" customWidth="1"/>
    <col min="9" max="9" width="19.7734375" customWidth="1"/>
    <col min="10" max="10" width="24.6171875" customWidth="1"/>
    <col min="11" max="11" width="23.9453125" customWidth="1"/>
    <col min="12" max="12" width="24.88671875" customWidth="1"/>
  </cols>
  <sheetData>
    <row r="2" spans="3:7">
      <c r="C2" t="s">
        <v>833</v>
      </c>
      <c r="D2">
        <v>630</v>
      </c>
      <c r="E2" s="395">
        <f>D2/D6</f>
        <v>0.39523212045169387</v>
      </c>
      <c r="F2" s="398">
        <f>E2*F30</f>
        <v>547.39401043386385</v>
      </c>
    </row>
    <row r="3" spans="3:7">
      <c r="C3" t="s">
        <v>837</v>
      </c>
      <c r="D3">
        <v>270</v>
      </c>
      <c r="E3" s="395">
        <f>D3/D6</f>
        <v>0.16938519447929737</v>
      </c>
      <c r="F3" s="398">
        <f>E3*F30</f>
        <v>234.59743304308449</v>
      </c>
    </row>
    <row r="4" spans="3:7">
      <c r="C4" t="s">
        <v>836</v>
      </c>
      <c r="D4">
        <v>175</v>
      </c>
      <c r="E4" s="395">
        <f>D4/D6</f>
        <v>0.10978670012547051</v>
      </c>
      <c r="F4" s="398">
        <f>E4*F30</f>
        <v>152.05389178718437</v>
      </c>
    </row>
    <row r="5" spans="3:7">
      <c r="C5" t="s">
        <v>838</v>
      </c>
      <c r="D5">
        <v>519</v>
      </c>
      <c r="E5" s="395">
        <f>D5/D6</f>
        <v>0.32559598494353825</v>
      </c>
      <c r="F5" s="398">
        <f>E5*F30</f>
        <v>450.94839907170683</v>
      </c>
    </row>
    <row r="6" spans="3:7" ht="15.75" thickBot="1">
      <c r="C6" s="396" t="s">
        <v>655</v>
      </c>
      <c r="D6" s="396">
        <f>SUM(D2:D5)</f>
        <v>1594</v>
      </c>
      <c r="E6" s="397">
        <f>SUM(E2:E5)</f>
        <v>1</v>
      </c>
      <c r="F6" s="418">
        <f>SUM(F2:F5)</f>
        <v>1384.9937343358397</v>
      </c>
    </row>
    <row r="7" spans="3:7" ht="15.75" thickBot="1"/>
    <row r="8" spans="3:7">
      <c r="C8" s="257" t="s">
        <v>653</v>
      </c>
      <c r="D8" s="256" t="s">
        <v>656</v>
      </c>
    </row>
    <row r="9" spans="3:7">
      <c r="C9" s="252" t="s">
        <v>654</v>
      </c>
      <c r="D9" s="254">
        <f>'Input '!C72</f>
        <v>15955000</v>
      </c>
    </row>
    <row r="10" spans="3:7">
      <c r="C10" s="252" t="s">
        <v>831</v>
      </c>
      <c r="D10" s="312">
        <f>F6*1000000*E10</f>
        <v>969495614.0350877</v>
      </c>
      <c r="E10" s="423">
        <v>0.7</v>
      </c>
      <c r="G10" t="s">
        <v>841</v>
      </c>
    </row>
    <row r="11" spans="3:7">
      <c r="C11" s="252" t="s">
        <v>845</v>
      </c>
      <c r="D11" s="312">
        <f>F6*1000000*E11</f>
        <v>138499373.43358397</v>
      </c>
      <c r="E11" s="423">
        <v>0.1</v>
      </c>
    </row>
    <row r="12" spans="3:7">
      <c r="C12" s="252" t="s">
        <v>119</v>
      </c>
      <c r="D12" s="312">
        <f>F6*1000000*E12</f>
        <v>103874530.07518798</v>
      </c>
      <c r="E12" s="423">
        <v>7.4999999999999997E-2</v>
      </c>
    </row>
    <row r="13" spans="3:7">
      <c r="C13" s="422" t="s">
        <v>122</v>
      </c>
      <c r="D13" s="312">
        <f>F6*1000000*E13</f>
        <v>34624843.358395994</v>
      </c>
      <c r="E13" s="423">
        <v>2.5000000000000001E-2</v>
      </c>
    </row>
    <row r="14" spans="3:7" ht="15.75" thickBot="1">
      <c r="C14" s="253" t="s">
        <v>120</v>
      </c>
      <c r="D14" s="312">
        <f>F6*1000000*E14</f>
        <v>138499373.43358397</v>
      </c>
      <c r="E14" s="423">
        <v>0.1</v>
      </c>
    </row>
    <row r="15" spans="3:7" ht="15.75" thickBot="1">
      <c r="C15" s="251" t="s">
        <v>655</v>
      </c>
      <c r="D15" s="255">
        <f>SUM(D9:D14)</f>
        <v>1400948734.3358397</v>
      </c>
      <c r="E15" s="423">
        <f>SUM(E10:E14)</f>
        <v>0.99999999999999989</v>
      </c>
    </row>
    <row r="17" spans="3:13">
      <c r="C17" t="s">
        <v>852</v>
      </c>
      <c r="D17" s="398">
        <f>0.05*D15</f>
        <v>70047436.716791987</v>
      </c>
    </row>
    <row r="18" spans="3:13">
      <c r="C18" t="s">
        <v>712</v>
      </c>
      <c r="D18" s="398">
        <f>0.075*D15</f>
        <v>105071155.07518798</v>
      </c>
    </row>
    <row r="19" spans="3:13">
      <c r="D19" s="311"/>
    </row>
    <row r="20" spans="3:13" ht="15.75" thickBot="1">
      <c r="C20" s="396" t="s">
        <v>655</v>
      </c>
      <c r="D20" s="421">
        <f>D15+D17+D18+D19</f>
        <v>1576067326.1278198</v>
      </c>
      <c r="E20" s="394"/>
      <c r="F20" s="394"/>
      <c r="G20" s="394"/>
      <c r="H20" s="394"/>
      <c r="I20" s="394"/>
      <c r="J20" s="394"/>
      <c r="K20" s="394"/>
    </row>
    <row r="21" spans="3:13">
      <c r="C21" s="394"/>
      <c r="D21" s="393"/>
      <c r="E21" s="394"/>
      <c r="F21" s="394"/>
      <c r="G21" s="394"/>
      <c r="H21" s="394"/>
      <c r="I21" s="394"/>
      <c r="J21" s="394"/>
      <c r="K21" s="394"/>
    </row>
    <row r="22" spans="3:13">
      <c r="C22" s="394"/>
      <c r="D22" s="393"/>
      <c r="E22" s="394"/>
      <c r="F22" s="394"/>
      <c r="G22" s="394"/>
      <c r="H22" s="394"/>
      <c r="I22" s="394"/>
      <c r="J22" s="394"/>
      <c r="K22" s="394"/>
    </row>
    <row r="23" spans="3:13">
      <c r="C23" s="394"/>
      <c r="D23" s="393"/>
      <c r="E23" s="394"/>
      <c r="F23" s="394"/>
      <c r="G23" s="394"/>
      <c r="H23" s="394"/>
      <c r="I23" s="394"/>
      <c r="J23" s="394"/>
      <c r="K23" s="394"/>
    </row>
    <row r="24" spans="3:13" s="411" customFormat="1" ht="30">
      <c r="C24" s="408" t="s">
        <v>832</v>
      </c>
      <c r="D24" s="409" t="s">
        <v>834</v>
      </c>
      <c r="E24" s="409" t="s">
        <v>835</v>
      </c>
      <c r="F24" s="409" t="s">
        <v>839</v>
      </c>
      <c r="G24" s="410" t="s">
        <v>840</v>
      </c>
      <c r="H24" s="407" t="s">
        <v>842</v>
      </c>
      <c r="I24" s="407" t="s">
        <v>714</v>
      </c>
      <c r="J24" s="407" t="s">
        <v>844</v>
      </c>
      <c r="K24" s="407" t="s">
        <v>843</v>
      </c>
      <c r="L24" s="407" t="s">
        <v>843</v>
      </c>
    </row>
    <row r="25" spans="3:13" s="403" customFormat="1" ht="30">
      <c r="C25" s="400" t="s">
        <v>846</v>
      </c>
      <c r="D25" s="401">
        <v>2700</v>
      </c>
      <c r="E25" s="414">
        <v>3000</v>
      </c>
      <c r="F25" s="412">
        <f>D6</f>
        <v>1594</v>
      </c>
      <c r="G25" s="402">
        <v>80</v>
      </c>
      <c r="H25" s="403">
        <v>111</v>
      </c>
      <c r="I25" s="404">
        <f>G25+H25+F25</f>
        <v>1785</v>
      </c>
      <c r="J25" s="405">
        <f>F25/D25</f>
        <v>0.59037037037037032</v>
      </c>
      <c r="K25" s="415">
        <f>I25/E25</f>
        <v>0.59499999999999997</v>
      </c>
      <c r="L25" s="406">
        <f>I25/(D25+E25)</f>
        <v>0.31315789473684208</v>
      </c>
    </row>
    <row r="26" spans="3:13">
      <c r="E26" s="413"/>
      <c r="F26" s="311"/>
      <c r="J26" s="405"/>
      <c r="K26" s="415"/>
      <c r="L26" s="406"/>
    </row>
    <row r="27" spans="3:13">
      <c r="C27" s="403" t="s">
        <v>850</v>
      </c>
      <c r="D27" s="401">
        <v>2300</v>
      </c>
      <c r="E27" s="413">
        <v>4000</v>
      </c>
      <c r="F27" s="311">
        <f>780+147+77+81</f>
        <v>1085</v>
      </c>
      <c r="G27">
        <v>115</v>
      </c>
      <c r="I27" s="413">
        <f>F27+G27</f>
        <v>1200</v>
      </c>
      <c r="J27" s="405">
        <f>F27/D27</f>
        <v>0.47173913043478261</v>
      </c>
      <c r="K27" s="415">
        <f>I27/E27</f>
        <v>0.3</v>
      </c>
      <c r="L27" s="406">
        <f>I27/(D27+E27)</f>
        <v>0.19047619047619047</v>
      </c>
      <c r="M27">
        <f>L27*D27</f>
        <v>438.09523809523807</v>
      </c>
    </row>
    <row r="28" spans="3:13">
      <c r="E28" s="413"/>
      <c r="F28" s="413"/>
      <c r="K28" s="399"/>
      <c r="L28" s="398">
        <f>(L25+L27)/2</f>
        <v>0.25181704260651627</v>
      </c>
      <c r="M28">
        <f>L27*E27</f>
        <v>761.90476190476181</v>
      </c>
    </row>
    <row r="30" spans="3:13" ht="15.75" thickBot="1">
      <c r="C30" t="s">
        <v>851</v>
      </c>
      <c r="D30" s="419">
        <v>2500</v>
      </c>
      <c r="E30" s="420">
        <v>3000</v>
      </c>
      <c r="F30" s="421">
        <f>L28*(D30+E30)</f>
        <v>1384.9937343358395</v>
      </c>
    </row>
    <row r="31" spans="3:13" ht="15.75" thickBot="1">
      <c r="K31" s="418">
        <f>AVERAGE(K25:K28)</f>
        <v>0.44750000000000001</v>
      </c>
      <c r="L31">
        <f>F231</f>
        <v>0</v>
      </c>
    </row>
    <row r="33" spans="7:8">
      <c r="G33" s="395">
        <f>F25/I25</f>
        <v>0.89299719887955187</v>
      </c>
      <c r="H33" s="395">
        <f>G25/I25</f>
        <v>4.4817927170868348E-2</v>
      </c>
    </row>
    <row r="34" spans="7:8">
      <c r="G34" s="395">
        <f>F27/I27</f>
        <v>0.90416666666666667</v>
      </c>
      <c r="H34" s="395">
        <f>F27/G27</f>
        <v>9.4347826086956523</v>
      </c>
    </row>
    <row r="64" spans="3:3">
      <c r="C64" t="s">
        <v>864</v>
      </c>
    </row>
  </sheetData>
  <pageMargins left="0.7" right="0.7" top="0.75" bottom="0.75" header="0.3" footer="0.3"/>
  <legacy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tabColor theme="9" tint="0.39997558519241921"/>
  </sheetPr>
  <dimension ref="A1:AZ99"/>
  <sheetViews>
    <sheetView workbookViewId="0">
      <selection activeCell="F20" sqref="F20"/>
    </sheetView>
  </sheetViews>
  <sheetFormatPr defaultColWidth="9.14453125" defaultRowHeight="10.5"/>
  <cols>
    <col min="1" max="1" width="3.49609375" style="2" customWidth="1"/>
    <col min="2" max="2" width="32.5546875" style="2" customWidth="1"/>
    <col min="3" max="3" width="9.14453125" style="2"/>
    <col min="4" max="4" width="15.06640625" style="2" bestFit="1" customWidth="1"/>
    <col min="5" max="8" width="9.14453125" style="2"/>
    <col min="9" max="10" width="13.85546875" style="2" bestFit="1" customWidth="1"/>
    <col min="11" max="12" width="14.390625" style="2" bestFit="1" customWidth="1"/>
    <col min="13" max="35" width="15.06640625" style="2" bestFit="1" customWidth="1"/>
    <col min="36" max="48" width="11.43359375" style="2" customWidth="1"/>
    <col min="49" max="49" width="13.98828125" style="2" customWidth="1"/>
    <col min="50" max="52" width="0" style="590" hidden="1" customWidth="1"/>
    <col min="53" max="16384" width="9.14453125" style="2"/>
  </cols>
  <sheetData>
    <row r="1" spans="1:52" s="2714" customFormat="1" ht="14.25">
      <c r="A1" s="3263" t="s">
        <v>672</v>
      </c>
      <c r="B1" s="3264"/>
      <c r="C1" s="3264"/>
      <c r="D1" s="3264"/>
      <c r="E1" s="3264"/>
      <c r="F1" s="3264"/>
      <c r="G1" s="3264"/>
      <c r="H1" s="3264"/>
      <c r="I1" s="3264"/>
      <c r="J1" s="3264"/>
      <c r="K1" s="3264"/>
      <c r="L1" s="3264"/>
      <c r="M1" s="3264"/>
      <c r="N1" s="3264"/>
      <c r="O1" s="3264"/>
      <c r="P1" s="3264"/>
      <c r="Q1" s="3264"/>
      <c r="R1" s="3264"/>
      <c r="S1" s="3264"/>
      <c r="T1" s="3264"/>
      <c r="U1" s="3264"/>
      <c r="V1" s="3264"/>
      <c r="W1" s="3264"/>
      <c r="X1" s="3264"/>
      <c r="Y1" s="3264"/>
      <c r="Z1" s="3264"/>
      <c r="AA1" s="3264"/>
      <c r="AB1" s="3264"/>
      <c r="AC1" s="3264"/>
      <c r="AD1" s="3264"/>
      <c r="AE1" s="3264"/>
      <c r="AF1" s="3264"/>
      <c r="AG1" s="3264"/>
      <c r="AH1" s="3264"/>
      <c r="AI1" s="3264"/>
      <c r="AJ1" s="3264"/>
      <c r="AK1" s="3264"/>
      <c r="AL1" s="3264"/>
      <c r="AM1" s="3264"/>
      <c r="AN1" s="3264"/>
      <c r="AO1" s="3264"/>
      <c r="AP1" s="3264"/>
      <c r="AQ1" s="3264"/>
      <c r="AR1" s="3264"/>
      <c r="AS1" s="3264"/>
      <c r="AT1" s="3264"/>
      <c r="AU1" s="3264"/>
      <c r="AV1" s="3264"/>
      <c r="AW1" s="3264"/>
      <c r="AX1" s="3264"/>
      <c r="AY1" s="3264"/>
      <c r="AZ1" s="3264"/>
    </row>
    <row r="2" spans="1:52" s="135" customFormat="1" ht="11.25">
      <c r="A2" s="2711" t="s">
        <v>2397</v>
      </c>
      <c r="B2" s="2711"/>
      <c r="C2" s="2704"/>
      <c r="D2" s="2704"/>
      <c r="E2" s="2704"/>
      <c r="F2" s="2704"/>
      <c r="G2" s="2704"/>
      <c r="H2" s="2704" t="s">
        <v>0</v>
      </c>
      <c r="I2" s="2714">
        <f>'Timing &amp; Flags'!I2</f>
        <v>1</v>
      </c>
      <c r="J2" s="2714">
        <f>'Timing &amp; Flags'!J2</f>
        <v>2</v>
      </c>
      <c r="K2" s="2714">
        <f>'Timing &amp; Flags'!K2</f>
        <v>3</v>
      </c>
      <c r="L2" s="2714">
        <f>'Timing &amp; Flags'!L2</f>
        <v>4</v>
      </c>
      <c r="M2" s="2714">
        <f>'Timing &amp; Flags'!M2</f>
        <v>5</v>
      </c>
      <c r="N2" s="2714">
        <f>'Timing &amp; Flags'!N2</f>
        <v>6</v>
      </c>
      <c r="O2" s="2714">
        <f>'Timing &amp; Flags'!O2</f>
        <v>7</v>
      </c>
      <c r="P2" s="2714">
        <f>'Timing &amp; Flags'!P2</f>
        <v>8</v>
      </c>
      <c r="Q2" s="2714">
        <f>'Timing &amp; Flags'!Q2</f>
        <v>9</v>
      </c>
      <c r="R2" s="2714">
        <f>'Timing &amp; Flags'!R2</f>
        <v>10</v>
      </c>
      <c r="S2" s="2714">
        <f>'Timing &amp; Flags'!S2</f>
        <v>11</v>
      </c>
      <c r="T2" s="2714">
        <f>'Timing &amp; Flags'!T2</f>
        <v>12</v>
      </c>
      <c r="U2" s="2714">
        <f>'Timing &amp; Flags'!U2</f>
        <v>13</v>
      </c>
      <c r="V2" s="2714">
        <f>'Timing &amp; Flags'!V2</f>
        <v>14</v>
      </c>
      <c r="W2" s="2714">
        <f>'Timing &amp; Flags'!W2</f>
        <v>15</v>
      </c>
      <c r="X2" s="2714">
        <f>'Timing &amp; Flags'!X2</f>
        <v>16</v>
      </c>
      <c r="Y2" s="2714">
        <f>'Timing &amp; Flags'!Y2</f>
        <v>17</v>
      </c>
      <c r="Z2" s="2714">
        <f>'Timing &amp; Flags'!Z2</f>
        <v>18</v>
      </c>
      <c r="AA2" s="2714">
        <f>'Timing &amp; Flags'!AA2</f>
        <v>19</v>
      </c>
      <c r="AB2" s="2714">
        <f>'Timing &amp; Flags'!AB2</f>
        <v>20</v>
      </c>
      <c r="AC2" s="2714">
        <f>'Timing &amp; Flags'!AC2</f>
        <v>21</v>
      </c>
      <c r="AD2" s="2714">
        <f>'Timing &amp; Flags'!AD2</f>
        <v>22</v>
      </c>
      <c r="AE2" s="2714">
        <f>'Timing &amp; Flags'!AE2</f>
        <v>23</v>
      </c>
      <c r="AF2" s="2714">
        <f>'Timing &amp; Flags'!AF2</f>
        <v>24</v>
      </c>
      <c r="AG2" s="2714">
        <f>'Timing &amp; Flags'!AG2</f>
        <v>25</v>
      </c>
      <c r="AH2" s="2714">
        <f>'Timing &amp; Flags'!AH2</f>
        <v>26</v>
      </c>
      <c r="AI2" s="2714">
        <f>'Timing &amp; Flags'!AI2</f>
        <v>27</v>
      </c>
      <c r="AJ2" s="2714">
        <f>'Timing &amp; Flags'!AJ2</f>
        <v>28</v>
      </c>
      <c r="AK2" s="2714">
        <f>'Timing &amp; Flags'!AK2</f>
        <v>29</v>
      </c>
      <c r="AL2" s="2714">
        <f>'Timing &amp; Flags'!AL2</f>
        <v>30</v>
      </c>
      <c r="AM2" s="2714">
        <f>'Timing &amp; Flags'!AM2</f>
        <v>31</v>
      </c>
      <c r="AN2" s="2714">
        <f>'Timing &amp; Flags'!AN2</f>
        <v>32</v>
      </c>
      <c r="AO2" s="2714">
        <f>'Timing &amp; Flags'!AO2</f>
        <v>33</v>
      </c>
      <c r="AP2" s="2714">
        <f>'Timing &amp; Flags'!AP2</f>
        <v>34</v>
      </c>
      <c r="AQ2" s="2714">
        <f>'Timing &amp; Flags'!AQ2</f>
        <v>35</v>
      </c>
      <c r="AR2" s="2714">
        <f>'Timing &amp; Flags'!AR2</f>
        <v>36</v>
      </c>
      <c r="AS2" s="2714">
        <f>'Timing &amp; Flags'!AS2</f>
        <v>37</v>
      </c>
      <c r="AT2" s="2714">
        <f>'Timing &amp; Flags'!AT2</f>
        <v>38</v>
      </c>
      <c r="AU2" s="2714">
        <f>'Timing &amp; Flags'!AU2</f>
        <v>39</v>
      </c>
      <c r="AV2" s="2714">
        <f>'Timing &amp; Flags'!AV2</f>
        <v>40</v>
      </c>
      <c r="AW2" s="2714">
        <f>'Timing &amp; Flags'!AW2</f>
        <v>41</v>
      </c>
      <c r="AX2" s="2714"/>
    </row>
    <row r="3" spans="1:52" s="135" customFormat="1" ht="11.25">
      <c r="A3" s="2711" t="s">
        <v>2395</v>
      </c>
      <c r="B3" s="2704"/>
      <c r="C3" s="2704"/>
      <c r="D3" s="2704"/>
      <c r="E3" s="2704"/>
      <c r="F3" s="2704"/>
      <c r="G3" s="2704"/>
      <c r="H3" s="2704" t="s">
        <v>1</v>
      </c>
      <c r="I3" s="2719">
        <f>'Timing &amp; Flags'!I3</f>
        <v>46023</v>
      </c>
      <c r="J3" s="2719">
        <f>'Timing &amp; Flags'!J3</f>
        <v>46388</v>
      </c>
      <c r="K3" s="2719">
        <f>'Timing &amp; Flags'!K3</f>
        <v>46753</v>
      </c>
      <c r="L3" s="2719">
        <f>'Timing &amp; Flags'!L3</f>
        <v>47119</v>
      </c>
      <c r="M3" s="2719">
        <f>'Timing &amp; Flags'!M3</f>
        <v>47484</v>
      </c>
      <c r="N3" s="2719">
        <f>'Timing &amp; Flags'!N3</f>
        <v>47849</v>
      </c>
      <c r="O3" s="2719">
        <f>'Timing &amp; Flags'!O3</f>
        <v>48214</v>
      </c>
      <c r="P3" s="2719">
        <f>'Timing &amp; Flags'!P3</f>
        <v>48580</v>
      </c>
      <c r="Q3" s="2719">
        <f>'Timing &amp; Flags'!Q3</f>
        <v>48945</v>
      </c>
      <c r="R3" s="2719">
        <f>'Timing &amp; Flags'!R3</f>
        <v>49310</v>
      </c>
      <c r="S3" s="2719">
        <f>'Timing &amp; Flags'!S3</f>
        <v>49675</v>
      </c>
      <c r="T3" s="2719">
        <f>'Timing &amp; Flags'!T3</f>
        <v>50041</v>
      </c>
      <c r="U3" s="2719">
        <f>'Timing &amp; Flags'!U3</f>
        <v>50406</v>
      </c>
      <c r="V3" s="2719">
        <f>'Timing &amp; Flags'!V3</f>
        <v>50771</v>
      </c>
      <c r="W3" s="2719">
        <f>'Timing &amp; Flags'!W3</f>
        <v>51136</v>
      </c>
      <c r="X3" s="2719">
        <f>'Timing &amp; Flags'!X3</f>
        <v>51502</v>
      </c>
      <c r="Y3" s="2719">
        <f>'Timing &amp; Flags'!Y3</f>
        <v>51867</v>
      </c>
      <c r="Z3" s="2719">
        <f>'Timing &amp; Flags'!Z3</f>
        <v>52232</v>
      </c>
      <c r="AA3" s="2719">
        <f>'Timing &amp; Flags'!AA3</f>
        <v>52597</v>
      </c>
      <c r="AB3" s="2719">
        <f>'Timing &amp; Flags'!AB3</f>
        <v>52963</v>
      </c>
      <c r="AC3" s="2719">
        <f>'Timing &amp; Flags'!AC3</f>
        <v>53328</v>
      </c>
      <c r="AD3" s="2719">
        <f>'Timing &amp; Flags'!AD3</f>
        <v>53693</v>
      </c>
      <c r="AE3" s="2719">
        <f>'Timing &amp; Flags'!AE3</f>
        <v>54058</v>
      </c>
      <c r="AF3" s="2719">
        <f>'Timing &amp; Flags'!AF3</f>
        <v>54424</v>
      </c>
      <c r="AG3" s="2719">
        <f>'Timing &amp; Flags'!AG3</f>
        <v>54789</v>
      </c>
      <c r="AH3" s="2719">
        <f>'Timing &amp; Flags'!AH3</f>
        <v>55154</v>
      </c>
      <c r="AI3" s="2719">
        <f>'Timing &amp; Flags'!AI3</f>
        <v>55519</v>
      </c>
      <c r="AJ3" s="2719">
        <f>'Timing &amp; Flags'!AJ3</f>
        <v>55885</v>
      </c>
      <c r="AK3" s="2719">
        <f>'Timing &amp; Flags'!AK3</f>
        <v>56250</v>
      </c>
      <c r="AL3" s="2719">
        <f>'Timing &amp; Flags'!AL3</f>
        <v>56615</v>
      </c>
      <c r="AM3" s="2719">
        <f>'Timing &amp; Flags'!AM3</f>
        <v>56980</v>
      </c>
      <c r="AN3" s="2719">
        <f>'Timing &amp; Flags'!AN3</f>
        <v>57346</v>
      </c>
      <c r="AO3" s="2719">
        <f>'Timing &amp; Flags'!AO3</f>
        <v>57711</v>
      </c>
      <c r="AP3" s="2719">
        <f>'Timing &amp; Flags'!AP3</f>
        <v>58076</v>
      </c>
      <c r="AQ3" s="2719">
        <f>'Timing &amp; Flags'!AQ3</f>
        <v>58441</v>
      </c>
      <c r="AR3" s="2719">
        <f>'Timing &amp; Flags'!AR3</f>
        <v>58807</v>
      </c>
      <c r="AS3" s="2719">
        <f>'Timing &amp; Flags'!AS3</f>
        <v>59172</v>
      </c>
      <c r="AT3" s="2719">
        <f>'Timing &amp; Flags'!AT3</f>
        <v>59537</v>
      </c>
      <c r="AU3" s="2719">
        <f>'Timing &amp; Flags'!AU3</f>
        <v>59902</v>
      </c>
      <c r="AV3" s="2719">
        <f>'Timing &amp; Flags'!AV3</f>
        <v>60268</v>
      </c>
      <c r="AW3" s="2719">
        <f>'Timing &amp; Flags'!AW3</f>
        <v>60633</v>
      </c>
      <c r="AX3" s="2719"/>
    </row>
    <row r="4" spans="1:52" s="135" customFormat="1" ht="11.25">
      <c r="A4" s="2704" t="s">
        <v>849</v>
      </c>
      <c r="B4" s="2704"/>
      <c r="C4" s="2704"/>
      <c r="D4" s="2704"/>
      <c r="E4" s="2704"/>
      <c r="F4" s="2704"/>
      <c r="G4" s="2704"/>
      <c r="H4" s="2704" t="s">
        <v>2</v>
      </c>
      <c r="I4" s="2722">
        <f>'Timing &amp; Flags'!I4</f>
        <v>46387</v>
      </c>
      <c r="J4" s="2722">
        <f>'Timing &amp; Flags'!J4</f>
        <v>46752</v>
      </c>
      <c r="K4" s="2722">
        <f>'Timing &amp; Flags'!K4</f>
        <v>47118</v>
      </c>
      <c r="L4" s="2722">
        <f>'Timing &amp; Flags'!L4</f>
        <v>47483</v>
      </c>
      <c r="M4" s="2722">
        <f>'Timing &amp; Flags'!M4</f>
        <v>47848</v>
      </c>
      <c r="N4" s="2722">
        <f>'Timing &amp; Flags'!N4</f>
        <v>48213</v>
      </c>
      <c r="O4" s="2722">
        <f>'Timing &amp; Flags'!O4</f>
        <v>48579</v>
      </c>
      <c r="P4" s="2722">
        <f>'Timing &amp; Flags'!P4</f>
        <v>48944</v>
      </c>
      <c r="Q4" s="2722">
        <f>'Timing &amp; Flags'!Q4</f>
        <v>49309</v>
      </c>
      <c r="R4" s="2722">
        <f>'Timing &amp; Flags'!R4</f>
        <v>49674</v>
      </c>
      <c r="S4" s="2722">
        <f>'Timing &amp; Flags'!S4</f>
        <v>50040</v>
      </c>
      <c r="T4" s="2722">
        <f>'Timing &amp; Flags'!T4</f>
        <v>50405</v>
      </c>
      <c r="U4" s="2722">
        <f>'Timing &amp; Flags'!U4</f>
        <v>50770</v>
      </c>
      <c r="V4" s="2722">
        <f>'Timing &amp; Flags'!V4</f>
        <v>51135</v>
      </c>
      <c r="W4" s="2722">
        <f>'Timing &amp; Flags'!W4</f>
        <v>51501</v>
      </c>
      <c r="X4" s="2722">
        <f>'Timing &amp; Flags'!X4</f>
        <v>51866</v>
      </c>
      <c r="Y4" s="2722">
        <f>'Timing &amp; Flags'!Y4</f>
        <v>52231</v>
      </c>
      <c r="Z4" s="2722">
        <f>'Timing &amp; Flags'!Z4</f>
        <v>52596</v>
      </c>
      <c r="AA4" s="2722">
        <f>'Timing &amp; Flags'!AA4</f>
        <v>52962</v>
      </c>
      <c r="AB4" s="2722">
        <f>'Timing &amp; Flags'!AB4</f>
        <v>53327</v>
      </c>
      <c r="AC4" s="2722">
        <f>'Timing &amp; Flags'!AC4</f>
        <v>53692</v>
      </c>
      <c r="AD4" s="2722">
        <f>'Timing &amp; Flags'!AD4</f>
        <v>54057</v>
      </c>
      <c r="AE4" s="2722">
        <f>'Timing &amp; Flags'!AE4</f>
        <v>54423</v>
      </c>
      <c r="AF4" s="2722">
        <f>'Timing &amp; Flags'!AF4</f>
        <v>54788</v>
      </c>
      <c r="AG4" s="2722">
        <f>'Timing &amp; Flags'!AG4</f>
        <v>55153</v>
      </c>
      <c r="AH4" s="2722">
        <f>'Timing &amp; Flags'!AH4</f>
        <v>55518</v>
      </c>
      <c r="AI4" s="2722">
        <f>'Timing &amp; Flags'!AI4</f>
        <v>55884</v>
      </c>
      <c r="AJ4" s="2722">
        <f>'Timing &amp; Flags'!AJ4</f>
        <v>56249</v>
      </c>
      <c r="AK4" s="2722">
        <f>'Timing &amp; Flags'!AK4</f>
        <v>56614</v>
      </c>
      <c r="AL4" s="2722">
        <f>'Timing &amp; Flags'!AL4</f>
        <v>56979</v>
      </c>
      <c r="AM4" s="2722">
        <f>'Timing &amp; Flags'!AM4</f>
        <v>57345</v>
      </c>
      <c r="AN4" s="2722">
        <f>'Timing &amp; Flags'!AN4</f>
        <v>57710</v>
      </c>
      <c r="AO4" s="2722">
        <f>'Timing &amp; Flags'!AO4</f>
        <v>58075</v>
      </c>
      <c r="AP4" s="2722">
        <f>'Timing &amp; Flags'!AP4</f>
        <v>58440</v>
      </c>
      <c r="AQ4" s="2722">
        <f>'Timing &amp; Flags'!AQ4</f>
        <v>58806</v>
      </c>
      <c r="AR4" s="2722">
        <f>'Timing &amp; Flags'!AR4</f>
        <v>59171</v>
      </c>
      <c r="AS4" s="2722">
        <f>'Timing &amp; Flags'!AS4</f>
        <v>59536</v>
      </c>
      <c r="AT4" s="2722">
        <f>'Timing &amp; Flags'!AT4</f>
        <v>59901</v>
      </c>
      <c r="AU4" s="2722">
        <f>'Timing &amp; Flags'!AU4</f>
        <v>60267</v>
      </c>
      <c r="AV4" s="2722">
        <f>'Timing &amp; Flags'!AV4</f>
        <v>60632</v>
      </c>
      <c r="AW4" s="2722">
        <f>'Timing &amp; Flags'!AW4</f>
        <v>60997</v>
      </c>
      <c r="AX4" s="2722"/>
    </row>
    <row r="5" spans="1:52" s="135" customFormat="1" ht="11.25">
      <c r="A5" s="2704" t="s">
        <v>640</v>
      </c>
      <c r="B5" s="2704"/>
      <c r="C5" s="2704"/>
      <c r="D5" s="2704"/>
      <c r="E5" s="2704"/>
      <c r="F5" s="2704"/>
      <c r="G5" s="2704"/>
      <c r="H5" s="2704" t="s">
        <v>3</v>
      </c>
      <c r="I5" s="2723">
        <f ca="1">'Timing &amp; Flags'!I5</f>
        <v>365</v>
      </c>
      <c r="J5" s="2723">
        <f ca="1">'Timing &amp; Flags'!J5</f>
        <v>366</v>
      </c>
      <c r="K5" s="2723">
        <f ca="1">'Timing &amp; Flags'!K5</f>
        <v>365</v>
      </c>
      <c r="L5" s="2723">
        <f ca="1">'Timing &amp; Flags'!L5</f>
        <v>365</v>
      </c>
      <c r="M5" s="2723">
        <f ca="1">'Timing &amp; Flags'!M5</f>
        <v>365</v>
      </c>
      <c r="N5" s="2723">
        <f ca="1">'Timing &amp; Flags'!N5</f>
        <v>366</v>
      </c>
      <c r="O5" s="2723">
        <f ca="1">'Timing &amp; Flags'!O5</f>
        <v>365</v>
      </c>
      <c r="P5" s="2723">
        <f ca="1">'Timing &amp; Flags'!P5</f>
        <v>365</v>
      </c>
      <c r="Q5" s="2723">
        <f ca="1">'Timing &amp; Flags'!Q5</f>
        <v>365</v>
      </c>
      <c r="R5" s="2723">
        <f ca="1">'Timing &amp; Flags'!R5</f>
        <v>366</v>
      </c>
      <c r="S5" s="2723">
        <f ca="1">'Timing &amp; Flags'!S5</f>
        <v>365</v>
      </c>
      <c r="T5" s="2723">
        <f ca="1">'Timing &amp; Flags'!T5</f>
        <v>365</v>
      </c>
      <c r="U5" s="2723">
        <f ca="1">'Timing &amp; Flags'!U5</f>
        <v>365</v>
      </c>
      <c r="V5" s="2723">
        <f ca="1">'Timing &amp; Flags'!V5</f>
        <v>366</v>
      </c>
      <c r="W5" s="2723">
        <f ca="1">'Timing &amp; Flags'!W5</f>
        <v>365</v>
      </c>
      <c r="X5" s="2723">
        <f ca="1">'Timing &amp; Flags'!X5</f>
        <v>365</v>
      </c>
      <c r="Y5" s="2723">
        <f ca="1">'Timing &amp; Flags'!Y5</f>
        <v>365</v>
      </c>
      <c r="Z5" s="2723">
        <f ca="1">'Timing &amp; Flags'!Z5</f>
        <v>366</v>
      </c>
      <c r="AA5" s="2723">
        <f ca="1">'Timing &amp; Flags'!AA5</f>
        <v>365</v>
      </c>
      <c r="AB5" s="2723">
        <f ca="1">'Timing &amp; Flags'!AB5</f>
        <v>365</v>
      </c>
      <c r="AC5" s="2723">
        <f ca="1">'Timing &amp; Flags'!AC5</f>
        <v>365</v>
      </c>
      <c r="AD5" s="2723">
        <f ca="1">'Timing &amp; Flags'!AD5</f>
        <v>366</v>
      </c>
      <c r="AE5" s="2723">
        <f ca="1">'Timing &amp; Flags'!AE5</f>
        <v>365</v>
      </c>
      <c r="AF5" s="2723">
        <f ca="1">'Timing &amp; Flags'!AF5</f>
        <v>365</v>
      </c>
      <c r="AG5" s="2723">
        <f ca="1">'Timing &amp; Flags'!AG5</f>
        <v>365</v>
      </c>
      <c r="AH5" s="2723">
        <f ca="1">'Timing &amp; Flags'!AH5</f>
        <v>366</v>
      </c>
      <c r="AI5" s="2723">
        <f ca="1">'Timing &amp; Flags'!AI5</f>
        <v>365</v>
      </c>
      <c r="AJ5" s="2723">
        <f ca="1">'Timing &amp; Flags'!AJ5</f>
        <v>365</v>
      </c>
      <c r="AK5" s="2723">
        <f ca="1">'Timing &amp; Flags'!AK5</f>
        <v>365</v>
      </c>
      <c r="AL5" s="2723">
        <f ca="1">'Timing &amp; Flags'!AL5</f>
        <v>365</v>
      </c>
      <c r="AM5" s="2723">
        <f ca="1">'Timing &amp; Flags'!AM5</f>
        <v>365</v>
      </c>
      <c r="AN5" s="2723">
        <f ca="1">'Timing &amp; Flags'!AN5</f>
        <v>365</v>
      </c>
      <c r="AO5" s="2723">
        <f ca="1">'Timing &amp; Flags'!AO5</f>
        <v>365</v>
      </c>
      <c r="AP5" s="2723">
        <f ca="1">'Timing &amp; Flags'!AP5</f>
        <v>365</v>
      </c>
      <c r="AQ5" s="2723">
        <f ca="1">'Timing &amp; Flags'!AQ5</f>
        <v>365</v>
      </c>
      <c r="AR5" s="2723">
        <f ca="1">'Timing &amp; Flags'!AR5</f>
        <v>365</v>
      </c>
      <c r="AS5" s="2723">
        <f ca="1">'Timing &amp; Flags'!AS5</f>
        <v>365</v>
      </c>
      <c r="AT5" s="2723">
        <f ca="1">'Timing &amp; Flags'!AT5</f>
        <v>365</v>
      </c>
      <c r="AU5" s="2723">
        <f ca="1">'Timing &amp; Flags'!AU5</f>
        <v>365</v>
      </c>
      <c r="AV5" s="2723">
        <f ca="1">'Timing &amp; Flags'!AV5</f>
        <v>365</v>
      </c>
      <c r="AW5" s="2723">
        <f ca="1">'Timing &amp; Flags'!AW5</f>
        <v>365</v>
      </c>
      <c r="AX5" s="2723"/>
    </row>
    <row r="7" spans="1:52">
      <c r="A7" s="1" t="s">
        <v>258</v>
      </c>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053"/>
    </row>
    <row r="9" spans="1:52">
      <c r="B9" s="10" t="s">
        <v>210</v>
      </c>
      <c r="F9" s="13"/>
    </row>
    <row r="10" spans="1:52">
      <c r="B10" s="50" t="s">
        <v>58</v>
      </c>
    </row>
    <row r="11" spans="1:52">
      <c r="B11" s="2" t="s">
        <v>59</v>
      </c>
      <c r="C11" s="15" t="s">
        <v>60</v>
      </c>
      <c r="D11" s="41">
        <f>SUM(I11:AI11)</f>
        <v>1</v>
      </c>
      <c r="I11" s="41">
        <f>'Timing &amp; Flags'!I36</f>
        <v>1</v>
      </c>
      <c r="J11" s="41">
        <f>'Timing &amp; Flags'!J36</f>
        <v>0</v>
      </c>
      <c r="K11" s="41">
        <f>'Timing &amp; Flags'!K36</f>
        <v>0</v>
      </c>
      <c r="L11" s="41">
        <f>'Timing &amp; Flags'!L36</f>
        <v>0</v>
      </c>
      <c r="M11" s="41">
        <f>'Timing &amp; Flags'!M36</f>
        <v>0</v>
      </c>
      <c r="N11" s="41">
        <f>'Timing &amp; Flags'!N36</f>
        <v>0</v>
      </c>
      <c r="O11" s="41">
        <f>'Timing &amp; Flags'!O36</f>
        <v>0</v>
      </c>
      <c r="P11" s="41">
        <f>'Timing &amp; Flags'!P36</f>
        <v>0</v>
      </c>
      <c r="Q11" s="41">
        <f>'Timing &amp; Flags'!Q36</f>
        <v>0</v>
      </c>
      <c r="R11" s="41">
        <f>'Timing &amp; Flags'!R36</f>
        <v>0</v>
      </c>
      <c r="S11" s="41">
        <f>'Timing &amp; Flags'!S36</f>
        <v>0</v>
      </c>
      <c r="T11" s="41">
        <f>'Timing &amp; Flags'!T36</f>
        <v>0</v>
      </c>
      <c r="U11" s="41">
        <f>'Timing &amp; Flags'!U36</f>
        <v>0</v>
      </c>
      <c r="V11" s="41">
        <f>'Timing &amp; Flags'!V36</f>
        <v>0</v>
      </c>
      <c r="W11" s="41">
        <f>'Timing &amp; Flags'!W36</f>
        <v>0</v>
      </c>
      <c r="X11" s="41">
        <f>'Timing &amp; Flags'!X36</f>
        <v>0</v>
      </c>
      <c r="Y11" s="41">
        <f>'Timing &amp; Flags'!Y36</f>
        <v>0</v>
      </c>
      <c r="Z11" s="41">
        <f>'Timing &amp; Flags'!Z36</f>
        <v>0</v>
      </c>
      <c r="AA11" s="41">
        <f>'Timing &amp; Flags'!AA36</f>
        <v>0</v>
      </c>
      <c r="AB11" s="41">
        <f>'Timing &amp; Flags'!AB36</f>
        <v>0</v>
      </c>
      <c r="AC11" s="41">
        <f>'Timing &amp; Flags'!AC36</f>
        <v>0</v>
      </c>
      <c r="AD11" s="41">
        <f>'Timing &amp; Flags'!AD36</f>
        <v>0</v>
      </c>
      <c r="AE11" s="41">
        <f>'Timing &amp; Flags'!AE36</f>
        <v>0</v>
      </c>
      <c r="AF11" s="41">
        <f>'Timing &amp; Flags'!AF36</f>
        <v>0</v>
      </c>
      <c r="AG11" s="41">
        <f>'Timing &amp; Flags'!AG36</f>
        <v>0</v>
      </c>
      <c r="AH11" s="41">
        <f>'Timing &amp; Flags'!AH36</f>
        <v>0</v>
      </c>
      <c r="AI11" s="41">
        <f>'Timing &amp; Flags'!AI36</f>
        <v>0</v>
      </c>
      <c r="AJ11" s="41">
        <f>'Timing &amp; Flags'!AJ36</f>
        <v>0</v>
      </c>
      <c r="AK11" s="41">
        <f>'Timing &amp; Flags'!AK36</f>
        <v>0</v>
      </c>
      <c r="AL11" s="41">
        <f>'Timing &amp; Flags'!AL36</f>
        <v>0</v>
      </c>
      <c r="AM11" s="41">
        <f>'Timing &amp; Flags'!AM36</f>
        <v>0</v>
      </c>
      <c r="AN11" s="41">
        <f>'Timing &amp; Flags'!AN36</f>
        <v>0</v>
      </c>
      <c r="AO11" s="41">
        <f>'Timing &amp; Flags'!AO36</f>
        <v>0</v>
      </c>
      <c r="AP11" s="41">
        <f>'Timing &amp; Flags'!AP36</f>
        <v>0</v>
      </c>
      <c r="AQ11" s="41">
        <f>'Timing &amp; Flags'!AQ36</f>
        <v>0</v>
      </c>
      <c r="AR11" s="41">
        <f>'Timing &amp; Flags'!AR36</f>
        <v>0</v>
      </c>
      <c r="AS11" s="41">
        <f>'Timing &amp; Flags'!AS36</f>
        <v>0</v>
      </c>
      <c r="AT11" s="41">
        <f>'Timing &amp; Flags'!AT36</f>
        <v>0</v>
      </c>
      <c r="AU11" s="41">
        <f>'Timing &amp; Flags'!AU36</f>
        <v>0</v>
      </c>
      <c r="AV11" s="41">
        <f>'Timing &amp; Flags'!AV36</f>
        <v>0</v>
      </c>
      <c r="AW11" s="41">
        <f>'Timing &amp; Flags'!AW36</f>
        <v>0</v>
      </c>
      <c r="AX11" s="1054"/>
      <c r="AY11" s="1054"/>
    </row>
    <row r="12" spans="1:52">
      <c r="B12" s="2" t="s">
        <v>61</v>
      </c>
      <c r="C12" s="15" t="s">
        <v>60</v>
      </c>
      <c r="D12" s="41">
        <f>SUM(I12:AI12)</f>
        <v>3</v>
      </c>
      <c r="I12" s="41">
        <f>'Timing &amp; Flags'!I37</f>
        <v>1</v>
      </c>
      <c r="J12" s="41">
        <f>'Timing &amp; Flags'!J37</f>
        <v>1</v>
      </c>
      <c r="K12" s="41">
        <f>'Timing &amp; Flags'!K37</f>
        <v>1</v>
      </c>
      <c r="L12" s="41">
        <f>'Timing &amp; Flags'!L37</f>
        <v>0</v>
      </c>
      <c r="M12" s="41">
        <f>'Timing &amp; Flags'!M37</f>
        <v>0</v>
      </c>
      <c r="N12" s="41">
        <f>'Timing &amp; Flags'!N37</f>
        <v>0</v>
      </c>
      <c r="O12" s="41">
        <f>'Timing &amp; Flags'!O37</f>
        <v>0</v>
      </c>
      <c r="P12" s="41">
        <f>'Timing &amp; Flags'!P37</f>
        <v>0</v>
      </c>
      <c r="Q12" s="41">
        <f>'Timing &amp; Flags'!Q37</f>
        <v>0</v>
      </c>
      <c r="R12" s="41">
        <f>'Timing &amp; Flags'!R37</f>
        <v>0</v>
      </c>
      <c r="S12" s="41">
        <f>'Timing &amp; Flags'!S37</f>
        <v>0</v>
      </c>
      <c r="T12" s="41">
        <f>'Timing &amp; Flags'!T37</f>
        <v>0</v>
      </c>
      <c r="U12" s="41">
        <f>'Timing &amp; Flags'!U37</f>
        <v>0</v>
      </c>
      <c r="V12" s="41">
        <f>'Timing &amp; Flags'!V37</f>
        <v>0</v>
      </c>
      <c r="W12" s="41">
        <f>'Timing &amp; Flags'!W37</f>
        <v>0</v>
      </c>
      <c r="X12" s="41">
        <f>'Timing &amp; Flags'!X37</f>
        <v>0</v>
      </c>
      <c r="Y12" s="41">
        <f>'Timing &amp; Flags'!Y37</f>
        <v>0</v>
      </c>
      <c r="Z12" s="41">
        <f>'Timing &amp; Flags'!Z37</f>
        <v>0</v>
      </c>
      <c r="AA12" s="41">
        <f>'Timing &amp; Flags'!AA37</f>
        <v>0</v>
      </c>
      <c r="AB12" s="41">
        <f>'Timing &amp; Flags'!AB37</f>
        <v>0</v>
      </c>
      <c r="AC12" s="41">
        <f>'Timing &amp; Flags'!AC37</f>
        <v>0</v>
      </c>
      <c r="AD12" s="41">
        <f>'Timing &amp; Flags'!AD37</f>
        <v>0</v>
      </c>
      <c r="AE12" s="41">
        <f>'Timing &amp; Flags'!AE37</f>
        <v>0</v>
      </c>
      <c r="AF12" s="41">
        <f>'Timing &amp; Flags'!AF37</f>
        <v>0</v>
      </c>
      <c r="AG12" s="41">
        <f>'Timing &amp; Flags'!AG37</f>
        <v>0</v>
      </c>
      <c r="AH12" s="41">
        <f>'Timing &amp; Flags'!AH37</f>
        <v>0</v>
      </c>
      <c r="AI12" s="41">
        <f>'Timing &amp; Flags'!AI37</f>
        <v>0</v>
      </c>
      <c r="AJ12" s="41">
        <f>'Timing &amp; Flags'!AJ37</f>
        <v>0</v>
      </c>
      <c r="AK12" s="41">
        <f>'Timing &amp; Flags'!AK37</f>
        <v>0</v>
      </c>
      <c r="AL12" s="41">
        <f>'Timing &amp; Flags'!AL37</f>
        <v>0</v>
      </c>
      <c r="AM12" s="41">
        <f>'Timing &amp; Flags'!AM37</f>
        <v>0</v>
      </c>
      <c r="AN12" s="41">
        <f>'Timing &amp; Flags'!AN37</f>
        <v>0</v>
      </c>
      <c r="AO12" s="41">
        <f>'Timing &amp; Flags'!AO37</f>
        <v>0</v>
      </c>
      <c r="AP12" s="41">
        <f>'Timing &amp; Flags'!AP37</f>
        <v>0</v>
      </c>
      <c r="AQ12" s="41">
        <f>'Timing &amp; Flags'!AQ37</f>
        <v>0</v>
      </c>
      <c r="AR12" s="41">
        <f>'Timing &amp; Flags'!AR37</f>
        <v>0</v>
      </c>
      <c r="AS12" s="41">
        <f>'Timing &amp; Flags'!AS37</f>
        <v>0</v>
      </c>
      <c r="AT12" s="41">
        <f>'Timing &amp; Flags'!AT37</f>
        <v>0</v>
      </c>
      <c r="AU12" s="41">
        <f>'Timing &amp; Flags'!AU37</f>
        <v>0</v>
      </c>
      <c r="AV12" s="41">
        <f>'Timing &amp; Flags'!AV37</f>
        <v>0</v>
      </c>
      <c r="AW12" s="41">
        <f>'Timing &amp; Flags'!AW37</f>
        <v>0</v>
      </c>
      <c r="AX12" s="1054"/>
      <c r="AY12" s="1054"/>
    </row>
    <row r="13" spans="1:52">
      <c r="B13" s="2" t="s">
        <v>62</v>
      </c>
      <c r="C13" s="15" t="s">
        <v>60</v>
      </c>
      <c r="D13" s="41">
        <f>SUM(I13:AI13)</f>
        <v>1</v>
      </c>
      <c r="F13" s="14"/>
      <c r="I13" s="41">
        <f>'Timing &amp; Flags'!I38</f>
        <v>0</v>
      </c>
      <c r="J13" s="41">
        <f>'Timing &amp; Flags'!J38</f>
        <v>0</v>
      </c>
      <c r="K13" s="41">
        <f>'Timing &amp; Flags'!K38</f>
        <v>1</v>
      </c>
      <c r="L13" s="41">
        <f>'Timing &amp; Flags'!L38</f>
        <v>0</v>
      </c>
      <c r="M13" s="41">
        <f>'Timing &amp; Flags'!M38</f>
        <v>0</v>
      </c>
      <c r="N13" s="41">
        <f>'Timing &amp; Flags'!N38</f>
        <v>0</v>
      </c>
      <c r="O13" s="41">
        <f>'Timing &amp; Flags'!O38</f>
        <v>0</v>
      </c>
      <c r="P13" s="41">
        <f>'Timing &amp; Flags'!P38</f>
        <v>0</v>
      </c>
      <c r="Q13" s="41">
        <f>'Timing &amp; Flags'!Q38</f>
        <v>0</v>
      </c>
      <c r="R13" s="41">
        <f>'Timing &amp; Flags'!R38</f>
        <v>0</v>
      </c>
      <c r="S13" s="41">
        <f>'Timing &amp; Flags'!S38</f>
        <v>0</v>
      </c>
      <c r="T13" s="41">
        <f>'Timing &amp; Flags'!T38</f>
        <v>0</v>
      </c>
      <c r="U13" s="41">
        <f>'Timing &amp; Flags'!U38</f>
        <v>0</v>
      </c>
      <c r="V13" s="41">
        <f>'Timing &amp; Flags'!V38</f>
        <v>0</v>
      </c>
      <c r="W13" s="41">
        <f>'Timing &amp; Flags'!W38</f>
        <v>0</v>
      </c>
      <c r="X13" s="41">
        <f>'Timing &amp; Flags'!X38</f>
        <v>0</v>
      </c>
      <c r="Y13" s="41">
        <f>'Timing &amp; Flags'!Y38</f>
        <v>0</v>
      </c>
      <c r="Z13" s="41">
        <f>'Timing &amp; Flags'!Z38</f>
        <v>0</v>
      </c>
      <c r="AA13" s="41">
        <f>'Timing &amp; Flags'!AA38</f>
        <v>0</v>
      </c>
      <c r="AB13" s="41">
        <f>'Timing &amp; Flags'!AB38</f>
        <v>0</v>
      </c>
      <c r="AC13" s="41">
        <f>'Timing &amp; Flags'!AC38</f>
        <v>0</v>
      </c>
      <c r="AD13" s="41">
        <f>'Timing &amp; Flags'!AD38</f>
        <v>0</v>
      </c>
      <c r="AE13" s="41">
        <f>'Timing &amp; Flags'!AE38</f>
        <v>0</v>
      </c>
      <c r="AF13" s="41">
        <f>'Timing &amp; Flags'!AF38</f>
        <v>0</v>
      </c>
      <c r="AG13" s="41">
        <f>'Timing &amp; Flags'!AG38</f>
        <v>0</v>
      </c>
      <c r="AH13" s="41">
        <f>'Timing &amp; Flags'!AH38</f>
        <v>0</v>
      </c>
      <c r="AI13" s="41">
        <f>'Timing &amp; Flags'!AI38</f>
        <v>0</v>
      </c>
      <c r="AJ13" s="41">
        <f>'Timing &amp; Flags'!AJ38</f>
        <v>0</v>
      </c>
      <c r="AK13" s="41">
        <f>'Timing &amp; Flags'!AK38</f>
        <v>0</v>
      </c>
      <c r="AL13" s="41">
        <f>'Timing &amp; Flags'!AL38</f>
        <v>0</v>
      </c>
      <c r="AM13" s="41">
        <f>'Timing &amp; Flags'!AM38</f>
        <v>0</v>
      </c>
      <c r="AN13" s="41">
        <f>'Timing &amp; Flags'!AN38</f>
        <v>0</v>
      </c>
      <c r="AO13" s="41">
        <f>'Timing &amp; Flags'!AO38</f>
        <v>0</v>
      </c>
      <c r="AP13" s="41">
        <f>'Timing &amp; Flags'!AP38</f>
        <v>0</v>
      </c>
      <c r="AQ13" s="41">
        <f>'Timing &amp; Flags'!AQ38</f>
        <v>0</v>
      </c>
      <c r="AR13" s="41">
        <f>'Timing &amp; Flags'!AR38</f>
        <v>0</v>
      </c>
      <c r="AS13" s="41">
        <f>'Timing &amp; Flags'!AS38</f>
        <v>0</v>
      </c>
      <c r="AT13" s="41">
        <f>'Timing &amp; Flags'!AT38</f>
        <v>0</v>
      </c>
      <c r="AU13" s="41">
        <f>'Timing &amp; Flags'!AU38</f>
        <v>0</v>
      </c>
      <c r="AV13" s="41">
        <f>'Timing &amp; Flags'!AV38</f>
        <v>0</v>
      </c>
      <c r="AW13" s="41">
        <f>'Timing &amp; Flags'!AW38</f>
        <v>0</v>
      </c>
      <c r="AX13" s="1054"/>
      <c r="AY13" s="1054"/>
    </row>
    <row r="15" spans="1:52">
      <c r="B15" s="50" t="s">
        <v>64</v>
      </c>
    </row>
    <row r="16" spans="1:52">
      <c r="B16" s="2" t="s">
        <v>65</v>
      </c>
      <c r="C16" s="15" t="s">
        <v>60</v>
      </c>
      <c r="D16" s="41">
        <f>SUM(I16:AI16)</f>
        <v>1</v>
      </c>
      <c r="I16" s="41">
        <f>'Timing &amp; Flags'!I42</f>
        <v>0</v>
      </c>
      <c r="J16" s="41">
        <f>'Timing &amp; Flags'!J42</f>
        <v>0</v>
      </c>
      <c r="K16" s="41">
        <f>'Timing &amp; Flags'!K42</f>
        <v>0</v>
      </c>
      <c r="L16" s="41">
        <f>'Timing &amp; Flags'!L42</f>
        <v>1</v>
      </c>
      <c r="M16" s="41">
        <f>'Timing &amp; Flags'!M42</f>
        <v>0</v>
      </c>
      <c r="N16" s="41">
        <f>'Timing &amp; Flags'!N42</f>
        <v>0</v>
      </c>
      <c r="O16" s="41">
        <f>'Timing &amp; Flags'!O42</f>
        <v>0</v>
      </c>
      <c r="P16" s="41">
        <f>'Timing &amp; Flags'!P42</f>
        <v>0</v>
      </c>
      <c r="Q16" s="41">
        <f>'Timing &amp; Flags'!Q42</f>
        <v>0</v>
      </c>
      <c r="R16" s="41">
        <f>'Timing &amp; Flags'!R42</f>
        <v>0</v>
      </c>
      <c r="S16" s="41">
        <f>'Timing &amp; Flags'!S42</f>
        <v>0</v>
      </c>
      <c r="T16" s="41">
        <f>'Timing &amp; Flags'!T42</f>
        <v>0</v>
      </c>
      <c r="U16" s="41">
        <f>'Timing &amp; Flags'!U42</f>
        <v>0</v>
      </c>
      <c r="V16" s="41">
        <f>'Timing &amp; Flags'!V42</f>
        <v>0</v>
      </c>
      <c r="W16" s="41">
        <f>'Timing &amp; Flags'!W42</f>
        <v>0</v>
      </c>
      <c r="X16" s="41">
        <f>'Timing &amp; Flags'!X42</f>
        <v>0</v>
      </c>
      <c r="Y16" s="41">
        <f>'Timing &amp; Flags'!Y42</f>
        <v>0</v>
      </c>
      <c r="Z16" s="41">
        <f>'Timing &amp; Flags'!Z42</f>
        <v>0</v>
      </c>
      <c r="AA16" s="41">
        <f>'Timing &amp; Flags'!AA42</f>
        <v>0</v>
      </c>
      <c r="AB16" s="41">
        <f>'Timing &amp; Flags'!AB42</f>
        <v>0</v>
      </c>
      <c r="AC16" s="41">
        <f>'Timing &amp; Flags'!AC42</f>
        <v>0</v>
      </c>
      <c r="AD16" s="41">
        <f>'Timing &amp; Flags'!AD42</f>
        <v>0</v>
      </c>
      <c r="AE16" s="41">
        <f>'Timing &amp; Flags'!AE42</f>
        <v>0</v>
      </c>
      <c r="AF16" s="41">
        <f>'Timing &amp; Flags'!AF42</f>
        <v>0</v>
      </c>
      <c r="AG16" s="41">
        <f>'Timing &amp; Flags'!AG42</f>
        <v>0</v>
      </c>
      <c r="AH16" s="41">
        <f>'Timing &amp; Flags'!AH42</f>
        <v>0</v>
      </c>
      <c r="AI16" s="41">
        <f>'Timing &amp; Flags'!AI42</f>
        <v>0</v>
      </c>
      <c r="AJ16" s="41">
        <f>'Timing &amp; Flags'!AJ42</f>
        <v>0</v>
      </c>
      <c r="AK16" s="41">
        <f>'Timing &amp; Flags'!AK42</f>
        <v>0</v>
      </c>
      <c r="AL16" s="41">
        <f>'Timing &amp; Flags'!AL42</f>
        <v>0</v>
      </c>
      <c r="AM16" s="41">
        <f>'Timing &amp; Flags'!AM42</f>
        <v>0</v>
      </c>
      <c r="AN16" s="41">
        <f>'Timing &amp; Flags'!AN42</f>
        <v>0</v>
      </c>
      <c r="AO16" s="41">
        <f>'Timing &amp; Flags'!AO42</f>
        <v>0</v>
      </c>
      <c r="AP16" s="41">
        <f>'Timing &amp; Flags'!AP42</f>
        <v>0</v>
      </c>
      <c r="AQ16" s="41">
        <f>'Timing &amp; Flags'!AQ42</f>
        <v>0</v>
      </c>
      <c r="AR16" s="41">
        <f>'Timing &amp; Flags'!AR42</f>
        <v>0</v>
      </c>
      <c r="AS16" s="41">
        <f>'Timing &amp; Flags'!AS42</f>
        <v>0</v>
      </c>
      <c r="AT16" s="41">
        <f>'Timing &amp; Flags'!AT42</f>
        <v>0</v>
      </c>
      <c r="AU16" s="41">
        <f>'Timing &amp; Flags'!AU42</f>
        <v>0</v>
      </c>
      <c r="AV16" s="41">
        <f>'Timing &amp; Flags'!AV42</f>
        <v>0</v>
      </c>
      <c r="AW16" s="41">
        <f>'Timing &amp; Flags'!AW42</f>
        <v>0</v>
      </c>
      <c r="AX16" s="1054"/>
    </row>
    <row r="17" spans="1:50">
      <c r="B17" s="2" t="s">
        <v>66</v>
      </c>
      <c r="C17" s="15" t="s">
        <v>60</v>
      </c>
      <c r="D17" s="41">
        <f>SUM(I17:AI17)</f>
        <v>24</v>
      </c>
      <c r="I17" s="41">
        <f>'Timing &amp; Flags'!I43</f>
        <v>0</v>
      </c>
      <c r="J17" s="41">
        <f>'Timing &amp; Flags'!J43</f>
        <v>0</v>
      </c>
      <c r="K17" s="41">
        <f>'Timing &amp; Flags'!K43</f>
        <v>0</v>
      </c>
      <c r="L17" s="41">
        <f>'Timing &amp; Flags'!L43</f>
        <v>1</v>
      </c>
      <c r="M17" s="41">
        <f>'Timing &amp; Flags'!M43</f>
        <v>1</v>
      </c>
      <c r="N17" s="41">
        <f>'Timing &amp; Flags'!N43</f>
        <v>1</v>
      </c>
      <c r="O17" s="41">
        <f>'Timing &amp; Flags'!O43</f>
        <v>1</v>
      </c>
      <c r="P17" s="41">
        <f>'Timing &amp; Flags'!P43</f>
        <v>1</v>
      </c>
      <c r="Q17" s="41">
        <f>'Timing &amp; Flags'!Q43</f>
        <v>1</v>
      </c>
      <c r="R17" s="41">
        <f>'Timing &amp; Flags'!R43</f>
        <v>1</v>
      </c>
      <c r="S17" s="41">
        <f>'Timing &amp; Flags'!S43</f>
        <v>1</v>
      </c>
      <c r="T17" s="41">
        <f>'Timing &amp; Flags'!T43</f>
        <v>1</v>
      </c>
      <c r="U17" s="41">
        <f>'Timing &amp; Flags'!U43</f>
        <v>1</v>
      </c>
      <c r="V17" s="41">
        <f>'Timing &amp; Flags'!V43</f>
        <v>1</v>
      </c>
      <c r="W17" s="41">
        <f>'Timing &amp; Flags'!W43</f>
        <v>1</v>
      </c>
      <c r="X17" s="41">
        <f>'Timing &amp; Flags'!X43</f>
        <v>1</v>
      </c>
      <c r="Y17" s="41">
        <f>'Timing &amp; Flags'!Y43</f>
        <v>1</v>
      </c>
      <c r="Z17" s="41">
        <f>'Timing &amp; Flags'!Z43</f>
        <v>1</v>
      </c>
      <c r="AA17" s="41">
        <f>'Timing &amp; Flags'!AA43</f>
        <v>1</v>
      </c>
      <c r="AB17" s="41">
        <f>'Timing &amp; Flags'!AB43</f>
        <v>1</v>
      </c>
      <c r="AC17" s="41">
        <f>'Timing &amp; Flags'!AC43</f>
        <v>1</v>
      </c>
      <c r="AD17" s="41">
        <f>'Timing &amp; Flags'!AD43</f>
        <v>1</v>
      </c>
      <c r="AE17" s="41">
        <f>'Timing &amp; Flags'!AE43</f>
        <v>1</v>
      </c>
      <c r="AF17" s="41">
        <f>'Timing &amp; Flags'!AF43</f>
        <v>1</v>
      </c>
      <c r="AG17" s="41">
        <f>'Timing &amp; Flags'!AG43</f>
        <v>1</v>
      </c>
      <c r="AH17" s="41">
        <f>'Timing &amp; Flags'!AH43</f>
        <v>1</v>
      </c>
      <c r="AI17" s="41">
        <f>'Timing &amp; Flags'!AI43</f>
        <v>1</v>
      </c>
      <c r="AJ17" s="41">
        <f>'Timing &amp; Flags'!AJ43</f>
        <v>1</v>
      </c>
      <c r="AK17" s="41">
        <f>'Timing &amp; Flags'!AK43</f>
        <v>1</v>
      </c>
      <c r="AL17" s="41">
        <f>'Timing &amp; Flags'!AL43</f>
        <v>1</v>
      </c>
      <c r="AM17" s="41">
        <f>'Timing &amp; Flags'!AM43</f>
        <v>0</v>
      </c>
      <c r="AN17" s="41">
        <f>'Timing &amp; Flags'!AN43</f>
        <v>0</v>
      </c>
      <c r="AO17" s="41">
        <f>'Timing &amp; Flags'!AO43</f>
        <v>0</v>
      </c>
      <c r="AP17" s="41">
        <f>'Timing &amp; Flags'!AP43</f>
        <v>0</v>
      </c>
      <c r="AQ17" s="41">
        <f>'Timing &amp; Flags'!AQ43</f>
        <v>0</v>
      </c>
      <c r="AR17" s="41">
        <f>'Timing &amp; Flags'!AR43</f>
        <v>0</v>
      </c>
      <c r="AS17" s="41">
        <f>'Timing &amp; Flags'!AS43</f>
        <v>0</v>
      </c>
      <c r="AT17" s="41">
        <f>'Timing &amp; Flags'!AT43</f>
        <v>0</v>
      </c>
      <c r="AU17" s="41">
        <f>'Timing &amp; Flags'!AU43</f>
        <v>0</v>
      </c>
      <c r="AV17" s="41">
        <f>'Timing &amp; Flags'!AV43</f>
        <v>0</v>
      </c>
      <c r="AW17" s="41">
        <f>'Timing &amp; Flags'!AW43</f>
        <v>0</v>
      </c>
      <c r="AX17" s="1054"/>
    </row>
    <row r="18" spans="1:50">
      <c r="B18" s="2" t="s">
        <v>67</v>
      </c>
      <c r="C18" s="15" t="s">
        <v>60</v>
      </c>
      <c r="D18" s="41">
        <f>SUM(I18:AI18)</f>
        <v>0</v>
      </c>
      <c r="I18" s="41">
        <f>'Timing &amp; Flags'!I44</f>
        <v>0</v>
      </c>
      <c r="J18" s="41">
        <f>'Timing &amp; Flags'!J44</f>
        <v>0</v>
      </c>
      <c r="K18" s="41">
        <f>'Timing &amp; Flags'!K44</f>
        <v>0</v>
      </c>
      <c r="L18" s="41">
        <f>'Timing &amp; Flags'!L44</f>
        <v>0</v>
      </c>
      <c r="M18" s="41">
        <f>'Timing &amp; Flags'!M44</f>
        <v>0</v>
      </c>
      <c r="N18" s="41">
        <f>'Timing &amp; Flags'!N44</f>
        <v>0</v>
      </c>
      <c r="O18" s="41">
        <f>'Timing &amp; Flags'!O44</f>
        <v>0</v>
      </c>
      <c r="P18" s="41">
        <f>'Timing &amp; Flags'!P44</f>
        <v>0</v>
      </c>
      <c r="Q18" s="41">
        <f>'Timing &amp; Flags'!Q44</f>
        <v>0</v>
      </c>
      <c r="R18" s="41">
        <f>'Timing &amp; Flags'!R44</f>
        <v>0</v>
      </c>
      <c r="S18" s="41">
        <f>'Timing &amp; Flags'!S44</f>
        <v>0</v>
      </c>
      <c r="T18" s="41">
        <f>'Timing &amp; Flags'!T44</f>
        <v>0</v>
      </c>
      <c r="U18" s="41">
        <f>'Timing &amp; Flags'!U44</f>
        <v>0</v>
      </c>
      <c r="V18" s="41">
        <f>'Timing &amp; Flags'!V44</f>
        <v>0</v>
      </c>
      <c r="W18" s="41">
        <f>'Timing &amp; Flags'!W44</f>
        <v>0</v>
      </c>
      <c r="X18" s="41">
        <f>'Timing &amp; Flags'!X44</f>
        <v>0</v>
      </c>
      <c r="Y18" s="41">
        <f>'Timing &amp; Flags'!Y44</f>
        <v>0</v>
      </c>
      <c r="Z18" s="41">
        <f>'Timing &amp; Flags'!Z44</f>
        <v>0</v>
      </c>
      <c r="AA18" s="41">
        <f>'Timing &amp; Flags'!AA44</f>
        <v>0</v>
      </c>
      <c r="AB18" s="41">
        <f>'Timing &amp; Flags'!AB44</f>
        <v>0</v>
      </c>
      <c r="AC18" s="41">
        <f>'Timing &amp; Flags'!AC44</f>
        <v>0</v>
      </c>
      <c r="AD18" s="41">
        <f>'Timing &amp; Flags'!AD44</f>
        <v>0</v>
      </c>
      <c r="AE18" s="41">
        <f>'Timing &amp; Flags'!AE44</f>
        <v>0</v>
      </c>
      <c r="AF18" s="41">
        <f>'Timing &amp; Flags'!AF44</f>
        <v>0</v>
      </c>
      <c r="AG18" s="41">
        <f>'Timing &amp; Flags'!AG44</f>
        <v>0</v>
      </c>
      <c r="AH18" s="41">
        <f>'Timing &amp; Flags'!AH44</f>
        <v>0</v>
      </c>
      <c r="AI18" s="41">
        <f>'Timing &amp; Flags'!AI44</f>
        <v>0</v>
      </c>
      <c r="AJ18" s="41">
        <f>'Timing &amp; Flags'!AJ44</f>
        <v>0</v>
      </c>
      <c r="AK18" s="41">
        <f>'Timing &amp; Flags'!AK44</f>
        <v>0</v>
      </c>
      <c r="AL18" s="41">
        <f>'Timing &amp; Flags'!AL44</f>
        <v>1</v>
      </c>
      <c r="AM18" s="41">
        <f>'Timing &amp; Flags'!AM44</f>
        <v>0</v>
      </c>
      <c r="AN18" s="41">
        <f>'Timing &amp; Flags'!AN44</f>
        <v>0</v>
      </c>
      <c r="AO18" s="41">
        <f>'Timing &amp; Flags'!AO44</f>
        <v>0</v>
      </c>
      <c r="AP18" s="41">
        <f>'Timing &amp; Flags'!AP44</f>
        <v>0</v>
      </c>
      <c r="AQ18" s="41">
        <f>'Timing &amp; Flags'!AQ44</f>
        <v>0</v>
      </c>
      <c r="AR18" s="41">
        <f>'Timing &amp; Flags'!AR44</f>
        <v>0</v>
      </c>
      <c r="AS18" s="41">
        <f>'Timing &amp; Flags'!AS44</f>
        <v>0</v>
      </c>
      <c r="AT18" s="41">
        <f>'Timing &amp; Flags'!AT44</f>
        <v>0</v>
      </c>
      <c r="AU18" s="41">
        <f>'Timing &amp; Flags'!AU44</f>
        <v>0</v>
      </c>
      <c r="AV18" s="41">
        <f>'Timing &amp; Flags'!AV44</f>
        <v>0</v>
      </c>
      <c r="AW18" s="41">
        <f>'Timing &amp; Flags'!AW44</f>
        <v>0</v>
      </c>
      <c r="AX18" s="1054"/>
    </row>
    <row r="20" spans="1:50">
      <c r="B20" s="2" t="s">
        <v>538</v>
      </c>
      <c r="C20" s="15" t="s">
        <v>60</v>
      </c>
      <c r="D20" s="41">
        <f>SUM(I20:AI20)</f>
        <v>27</v>
      </c>
      <c r="I20" s="2">
        <f>'Timing &amp; Flags'!I49</f>
        <v>1</v>
      </c>
      <c r="J20" s="2">
        <f>'Timing &amp; Flags'!J49</f>
        <v>1</v>
      </c>
      <c r="K20" s="2">
        <f>'Timing &amp; Flags'!K49</f>
        <v>1</v>
      </c>
      <c r="L20" s="2">
        <f>'Timing &amp; Flags'!L49</f>
        <v>1</v>
      </c>
      <c r="M20" s="2">
        <f>'Timing &amp; Flags'!M49</f>
        <v>1</v>
      </c>
      <c r="N20" s="2">
        <f>'Timing &amp; Flags'!N49</f>
        <v>1</v>
      </c>
      <c r="O20" s="2">
        <f>'Timing &amp; Flags'!O49</f>
        <v>1</v>
      </c>
      <c r="P20" s="2">
        <f>'Timing &amp; Flags'!P49</f>
        <v>1</v>
      </c>
      <c r="Q20" s="2">
        <f>'Timing &amp; Flags'!Q49</f>
        <v>1</v>
      </c>
      <c r="R20" s="2">
        <f>'Timing &amp; Flags'!R49</f>
        <v>1</v>
      </c>
      <c r="S20" s="2">
        <f>'Timing &amp; Flags'!S49</f>
        <v>1</v>
      </c>
      <c r="T20" s="2">
        <f>'Timing &amp; Flags'!T49</f>
        <v>1</v>
      </c>
      <c r="U20" s="2">
        <f>'Timing &amp; Flags'!U49</f>
        <v>1</v>
      </c>
      <c r="V20" s="2">
        <f>'Timing &amp; Flags'!V49</f>
        <v>1</v>
      </c>
      <c r="W20" s="2">
        <f>'Timing &amp; Flags'!W49</f>
        <v>1</v>
      </c>
      <c r="X20" s="2">
        <f>'Timing &amp; Flags'!X49</f>
        <v>1</v>
      </c>
      <c r="Y20" s="2">
        <f>'Timing &amp; Flags'!Y49</f>
        <v>1</v>
      </c>
      <c r="Z20" s="2">
        <f>'Timing &amp; Flags'!Z49</f>
        <v>1</v>
      </c>
      <c r="AA20" s="2">
        <f>'Timing &amp; Flags'!AA49</f>
        <v>1</v>
      </c>
      <c r="AB20" s="2">
        <f>'Timing &amp; Flags'!AB49</f>
        <v>1</v>
      </c>
      <c r="AC20" s="2">
        <f>'Timing &amp; Flags'!AC49</f>
        <v>1</v>
      </c>
      <c r="AD20" s="2">
        <f>'Timing &amp; Flags'!AD49</f>
        <v>1</v>
      </c>
      <c r="AE20" s="2">
        <f>'Timing &amp; Flags'!AE49</f>
        <v>1</v>
      </c>
      <c r="AF20" s="2">
        <f>'Timing &amp; Flags'!AF49</f>
        <v>1</v>
      </c>
      <c r="AG20" s="2">
        <f>'Timing &amp; Flags'!AG49</f>
        <v>1</v>
      </c>
      <c r="AH20" s="2">
        <f>'Timing &amp; Flags'!AH49</f>
        <v>1</v>
      </c>
      <c r="AI20" s="2">
        <f>'Timing &amp; Flags'!AI49</f>
        <v>1</v>
      </c>
      <c r="AJ20" s="2">
        <f>'Timing &amp; Flags'!AJ49</f>
        <v>1</v>
      </c>
      <c r="AK20" s="2">
        <f>'Timing &amp; Flags'!AK49</f>
        <v>1</v>
      </c>
      <c r="AL20" s="2">
        <f>'Timing &amp; Flags'!AL49</f>
        <v>1</v>
      </c>
      <c r="AM20" s="2">
        <f>'Timing &amp; Flags'!AM49</f>
        <v>0</v>
      </c>
      <c r="AN20" s="2">
        <f>'Timing &amp; Flags'!AN49</f>
        <v>0</v>
      </c>
      <c r="AO20" s="2">
        <f>'Timing &amp; Flags'!AO49</f>
        <v>0</v>
      </c>
      <c r="AP20" s="2">
        <f>'Timing &amp; Flags'!AP49</f>
        <v>0</v>
      </c>
      <c r="AQ20" s="2">
        <f>'Timing &amp; Flags'!AQ49</f>
        <v>0</v>
      </c>
      <c r="AR20" s="2">
        <f>'Timing &amp; Flags'!AR49</f>
        <v>0</v>
      </c>
      <c r="AS20" s="2">
        <f>'Timing &amp; Flags'!AS49</f>
        <v>0</v>
      </c>
      <c r="AT20" s="2">
        <f>'Timing &amp; Flags'!AT49</f>
        <v>0</v>
      </c>
      <c r="AU20" s="2">
        <f>'Timing &amp; Flags'!AU49</f>
        <v>0</v>
      </c>
      <c r="AV20" s="2">
        <f>'Timing &amp; Flags'!AV49</f>
        <v>0</v>
      </c>
      <c r="AW20" s="2">
        <f>'Timing &amp; Flags'!AW49</f>
        <v>0</v>
      </c>
    </row>
    <row r="22" spans="1:50">
      <c r="B22" s="50" t="s">
        <v>69</v>
      </c>
    </row>
    <row r="23" spans="1:50">
      <c r="B23" s="2" t="s">
        <v>56</v>
      </c>
      <c r="C23" s="15" t="s">
        <v>72</v>
      </c>
      <c r="D23" s="41">
        <f ca="1">SUM(I23:AI23)</f>
        <v>3.0000074855902388</v>
      </c>
      <c r="I23" s="17">
        <f ca="1">'Timing &amp; Flags'!I54</f>
        <v>1</v>
      </c>
      <c r="J23" s="17">
        <f ca="1">'Timing &amp; Flags'!J54</f>
        <v>0.99726775956284153</v>
      </c>
      <c r="K23" s="17">
        <f ca="1">'Timing &amp; Flags'!K54</f>
        <v>1.0027397260273974</v>
      </c>
      <c r="L23" s="17">
        <f>'Timing &amp; Flags'!L54</f>
        <v>0</v>
      </c>
      <c r="M23" s="17">
        <f>'Timing &amp; Flags'!M54</f>
        <v>0</v>
      </c>
      <c r="N23" s="17">
        <f>'Timing &amp; Flags'!N54</f>
        <v>0</v>
      </c>
      <c r="O23" s="17">
        <f>'Timing &amp; Flags'!O54</f>
        <v>0</v>
      </c>
      <c r="P23" s="17">
        <f>'Timing &amp; Flags'!P54</f>
        <v>0</v>
      </c>
      <c r="Q23" s="17">
        <f>'Timing &amp; Flags'!Q54</f>
        <v>0</v>
      </c>
      <c r="R23" s="17">
        <f>'Timing &amp; Flags'!R54</f>
        <v>0</v>
      </c>
      <c r="S23" s="17">
        <f>'Timing &amp; Flags'!S54</f>
        <v>0</v>
      </c>
      <c r="T23" s="17">
        <f>'Timing &amp; Flags'!T54</f>
        <v>0</v>
      </c>
      <c r="U23" s="17">
        <f>'Timing &amp; Flags'!U54</f>
        <v>0</v>
      </c>
      <c r="V23" s="17">
        <f>'Timing &amp; Flags'!V54</f>
        <v>0</v>
      </c>
      <c r="W23" s="17">
        <f>'Timing &amp; Flags'!W54</f>
        <v>0</v>
      </c>
      <c r="X23" s="17">
        <f>'Timing &amp; Flags'!X54</f>
        <v>0</v>
      </c>
      <c r="Y23" s="17">
        <f>'Timing &amp; Flags'!Y54</f>
        <v>0</v>
      </c>
      <c r="Z23" s="17">
        <f>'Timing &amp; Flags'!Z54</f>
        <v>0</v>
      </c>
      <c r="AA23" s="17">
        <f>'Timing &amp; Flags'!AA54</f>
        <v>0</v>
      </c>
      <c r="AB23" s="17">
        <f>'Timing &amp; Flags'!AB54</f>
        <v>0</v>
      </c>
      <c r="AC23" s="17">
        <f>'Timing &amp; Flags'!AC54</f>
        <v>0</v>
      </c>
      <c r="AD23" s="17">
        <f>'Timing &amp; Flags'!AD54</f>
        <v>0</v>
      </c>
      <c r="AE23" s="17">
        <f>'Timing &amp; Flags'!AE54</f>
        <v>0</v>
      </c>
      <c r="AF23" s="17">
        <f>'Timing &amp; Flags'!AF54</f>
        <v>0</v>
      </c>
      <c r="AG23" s="17">
        <f>'Timing &amp; Flags'!AG54</f>
        <v>0</v>
      </c>
      <c r="AH23" s="17">
        <f>'Timing &amp; Flags'!AH54</f>
        <v>0</v>
      </c>
      <c r="AI23" s="17">
        <f>'Timing &amp; Flags'!AI54</f>
        <v>0</v>
      </c>
    </row>
    <row r="24" spans="1:50">
      <c r="B24" s="27" t="s">
        <v>57</v>
      </c>
      <c r="C24" s="15" t="s">
        <v>72</v>
      </c>
      <c r="D24" s="43">
        <f ca="1">SUM(I24:AI24)</f>
        <v>24.00004491354143</v>
      </c>
      <c r="E24" s="27"/>
      <c r="F24" s="27"/>
      <c r="G24" s="27"/>
      <c r="H24" s="27"/>
      <c r="I24" s="116">
        <f>'Timing &amp; Flags'!I55</f>
        <v>0</v>
      </c>
      <c r="J24" s="116">
        <f>'Timing &amp; Flags'!J55</f>
        <v>0</v>
      </c>
      <c r="K24" s="116">
        <f>'Timing &amp; Flags'!K55</f>
        <v>0</v>
      </c>
      <c r="L24" s="116">
        <f ca="1">'Timing &amp; Flags'!L55</f>
        <v>1</v>
      </c>
      <c r="M24" s="116">
        <f ca="1">'Timing &amp; Flags'!M55</f>
        <v>1</v>
      </c>
      <c r="N24" s="116">
        <f ca="1">'Timing &amp; Flags'!N55</f>
        <v>0.99726775956284153</v>
      </c>
      <c r="O24" s="116">
        <f ca="1">'Timing &amp; Flags'!O55</f>
        <v>1.0027397260273974</v>
      </c>
      <c r="P24" s="116">
        <f ca="1">'Timing &amp; Flags'!P55</f>
        <v>1</v>
      </c>
      <c r="Q24" s="116">
        <f ca="1">'Timing &amp; Flags'!Q55</f>
        <v>1</v>
      </c>
      <c r="R24" s="116">
        <f ca="1">'Timing &amp; Flags'!R55</f>
        <v>0.99726775956284153</v>
      </c>
      <c r="S24" s="116">
        <f ca="1">'Timing &amp; Flags'!S55</f>
        <v>1.0027397260273974</v>
      </c>
      <c r="T24" s="116">
        <f ca="1">'Timing &amp; Flags'!T55</f>
        <v>1</v>
      </c>
      <c r="U24" s="116">
        <f ca="1">'Timing &amp; Flags'!U55</f>
        <v>1</v>
      </c>
      <c r="V24" s="116">
        <f ca="1">'Timing &amp; Flags'!V55</f>
        <v>0.99726775956284153</v>
      </c>
      <c r="W24" s="116">
        <f ca="1">'Timing &amp; Flags'!W55</f>
        <v>1.0027397260273974</v>
      </c>
      <c r="X24" s="116">
        <f ca="1">'Timing &amp; Flags'!X55</f>
        <v>1</v>
      </c>
      <c r="Y24" s="116">
        <f ca="1">'Timing &amp; Flags'!Y55</f>
        <v>1</v>
      </c>
      <c r="Z24" s="116">
        <f ca="1">'Timing &amp; Flags'!Z55</f>
        <v>0.99726775956284153</v>
      </c>
      <c r="AA24" s="116">
        <f ca="1">'Timing &amp; Flags'!AA55</f>
        <v>1.0027397260273974</v>
      </c>
      <c r="AB24" s="116">
        <f ca="1">'Timing &amp; Flags'!AB55</f>
        <v>1</v>
      </c>
      <c r="AC24" s="116">
        <f ca="1">'Timing &amp; Flags'!AC55</f>
        <v>1</v>
      </c>
      <c r="AD24" s="116">
        <f ca="1">'Timing &amp; Flags'!AD55</f>
        <v>0.99726775956284153</v>
      </c>
      <c r="AE24" s="116">
        <f ca="1">'Timing &amp; Flags'!AE55</f>
        <v>1.0027397260273974</v>
      </c>
      <c r="AF24" s="116">
        <f ca="1">'Timing &amp; Flags'!AF55</f>
        <v>1</v>
      </c>
      <c r="AG24" s="116">
        <f ca="1">'Timing &amp; Flags'!AG55</f>
        <v>1</v>
      </c>
      <c r="AH24" s="116">
        <f ca="1">'Timing &amp; Flags'!AH55</f>
        <v>0.99726775956284153</v>
      </c>
      <c r="AI24" s="116">
        <f ca="1">'Timing &amp; Flags'!AI55</f>
        <v>1.0027397260273974</v>
      </c>
      <c r="AJ24" s="116">
        <f ca="1">'Timing &amp; Flags'!AJ55</f>
        <v>1</v>
      </c>
      <c r="AK24" s="116">
        <f ca="1">'Timing &amp; Flags'!AK55</f>
        <v>1</v>
      </c>
      <c r="AL24" s="116">
        <f ca="1">'Timing &amp; Flags'!AL55</f>
        <v>1</v>
      </c>
      <c r="AM24" s="116">
        <f>'Timing &amp; Flags'!AM55</f>
        <v>0</v>
      </c>
      <c r="AN24" s="116">
        <f>'Timing &amp; Flags'!AN55</f>
        <v>0</v>
      </c>
      <c r="AO24" s="116">
        <f>'Timing &amp; Flags'!AO55</f>
        <v>0</v>
      </c>
      <c r="AP24" s="116">
        <f>'Timing &amp; Flags'!AP55</f>
        <v>0</v>
      </c>
      <c r="AQ24" s="116">
        <f>'Timing &amp; Flags'!AQ55</f>
        <v>0</v>
      </c>
      <c r="AR24" s="116">
        <f>'Timing &amp; Flags'!AR55</f>
        <v>0</v>
      </c>
      <c r="AS24" s="116">
        <f>'Timing &amp; Flags'!AS55</f>
        <v>0</v>
      </c>
      <c r="AT24" s="116">
        <f>'Timing &amp; Flags'!AT55</f>
        <v>0</v>
      </c>
      <c r="AU24" s="116">
        <f>'Timing &amp; Flags'!AU55</f>
        <v>0</v>
      </c>
      <c r="AV24" s="116">
        <f>'Timing &amp; Flags'!AV55</f>
        <v>0</v>
      </c>
      <c r="AW24" s="116">
        <f>'Timing &amp; Flags'!AW55</f>
        <v>0</v>
      </c>
      <c r="AX24" s="1055"/>
    </row>
    <row r="25" spans="1:50">
      <c r="B25" s="2" t="s">
        <v>71</v>
      </c>
      <c r="C25" s="132" t="s">
        <v>72</v>
      </c>
      <c r="D25" s="42">
        <f ca="1">SUM(D23:D24)</f>
        <v>27.000052399131668</v>
      </c>
      <c r="I25" s="17">
        <f ca="1">SUM(I23:I24)</f>
        <v>1</v>
      </c>
      <c r="J25" s="17">
        <f t="shared" ref="J25:AW25" ca="1" si="0">SUM(J23:J24)</f>
        <v>0.99726775956284153</v>
      </c>
      <c r="K25" s="17">
        <f t="shared" ca="1" si="0"/>
        <v>1.0027397260273974</v>
      </c>
      <c r="L25" s="17">
        <f t="shared" ca="1" si="0"/>
        <v>1</v>
      </c>
      <c r="M25" s="17">
        <f t="shared" ca="1" si="0"/>
        <v>1</v>
      </c>
      <c r="N25" s="17">
        <f t="shared" ca="1" si="0"/>
        <v>0.99726775956284153</v>
      </c>
      <c r="O25" s="17">
        <f t="shared" ca="1" si="0"/>
        <v>1.0027397260273974</v>
      </c>
      <c r="P25" s="17">
        <f t="shared" ca="1" si="0"/>
        <v>1</v>
      </c>
      <c r="Q25" s="17">
        <f t="shared" ca="1" si="0"/>
        <v>1</v>
      </c>
      <c r="R25" s="17">
        <f t="shared" ca="1" si="0"/>
        <v>0.99726775956284153</v>
      </c>
      <c r="S25" s="17">
        <f t="shared" ca="1" si="0"/>
        <v>1.0027397260273974</v>
      </c>
      <c r="T25" s="17">
        <f t="shared" ca="1" si="0"/>
        <v>1</v>
      </c>
      <c r="U25" s="17">
        <f t="shared" ca="1" si="0"/>
        <v>1</v>
      </c>
      <c r="V25" s="17">
        <f t="shared" ca="1" si="0"/>
        <v>0.99726775956284153</v>
      </c>
      <c r="W25" s="17">
        <f t="shared" ca="1" si="0"/>
        <v>1.0027397260273974</v>
      </c>
      <c r="X25" s="17">
        <f t="shared" ca="1" si="0"/>
        <v>1</v>
      </c>
      <c r="Y25" s="17">
        <f t="shared" ca="1" si="0"/>
        <v>1</v>
      </c>
      <c r="Z25" s="17">
        <f t="shared" ca="1" si="0"/>
        <v>0.99726775956284153</v>
      </c>
      <c r="AA25" s="17">
        <f t="shared" ca="1" si="0"/>
        <v>1.0027397260273974</v>
      </c>
      <c r="AB25" s="17">
        <f t="shared" ca="1" si="0"/>
        <v>1</v>
      </c>
      <c r="AC25" s="17">
        <f t="shared" ca="1" si="0"/>
        <v>1</v>
      </c>
      <c r="AD25" s="17">
        <f t="shared" ca="1" si="0"/>
        <v>0.99726775956284153</v>
      </c>
      <c r="AE25" s="17">
        <f t="shared" ca="1" si="0"/>
        <v>1.0027397260273974</v>
      </c>
      <c r="AF25" s="17">
        <f t="shared" ca="1" si="0"/>
        <v>1</v>
      </c>
      <c r="AG25" s="17">
        <f t="shared" ca="1" si="0"/>
        <v>1</v>
      </c>
      <c r="AH25" s="17">
        <f t="shared" ca="1" si="0"/>
        <v>0.99726775956284153</v>
      </c>
      <c r="AI25" s="17">
        <f t="shared" ca="1" si="0"/>
        <v>1.0027397260273974</v>
      </c>
      <c r="AJ25" s="17">
        <f t="shared" ca="1" si="0"/>
        <v>1</v>
      </c>
      <c r="AK25" s="17">
        <f t="shared" ca="1" si="0"/>
        <v>1</v>
      </c>
      <c r="AL25" s="17">
        <f t="shared" ca="1" si="0"/>
        <v>1</v>
      </c>
      <c r="AM25" s="17">
        <f t="shared" si="0"/>
        <v>0</v>
      </c>
      <c r="AN25" s="17">
        <f t="shared" si="0"/>
        <v>0</v>
      </c>
      <c r="AO25" s="17">
        <f t="shared" si="0"/>
        <v>0</v>
      </c>
      <c r="AP25" s="17">
        <f t="shared" si="0"/>
        <v>0</v>
      </c>
      <c r="AQ25" s="17">
        <f t="shared" si="0"/>
        <v>0</v>
      </c>
      <c r="AR25" s="17">
        <f t="shared" si="0"/>
        <v>0</v>
      </c>
      <c r="AS25" s="17">
        <f t="shared" si="0"/>
        <v>0</v>
      </c>
      <c r="AT25" s="17">
        <f t="shared" si="0"/>
        <v>0</v>
      </c>
      <c r="AU25" s="17">
        <f t="shared" si="0"/>
        <v>0</v>
      </c>
      <c r="AV25" s="17">
        <f t="shared" si="0"/>
        <v>0</v>
      </c>
      <c r="AW25" s="17">
        <f t="shared" si="0"/>
        <v>0</v>
      </c>
      <c r="AX25" s="1056"/>
    </row>
    <row r="26" spans="1:50">
      <c r="B26" s="5"/>
    </row>
    <row r="27" spans="1:50">
      <c r="A27" s="6" t="s">
        <v>506</v>
      </c>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053"/>
    </row>
    <row r="28" spans="1:50">
      <c r="B28" s="5"/>
    </row>
    <row r="29" spans="1:50">
      <c r="B29" s="2" t="s">
        <v>507</v>
      </c>
      <c r="C29" s="15" t="s">
        <v>60</v>
      </c>
      <c r="D29" s="41">
        <f>SUM(I29:AI29)</f>
        <v>7</v>
      </c>
      <c r="I29" s="41">
        <f>'Debt Schedule'!I34</f>
        <v>0</v>
      </c>
      <c r="J29" s="41">
        <f>'Debt Schedule'!J34</f>
        <v>0</v>
      </c>
      <c r="K29" s="41">
        <f>'Debt Schedule'!K34</f>
        <v>0</v>
      </c>
      <c r="L29" s="41">
        <f>'Debt Schedule'!L34</f>
        <v>1</v>
      </c>
      <c r="M29" s="41">
        <f>'Debt Schedule'!M34</f>
        <v>1</v>
      </c>
      <c r="N29" s="41">
        <f>'Debt Schedule'!N34</f>
        <v>1</v>
      </c>
      <c r="O29" s="41">
        <f>'Debt Schedule'!O34</f>
        <v>1</v>
      </c>
      <c r="P29" s="41">
        <f>'Debt Schedule'!P34</f>
        <v>1</v>
      </c>
      <c r="Q29" s="41">
        <f>'Debt Schedule'!Q34</f>
        <v>1</v>
      </c>
      <c r="R29" s="41">
        <f>'Debt Schedule'!R34</f>
        <v>1</v>
      </c>
      <c r="S29" s="41">
        <f>'Debt Schedule'!S34</f>
        <v>0</v>
      </c>
      <c r="T29" s="41">
        <f>'Debt Schedule'!T34</f>
        <v>0</v>
      </c>
      <c r="U29" s="41">
        <f>'Debt Schedule'!U34</f>
        <v>0</v>
      </c>
      <c r="V29" s="41">
        <f>'Debt Schedule'!V34</f>
        <v>0</v>
      </c>
      <c r="W29" s="41">
        <f>'Debt Schedule'!W34</f>
        <v>0</v>
      </c>
      <c r="X29" s="41">
        <f>'Debt Schedule'!X34</f>
        <v>0</v>
      </c>
      <c r="Y29" s="41">
        <f>'Debt Schedule'!Y34</f>
        <v>0</v>
      </c>
      <c r="Z29" s="41">
        <f>'Debt Schedule'!Z34</f>
        <v>0</v>
      </c>
      <c r="AA29" s="41">
        <f>'Debt Schedule'!AA34</f>
        <v>0</v>
      </c>
      <c r="AB29" s="41">
        <f>'Debt Schedule'!AB34</f>
        <v>0</v>
      </c>
      <c r="AC29" s="41">
        <f>'Debt Schedule'!AC34</f>
        <v>0</v>
      </c>
      <c r="AD29" s="41">
        <f>'Debt Schedule'!AD34</f>
        <v>0</v>
      </c>
      <c r="AE29" s="41">
        <f>'Debt Schedule'!AE34</f>
        <v>0</v>
      </c>
      <c r="AF29" s="41">
        <f>'Debt Schedule'!AF34</f>
        <v>0</v>
      </c>
      <c r="AG29" s="41">
        <f>'Debt Schedule'!AG34</f>
        <v>0</v>
      </c>
      <c r="AH29" s="41">
        <f>'Debt Schedule'!AH34</f>
        <v>0</v>
      </c>
      <c r="AI29" s="41">
        <f>'Debt Schedule'!AI34</f>
        <v>0</v>
      </c>
    </row>
    <row r="30" spans="1:50">
      <c r="C30" s="15"/>
    </row>
    <row r="31" spans="1:50">
      <c r="B31" s="2" t="s">
        <v>508</v>
      </c>
      <c r="C31" s="194" t="str">
        <f>IF('Input '!$F$9=1,"US$","=N=")</f>
        <v>US$</v>
      </c>
      <c r="D31" s="41">
        <f ca="1">SUM(I31:AI31)</f>
        <v>46292054105.201607</v>
      </c>
      <c r="I31" s="41">
        <f ca="1">SUM(CF!I12,CF!I14,CF!I15)-CF!I11</f>
        <v>0</v>
      </c>
      <c r="J31" s="41">
        <f ca="1">SUM(CF!J12,CF!J14,CF!J15)-CF!J11</f>
        <v>-132913371.73613448</v>
      </c>
      <c r="K31" s="41">
        <f ca="1">SUM(CF!K12,CF!K14,CF!K15)-CF!K11</f>
        <v>632979160.75820267</v>
      </c>
      <c r="L31" s="41">
        <f ca="1">SUM(CF!L12,CF!L14,CF!L15)-CF!L11</f>
        <v>1113384145.8202512</v>
      </c>
      <c r="M31" s="41">
        <f ca="1">SUM(CF!M12,CF!M14,CF!M15)-CF!M11</f>
        <v>1307343777.7768016</v>
      </c>
      <c r="N31" s="41">
        <f ca="1">SUM(CF!N12,CF!N14,CF!N15)-CF!N11</f>
        <v>1423674676.4626899</v>
      </c>
      <c r="O31" s="41">
        <f ca="1">SUM(CF!O12,CF!O14,CF!O15)-CF!O11</f>
        <v>1527262449.5167961</v>
      </c>
      <c r="P31" s="41">
        <f ca="1">SUM(CF!P12,CF!P14,CF!P15)-CF!P11</f>
        <v>1620778759.7527404</v>
      </c>
      <c r="Q31" s="41">
        <f ca="1">SUM(CF!Q12,CF!Q14,CF!Q15)-CF!Q11</f>
        <v>1716998599.5535426</v>
      </c>
      <c r="R31" s="41">
        <f ca="1">SUM(CF!R12,CF!R14,CF!R15)-CF!R11</f>
        <v>1819844194.9453361</v>
      </c>
      <c r="S31" s="41">
        <f ca="1">SUM(CF!S12,CF!S14,CF!S15)-CF!S11</f>
        <v>1921492211.2169793</v>
      </c>
      <c r="T31" s="41">
        <f ca="1">SUM(CF!T12,CF!T14,CF!T15)-CF!T11</f>
        <v>2038073397.7543035</v>
      </c>
      <c r="U31" s="41">
        <f ca="1">SUM(CF!U12,CF!U14,CF!U15)-CF!U11</f>
        <v>2159528163.5310922</v>
      </c>
      <c r="V31" s="41">
        <f ca="1">SUM(CF!V12,CF!V14,CF!V15)-CF!V11</f>
        <v>2287791806.3660378</v>
      </c>
      <c r="W31" s="41">
        <f ca="1">SUM(CF!W12,CF!W14,CF!W15)-CF!W11</f>
        <v>2420274029.2951603</v>
      </c>
      <c r="X31" s="41">
        <f ca="1">SUM(CF!X12,CF!X14,CF!X15)-CF!X11</f>
        <v>1799483684.7706902</v>
      </c>
      <c r="Y31" s="41">
        <f ca="1">SUM(CF!Y12,CF!Y14,CF!Y15)-CF!Y11</f>
        <v>1753474444.781949</v>
      </c>
      <c r="Z31" s="41">
        <f ca="1">SUM(CF!Z12,CF!Z14,CF!Z15)-CF!Z11</f>
        <v>1807957611.5470948</v>
      </c>
      <c r="AA31" s="41">
        <f ca="1">SUM(CF!AA12,CF!AA14,CF!AA15)-CF!AA11</f>
        <v>1863094085.0746782</v>
      </c>
      <c r="AB31" s="41">
        <f ca="1">SUM(CF!AB12,CF!AB14,CF!AB15)-CF!AB11</f>
        <v>1921878648.9141417</v>
      </c>
      <c r="AC31" s="41">
        <f ca="1">SUM(CF!AC12,CF!AC14,CF!AC15)-CF!AC11</f>
        <v>1982682102.853267</v>
      </c>
      <c r="AD31" s="41">
        <f ca="1">SUM(CF!AD12,CF!AD14,CF!AD15)-CF!AD11</f>
        <v>2046559606.7248311</v>
      </c>
      <c r="AE31" s="41">
        <f ca="1">SUM(CF!AE12,CF!AE14,CF!AE15)-CF!AE11</f>
        <v>2110866258.3901505</v>
      </c>
      <c r="AF31" s="41">
        <f ca="1">SUM(CF!AF12,CF!AF14,CF!AF15)-CF!AF11</f>
        <v>2179352918.1338038</v>
      </c>
      <c r="AG31" s="41">
        <f ca="1">SUM(CF!AG12,CF!AG14,CF!AG15)-CF!AG11</f>
        <v>2249756028.1376925</v>
      </c>
      <c r="AH31" s="41">
        <f ca="1">SUM(CF!AH12,CF!AH14,CF!AH15)-CF!AH11</f>
        <v>2323313428.2110395</v>
      </c>
      <c r="AI31" s="41">
        <f ca="1">SUM(CF!AI12,CF!AI14,CF!AI15)-CF!AI11</f>
        <v>2397123286.6484594</v>
      </c>
      <c r="AJ31" s="41">
        <f ca="1">SUM(CF!AJ12,CF!AJ14,CF!AJ15)-CF!AJ11</f>
        <v>2475391162.0859537</v>
      </c>
      <c r="AK31" s="41">
        <f ca="1">SUM(CF!AK12,CF!AK14,CF!AK15)-CF!AK11</f>
        <v>2586756212.7914348</v>
      </c>
      <c r="AL31" s="41">
        <f ca="1">SUM(CF!AL12,CF!AL14,CF!AL15)-CF!AL11</f>
        <v>3035968904.9920216</v>
      </c>
      <c r="AM31" s="41">
        <f>SUM(CF!AM12,CF!AM14,CF!AM15)-CF!AM11</f>
        <v>0</v>
      </c>
      <c r="AN31" s="41">
        <f>SUM(CF!AN12,CF!AN14,CF!AN15)-CF!AN11</f>
        <v>0</v>
      </c>
      <c r="AO31" s="41">
        <f>SUM(CF!AO12,CF!AO14,CF!AO15)-CF!AO11</f>
        <v>0</v>
      </c>
      <c r="AP31" s="41">
        <f>SUM(CF!AP12,CF!AP14,CF!AP15)-CF!AP11</f>
        <v>0</v>
      </c>
      <c r="AQ31" s="41">
        <f>SUM(CF!AQ12,CF!AQ14,CF!AQ15)-CF!AQ11</f>
        <v>0</v>
      </c>
      <c r="AR31" s="41">
        <f>SUM(CF!AR12,CF!AR14,CF!AR15)-CF!AR11</f>
        <v>0</v>
      </c>
      <c r="AS31" s="41">
        <f>SUM(CF!AS12,CF!AS14,CF!AS15)-CF!AS11</f>
        <v>0</v>
      </c>
      <c r="AT31" s="41">
        <f>SUM(CF!AT12,CF!AT14,CF!AT15)-CF!AT11</f>
        <v>0</v>
      </c>
      <c r="AU31" s="41">
        <f>SUM(CF!AU12,CF!AU14,CF!AU15)-CF!AU11</f>
        <v>0</v>
      </c>
      <c r="AV31" s="41">
        <f>SUM(CF!AV12,CF!AV14,CF!AV15)-CF!AV11</f>
        <v>0</v>
      </c>
      <c r="AW31" s="41">
        <f>SUM(CF!AW12,CF!AW14,CF!AW15)-CF!AW11</f>
        <v>0</v>
      </c>
      <c r="AX31" s="1054"/>
    </row>
    <row r="32" spans="1:50">
      <c r="B32" s="2" t="s">
        <v>509</v>
      </c>
      <c r="C32" s="144" t="str">
        <f>$C$31</f>
        <v>US$</v>
      </c>
      <c r="D32" s="41">
        <f ca="1">SUM(I32:AI32)</f>
        <v>33391283883.505978</v>
      </c>
      <c r="I32" s="41">
        <f ca="1">SUM(CF!I12,CF!I14,CF!I15)</f>
        <v>0</v>
      </c>
      <c r="J32" s="41">
        <f ca="1">SUM(CF!J12,CF!J14,CF!J15)</f>
        <v>-132913371.73613448</v>
      </c>
      <c r="K32" s="41">
        <f ca="1">SUM(CF!K12,CF!K14,CF!K15)</f>
        <v>632979160.75820267</v>
      </c>
      <c r="L32" s="41">
        <f ca="1">SUM(CF!L12,CF!L14,CF!L15)</f>
        <v>1113384145.8202512</v>
      </c>
      <c r="M32" s="41">
        <f ca="1">SUM(CF!M12,CF!M14,CF!M15)</f>
        <v>1307343777.7768016</v>
      </c>
      <c r="N32" s="41">
        <f ca="1">SUM(CF!N12,CF!N14,CF!N15)</f>
        <v>1264692907.9545906</v>
      </c>
      <c r="O32" s="41">
        <f ca="1">SUM(CF!O12,CF!O14,CF!O15)</f>
        <v>1349315140.1386206</v>
      </c>
      <c r="P32" s="41">
        <f ca="1">SUM(CF!P12,CF!P14,CF!P15)</f>
        <v>1425359922.7759254</v>
      </c>
      <c r="Q32" s="41">
        <f ca="1">SUM(CF!Q12,CF!Q14,CF!Q15)</f>
        <v>1503447690.4102097</v>
      </c>
      <c r="R32" s="41">
        <f ca="1">SUM(CF!R12,CF!R14,CF!R15)</f>
        <v>1324092719.1085794</v>
      </c>
      <c r="S32" s="41">
        <f ca="1">SUM(CF!S12,CF!S14,CF!S15)</f>
        <v>1283070151.1751375</v>
      </c>
      <c r="T32" s="41">
        <f ca="1">SUM(CF!T12,CF!T14,CF!T15)</f>
        <v>1361126777.7746472</v>
      </c>
      <c r="U32" s="41">
        <f ca="1">SUM(CF!U12,CF!U14,CF!U15)</f>
        <v>1442257475.690588</v>
      </c>
      <c r="V32" s="41">
        <f ca="1">SUM(CF!V12,CF!V14,CF!V15)</f>
        <v>1528178348.3972325</v>
      </c>
      <c r="W32" s="41">
        <f ca="1">SUM(CF!W12,CF!W14,CF!W15)</f>
        <v>1616160258.3257608</v>
      </c>
      <c r="X32" s="41">
        <f ca="1">SUM(CF!X12,CF!X14,CF!X15)</f>
        <v>1235546330.5832512</v>
      </c>
      <c r="Y32" s="41">
        <f ca="1">SUM(CF!Y12,CF!Y14,CF!Y15)</f>
        <v>1172655466.6061137</v>
      </c>
      <c r="Z32" s="41">
        <f ca="1">SUM(CF!Z12,CF!Z14,CF!Z15)</f>
        <v>1209196930.2893116</v>
      </c>
      <c r="AA32" s="41">
        <f ca="1">SUM(CF!AA12,CF!AA14,CF!AA15)</f>
        <v>1245685425.722734</v>
      </c>
      <c r="AB32" s="41">
        <f ca="1">SUM(CF!AB12,CF!AB14,CF!AB15)</f>
        <v>1285172638.6101649</v>
      </c>
      <c r="AC32" s="41">
        <f ca="1">SUM(CF!AC12,CF!AC14,CF!AC15)</f>
        <v>1325847448.789845</v>
      </c>
      <c r="AD32" s="41">
        <f ca="1">SUM(CF!AD12,CF!AD14,CF!AD15)</f>
        <v>1368791499.13083</v>
      </c>
      <c r="AE32" s="41">
        <f ca="1">SUM(CF!AE12,CF!AE14,CF!AE15)</f>
        <v>1411363588.111443</v>
      </c>
      <c r="AF32" s="41">
        <f ca="1">SUM(CF!AF12,CF!AF14,CF!AF15)</f>
        <v>1457366133.1732535</v>
      </c>
      <c r="AG32" s="41">
        <f ca="1">SUM(CF!AG12,CF!AG14,CF!AG15)</f>
        <v>1504464392.6556954</v>
      </c>
      <c r="AH32" s="41">
        <f ca="1">SUM(CF!AH12,CF!AH14,CF!AH15)</f>
        <v>1553913969.7623825</v>
      </c>
      <c r="AI32" s="41">
        <f ca="1">SUM(CF!AI12,CF!AI14,CF!AI15)</f>
        <v>1602784955.700546</v>
      </c>
      <c r="AJ32" s="41">
        <f ca="1">SUM(CF!AJ12,CF!AJ14,CF!AJ15)</f>
        <v>1655357824.3929558</v>
      </c>
      <c r="AK32" s="41">
        <f ca="1">SUM(CF!AK12,CF!AK14,CF!AK15)</f>
        <v>1729891184.7949376</v>
      </c>
      <c r="AL32" s="41">
        <f ca="1">SUM(CF!AL12,CF!AL14,CF!AL15)</f>
        <v>2140969646.930531</v>
      </c>
      <c r="AM32" s="41">
        <f>SUM(CF!AM12,CF!AM14,CF!AM15)</f>
        <v>0</v>
      </c>
      <c r="AN32" s="41">
        <f>SUM(CF!AN12,CF!AN14,CF!AN15)</f>
        <v>0</v>
      </c>
      <c r="AO32" s="41">
        <f>SUM(CF!AO12,CF!AO14,CF!AO15)</f>
        <v>0</v>
      </c>
      <c r="AP32" s="41">
        <f>SUM(CF!AP12,CF!AP14,CF!AP15)</f>
        <v>0</v>
      </c>
      <c r="AQ32" s="41">
        <f>SUM(CF!AQ12,CF!AQ14,CF!AQ15)</f>
        <v>0</v>
      </c>
      <c r="AR32" s="41">
        <f>SUM(CF!AR12,CF!AR14,CF!AR15)</f>
        <v>0</v>
      </c>
      <c r="AS32" s="41">
        <f>SUM(CF!AS12,CF!AS14,CF!AS15)</f>
        <v>0</v>
      </c>
      <c r="AT32" s="41">
        <f>SUM(CF!AT12,CF!AT14,CF!AT15)</f>
        <v>0</v>
      </c>
      <c r="AU32" s="41">
        <f>SUM(CF!AU12,CF!AU14,CF!AU15)</f>
        <v>0</v>
      </c>
      <c r="AV32" s="41">
        <f>SUM(CF!AV12,CF!AV14,CF!AV15)</f>
        <v>0</v>
      </c>
      <c r="AW32" s="41">
        <f>SUM(CF!AW12,CF!AW14,CF!AW15)</f>
        <v>0</v>
      </c>
      <c r="AX32" s="1054"/>
    </row>
    <row r="33" spans="1:52">
      <c r="B33" s="2" t="s">
        <v>510</v>
      </c>
      <c r="C33" s="144" t="str">
        <f>$C$31</f>
        <v>US$</v>
      </c>
      <c r="D33" s="41">
        <f ca="1">SUM(I33:AI33)</f>
        <v>4093349196.5737753</v>
      </c>
      <c r="I33" s="186">
        <f ca="1">'Debt Schedule'!I75</f>
        <v>0</v>
      </c>
      <c r="J33" s="186">
        <f ca="1">'Debt Schedule'!J75</f>
        <v>0</v>
      </c>
      <c r="K33" s="186">
        <f ca="1">'Debt Schedule'!K75</f>
        <v>0</v>
      </c>
      <c r="L33" s="41">
        <f ca="1">'Debt Schedule'!L75</f>
        <v>712861464.64741492</v>
      </c>
      <c r="M33" s="41">
        <f ca="1">'Debt Schedule'!M75</f>
        <v>670173413.88064456</v>
      </c>
      <c r="N33" s="41">
        <f ca="1">'Debt Schedule'!N75</f>
        <v>626902193.02143204</v>
      </c>
      <c r="O33" s="41">
        <f ca="1">'Debt Schedule'!O75</f>
        <v>585265126.60208225</v>
      </c>
      <c r="P33" s="41">
        <f ca="1">'Debt Schedule'!P75</f>
        <v>542109261.58033371</v>
      </c>
      <c r="Q33" s="41">
        <f ca="1">'Debt Schedule'!Q75</f>
        <v>499421210.81356329</v>
      </c>
      <c r="R33" s="41">
        <f ca="1">'Debt Schedule'!R75</f>
        <v>456616526.02830452</v>
      </c>
      <c r="S33" s="186">
        <f ca="1">'Debt Schedule'!S75</f>
        <v>0</v>
      </c>
      <c r="T33" s="186">
        <f ca="1">'Debt Schedule'!T75</f>
        <v>0</v>
      </c>
      <c r="U33" s="186">
        <f ca="1">'Debt Schedule'!U75</f>
        <v>0</v>
      </c>
      <c r="V33" s="186">
        <f ca="1">'Debt Schedule'!V75</f>
        <v>0</v>
      </c>
      <c r="W33" s="186">
        <f ca="1">'Debt Schedule'!W75</f>
        <v>0</v>
      </c>
      <c r="X33" s="186">
        <f ca="1">'Debt Schedule'!X75</f>
        <v>0</v>
      </c>
      <c r="Y33" s="186">
        <f ca="1">'Debt Schedule'!Y75</f>
        <v>0</v>
      </c>
      <c r="Z33" s="186">
        <f ca="1">'Debt Schedule'!Z75</f>
        <v>0</v>
      </c>
      <c r="AA33" s="186">
        <f ca="1">'Debt Schedule'!AA75</f>
        <v>0</v>
      </c>
      <c r="AB33" s="186">
        <f ca="1">'Debt Schedule'!AB75</f>
        <v>0</v>
      </c>
      <c r="AC33" s="186">
        <f ca="1">'Debt Schedule'!AC75</f>
        <v>0</v>
      </c>
      <c r="AD33" s="186">
        <f ca="1">'Debt Schedule'!AD75</f>
        <v>0</v>
      </c>
      <c r="AE33" s="186">
        <f ca="1">'Debt Schedule'!AE75</f>
        <v>0</v>
      </c>
      <c r="AF33" s="186">
        <f ca="1">'Debt Schedule'!AF75</f>
        <v>0</v>
      </c>
      <c r="AG33" s="186">
        <f ca="1">'Debt Schedule'!AG75</f>
        <v>0</v>
      </c>
      <c r="AH33" s="186">
        <f ca="1">'Debt Schedule'!AH75</f>
        <v>0</v>
      </c>
      <c r="AI33" s="186">
        <f ca="1">'Debt Schedule'!AI75</f>
        <v>0</v>
      </c>
    </row>
    <row r="34" spans="1:52">
      <c r="C34" s="15"/>
    </row>
    <row r="35" spans="1:52">
      <c r="B35" s="2" t="s">
        <v>511</v>
      </c>
      <c r="C35" s="15" t="s">
        <v>517</v>
      </c>
      <c r="I35" s="212" t="str">
        <f ca="1">IF(IFERROR(I31/I33," ")&lt;0.01," ",IFERROR(I31/I33," "))</f>
        <v xml:space="preserve"> </v>
      </c>
      <c r="J35" s="212" t="str">
        <f t="shared" ref="J35:AZ35" ca="1" si="1">IF(IFERROR(J31/J33," ")&lt;0.01," ",IFERROR(J31/J33," "))</f>
        <v xml:space="preserve"> </v>
      </c>
      <c r="K35" s="212" t="str">
        <f t="shared" ca="1" si="1"/>
        <v xml:space="preserve"> </v>
      </c>
      <c r="L35" s="212">
        <f t="shared" ca="1" si="1"/>
        <v>1.5618520582690452</v>
      </c>
      <c r="M35" s="212">
        <f t="shared" ca="1" si="1"/>
        <v>1.9507544625004101</v>
      </c>
      <c r="N35" s="212">
        <f t="shared" ca="1" si="1"/>
        <v>2.2709677718642443</v>
      </c>
      <c r="O35" s="212">
        <f t="shared" ca="1" si="1"/>
        <v>2.609522385835183</v>
      </c>
      <c r="P35" s="212">
        <f t="shared" ca="1" si="1"/>
        <v>2.9897640099855805</v>
      </c>
      <c r="Q35" s="212">
        <f t="shared" ca="1" si="1"/>
        <v>3.4379769268440379</v>
      </c>
      <c r="R35" s="212">
        <f t="shared" ca="1" si="1"/>
        <v>3.985497876685542</v>
      </c>
      <c r="S35" s="212" t="str">
        <f t="shared" ca="1" si="1"/>
        <v xml:space="preserve"> </v>
      </c>
      <c r="T35" s="212" t="str">
        <f t="shared" ca="1" si="1"/>
        <v xml:space="preserve"> </v>
      </c>
      <c r="U35" s="212" t="str">
        <f t="shared" ca="1" si="1"/>
        <v xml:space="preserve"> </v>
      </c>
      <c r="V35" s="212" t="str">
        <f t="shared" ca="1" si="1"/>
        <v xml:space="preserve"> </v>
      </c>
      <c r="W35" s="212" t="str">
        <f t="shared" ca="1" si="1"/>
        <v xml:space="preserve"> </v>
      </c>
      <c r="X35" s="212" t="str">
        <f t="shared" ca="1" si="1"/>
        <v xml:space="preserve"> </v>
      </c>
      <c r="Y35" s="212" t="str">
        <f t="shared" ca="1" si="1"/>
        <v xml:space="preserve"> </v>
      </c>
      <c r="Z35" s="212" t="str">
        <f t="shared" ca="1" si="1"/>
        <v xml:space="preserve"> </v>
      </c>
      <c r="AA35" s="212" t="str">
        <f t="shared" ca="1" si="1"/>
        <v xml:space="preserve"> </v>
      </c>
      <c r="AB35" s="212" t="str">
        <f t="shared" ca="1" si="1"/>
        <v xml:space="preserve"> </v>
      </c>
      <c r="AC35" s="212" t="str">
        <f t="shared" ca="1" si="1"/>
        <v xml:space="preserve"> </v>
      </c>
      <c r="AD35" s="212" t="str">
        <f t="shared" ca="1" si="1"/>
        <v xml:space="preserve"> </v>
      </c>
      <c r="AE35" s="212" t="str">
        <f t="shared" ca="1" si="1"/>
        <v xml:space="preserve"> </v>
      </c>
      <c r="AF35" s="212" t="str">
        <f t="shared" ca="1" si="1"/>
        <v xml:space="preserve"> </v>
      </c>
      <c r="AG35" s="212" t="str">
        <f t="shared" ca="1" si="1"/>
        <v xml:space="preserve"> </v>
      </c>
      <c r="AH35" s="212" t="str">
        <f t="shared" ca="1" si="1"/>
        <v xml:space="preserve"> </v>
      </c>
      <c r="AI35" s="212" t="str">
        <f t="shared" ca="1" si="1"/>
        <v xml:space="preserve"> </v>
      </c>
      <c r="AJ35" s="212" t="str">
        <f t="shared" ca="1" si="1"/>
        <v xml:space="preserve"> </v>
      </c>
      <c r="AK35" s="212" t="str">
        <f t="shared" ca="1" si="1"/>
        <v xml:space="preserve"> </v>
      </c>
      <c r="AL35" s="212" t="str">
        <f t="shared" ca="1" si="1"/>
        <v xml:space="preserve"> </v>
      </c>
      <c r="AM35" s="212" t="str">
        <f t="shared" si="1"/>
        <v xml:space="preserve"> </v>
      </c>
      <c r="AN35" s="212" t="str">
        <f t="shared" si="1"/>
        <v xml:space="preserve"> </v>
      </c>
      <c r="AO35" s="212" t="str">
        <f t="shared" si="1"/>
        <v xml:space="preserve"> </v>
      </c>
      <c r="AP35" s="212" t="str">
        <f t="shared" si="1"/>
        <v xml:space="preserve"> </v>
      </c>
      <c r="AQ35" s="212" t="str">
        <f t="shared" si="1"/>
        <v xml:space="preserve"> </v>
      </c>
      <c r="AR35" s="212" t="str">
        <f t="shared" si="1"/>
        <v xml:space="preserve"> </v>
      </c>
      <c r="AS35" s="212" t="str">
        <f t="shared" si="1"/>
        <v xml:space="preserve"> </v>
      </c>
      <c r="AT35" s="212" t="str">
        <f t="shared" si="1"/>
        <v xml:space="preserve"> </v>
      </c>
      <c r="AU35" s="212" t="str">
        <f t="shared" si="1"/>
        <v xml:space="preserve"> </v>
      </c>
      <c r="AV35" s="212" t="str">
        <f t="shared" si="1"/>
        <v xml:space="preserve"> </v>
      </c>
      <c r="AW35" s="212" t="str">
        <f t="shared" si="1"/>
        <v xml:space="preserve"> </v>
      </c>
      <c r="AX35" s="212" t="str">
        <f t="shared" si="1"/>
        <v xml:space="preserve"> </v>
      </c>
      <c r="AY35" s="212" t="str">
        <f t="shared" si="1"/>
        <v xml:space="preserve"> </v>
      </c>
      <c r="AZ35" s="212" t="str">
        <f t="shared" si="1"/>
        <v xml:space="preserve"> </v>
      </c>
    </row>
    <row r="36" spans="1:52">
      <c r="B36" s="2" t="s">
        <v>512</v>
      </c>
      <c r="C36" s="15" t="s">
        <v>517</v>
      </c>
      <c r="I36" s="212" t="str">
        <f ca="1">IF(IFERROR(I32/I33," ")&lt;0.01," ",IFERROR(I32/I33," "))</f>
        <v xml:space="preserve"> </v>
      </c>
      <c r="J36" s="212" t="str">
        <f t="shared" ref="J36:AW36" ca="1" si="2">IF(IFERROR(J32/J33," ")&lt;0.01," ",IFERROR(J32/J33," "))</f>
        <v xml:space="preserve"> </v>
      </c>
      <c r="K36" s="212" t="str">
        <f t="shared" ca="1" si="2"/>
        <v xml:space="preserve"> </v>
      </c>
      <c r="L36" s="212">
        <f t="shared" ca="1" si="2"/>
        <v>1.5618520582690452</v>
      </c>
      <c r="M36" s="212">
        <f t="shared" ca="1" si="2"/>
        <v>1.9507544625004101</v>
      </c>
      <c r="N36" s="212">
        <f t="shared" ca="1" si="2"/>
        <v>2.0173687730445606</v>
      </c>
      <c r="O36" s="212">
        <f t="shared" ca="1" si="2"/>
        <v>2.3054767468761397</v>
      </c>
      <c r="P36" s="212">
        <f t="shared" ca="1" si="2"/>
        <v>2.6292853190162759</v>
      </c>
      <c r="Q36" s="212">
        <f t="shared" ca="1" si="2"/>
        <v>3.0103801317550669</v>
      </c>
      <c r="R36" s="212">
        <f t="shared" ca="1" si="2"/>
        <v>2.8997914959970199</v>
      </c>
      <c r="S36" s="212" t="str">
        <f t="shared" ca="1" si="2"/>
        <v xml:space="preserve"> </v>
      </c>
      <c r="T36" s="212" t="str">
        <f t="shared" ca="1" si="2"/>
        <v xml:space="preserve"> </v>
      </c>
      <c r="U36" s="212" t="str">
        <f t="shared" ca="1" si="2"/>
        <v xml:space="preserve"> </v>
      </c>
      <c r="V36" s="212" t="str">
        <f t="shared" ca="1" si="2"/>
        <v xml:space="preserve"> </v>
      </c>
      <c r="W36" s="212" t="str">
        <f t="shared" ca="1" si="2"/>
        <v xml:space="preserve"> </v>
      </c>
      <c r="X36" s="212" t="str">
        <f t="shared" ca="1" si="2"/>
        <v xml:space="preserve"> </v>
      </c>
      <c r="Y36" s="212" t="str">
        <f t="shared" ca="1" si="2"/>
        <v xml:space="preserve"> </v>
      </c>
      <c r="Z36" s="212" t="str">
        <f t="shared" ca="1" si="2"/>
        <v xml:space="preserve"> </v>
      </c>
      <c r="AA36" s="212" t="str">
        <f t="shared" ca="1" si="2"/>
        <v xml:space="preserve"> </v>
      </c>
      <c r="AB36" s="212" t="str">
        <f t="shared" ca="1" si="2"/>
        <v xml:space="preserve"> </v>
      </c>
      <c r="AC36" s="212" t="str">
        <f t="shared" ca="1" si="2"/>
        <v xml:space="preserve"> </v>
      </c>
      <c r="AD36" s="212" t="str">
        <f t="shared" ca="1" si="2"/>
        <v xml:space="preserve"> </v>
      </c>
      <c r="AE36" s="212" t="str">
        <f t="shared" ca="1" si="2"/>
        <v xml:space="preserve"> </v>
      </c>
      <c r="AF36" s="212" t="str">
        <f t="shared" ca="1" si="2"/>
        <v xml:space="preserve"> </v>
      </c>
      <c r="AG36" s="212" t="str">
        <f t="shared" ca="1" si="2"/>
        <v xml:space="preserve"> </v>
      </c>
      <c r="AH36" s="212" t="str">
        <f t="shared" ca="1" si="2"/>
        <v xml:space="preserve"> </v>
      </c>
      <c r="AI36" s="212" t="str">
        <f t="shared" ca="1" si="2"/>
        <v xml:space="preserve"> </v>
      </c>
      <c r="AJ36" s="212" t="str">
        <f t="shared" ca="1" si="2"/>
        <v xml:space="preserve"> </v>
      </c>
      <c r="AK36" s="212" t="str">
        <f t="shared" ca="1" si="2"/>
        <v xml:space="preserve"> </v>
      </c>
      <c r="AL36" s="212" t="str">
        <f t="shared" ca="1" si="2"/>
        <v xml:space="preserve"> </v>
      </c>
      <c r="AM36" s="212" t="str">
        <f t="shared" si="2"/>
        <v xml:space="preserve"> </v>
      </c>
      <c r="AN36" s="212" t="str">
        <f t="shared" si="2"/>
        <v xml:space="preserve"> </v>
      </c>
      <c r="AO36" s="212" t="str">
        <f t="shared" si="2"/>
        <v xml:space="preserve"> </v>
      </c>
      <c r="AP36" s="212" t="str">
        <f t="shared" si="2"/>
        <v xml:space="preserve"> </v>
      </c>
      <c r="AQ36" s="212" t="str">
        <f t="shared" si="2"/>
        <v xml:space="preserve"> </v>
      </c>
      <c r="AR36" s="212" t="str">
        <f t="shared" si="2"/>
        <v xml:space="preserve"> </v>
      </c>
      <c r="AS36" s="212" t="str">
        <f t="shared" si="2"/>
        <v xml:space="preserve"> </v>
      </c>
      <c r="AT36" s="212" t="str">
        <f t="shared" si="2"/>
        <v xml:space="preserve"> </v>
      </c>
      <c r="AU36" s="212" t="str">
        <f t="shared" si="2"/>
        <v xml:space="preserve"> </v>
      </c>
      <c r="AV36" s="212" t="str">
        <f t="shared" si="2"/>
        <v xml:space="preserve"> </v>
      </c>
      <c r="AW36" s="212" t="str">
        <f t="shared" si="2"/>
        <v xml:space="preserve"> </v>
      </c>
      <c r="AX36" s="1057"/>
    </row>
    <row r="37" spans="1:52">
      <c r="C37" s="15"/>
      <c r="D37" s="213" t="s">
        <v>518</v>
      </c>
      <c r="E37" s="213" t="s">
        <v>519</v>
      </c>
    </row>
    <row r="38" spans="1:52">
      <c r="B38" s="2" t="s">
        <v>513</v>
      </c>
      <c r="C38" s="15" t="s">
        <v>517</v>
      </c>
      <c r="D38" s="214">
        <f ca="1">AVERAGE(I35:AI35)</f>
        <v>2.6866193559977205</v>
      </c>
      <c r="E38" s="214">
        <f ca="1">AVERAGE(I36:AI36)</f>
        <v>2.3392727124940742</v>
      </c>
    </row>
    <row r="39" spans="1:52">
      <c r="B39" s="2" t="s">
        <v>514</v>
      </c>
      <c r="C39" s="15" t="s">
        <v>517</v>
      </c>
      <c r="D39" s="214">
        <f ca="1">MIN(I35:AI35)</f>
        <v>1.5618520582690452</v>
      </c>
      <c r="E39" s="214">
        <f ca="1">MIN(I36:AI36)</f>
        <v>1.5618520582690452</v>
      </c>
    </row>
    <row r="40" spans="1:52">
      <c r="B40" s="2" t="s">
        <v>515</v>
      </c>
      <c r="C40" s="15" t="s">
        <v>180</v>
      </c>
      <c r="D40" s="216">
        <f ca="1">MATCH(D39,I35:AI35,0)</f>
        <v>4</v>
      </c>
      <c r="E40" s="215">
        <f ca="1">MATCH(E39,I36:AI36,0)</f>
        <v>4</v>
      </c>
    </row>
    <row r="41" spans="1:52">
      <c r="B41" s="2" t="s">
        <v>516</v>
      </c>
      <c r="C41" s="15" t="s">
        <v>41</v>
      </c>
      <c r="D41" s="217">
        <f ca="1">INDEX('Fixed Assets'!I3:AI3,D40)</f>
        <v>47119</v>
      </c>
      <c r="E41" s="217">
        <f ca="1">INDEX('Fixed Assets'!I3:AI3,E40)</f>
        <v>47119</v>
      </c>
    </row>
    <row r="42" spans="1:52">
      <c r="B42" s="3"/>
      <c r="C42" s="15"/>
    </row>
    <row r="43" spans="1:52">
      <c r="A43" s="6" t="s">
        <v>520</v>
      </c>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053"/>
    </row>
    <row r="44" spans="1:52">
      <c r="A44" s="12"/>
      <c r="B44" s="2" t="s">
        <v>1766</v>
      </c>
    </row>
    <row r="45" spans="1:52">
      <c r="B45" s="2" t="s">
        <v>291</v>
      </c>
      <c r="C45" s="15" t="s">
        <v>18</v>
      </c>
      <c r="D45" s="17">
        <f>'Debt Schedule'!$D$37</f>
        <v>0.10059999999999999</v>
      </c>
      <c r="I45" s="2">
        <f>'Debt Schedule'!I31</f>
        <v>1</v>
      </c>
      <c r="J45" s="2">
        <f>'Debt Schedule'!J31</f>
        <v>1</v>
      </c>
      <c r="K45" s="2">
        <f>'Debt Schedule'!K31</f>
        <v>1</v>
      </c>
      <c r="L45" s="2">
        <f>'Debt Schedule'!L31</f>
        <v>1</v>
      </c>
      <c r="M45" s="2">
        <f>'Debt Schedule'!M31</f>
        <v>1</v>
      </c>
      <c r="N45" s="2">
        <f>'Debt Schedule'!N31</f>
        <v>1</v>
      </c>
      <c r="O45" s="2">
        <f>'Debt Schedule'!O31</f>
        <v>1</v>
      </c>
      <c r="P45" s="2">
        <f>'Debt Schedule'!P31</f>
        <v>1</v>
      </c>
      <c r="Q45" s="2">
        <f>'Debt Schedule'!Q31</f>
        <v>1</v>
      </c>
      <c r="R45" s="2">
        <f>'Debt Schedule'!R31</f>
        <v>1</v>
      </c>
      <c r="S45" s="2">
        <f>'Debt Schedule'!S31</f>
        <v>0</v>
      </c>
      <c r="T45" s="2">
        <f>'Debt Schedule'!T31</f>
        <v>0</v>
      </c>
      <c r="U45" s="2">
        <f>'Debt Schedule'!U31</f>
        <v>0</v>
      </c>
      <c r="V45" s="2">
        <f>'Debt Schedule'!V31</f>
        <v>0</v>
      </c>
      <c r="W45" s="2">
        <f>'Debt Schedule'!W31</f>
        <v>0</v>
      </c>
      <c r="X45" s="2">
        <f>'Debt Schedule'!X31</f>
        <v>0</v>
      </c>
      <c r="Y45" s="2">
        <f>'Debt Schedule'!Y31</f>
        <v>0</v>
      </c>
      <c r="Z45" s="2">
        <f>'Debt Schedule'!Z31</f>
        <v>0</v>
      </c>
      <c r="AA45" s="2">
        <f>'Debt Schedule'!AA31</f>
        <v>0</v>
      </c>
      <c r="AB45" s="2">
        <f>'Debt Schedule'!AB31</f>
        <v>0</v>
      </c>
      <c r="AC45" s="2">
        <f>'Debt Schedule'!AC31</f>
        <v>0</v>
      </c>
      <c r="AD45" s="2">
        <f>'Debt Schedule'!AD31</f>
        <v>0</v>
      </c>
      <c r="AE45" s="2">
        <f>'Debt Schedule'!AE31</f>
        <v>0</v>
      </c>
      <c r="AF45" s="2">
        <f>'Debt Schedule'!AF31</f>
        <v>0</v>
      </c>
      <c r="AG45" s="2">
        <f>'Debt Schedule'!AG31</f>
        <v>0</v>
      </c>
      <c r="AH45" s="2">
        <f>'Debt Schedule'!AH31</f>
        <v>0</v>
      </c>
      <c r="AI45" s="2">
        <f>'Debt Schedule'!AI31</f>
        <v>0</v>
      </c>
      <c r="AJ45" s="2">
        <f>'Debt Schedule'!AJ31</f>
        <v>0</v>
      </c>
      <c r="AK45" s="2">
        <f>'Debt Schedule'!AK31</f>
        <v>0</v>
      </c>
      <c r="AL45" s="2">
        <f>'Debt Schedule'!AL31</f>
        <v>0</v>
      </c>
      <c r="AM45" s="2">
        <f>'Debt Schedule'!AM31</f>
        <v>0</v>
      </c>
      <c r="AN45" s="2">
        <f>'Debt Schedule'!AN31</f>
        <v>0</v>
      </c>
    </row>
    <row r="46" spans="1:52">
      <c r="C46" s="15"/>
      <c r="I46" s="1558">
        <f>(1+$D$45)^(1-I2)</f>
        <v>1</v>
      </c>
      <c r="J46" s="1558">
        <f t="shared" ref="J46:AI46" si="3">(1+$D$45)^(1-J2)</f>
        <v>0.90859531164819185</v>
      </c>
      <c r="K46" s="1558">
        <f t="shared" si="3"/>
        <v>0.82554544034907495</v>
      </c>
      <c r="L46" s="1558">
        <f t="shared" si="3"/>
        <v>0.75008671665371152</v>
      </c>
      <c r="M46" s="1558">
        <f t="shared" si="3"/>
        <v>0.68152527408114816</v>
      </c>
      <c r="N46" s="1558">
        <f t="shared" si="3"/>
        <v>0.61923066879988009</v>
      </c>
      <c r="O46" s="1558">
        <f t="shared" si="3"/>
        <v>0.56263008250034541</v>
      </c>
      <c r="P46" s="1558">
        <f t="shared" si="3"/>
        <v>0.51120305515204933</v>
      </c>
      <c r="Q46" s="1558">
        <f t="shared" si="3"/>
        <v>0.46447669921138407</v>
      </c>
      <c r="R46" s="1558">
        <f t="shared" si="3"/>
        <v>0.42202135127329099</v>
      </c>
      <c r="S46" s="1558">
        <f t="shared" si="3"/>
        <v>0.3834466211823469</v>
      </c>
      <c r="T46" s="1558">
        <f t="shared" si="3"/>
        <v>0.34839780227362066</v>
      </c>
      <c r="U46" s="1558">
        <f t="shared" si="3"/>
        <v>0.31655260973434546</v>
      </c>
      <c r="V46" s="1558">
        <f t="shared" si="3"/>
        <v>0.28761821709462609</v>
      </c>
      <c r="W46" s="1558">
        <f t="shared" si="3"/>
        <v>0.26132856359678913</v>
      </c>
      <c r="X46" s="1558">
        <f t="shared" si="3"/>
        <v>0.237441907683799</v>
      </c>
      <c r="Y46" s="1558">
        <f t="shared" si="3"/>
        <v>0.21573860411030255</v>
      </c>
      <c r="Z46" s="1558">
        <f t="shared" si="3"/>
        <v>0.19601908423614622</v>
      </c>
      <c r="AA46" s="1558">
        <f t="shared" si="3"/>
        <v>0.17810202093053445</v>
      </c>
      <c r="AB46" s="1558">
        <f t="shared" si="3"/>
        <v>0.16182266121255173</v>
      </c>
      <c r="AC46" s="1558">
        <f t="shared" si="3"/>
        <v>0.14703131129615826</v>
      </c>
      <c r="AD46" s="1558">
        <f t="shared" si="3"/>
        <v>0.13359196010917521</v>
      </c>
      <c r="AE46" s="1558">
        <f t="shared" si="3"/>
        <v>0.12138102862908888</v>
      </c>
      <c r="AF46" s="1558">
        <f t="shared" si="3"/>
        <v>0.11028623353542512</v>
      </c>
      <c r="AG46" s="1558">
        <f t="shared" si="3"/>
        <v>0.10020555472962485</v>
      </c>
      <c r="AH46" s="1558">
        <f t="shared" si="3"/>
        <v>9.1046297228443443E-2</v>
      </c>
      <c r="AI46" s="1558">
        <f t="shared" si="3"/>
        <v>8.2724238804691486E-2</v>
      </c>
    </row>
    <row r="47" spans="1:52">
      <c r="B47" s="29" t="s">
        <v>521</v>
      </c>
      <c r="C47" s="15"/>
    </row>
    <row r="48" spans="1:52">
      <c r="B48" s="2" t="s">
        <v>522</v>
      </c>
      <c r="C48" s="144" t="str">
        <f>$C$31</f>
        <v>US$</v>
      </c>
      <c r="D48" s="41">
        <f ca="1">SUM(I48:AI48)</f>
        <v>10529286603.828157</v>
      </c>
      <c r="I48" s="41">
        <f ca="1">I31*I29</f>
        <v>0</v>
      </c>
      <c r="J48" s="41">
        <f t="shared" ref="J48:AI48" ca="1" si="4">J31*J29</f>
        <v>0</v>
      </c>
      <c r="K48" s="41">
        <f t="shared" ca="1" si="4"/>
        <v>0</v>
      </c>
      <c r="L48" s="41">
        <f ca="1">L31*L29</f>
        <v>1113384145.8202512</v>
      </c>
      <c r="M48" s="41">
        <f t="shared" ca="1" si="4"/>
        <v>1307343777.7768016</v>
      </c>
      <c r="N48" s="41">
        <f t="shared" ca="1" si="4"/>
        <v>1423674676.4626899</v>
      </c>
      <c r="O48" s="41">
        <f t="shared" ca="1" si="4"/>
        <v>1527262449.5167961</v>
      </c>
      <c r="P48" s="41">
        <f t="shared" ca="1" si="4"/>
        <v>1620778759.7527404</v>
      </c>
      <c r="Q48" s="41">
        <f t="shared" ca="1" si="4"/>
        <v>1716998599.5535426</v>
      </c>
      <c r="R48" s="41">
        <f t="shared" ca="1" si="4"/>
        <v>1819844194.9453361</v>
      </c>
      <c r="S48" s="41">
        <f t="shared" ca="1" si="4"/>
        <v>0</v>
      </c>
      <c r="T48" s="41">
        <f t="shared" ca="1" si="4"/>
        <v>0</v>
      </c>
      <c r="U48" s="41">
        <f t="shared" ca="1" si="4"/>
        <v>0</v>
      </c>
      <c r="V48" s="41">
        <f t="shared" ca="1" si="4"/>
        <v>0</v>
      </c>
      <c r="W48" s="41">
        <f t="shared" ca="1" si="4"/>
        <v>0</v>
      </c>
      <c r="X48" s="41">
        <f t="shared" ca="1" si="4"/>
        <v>0</v>
      </c>
      <c r="Y48" s="41">
        <f t="shared" ca="1" si="4"/>
        <v>0</v>
      </c>
      <c r="Z48" s="41">
        <f t="shared" ca="1" si="4"/>
        <v>0</v>
      </c>
      <c r="AA48" s="41">
        <f t="shared" ca="1" si="4"/>
        <v>0</v>
      </c>
      <c r="AB48" s="41">
        <f t="shared" ca="1" si="4"/>
        <v>0</v>
      </c>
      <c r="AC48" s="41">
        <f t="shared" ca="1" si="4"/>
        <v>0</v>
      </c>
      <c r="AD48" s="41">
        <f t="shared" ca="1" si="4"/>
        <v>0</v>
      </c>
      <c r="AE48" s="41">
        <f t="shared" ca="1" si="4"/>
        <v>0</v>
      </c>
      <c r="AF48" s="41">
        <f t="shared" ca="1" si="4"/>
        <v>0</v>
      </c>
      <c r="AG48" s="41">
        <f t="shared" ca="1" si="4"/>
        <v>0</v>
      </c>
      <c r="AH48" s="41">
        <f t="shared" ca="1" si="4"/>
        <v>0</v>
      </c>
      <c r="AI48" s="41">
        <f t="shared" ca="1" si="4"/>
        <v>0</v>
      </c>
      <c r="AJ48" s="41">
        <f t="shared" ref="AJ48:AW48" ca="1" si="5">AJ31*AJ29</f>
        <v>0</v>
      </c>
      <c r="AK48" s="41">
        <f t="shared" ca="1" si="5"/>
        <v>0</v>
      </c>
      <c r="AL48" s="41">
        <f t="shared" ca="1" si="5"/>
        <v>0</v>
      </c>
      <c r="AM48" s="41">
        <f t="shared" si="5"/>
        <v>0</v>
      </c>
      <c r="AN48" s="41">
        <f t="shared" si="5"/>
        <v>0</v>
      </c>
      <c r="AO48" s="41">
        <f t="shared" si="5"/>
        <v>0</v>
      </c>
      <c r="AP48" s="41">
        <f t="shared" si="5"/>
        <v>0</v>
      </c>
      <c r="AQ48" s="41">
        <f t="shared" si="5"/>
        <v>0</v>
      </c>
      <c r="AR48" s="41">
        <f t="shared" si="5"/>
        <v>0</v>
      </c>
      <c r="AS48" s="41">
        <f t="shared" si="5"/>
        <v>0</v>
      </c>
      <c r="AT48" s="41">
        <f t="shared" si="5"/>
        <v>0</v>
      </c>
      <c r="AU48" s="41">
        <f t="shared" si="5"/>
        <v>0</v>
      </c>
      <c r="AV48" s="41">
        <f t="shared" si="5"/>
        <v>0</v>
      </c>
      <c r="AW48" s="41">
        <f t="shared" si="5"/>
        <v>0</v>
      </c>
      <c r="AX48" s="1054"/>
    </row>
    <row r="49" spans="1:51">
      <c r="B49" s="2" t="s">
        <v>523</v>
      </c>
      <c r="C49" s="144" t="str">
        <f>$C$31</f>
        <v>US$</v>
      </c>
      <c r="I49" s="41">
        <f ca="1">NPV($D$45,J48:$AG$48)</f>
        <v>5861055306.8510189</v>
      </c>
      <c r="J49" s="41">
        <f ca="1">NPV($D$45,K48:$AG$48)</f>
        <v>6450677470.720232</v>
      </c>
      <c r="K49" s="41">
        <f ca="1">NPV($D$45,L48:$AG$48)</f>
        <v>7099615624.2746878</v>
      </c>
      <c r="L49" s="41">
        <f ca="1">NPV($D$45,M48:$AG$48)</f>
        <v>6700452810.2564697</v>
      </c>
      <c r="M49" s="41">
        <f ca="1">NPV($D$45,N48:$AG$48)</f>
        <v>6067174585.1914692</v>
      </c>
      <c r="N49" s="41">
        <f ca="1">NPV($D$45,O48:$AG$48)</f>
        <v>5253857671.9990416</v>
      </c>
      <c r="O49" s="41">
        <f ca="1">NPV($D$45,P48:$AG$48)</f>
        <v>4255133304.2853498</v>
      </c>
      <c r="P49" s="41">
        <f ca="1">NPV($D$45,Q48:$AG$48)</f>
        <v>3062420954.9437151</v>
      </c>
      <c r="Q49" s="41">
        <f ca="1">NPV($D$45,R48:$AG$48)</f>
        <v>1653501903.4575105</v>
      </c>
      <c r="R49" s="41">
        <f ca="1">NPV($D$45,S48:$AG$48)</f>
        <v>0</v>
      </c>
      <c r="S49" s="41">
        <f ca="1">NPV($D$45,T48:$AG$48)</f>
        <v>0</v>
      </c>
      <c r="T49" s="41">
        <f ca="1">NPV($D$45,U48:$AG$48)</f>
        <v>0</v>
      </c>
      <c r="U49" s="41">
        <f ca="1">NPV($D$45,V48:$AG$48)</f>
        <v>0</v>
      </c>
      <c r="V49" s="41">
        <f ca="1">NPV($D$45,W48:$AG$48)</f>
        <v>0</v>
      </c>
      <c r="W49" s="41">
        <f ca="1">NPV($D$45,X48:$AG$48)</f>
        <v>0</v>
      </c>
      <c r="X49" s="41">
        <f ca="1">NPV($D$45,Y48:$AG$48)</f>
        <v>0</v>
      </c>
      <c r="Y49" s="41">
        <f ca="1">NPV($D$45,Z48:$AG$48)</f>
        <v>0</v>
      </c>
      <c r="Z49" s="41">
        <f ca="1">NPV($D$45,AA48:$AG$48)</f>
        <v>0</v>
      </c>
      <c r="AA49" s="41">
        <f ca="1">NPV($D$45,AB48:$AG$48)</f>
        <v>0</v>
      </c>
      <c r="AB49" s="41">
        <f ca="1">NPV($D$45,AC48:$AG$48)</f>
        <v>0</v>
      </c>
      <c r="AC49" s="41">
        <f ca="1">NPV($D$45,AD48:$AG$48)</f>
        <v>0</v>
      </c>
      <c r="AD49" s="41">
        <f ca="1">NPV($D$45,AE48:$AG$48)</f>
        <v>0</v>
      </c>
      <c r="AE49" s="41">
        <f ca="1">NPV($D$45,AF48:$AG$48)</f>
        <v>0</v>
      </c>
      <c r="AF49" s="41">
        <f ca="1">NPV($D$45,AG48:$AG$48)</f>
        <v>0</v>
      </c>
      <c r="AG49" s="41">
        <f ca="1">NPV($D$45,$AG48:AH$48)</f>
        <v>0</v>
      </c>
      <c r="AH49" s="41">
        <f ca="1">NPV($D$45,$AG48:AI$48)</f>
        <v>0</v>
      </c>
      <c r="AI49" s="41">
        <f ca="1">NPV($D$45,$AG48:AJ$48)</f>
        <v>0</v>
      </c>
      <c r="AJ49" s="41">
        <f ca="1">NPV($D$45,$AG48:AK$48)</f>
        <v>0</v>
      </c>
      <c r="AK49" s="41">
        <f ca="1">NPV($D$45,$AG48:AL$48)</f>
        <v>0</v>
      </c>
      <c r="AL49" s="41">
        <f ca="1">NPV($D$45,$AG48:AM$48)</f>
        <v>0</v>
      </c>
      <c r="AM49" s="41">
        <f ca="1">NPV($D$45,$AG48:AN$48)</f>
        <v>0</v>
      </c>
      <c r="AN49" s="41">
        <f ca="1">NPV($D$45,$AG48:AO$48)</f>
        <v>0</v>
      </c>
      <c r="AO49" s="41">
        <f ca="1">NPV($D$45,$AG48:AP$48)</f>
        <v>0</v>
      </c>
      <c r="AP49" s="41">
        <f ca="1">NPV($D$45,$AG48:AQ$48)</f>
        <v>0</v>
      </c>
      <c r="AQ49" s="41">
        <f ca="1">NPV($D$45,$AG48:AR$48)</f>
        <v>0</v>
      </c>
      <c r="AR49" s="41">
        <f ca="1">NPV($D$45,$AG48:AS$48)</f>
        <v>0</v>
      </c>
      <c r="AS49" s="41">
        <f ca="1">NPV($D$45,$AG48:AT$48)</f>
        <v>0</v>
      </c>
      <c r="AT49" s="41">
        <f ca="1">NPV($D$45,$AG48:AU$48)</f>
        <v>0</v>
      </c>
      <c r="AU49" s="41">
        <f ca="1">NPV($D$45,$AG48:AV$48)</f>
        <v>0</v>
      </c>
      <c r="AV49" s="41">
        <f ca="1">NPV($D$45,$AG48:AW$48)</f>
        <v>0</v>
      </c>
      <c r="AW49" s="41">
        <f ca="1">NPV($D$45,$AG48:AX$48)</f>
        <v>0</v>
      </c>
      <c r="AX49" s="1054"/>
    </row>
    <row r="50" spans="1:51" s="1663" customFormat="1">
      <c r="B50" s="1691" t="s">
        <v>524</v>
      </c>
      <c r="C50" s="1692" t="str">
        <f>$C$31</f>
        <v>US$</v>
      </c>
      <c r="D50" s="1691"/>
      <c r="E50" s="1691"/>
      <c r="F50" s="1691"/>
      <c r="G50" s="1691"/>
      <c r="H50" s="1691"/>
      <c r="I50" s="1693">
        <f ca="1">SUM(BS!I15:I17)*I29</f>
        <v>0</v>
      </c>
      <c r="J50" s="1693">
        <f ca="1">SUM(BS!J15:J17)*J29</f>
        <v>0</v>
      </c>
      <c r="K50" s="1693">
        <f ca="1">SUM(BS!K15:K17)*K29</f>
        <v>0</v>
      </c>
      <c r="L50" s="1693">
        <f ca="1">SUM(BS!L15:L17)*L29</f>
        <v>878476565.64138186</v>
      </c>
      <c r="M50" s="1693">
        <f ca="1">SUM(BS!M15:M17)*M29</f>
        <v>1288299890.1069081</v>
      </c>
      <c r="N50" s="1693">
        <f ca="1">SUM(BS!N15:N17)*N29</f>
        <v>1637966395.679565</v>
      </c>
      <c r="O50" s="1693">
        <f ca="1">SUM(BS!O15:O17)*O29</f>
        <v>2040726817.8025031</v>
      </c>
      <c r="P50" s="1693">
        <f ca="1">SUM(BS!P15:P17)*P29</f>
        <v>2485380857.1483808</v>
      </c>
      <c r="Q50" s="1693">
        <f ca="1">SUM(BS!Q15:Q17)*Q29</f>
        <v>2965996236.233273</v>
      </c>
      <c r="R50" s="1693">
        <f ca="1">SUM(BS!R15:R17)*R29</f>
        <v>3260022660.1744308</v>
      </c>
      <c r="S50" s="1693">
        <f ca="1">SUM(BS!S15:S17)*S29</f>
        <v>0</v>
      </c>
      <c r="T50" s="1693">
        <f ca="1">SUM(BS!T15:T17)*T29</f>
        <v>0</v>
      </c>
      <c r="U50" s="1693">
        <f ca="1">SUM(BS!U15:U17)*U29</f>
        <v>0</v>
      </c>
      <c r="V50" s="1693">
        <f ca="1">SUM(BS!V15:V17)*V29</f>
        <v>0</v>
      </c>
      <c r="W50" s="1693">
        <f ca="1">SUM(BS!W15:W17)*W29</f>
        <v>0</v>
      </c>
      <c r="X50" s="1693">
        <f ca="1">SUM(BS!X15:X17)*X29</f>
        <v>0</v>
      </c>
      <c r="Y50" s="1693">
        <f ca="1">SUM(BS!Y15:Y17)*Y29</f>
        <v>0</v>
      </c>
      <c r="Z50" s="1693">
        <f ca="1">SUM(BS!Z15:Z17)*Z29</f>
        <v>0</v>
      </c>
      <c r="AA50" s="1693">
        <f ca="1">SUM(BS!AA15:AA17)*AA29</f>
        <v>0</v>
      </c>
      <c r="AB50" s="1693">
        <f ca="1">SUM(BS!AB15:AB17)*AB29</f>
        <v>0</v>
      </c>
      <c r="AC50" s="1693">
        <f ca="1">SUM(BS!AC15:AC17)*AC29</f>
        <v>0</v>
      </c>
      <c r="AD50" s="1693">
        <f ca="1">SUM(BS!AD15:AD17)*AD29</f>
        <v>0</v>
      </c>
      <c r="AE50" s="1693">
        <f ca="1">SUM(BS!AE15:AE17)*AE29</f>
        <v>0</v>
      </c>
      <c r="AF50" s="1693">
        <v>0</v>
      </c>
      <c r="AG50" s="1693">
        <v>0</v>
      </c>
      <c r="AH50" s="1693">
        <v>0</v>
      </c>
      <c r="AI50" s="1693">
        <v>0</v>
      </c>
      <c r="AJ50" s="1693">
        <v>0</v>
      </c>
      <c r="AK50" s="1693">
        <v>0</v>
      </c>
      <c r="AL50" s="1693">
        <v>0</v>
      </c>
      <c r="AM50" s="1693">
        <v>0</v>
      </c>
      <c r="AN50" s="1693">
        <v>0</v>
      </c>
      <c r="AO50" s="1693">
        <v>0</v>
      </c>
      <c r="AP50" s="1693">
        <v>0</v>
      </c>
      <c r="AQ50" s="1693">
        <v>0</v>
      </c>
      <c r="AR50" s="1693">
        <v>0</v>
      </c>
      <c r="AS50" s="1693">
        <v>0</v>
      </c>
      <c r="AT50" s="1693">
        <v>0</v>
      </c>
      <c r="AU50" s="1693">
        <v>0</v>
      </c>
      <c r="AV50" s="1693">
        <v>0</v>
      </c>
      <c r="AW50" s="1693">
        <v>0</v>
      </c>
      <c r="AX50" s="1693"/>
    </row>
    <row r="51" spans="1:51">
      <c r="B51" s="2" t="s">
        <v>525</v>
      </c>
      <c r="C51" s="144" t="str">
        <f>$C$31</f>
        <v>US$</v>
      </c>
      <c r="I51" s="42">
        <f ca="1">SUM(I48:I50)</f>
        <v>5861055306.8510189</v>
      </c>
      <c r="J51" s="42">
        <f t="shared" ref="J51:AI51" ca="1" si="6">SUM(J48:J50)</f>
        <v>6450677470.720232</v>
      </c>
      <c r="K51" s="42">
        <f t="shared" ca="1" si="6"/>
        <v>7099615624.2746878</v>
      </c>
      <c r="L51" s="42">
        <f t="shared" ca="1" si="6"/>
        <v>8692313521.7181034</v>
      </c>
      <c r="M51" s="42">
        <f t="shared" ca="1" si="6"/>
        <v>8662818253.0751801</v>
      </c>
      <c r="N51" s="42">
        <f t="shared" ca="1" si="6"/>
        <v>8315498744.1412964</v>
      </c>
      <c r="O51" s="42">
        <f t="shared" ca="1" si="6"/>
        <v>7823122571.6046486</v>
      </c>
      <c r="P51" s="42">
        <f t="shared" ca="1" si="6"/>
        <v>7168580571.8448353</v>
      </c>
      <c r="Q51" s="42">
        <f t="shared" ca="1" si="6"/>
        <v>6336496739.2443256</v>
      </c>
      <c r="R51" s="42">
        <f t="shared" ca="1" si="6"/>
        <v>5079866855.1197672</v>
      </c>
      <c r="S51" s="42">
        <f t="shared" ca="1" si="6"/>
        <v>0</v>
      </c>
      <c r="T51" s="42">
        <f t="shared" ca="1" si="6"/>
        <v>0</v>
      </c>
      <c r="U51" s="42">
        <f t="shared" ca="1" si="6"/>
        <v>0</v>
      </c>
      <c r="V51" s="42">
        <f t="shared" ca="1" si="6"/>
        <v>0</v>
      </c>
      <c r="W51" s="42">
        <f t="shared" ca="1" si="6"/>
        <v>0</v>
      </c>
      <c r="X51" s="42">
        <f t="shared" ca="1" si="6"/>
        <v>0</v>
      </c>
      <c r="Y51" s="42">
        <f t="shared" ca="1" si="6"/>
        <v>0</v>
      </c>
      <c r="Z51" s="42">
        <f t="shared" ca="1" si="6"/>
        <v>0</v>
      </c>
      <c r="AA51" s="42">
        <f t="shared" ca="1" si="6"/>
        <v>0</v>
      </c>
      <c r="AB51" s="42">
        <f t="shared" ca="1" si="6"/>
        <v>0</v>
      </c>
      <c r="AC51" s="42">
        <f t="shared" ca="1" si="6"/>
        <v>0</v>
      </c>
      <c r="AD51" s="42">
        <f t="shared" ca="1" si="6"/>
        <v>0</v>
      </c>
      <c r="AE51" s="42">
        <f t="shared" ca="1" si="6"/>
        <v>0</v>
      </c>
      <c r="AF51" s="42">
        <f t="shared" ca="1" si="6"/>
        <v>0</v>
      </c>
      <c r="AG51" s="42">
        <f t="shared" ca="1" si="6"/>
        <v>0</v>
      </c>
      <c r="AH51" s="42">
        <f t="shared" ca="1" si="6"/>
        <v>0</v>
      </c>
      <c r="AI51" s="42">
        <f t="shared" ca="1" si="6"/>
        <v>0</v>
      </c>
    </row>
    <row r="52" spans="1:51">
      <c r="C52" s="15"/>
    </row>
    <row r="53" spans="1:51">
      <c r="B53" s="29" t="s">
        <v>526</v>
      </c>
      <c r="C53" s="15"/>
    </row>
    <row r="54" spans="1:51">
      <c r="B54" s="2" t="s">
        <v>522</v>
      </c>
      <c r="C54" s="144" t="str">
        <f>$C$31</f>
        <v>US$</v>
      </c>
      <c r="D54" s="41">
        <f ca="1">SUM(I54:AI54)</f>
        <v>9287636303.9849777</v>
      </c>
      <c r="I54" s="41">
        <f ca="1">I32*I29</f>
        <v>0</v>
      </c>
      <c r="J54" s="41">
        <f t="shared" ref="J54:AI54" ca="1" si="7">J32*J29</f>
        <v>0</v>
      </c>
      <c r="K54" s="41">
        <f t="shared" ca="1" si="7"/>
        <v>0</v>
      </c>
      <c r="L54" s="41">
        <f t="shared" ca="1" si="7"/>
        <v>1113384145.8202512</v>
      </c>
      <c r="M54" s="41">
        <f t="shared" ca="1" si="7"/>
        <v>1307343777.7768016</v>
      </c>
      <c r="N54" s="41">
        <f t="shared" ca="1" si="7"/>
        <v>1264692907.9545906</v>
      </c>
      <c r="O54" s="41">
        <f t="shared" ca="1" si="7"/>
        <v>1349315140.1386206</v>
      </c>
      <c r="P54" s="41">
        <f t="shared" ca="1" si="7"/>
        <v>1425359922.7759254</v>
      </c>
      <c r="Q54" s="41">
        <f t="shared" ca="1" si="7"/>
        <v>1503447690.4102097</v>
      </c>
      <c r="R54" s="41">
        <f t="shared" ca="1" si="7"/>
        <v>1324092719.1085794</v>
      </c>
      <c r="S54" s="41">
        <f t="shared" ca="1" si="7"/>
        <v>0</v>
      </c>
      <c r="T54" s="41">
        <f t="shared" ca="1" si="7"/>
        <v>0</v>
      </c>
      <c r="U54" s="41">
        <f t="shared" ca="1" si="7"/>
        <v>0</v>
      </c>
      <c r="V54" s="41">
        <f t="shared" ca="1" si="7"/>
        <v>0</v>
      </c>
      <c r="W54" s="41">
        <f t="shared" ca="1" si="7"/>
        <v>0</v>
      </c>
      <c r="X54" s="41">
        <f t="shared" ca="1" si="7"/>
        <v>0</v>
      </c>
      <c r="Y54" s="41">
        <f t="shared" ca="1" si="7"/>
        <v>0</v>
      </c>
      <c r="Z54" s="41">
        <f t="shared" ca="1" si="7"/>
        <v>0</v>
      </c>
      <c r="AA54" s="41">
        <f t="shared" ca="1" si="7"/>
        <v>0</v>
      </c>
      <c r="AB54" s="41">
        <f t="shared" ca="1" si="7"/>
        <v>0</v>
      </c>
      <c r="AC54" s="41">
        <f t="shared" ca="1" si="7"/>
        <v>0</v>
      </c>
      <c r="AD54" s="41">
        <f t="shared" ca="1" si="7"/>
        <v>0</v>
      </c>
      <c r="AE54" s="41">
        <f t="shared" ca="1" si="7"/>
        <v>0</v>
      </c>
      <c r="AF54" s="41">
        <f t="shared" ca="1" si="7"/>
        <v>0</v>
      </c>
      <c r="AG54" s="41">
        <f t="shared" ca="1" si="7"/>
        <v>0</v>
      </c>
      <c r="AH54" s="41">
        <f t="shared" ca="1" si="7"/>
        <v>0</v>
      </c>
      <c r="AI54" s="41">
        <f t="shared" ca="1" si="7"/>
        <v>0</v>
      </c>
      <c r="AJ54" s="41">
        <f t="shared" ref="AJ54:AW54" ca="1" si="8">AJ32*AJ29</f>
        <v>0</v>
      </c>
      <c r="AK54" s="41">
        <f t="shared" ca="1" si="8"/>
        <v>0</v>
      </c>
      <c r="AL54" s="41">
        <f t="shared" ca="1" si="8"/>
        <v>0</v>
      </c>
      <c r="AM54" s="41">
        <f t="shared" si="8"/>
        <v>0</v>
      </c>
      <c r="AN54" s="41">
        <f t="shared" si="8"/>
        <v>0</v>
      </c>
      <c r="AO54" s="41">
        <f t="shared" si="8"/>
        <v>0</v>
      </c>
      <c r="AP54" s="41">
        <f t="shared" si="8"/>
        <v>0</v>
      </c>
      <c r="AQ54" s="41">
        <f t="shared" si="8"/>
        <v>0</v>
      </c>
      <c r="AR54" s="41">
        <f t="shared" si="8"/>
        <v>0</v>
      </c>
      <c r="AS54" s="41">
        <f t="shared" si="8"/>
        <v>0</v>
      </c>
      <c r="AT54" s="41">
        <f t="shared" si="8"/>
        <v>0</v>
      </c>
      <c r="AU54" s="41">
        <f t="shared" si="8"/>
        <v>0</v>
      </c>
      <c r="AV54" s="41">
        <f t="shared" si="8"/>
        <v>0</v>
      </c>
      <c r="AW54" s="41">
        <f t="shared" si="8"/>
        <v>0</v>
      </c>
      <c r="AX54" s="1054"/>
    </row>
    <row r="55" spans="1:51">
      <c r="B55" s="2" t="s">
        <v>523</v>
      </c>
      <c r="C55" s="144" t="str">
        <f>$C$31</f>
        <v>US$</v>
      </c>
      <c r="I55" s="41">
        <f ca="1">NPV($D$45,J54:$AG$54)</f>
        <v>5254184575.0369549</v>
      </c>
      <c r="J55" s="41">
        <f ca="1">NPV($D$45,K54:$AG$54)</f>
        <v>5782755543.2856722</v>
      </c>
      <c r="K55" s="41">
        <f ca="1">NPV($D$45,L54:$AG$54)</f>
        <v>6364500750.9402113</v>
      </c>
      <c r="L55" s="41">
        <f ca="1">NPV($D$45,M54:$AG$54)</f>
        <v>5891385380.6645451</v>
      </c>
      <c r="M55" s="41">
        <f ca="1">NPV($D$45,N54:$AG$54)</f>
        <v>5176714972.1825962</v>
      </c>
      <c r="N55" s="41">
        <f ca="1">NPV($D$45,O54:$AG$54)</f>
        <v>4432799590.429575</v>
      </c>
      <c r="O55" s="41">
        <f ca="1">NPV($D$45,P54:$AG$54)</f>
        <v>3529424089.0881705</v>
      </c>
      <c r="P55" s="41">
        <f ca="1">NPV($D$45,Q54:$AG$54)</f>
        <v>2459124229.6745152</v>
      </c>
      <c r="Q55" s="41">
        <f ca="1">NPV($D$45,R54:$AG$54)</f>
        <v>1203064436.7695615</v>
      </c>
      <c r="R55" s="41">
        <f ca="1">NPV($D$45,S54:$AG$54)</f>
        <v>0</v>
      </c>
      <c r="S55" s="41">
        <f ca="1">NPV($D$45,T54:$AG$54)</f>
        <v>0</v>
      </c>
      <c r="T55" s="41">
        <f ca="1">NPV($D$45,U54:$AG$54)</f>
        <v>0</v>
      </c>
      <c r="U55" s="41">
        <f ca="1">NPV($D$45,V54:$AG$54)</f>
        <v>0</v>
      </c>
      <c r="V55" s="41">
        <f ca="1">NPV($D$45,W54:$AG$54)</f>
        <v>0</v>
      </c>
      <c r="W55" s="41">
        <f ca="1">NPV($D$45,X54:$AG$54)</f>
        <v>0</v>
      </c>
      <c r="X55" s="41">
        <f ca="1">NPV($D$45,Y54:$AG$54)</f>
        <v>0</v>
      </c>
      <c r="Y55" s="41">
        <f ca="1">NPV($D$45,Z54:$AG$54)</f>
        <v>0</v>
      </c>
      <c r="Z55" s="41">
        <f ca="1">NPV($D$45,AA54:$AG$54)</f>
        <v>0</v>
      </c>
      <c r="AA55" s="41">
        <f ca="1">NPV($D$45,AB54:$AG$54)</f>
        <v>0</v>
      </c>
      <c r="AB55" s="41">
        <f ca="1">NPV($D$45,AC54:$AG$54)</f>
        <v>0</v>
      </c>
      <c r="AC55" s="41">
        <f ca="1">NPV($D$45,AD54:$AG$54)</f>
        <v>0</v>
      </c>
      <c r="AD55" s="41">
        <f ca="1">NPV($D$45,AE54:$AG$54)</f>
        <v>0</v>
      </c>
      <c r="AE55" s="41">
        <f ca="1">NPV($D$45,AF54:$AG$54)</f>
        <v>0</v>
      </c>
      <c r="AF55" s="41">
        <f ca="1">NPV($D$45,AG54:$AG$54)</f>
        <v>0</v>
      </c>
      <c r="AG55" s="41">
        <f ca="1">NPV($D$45,$AG54:AH$54)</f>
        <v>0</v>
      </c>
      <c r="AH55" s="41">
        <f ca="1">NPV($D$45,$AG54:AI$54)</f>
        <v>0</v>
      </c>
      <c r="AI55" s="41">
        <f ca="1">NPV($D$45,$AG54:AJ$54)</f>
        <v>0</v>
      </c>
      <c r="AJ55" s="41">
        <f ca="1">NPV($D$45,$AG54:AK$54)</f>
        <v>0</v>
      </c>
      <c r="AK55" s="41">
        <f ca="1">NPV($D$45,$AG54:AL$54)</f>
        <v>0</v>
      </c>
      <c r="AL55" s="41">
        <f ca="1">NPV($D$45,$AG54:AM$54)</f>
        <v>0</v>
      </c>
      <c r="AM55" s="41">
        <f ca="1">NPV($D$45,$AG54:AN$54)</f>
        <v>0</v>
      </c>
      <c r="AN55" s="41">
        <f ca="1">NPV($D$45,$AG54:AO$54)</f>
        <v>0</v>
      </c>
      <c r="AO55" s="41">
        <f ca="1">NPV($D$45,$AG54:AP$54)</f>
        <v>0</v>
      </c>
      <c r="AP55" s="41">
        <f ca="1">NPV($D$45,$AG54:AQ$54)</f>
        <v>0</v>
      </c>
      <c r="AQ55" s="41">
        <f ca="1">NPV($D$45,$AG54:AR$54)</f>
        <v>0</v>
      </c>
      <c r="AR55" s="41">
        <f ca="1">NPV($D$45,$AG54:AS$54)</f>
        <v>0</v>
      </c>
      <c r="AS55" s="41">
        <f ca="1">NPV($D$45,$AG54:AT$54)</f>
        <v>0</v>
      </c>
      <c r="AT55" s="41">
        <f ca="1">NPV($D$45,$AG54:AU$54)</f>
        <v>0</v>
      </c>
      <c r="AU55" s="41">
        <f ca="1">NPV($D$45,$AG54:AV$54)</f>
        <v>0</v>
      </c>
      <c r="AV55" s="41">
        <f ca="1">NPV($D$45,$AG54:AW$54)</f>
        <v>0</v>
      </c>
      <c r="AW55" s="41">
        <f ca="1">NPV($D$45,$AG54:AX$54)</f>
        <v>0</v>
      </c>
      <c r="AX55" s="1054"/>
    </row>
    <row r="56" spans="1:51">
      <c r="A56" s="12"/>
      <c r="B56" s="27" t="s">
        <v>524</v>
      </c>
      <c r="C56" s="218" t="str">
        <f>$C$31</f>
        <v>US$</v>
      </c>
      <c r="D56" s="27"/>
      <c r="E56" s="27"/>
      <c r="F56" s="27"/>
      <c r="G56" s="27"/>
      <c r="H56" s="27"/>
      <c r="I56" s="108">
        <f ca="1">SUM(BS!I15:I17)*I29</f>
        <v>0</v>
      </c>
      <c r="J56" s="108">
        <f ca="1">SUM(BS!J15:J17)*J29</f>
        <v>0</v>
      </c>
      <c r="K56" s="108">
        <f ca="1">SUM(BS!K15:K17)*K29</f>
        <v>0</v>
      </c>
      <c r="L56" s="108">
        <f ca="1">SUM(BS!L15:L17)*L29</f>
        <v>878476565.64138186</v>
      </c>
      <c r="M56" s="108">
        <f ca="1">SUM(BS!M15:M17)*M29</f>
        <v>1288299890.1069081</v>
      </c>
      <c r="N56" s="108">
        <f ca="1">SUM(BS!N15:N17)*N29</f>
        <v>1637966395.679565</v>
      </c>
      <c r="O56" s="108">
        <f ca="1">SUM(BS!O15:O17)*O29</f>
        <v>2040726817.8025031</v>
      </c>
      <c r="P56" s="108">
        <f ca="1">SUM(BS!P15:P17)*P29</f>
        <v>2485380857.1483808</v>
      </c>
      <c r="Q56" s="108">
        <f ca="1">SUM(BS!Q15:Q17)*Q29</f>
        <v>2965996236.233273</v>
      </c>
      <c r="R56" s="108">
        <f ca="1">SUM(BS!R15:R17)*R29</f>
        <v>3260022660.1744308</v>
      </c>
      <c r="S56" s="108">
        <f ca="1">SUM(BS!S15:S17)*S29</f>
        <v>0</v>
      </c>
      <c r="T56" s="108">
        <f ca="1">SUM(BS!T15:T17)*T29</f>
        <v>0</v>
      </c>
      <c r="U56" s="108">
        <f ca="1">SUM(BS!U15:U17)*U29</f>
        <v>0</v>
      </c>
      <c r="V56" s="108">
        <f ca="1">SUM(BS!V15:V17)*V29</f>
        <v>0</v>
      </c>
      <c r="W56" s="108">
        <f ca="1">SUM(BS!W15:W17)*W29</f>
        <v>0</v>
      </c>
      <c r="X56" s="108">
        <f ca="1">SUM(BS!X15:X17)*X29</f>
        <v>0</v>
      </c>
      <c r="Y56" s="108">
        <f ca="1">SUM(BS!Y15:Y17)*Y29</f>
        <v>0</v>
      </c>
      <c r="Z56" s="108">
        <f ca="1">SUM(BS!Z15:Z17)*Z29</f>
        <v>0</v>
      </c>
      <c r="AA56" s="108">
        <f ca="1">SUM(BS!AA15:AA17)*AA29</f>
        <v>0</v>
      </c>
      <c r="AB56" s="108">
        <f ca="1">SUM(BS!AB15:AB17)*AB29</f>
        <v>0</v>
      </c>
      <c r="AC56" s="108">
        <f ca="1">SUM(BS!AC15:AC17)*AC29</f>
        <v>0</v>
      </c>
      <c r="AD56" s="108">
        <f ca="1">SUM(BS!AD15:AD17)*AD29</f>
        <v>0</v>
      </c>
      <c r="AE56" s="108">
        <f ca="1">SUM(BS!AE15:AE17)*AE29</f>
        <v>0</v>
      </c>
      <c r="AF56" s="108">
        <f ca="1">SUM(BS!AF15:AF17)*AF29</f>
        <v>0</v>
      </c>
      <c r="AG56" s="108">
        <f ca="1">SUM(BS!AG15:AG17)*AG29</f>
        <v>0</v>
      </c>
      <c r="AH56" s="108">
        <f ca="1">SUM(BS!AH15:AH17)*AH29</f>
        <v>0</v>
      </c>
      <c r="AI56" s="108">
        <f ca="1">SUM(BS!AI15:AI17)*AI29</f>
        <v>0</v>
      </c>
      <c r="AJ56" s="108">
        <f ca="1">SUM(BS!AJ15:AJ17)*AJ29</f>
        <v>0</v>
      </c>
      <c r="AK56" s="108">
        <f ca="1">SUM(BS!AK15:AK17)*AK29</f>
        <v>0</v>
      </c>
      <c r="AL56" s="108">
        <f ca="1">SUM(BS!AL15:AL17)*AL29</f>
        <v>0</v>
      </c>
      <c r="AM56" s="108">
        <f>SUM(BS!AM15:AM17)*AM29</f>
        <v>0</v>
      </c>
      <c r="AN56" s="108">
        <f>SUM(BS!AN15:AN17)*AN29</f>
        <v>0</v>
      </c>
      <c r="AO56" s="108">
        <f>SUM(BS!AO15:AO17)*AO29</f>
        <v>0</v>
      </c>
      <c r="AP56" s="108">
        <f>SUM(BS!AP15:AP17)*AP29</f>
        <v>0</v>
      </c>
      <c r="AQ56" s="108">
        <f>SUM(BS!AQ15:AQ17)*AQ29</f>
        <v>0</v>
      </c>
      <c r="AR56" s="108">
        <f>SUM(BS!AR15:AR17)*AR29</f>
        <v>0</v>
      </c>
      <c r="AS56" s="108">
        <f>SUM(BS!AS15:AS17)*AS29</f>
        <v>0</v>
      </c>
      <c r="AT56" s="108">
        <f>SUM(BS!AT15:AT17)*AT29</f>
        <v>0</v>
      </c>
      <c r="AU56" s="108">
        <f>SUM(BS!AU15:AU17)*AU29</f>
        <v>0</v>
      </c>
      <c r="AV56" s="108">
        <f>SUM(BS!AV15:AV17)*AV29</f>
        <v>0</v>
      </c>
      <c r="AW56" s="108">
        <f>SUM(BS!AW15:AW17)*AW29</f>
        <v>0</v>
      </c>
      <c r="AX56" s="1059"/>
    </row>
    <row r="57" spans="1:51">
      <c r="B57" s="2" t="s">
        <v>525</v>
      </c>
      <c r="C57" s="144" t="str">
        <f>$C$31</f>
        <v>US$</v>
      </c>
      <c r="I57" s="42">
        <f ca="1">SUM(I54:I56)</f>
        <v>5254184575.0369549</v>
      </c>
      <c r="J57" s="42">
        <f t="shared" ref="J57:AI57" ca="1" si="9">SUM(J54:J56)</f>
        <v>5782755543.2856722</v>
      </c>
      <c r="K57" s="42">
        <f t="shared" ca="1" si="9"/>
        <v>6364500750.9402113</v>
      </c>
      <c r="L57" s="42">
        <f t="shared" ca="1" si="9"/>
        <v>7883246092.1261787</v>
      </c>
      <c r="M57" s="42">
        <f t="shared" ca="1" si="9"/>
        <v>7772358640.0663061</v>
      </c>
      <c r="N57" s="42">
        <f t="shared" ca="1" si="9"/>
        <v>7335458894.0637302</v>
      </c>
      <c r="O57" s="42">
        <f t="shared" ca="1" si="9"/>
        <v>6919466047.029295</v>
      </c>
      <c r="P57" s="42">
        <f t="shared" ca="1" si="9"/>
        <v>6369865009.5988216</v>
      </c>
      <c r="Q57" s="42">
        <f t="shared" ca="1" si="9"/>
        <v>5672508363.413044</v>
      </c>
      <c r="R57" s="42">
        <f t="shared" ca="1" si="9"/>
        <v>4584115379.2830105</v>
      </c>
      <c r="S57" s="42">
        <f t="shared" ca="1" si="9"/>
        <v>0</v>
      </c>
      <c r="T57" s="42">
        <f t="shared" ca="1" si="9"/>
        <v>0</v>
      </c>
      <c r="U57" s="42">
        <f t="shared" ca="1" si="9"/>
        <v>0</v>
      </c>
      <c r="V57" s="42">
        <f t="shared" ca="1" si="9"/>
        <v>0</v>
      </c>
      <c r="W57" s="42">
        <f t="shared" ca="1" si="9"/>
        <v>0</v>
      </c>
      <c r="X57" s="42">
        <f t="shared" ca="1" si="9"/>
        <v>0</v>
      </c>
      <c r="Y57" s="42">
        <f t="shared" ca="1" si="9"/>
        <v>0</v>
      </c>
      <c r="Z57" s="42">
        <f t="shared" ca="1" si="9"/>
        <v>0</v>
      </c>
      <c r="AA57" s="42">
        <f t="shared" ca="1" si="9"/>
        <v>0</v>
      </c>
      <c r="AB57" s="42">
        <f t="shared" ca="1" si="9"/>
        <v>0</v>
      </c>
      <c r="AC57" s="42">
        <f t="shared" ca="1" si="9"/>
        <v>0</v>
      </c>
      <c r="AD57" s="42">
        <f t="shared" ca="1" si="9"/>
        <v>0</v>
      </c>
      <c r="AE57" s="42">
        <f t="shared" ca="1" si="9"/>
        <v>0</v>
      </c>
      <c r="AF57" s="42">
        <f t="shared" ca="1" si="9"/>
        <v>0</v>
      </c>
      <c r="AG57" s="42">
        <f t="shared" ca="1" si="9"/>
        <v>0</v>
      </c>
      <c r="AH57" s="42">
        <f t="shared" ca="1" si="9"/>
        <v>0</v>
      </c>
      <c r="AI57" s="42">
        <f t="shared" ca="1" si="9"/>
        <v>0</v>
      </c>
    </row>
    <row r="58" spans="1:51">
      <c r="C58" s="15"/>
    </row>
    <row r="59" spans="1:51">
      <c r="B59" s="2" t="s">
        <v>527</v>
      </c>
      <c r="C59" s="144" t="str">
        <f>$C$31</f>
        <v>US$</v>
      </c>
      <c r="I59" s="41">
        <f ca="1">'Debt Schedule'!I53</f>
        <v>0</v>
      </c>
      <c r="J59" s="41">
        <f ca="1">'Debt Schedule'!J53</f>
        <v>1895542304.3210859</v>
      </c>
      <c r="K59" s="41">
        <f ca="1">'Debt Schedule'!K53</f>
        <v>2898315764.9601583</v>
      </c>
      <c r="L59" s="41">
        <f ca="1">'Debt Schedule'!L53</f>
        <v>2484270655.6801357</v>
      </c>
      <c r="M59" s="41">
        <f ca="1">'Debt Schedule'!M53</f>
        <v>2070225546.4001131</v>
      </c>
      <c r="N59" s="41">
        <f ca="1">'Debt Schedule'!N53</f>
        <v>1656180437.1200905</v>
      </c>
      <c r="O59" s="41">
        <f ca="1">'Debt Schedule'!O53</f>
        <v>1242135327.8400679</v>
      </c>
      <c r="P59" s="41">
        <f ca="1">'Debt Schedule'!P53</f>
        <v>828090218.56004524</v>
      </c>
      <c r="Q59" s="41">
        <f ca="1">'Debt Schedule'!Q53</f>
        <v>414045109.28002262</v>
      </c>
      <c r="R59" s="41">
        <f ca="1">'Debt Schedule'!R53</f>
        <v>0</v>
      </c>
      <c r="S59" s="41">
        <f ca="1">'Debt Schedule'!S53</f>
        <v>0</v>
      </c>
      <c r="T59" s="41">
        <f ca="1">'Debt Schedule'!T53</f>
        <v>0</v>
      </c>
      <c r="U59" s="41">
        <f ca="1">'Debt Schedule'!U53</f>
        <v>0</v>
      </c>
      <c r="V59" s="41">
        <f ca="1">'Debt Schedule'!V53</f>
        <v>0</v>
      </c>
      <c r="W59" s="41">
        <f ca="1">'Debt Schedule'!W53</f>
        <v>0</v>
      </c>
      <c r="X59" s="41">
        <f ca="1">'Debt Schedule'!X53</f>
        <v>0</v>
      </c>
      <c r="Y59" s="41">
        <f ca="1">'Debt Schedule'!Y53</f>
        <v>0</v>
      </c>
      <c r="Z59" s="41">
        <f ca="1">'Debt Schedule'!Z53</f>
        <v>0</v>
      </c>
      <c r="AA59" s="41">
        <f ca="1">'Debt Schedule'!AA53</f>
        <v>0</v>
      </c>
      <c r="AB59" s="41">
        <f ca="1">'Debt Schedule'!AB53</f>
        <v>0</v>
      </c>
      <c r="AC59" s="41">
        <f ca="1">'Debt Schedule'!AC53</f>
        <v>0</v>
      </c>
      <c r="AD59" s="41">
        <f ca="1">'Debt Schedule'!AD53</f>
        <v>0</v>
      </c>
      <c r="AE59" s="41">
        <f ca="1">'Debt Schedule'!AE53</f>
        <v>0</v>
      </c>
      <c r="AF59" s="41">
        <f ca="1">'Debt Schedule'!AF53</f>
        <v>0</v>
      </c>
      <c r="AG59" s="41">
        <f ca="1">'Debt Schedule'!AG53</f>
        <v>0</v>
      </c>
      <c r="AH59" s="41">
        <f ca="1">'Debt Schedule'!AH53</f>
        <v>0</v>
      </c>
      <c r="AI59" s="41">
        <f ca="1">'Debt Schedule'!AI54</f>
        <v>0</v>
      </c>
      <c r="AJ59" s="41">
        <f ca="1">'Debt Schedule'!AJ54</f>
        <v>0</v>
      </c>
      <c r="AK59" s="41">
        <f ca="1">'Debt Schedule'!AK54</f>
        <v>0</v>
      </c>
      <c r="AL59" s="41">
        <f ca="1">'Debt Schedule'!AL54</f>
        <v>0</v>
      </c>
      <c r="AM59" s="41">
        <f ca="1">'Debt Schedule'!AM54</f>
        <v>0</v>
      </c>
      <c r="AN59" s="41">
        <f ca="1">'Debt Schedule'!AN54</f>
        <v>0</v>
      </c>
      <c r="AO59" s="41">
        <f ca="1">'Debt Schedule'!AO54</f>
        <v>0</v>
      </c>
      <c r="AP59" s="41">
        <f ca="1">'Debt Schedule'!AP54</f>
        <v>0</v>
      </c>
      <c r="AQ59" s="41">
        <f ca="1">'Debt Schedule'!AQ54</f>
        <v>0</v>
      </c>
      <c r="AR59" s="41">
        <f ca="1">'Debt Schedule'!AR54</f>
        <v>0</v>
      </c>
      <c r="AS59" s="41">
        <f ca="1">'Debt Schedule'!AS54</f>
        <v>0</v>
      </c>
      <c r="AT59" s="41">
        <f ca="1">'Debt Schedule'!AT54</f>
        <v>0</v>
      </c>
      <c r="AU59" s="41">
        <f ca="1">'Debt Schedule'!AU54</f>
        <v>0</v>
      </c>
      <c r="AV59" s="41">
        <f ca="1">'Debt Schedule'!AV54</f>
        <v>0</v>
      </c>
      <c r="AW59" s="41">
        <f ca="1">'Debt Schedule'!AW54</f>
        <v>0</v>
      </c>
      <c r="AX59" s="1054"/>
    </row>
    <row r="60" spans="1:51">
      <c r="C60" s="144"/>
      <c r="I60" s="41"/>
      <c r="J60" s="41"/>
      <c r="K60" s="41"/>
      <c r="L60" s="41"/>
      <c r="M60" s="41"/>
      <c r="N60" s="41"/>
      <c r="O60" s="41"/>
      <c r="P60" s="41"/>
      <c r="Q60" s="41"/>
      <c r="R60" s="41"/>
      <c r="S60" s="41"/>
      <c r="T60" s="41"/>
      <c r="U60" s="41">
        <f t="shared" ref="U60:AA60" ca="1" si="10">U46*U59</f>
        <v>0</v>
      </c>
      <c r="V60" s="41">
        <f t="shared" ca="1" si="10"/>
        <v>0</v>
      </c>
      <c r="W60" s="41">
        <f t="shared" ca="1" si="10"/>
        <v>0</v>
      </c>
      <c r="X60" s="41">
        <f t="shared" ca="1" si="10"/>
        <v>0</v>
      </c>
      <c r="Y60" s="41">
        <f t="shared" ca="1" si="10"/>
        <v>0</v>
      </c>
      <c r="Z60" s="41">
        <f t="shared" ca="1" si="10"/>
        <v>0</v>
      </c>
      <c r="AA60" s="41">
        <f t="shared" ca="1" si="10"/>
        <v>0</v>
      </c>
      <c r="AB60" s="41"/>
      <c r="AC60" s="41"/>
      <c r="AD60" s="41"/>
      <c r="AE60" s="41"/>
      <c r="AF60" s="41"/>
      <c r="AG60" s="41"/>
      <c r="AH60" s="41"/>
      <c r="AI60" s="41"/>
      <c r="AJ60" s="41"/>
      <c r="AK60" s="41"/>
      <c r="AL60" s="41"/>
      <c r="AM60" s="41"/>
      <c r="AN60" s="41"/>
      <c r="AO60" s="41"/>
      <c r="AP60" s="41"/>
      <c r="AQ60" s="41"/>
      <c r="AR60" s="41"/>
      <c r="AS60" s="41"/>
      <c r="AT60" s="41"/>
      <c r="AU60" s="41"/>
      <c r="AV60" s="41"/>
      <c r="AW60" s="41"/>
      <c r="AX60" s="1054"/>
    </row>
    <row r="61" spans="1:51">
      <c r="C61" s="144"/>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1054"/>
    </row>
    <row r="62" spans="1:51">
      <c r="C62" s="15"/>
      <c r="I62" s="1695"/>
    </row>
    <row r="63" spans="1:51">
      <c r="B63" s="2" t="s">
        <v>528</v>
      </c>
      <c r="C63" s="15" t="s">
        <v>517</v>
      </c>
      <c r="I63" s="212" t="str">
        <f ca="1">IF(IFERROR(I51/I59," ")&lt;0.01," ",IFERROR(I51/I59," "))</f>
        <v xml:space="preserve"> </v>
      </c>
      <c r="J63" s="212">
        <f t="shared" ref="J63:W63" ca="1" si="11">IF(IFERROR(J51/J59," ")&lt;0.01," ",IFERROR(J51/J59," "))</f>
        <v>3.4030775551752348</v>
      </c>
      <c r="K63" s="212">
        <f t="shared" ca="1" si="11"/>
        <v>2.4495659548580218</v>
      </c>
      <c r="L63" s="212">
        <f t="shared" ca="1" si="11"/>
        <v>3.4989398203628297</v>
      </c>
      <c r="M63" s="212">
        <f t="shared" ca="1" si="11"/>
        <v>4.1844804147735672</v>
      </c>
      <c r="N63" s="212">
        <f t="shared" ca="1" si="11"/>
        <v>5.0208893655337477</v>
      </c>
      <c r="O63" s="212">
        <f t="shared" ca="1" si="11"/>
        <v>6.2981242029466866</v>
      </c>
      <c r="P63" s="212">
        <f t="shared" ca="1" si="11"/>
        <v>8.6567627671175522</v>
      </c>
      <c r="Q63" s="212">
        <f t="shared" ca="1" si="11"/>
        <v>15.303880174464018</v>
      </c>
      <c r="R63" s="212" t="str">
        <f ca="1">IF(IFERROR(R51/R59," ")&lt;0.01," ",IFERROR(R51/R59," "))</f>
        <v xml:space="preserve"> </v>
      </c>
      <c r="S63" s="212" t="str">
        <f ca="1">IF(IFERROR(S51/S59," ")&lt;0.01," ",IFERROR(S51/S59," "))</f>
        <v xml:space="preserve"> </v>
      </c>
      <c r="T63" s="212" t="str">
        <f t="shared" ca="1" si="11"/>
        <v xml:space="preserve"> </v>
      </c>
      <c r="U63" s="212" t="str">
        <f t="shared" ca="1" si="11"/>
        <v xml:space="preserve"> </v>
      </c>
      <c r="V63" s="212" t="str">
        <f t="shared" ca="1" si="11"/>
        <v xml:space="preserve"> </v>
      </c>
      <c r="W63" s="212" t="str">
        <f t="shared" ca="1" si="11"/>
        <v xml:space="preserve"> </v>
      </c>
      <c r="X63" s="212" t="str">
        <f ca="1">IF(IFERROR(X51/X59," ")&lt;0.01," ",IFERROR(X51/X59," "))</f>
        <v xml:space="preserve"> </v>
      </c>
      <c r="Y63" s="212" t="str">
        <f ca="1">IF(IFERROR(Y51/Y59," ")&lt;0.01," ",IFERROR(Y51/Y59," "))</f>
        <v xml:space="preserve"> </v>
      </c>
      <c r="Z63" s="212" t="str">
        <f ca="1">IF(IFERROR(Z51/Z59," ")&lt;0.01," ",IFERROR(Z51/Z59," "))</f>
        <v xml:space="preserve"> </v>
      </c>
      <c r="AA63" s="212" t="str">
        <f ca="1">IF(IFERROR(AA51/AA59," ")&lt;0.01," ",IFERROR(AA51/AA59," "))</f>
        <v xml:space="preserve"> </v>
      </c>
      <c r="AB63" s="212" t="str">
        <f ca="1">IF(IFERROR(AB51/AB59," ")&lt;0.01," ",IFERROR(AB51/AB59," "))</f>
        <v xml:space="preserve"> </v>
      </c>
      <c r="AC63" s="212" t="str">
        <f t="shared" ref="AC63:AI63" ca="1" si="12">IF(OR(AC29=0,AC59=0),"n/a",AC$51/AC$59)</f>
        <v>n/a</v>
      </c>
      <c r="AD63" s="212" t="str">
        <f t="shared" ca="1" si="12"/>
        <v>n/a</v>
      </c>
      <c r="AE63" s="212" t="str">
        <f t="shared" ca="1" si="12"/>
        <v>n/a</v>
      </c>
      <c r="AF63" s="212" t="str">
        <f t="shared" ca="1" si="12"/>
        <v>n/a</v>
      </c>
      <c r="AG63" s="212" t="str">
        <f t="shared" ca="1" si="12"/>
        <v>n/a</v>
      </c>
      <c r="AH63" s="212" t="str">
        <f t="shared" ca="1" si="12"/>
        <v>n/a</v>
      </c>
      <c r="AI63" s="212" t="str">
        <f t="shared" ca="1" si="12"/>
        <v>n/a</v>
      </c>
      <c r="AJ63" s="212" t="str">
        <f t="shared" ref="AJ63:AW63" ca="1" si="13">IF(OR(AJ29=0,AJ59=0),"n/a",AJ$51/AJ$59)</f>
        <v>n/a</v>
      </c>
      <c r="AK63" s="212" t="str">
        <f t="shared" ca="1" si="13"/>
        <v>n/a</v>
      </c>
      <c r="AL63" s="212" t="str">
        <f t="shared" ca="1" si="13"/>
        <v>n/a</v>
      </c>
      <c r="AM63" s="212" t="str">
        <f t="shared" ca="1" si="13"/>
        <v>n/a</v>
      </c>
      <c r="AN63" s="212" t="str">
        <f t="shared" ca="1" si="13"/>
        <v>n/a</v>
      </c>
      <c r="AO63" s="212" t="str">
        <f t="shared" ca="1" si="13"/>
        <v>n/a</v>
      </c>
      <c r="AP63" s="212" t="str">
        <f t="shared" ca="1" si="13"/>
        <v>n/a</v>
      </c>
      <c r="AQ63" s="212" t="str">
        <f t="shared" ca="1" si="13"/>
        <v>n/a</v>
      </c>
      <c r="AR63" s="212" t="str">
        <f t="shared" ca="1" si="13"/>
        <v>n/a</v>
      </c>
      <c r="AS63" s="212" t="str">
        <f t="shared" ca="1" si="13"/>
        <v>n/a</v>
      </c>
      <c r="AT63" s="212" t="str">
        <f t="shared" ca="1" si="13"/>
        <v>n/a</v>
      </c>
      <c r="AU63" s="212" t="str">
        <f t="shared" ca="1" si="13"/>
        <v>n/a</v>
      </c>
      <c r="AV63" s="212" t="str">
        <f t="shared" ca="1" si="13"/>
        <v>n/a</v>
      </c>
      <c r="AW63" s="212" t="str">
        <f t="shared" ca="1" si="13"/>
        <v>n/a</v>
      </c>
      <c r="AX63" s="1057"/>
      <c r="AY63" s="1057"/>
    </row>
    <row r="64" spans="1:51">
      <c r="B64" s="2" t="s">
        <v>529</v>
      </c>
      <c r="C64" s="15" t="s">
        <v>517</v>
      </c>
      <c r="I64" s="212" t="str">
        <f ca="1">IF(IFERROR(I51/I59," ")&lt;0.01," ",IFERROR(I51/I59," "))</f>
        <v xml:space="preserve"> </v>
      </c>
      <c r="J64" s="212">
        <f t="shared" ref="J64:W64" ca="1" si="14">IF(IFERROR(J51/J59," ")&lt;0.01," ",IFERROR(J51/J59," "))</f>
        <v>3.4030775551752348</v>
      </c>
      <c r="K64" s="212">
        <f t="shared" ca="1" si="14"/>
        <v>2.4495659548580218</v>
      </c>
      <c r="L64" s="212">
        <f t="shared" ca="1" si="14"/>
        <v>3.4989398203628297</v>
      </c>
      <c r="M64" s="212">
        <f t="shared" ca="1" si="14"/>
        <v>4.1844804147735672</v>
      </c>
      <c r="N64" s="212">
        <f t="shared" ca="1" si="14"/>
        <v>5.0208893655337477</v>
      </c>
      <c r="O64" s="212">
        <f t="shared" ca="1" si="14"/>
        <v>6.2981242029466866</v>
      </c>
      <c r="P64" s="212">
        <f t="shared" ca="1" si="14"/>
        <v>8.6567627671175522</v>
      </c>
      <c r="Q64" s="212">
        <f t="shared" ca="1" si="14"/>
        <v>15.303880174464018</v>
      </c>
      <c r="R64" s="212" t="str">
        <f t="shared" ca="1" si="14"/>
        <v xml:space="preserve"> </v>
      </c>
      <c r="S64" s="212" t="str">
        <f ca="1">IF(IFERROR(S51/S59," ")&lt;0.01," ",IFERROR(S51/S59," "))</f>
        <v xml:space="preserve"> </v>
      </c>
      <c r="T64" s="212" t="str">
        <f t="shared" ca="1" si="14"/>
        <v xml:space="preserve"> </v>
      </c>
      <c r="U64" s="212" t="str">
        <f t="shared" ca="1" si="14"/>
        <v xml:space="preserve"> </v>
      </c>
      <c r="V64" s="212" t="str">
        <f t="shared" ca="1" si="14"/>
        <v xml:space="preserve"> </v>
      </c>
      <c r="W64" s="212" t="str">
        <f t="shared" ca="1" si="14"/>
        <v xml:space="preserve"> </v>
      </c>
      <c r="X64" s="212" t="str">
        <f ca="1">IF(OR(X29=0,X59=0),"n/a",X$51/X$59)</f>
        <v>n/a</v>
      </c>
      <c r="Y64" s="212" t="str">
        <f ca="1">IF(OR(Y29=0,Y59=0),"n/a",Y$51/Y$59)</f>
        <v>n/a</v>
      </c>
      <c r="Z64" s="212" t="str">
        <f ca="1">IF(OR(Z29=0,Z59=0),"n/a",Z$51/Z$59)</f>
        <v>n/a</v>
      </c>
      <c r="AA64" s="212" t="str">
        <f t="shared" ref="AA64:AI64" ca="1" si="15">IF(OR(AA29=0,AA59=0),"n/a",AA$57/AA$59)</f>
        <v>n/a</v>
      </c>
      <c r="AB64" s="212" t="str">
        <f t="shared" ca="1" si="15"/>
        <v>n/a</v>
      </c>
      <c r="AC64" s="212" t="str">
        <f t="shared" ca="1" si="15"/>
        <v>n/a</v>
      </c>
      <c r="AD64" s="212" t="str">
        <f t="shared" ca="1" si="15"/>
        <v>n/a</v>
      </c>
      <c r="AE64" s="212" t="str">
        <f t="shared" ca="1" si="15"/>
        <v>n/a</v>
      </c>
      <c r="AF64" s="212" t="str">
        <f t="shared" ca="1" si="15"/>
        <v>n/a</v>
      </c>
      <c r="AG64" s="212" t="str">
        <f t="shared" ca="1" si="15"/>
        <v>n/a</v>
      </c>
      <c r="AH64" s="212" t="str">
        <f t="shared" ca="1" si="15"/>
        <v>n/a</v>
      </c>
      <c r="AI64" s="212" t="str">
        <f t="shared" ca="1" si="15"/>
        <v>n/a</v>
      </c>
      <c r="AJ64" s="212" t="str">
        <f t="shared" ref="AJ64:AW64" ca="1" si="16">IF(OR(AJ29=0,AJ59=0),"n/a",AJ$57/AJ$59)</f>
        <v>n/a</v>
      </c>
      <c r="AK64" s="212" t="str">
        <f t="shared" ca="1" si="16"/>
        <v>n/a</v>
      </c>
      <c r="AL64" s="212" t="str">
        <f t="shared" ca="1" si="16"/>
        <v>n/a</v>
      </c>
      <c r="AM64" s="212" t="str">
        <f t="shared" ca="1" si="16"/>
        <v>n/a</v>
      </c>
      <c r="AN64" s="212" t="str">
        <f t="shared" ca="1" si="16"/>
        <v>n/a</v>
      </c>
      <c r="AO64" s="212" t="str">
        <f t="shared" ca="1" si="16"/>
        <v>n/a</v>
      </c>
      <c r="AP64" s="212" t="str">
        <f t="shared" ca="1" si="16"/>
        <v>n/a</v>
      </c>
      <c r="AQ64" s="212" t="str">
        <f t="shared" ca="1" si="16"/>
        <v>n/a</v>
      </c>
      <c r="AR64" s="212" t="str">
        <f t="shared" ca="1" si="16"/>
        <v>n/a</v>
      </c>
      <c r="AS64" s="212" t="str">
        <f t="shared" ca="1" si="16"/>
        <v>n/a</v>
      </c>
      <c r="AT64" s="212" t="str">
        <f t="shared" ca="1" si="16"/>
        <v>n/a</v>
      </c>
      <c r="AU64" s="212" t="str">
        <f t="shared" ca="1" si="16"/>
        <v>n/a</v>
      </c>
      <c r="AV64" s="212" t="str">
        <f t="shared" ca="1" si="16"/>
        <v>n/a</v>
      </c>
      <c r="AW64" s="212" t="str">
        <f t="shared" ca="1" si="16"/>
        <v>n/a</v>
      </c>
      <c r="AX64" s="1057"/>
      <c r="AY64" s="1057"/>
    </row>
    <row r="65" spans="1:52">
      <c r="A65" s="12"/>
      <c r="C65" s="15"/>
      <c r="D65" s="213" t="s">
        <v>518</v>
      </c>
      <c r="E65" s="213" t="s">
        <v>519</v>
      </c>
    </row>
    <row r="66" spans="1:52">
      <c r="B66" s="2" t="s">
        <v>513</v>
      </c>
      <c r="C66" s="15" t="s">
        <v>517</v>
      </c>
      <c r="D66" s="214">
        <f ca="1">AVERAGE(I63:T63)</f>
        <v>6.1019650319039576</v>
      </c>
      <c r="E66" s="214">
        <f ca="1">AVERAGE(I64:AI64)</f>
        <v>6.1019650319039576</v>
      </c>
    </row>
    <row r="67" spans="1:52">
      <c r="B67" s="2" t="s">
        <v>514</v>
      </c>
      <c r="C67" s="15" t="s">
        <v>517</v>
      </c>
      <c r="D67" s="214">
        <f ca="1">MIN(I63:AI63)</f>
        <v>2.4495659548580218</v>
      </c>
      <c r="E67" s="214">
        <f ca="1">MIN(I64:AI64)</f>
        <v>2.4495659548580218</v>
      </c>
    </row>
    <row r="68" spans="1:52">
      <c r="B68" s="2" t="s">
        <v>515</v>
      </c>
      <c r="C68" s="15" t="s">
        <v>180</v>
      </c>
      <c r="D68" s="216">
        <f ca="1">MATCH(D67,I63:AI63,0)</f>
        <v>3</v>
      </c>
      <c r="E68" s="215">
        <f ca="1">MATCH(E67,I64:AI64,0)</f>
        <v>3</v>
      </c>
      <c r="L68" s="42"/>
      <c r="M68" s="42"/>
      <c r="N68" s="42"/>
      <c r="O68" s="42"/>
      <c r="P68" s="42"/>
      <c r="Q68" s="42"/>
      <c r="R68" s="42"/>
      <c r="S68" s="42"/>
    </row>
    <row r="69" spans="1:52">
      <c r="B69" s="2" t="s">
        <v>516</v>
      </c>
      <c r="C69" s="15" t="s">
        <v>41</v>
      </c>
      <c r="D69" s="217">
        <f ca="1">INDEX('Fixed Assets'!I3:AI3,D68)</f>
        <v>46753</v>
      </c>
      <c r="E69" s="217">
        <f ca="1">INDEX('Fixed Assets'!I3:AI3,E68)</f>
        <v>46753</v>
      </c>
    </row>
    <row r="70" spans="1:52">
      <c r="C70" s="15"/>
    </row>
    <row r="71" spans="1:52">
      <c r="A71" s="6" t="s">
        <v>530</v>
      </c>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053"/>
      <c r="AY71" s="1053"/>
    </row>
    <row r="72" spans="1:52">
      <c r="C72" s="15"/>
    </row>
    <row r="73" spans="1:52">
      <c r="B73" s="2" t="s">
        <v>533</v>
      </c>
      <c r="C73" s="15" t="s">
        <v>60</v>
      </c>
      <c r="D73" s="41">
        <f>SUM(I73:AW73)</f>
        <v>30</v>
      </c>
      <c r="I73" s="2">
        <f>'Timing &amp; Flags'!I49</f>
        <v>1</v>
      </c>
      <c r="J73" s="2">
        <f>'Timing &amp; Flags'!J49</f>
        <v>1</v>
      </c>
      <c r="K73" s="2">
        <f>'Timing &amp; Flags'!K49</f>
        <v>1</v>
      </c>
      <c r="L73" s="2">
        <f>'Timing &amp; Flags'!L49</f>
        <v>1</v>
      </c>
      <c r="M73" s="2">
        <f>'Timing &amp; Flags'!M49</f>
        <v>1</v>
      </c>
      <c r="N73" s="2">
        <f>'Timing &amp; Flags'!N49</f>
        <v>1</v>
      </c>
      <c r="O73" s="2">
        <f>'Timing &amp; Flags'!O49</f>
        <v>1</v>
      </c>
      <c r="P73" s="2">
        <f>'Timing &amp; Flags'!P49</f>
        <v>1</v>
      </c>
      <c r="Q73" s="2">
        <f>'Timing &amp; Flags'!Q49</f>
        <v>1</v>
      </c>
      <c r="R73" s="2">
        <f>'Timing &amp; Flags'!R49</f>
        <v>1</v>
      </c>
      <c r="S73" s="2">
        <f>'Timing &amp; Flags'!S49</f>
        <v>1</v>
      </c>
      <c r="T73" s="2">
        <f>'Timing &amp; Flags'!T49</f>
        <v>1</v>
      </c>
      <c r="U73" s="2">
        <f>'Timing &amp; Flags'!U49</f>
        <v>1</v>
      </c>
      <c r="V73" s="2">
        <f>'Timing &amp; Flags'!V49</f>
        <v>1</v>
      </c>
      <c r="W73" s="2">
        <f>'Timing &amp; Flags'!W49</f>
        <v>1</v>
      </c>
      <c r="X73" s="2">
        <f>'Timing &amp; Flags'!X49</f>
        <v>1</v>
      </c>
      <c r="Y73" s="2">
        <f>'Timing &amp; Flags'!Y49</f>
        <v>1</v>
      </c>
      <c r="Z73" s="2">
        <f>'Timing &amp; Flags'!Z49</f>
        <v>1</v>
      </c>
      <c r="AA73" s="2">
        <f>'Timing &amp; Flags'!AA49</f>
        <v>1</v>
      </c>
      <c r="AB73" s="2">
        <f>'Timing &amp; Flags'!AB49</f>
        <v>1</v>
      </c>
      <c r="AC73" s="2">
        <f>'Timing &amp; Flags'!AC49</f>
        <v>1</v>
      </c>
      <c r="AD73" s="2">
        <f>'Timing &amp; Flags'!AD49</f>
        <v>1</v>
      </c>
      <c r="AE73" s="2">
        <f>'Timing &amp; Flags'!AE49</f>
        <v>1</v>
      </c>
      <c r="AF73" s="2">
        <f>'Timing &amp; Flags'!AF49</f>
        <v>1</v>
      </c>
      <c r="AG73" s="2">
        <f>'Timing &amp; Flags'!AG49</f>
        <v>1</v>
      </c>
      <c r="AH73" s="2">
        <f>'Timing &amp; Flags'!AH49</f>
        <v>1</v>
      </c>
      <c r="AI73" s="2">
        <f>'Timing &amp; Flags'!AI49</f>
        <v>1</v>
      </c>
      <c r="AJ73" s="2">
        <f>'Timing &amp; Flags'!AJ49</f>
        <v>1</v>
      </c>
      <c r="AK73" s="2">
        <f>'Timing &amp; Flags'!AK49</f>
        <v>1</v>
      </c>
      <c r="AL73" s="2">
        <f>'Timing &amp; Flags'!AL49</f>
        <v>1</v>
      </c>
      <c r="AM73" s="2">
        <f>'Timing &amp; Flags'!AM49</f>
        <v>0</v>
      </c>
      <c r="AN73" s="2">
        <f>'Timing &amp; Flags'!AN49</f>
        <v>0</v>
      </c>
      <c r="AO73" s="2">
        <f>'Timing &amp; Flags'!AO49</f>
        <v>0</v>
      </c>
      <c r="AP73" s="2">
        <f>'Timing &amp; Flags'!AP49</f>
        <v>0</v>
      </c>
      <c r="AQ73" s="2">
        <f>'Timing &amp; Flags'!AQ49</f>
        <v>0</v>
      </c>
      <c r="AR73" s="2">
        <f>'Timing &amp; Flags'!AR49</f>
        <v>0</v>
      </c>
      <c r="AS73" s="2">
        <f>'Timing &amp; Flags'!AS49</f>
        <v>0</v>
      </c>
      <c r="AT73" s="2">
        <f>'Timing &amp; Flags'!AT49</f>
        <v>0</v>
      </c>
      <c r="AU73" s="2">
        <f>'Timing &amp; Flags'!AU49</f>
        <v>0</v>
      </c>
      <c r="AV73" s="2">
        <f>'Timing &amp; Flags'!AV49</f>
        <v>0</v>
      </c>
      <c r="AW73" s="2">
        <f>'Timing &amp; Flags'!AW49</f>
        <v>0</v>
      </c>
    </row>
    <row r="74" spans="1:52">
      <c r="B74" s="2" t="s">
        <v>291</v>
      </c>
      <c r="C74" s="15" t="s">
        <v>18</v>
      </c>
      <c r="D74" s="99">
        <f>'Debt Schedule'!$D$37</f>
        <v>0.10059999999999999</v>
      </c>
    </row>
    <row r="76" spans="1:52">
      <c r="B76" s="29" t="s">
        <v>521</v>
      </c>
    </row>
    <row r="77" spans="1:52">
      <c r="B77" s="2" t="s">
        <v>522</v>
      </c>
      <c r="C77" s="144" t="str">
        <f>$C$31</f>
        <v>US$</v>
      </c>
      <c r="D77" s="41">
        <f ca="1">SUM(I77:AI77)</f>
        <v>46292054105.201607</v>
      </c>
      <c r="I77" s="41">
        <f t="shared" ref="I77:AI77" ca="1" si="17">I31*I73</f>
        <v>0</v>
      </c>
      <c r="J77" s="41">
        <f t="shared" ca="1" si="17"/>
        <v>-132913371.73613448</v>
      </c>
      <c r="K77" s="41">
        <f t="shared" ca="1" si="17"/>
        <v>632979160.75820267</v>
      </c>
      <c r="L77" s="41">
        <f t="shared" ca="1" si="17"/>
        <v>1113384145.8202512</v>
      </c>
      <c r="M77" s="41">
        <f t="shared" ca="1" si="17"/>
        <v>1307343777.7768016</v>
      </c>
      <c r="N77" s="41">
        <f t="shared" ca="1" si="17"/>
        <v>1423674676.4626899</v>
      </c>
      <c r="O77" s="41">
        <f t="shared" ca="1" si="17"/>
        <v>1527262449.5167961</v>
      </c>
      <c r="P77" s="41">
        <f t="shared" ca="1" si="17"/>
        <v>1620778759.7527404</v>
      </c>
      <c r="Q77" s="41">
        <f t="shared" ca="1" si="17"/>
        <v>1716998599.5535426</v>
      </c>
      <c r="R77" s="41">
        <f t="shared" ca="1" si="17"/>
        <v>1819844194.9453361</v>
      </c>
      <c r="S77" s="41">
        <f t="shared" ca="1" si="17"/>
        <v>1921492211.2169793</v>
      </c>
      <c r="T77" s="41">
        <f t="shared" ca="1" si="17"/>
        <v>2038073397.7543035</v>
      </c>
      <c r="U77" s="41">
        <f t="shared" ca="1" si="17"/>
        <v>2159528163.5310922</v>
      </c>
      <c r="V77" s="41">
        <f t="shared" ca="1" si="17"/>
        <v>2287791806.3660378</v>
      </c>
      <c r="W77" s="41">
        <f t="shared" ca="1" si="17"/>
        <v>2420274029.2951603</v>
      </c>
      <c r="X77" s="41">
        <f t="shared" ca="1" si="17"/>
        <v>1799483684.7706902</v>
      </c>
      <c r="Y77" s="41">
        <f t="shared" ca="1" si="17"/>
        <v>1753474444.781949</v>
      </c>
      <c r="Z77" s="41">
        <f t="shared" ca="1" si="17"/>
        <v>1807957611.5470948</v>
      </c>
      <c r="AA77" s="41">
        <f t="shared" ca="1" si="17"/>
        <v>1863094085.0746782</v>
      </c>
      <c r="AB77" s="41">
        <f t="shared" ca="1" si="17"/>
        <v>1921878648.9141417</v>
      </c>
      <c r="AC77" s="41">
        <f t="shared" ca="1" si="17"/>
        <v>1982682102.853267</v>
      </c>
      <c r="AD77" s="41">
        <f t="shared" ca="1" si="17"/>
        <v>2046559606.7248311</v>
      </c>
      <c r="AE77" s="41">
        <f t="shared" ca="1" si="17"/>
        <v>2110866258.3901505</v>
      </c>
      <c r="AF77" s="41">
        <f t="shared" ca="1" si="17"/>
        <v>2179352918.1338038</v>
      </c>
      <c r="AG77" s="41">
        <f t="shared" ca="1" si="17"/>
        <v>2249756028.1376925</v>
      </c>
      <c r="AH77" s="41">
        <f t="shared" ca="1" si="17"/>
        <v>2323313428.2110395</v>
      </c>
      <c r="AI77" s="41">
        <f t="shared" ca="1" si="17"/>
        <v>2397123286.6484594</v>
      </c>
      <c r="AJ77" s="41">
        <f t="shared" ref="AJ77:AZ77" ca="1" si="18">AJ31*AJ73</f>
        <v>2475391162.0859537</v>
      </c>
      <c r="AK77" s="41">
        <f t="shared" ca="1" si="18"/>
        <v>2586756212.7914348</v>
      </c>
      <c r="AL77" s="41">
        <f t="shared" ca="1" si="18"/>
        <v>3035968904.9920216</v>
      </c>
      <c r="AM77" s="41">
        <f t="shared" si="18"/>
        <v>0</v>
      </c>
      <c r="AN77" s="41">
        <f t="shared" si="18"/>
        <v>0</v>
      </c>
      <c r="AO77" s="41">
        <f t="shared" si="18"/>
        <v>0</v>
      </c>
      <c r="AP77" s="41">
        <f t="shared" si="18"/>
        <v>0</v>
      </c>
      <c r="AQ77" s="41">
        <f t="shared" si="18"/>
        <v>0</v>
      </c>
      <c r="AR77" s="41">
        <f t="shared" si="18"/>
        <v>0</v>
      </c>
      <c r="AS77" s="41">
        <f t="shared" si="18"/>
        <v>0</v>
      </c>
      <c r="AT77" s="41">
        <f t="shared" si="18"/>
        <v>0</v>
      </c>
      <c r="AU77" s="41">
        <f t="shared" si="18"/>
        <v>0</v>
      </c>
      <c r="AV77" s="41">
        <f t="shared" si="18"/>
        <v>0</v>
      </c>
      <c r="AW77" s="41">
        <f t="shared" si="18"/>
        <v>0</v>
      </c>
      <c r="AX77" s="41">
        <f t="shared" si="18"/>
        <v>0</v>
      </c>
      <c r="AY77" s="41">
        <f t="shared" si="18"/>
        <v>0</v>
      </c>
      <c r="AZ77" s="41">
        <f t="shared" si="18"/>
        <v>0</v>
      </c>
    </row>
    <row r="78" spans="1:52">
      <c r="B78" s="2" t="s">
        <v>523</v>
      </c>
      <c r="C78" s="144" t="str">
        <f>$C$31</f>
        <v>US$</v>
      </c>
      <c r="I78" s="41">
        <f ca="1">NPV($D$74,J77:$AW$77)*I20</f>
        <v>13734435103.939558</v>
      </c>
      <c r="J78" s="41">
        <f ca="1">NPV($D$74,K77:$AW$77)*J20</f>
        <v>15249032647.13201</v>
      </c>
      <c r="K78" s="41">
        <f ca="1">NPV($D$74,L77:$AW$77)*K20</f>
        <v>16150106170.675291</v>
      </c>
      <c r="L78" s="41">
        <f ca="1">NPV($D$74,M77:$AW$77)*L20</f>
        <v>16661422705.624983</v>
      </c>
      <c r="M78" s="41">
        <f ca="1">NPV($D$74,N77:$AW$77)*M20</f>
        <v>17030218052.034042</v>
      </c>
      <c r="N78" s="41">
        <f ca="1">NPV($D$74,O77:$AW$77)*N20</f>
        <v>17319783311.60598</v>
      </c>
      <c r="O78" s="41">
        <f ca="1">NPV($D$74,P77:$AW$77)*O20</f>
        <v>17534891063.236752</v>
      </c>
      <c r="P78" s="41">
        <f ca="1">NPV($D$74,Q77:$AW$77)*P20</f>
        <v>17678122344.445621</v>
      </c>
      <c r="Q78" s="41">
        <f ca="1">NPV($D$74,R77:$AW$77)*Q20</f>
        <v>17739542852.743317</v>
      </c>
      <c r="R78" s="41">
        <f ca="1">NPV($D$74,S77:$AW$77)*R20</f>
        <v>17704296668.783958</v>
      </c>
      <c r="S78" s="41">
        <f ca="1">NPV($D$74,T77:$AW$77)*S20</f>
        <v>17563856702.44664</v>
      </c>
      <c r="T78" s="41">
        <f ca="1">NPV($D$74,U77:$AW$77)*T20</f>
        <v>17292707288.958469</v>
      </c>
      <c r="U78" s="41">
        <f ca="1">NPV($D$74,V77:$AW$77)*U20</f>
        <v>16872825478.6966</v>
      </c>
      <c r="V78" s="41">
        <f ca="1">NPV($D$74,W77:$AW$77)*V20</f>
        <v>16282439915.487444</v>
      </c>
      <c r="W78" s="41">
        <f ca="1">NPV($D$74,X77:$AW$77)*W20</f>
        <v>15500179341.690321</v>
      </c>
      <c r="X78" s="41">
        <f ca="1">NPV($D$74,Y77:$AW$77)*X20</f>
        <v>15260013698.693674</v>
      </c>
      <c r="Y78" s="41">
        <f ca="1">NPV($D$74,Z77:$AW$77)*Y20</f>
        <v>15041696632.000313</v>
      </c>
      <c r="Z78" s="41">
        <f ca="1">NPV($D$74,AA77:$AW$77)*Z20</f>
        <v>14746933701.632446</v>
      </c>
      <c r="AA78" s="41">
        <f ca="1">NPV($D$74,AB77:$AW$77)*AA20</f>
        <v>14367381146.941992</v>
      </c>
      <c r="AB78" s="41">
        <f ca="1">NPV($D$74,AC77:$AW$77)*AB20</f>
        <v>13890861041.410213</v>
      </c>
      <c r="AC78" s="41">
        <f ca="1">NPV($D$74,AD77:$AW$77)*AC20</f>
        <v>13305599559.322815</v>
      </c>
      <c r="AD78" s="41">
        <f ca="1">NPV($D$74,AE77:$AW$77)*AD20</f>
        <v>12597583268.265858</v>
      </c>
      <c r="AE78" s="41">
        <f ca="1">NPV($D$74,AF77:$AW$77)*AE20</f>
        <v>11754033886.663254</v>
      </c>
      <c r="AF78" s="41">
        <f ca="1">NPV($D$74,AG77:$AW$77)*AF20</f>
        <v>10757136777.527775</v>
      </c>
      <c r="AG78" s="41">
        <f ca="1">NPV($D$74,AH77:$AW$77)*AG20</f>
        <v>9589548709.2093754</v>
      </c>
      <c r="AH78" s="41">
        <f ca="1">NPV($D$74,AI77:$AW$77)*AH20</f>
        <v>8230943881.1448002</v>
      </c>
      <c r="AI78" s="41">
        <f ca="1">NPV($D$74,AJ77:$AW$77)*AI20</f>
        <v>6661853548.9395075</v>
      </c>
      <c r="AJ78" s="41">
        <f ca="1">NPV($D$74,AK77:$AW$77)*AJ20</f>
        <v>4856644853.8768673</v>
      </c>
      <c r="AK78" s="41">
        <f ca="1">NPV($D$74,AL77:$AW$77)*AK20</f>
        <v>2758467113.3854456</v>
      </c>
      <c r="AL78" s="41">
        <f>NPV($D$74,AM77:$AW$77)*AL20</f>
        <v>0</v>
      </c>
      <c r="AM78" s="41">
        <f>NPV($D$74,AN77:$AW$77)*AM20</f>
        <v>0</v>
      </c>
      <c r="AN78" s="41">
        <f>NPV($D$74,AO77:$AW$77)*AN20</f>
        <v>0</v>
      </c>
      <c r="AO78" s="41">
        <f>NPV($D$74,AP77:$AW$77)*AO20</f>
        <v>0</v>
      </c>
      <c r="AP78" s="41">
        <f>NPV($D$74,AQ77:$AW$77)*AP20</f>
        <v>0</v>
      </c>
      <c r="AQ78" s="41">
        <f>NPV($D$74,AR77:$AW$77)*AQ20</f>
        <v>0</v>
      </c>
      <c r="AR78" s="41">
        <f>NPV($D$74,AS77:$AW$77)*AR20</f>
        <v>0</v>
      </c>
      <c r="AS78" s="41">
        <f>NPV($D$74,AT77:$AW$77)*AS20</f>
        <v>0</v>
      </c>
      <c r="AT78" s="41">
        <f>NPV($D$74,AU77:$AW$77)*AT20</f>
        <v>0</v>
      </c>
      <c r="AU78" s="41">
        <f>NPV($D$74,AV77:$AW$77)*AU20</f>
        <v>0</v>
      </c>
      <c r="AV78" s="41">
        <f>NPV($D$74,AW77:$AW$77)*AV20</f>
        <v>0</v>
      </c>
      <c r="AW78" s="41">
        <f>NPV($D$74,$AW77:AX$77)*AW20</f>
        <v>0</v>
      </c>
      <c r="AX78" s="41">
        <f>NPV($D$74,$AW77:AY$77)*AX20</f>
        <v>0</v>
      </c>
      <c r="AY78" s="41">
        <f>NPV($D$74,$AW77:AZ$77)*AY20</f>
        <v>0</v>
      </c>
      <c r="AZ78" s="41">
        <f>NPV($D$74,$AW77:BA$77)*AZ20</f>
        <v>0</v>
      </c>
    </row>
    <row r="79" spans="1:52">
      <c r="B79" s="27" t="s">
        <v>524</v>
      </c>
      <c r="C79" s="218" t="str">
        <f>$C$31</f>
        <v>US$</v>
      </c>
      <c r="D79" s="27"/>
      <c r="E79" s="27"/>
      <c r="F79" s="27"/>
      <c r="G79" s="27"/>
      <c r="H79" s="27"/>
      <c r="I79" s="43">
        <f ca="1">SUM(BS!I15:I17)*I73</f>
        <v>0</v>
      </c>
      <c r="J79" s="43">
        <f ca="1">SUM(BS!J15:J17)*J73</f>
        <v>-132913371.73613448</v>
      </c>
      <c r="K79" s="43">
        <f ca="1">SUM(BS!K15:K17)*K73</f>
        <v>632979160.75820112</v>
      </c>
      <c r="L79" s="43">
        <f ca="1">SUM(BS!L15:L17)*L73</f>
        <v>878476565.64138186</v>
      </c>
      <c r="M79" s="43">
        <f ca="1">SUM(BS!M15:M17)*M73</f>
        <v>1288299890.1069081</v>
      </c>
      <c r="N79" s="43">
        <f ca="1">SUM(BS!N15:N17)*N73</f>
        <v>1637966395.679565</v>
      </c>
      <c r="O79" s="43">
        <f ca="1">SUM(BS!O15:O17)*O73</f>
        <v>2040726817.8025031</v>
      </c>
      <c r="P79" s="43">
        <f ca="1">SUM(BS!P15:P17)*P73</f>
        <v>2485380857.1483808</v>
      </c>
      <c r="Q79" s="43">
        <f ca="1">SUM(BS!Q15:Q17)*Q73</f>
        <v>2965996236.233273</v>
      </c>
      <c r="R79" s="43">
        <f ca="1">SUM(BS!R15:R17)*R73</f>
        <v>3260022660.1744308</v>
      </c>
      <c r="S79" s="43">
        <f ca="1">SUM(BS!S15:S17)*S73</f>
        <v>3859761865.2041125</v>
      </c>
      <c r="T79" s="43">
        <f ca="1">SUM(BS!T15:T17)*T73</f>
        <v>4437755346.5319462</v>
      </c>
      <c r="U79" s="43">
        <f ca="1">SUM(BS!U15:U17)*U73</f>
        <v>4998010898.8891544</v>
      </c>
      <c r="V79" s="43">
        <f ca="1">SUM(BS!V15:V17)*V73</f>
        <v>5549935527.9177265</v>
      </c>
      <c r="W79" s="43">
        <f ca="1">SUM(BS!W15:W17)*W73</f>
        <v>6088236447.4359055</v>
      </c>
      <c r="X79" s="43">
        <f ca="1">SUM(BS!X15:X17)*X73</f>
        <v>6225215361.3162832</v>
      </c>
      <c r="Y79" s="43">
        <f ca="1">SUM(BS!Y15:Y17)*Y73</f>
        <v>6288190203.7340374</v>
      </c>
      <c r="Z79" s="43">
        <f ca="1">SUM(BS!Z15:Z17)*Z73</f>
        <v>6375851763.5649385</v>
      </c>
      <c r="AA79" s="43">
        <f ca="1">SUM(BS!AA15:AA17)*AA73</f>
        <v>6475174472.3235817</v>
      </c>
      <c r="AB79" s="43">
        <f ca="1">SUM(BS!AB15:AB17)*AB73</f>
        <v>6610492805.2316284</v>
      </c>
      <c r="AC79" s="43">
        <f ca="1">SUM(BS!AC15:AC17)*AC73</f>
        <v>6774454777.4897223</v>
      </c>
      <c r="AD79" s="43">
        <f ca="1">SUM(BS!AD15:AD17)*AD73</f>
        <v>6967936720.2900257</v>
      </c>
      <c r="AE79" s="43">
        <f ca="1">SUM(BS!AE15:AE17)*AE73</f>
        <v>7176319197.5057688</v>
      </c>
      <c r="AF79" s="43">
        <f ca="1">SUM(BS!AF15:AF17)*AF73</f>
        <v>7410087118.0503836</v>
      </c>
      <c r="AG79" s="43">
        <f ca="1">SUM(BS!AG15:AG17)*AG73</f>
        <v>7663044541.6729469</v>
      </c>
      <c r="AH79" s="43">
        <f ca="1">SUM(BS!AH15:AH17)*AH73</f>
        <v>7937849158.0875101</v>
      </c>
      <c r="AI79" s="43">
        <f ca="1">SUM(BS!AI15:AI17)*AI73</f>
        <v>8219935390.2149868</v>
      </c>
      <c r="AJ79" s="43">
        <f ca="1">SUM(BS!AJ15:AJ17)*AJ73</f>
        <v>9875293214.6079426</v>
      </c>
      <c r="AK79" s="43">
        <f ca="1">SUM(BS!AK15:AK17)*AK73</f>
        <v>11605184399.40288</v>
      </c>
      <c r="AL79" s="43">
        <f ca="1">SUM(BS!AL15:AL17)*AL73</f>
        <v>12504018718.493343</v>
      </c>
      <c r="AM79" s="43">
        <f>SUM(BS!AM15:AM17)*AM73</f>
        <v>0</v>
      </c>
      <c r="AN79" s="43">
        <f>SUM(BS!AN15:AN17)*AN73</f>
        <v>0</v>
      </c>
      <c r="AO79" s="43">
        <f>SUM(BS!AO15:AO17)*AO73</f>
        <v>0</v>
      </c>
      <c r="AP79" s="43">
        <f>SUM(BS!AP15:AP17)*AP73</f>
        <v>0</v>
      </c>
      <c r="AQ79" s="43">
        <f>SUM(BS!AQ15:AQ17)*AQ73</f>
        <v>0</v>
      </c>
      <c r="AR79" s="43">
        <f>SUM(BS!AR15:AR17)*AR73</f>
        <v>0</v>
      </c>
      <c r="AS79" s="43">
        <f>SUM(BS!AS15:AS17)*AS73</f>
        <v>0</v>
      </c>
      <c r="AT79" s="43">
        <f>SUM(BS!AT15:AT17)*AT73</f>
        <v>0</v>
      </c>
      <c r="AU79" s="43">
        <f>SUM(BS!AU15:AU17)*AU73</f>
        <v>0</v>
      </c>
      <c r="AV79" s="43">
        <f>SUM(BS!AV15:AV17)*AV73</f>
        <v>0</v>
      </c>
      <c r="AW79" s="43">
        <f>SUM(BS!AW15:AW17)*AW73</f>
        <v>0</v>
      </c>
      <c r="AX79" s="1058"/>
      <c r="AY79" s="1058"/>
    </row>
    <row r="80" spans="1:52">
      <c r="B80" s="2" t="s">
        <v>525</v>
      </c>
      <c r="C80" s="144" t="str">
        <f>$C$31</f>
        <v>US$</v>
      </c>
      <c r="I80" s="42">
        <f ca="1">SUM(I77:I79)</f>
        <v>13734435103.939558</v>
      </c>
      <c r="J80" s="42">
        <f t="shared" ref="J80:AI80" ca="1" si="19">SUM(J77:J79)</f>
        <v>14983205903.659742</v>
      </c>
      <c r="K80" s="42">
        <f t="shared" ca="1" si="19"/>
        <v>17416064492.191696</v>
      </c>
      <c r="L80" s="42">
        <f t="shared" ca="1" si="19"/>
        <v>18653283417.086613</v>
      </c>
      <c r="M80" s="42">
        <f t="shared" ca="1" si="19"/>
        <v>19625861719.917751</v>
      </c>
      <c r="N80" s="42">
        <f t="shared" ca="1" si="19"/>
        <v>20381424383.748234</v>
      </c>
      <c r="O80" s="42">
        <f t="shared" ca="1" si="19"/>
        <v>21102880330.556049</v>
      </c>
      <c r="P80" s="42">
        <f t="shared" ca="1" si="19"/>
        <v>21784281961.346741</v>
      </c>
      <c r="Q80" s="42">
        <f t="shared" ca="1" si="19"/>
        <v>22422537688.530132</v>
      </c>
      <c r="R80" s="42">
        <f t="shared" ca="1" si="19"/>
        <v>22784163523.903725</v>
      </c>
      <c r="S80" s="42">
        <f t="shared" ca="1" si="19"/>
        <v>23345110778.867733</v>
      </c>
      <c r="T80" s="42">
        <f t="shared" ca="1" si="19"/>
        <v>23768536033.24472</v>
      </c>
      <c r="U80" s="42">
        <f t="shared" ca="1" si="19"/>
        <v>24030364541.116844</v>
      </c>
      <c r="V80" s="42">
        <f t="shared" ca="1" si="19"/>
        <v>24120167249.77121</v>
      </c>
      <c r="W80" s="42">
        <f t="shared" ca="1" si="19"/>
        <v>24008689818.421387</v>
      </c>
      <c r="X80" s="42">
        <f t="shared" ca="1" si="19"/>
        <v>23284712744.780647</v>
      </c>
      <c r="Y80" s="42">
        <f t="shared" ca="1" si="19"/>
        <v>23083361280.516296</v>
      </c>
      <c r="Z80" s="42">
        <f t="shared" ca="1" si="19"/>
        <v>22930743076.74448</v>
      </c>
      <c r="AA80" s="42">
        <f t="shared" ca="1" si="19"/>
        <v>22705649704.340252</v>
      </c>
      <c r="AB80" s="42">
        <f t="shared" ca="1" si="19"/>
        <v>22423232495.555984</v>
      </c>
      <c r="AC80" s="42">
        <f t="shared" ca="1" si="19"/>
        <v>22062736439.665806</v>
      </c>
      <c r="AD80" s="42">
        <f t="shared" ca="1" si="19"/>
        <v>21612079595.280716</v>
      </c>
      <c r="AE80" s="42">
        <f t="shared" ca="1" si="19"/>
        <v>21041219342.559174</v>
      </c>
      <c r="AF80" s="42">
        <f t="shared" ca="1" si="19"/>
        <v>20346576813.711964</v>
      </c>
      <c r="AG80" s="42">
        <f t="shared" ca="1" si="19"/>
        <v>19502349279.020016</v>
      </c>
      <c r="AH80" s="42">
        <f t="shared" ca="1" si="19"/>
        <v>18492106467.443348</v>
      </c>
      <c r="AI80" s="42">
        <f t="shared" ca="1" si="19"/>
        <v>17278912225.802956</v>
      </c>
    </row>
    <row r="82" spans="2:52">
      <c r="B82" s="29" t="s">
        <v>526</v>
      </c>
    </row>
    <row r="83" spans="2:52">
      <c r="B83" s="2" t="s">
        <v>522</v>
      </c>
      <c r="C83" s="144" t="str">
        <f>$C$31</f>
        <v>US$</v>
      </c>
      <c r="D83" s="41">
        <f ca="1">SUM(I83:AI83)</f>
        <v>33391283883.505978</v>
      </c>
      <c r="I83" s="41">
        <f t="shared" ref="I83:AI83" ca="1" si="20">I32*I73</f>
        <v>0</v>
      </c>
      <c r="J83" s="41">
        <f t="shared" ca="1" si="20"/>
        <v>-132913371.73613448</v>
      </c>
      <c r="K83" s="41">
        <f t="shared" ca="1" si="20"/>
        <v>632979160.75820267</v>
      </c>
      <c r="L83" s="41">
        <f t="shared" ca="1" si="20"/>
        <v>1113384145.8202512</v>
      </c>
      <c r="M83" s="41">
        <f t="shared" ca="1" si="20"/>
        <v>1307343777.7768016</v>
      </c>
      <c r="N83" s="41">
        <f t="shared" ca="1" si="20"/>
        <v>1264692907.9545906</v>
      </c>
      <c r="O83" s="41">
        <f t="shared" ca="1" si="20"/>
        <v>1349315140.1386206</v>
      </c>
      <c r="P83" s="41">
        <f t="shared" ca="1" si="20"/>
        <v>1425359922.7759254</v>
      </c>
      <c r="Q83" s="41">
        <f t="shared" ca="1" si="20"/>
        <v>1503447690.4102097</v>
      </c>
      <c r="R83" s="41">
        <f t="shared" ca="1" si="20"/>
        <v>1324092719.1085794</v>
      </c>
      <c r="S83" s="41">
        <f t="shared" ca="1" si="20"/>
        <v>1283070151.1751375</v>
      </c>
      <c r="T83" s="41">
        <f t="shared" ca="1" si="20"/>
        <v>1361126777.7746472</v>
      </c>
      <c r="U83" s="41">
        <f t="shared" ca="1" si="20"/>
        <v>1442257475.690588</v>
      </c>
      <c r="V83" s="41">
        <f t="shared" ca="1" si="20"/>
        <v>1528178348.3972325</v>
      </c>
      <c r="W83" s="41">
        <f t="shared" ca="1" si="20"/>
        <v>1616160258.3257608</v>
      </c>
      <c r="X83" s="41">
        <f t="shared" ca="1" si="20"/>
        <v>1235546330.5832512</v>
      </c>
      <c r="Y83" s="41">
        <f t="shared" ca="1" si="20"/>
        <v>1172655466.6061137</v>
      </c>
      <c r="Z83" s="41">
        <f t="shared" ca="1" si="20"/>
        <v>1209196930.2893116</v>
      </c>
      <c r="AA83" s="41">
        <f t="shared" ca="1" si="20"/>
        <v>1245685425.722734</v>
      </c>
      <c r="AB83" s="41">
        <f t="shared" ca="1" si="20"/>
        <v>1285172638.6101649</v>
      </c>
      <c r="AC83" s="41">
        <f t="shared" ca="1" si="20"/>
        <v>1325847448.789845</v>
      </c>
      <c r="AD83" s="41">
        <f t="shared" ca="1" si="20"/>
        <v>1368791499.13083</v>
      </c>
      <c r="AE83" s="41">
        <f t="shared" ca="1" si="20"/>
        <v>1411363588.111443</v>
      </c>
      <c r="AF83" s="41">
        <f t="shared" ca="1" si="20"/>
        <v>1457366133.1732535</v>
      </c>
      <c r="AG83" s="41">
        <f t="shared" ca="1" si="20"/>
        <v>1504464392.6556954</v>
      </c>
      <c r="AH83" s="41">
        <f t="shared" ca="1" si="20"/>
        <v>1553913969.7623825</v>
      </c>
      <c r="AI83" s="41">
        <f t="shared" ca="1" si="20"/>
        <v>1602784955.700546</v>
      </c>
      <c r="AJ83" s="41">
        <f t="shared" ref="AJ83:AZ83" ca="1" si="21">AJ32*AJ73</f>
        <v>1655357824.3929558</v>
      </c>
      <c r="AK83" s="41">
        <f t="shared" ca="1" si="21"/>
        <v>1729891184.7949376</v>
      </c>
      <c r="AL83" s="41">
        <f t="shared" ca="1" si="21"/>
        <v>2140969646.930531</v>
      </c>
      <c r="AM83" s="41">
        <f t="shared" si="21"/>
        <v>0</v>
      </c>
      <c r="AN83" s="41">
        <f t="shared" si="21"/>
        <v>0</v>
      </c>
      <c r="AO83" s="41">
        <f t="shared" si="21"/>
        <v>0</v>
      </c>
      <c r="AP83" s="41">
        <f t="shared" si="21"/>
        <v>0</v>
      </c>
      <c r="AQ83" s="41">
        <f t="shared" si="21"/>
        <v>0</v>
      </c>
      <c r="AR83" s="41">
        <f t="shared" si="21"/>
        <v>0</v>
      </c>
      <c r="AS83" s="41">
        <f t="shared" si="21"/>
        <v>0</v>
      </c>
      <c r="AT83" s="41">
        <f t="shared" si="21"/>
        <v>0</v>
      </c>
      <c r="AU83" s="41">
        <f t="shared" si="21"/>
        <v>0</v>
      </c>
      <c r="AV83" s="41">
        <f t="shared" si="21"/>
        <v>0</v>
      </c>
      <c r="AW83" s="41">
        <f t="shared" si="21"/>
        <v>0</v>
      </c>
      <c r="AX83" s="41">
        <f t="shared" si="21"/>
        <v>0</v>
      </c>
      <c r="AY83" s="41">
        <f t="shared" si="21"/>
        <v>0</v>
      </c>
      <c r="AZ83" s="41">
        <f t="shared" si="21"/>
        <v>0</v>
      </c>
    </row>
    <row r="84" spans="2:52">
      <c r="B84" s="2" t="s">
        <v>523</v>
      </c>
      <c r="C84" s="144" t="str">
        <f>$C$31</f>
        <v>US$</v>
      </c>
      <c r="I84" s="41">
        <f ca="1">NPV($D$74,J83:$AG$83)*I20</f>
        <v>10014415657.077877</v>
      </c>
      <c r="J84" s="41">
        <f ca="1">NPV($D$74,K83:$AG$83)*J20</f>
        <v>11154779243.916046</v>
      </c>
      <c r="K84" s="41">
        <f ca="1">NPV($D$74,L83:$AG$83)*K20</f>
        <v>11643970875.0958</v>
      </c>
      <c r="L84" s="41">
        <f ca="1">NPV($D$74,M83:$AG$83)*L20</f>
        <v>11701970199.310186</v>
      </c>
      <c r="M84" s="41">
        <f ca="1">NPV($D$74,N83:$AG$83)*M20</f>
        <v>11571844623.583988</v>
      </c>
      <c r="N84" s="41">
        <f ca="1">NPV($D$74,O83:$AG$83)*N20</f>
        <v>11471279284.761944</v>
      </c>
      <c r="O84" s="41">
        <f ca="1">NPV($D$74,P83:$AG$83)*O20</f>
        <v>11275974840.670378</v>
      </c>
      <c r="P84" s="41">
        <f ca="1">NPV($D$74,Q83:$AG$83)*P20</f>
        <v>10984977986.865892</v>
      </c>
      <c r="Q84" s="41">
        <f ca="1">NPV($D$74,R83:$AG$83)*Q20</f>
        <v>10586619081.934393</v>
      </c>
      <c r="R84" s="41">
        <f ca="1">NPV($D$74,S83:$AG$83)*R20</f>
        <v>10327540242.468412</v>
      </c>
      <c r="S84" s="41">
        <f ca="1">NPV($D$74,T83:$AG$83)*S20</f>
        <v>10083420639.685598</v>
      </c>
      <c r="T84" s="41">
        <f ca="1">NPV($D$74,U83:$AG$83)*T20</f>
        <v>9736685978.2633209</v>
      </c>
      <c r="U84" s="41">
        <f ca="1">NPV($D$74,V83:$AG$83)*U20</f>
        <v>9273939111.9860229</v>
      </c>
      <c r="V84" s="41">
        <f ca="1">NPV($D$74,W83:$AG$83)*V20</f>
        <v>8678719038.2545872</v>
      </c>
      <c r="W84" s="41">
        <f ca="1">NPV($D$74,X83:$AG$83)*W20</f>
        <v>7935637915.1772346</v>
      </c>
      <c r="X84" s="41">
        <f ca="1">NPV($D$74,Y83:$AG$83)*X20</f>
        <v>7498416758.860815</v>
      </c>
      <c r="Y84" s="41">
        <f ca="1">NPV($D$74,Z83:$AG$83)*Y20</f>
        <v>7080102018.1960993</v>
      </c>
      <c r="Z84" s="41">
        <f ca="1">NPV($D$74,AA83:$AG$83)*Z20</f>
        <v>6583163350.9373169</v>
      </c>
      <c r="AA84" s="41">
        <f ca="1">NPV($D$74,AB83:$AG$83)*AA20</f>
        <v>5999744158.3188753</v>
      </c>
      <c r="AB84" s="41">
        <f ca="1">NPV($D$74,AC83:$AG$83)*AB20</f>
        <v>5318145782.0355911</v>
      </c>
      <c r="AC84" s="41">
        <f ca="1">NPV($D$74,AD83:$AG$83)*AC20</f>
        <v>4527303798.9185257</v>
      </c>
      <c r="AD84" s="41">
        <f ca="1">NPV($D$74,AE83:$AG$83)*AD20</f>
        <v>3613959061.9589</v>
      </c>
      <c r="AE84" s="41">
        <f ca="1">NPV($D$74,AF83:$AG$83)*AE20</f>
        <v>2566159755.4805222</v>
      </c>
      <c r="AF84" s="41">
        <f ca="1">NPV($D$74,AG83:$AG$83)*AF20</f>
        <v>1366949293.7086093</v>
      </c>
      <c r="AG84" s="41">
        <f ca="1">NPV($D$74,$AG83:AH$83)*AG20</f>
        <v>2649775886.1406746</v>
      </c>
      <c r="AH84" s="41">
        <f ca="1">NPV($D$74,$AG83:AI$83)*AH20</f>
        <v>3852003591.0640621</v>
      </c>
      <c r="AI84" s="41">
        <f ca="1">NPV($D$74,$AG83:AJ$83)*AI20</f>
        <v>4980171786.0358438</v>
      </c>
      <c r="AJ84" s="41">
        <f ca="1">NPV($D$74,$AG83:AK$83)*AJ20</f>
        <v>6051373461.3474302</v>
      </c>
      <c r="AK84" s="41">
        <f ca="1">NPV($D$74,$AG83:AL$83)*AK20</f>
        <v>7255947390.4306908</v>
      </c>
      <c r="AL84" s="41">
        <f ca="1">NPV($D$74,$AG83:AM$83)*AL20</f>
        <v>7255947390.4306908</v>
      </c>
      <c r="AM84" s="41">
        <f ca="1">NPV($D$74,$AG83:AN$83)*AM20</f>
        <v>0</v>
      </c>
      <c r="AN84" s="41">
        <f ca="1">NPV($D$74,$AG83:AO$83)*AN20</f>
        <v>0</v>
      </c>
      <c r="AO84" s="41">
        <f ca="1">NPV($D$74,$AG83:AP$83)*AO20</f>
        <v>0</v>
      </c>
      <c r="AP84" s="41">
        <f ca="1">NPV($D$74,$AG83:AQ$83)*AP20</f>
        <v>0</v>
      </c>
      <c r="AQ84" s="41">
        <f ca="1">NPV($D$74,$AG83:AR$83)*AQ20</f>
        <v>0</v>
      </c>
      <c r="AR84" s="41">
        <f ca="1">NPV($D$74,$AG83:AS$83)*AR20</f>
        <v>0</v>
      </c>
      <c r="AS84" s="41">
        <f ca="1">NPV($D$74,$AG83:AT$83)*AS20</f>
        <v>0</v>
      </c>
      <c r="AT84" s="41">
        <f ca="1">NPV($D$74,$AG83:AU$83)*AT20</f>
        <v>0</v>
      </c>
      <c r="AU84" s="41">
        <f ca="1">NPV($D$74,$AG83:AV$83)*AU20</f>
        <v>0</v>
      </c>
      <c r="AV84" s="41">
        <f ca="1">NPV($D$74,$AG83:AW$83)*AV20</f>
        <v>0</v>
      </c>
      <c r="AW84" s="41">
        <f ca="1">NPV($D$74,$AG83:AX$83)*AW20</f>
        <v>0</v>
      </c>
      <c r="AX84" s="41">
        <f ca="1">NPV($D$74,$AG83:AY$83)*AX20</f>
        <v>0</v>
      </c>
      <c r="AY84" s="41">
        <f ca="1">NPV($D$74,$AG83:AZ$83)*AY20</f>
        <v>0</v>
      </c>
      <c r="AZ84" s="41">
        <f ca="1">NPV($D$74,$AG83:BA$83)*AZ20</f>
        <v>0</v>
      </c>
    </row>
    <row r="85" spans="2:52">
      <c r="B85" s="27" t="s">
        <v>524</v>
      </c>
      <c r="C85" s="218" t="str">
        <f>$C$31</f>
        <v>US$</v>
      </c>
      <c r="D85" s="27"/>
      <c r="E85" s="27"/>
      <c r="F85" s="27"/>
      <c r="G85" s="27"/>
      <c r="H85" s="27"/>
      <c r="I85" s="43">
        <f ca="1">SUM(BS!I15:I17)*I73</f>
        <v>0</v>
      </c>
      <c r="J85" s="43">
        <f ca="1">SUM(BS!J15:J17)*J73</f>
        <v>-132913371.73613448</v>
      </c>
      <c r="K85" s="43">
        <f ca="1">SUM(BS!K15:K17)*K73</f>
        <v>632979160.75820112</v>
      </c>
      <c r="L85" s="43">
        <f ca="1">SUM(BS!L15:L17)*L73</f>
        <v>878476565.64138186</v>
      </c>
      <c r="M85" s="43">
        <f ca="1">SUM(BS!M15:M17)*M73</f>
        <v>1288299890.1069081</v>
      </c>
      <c r="N85" s="43">
        <f ca="1">SUM(BS!N15:N17)*N73</f>
        <v>1637966395.679565</v>
      </c>
      <c r="O85" s="43">
        <f ca="1">SUM(BS!O15:O17)*O73</f>
        <v>2040726817.8025031</v>
      </c>
      <c r="P85" s="43">
        <f ca="1">SUM(BS!P15:P17)*P73</f>
        <v>2485380857.1483808</v>
      </c>
      <c r="Q85" s="43">
        <f ca="1">SUM(BS!Q15:Q17)*Q73</f>
        <v>2965996236.233273</v>
      </c>
      <c r="R85" s="43">
        <f ca="1">SUM(BS!R15:R17)*R73</f>
        <v>3260022660.1744308</v>
      </c>
      <c r="S85" s="43">
        <f ca="1">SUM(BS!S15:S17)*S73</f>
        <v>3859761865.2041125</v>
      </c>
      <c r="T85" s="43">
        <f ca="1">SUM(BS!T15:T17)*T73</f>
        <v>4437755346.5319462</v>
      </c>
      <c r="U85" s="43">
        <f ca="1">SUM(BS!U15:U17)*U73</f>
        <v>4998010898.8891544</v>
      </c>
      <c r="V85" s="43">
        <f ca="1">SUM(BS!V15:V17)*V73</f>
        <v>5549935527.9177265</v>
      </c>
      <c r="W85" s="43">
        <f ca="1">SUM(BS!W15:W17)*W73</f>
        <v>6088236447.4359055</v>
      </c>
      <c r="X85" s="43">
        <f ca="1">SUM(BS!X15:X17)*X73</f>
        <v>6225215361.3162832</v>
      </c>
      <c r="Y85" s="43">
        <f ca="1">SUM(BS!Y15:Y17)*Y73</f>
        <v>6288190203.7340374</v>
      </c>
      <c r="Z85" s="43">
        <f ca="1">SUM(BS!Z15:Z17)*Z73</f>
        <v>6375851763.5649385</v>
      </c>
      <c r="AA85" s="43">
        <f ca="1">SUM(BS!AA15:AA17)*AA73</f>
        <v>6475174472.3235817</v>
      </c>
      <c r="AB85" s="43">
        <f ca="1">SUM(BS!AB15:AB17)*AB73</f>
        <v>6610492805.2316284</v>
      </c>
      <c r="AC85" s="43">
        <f ca="1">SUM(BS!AC15:AC17)*AC73</f>
        <v>6774454777.4897223</v>
      </c>
      <c r="AD85" s="43">
        <f ca="1">SUM(BS!AD15:AD17)*AD73</f>
        <v>6967936720.2900257</v>
      </c>
      <c r="AE85" s="43">
        <f ca="1">SUM(BS!AE15:AE17)*AE73</f>
        <v>7176319197.5057688</v>
      </c>
      <c r="AF85" s="43">
        <f ca="1">SUM(BS!AF15:AF17)*AF73</f>
        <v>7410087118.0503836</v>
      </c>
      <c r="AG85" s="43">
        <f ca="1">SUM(BS!AG15:AG17)*AG73</f>
        <v>7663044541.6729469</v>
      </c>
      <c r="AH85" s="43">
        <f ca="1">SUM(BS!AH15:AH17)*AH73</f>
        <v>7937849158.0875101</v>
      </c>
      <c r="AI85" s="43">
        <f ca="1">SUM(BS!AI15:AI17)*AI73</f>
        <v>8219935390.2149868</v>
      </c>
      <c r="AJ85" s="43">
        <f ca="1">SUM(BS!AJ15:AJ17)*AJ73</f>
        <v>9875293214.6079426</v>
      </c>
      <c r="AK85" s="43">
        <f ca="1">SUM(BS!AK15:AK17)*AK73</f>
        <v>11605184399.40288</v>
      </c>
      <c r="AL85" s="43">
        <f ca="1">SUM(BS!AL15:AL17)*AL73</f>
        <v>12504018718.493343</v>
      </c>
      <c r="AM85" s="43">
        <f>SUM(BS!AM15:AM17)*AM73</f>
        <v>0</v>
      </c>
      <c r="AN85" s="43">
        <f>SUM(BS!AN15:AN17)*AN73</f>
        <v>0</v>
      </c>
      <c r="AO85" s="43">
        <f>SUM(BS!AO15:AO17)*AO73</f>
        <v>0</v>
      </c>
      <c r="AP85" s="43">
        <f>SUM(BS!AP15:AP17)*AP73</f>
        <v>0</v>
      </c>
      <c r="AQ85" s="43">
        <f>SUM(BS!AQ15:AQ17)*AQ73</f>
        <v>0</v>
      </c>
      <c r="AR85" s="43">
        <f>SUM(BS!AR15:AR17)*AR73</f>
        <v>0</v>
      </c>
      <c r="AS85" s="43">
        <f>SUM(BS!AS15:AS17)*AS73</f>
        <v>0</v>
      </c>
      <c r="AT85" s="43">
        <f>SUM(BS!AT15:AT17)*AT73</f>
        <v>0</v>
      </c>
      <c r="AU85" s="43">
        <f>SUM(BS!AU15:AU17)*AU73</f>
        <v>0</v>
      </c>
      <c r="AV85" s="43">
        <f>SUM(BS!AV15:AV17)*AV73</f>
        <v>0</v>
      </c>
      <c r="AW85" s="43">
        <f>SUM(BS!AW15:AW17)*AW73</f>
        <v>0</v>
      </c>
      <c r="AX85" s="43">
        <f>SUM(BS!AX15:AX17)*AX73</f>
        <v>0</v>
      </c>
      <c r="AY85" s="43">
        <f>SUM(BS!AY15:AY17)*AY73</f>
        <v>0</v>
      </c>
      <c r="AZ85" s="43">
        <f>SUM(BS!AZ15:AZ17)*AZ73</f>
        <v>0</v>
      </c>
    </row>
    <row r="86" spans="2:52">
      <c r="B86" s="2" t="s">
        <v>525</v>
      </c>
      <c r="C86" s="144" t="str">
        <f>$C$31</f>
        <v>US$</v>
      </c>
      <c r="I86" s="42">
        <f ca="1">SUM(I83:I85)</f>
        <v>10014415657.077877</v>
      </c>
      <c r="J86" s="42">
        <f t="shared" ref="J86:AW86" ca="1" si="22">SUM(J83:J85)</f>
        <v>10888952500.443779</v>
      </c>
      <c r="K86" s="42">
        <f t="shared" ca="1" si="22"/>
        <v>12909929196.612206</v>
      </c>
      <c r="L86" s="42">
        <f t="shared" ca="1" si="22"/>
        <v>13693830910.77182</v>
      </c>
      <c r="M86" s="42">
        <f t="shared" ca="1" si="22"/>
        <v>14167488291.467699</v>
      </c>
      <c r="N86" s="42">
        <f t="shared" ca="1" si="22"/>
        <v>14373938588.396099</v>
      </c>
      <c r="O86" s="42">
        <f t="shared" ca="1" si="22"/>
        <v>14666016798.611502</v>
      </c>
      <c r="P86" s="42">
        <f t="shared" ca="1" si="22"/>
        <v>14895718766.790197</v>
      </c>
      <c r="Q86" s="42">
        <f t="shared" ca="1" si="22"/>
        <v>15056063008.577875</v>
      </c>
      <c r="R86" s="42">
        <f t="shared" ca="1" si="22"/>
        <v>14911655621.751423</v>
      </c>
      <c r="S86" s="42">
        <f t="shared" ca="1" si="22"/>
        <v>15226252656.06485</v>
      </c>
      <c r="T86" s="42">
        <f t="shared" ca="1" si="22"/>
        <v>15535568102.569914</v>
      </c>
      <c r="U86" s="42">
        <f t="shared" ca="1" si="22"/>
        <v>15714207486.565765</v>
      </c>
      <c r="V86" s="42">
        <f t="shared" ca="1" si="22"/>
        <v>15756832914.569546</v>
      </c>
      <c r="W86" s="42">
        <f t="shared" ca="1" si="22"/>
        <v>15640034620.9389</v>
      </c>
      <c r="X86" s="42">
        <f t="shared" ca="1" si="22"/>
        <v>14959178450.760349</v>
      </c>
      <c r="Y86" s="42">
        <f t="shared" ca="1" si="22"/>
        <v>14540947688.536251</v>
      </c>
      <c r="Z86" s="42">
        <f t="shared" ca="1" si="22"/>
        <v>14168212044.791567</v>
      </c>
      <c r="AA86" s="42">
        <f t="shared" ca="1" si="22"/>
        <v>13720604056.365191</v>
      </c>
      <c r="AB86" s="42">
        <f t="shared" ca="1" si="22"/>
        <v>13213811225.877384</v>
      </c>
      <c r="AC86" s="42">
        <f t="shared" ca="1" si="22"/>
        <v>12627606025.198093</v>
      </c>
      <c r="AD86" s="42">
        <f t="shared" ca="1" si="22"/>
        <v>11950687281.379757</v>
      </c>
      <c r="AE86" s="42">
        <f t="shared" ca="1" si="22"/>
        <v>11153842541.097734</v>
      </c>
      <c r="AF86" s="42">
        <f t="shared" ca="1" si="22"/>
        <v>10234402544.932247</v>
      </c>
      <c r="AG86" s="42">
        <f t="shared" ca="1" si="22"/>
        <v>11817284820.469316</v>
      </c>
      <c r="AH86" s="42">
        <f t="shared" ca="1" si="22"/>
        <v>13343766718.913956</v>
      </c>
      <c r="AI86" s="42">
        <f t="shared" ca="1" si="22"/>
        <v>14802892131.951378</v>
      </c>
      <c r="AJ86" s="42">
        <f t="shared" ca="1" si="22"/>
        <v>17582024500.348328</v>
      </c>
      <c r="AK86" s="42">
        <f t="shared" ca="1" si="22"/>
        <v>20591022974.62851</v>
      </c>
      <c r="AL86" s="42">
        <f t="shared" ca="1" si="22"/>
        <v>21900935755.854565</v>
      </c>
      <c r="AM86" s="42">
        <f t="shared" ca="1" si="22"/>
        <v>0</v>
      </c>
      <c r="AN86" s="42">
        <f t="shared" ca="1" si="22"/>
        <v>0</v>
      </c>
      <c r="AO86" s="42">
        <f t="shared" ca="1" si="22"/>
        <v>0</v>
      </c>
      <c r="AP86" s="42">
        <f t="shared" ca="1" si="22"/>
        <v>0</v>
      </c>
      <c r="AQ86" s="42">
        <f t="shared" ca="1" si="22"/>
        <v>0</v>
      </c>
      <c r="AR86" s="42">
        <f t="shared" ca="1" si="22"/>
        <v>0</v>
      </c>
      <c r="AS86" s="42">
        <f t="shared" ca="1" si="22"/>
        <v>0</v>
      </c>
      <c r="AT86" s="42">
        <f t="shared" ca="1" si="22"/>
        <v>0</v>
      </c>
      <c r="AU86" s="42">
        <f t="shared" ca="1" si="22"/>
        <v>0</v>
      </c>
      <c r="AV86" s="42">
        <f t="shared" ca="1" si="22"/>
        <v>0</v>
      </c>
      <c r="AW86" s="42">
        <f t="shared" ca="1" si="22"/>
        <v>0</v>
      </c>
    </row>
    <row r="88" spans="2:52">
      <c r="B88" s="2" t="s">
        <v>527</v>
      </c>
      <c r="C88" s="144" t="str">
        <f>$C$31</f>
        <v>US$</v>
      </c>
      <c r="I88" s="41">
        <f ca="1">'Debt Schedule'!I53</f>
        <v>0</v>
      </c>
      <c r="J88" s="41">
        <f ca="1">'Debt Schedule'!J53</f>
        <v>1895542304.3210859</v>
      </c>
      <c r="K88" s="41">
        <f ca="1">'Debt Schedule'!K53</f>
        <v>2898315764.9601583</v>
      </c>
      <c r="L88" s="41">
        <f ca="1">'Debt Schedule'!L53</f>
        <v>2484270655.6801357</v>
      </c>
      <c r="M88" s="41">
        <f ca="1">'Debt Schedule'!M53</f>
        <v>2070225546.4001131</v>
      </c>
      <c r="N88" s="41">
        <f ca="1">'Debt Schedule'!N53</f>
        <v>1656180437.1200905</v>
      </c>
      <c r="O88" s="41">
        <f ca="1">'Debt Schedule'!O53</f>
        <v>1242135327.8400679</v>
      </c>
      <c r="P88" s="41">
        <f ca="1">'Debt Schedule'!P53</f>
        <v>828090218.56004524</v>
      </c>
      <c r="Q88" s="41">
        <f ca="1">'Debt Schedule'!Q53</f>
        <v>414045109.28002262</v>
      </c>
      <c r="R88" s="41">
        <f ca="1">'Debt Schedule'!R53</f>
        <v>0</v>
      </c>
      <c r="S88" s="41">
        <f ca="1">'Debt Schedule'!S53</f>
        <v>0</v>
      </c>
      <c r="T88" s="41">
        <f ca="1">'Debt Schedule'!T53</f>
        <v>0</v>
      </c>
      <c r="U88" s="41">
        <f ca="1">'Debt Schedule'!U53</f>
        <v>0</v>
      </c>
      <c r="V88" s="41">
        <f ca="1">'Debt Schedule'!V53</f>
        <v>0</v>
      </c>
      <c r="W88" s="41">
        <f ca="1">'Debt Schedule'!W53</f>
        <v>0</v>
      </c>
      <c r="X88" s="41">
        <f ca="1">'Debt Schedule'!X53</f>
        <v>0</v>
      </c>
      <c r="Y88" s="41">
        <f ca="1">'Debt Schedule'!Y53</f>
        <v>0</v>
      </c>
      <c r="Z88" s="41">
        <f ca="1">'Debt Schedule'!Z53</f>
        <v>0</v>
      </c>
      <c r="AA88" s="41">
        <f ca="1">'Debt Schedule'!AA53</f>
        <v>0</v>
      </c>
      <c r="AB88" s="41">
        <f ca="1">'Debt Schedule'!AB53</f>
        <v>0</v>
      </c>
      <c r="AC88" s="41">
        <f ca="1">'Debt Schedule'!AC53</f>
        <v>0</v>
      </c>
      <c r="AD88" s="41">
        <f ca="1">'Debt Schedule'!AD53</f>
        <v>0</v>
      </c>
      <c r="AE88" s="41">
        <f ca="1">'Debt Schedule'!AE53</f>
        <v>0</v>
      </c>
      <c r="AF88" s="41">
        <f ca="1">'Debt Schedule'!AF53</f>
        <v>0</v>
      </c>
      <c r="AG88" s="41">
        <f ca="1">'Debt Schedule'!AG53</f>
        <v>0</v>
      </c>
      <c r="AH88" s="41">
        <f ca="1">'Debt Schedule'!AH53</f>
        <v>0</v>
      </c>
      <c r="AI88" s="41">
        <f ca="1">'Debt Schedule'!AI54</f>
        <v>0</v>
      </c>
    </row>
    <row r="90" spans="2:52">
      <c r="B90" s="2" t="s">
        <v>531</v>
      </c>
      <c r="C90" s="15" t="s">
        <v>517</v>
      </c>
      <c r="I90" s="219" t="str">
        <f ca="1">IF(IFERROR(I80/I88," ")&lt;0.01," ",IFERROR(I80/I88," "))</f>
        <v xml:space="preserve"> </v>
      </c>
      <c r="J90" s="219">
        <f t="shared" ref="J90:AR90" ca="1" si="23">IF(IFERROR(J80/J88," ")&lt;0.01," ",IFERROR(J80/J88," "))</f>
        <v>7.90444289716139</v>
      </c>
      <c r="K90" s="219">
        <f t="shared" ca="1" si="23"/>
        <v>6.0090293482674086</v>
      </c>
      <c r="L90" s="219">
        <f t="shared" ca="1" si="23"/>
        <v>7.5085552270389702</v>
      </c>
      <c r="M90" s="219">
        <f t="shared" ca="1" si="23"/>
        <v>9.4800596746788752</v>
      </c>
      <c r="N90" s="219">
        <f t="shared" ca="1" si="23"/>
        <v>12.306282532348476</v>
      </c>
      <c r="O90" s="219">
        <f t="shared" ca="1" si="23"/>
        <v>16.989195828808413</v>
      </c>
      <c r="P90" s="219">
        <f t="shared" ca="1" si="23"/>
        <v>26.306652914252666</v>
      </c>
      <c r="Q90" s="219">
        <f t="shared" ca="1" si="23"/>
        <v>54.15481836633785</v>
      </c>
      <c r="R90" s="219" t="str">
        <f t="shared" ca="1" si="23"/>
        <v xml:space="preserve"> </v>
      </c>
      <c r="S90" s="219" t="str">
        <f t="shared" ca="1" si="23"/>
        <v xml:space="preserve"> </v>
      </c>
      <c r="T90" s="219" t="str">
        <f t="shared" ca="1" si="23"/>
        <v xml:space="preserve"> </v>
      </c>
      <c r="U90" s="219" t="str">
        <f t="shared" ca="1" si="23"/>
        <v xml:space="preserve"> </v>
      </c>
      <c r="V90" s="219" t="str">
        <f t="shared" ca="1" si="23"/>
        <v xml:space="preserve"> </v>
      </c>
      <c r="W90" s="219" t="str">
        <f t="shared" ca="1" si="23"/>
        <v xml:space="preserve"> </v>
      </c>
      <c r="X90" s="219" t="str">
        <f t="shared" ca="1" si="23"/>
        <v xml:space="preserve"> </v>
      </c>
      <c r="Y90" s="219" t="str">
        <f t="shared" ca="1" si="23"/>
        <v xml:space="preserve"> </v>
      </c>
      <c r="Z90" s="219" t="str">
        <f t="shared" ca="1" si="23"/>
        <v xml:space="preserve"> </v>
      </c>
      <c r="AA90" s="219" t="str">
        <f t="shared" ca="1" si="23"/>
        <v xml:space="preserve"> </v>
      </c>
      <c r="AB90" s="219" t="str">
        <f t="shared" ca="1" si="23"/>
        <v xml:space="preserve"> </v>
      </c>
      <c r="AC90" s="219" t="str">
        <f t="shared" ca="1" si="23"/>
        <v xml:space="preserve"> </v>
      </c>
      <c r="AD90" s="219" t="str">
        <f t="shared" ca="1" si="23"/>
        <v xml:space="preserve"> </v>
      </c>
      <c r="AE90" s="219" t="str">
        <f t="shared" ca="1" si="23"/>
        <v xml:space="preserve"> </v>
      </c>
      <c r="AF90" s="219" t="str">
        <f t="shared" ca="1" si="23"/>
        <v xml:space="preserve"> </v>
      </c>
      <c r="AG90" s="219" t="str">
        <f t="shared" ca="1" si="23"/>
        <v xml:space="preserve"> </v>
      </c>
      <c r="AH90" s="219" t="str">
        <f t="shared" ca="1" si="23"/>
        <v xml:space="preserve"> </v>
      </c>
      <c r="AI90" s="219" t="str">
        <f t="shared" ca="1" si="23"/>
        <v xml:space="preserve"> </v>
      </c>
      <c r="AJ90" s="219" t="str">
        <f t="shared" si="23"/>
        <v xml:space="preserve"> </v>
      </c>
      <c r="AK90" s="219" t="str">
        <f t="shared" si="23"/>
        <v xml:space="preserve"> </v>
      </c>
      <c r="AL90" s="219" t="str">
        <f t="shared" si="23"/>
        <v xml:space="preserve"> </v>
      </c>
      <c r="AM90" s="219" t="str">
        <f t="shared" si="23"/>
        <v xml:space="preserve"> </v>
      </c>
      <c r="AN90" s="219" t="str">
        <f t="shared" si="23"/>
        <v xml:space="preserve"> </v>
      </c>
      <c r="AO90" s="219" t="str">
        <f t="shared" si="23"/>
        <v xml:space="preserve"> </v>
      </c>
      <c r="AP90" s="219" t="str">
        <f t="shared" si="23"/>
        <v xml:space="preserve"> </v>
      </c>
      <c r="AQ90" s="219" t="str">
        <f t="shared" si="23"/>
        <v xml:space="preserve"> </v>
      </c>
      <c r="AR90" s="219" t="str">
        <f t="shared" si="23"/>
        <v xml:space="preserve"> </v>
      </c>
      <c r="AS90" s="219" t="str">
        <f>IF(OR(AS29=0,AS88=0),"n/a",AS$80/AS$88)</f>
        <v>n/a</v>
      </c>
      <c r="AT90" s="219" t="str">
        <f>IF(OR(AT29=0,AT88=0),"n/a",AT$80/AT$88)</f>
        <v>n/a</v>
      </c>
      <c r="AU90" s="219" t="str">
        <f>IF(OR(AU29=0,AU88=0),"n/a",AU$80/AU$88)</f>
        <v>n/a</v>
      </c>
      <c r="AV90" s="219" t="str">
        <f>IF(OR(AV29=0,AV88=0),"n/a",AV$80/AV$88)</f>
        <v>n/a</v>
      </c>
      <c r="AW90" s="219" t="str">
        <f>IF(OR(AW29=0,AW88=0),"n/a",AW$80/AW$88)</f>
        <v>n/a</v>
      </c>
    </row>
    <row r="91" spans="2:52">
      <c r="B91" s="2" t="s">
        <v>532</v>
      </c>
      <c r="C91" s="15" t="s">
        <v>517</v>
      </c>
      <c r="I91" s="219" t="str">
        <f ca="1">IF(IFERROR(I80/I88," ")&lt;0.01," ",IFERROR(I80/I88," "))</f>
        <v xml:space="preserve"> </v>
      </c>
      <c r="J91" s="219">
        <f t="shared" ref="J91:Y91" ca="1" si="24">IF(IFERROR(J80/J88," ")&lt;0.01," ",IFERROR(J80/J88," "))</f>
        <v>7.90444289716139</v>
      </c>
      <c r="K91" s="219">
        <f t="shared" ca="1" si="24"/>
        <v>6.0090293482674086</v>
      </c>
      <c r="L91" s="219">
        <f t="shared" ca="1" si="24"/>
        <v>7.5085552270389702</v>
      </c>
      <c r="M91" s="219">
        <f t="shared" ca="1" si="24"/>
        <v>9.4800596746788752</v>
      </c>
      <c r="N91" s="219">
        <f t="shared" ca="1" si="24"/>
        <v>12.306282532348476</v>
      </c>
      <c r="O91" s="219">
        <f t="shared" ca="1" si="24"/>
        <v>16.989195828808413</v>
      </c>
      <c r="P91" s="219">
        <f t="shared" ca="1" si="24"/>
        <v>26.306652914252666</v>
      </c>
      <c r="Q91" s="219">
        <f t="shared" ca="1" si="24"/>
        <v>54.15481836633785</v>
      </c>
      <c r="R91" s="219" t="str">
        <f t="shared" ca="1" si="24"/>
        <v xml:space="preserve"> </v>
      </c>
      <c r="S91" s="219" t="str">
        <f t="shared" ca="1" si="24"/>
        <v xml:space="preserve"> </v>
      </c>
      <c r="T91" s="219" t="str">
        <f t="shared" ca="1" si="24"/>
        <v xml:space="preserve"> </v>
      </c>
      <c r="U91" s="219" t="str">
        <f t="shared" ca="1" si="24"/>
        <v xml:space="preserve"> </v>
      </c>
      <c r="V91" s="219" t="str">
        <f t="shared" ca="1" si="24"/>
        <v xml:space="preserve"> </v>
      </c>
      <c r="W91" s="219" t="str">
        <f t="shared" ca="1" si="24"/>
        <v xml:space="preserve"> </v>
      </c>
      <c r="X91" s="219" t="str">
        <f t="shared" ca="1" si="24"/>
        <v xml:space="preserve"> </v>
      </c>
      <c r="Y91" s="219" t="str">
        <f t="shared" ca="1" si="24"/>
        <v xml:space="preserve"> </v>
      </c>
      <c r="Z91" s="219" t="str">
        <f t="shared" ref="Z91:AI91" ca="1" si="25">IF(OR(Z29=0,Z88=0),"n/a",Z$86/Z$88)</f>
        <v>n/a</v>
      </c>
      <c r="AA91" s="219" t="str">
        <f t="shared" ca="1" si="25"/>
        <v>n/a</v>
      </c>
      <c r="AB91" s="219" t="str">
        <f t="shared" ca="1" si="25"/>
        <v>n/a</v>
      </c>
      <c r="AC91" s="219" t="str">
        <f t="shared" ca="1" si="25"/>
        <v>n/a</v>
      </c>
      <c r="AD91" s="219" t="str">
        <f t="shared" ca="1" si="25"/>
        <v>n/a</v>
      </c>
      <c r="AE91" s="219" t="str">
        <f t="shared" ca="1" si="25"/>
        <v>n/a</v>
      </c>
      <c r="AF91" s="219" t="str">
        <f t="shared" ca="1" si="25"/>
        <v>n/a</v>
      </c>
      <c r="AG91" s="219" t="str">
        <f t="shared" ca="1" si="25"/>
        <v>n/a</v>
      </c>
      <c r="AH91" s="219" t="str">
        <f t="shared" ca="1" si="25"/>
        <v>n/a</v>
      </c>
      <c r="AI91" s="219" t="str">
        <f t="shared" ca="1" si="25"/>
        <v>n/a</v>
      </c>
      <c r="AJ91" s="219" t="str">
        <f t="shared" ref="AJ91:AW91" si="26">IF(OR(AJ29=0,AJ88=0),"n/a",AJ$86/AJ$88)</f>
        <v>n/a</v>
      </c>
      <c r="AK91" s="219" t="str">
        <f t="shared" si="26"/>
        <v>n/a</v>
      </c>
      <c r="AL91" s="219" t="str">
        <f t="shared" si="26"/>
        <v>n/a</v>
      </c>
      <c r="AM91" s="219" t="str">
        <f t="shared" si="26"/>
        <v>n/a</v>
      </c>
      <c r="AN91" s="219" t="str">
        <f t="shared" si="26"/>
        <v>n/a</v>
      </c>
      <c r="AO91" s="219" t="str">
        <f t="shared" si="26"/>
        <v>n/a</v>
      </c>
      <c r="AP91" s="219" t="str">
        <f t="shared" si="26"/>
        <v>n/a</v>
      </c>
      <c r="AQ91" s="219" t="str">
        <f t="shared" si="26"/>
        <v>n/a</v>
      </c>
      <c r="AR91" s="219" t="str">
        <f t="shared" si="26"/>
        <v>n/a</v>
      </c>
      <c r="AS91" s="219" t="str">
        <f t="shared" si="26"/>
        <v>n/a</v>
      </c>
      <c r="AT91" s="219" t="str">
        <f t="shared" si="26"/>
        <v>n/a</v>
      </c>
      <c r="AU91" s="219" t="str">
        <f t="shared" si="26"/>
        <v>n/a</v>
      </c>
      <c r="AV91" s="219" t="str">
        <f t="shared" si="26"/>
        <v>n/a</v>
      </c>
      <c r="AW91" s="219" t="str">
        <f t="shared" si="26"/>
        <v>n/a</v>
      </c>
    </row>
    <row r="92" spans="2:52">
      <c r="C92" s="15"/>
      <c r="D92" s="213" t="s">
        <v>518</v>
      </c>
      <c r="E92" s="213" t="s">
        <v>519</v>
      </c>
    </row>
    <row r="93" spans="2:52">
      <c r="B93" s="2" t="s">
        <v>513</v>
      </c>
      <c r="C93" s="15" t="s">
        <v>517</v>
      </c>
      <c r="D93" s="214">
        <f ca="1">AVERAGE(I90:AW90)</f>
        <v>17.582379598611755</v>
      </c>
      <c r="E93" s="214">
        <f ca="1">AVERAGE(I91:AW91)</f>
        <v>17.582379598611755</v>
      </c>
    </row>
    <row r="94" spans="2:52">
      <c r="B94" s="2" t="s">
        <v>514</v>
      </c>
      <c r="C94" s="15" t="s">
        <v>517</v>
      </c>
      <c r="D94" s="214">
        <f ca="1">MIN(I90:AI90)</f>
        <v>6.0090293482674086</v>
      </c>
      <c r="E94" s="214">
        <f ca="1">MIN(I91:AI91)</f>
        <v>6.0090293482674086</v>
      </c>
    </row>
    <row r="95" spans="2:52">
      <c r="B95" s="2" t="s">
        <v>515</v>
      </c>
      <c r="C95" s="15" t="s">
        <v>180</v>
      </c>
      <c r="D95" s="139">
        <f ca="1">MATCH(D94,I90:AI90,0)</f>
        <v>3</v>
      </c>
      <c r="E95" s="295">
        <f ca="1">MATCH(E94,I91:AI91,0)</f>
        <v>3</v>
      </c>
    </row>
    <row r="96" spans="2:52">
      <c r="B96" s="2" t="s">
        <v>516</v>
      </c>
      <c r="C96" s="15" t="s">
        <v>41</v>
      </c>
      <c r="D96" s="217">
        <f ca="1">INDEX('Fixed Assets'!I3:AI3,D95)</f>
        <v>46753</v>
      </c>
      <c r="E96" s="217">
        <f ca="1">INDEX('Fixed Assets'!I3:AI3,E95)</f>
        <v>46753</v>
      </c>
    </row>
    <row r="99" spans="1:52">
      <c r="A99" s="130" t="s">
        <v>109</v>
      </c>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row>
  </sheetData>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theme="9" tint="0.39997558519241921"/>
  </sheetPr>
  <dimension ref="A1:AY63"/>
  <sheetViews>
    <sheetView workbookViewId="0">
      <selection activeCell="G37" sqref="G37"/>
    </sheetView>
  </sheetViews>
  <sheetFormatPr defaultColWidth="9.14453125" defaultRowHeight="10.5"/>
  <cols>
    <col min="1" max="1" width="3.49609375" style="2" customWidth="1"/>
    <col min="2" max="2" width="35.51171875" style="2" bestFit="1" customWidth="1"/>
    <col min="3" max="3" width="9.14453125" style="2"/>
    <col min="4" max="4" width="17.484375" style="2" customWidth="1"/>
    <col min="5" max="5" width="12.77734375" style="2" customWidth="1"/>
    <col min="6" max="8" width="9.14453125" style="2"/>
    <col min="9" max="9" width="12.64453125" style="2" customWidth="1"/>
    <col min="10" max="10" width="10.625" style="2" bestFit="1" customWidth="1"/>
    <col min="11" max="35" width="11.97265625" style="2" bestFit="1" customWidth="1"/>
    <col min="36" max="49" width="14.66015625" style="2" customWidth="1"/>
    <col min="50" max="50" width="1.74609375" style="151" customWidth="1"/>
    <col min="51" max="16384" width="9.14453125" style="2"/>
  </cols>
  <sheetData>
    <row r="1" spans="1:49" s="3265" customFormat="1" ht="14.25">
      <c r="A1" s="3259" t="s">
        <v>672</v>
      </c>
      <c r="B1" s="3260"/>
      <c r="C1" s="3260"/>
      <c r="D1" s="3260"/>
      <c r="E1" s="3260"/>
      <c r="F1" s="3260"/>
      <c r="G1" s="3260"/>
      <c r="H1" s="3260"/>
      <c r="I1" s="3260"/>
      <c r="J1" s="3260"/>
      <c r="K1" s="3260"/>
      <c r="L1" s="3260"/>
      <c r="M1" s="3260"/>
      <c r="N1" s="3260"/>
      <c r="O1" s="3260"/>
    </row>
    <row r="2" spans="1:49" s="151" customFormat="1" ht="11.25">
      <c r="A2" s="3270" t="s">
        <v>2397</v>
      </c>
      <c r="B2" s="3270"/>
      <c r="C2" s="3271"/>
      <c r="D2" s="3271"/>
      <c r="E2" s="3271"/>
      <c r="F2" s="3271"/>
      <c r="G2" s="3271"/>
      <c r="H2" s="3271" t="s">
        <v>0</v>
      </c>
      <c r="I2" s="2715">
        <f>'Timing &amp; Flags'!I2</f>
        <v>1</v>
      </c>
      <c r="J2" s="2715">
        <f>'Timing &amp; Flags'!J2</f>
        <v>2</v>
      </c>
      <c r="K2" s="2715">
        <f>'Timing &amp; Flags'!K2</f>
        <v>3</v>
      </c>
      <c r="L2" s="2715">
        <f>'Timing &amp; Flags'!L2</f>
        <v>4</v>
      </c>
      <c r="M2" s="2715">
        <f>'Timing &amp; Flags'!M2</f>
        <v>5</v>
      </c>
      <c r="N2" s="2715">
        <f>'Timing &amp; Flags'!N2</f>
        <v>6</v>
      </c>
      <c r="O2" s="2715">
        <f>'Timing &amp; Flags'!O2</f>
        <v>7</v>
      </c>
      <c r="P2" s="2715">
        <f>'Timing &amp; Flags'!P2</f>
        <v>8</v>
      </c>
      <c r="Q2" s="2715">
        <f>'Timing &amp; Flags'!Q2</f>
        <v>9</v>
      </c>
      <c r="R2" s="2715">
        <f>'Timing &amp; Flags'!R2</f>
        <v>10</v>
      </c>
      <c r="S2" s="2715">
        <f>'Timing &amp; Flags'!S2</f>
        <v>11</v>
      </c>
      <c r="T2" s="2715">
        <f>'Timing &amp; Flags'!T2</f>
        <v>12</v>
      </c>
      <c r="U2" s="2715">
        <f>'Timing &amp; Flags'!U2</f>
        <v>13</v>
      </c>
      <c r="V2" s="2715">
        <f>'Timing &amp; Flags'!V2</f>
        <v>14</v>
      </c>
      <c r="W2" s="2715">
        <f>'Timing &amp; Flags'!W2</f>
        <v>15</v>
      </c>
      <c r="X2" s="2715">
        <f>'Timing &amp; Flags'!X2</f>
        <v>16</v>
      </c>
      <c r="Y2" s="2715">
        <f>'Timing &amp; Flags'!Y2</f>
        <v>17</v>
      </c>
      <c r="Z2" s="2715">
        <f>'Timing &amp; Flags'!Z2</f>
        <v>18</v>
      </c>
      <c r="AA2" s="2715">
        <f>'Timing &amp; Flags'!AA2</f>
        <v>19</v>
      </c>
      <c r="AB2" s="2715">
        <f>'Timing &amp; Flags'!AB2</f>
        <v>20</v>
      </c>
      <c r="AC2" s="2715">
        <f>'Timing &amp; Flags'!AC2</f>
        <v>21</v>
      </c>
      <c r="AD2" s="2715">
        <f>'Timing &amp; Flags'!AD2</f>
        <v>22</v>
      </c>
      <c r="AE2" s="2715">
        <f>'Timing &amp; Flags'!AE2</f>
        <v>23</v>
      </c>
      <c r="AF2" s="2715">
        <f>'Timing &amp; Flags'!AF2</f>
        <v>24</v>
      </c>
      <c r="AG2" s="2715">
        <f>'Timing &amp; Flags'!AG2</f>
        <v>25</v>
      </c>
      <c r="AH2" s="2715">
        <f>'Timing &amp; Flags'!AH2</f>
        <v>26</v>
      </c>
      <c r="AI2" s="2715">
        <f>'Timing &amp; Flags'!AI2</f>
        <v>27</v>
      </c>
      <c r="AJ2" s="2715">
        <f>'Timing &amp; Flags'!AJ2</f>
        <v>28</v>
      </c>
      <c r="AK2" s="2715">
        <f>'Timing &amp; Flags'!AK2</f>
        <v>29</v>
      </c>
      <c r="AL2" s="2715">
        <f>'Timing &amp; Flags'!AL2</f>
        <v>30</v>
      </c>
      <c r="AM2" s="2715">
        <f>'Timing &amp; Flags'!AM2</f>
        <v>31</v>
      </c>
      <c r="AN2" s="2715">
        <f>'Timing &amp; Flags'!AN2</f>
        <v>32</v>
      </c>
      <c r="AO2" s="2715">
        <f>'Timing &amp; Flags'!AO2</f>
        <v>33</v>
      </c>
      <c r="AP2" s="2715">
        <f>'Timing &amp; Flags'!AP2</f>
        <v>34</v>
      </c>
      <c r="AQ2" s="2715">
        <f>'Timing &amp; Flags'!AQ2</f>
        <v>35</v>
      </c>
      <c r="AR2" s="2715">
        <f>'Timing &amp; Flags'!AR2</f>
        <v>36</v>
      </c>
      <c r="AS2" s="2715">
        <f>'Timing &amp; Flags'!AS2</f>
        <v>37</v>
      </c>
      <c r="AT2" s="2715">
        <f>'Timing &amp; Flags'!AT2</f>
        <v>38</v>
      </c>
      <c r="AU2" s="2715">
        <f>'Timing &amp; Flags'!AU2</f>
        <v>39</v>
      </c>
      <c r="AV2" s="2715">
        <f>'Timing &amp; Flags'!AV2</f>
        <v>40</v>
      </c>
      <c r="AW2" s="2715">
        <f>'Timing &amp; Flags'!AW2</f>
        <v>41</v>
      </c>
    </row>
    <row r="3" spans="1:49" s="151" customFormat="1" ht="11.25">
      <c r="A3" s="3270" t="s">
        <v>2395</v>
      </c>
      <c r="B3" s="3271"/>
      <c r="C3" s="3271"/>
      <c r="D3" s="3271"/>
      <c r="E3" s="3271"/>
      <c r="F3" s="3271"/>
      <c r="G3" s="3271"/>
      <c r="H3" s="3271" t="s">
        <v>1</v>
      </c>
      <c r="I3" s="3272">
        <f>'Timing &amp; Flags'!I3</f>
        <v>46023</v>
      </c>
      <c r="J3" s="3272">
        <f>'Timing &amp; Flags'!J3</f>
        <v>46388</v>
      </c>
      <c r="K3" s="3272">
        <f>'Timing &amp; Flags'!K3</f>
        <v>46753</v>
      </c>
      <c r="L3" s="3272">
        <f>'Timing &amp; Flags'!L3</f>
        <v>47119</v>
      </c>
      <c r="M3" s="3272">
        <f>'Timing &amp; Flags'!M3</f>
        <v>47484</v>
      </c>
      <c r="N3" s="3272">
        <f>'Timing &amp; Flags'!N3</f>
        <v>47849</v>
      </c>
      <c r="O3" s="3272">
        <f>'Timing &amp; Flags'!O3</f>
        <v>48214</v>
      </c>
      <c r="P3" s="3272">
        <f>'Timing &amp; Flags'!P3</f>
        <v>48580</v>
      </c>
      <c r="Q3" s="3272">
        <f>'Timing &amp; Flags'!Q3</f>
        <v>48945</v>
      </c>
      <c r="R3" s="3272">
        <f>'Timing &amp; Flags'!R3</f>
        <v>49310</v>
      </c>
      <c r="S3" s="3272">
        <f>'Timing &amp; Flags'!S3</f>
        <v>49675</v>
      </c>
      <c r="T3" s="3272">
        <f>'Timing &amp; Flags'!T3</f>
        <v>50041</v>
      </c>
      <c r="U3" s="3272">
        <f>'Timing &amp; Flags'!U3</f>
        <v>50406</v>
      </c>
      <c r="V3" s="3272">
        <f>'Timing &amp; Flags'!V3</f>
        <v>50771</v>
      </c>
      <c r="W3" s="3272">
        <f>'Timing &amp; Flags'!W3</f>
        <v>51136</v>
      </c>
      <c r="X3" s="3272">
        <f>'Timing &amp; Flags'!X3</f>
        <v>51502</v>
      </c>
      <c r="Y3" s="3272">
        <f>'Timing &amp; Flags'!Y3</f>
        <v>51867</v>
      </c>
      <c r="Z3" s="3272">
        <f>'Timing &amp; Flags'!Z3</f>
        <v>52232</v>
      </c>
      <c r="AA3" s="3272">
        <f>'Timing &amp; Flags'!AA3</f>
        <v>52597</v>
      </c>
      <c r="AB3" s="3272">
        <f>'Timing &amp; Flags'!AB3</f>
        <v>52963</v>
      </c>
      <c r="AC3" s="3272">
        <f>'Timing &amp; Flags'!AC3</f>
        <v>53328</v>
      </c>
      <c r="AD3" s="3272">
        <f>'Timing &amp; Flags'!AD3</f>
        <v>53693</v>
      </c>
      <c r="AE3" s="3272">
        <f>'Timing &amp; Flags'!AE3</f>
        <v>54058</v>
      </c>
      <c r="AF3" s="3272">
        <f>'Timing &amp; Flags'!AF3</f>
        <v>54424</v>
      </c>
      <c r="AG3" s="3272">
        <f>'Timing &amp; Flags'!AG3</f>
        <v>54789</v>
      </c>
      <c r="AH3" s="3272">
        <f>'Timing &amp; Flags'!AH3</f>
        <v>55154</v>
      </c>
      <c r="AI3" s="3272">
        <f>'Timing &amp; Flags'!AI3</f>
        <v>55519</v>
      </c>
      <c r="AJ3" s="3272">
        <f>'Timing &amp; Flags'!AJ3</f>
        <v>55885</v>
      </c>
      <c r="AK3" s="3272">
        <f>'Timing &amp; Flags'!AK3</f>
        <v>56250</v>
      </c>
      <c r="AL3" s="3272">
        <f>'Timing &amp; Flags'!AL3</f>
        <v>56615</v>
      </c>
      <c r="AM3" s="3272">
        <f>'Timing &amp; Flags'!AM3</f>
        <v>56980</v>
      </c>
      <c r="AN3" s="3272">
        <f>'Timing &amp; Flags'!AN3</f>
        <v>57346</v>
      </c>
      <c r="AO3" s="3272">
        <f>'Timing &amp; Flags'!AO3</f>
        <v>57711</v>
      </c>
      <c r="AP3" s="3272">
        <f>'Timing &amp; Flags'!AP3</f>
        <v>58076</v>
      </c>
      <c r="AQ3" s="3272">
        <f>'Timing &amp; Flags'!AQ3</f>
        <v>58441</v>
      </c>
      <c r="AR3" s="3272">
        <f>'Timing &amp; Flags'!AR3</f>
        <v>58807</v>
      </c>
      <c r="AS3" s="3272">
        <f>'Timing &amp; Flags'!AS3</f>
        <v>59172</v>
      </c>
      <c r="AT3" s="3272">
        <f>'Timing &amp; Flags'!AT3</f>
        <v>59537</v>
      </c>
      <c r="AU3" s="3272">
        <f>'Timing &amp; Flags'!AU3</f>
        <v>59902</v>
      </c>
      <c r="AV3" s="3272">
        <f>'Timing &amp; Flags'!AV3</f>
        <v>60268</v>
      </c>
      <c r="AW3" s="3272">
        <f>'Timing &amp; Flags'!AW3</f>
        <v>60633</v>
      </c>
    </row>
    <row r="4" spans="1:49" s="151" customFormat="1" ht="11.25">
      <c r="A4" s="3271" t="s">
        <v>849</v>
      </c>
      <c r="B4" s="3271"/>
      <c r="C4" s="3271"/>
      <c r="D4" s="3271"/>
      <c r="E4" s="3271"/>
      <c r="F4" s="3271"/>
      <c r="G4" s="3271"/>
      <c r="H4" s="3271" t="s">
        <v>2</v>
      </c>
      <c r="I4" s="3273">
        <f>'Timing &amp; Flags'!I4</f>
        <v>46387</v>
      </c>
      <c r="J4" s="3273">
        <f>'Timing &amp; Flags'!J4</f>
        <v>46752</v>
      </c>
      <c r="K4" s="3273">
        <f>'Timing &amp; Flags'!K4</f>
        <v>47118</v>
      </c>
      <c r="L4" s="3273">
        <f>'Timing &amp; Flags'!L4</f>
        <v>47483</v>
      </c>
      <c r="M4" s="3273">
        <f>'Timing &amp; Flags'!M4</f>
        <v>47848</v>
      </c>
      <c r="N4" s="3273">
        <f>'Timing &amp; Flags'!N4</f>
        <v>48213</v>
      </c>
      <c r="O4" s="3273">
        <f>'Timing &amp; Flags'!O4</f>
        <v>48579</v>
      </c>
      <c r="P4" s="3273">
        <f>'Timing &amp; Flags'!P4</f>
        <v>48944</v>
      </c>
      <c r="Q4" s="3273">
        <f>'Timing &amp; Flags'!Q4</f>
        <v>49309</v>
      </c>
      <c r="R4" s="3273">
        <f>'Timing &amp; Flags'!R4</f>
        <v>49674</v>
      </c>
      <c r="S4" s="3273">
        <f>'Timing &amp; Flags'!S4</f>
        <v>50040</v>
      </c>
      <c r="T4" s="3273">
        <f>'Timing &amp; Flags'!T4</f>
        <v>50405</v>
      </c>
      <c r="U4" s="3273">
        <f>'Timing &amp; Flags'!U4</f>
        <v>50770</v>
      </c>
      <c r="V4" s="3273">
        <f>'Timing &amp; Flags'!V4</f>
        <v>51135</v>
      </c>
      <c r="W4" s="3273">
        <f>'Timing &amp; Flags'!W4</f>
        <v>51501</v>
      </c>
      <c r="X4" s="3273">
        <f>'Timing &amp; Flags'!X4</f>
        <v>51866</v>
      </c>
      <c r="Y4" s="3273">
        <f>'Timing &amp; Flags'!Y4</f>
        <v>52231</v>
      </c>
      <c r="Z4" s="3273">
        <f>'Timing &amp; Flags'!Z4</f>
        <v>52596</v>
      </c>
      <c r="AA4" s="3273">
        <f>'Timing &amp; Flags'!AA4</f>
        <v>52962</v>
      </c>
      <c r="AB4" s="3273">
        <f>'Timing &amp; Flags'!AB4</f>
        <v>53327</v>
      </c>
      <c r="AC4" s="3273">
        <f>'Timing &amp; Flags'!AC4</f>
        <v>53692</v>
      </c>
      <c r="AD4" s="3273">
        <f>'Timing &amp; Flags'!AD4</f>
        <v>54057</v>
      </c>
      <c r="AE4" s="3273">
        <f>'Timing &amp; Flags'!AE4</f>
        <v>54423</v>
      </c>
      <c r="AF4" s="3273">
        <f>'Timing &amp; Flags'!AF4</f>
        <v>54788</v>
      </c>
      <c r="AG4" s="3273">
        <f>'Timing &amp; Flags'!AG4</f>
        <v>55153</v>
      </c>
      <c r="AH4" s="3273">
        <f>'Timing &amp; Flags'!AH4</f>
        <v>55518</v>
      </c>
      <c r="AI4" s="3273">
        <f>'Timing &amp; Flags'!AI4</f>
        <v>55884</v>
      </c>
      <c r="AJ4" s="3273">
        <f>'Timing &amp; Flags'!AJ4</f>
        <v>56249</v>
      </c>
      <c r="AK4" s="3273">
        <f>'Timing &amp; Flags'!AK4</f>
        <v>56614</v>
      </c>
      <c r="AL4" s="3273">
        <f>'Timing &amp; Flags'!AL4</f>
        <v>56979</v>
      </c>
      <c r="AM4" s="3273">
        <f>'Timing &amp; Flags'!AM4</f>
        <v>57345</v>
      </c>
      <c r="AN4" s="3273">
        <f>'Timing &amp; Flags'!AN4</f>
        <v>57710</v>
      </c>
      <c r="AO4" s="3273">
        <f>'Timing &amp; Flags'!AO4</f>
        <v>58075</v>
      </c>
      <c r="AP4" s="3273">
        <f>'Timing &amp; Flags'!AP4</f>
        <v>58440</v>
      </c>
      <c r="AQ4" s="3273">
        <f>'Timing &amp; Flags'!AQ4</f>
        <v>58806</v>
      </c>
      <c r="AR4" s="3273">
        <f>'Timing &amp; Flags'!AR4</f>
        <v>59171</v>
      </c>
      <c r="AS4" s="3273">
        <f>'Timing &amp; Flags'!AS4</f>
        <v>59536</v>
      </c>
      <c r="AT4" s="3273">
        <f>'Timing &amp; Flags'!AT4</f>
        <v>59901</v>
      </c>
      <c r="AU4" s="3273">
        <f>'Timing &amp; Flags'!AU4</f>
        <v>60267</v>
      </c>
      <c r="AV4" s="3273">
        <f>'Timing &amp; Flags'!AV4</f>
        <v>60632</v>
      </c>
      <c r="AW4" s="3273">
        <f>'Timing &amp; Flags'!AW4</f>
        <v>60997</v>
      </c>
    </row>
    <row r="5" spans="1:49" s="151" customFormat="1" ht="11.25">
      <c r="A5" s="3271" t="s">
        <v>640</v>
      </c>
      <c r="B5" s="3271"/>
      <c r="C5" s="3271"/>
      <c r="D5" s="3271"/>
      <c r="E5" s="3271"/>
      <c r="F5" s="3271"/>
      <c r="G5" s="3271"/>
      <c r="H5" s="3271" t="s">
        <v>3</v>
      </c>
      <c r="I5" s="2717">
        <f ca="1">'Timing &amp; Flags'!I5</f>
        <v>365</v>
      </c>
      <c r="J5" s="2717">
        <f ca="1">'Timing &amp; Flags'!J5</f>
        <v>366</v>
      </c>
      <c r="K5" s="2717">
        <f ca="1">'Timing &amp; Flags'!K5</f>
        <v>365</v>
      </c>
      <c r="L5" s="2717">
        <f ca="1">'Timing &amp; Flags'!L5</f>
        <v>365</v>
      </c>
      <c r="M5" s="2717">
        <f ca="1">'Timing &amp; Flags'!M5</f>
        <v>365</v>
      </c>
      <c r="N5" s="2717">
        <f ca="1">'Timing &amp; Flags'!N5</f>
        <v>366</v>
      </c>
      <c r="O5" s="2717">
        <f ca="1">'Timing &amp; Flags'!O5</f>
        <v>365</v>
      </c>
      <c r="P5" s="2717">
        <f ca="1">'Timing &amp; Flags'!P5</f>
        <v>365</v>
      </c>
      <c r="Q5" s="2717">
        <f ca="1">'Timing &amp; Flags'!Q5</f>
        <v>365</v>
      </c>
      <c r="R5" s="2717">
        <f ca="1">'Timing &amp; Flags'!R5</f>
        <v>366</v>
      </c>
      <c r="S5" s="2717">
        <f ca="1">'Timing &amp; Flags'!S5</f>
        <v>365</v>
      </c>
      <c r="T5" s="2717">
        <f ca="1">'Timing &amp; Flags'!T5</f>
        <v>365</v>
      </c>
      <c r="U5" s="2717">
        <f ca="1">'Timing &amp; Flags'!U5</f>
        <v>365</v>
      </c>
      <c r="V5" s="2717">
        <f ca="1">'Timing &amp; Flags'!V5</f>
        <v>366</v>
      </c>
      <c r="W5" s="2717">
        <f ca="1">'Timing &amp; Flags'!W5</f>
        <v>365</v>
      </c>
      <c r="X5" s="2717">
        <f ca="1">'Timing &amp; Flags'!X5</f>
        <v>365</v>
      </c>
      <c r="Y5" s="2717">
        <f ca="1">'Timing &amp; Flags'!Y5</f>
        <v>365</v>
      </c>
      <c r="Z5" s="2717">
        <f ca="1">'Timing &amp; Flags'!Z5</f>
        <v>366</v>
      </c>
      <c r="AA5" s="2717">
        <f ca="1">'Timing &amp; Flags'!AA5</f>
        <v>365</v>
      </c>
      <c r="AB5" s="2717">
        <f ca="1">'Timing &amp; Flags'!AB5</f>
        <v>365</v>
      </c>
      <c r="AC5" s="2717">
        <f ca="1">'Timing &amp; Flags'!AC5</f>
        <v>365</v>
      </c>
      <c r="AD5" s="2717">
        <f ca="1">'Timing &amp; Flags'!AD5</f>
        <v>366</v>
      </c>
      <c r="AE5" s="2717">
        <f ca="1">'Timing &amp; Flags'!AE5</f>
        <v>365</v>
      </c>
      <c r="AF5" s="2717">
        <f ca="1">'Timing &amp; Flags'!AF5</f>
        <v>365</v>
      </c>
      <c r="AG5" s="2717">
        <f ca="1">'Timing &amp; Flags'!AG5</f>
        <v>365</v>
      </c>
      <c r="AH5" s="2717">
        <f ca="1">'Timing &amp; Flags'!AH5</f>
        <v>366</v>
      </c>
      <c r="AI5" s="2717">
        <f ca="1">'Timing &amp; Flags'!AI5</f>
        <v>365</v>
      </c>
      <c r="AJ5" s="2717">
        <f ca="1">'Timing &amp; Flags'!AJ5</f>
        <v>365</v>
      </c>
      <c r="AK5" s="2717">
        <f ca="1">'Timing &amp; Flags'!AK5</f>
        <v>365</v>
      </c>
      <c r="AL5" s="2717">
        <f ca="1">'Timing &amp; Flags'!AL5</f>
        <v>365</v>
      </c>
      <c r="AM5" s="2717">
        <f ca="1">'Timing &amp; Flags'!AM5</f>
        <v>365</v>
      </c>
      <c r="AN5" s="2717">
        <f ca="1">'Timing &amp; Flags'!AN5</f>
        <v>365</v>
      </c>
      <c r="AO5" s="2717">
        <f ca="1">'Timing &amp; Flags'!AO5</f>
        <v>365</v>
      </c>
      <c r="AP5" s="2717">
        <f ca="1">'Timing &amp; Flags'!AP5</f>
        <v>365</v>
      </c>
      <c r="AQ5" s="2717">
        <f ca="1">'Timing &amp; Flags'!AQ5</f>
        <v>365</v>
      </c>
      <c r="AR5" s="2717">
        <f ca="1">'Timing &amp; Flags'!AR5</f>
        <v>365</v>
      </c>
      <c r="AS5" s="2717">
        <f ca="1">'Timing &amp; Flags'!AS5</f>
        <v>365</v>
      </c>
      <c r="AT5" s="2717">
        <f ca="1">'Timing &amp; Flags'!AT5</f>
        <v>365</v>
      </c>
      <c r="AU5" s="2717">
        <f ca="1">'Timing &amp; Flags'!AU5</f>
        <v>365</v>
      </c>
      <c r="AV5" s="2717">
        <f ca="1">'Timing &amp; Flags'!AV5</f>
        <v>365</v>
      </c>
      <c r="AW5" s="2717">
        <f ca="1">'Timing &amp; Flags'!AW5</f>
        <v>365</v>
      </c>
    </row>
    <row r="7" spans="1:49">
      <c r="A7" s="1" t="s">
        <v>258</v>
      </c>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9" spans="1:49">
      <c r="B9" s="10" t="s">
        <v>210</v>
      </c>
      <c r="F9" s="13"/>
    </row>
    <row r="10" spans="1:49">
      <c r="B10" s="50" t="s">
        <v>58</v>
      </c>
    </row>
    <row r="11" spans="1:49">
      <c r="B11" s="2" t="s">
        <v>59</v>
      </c>
      <c r="C11" s="15" t="s">
        <v>60</v>
      </c>
      <c r="D11" s="41">
        <f>SUM(I11:AI11)</f>
        <v>1</v>
      </c>
      <c r="I11" s="41">
        <f>'Timing &amp; Flags'!I36</f>
        <v>1</v>
      </c>
      <c r="J11" s="41">
        <f>'Timing &amp; Flags'!J36</f>
        <v>0</v>
      </c>
      <c r="K11" s="41">
        <f>'Timing &amp; Flags'!K36</f>
        <v>0</v>
      </c>
      <c r="L11" s="41">
        <f>'Timing &amp; Flags'!L36</f>
        <v>0</v>
      </c>
      <c r="M11" s="41">
        <f>'Timing &amp; Flags'!M36</f>
        <v>0</v>
      </c>
      <c r="N11" s="41">
        <f>'Timing &amp; Flags'!N36</f>
        <v>0</v>
      </c>
      <c r="O11" s="41">
        <f>'Timing &amp; Flags'!O36</f>
        <v>0</v>
      </c>
      <c r="P11" s="41">
        <f>'Timing &amp; Flags'!P36</f>
        <v>0</v>
      </c>
      <c r="Q11" s="41">
        <f>'Timing &amp; Flags'!Q36</f>
        <v>0</v>
      </c>
      <c r="R11" s="41">
        <f>'Timing &amp; Flags'!R36</f>
        <v>0</v>
      </c>
      <c r="S11" s="41">
        <f>'Timing &amp; Flags'!S36</f>
        <v>0</v>
      </c>
      <c r="T11" s="41">
        <f>'Timing &amp; Flags'!T36</f>
        <v>0</v>
      </c>
      <c r="U11" s="41">
        <f>'Timing &amp; Flags'!U36</f>
        <v>0</v>
      </c>
      <c r="V11" s="41">
        <f>'Timing &amp; Flags'!V36</f>
        <v>0</v>
      </c>
      <c r="W11" s="41">
        <f>'Timing &amp; Flags'!W36</f>
        <v>0</v>
      </c>
      <c r="X11" s="41">
        <f>'Timing &amp; Flags'!X36</f>
        <v>0</v>
      </c>
      <c r="Y11" s="41">
        <f>'Timing &amp; Flags'!Y36</f>
        <v>0</v>
      </c>
      <c r="Z11" s="41">
        <f>'Timing &amp; Flags'!Z36</f>
        <v>0</v>
      </c>
      <c r="AA11" s="41">
        <f>'Timing &amp; Flags'!AA36</f>
        <v>0</v>
      </c>
      <c r="AB11" s="41">
        <f>'Timing &amp; Flags'!AB36</f>
        <v>0</v>
      </c>
      <c r="AC11" s="41">
        <f>'Timing &amp; Flags'!AC36</f>
        <v>0</v>
      </c>
      <c r="AD11" s="41">
        <f>'Timing &amp; Flags'!AD36</f>
        <v>0</v>
      </c>
      <c r="AE11" s="41">
        <f>'Timing &amp; Flags'!AE36</f>
        <v>0</v>
      </c>
      <c r="AF11" s="41">
        <f>'Timing &amp; Flags'!AF36</f>
        <v>0</v>
      </c>
      <c r="AG11" s="41">
        <f>'Timing &amp; Flags'!AG36</f>
        <v>0</v>
      </c>
      <c r="AH11" s="41">
        <f>'Timing &amp; Flags'!AH36</f>
        <v>0</v>
      </c>
      <c r="AI11" s="41">
        <f>'Timing &amp; Flags'!AI36</f>
        <v>0</v>
      </c>
      <c r="AJ11" s="41">
        <f>'Timing &amp; Flags'!AJ36</f>
        <v>0</v>
      </c>
      <c r="AK11" s="41">
        <f>'Timing &amp; Flags'!AK36</f>
        <v>0</v>
      </c>
      <c r="AL11" s="41">
        <f>'Timing &amp; Flags'!AL36</f>
        <v>0</v>
      </c>
      <c r="AM11" s="41">
        <f>'Timing &amp; Flags'!AM36</f>
        <v>0</v>
      </c>
      <c r="AN11" s="41">
        <f>'Timing &amp; Flags'!AN36</f>
        <v>0</v>
      </c>
      <c r="AO11" s="41">
        <f>'Timing &amp; Flags'!AO36</f>
        <v>0</v>
      </c>
      <c r="AP11" s="41">
        <f>'Timing &amp; Flags'!AP36</f>
        <v>0</v>
      </c>
      <c r="AQ11" s="41">
        <f>'Timing &amp; Flags'!AQ36</f>
        <v>0</v>
      </c>
      <c r="AR11" s="41">
        <f>'Timing &amp; Flags'!AR36</f>
        <v>0</v>
      </c>
      <c r="AS11" s="41">
        <f>'Timing &amp; Flags'!AS36</f>
        <v>0</v>
      </c>
      <c r="AT11" s="41">
        <f>'Timing &amp; Flags'!AT36</f>
        <v>0</v>
      </c>
      <c r="AU11" s="41">
        <f>'Timing &amp; Flags'!AU36</f>
        <v>0</v>
      </c>
      <c r="AV11" s="41">
        <f>'Timing &amp; Flags'!AV36</f>
        <v>0</v>
      </c>
      <c r="AW11" s="41">
        <f>'Timing &amp; Flags'!AW36</f>
        <v>0</v>
      </c>
    </row>
    <row r="12" spans="1:49">
      <c r="B12" s="2" t="s">
        <v>61</v>
      </c>
      <c r="C12" s="15" t="s">
        <v>60</v>
      </c>
      <c r="D12" s="41">
        <f>SUM(I12:AI12)</f>
        <v>3</v>
      </c>
      <c r="I12" s="41">
        <f>'Timing &amp; Flags'!I37</f>
        <v>1</v>
      </c>
      <c r="J12" s="41">
        <f>'Timing &amp; Flags'!J37</f>
        <v>1</v>
      </c>
      <c r="K12" s="41">
        <f>'Timing &amp; Flags'!K37</f>
        <v>1</v>
      </c>
      <c r="L12" s="41">
        <f>'Timing &amp; Flags'!L37</f>
        <v>0</v>
      </c>
      <c r="M12" s="41">
        <f>'Timing &amp; Flags'!M37</f>
        <v>0</v>
      </c>
      <c r="N12" s="41">
        <f>'Timing &amp; Flags'!N37</f>
        <v>0</v>
      </c>
      <c r="O12" s="41">
        <f>'Timing &amp; Flags'!O37</f>
        <v>0</v>
      </c>
      <c r="P12" s="41">
        <f>'Timing &amp; Flags'!P37</f>
        <v>0</v>
      </c>
      <c r="Q12" s="41">
        <f>'Timing &amp; Flags'!Q37</f>
        <v>0</v>
      </c>
      <c r="R12" s="41">
        <f>'Timing &amp; Flags'!R37</f>
        <v>0</v>
      </c>
      <c r="S12" s="41">
        <f>'Timing &amp; Flags'!S37</f>
        <v>0</v>
      </c>
      <c r="T12" s="41">
        <f>'Timing &amp; Flags'!T37</f>
        <v>0</v>
      </c>
      <c r="U12" s="41">
        <f>'Timing &amp; Flags'!U37</f>
        <v>0</v>
      </c>
      <c r="V12" s="41">
        <f>'Timing &amp; Flags'!V37</f>
        <v>0</v>
      </c>
      <c r="W12" s="41">
        <f>'Timing &amp; Flags'!W37</f>
        <v>0</v>
      </c>
      <c r="X12" s="41">
        <f>'Timing &amp; Flags'!X37</f>
        <v>0</v>
      </c>
      <c r="Y12" s="41">
        <f>'Timing &amp; Flags'!Y37</f>
        <v>0</v>
      </c>
      <c r="Z12" s="41">
        <f>'Timing &amp; Flags'!Z37</f>
        <v>0</v>
      </c>
      <c r="AA12" s="41">
        <f>'Timing &amp; Flags'!AA37</f>
        <v>0</v>
      </c>
      <c r="AB12" s="41">
        <f>'Timing &amp; Flags'!AB37</f>
        <v>0</v>
      </c>
      <c r="AC12" s="41">
        <f>'Timing &amp; Flags'!AC37</f>
        <v>0</v>
      </c>
      <c r="AD12" s="41">
        <f>'Timing &amp; Flags'!AD37</f>
        <v>0</v>
      </c>
      <c r="AE12" s="41">
        <f>'Timing &amp; Flags'!AE37</f>
        <v>0</v>
      </c>
      <c r="AF12" s="41">
        <f>'Timing &amp; Flags'!AF37</f>
        <v>0</v>
      </c>
      <c r="AG12" s="41">
        <f>'Timing &amp; Flags'!AG37</f>
        <v>0</v>
      </c>
      <c r="AH12" s="41">
        <f>'Timing &amp; Flags'!AH37</f>
        <v>0</v>
      </c>
      <c r="AI12" s="41">
        <f>'Timing &amp; Flags'!AI37</f>
        <v>0</v>
      </c>
      <c r="AJ12" s="41">
        <f>'Timing &amp; Flags'!AJ37</f>
        <v>0</v>
      </c>
      <c r="AK12" s="41">
        <f>'Timing &amp; Flags'!AK37</f>
        <v>0</v>
      </c>
      <c r="AL12" s="41">
        <f>'Timing &amp; Flags'!AL37</f>
        <v>0</v>
      </c>
      <c r="AM12" s="41">
        <f>'Timing &amp; Flags'!AM37</f>
        <v>0</v>
      </c>
      <c r="AN12" s="41">
        <f>'Timing &amp; Flags'!AN37</f>
        <v>0</v>
      </c>
      <c r="AO12" s="41">
        <f>'Timing &amp; Flags'!AO37</f>
        <v>0</v>
      </c>
      <c r="AP12" s="41">
        <f>'Timing &amp; Flags'!AP37</f>
        <v>0</v>
      </c>
      <c r="AQ12" s="41">
        <f>'Timing &amp; Flags'!AQ37</f>
        <v>0</v>
      </c>
      <c r="AR12" s="41">
        <f>'Timing &amp; Flags'!AR37</f>
        <v>0</v>
      </c>
      <c r="AS12" s="41">
        <f>'Timing &amp; Flags'!AS37</f>
        <v>0</v>
      </c>
      <c r="AT12" s="41">
        <f>'Timing &amp; Flags'!AT37</f>
        <v>0</v>
      </c>
      <c r="AU12" s="41">
        <f>'Timing &amp; Flags'!AU37</f>
        <v>0</v>
      </c>
      <c r="AV12" s="41">
        <f>'Timing &amp; Flags'!AV37</f>
        <v>0</v>
      </c>
      <c r="AW12" s="41">
        <f>'Timing &amp; Flags'!AW37</f>
        <v>0</v>
      </c>
    </row>
    <row r="13" spans="1:49">
      <c r="B13" s="2" t="s">
        <v>62</v>
      </c>
      <c r="C13" s="15" t="s">
        <v>60</v>
      </c>
      <c r="D13" s="41">
        <f>SUM(I13:AI13)</f>
        <v>1</v>
      </c>
      <c r="F13" s="14"/>
      <c r="I13" s="41">
        <f>'Timing &amp; Flags'!I38</f>
        <v>0</v>
      </c>
      <c r="J13" s="41">
        <f>'Timing &amp; Flags'!J38</f>
        <v>0</v>
      </c>
      <c r="K13" s="41">
        <f>'Timing &amp; Flags'!K38</f>
        <v>1</v>
      </c>
      <c r="L13" s="41">
        <f>'Timing &amp; Flags'!L38</f>
        <v>0</v>
      </c>
      <c r="M13" s="41">
        <f>'Timing &amp; Flags'!M38</f>
        <v>0</v>
      </c>
      <c r="N13" s="41">
        <f>'Timing &amp; Flags'!N38</f>
        <v>0</v>
      </c>
      <c r="O13" s="41">
        <f>'Timing &amp; Flags'!O38</f>
        <v>0</v>
      </c>
      <c r="P13" s="41">
        <f>'Timing &amp; Flags'!P38</f>
        <v>0</v>
      </c>
      <c r="Q13" s="41">
        <f>'Timing &amp; Flags'!Q38</f>
        <v>0</v>
      </c>
      <c r="R13" s="41">
        <f>'Timing &amp; Flags'!R38</f>
        <v>0</v>
      </c>
      <c r="S13" s="41">
        <f>'Timing &amp; Flags'!S38</f>
        <v>0</v>
      </c>
      <c r="T13" s="41">
        <f>'Timing &amp; Flags'!T38</f>
        <v>0</v>
      </c>
      <c r="U13" s="41">
        <f>'Timing &amp; Flags'!U38</f>
        <v>0</v>
      </c>
      <c r="V13" s="41">
        <f>'Timing &amp; Flags'!V38</f>
        <v>0</v>
      </c>
      <c r="W13" s="41">
        <f>'Timing &amp; Flags'!W38</f>
        <v>0</v>
      </c>
      <c r="X13" s="41">
        <f>'Timing &amp; Flags'!X38</f>
        <v>0</v>
      </c>
      <c r="Y13" s="41">
        <f>'Timing &amp; Flags'!Y38</f>
        <v>0</v>
      </c>
      <c r="Z13" s="41">
        <f>'Timing &amp; Flags'!Z38</f>
        <v>0</v>
      </c>
      <c r="AA13" s="41">
        <f>'Timing &amp; Flags'!AA38</f>
        <v>0</v>
      </c>
      <c r="AB13" s="41">
        <f>'Timing &amp; Flags'!AB38</f>
        <v>0</v>
      </c>
      <c r="AC13" s="41">
        <f>'Timing &amp; Flags'!AC38</f>
        <v>0</v>
      </c>
      <c r="AD13" s="41">
        <f>'Timing &amp; Flags'!AD38</f>
        <v>0</v>
      </c>
      <c r="AE13" s="41">
        <f>'Timing &amp; Flags'!AE38</f>
        <v>0</v>
      </c>
      <c r="AF13" s="41">
        <f>'Timing &amp; Flags'!AF38</f>
        <v>0</v>
      </c>
      <c r="AG13" s="41">
        <f>'Timing &amp; Flags'!AG38</f>
        <v>0</v>
      </c>
      <c r="AH13" s="41">
        <f>'Timing &amp; Flags'!AH38</f>
        <v>0</v>
      </c>
      <c r="AI13" s="41">
        <f>'Timing &amp; Flags'!AI38</f>
        <v>0</v>
      </c>
      <c r="AJ13" s="41">
        <f>'Timing &amp; Flags'!AJ38</f>
        <v>0</v>
      </c>
      <c r="AK13" s="41">
        <f>'Timing &amp; Flags'!AK38</f>
        <v>0</v>
      </c>
      <c r="AL13" s="41">
        <f>'Timing &amp; Flags'!AL38</f>
        <v>0</v>
      </c>
      <c r="AM13" s="41">
        <f>'Timing &amp; Flags'!AM38</f>
        <v>0</v>
      </c>
      <c r="AN13" s="41">
        <f>'Timing &amp; Flags'!AN38</f>
        <v>0</v>
      </c>
      <c r="AO13" s="41">
        <f>'Timing &amp; Flags'!AO38</f>
        <v>0</v>
      </c>
      <c r="AP13" s="41">
        <f>'Timing &amp; Flags'!AP38</f>
        <v>0</v>
      </c>
      <c r="AQ13" s="41">
        <f>'Timing &amp; Flags'!AQ38</f>
        <v>0</v>
      </c>
      <c r="AR13" s="41">
        <f>'Timing &amp; Flags'!AR38</f>
        <v>0</v>
      </c>
      <c r="AS13" s="41">
        <f>'Timing &amp; Flags'!AS38</f>
        <v>0</v>
      </c>
      <c r="AT13" s="41">
        <f>'Timing &amp; Flags'!AT38</f>
        <v>0</v>
      </c>
      <c r="AU13" s="41">
        <f>'Timing &amp; Flags'!AU38</f>
        <v>0</v>
      </c>
      <c r="AV13" s="41">
        <f>'Timing &amp; Flags'!AV38</f>
        <v>0</v>
      </c>
      <c r="AW13" s="41">
        <f>'Timing &amp; Flags'!AW38</f>
        <v>0</v>
      </c>
    </row>
    <row r="15" spans="1:49">
      <c r="B15" s="50" t="s">
        <v>64</v>
      </c>
    </row>
    <row r="16" spans="1:49">
      <c r="B16" s="2" t="s">
        <v>65</v>
      </c>
      <c r="C16" s="15" t="s">
        <v>60</v>
      </c>
      <c r="D16" s="41">
        <f>SUM(I16:AI16)</f>
        <v>1</v>
      </c>
      <c r="I16" s="41">
        <f>'Timing &amp; Flags'!I42</f>
        <v>0</v>
      </c>
      <c r="J16" s="41">
        <f>'Timing &amp; Flags'!J42</f>
        <v>0</v>
      </c>
      <c r="K16" s="41">
        <f>'Timing &amp; Flags'!K42</f>
        <v>0</v>
      </c>
      <c r="L16" s="41">
        <f>'Timing &amp; Flags'!L42</f>
        <v>1</v>
      </c>
      <c r="M16" s="41">
        <f>'Timing &amp; Flags'!M42</f>
        <v>0</v>
      </c>
      <c r="N16" s="41">
        <f>'Timing &amp; Flags'!N42</f>
        <v>0</v>
      </c>
      <c r="O16" s="41">
        <f>'Timing &amp; Flags'!O42</f>
        <v>0</v>
      </c>
      <c r="P16" s="41">
        <f>'Timing &amp; Flags'!P42</f>
        <v>0</v>
      </c>
      <c r="Q16" s="41">
        <f>'Timing &amp; Flags'!Q42</f>
        <v>0</v>
      </c>
      <c r="R16" s="41">
        <f>'Timing &amp; Flags'!R42</f>
        <v>0</v>
      </c>
      <c r="S16" s="41">
        <f>'Timing &amp; Flags'!S42</f>
        <v>0</v>
      </c>
      <c r="T16" s="41">
        <f>'Timing &amp; Flags'!T42</f>
        <v>0</v>
      </c>
      <c r="U16" s="41">
        <f>'Timing &amp; Flags'!U42</f>
        <v>0</v>
      </c>
      <c r="V16" s="41">
        <f>'Timing &amp; Flags'!V42</f>
        <v>0</v>
      </c>
      <c r="W16" s="41">
        <f>'Timing &amp; Flags'!W42</f>
        <v>0</v>
      </c>
      <c r="X16" s="41">
        <f>'Timing &amp; Flags'!X42</f>
        <v>0</v>
      </c>
      <c r="Y16" s="41">
        <f>'Timing &amp; Flags'!Y42</f>
        <v>0</v>
      </c>
      <c r="Z16" s="41">
        <f>'Timing &amp; Flags'!Z42</f>
        <v>0</v>
      </c>
      <c r="AA16" s="41">
        <f>'Timing &amp; Flags'!AA42</f>
        <v>0</v>
      </c>
      <c r="AB16" s="41">
        <f>'Timing &amp; Flags'!AB42</f>
        <v>0</v>
      </c>
      <c r="AC16" s="41">
        <f>'Timing &amp; Flags'!AC42</f>
        <v>0</v>
      </c>
      <c r="AD16" s="41">
        <f>'Timing &amp; Flags'!AD42</f>
        <v>0</v>
      </c>
      <c r="AE16" s="41">
        <f>'Timing &amp; Flags'!AE42</f>
        <v>0</v>
      </c>
      <c r="AF16" s="41">
        <f>'Timing &amp; Flags'!AF42</f>
        <v>0</v>
      </c>
      <c r="AG16" s="41">
        <f>'Timing &amp; Flags'!AG42</f>
        <v>0</v>
      </c>
      <c r="AH16" s="41">
        <f>'Timing &amp; Flags'!AH42</f>
        <v>0</v>
      </c>
      <c r="AI16" s="41">
        <f>'Timing &amp; Flags'!AI42</f>
        <v>0</v>
      </c>
      <c r="AJ16" s="41">
        <f>'Timing &amp; Flags'!AJ42</f>
        <v>0</v>
      </c>
      <c r="AK16" s="41">
        <f>'Timing &amp; Flags'!AK42</f>
        <v>0</v>
      </c>
      <c r="AL16" s="41">
        <f>'Timing &amp; Flags'!AL42</f>
        <v>0</v>
      </c>
      <c r="AM16" s="41">
        <f>'Timing &amp; Flags'!AM42</f>
        <v>0</v>
      </c>
      <c r="AN16" s="41">
        <f>'Timing &amp; Flags'!AN42</f>
        <v>0</v>
      </c>
      <c r="AO16" s="41">
        <f>'Timing &amp; Flags'!AO42</f>
        <v>0</v>
      </c>
      <c r="AP16" s="41">
        <f>'Timing &amp; Flags'!AP42</f>
        <v>0</v>
      </c>
      <c r="AQ16" s="41">
        <f>'Timing &amp; Flags'!AQ42</f>
        <v>0</v>
      </c>
      <c r="AR16" s="41">
        <f>'Timing &amp; Flags'!AR42</f>
        <v>0</v>
      </c>
      <c r="AS16" s="41">
        <f>'Timing &amp; Flags'!AS42</f>
        <v>0</v>
      </c>
      <c r="AT16" s="41">
        <f>'Timing &amp; Flags'!AT42</f>
        <v>0</v>
      </c>
      <c r="AU16" s="41">
        <f>'Timing &amp; Flags'!AU42</f>
        <v>0</v>
      </c>
      <c r="AV16" s="41">
        <f>'Timing &amp; Flags'!AV42</f>
        <v>0</v>
      </c>
      <c r="AW16" s="41">
        <f>'Timing &amp; Flags'!AW42</f>
        <v>0</v>
      </c>
    </row>
    <row r="17" spans="1:51">
      <c r="B17" s="2" t="s">
        <v>66</v>
      </c>
      <c r="C17" s="15" t="s">
        <v>60</v>
      </c>
      <c r="D17" s="41">
        <f>SUM(I17:AI17)</f>
        <v>24</v>
      </c>
      <c r="I17" s="41">
        <f>'Timing &amp; Flags'!I43</f>
        <v>0</v>
      </c>
      <c r="J17" s="41">
        <f>'Timing &amp; Flags'!J43</f>
        <v>0</v>
      </c>
      <c r="K17" s="41">
        <f>'Timing &amp; Flags'!K43</f>
        <v>0</v>
      </c>
      <c r="L17" s="41">
        <f>'Timing &amp; Flags'!L43</f>
        <v>1</v>
      </c>
      <c r="M17" s="41">
        <f>'Timing &amp; Flags'!M43</f>
        <v>1</v>
      </c>
      <c r="N17" s="41">
        <f>'Timing &amp; Flags'!N43</f>
        <v>1</v>
      </c>
      <c r="O17" s="41">
        <f>'Timing &amp; Flags'!O43</f>
        <v>1</v>
      </c>
      <c r="P17" s="41">
        <f>'Timing &amp; Flags'!P43</f>
        <v>1</v>
      </c>
      <c r="Q17" s="41">
        <f>'Timing &amp; Flags'!Q43</f>
        <v>1</v>
      </c>
      <c r="R17" s="41">
        <f>'Timing &amp; Flags'!R43</f>
        <v>1</v>
      </c>
      <c r="S17" s="41">
        <f>'Timing &amp; Flags'!S43</f>
        <v>1</v>
      </c>
      <c r="T17" s="41">
        <f>'Timing &amp; Flags'!T43</f>
        <v>1</v>
      </c>
      <c r="U17" s="41">
        <f>'Timing &amp; Flags'!U43</f>
        <v>1</v>
      </c>
      <c r="V17" s="41">
        <f>'Timing &amp; Flags'!V43</f>
        <v>1</v>
      </c>
      <c r="W17" s="41">
        <f>'Timing &amp; Flags'!W43</f>
        <v>1</v>
      </c>
      <c r="X17" s="41">
        <f>'Timing &amp; Flags'!X43</f>
        <v>1</v>
      </c>
      <c r="Y17" s="41">
        <f>'Timing &amp; Flags'!Y43</f>
        <v>1</v>
      </c>
      <c r="Z17" s="41">
        <f>'Timing &amp; Flags'!Z43</f>
        <v>1</v>
      </c>
      <c r="AA17" s="41">
        <f>'Timing &amp; Flags'!AA43</f>
        <v>1</v>
      </c>
      <c r="AB17" s="41">
        <f>'Timing &amp; Flags'!AB43</f>
        <v>1</v>
      </c>
      <c r="AC17" s="41">
        <f>'Timing &amp; Flags'!AC43</f>
        <v>1</v>
      </c>
      <c r="AD17" s="41">
        <f>'Timing &amp; Flags'!AD43</f>
        <v>1</v>
      </c>
      <c r="AE17" s="41">
        <f>'Timing &amp; Flags'!AE43</f>
        <v>1</v>
      </c>
      <c r="AF17" s="41">
        <f>'Timing &amp; Flags'!AF43</f>
        <v>1</v>
      </c>
      <c r="AG17" s="41">
        <f>'Timing &amp; Flags'!AG43</f>
        <v>1</v>
      </c>
      <c r="AH17" s="41">
        <f>'Timing &amp; Flags'!AH43</f>
        <v>1</v>
      </c>
      <c r="AI17" s="41">
        <f>'Timing &amp; Flags'!AI43</f>
        <v>1</v>
      </c>
      <c r="AJ17" s="41">
        <f>'Timing &amp; Flags'!AJ43</f>
        <v>1</v>
      </c>
      <c r="AK17" s="41">
        <f>'Timing &amp; Flags'!AK43</f>
        <v>1</v>
      </c>
      <c r="AL17" s="41">
        <f>'Timing &amp; Flags'!AL43</f>
        <v>1</v>
      </c>
      <c r="AM17" s="41">
        <f>'Timing &amp; Flags'!AM43</f>
        <v>0</v>
      </c>
      <c r="AN17" s="41">
        <f>'Timing &amp; Flags'!AN43</f>
        <v>0</v>
      </c>
      <c r="AO17" s="41">
        <f>'Timing &amp; Flags'!AO43</f>
        <v>0</v>
      </c>
      <c r="AP17" s="41">
        <f>'Timing &amp; Flags'!AP43</f>
        <v>0</v>
      </c>
      <c r="AQ17" s="41">
        <f>'Timing &amp; Flags'!AQ43</f>
        <v>0</v>
      </c>
      <c r="AR17" s="41">
        <f>'Timing &amp; Flags'!AR43</f>
        <v>0</v>
      </c>
      <c r="AS17" s="41">
        <f>'Timing &amp; Flags'!AS43</f>
        <v>0</v>
      </c>
      <c r="AT17" s="41">
        <f>'Timing &amp; Flags'!AT43</f>
        <v>0</v>
      </c>
      <c r="AU17" s="41">
        <f>'Timing &amp; Flags'!AU43</f>
        <v>0</v>
      </c>
      <c r="AV17" s="41">
        <f>'Timing &amp; Flags'!AV43</f>
        <v>0</v>
      </c>
      <c r="AW17" s="41">
        <f>'Timing &amp; Flags'!AW43</f>
        <v>0</v>
      </c>
    </row>
    <row r="18" spans="1:51">
      <c r="B18" s="2" t="s">
        <v>67</v>
      </c>
      <c r="C18" s="15" t="s">
        <v>60</v>
      </c>
      <c r="D18" s="41">
        <f>SUM(I18:AI18)</f>
        <v>0</v>
      </c>
      <c r="I18" s="41">
        <f>'Timing &amp; Flags'!I44</f>
        <v>0</v>
      </c>
      <c r="J18" s="41">
        <f>'Timing &amp; Flags'!J44</f>
        <v>0</v>
      </c>
      <c r="K18" s="41">
        <f>'Timing &amp; Flags'!K44</f>
        <v>0</v>
      </c>
      <c r="L18" s="41">
        <f>'Timing &amp; Flags'!L44</f>
        <v>0</v>
      </c>
      <c r="M18" s="41">
        <f>'Timing &amp; Flags'!M44</f>
        <v>0</v>
      </c>
      <c r="N18" s="41">
        <f>'Timing &amp; Flags'!N44</f>
        <v>0</v>
      </c>
      <c r="O18" s="41">
        <f>'Timing &amp; Flags'!O44</f>
        <v>0</v>
      </c>
      <c r="P18" s="41">
        <f>'Timing &amp; Flags'!P44</f>
        <v>0</v>
      </c>
      <c r="Q18" s="41">
        <f>'Timing &amp; Flags'!Q44</f>
        <v>0</v>
      </c>
      <c r="R18" s="41">
        <f>'Timing &amp; Flags'!R44</f>
        <v>0</v>
      </c>
      <c r="S18" s="41">
        <f>'Timing &amp; Flags'!S44</f>
        <v>0</v>
      </c>
      <c r="T18" s="41">
        <f>'Timing &amp; Flags'!T44</f>
        <v>0</v>
      </c>
      <c r="U18" s="41">
        <f>'Timing &amp; Flags'!U44</f>
        <v>0</v>
      </c>
      <c r="V18" s="41">
        <f>'Timing &amp; Flags'!V44</f>
        <v>0</v>
      </c>
      <c r="W18" s="41">
        <f>'Timing &amp; Flags'!W44</f>
        <v>0</v>
      </c>
      <c r="X18" s="41">
        <f>'Timing &amp; Flags'!X44</f>
        <v>0</v>
      </c>
      <c r="Y18" s="41">
        <f>'Timing &amp; Flags'!Y44</f>
        <v>0</v>
      </c>
      <c r="Z18" s="41">
        <f>'Timing &amp; Flags'!Z44</f>
        <v>0</v>
      </c>
      <c r="AA18" s="41">
        <f>'Timing &amp; Flags'!AA44</f>
        <v>0</v>
      </c>
      <c r="AB18" s="41">
        <f>'Timing &amp; Flags'!AB44</f>
        <v>0</v>
      </c>
      <c r="AC18" s="41">
        <f>'Timing &amp; Flags'!AC44</f>
        <v>0</v>
      </c>
      <c r="AD18" s="41">
        <f>'Timing &amp; Flags'!AD44</f>
        <v>0</v>
      </c>
      <c r="AE18" s="41">
        <f>'Timing &amp; Flags'!AE44</f>
        <v>0</v>
      </c>
      <c r="AF18" s="41">
        <f>'Timing &amp; Flags'!AF44</f>
        <v>0</v>
      </c>
      <c r="AG18" s="41">
        <f>'Timing &amp; Flags'!AG44</f>
        <v>0</v>
      </c>
      <c r="AH18" s="41">
        <f>'Timing &amp; Flags'!AH44</f>
        <v>0</v>
      </c>
      <c r="AI18" s="41">
        <f>'Timing &amp; Flags'!AI44</f>
        <v>0</v>
      </c>
      <c r="AJ18" s="41">
        <f>'Timing &amp; Flags'!AJ44</f>
        <v>0</v>
      </c>
      <c r="AK18" s="41">
        <f>'Timing &amp; Flags'!AK44</f>
        <v>0</v>
      </c>
      <c r="AL18" s="41">
        <f>'Timing &amp; Flags'!AL44</f>
        <v>1</v>
      </c>
      <c r="AM18" s="41">
        <f>'Timing &amp; Flags'!AM44</f>
        <v>0</v>
      </c>
      <c r="AN18" s="41">
        <f>'Timing &amp; Flags'!AN44</f>
        <v>0</v>
      </c>
      <c r="AO18" s="41">
        <f>'Timing &amp; Flags'!AO44</f>
        <v>0</v>
      </c>
      <c r="AP18" s="41">
        <f>'Timing &amp; Flags'!AP44</f>
        <v>0</v>
      </c>
      <c r="AQ18" s="41">
        <f>'Timing &amp; Flags'!AQ44</f>
        <v>0</v>
      </c>
      <c r="AR18" s="41">
        <f>'Timing &amp; Flags'!AR44</f>
        <v>0</v>
      </c>
      <c r="AS18" s="41">
        <f>'Timing &amp; Flags'!AS44</f>
        <v>0</v>
      </c>
      <c r="AT18" s="41">
        <f>'Timing &amp; Flags'!AT44</f>
        <v>0</v>
      </c>
      <c r="AU18" s="41">
        <f>'Timing &amp; Flags'!AU44</f>
        <v>0</v>
      </c>
      <c r="AV18" s="41">
        <f>'Timing &amp; Flags'!AV44</f>
        <v>0</v>
      </c>
      <c r="AW18" s="41">
        <f>'Timing &amp; Flags'!AW44</f>
        <v>0</v>
      </c>
    </row>
    <row r="20" spans="1:51">
      <c r="B20" s="2" t="s">
        <v>538</v>
      </c>
      <c r="C20" s="15" t="s">
        <v>60</v>
      </c>
      <c r="D20" s="41">
        <f>SUM(I20:AI20)</f>
        <v>27</v>
      </c>
      <c r="I20" s="2">
        <f>'Timing &amp; Flags'!I49</f>
        <v>1</v>
      </c>
      <c r="J20" s="2">
        <f>'Timing &amp; Flags'!J49</f>
        <v>1</v>
      </c>
      <c r="K20" s="2">
        <f>'Timing &amp; Flags'!K49</f>
        <v>1</v>
      </c>
      <c r="L20" s="2">
        <f>'Timing &amp; Flags'!L49</f>
        <v>1</v>
      </c>
      <c r="M20" s="2">
        <f>'Timing &amp; Flags'!M49</f>
        <v>1</v>
      </c>
      <c r="N20" s="2">
        <f>'Timing &amp; Flags'!N49</f>
        <v>1</v>
      </c>
      <c r="O20" s="2">
        <f>'Timing &amp; Flags'!O49</f>
        <v>1</v>
      </c>
      <c r="P20" s="2">
        <f>'Timing &amp; Flags'!P49</f>
        <v>1</v>
      </c>
      <c r="Q20" s="2">
        <f>'Timing &amp; Flags'!Q49</f>
        <v>1</v>
      </c>
      <c r="R20" s="2">
        <f>'Timing &amp; Flags'!R49</f>
        <v>1</v>
      </c>
      <c r="S20" s="2">
        <f>'Timing &amp; Flags'!S49</f>
        <v>1</v>
      </c>
      <c r="T20" s="2">
        <f>'Timing &amp; Flags'!T49</f>
        <v>1</v>
      </c>
      <c r="U20" s="2">
        <f>'Timing &amp; Flags'!U49</f>
        <v>1</v>
      </c>
      <c r="V20" s="2">
        <f>'Timing &amp; Flags'!V49</f>
        <v>1</v>
      </c>
      <c r="W20" s="2">
        <f>'Timing &amp; Flags'!W49</f>
        <v>1</v>
      </c>
      <c r="X20" s="2">
        <f>'Timing &amp; Flags'!X49</f>
        <v>1</v>
      </c>
      <c r="Y20" s="2">
        <f>'Timing &amp; Flags'!Y49</f>
        <v>1</v>
      </c>
      <c r="Z20" s="2">
        <f>'Timing &amp; Flags'!Z49</f>
        <v>1</v>
      </c>
      <c r="AA20" s="2">
        <f>'Timing &amp; Flags'!AA49</f>
        <v>1</v>
      </c>
      <c r="AB20" s="2">
        <f>'Timing &amp; Flags'!AB49</f>
        <v>1</v>
      </c>
      <c r="AC20" s="2">
        <f>'Timing &amp; Flags'!AC49</f>
        <v>1</v>
      </c>
      <c r="AD20" s="2">
        <f>'Timing &amp; Flags'!AD49</f>
        <v>1</v>
      </c>
      <c r="AE20" s="2">
        <f>'Timing &amp; Flags'!AE49</f>
        <v>1</v>
      </c>
      <c r="AF20" s="2">
        <f>'Timing &amp; Flags'!AF49</f>
        <v>1</v>
      </c>
      <c r="AG20" s="2">
        <f>'Timing &amp; Flags'!AG49</f>
        <v>1</v>
      </c>
      <c r="AH20" s="2">
        <f>'Timing &amp; Flags'!AH49</f>
        <v>1</v>
      </c>
      <c r="AI20" s="2">
        <f>'Timing &amp; Flags'!AI49</f>
        <v>1</v>
      </c>
      <c r="AJ20" s="2">
        <f>'Timing &amp; Flags'!AJ49</f>
        <v>1</v>
      </c>
      <c r="AK20" s="2">
        <f>'Timing &amp; Flags'!AK49</f>
        <v>1</v>
      </c>
      <c r="AL20" s="2">
        <f>'Timing &amp; Flags'!AL49</f>
        <v>1</v>
      </c>
      <c r="AM20" s="2">
        <f>'Timing &amp; Flags'!AM49</f>
        <v>0</v>
      </c>
      <c r="AN20" s="2">
        <f>'Timing &amp; Flags'!AN49</f>
        <v>0</v>
      </c>
      <c r="AO20" s="2">
        <f>'Timing &amp; Flags'!AO49</f>
        <v>0</v>
      </c>
      <c r="AP20" s="2">
        <f>'Timing &amp; Flags'!AP49</f>
        <v>0</v>
      </c>
      <c r="AQ20" s="2">
        <f>'Timing &amp; Flags'!AQ49</f>
        <v>0</v>
      </c>
      <c r="AR20" s="2">
        <f>'Timing &amp; Flags'!AR49</f>
        <v>0</v>
      </c>
      <c r="AS20" s="2">
        <f>'Timing &amp; Flags'!AS49</f>
        <v>0</v>
      </c>
      <c r="AT20" s="2">
        <f>'Timing &amp; Flags'!AT49</f>
        <v>0</v>
      </c>
      <c r="AU20" s="2">
        <f>'Timing &amp; Flags'!AU49</f>
        <v>0</v>
      </c>
      <c r="AV20" s="2">
        <f>'Timing &amp; Flags'!AV49</f>
        <v>0</v>
      </c>
      <c r="AW20" s="2">
        <f>'Timing &amp; Flags'!AW49</f>
        <v>0</v>
      </c>
    </row>
    <row r="22" spans="1:51">
      <c r="B22" s="50" t="s">
        <v>69</v>
      </c>
    </row>
    <row r="23" spans="1:51">
      <c r="B23" s="2" t="s">
        <v>56</v>
      </c>
      <c r="C23" s="15" t="s">
        <v>72</v>
      </c>
      <c r="D23" s="41">
        <f ca="1">SUM(I23:AI23)</f>
        <v>3.0000074855902388</v>
      </c>
      <c r="I23" s="17">
        <f ca="1">'Timing &amp; Flags'!I54</f>
        <v>1</v>
      </c>
      <c r="J23" s="17">
        <f ca="1">'Timing &amp; Flags'!J54</f>
        <v>0.99726775956284153</v>
      </c>
      <c r="K23" s="17">
        <f ca="1">'Timing &amp; Flags'!K54</f>
        <v>1.0027397260273974</v>
      </c>
      <c r="L23" s="17">
        <f>'Timing &amp; Flags'!L54</f>
        <v>0</v>
      </c>
      <c r="M23" s="17">
        <f>'Timing &amp; Flags'!M54</f>
        <v>0</v>
      </c>
      <c r="N23" s="17">
        <f>'Timing &amp; Flags'!N54</f>
        <v>0</v>
      </c>
      <c r="O23" s="17">
        <f>'Timing &amp; Flags'!O54</f>
        <v>0</v>
      </c>
      <c r="P23" s="17">
        <f>'Timing &amp; Flags'!P54</f>
        <v>0</v>
      </c>
      <c r="Q23" s="17">
        <f>'Timing &amp; Flags'!Q54</f>
        <v>0</v>
      </c>
      <c r="R23" s="17">
        <f>'Timing &amp; Flags'!R54</f>
        <v>0</v>
      </c>
      <c r="S23" s="17">
        <f>'Timing &amp; Flags'!S54</f>
        <v>0</v>
      </c>
      <c r="T23" s="17">
        <f>'Timing &amp; Flags'!T54</f>
        <v>0</v>
      </c>
      <c r="U23" s="17">
        <f>'Timing &amp; Flags'!U54</f>
        <v>0</v>
      </c>
      <c r="V23" s="17">
        <f>'Timing &amp; Flags'!V54</f>
        <v>0</v>
      </c>
      <c r="W23" s="17">
        <f>'Timing &amp; Flags'!W54</f>
        <v>0</v>
      </c>
      <c r="X23" s="17">
        <f>'Timing &amp; Flags'!X54</f>
        <v>0</v>
      </c>
      <c r="Y23" s="17">
        <f>'Timing &amp; Flags'!Y54</f>
        <v>0</v>
      </c>
      <c r="Z23" s="17">
        <f>'Timing &amp; Flags'!Z54</f>
        <v>0</v>
      </c>
      <c r="AA23" s="17">
        <f>'Timing &amp; Flags'!AA54</f>
        <v>0</v>
      </c>
      <c r="AB23" s="17">
        <f>'Timing &amp; Flags'!AB54</f>
        <v>0</v>
      </c>
      <c r="AC23" s="17">
        <f>'Timing &amp; Flags'!AC54</f>
        <v>0</v>
      </c>
      <c r="AD23" s="17">
        <f>'Timing &amp; Flags'!AD54</f>
        <v>0</v>
      </c>
      <c r="AE23" s="17">
        <f>'Timing &amp; Flags'!AE54</f>
        <v>0</v>
      </c>
      <c r="AF23" s="17">
        <f>'Timing &amp; Flags'!AF54</f>
        <v>0</v>
      </c>
      <c r="AG23" s="17">
        <f>'Timing &amp; Flags'!AG54</f>
        <v>0</v>
      </c>
      <c r="AH23" s="17">
        <f>'Timing &amp; Flags'!AH54</f>
        <v>0</v>
      </c>
      <c r="AI23" s="17">
        <f>'Timing &amp; Flags'!AI54</f>
        <v>0</v>
      </c>
      <c r="AJ23" s="17">
        <f>'Timing &amp; Flags'!AJ54</f>
        <v>0</v>
      </c>
      <c r="AK23" s="17">
        <f>'Timing &amp; Flags'!AK54</f>
        <v>0</v>
      </c>
      <c r="AL23" s="17">
        <f>'Timing &amp; Flags'!AL54</f>
        <v>0</v>
      </c>
      <c r="AM23" s="17">
        <f>'Timing &amp; Flags'!AM54</f>
        <v>0</v>
      </c>
      <c r="AN23" s="17">
        <f>'Timing &amp; Flags'!AN54</f>
        <v>0</v>
      </c>
      <c r="AO23" s="17">
        <f>'Timing &amp; Flags'!AO54</f>
        <v>0</v>
      </c>
      <c r="AP23" s="17">
        <f>'Timing &amp; Flags'!AP54</f>
        <v>0</v>
      </c>
      <c r="AQ23" s="17">
        <f>'Timing &amp; Flags'!AQ54</f>
        <v>0</v>
      </c>
      <c r="AR23" s="17">
        <f>'Timing &amp; Flags'!AR54</f>
        <v>0</v>
      </c>
      <c r="AS23" s="17">
        <f>'Timing &amp; Flags'!AS54</f>
        <v>0</v>
      </c>
      <c r="AT23" s="17">
        <f>'Timing &amp; Flags'!AT54</f>
        <v>0</v>
      </c>
      <c r="AU23" s="17">
        <f>'Timing &amp; Flags'!AU54</f>
        <v>0</v>
      </c>
      <c r="AV23" s="17">
        <f>'Timing &amp; Flags'!AV54</f>
        <v>0</v>
      </c>
      <c r="AW23" s="17">
        <f>'Timing &amp; Flags'!AW54</f>
        <v>0</v>
      </c>
    </row>
    <row r="24" spans="1:51">
      <c r="B24" s="27" t="s">
        <v>57</v>
      </c>
      <c r="C24" s="15" t="s">
        <v>72</v>
      </c>
      <c r="D24" s="43">
        <f ca="1">SUM(I24:AI24)</f>
        <v>24.00004491354143</v>
      </c>
      <c r="E24" s="27"/>
      <c r="F24" s="27"/>
      <c r="G24" s="27"/>
      <c r="H24" s="27"/>
      <c r="I24" s="116">
        <f>'Timing &amp; Flags'!I55</f>
        <v>0</v>
      </c>
      <c r="J24" s="116">
        <f>'Timing &amp; Flags'!J55</f>
        <v>0</v>
      </c>
      <c r="K24" s="116">
        <f>'Timing &amp; Flags'!K55</f>
        <v>0</v>
      </c>
      <c r="L24" s="116">
        <f ca="1">'Timing &amp; Flags'!L55</f>
        <v>1</v>
      </c>
      <c r="M24" s="116">
        <f ca="1">'Timing &amp; Flags'!M55</f>
        <v>1</v>
      </c>
      <c r="N24" s="116">
        <f ca="1">'Timing &amp; Flags'!N55</f>
        <v>0.99726775956284153</v>
      </c>
      <c r="O24" s="116">
        <f ca="1">'Timing &amp; Flags'!O55</f>
        <v>1.0027397260273974</v>
      </c>
      <c r="P24" s="116">
        <f ca="1">'Timing &amp; Flags'!P55</f>
        <v>1</v>
      </c>
      <c r="Q24" s="116">
        <f ca="1">'Timing &amp; Flags'!Q55</f>
        <v>1</v>
      </c>
      <c r="R24" s="116">
        <f ca="1">'Timing &amp; Flags'!R55</f>
        <v>0.99726775956284153</v>
      </c>
      <c r="S24" s="116">
        <f ca="1">'Timing &amp; Flags'!S55</f>
        <v>1.0027397260273974</v>
      </c>
      <c r="T24" s="116">
        <f ca="1">'Timing &amp; Flags'!T55</f>
        <v>1</v>
      </c>
      <c r="U24" s="116">
        <f ca="1">'Timing &amp; Flags'!U55</f>
        <v>1</v>
      </c>
      <c r="V24" s="116">
        <f ca="1">'Timing &amp; Flags'!V55</f>
        <v>0.99726775956284153</v>
      </c>
      <c r="W24" s="116">
        <f ca="1">'Timing &amp; Flags'!W55</f>
        <v>1.0027397260273974</v>
      </c>
      <c r="X24" s="116">
        <f ca="1">'Timing &amp; Flags'!X55</f>
        <v>1</v>
      </c>
      <c r="Y24" s="116">
        <f ca="1">'Timing &amp; Flags'!Y55</f>
        <v>1</v>
      </c>
      <c r="Z24" s="116">
        <f ca="1">'Timing &amp; Flags'!Z55</f>
        <v>0.99726775956284153</v>
      </c>
      <c r="AA24" s="116">
        <f ca="1">'Timing &amp; Flags'!AA55</f>
        <v>1.0027397260273974</v>
      </c>
      <c r="AB24" s="116">
        <f ca="1">'Timing &amp; Flags'!AB55</f>
        <v>1</v>
      </c>
      <c r="AC24" s="116">
        <f ca="1">'Timing &amp; Flags'!AC55</f>
        <v>1</v>
      </c>
      <c r="AD24" s="116">
        <f ca="1">'Timing &amp; Flags'!AD55</f>
        <v>0.99726775956284153</v>
      </c>
      <c r="AE24" s="116">
        <f ca="1">'Timing &amp; Flags'!AE55</f>
        <v>1.0027397260273974</v>
      </c>
      <c r="AF24" s="116">
        <f ca="1">'Timing &amp; Flags'!AF55</f>
        <v>1</v>
      </c>
      <c r="AG24" s="116">
        <f ca="1">'Timing &amp; Flags'!AG55</f>
        <v>1</v>
      </c>
      <c r="AH24" s="116">
        <f ca="1">'Timing &amp; Flags'!AH55</f>
        <v>0.99726775956284153</v>
      </c>
      <c r="AI24" s="116">
        <f ca="1">'Timing &amp; Flags'!AI55</f>
        <v>1.0027397260273974</v>
      </c>
      <c r="AJ24" s="116">
        <f ca="1">'Timing &amp; Flags'!AJ55</f>
        <v>1</v>
      </c>
      <c r="AK24" s="116">
        <f ca="1">'Timing &amp; Flags'!AK55</f>
        <v>1</v>
      </c>
      <c r="AL24" s="116">
        <f ca="1">'Timing &amp; Flags'!AL55</f>
        <v>1</v>
      </c>
      <c r="AM24" s="116">
        <f>'Timing &amp; Flags'!AM55</f>
        <v>0</v>
      </c>
      <c r="AN24" s="116">
        <f>'Timing &amp; Flags'!AN55</f>
        <v>0</v>
      </c>
      <c r="AO24" s="116">
        <f>'Timing &amp; Flags'!AO55</f>
        <v>0</v>
      </c>
      <c r="AP24" s="116">
        <f>'Timing &amp; Flags'!AP55</f>
        <v>0</v>
      </c>
      <c r="AQ24" s="116">
        <f>'Timing &amp; Flags'!AQ55</f>
        <v>0</v>
      </c>
      <c r="AR24" s="116">
        <f>'Timing &amp; Flags'!AR55</f>
        <v>0</v>
      </c>
      <c r="AS24" s="116">
        <f>'Timing &amp; Flags'!AS55</f>
        <v>0</v>
      </c>
      <c r="AT24" s="116">
        <f>'Timing &amp; Flags'!AT55</f>
        <v>0</v>
      </c>
      <c r="AU24" s="116">
        <f>'Timing &amp; Flags'!AU55</f>
        <v>0</v>
      </c>
      <c r="AV24" s="116">
        <f>'Timing &amp; Flags'!AV55</f>
        <v>0</v>
      </c>
      <c r="AW24" s="116">
        <f>'Timing &amp; Flags'!AW55</f>
        <v>0</v>
      </c>
    </row>
    <row r="25" spans="1:51">
      <c r="B25" s="2" t="s">
        <v>71</v>
      </c>
      <c r="C25" s="132" t="s">
        <v>72</v>
      </c>
      <c r="D25" s="42">
        <f ca="1">SUM(D23:D24)</f>
        <v>27.000052399131668</v>
      </c>
      <c r="I25" s="17">
        <f ca="1">SUM(I23:I24)</f>
        <v>1</v>
      </c>
      <c r="J25" s="17">
        <f t="shared" ref="J25:AI25" ca="1" si="0">SUM(J23:J24)</f>
        <v>0.99726775956284153</v>
      </c>
      <c r="K25" s="17">
        <f t="shared" ca="1" si="0"/>
        <v>1.0027397260273974</v>
      </c>
      <c r="L25" s="17">
        <f t="shared" ca="1" si="0"/>
        <v>1</v>
      </c>
      <c r="M25" s="17">
        <f t="shared" ca="1" si="0"/>
        <v>1</v>
      </c>
      <c r="N25" s="17">
        <f t="shared" ca="1" si="0"/>
        <v>0.99726775956284153</v>
      </c>
      <c r="O25" s="17">
        <f t="shared" ca="1" si="0"/>
        <v>1.0027397260273974</v>
      </c>
      <c r="P25" s="17">
        <f t="shared" ca="1" si="0"/>
        <v>1</v>
      </c>
      <c r="Q25" s="17">
        <f t="shared" ca="1" si="0"/>
        <v>1</v>
      </c>
      <c r="R25" s="17">
        <f t="shared" ca="1" si="0"/>
        <v>0.99726775956284153</v>
      </c>
      <c r="S25" s="17">
        <f t="shared" ca="1" si="0"/>
        <v>1.0027397260273974</v>
      </c>
      <c r="T25" s="17">
        <f t="shared" ca="1" si="0"/>
        <v>1</v>
      </c>
      <c r="U25" s="17">
        <f t="shared" ca="1" si="0"/>
        <v>1</v>
      </c>
      <c r="V25" s="17">
        <f t="shared" ca="1" si="0"/>
        <v>0.99726775956284153</v>
      </c>
      <c r="W25" s="17">
        <f t="shared" ca="1" si="0"/>
        <v>1.0027397260273974</v>
      </c>
      <c r="X25" s="17">
        <f t="shared" ca="1" si="0"/>
        <v>1</v>
      </c>
      <c r="Y25" s="17">
        <f t="shared" ca="1" si="0"/>
        <v>1</v>
      </c>
      <c r="Z25" s="17">
        <f t="shared" ca="1" si="0"/>
        <v>0.99726775956284153</v>
      </c>
      <c r="AA25" s="17">
        <f t="shared" ca="1" si="0"/>
        <v>1.0027397260273974</v>
      </c>
      <c r="AB25" s="17">
        <f t="shared" ca="1" si="0"/>
        <v>1</v>
      </c>
      <c r="AC25" s="17">
        <f t="shared" ca="1" si="0"/>
        <v>1</v>
      </c>
      <c r="AD25" s="17">
        <f t="shared" ca="1" si="0"/>
        <v>0.99726775956284153</v>
      </c>
      <c r="AE25" s="17">
        <f t="shared" ca="1" si="0"/>
        <v>1.0027397260273974</v>
      </c>
      <c r="AF25" s="17">
        <f t="shared" ca="1" si="0"/>
        <v>1</v>
      </c>
      <c r="AG25" s="17">
        <f t="shared" ca="1" si="0"/>
        <v>1</v>
      </c>
      <c r="AH25" s="17">
        <f t="shared" ca="1" si="0"/>
        <v>0.99726775956284153</v>
      </c>
      <c r="AI25" s="17">
        <f t="shared" ca="1" si="0"/>
        <v>1.0027397260273974</v>
      </c>
      <c r="AJ25" s="17">
        <f t="shared" ref="AJ25:AW25" ca="1" si="1">SUM(AJ23:AJ24)</f>
        <v>1</v>
      </c>
      <c r="AK25" s="17">
        <f t="shared" ca="1" si="1"/>
        <v>1</v>
      </c>
      <c r="AL25" s="17">
        <f t="shared" ca="1" si="1"/>
        <v>1</v>
      </c>
      <c r="AM25" s="17">
        <f t="shared" si="1"/>
        <v>0</v>
      </c>
      <c r="AN25" s="17">
        <f t="shared" si="1"/>
        <v>0</v>
      </c>
      <c r="AO25" s="17">
        <f t="shared" si="1"/>
        <v>0</v>
      </c>
      <c r="AP25" s="17">
        <f t="shared" si="1"/>
        <v>0</v>
      </c>
      <c r="AQ25" s="17">
        <f t="shared" si="1"/>
        <v>0</v>
      </c>
      <c r="AR25" s="17">
        <f t="shared" si="1"/>
        <v>0</v>
      </c>
      <c r="AS25" s="17">
        <f t="shared" si="1"/>
        <v>0</v>
      </c>
      <c r="AT25" s="17">
        <f t="shared" si="1"/>
        <v>0</v>
      </c>
      <c r="AU25" s="17">
        <f t="shared" si="1"/>
        <v>0</v>
      </c>
      <c r="AV25" s="17">
        <f t="shared" si="1"/>
        <v>0</v>
      </c>
      <c r="AW25" s="17">
        <f t="shared" si="1"/>
        <v>0</v>
      </c>
    </row>
    <row r="26" spans="1:51">
      <c r="B26" s="5"/>
    </row>
    <row r="27" spans="1:51">
      <c r="A27" s="6" t="s">
        <v>412</v>
      </c>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51">
      <c r="B28" s="5"/>
    </row>
    <row r="29" spans="1:51">
      <c r="B29" s="10" t="s">
        <v>145</v>
      </c>
    </row>
    <row r="30" spans="1:51">
      <c r="B30" s="2" t="s">
        <v>263</v>
      </c>
      <c r="C30" s="15" t="str">
        <f>IF('Input '!$F$9=1,"US$","=N=")</f>
        <v>US$</v>
      </c>
      <c r="E30" s="41">
        <f>D33</f>
        <v>0</v>
      </c>
      <c r="F30" s="41">
        <f>E33</f>
        <v>0</v>
      </c>
      <c r="G30" s="41">
        <f>F33</f>
        <v>0</v>
      </c>
      <c r="H30" s="41">
        <f>G33</f>
        <v>0</v>
      </c>
      <c r="I30" s="41">
        <f>H33</f>
        <v>0</v>
      </c>
      <c r="J30" s="41">
        <f t="shared" ref="J30:AI30" si="2">I33</f>
        <v>715288869.70235205</v>
      </c>
      <c r="K30" s="41">
        <f t="shared" si="2"/>
        <v>1242135327.8400679</v>
      </c>
      <c r="L30" s="41">
        <f t="shared" si="2"/>
        <v>1242135327.8400679</v>
      </c>
      <c r="M30" s="41">
        <f t="shared" si="2"/>
        <v>1242135327.8400679</v>
      </c>
      <c r="N30" s="41">
        <f t="shared" si="2"/>
        <v>1242135327.8400679</v>
      </c>
      <c r="O30" s="41">
        <f t="shared" si="2"/>
        <v>1242135327.8400679</v>
      </c>
      <c r="P30" s="41">
        <f t="shared" si="2"/>
        <v>1242135327.8400679</v>
      </c>
      <c r="Q30" s="41">
        <f t="shared" si="2"/>
        <v>1242135327.8400679</v>
      </c>
      <c r="R30" s="41">
        <f t="shared" si="2"/>
        <v>1242135327.8400679</v>
      </c>
      <c r="S30" s="41">
        <f t="shared" si="2"/>
        <v>1242135327.8400679</v>
      </c>
      <c r="T30" s="41">
        <f t="shared" si="2"/>
        <v>1242135327.8400679</v>
      </c>
      <c r="U30" s="41">
        <f t="shared" si="2"/>
        <v>1242135327.8400679</v>
      </c>
      <c r="V30" s="41">
        <f t="shared" si="2"/>
        <v>1242135327.8400679</v>
      </c>
      <c r="W30" s="41">
        <f t="shared" si="2"/>
        <v>1242135327.8400679</v>
      </c>
      <c r="X30" s="41">
        <f t="shared" si="2"/>
        <v>1242135327.8400679</v>
      </c>
      <c r="Y30" s="41">
        <f t="shared" si="2"/>
        <v>1242135327.8400679</v>
      </c>
      <c r="Z30" s="41">
        <f t="shared" si="2"/>
        <v>1242135327.8400679</v>
      </c>
      <c r="AA30" s="41">
        <f t="shared" si="2"/>
        <v>1242135327.8400679</v>
      </c>
      <c r="AB30" s="41">
        <f t="shared" si="2"/>
        <v>1242135327.8400679</v>
      </c>
      <c r="AC30" s="41">
        <f t="shared" si="2"/>
        <v>1242135327.8400679</v>
      </c>
      <c r="AD30" s="41">
        <f t="shared" si="2"/>
        <v>1242135327.8400679</v>
      </c>
      <c r="AE30" s="41">
        <f t="shared" si="2"/>
        <v>1242135327.8400679</v>
      </c>
      <c r="AF30" s="41">
        <f t="shared" si="2"/>
        <v>1242135327.8400679</v>
      </c>
      <c r="AG30" s="41">
        <f t="shared" si="2"/>
        <v>1242135327.8400679</v>
      </c>
      <c r="AH30" s="41">
        <f t="shared" si="2"/>
        <v>1242135327.8400679</v>
      </c>
      <c r="AI30" s="41">
        <f t="shared" si="2"/>
        <v>1242135327.8400679</v>
      </c>
      <c r="AJ30" s="41">
        <f t="shared" ref="AJ30:AW30" si="3">AI33</f>
        <v>1242135327.8400679</v>
      </c>
      <c r="AK30" s="41">
        <f t="shared" si="3"/>
        <v>1242135327.8400679</v>
      </c>
      <c r="AL30" s="41">
        <f t="shared" si="3"/>
        <v>1242135327.8400679</v>
      </c>
      <c r="AM30" s="41">
        <f t="shared" si="3"/>
        <v>0</v>
      </c>
      <c r="AN30" s="41">
        <f t="shared" si="3"/>
        <v>0</v>
      </c>
      <c r="AO30" s="41">
        <f t="shared" si="3"/>
        <v>0</v>
      </c>
      <c r="AP30" s="41">
        <f t="shared" si="3"/>
        <v>0</v>
      </c>
      <c r="AQ30" s="41">
        <f t="shared" si="3"/>
        <v>0</v>
      </c>
      <c r="AR30" s="41">
        <f t="shared" si="3"/>
        <v>0</v>
      </c>
      <c r="AS30" s="41">
        <f t="shared" si="3"/>
        <v>0</v>
      </c>
      <c r="AT30" s="41">
        <f t="shared" si="3"/>
        <v>0</v>
      </c>
      <c r="AU30" s="41">
        <f t="shared" si="3"/>
        <v>0</v>
      </c>
      <c r="AV30" s="41">
        <f t="shared" si="3"/>
        <v>0</v>
      </c>
      <c r="AW30" s="41">
        <f t="shared" si="3"/>
        <v>0</v>
      </c>
    </row>
    <row r="31" spans="1:51" s="135" customFormat="1">
      <c r="B31" s="135" t="s">
        <v>413</v>
      </c>
      <c r="C31" s="1062" t="str">
        <f>$C$30</f>
        <v>US$</v>
      </c>
      <c r="D31" s="1087">
        <f>SUM(I31:AW31)</f>
        <v>1242135327.8400679</v>
      </c>
      <c r="E31" s="1087">
        <f ca="1">SUMIF('Project Cost Monthly'!$H$5:$AI$5,Dividend!E2,'Project Cost Monthly'!$I$255:$AI$255)</f>
        <v>0</v>
      </c>
      <c r="F31" s="1087">
        <f ca="1">SUMIF('Project Cost Monthly'!$H$5:$AI$5,Dividend!F2,'Project Cost Monthly'!$I$255:$AI$255)</f>
        <v>0</v>
      </c>
      <c r="G31" s="1087">
        <f ca="1">SUMIF('Project Cost Monthly'!$H$5:$AI$5,Dividend!G2,'Project Cost Monthly'!$I$255:$AI$255)</f>
        <v>0</v>
      </c>
      <c r="H31" s="1087">
        <f ca="1">SUMIF('Project Cost Monthly'!$H$5:$AI$5,Dividend!H2,'Project Cost Monthly'!$I$255:$AI$255)</f>
        <v>0</v>
      </c>
      <c r="I31" s="1087">
        <f>SUMIF('Project Cost Monthly'!$H$6:$AY$6,Dividend!I2,'Project Cost Monthly'!$H$255:$AY$255)</f>
        <v>715288869.70235205</v>
      </c>
      <c r="J31" s="1087">
        <f>SUMIF('Project Cost Monthly'!$H$6:$AY$6,Dividend!J2,'Project Cost Monthly'!$H$255:$AY$255)</f>
        <v>526846458.1377157</v>
      </c>
      <c r="K31" s="1087">
        <f>SUMIF('Project Cost Monthly'!$H$6:$AY$6,Dividend!K2,'Project Cost Monthly'!$H$255:$AY$255)</f>
        <v>0</v>
      </c>
      <c r="L31" s="1087">
        <f>SUMIF('Project Cost Monthly'!$H$6:$AY$6,Dividend!L2,'Project Cost Monthly'!$H$255:$AY$255)</f>
        <v>0</v>
      </c>
      <c r="M31" s="1087">
        <f>SUMIF('Project Cost Monthly'!$H$6:$AY$6,Dividend!M2,'Project Cost Monthly'!$H$255:$AY$255)</f>
        <v>0</v>
      </c>
      <c r="N31" s="1087">
        <f>SUMIF('Project Cost Monthly'!$H$6:$AY$6,Dividend!N2,'Project Cost Monthly'!$H$255:$AY$255)</f>
        <v>0</v>
      </c>
      <c r="O31" s="1087">
        <f>SUMIF('Project Cost Monthly'!$H$6:$AY$6,Dividend!O2,'Project Cost Monthly'!$H$255:$AY$255)</f>
        <v>0</v>
      </c>
      <c r="P31" s="1087">
        <f>SUMIF('Project Cost Monthly'!$H$6:$AY$6,Dividend!P2,'Project Cost Monthly'!$H$255:$AY$255)</f>
        <v>0</v>
      </c>
      <c r="Q31" s="1087">
        <f>SUMIF('Project Cost Monthly'!$H$6:$AY$6,Dividend!Q2,'Project Cost Monthly'!$H$255:$AY$255)</f>
        <v>0</v>
      </c>
      <c r="R31" s="1087">
        <f>SUMIF('Project Cost Monthly'!$H$6:$AY$6,Dividend!R2,'Project Cost Monthly'!$H$255:$AY$255)</f>
        <v>0</v>
      </c>
      <c r="S31" s="1087">
        <f>SUMIF('Project Cost Monthly'!$H$6:$AY$6,Dividend!S2,'Project Cost Monthly'!$H$255:$AY$255)</f>
        <v>0</v>
      </c>
      <c r="T31" s="1087">
        <f>SUMIF('Project Cost Monthly'!$H$6:$AY$6,Dividend!T2,'Project Cost Monthly'!$H$255:$AY$255)</f>
        <v>0</v>
      </c>
      <c r="U31" s="1087">
        <f>SUMIF('Project Cost Monthly'!$H$6:$AY$6,Dividend!U2,'Project Cost Monthly'!$H$255:$AY$255)</f>
        <v>0</v>
      </c>
      <c r="V31" s="1087">
        <f>SUMIF('Project Cost Monthly'!$H$6:$AY$6,Dividend!V2,'Project Cost Monthly'!$H$255:$AY$255)</f>
        <v>0</v>
      </c>
      <c r="W31" s="1087">
        <f>SUMIF('Project Cost Monthly'!$H$6:$AY$6,Dividend!W2,'Project Cost Monthly'!$H$255:$AY$255)</f>
        <v>0</v>
      </c>
      <c r="X31" s="1087">
        <f>SUMIF('Project Cost Monthly'!$H$6:$AY$6,Dividend!X2,'Project Cost Monthly'!$H$255:$AY$255)</f>
        <v>0</v>
      </c>
      <c r="Y31" s="1087">
        <f>SUMIF('Project Cost Monthly'!$H$6:$AY$6,Dividend!Y2,'Project Cost Monthly'!$H$255:$AY$255)</f>
        <v>0</v>
      </c>
      <c r="Z31" s="1087">
        <f>SUMIF('Project Cost Monthly'!$H$6:$AY$6,Dividend!Z2,'Project Cost Monthly'!$H$255:$AY$255)</f>
        <v>0</v>
      </c>
      <c r="AA31" s="1087">
        <f>SUMIF('Project Cost Monthly'!$H$6:$AY$6,Dividend!AA2,'Project Cost Monthly'!$H$255:$AY$255)</f>
        <v>0</v>
      </c>
      <c r="AB31" s="1087">
        <f>SUMIF('Project Cost Monthly'!$H$6:$AY$6,Dividend!AB2,'Project Cost Monthly'!$H$255:$AY$255)</f>
        <v>0</v>
      </c>
      <c r="AC31" s="1087">
        <f>SUMIF('Project Cost Monthly'!$H$6:$AY$6,Dividend!AC2,'Project Cost Monthly'!$H$255:$AY$255)</f>
        <v>0</v>
      </c>
      <c r="AD31" s="1087">
        <f>SUMIF('Project Cost Monthly'!$H$6:$AY$6,Dividend!AD2,'Project Cost Monthly'!$H$255:$AY$255)</f>
        <v>0</v>
      </c>
      <c r="AE31" s="1087">
        <f>SUMIF('Project Cost Monthly'!$H$6:$AY$6,Dividend!AE2,'Project Cost Monthly'!$H$255:$AY$255)</f>
        <v>0</v>
      </c>
      <c r="AF31" s="1087">
        <f>SUMIF('Project Cost Monthly'!$H$6:$AY$6,Dividend!AF2,'Project Cost Monthly'!$H$255:$AY$255)</f>
        <v>0</v>
      </c>
      <c r="AG31" s="1087">
        <f>SUMIF('Project Cost Monthly'!$H$6:$AY$6,Dividend!AG2,'Project Cost Monthly'!$H$255:$AY$255)</f>
        <v>0</v>
      </c>
      <c r="AH31" s="1087">
        <f>SUMIF('Project Cost Monthly'!$H$6:$AY$6,Dividend!AH2,'Project Cost Monthly'!$H$255:$AY$255)</f>
        <v>0</v>
      </c>
      <c r="AI31" s="1087">
        <f>SUMIF('Project Cost Monthly'!$H$6:$AY$6,Dividend!AI2,'Project Cost Monthly'!$H$255:$AY$255)</f>
        <v>0</v>
      </c>
      <c r="AJ31" s="1087">
        <f>SUMIF('Project Cost Monthly'!$H$6:$AY$6,Dividend!AJ2,'Project Cost Monthly'!$H$255:$AY$255)</f>
        <v>0</v>
      </c>
      <c r="AK31" s="1087">
        <f>SUMIF('Project Cost Monthly'!$H$6:$AY$6,Dividend!AK2,'Project Cost Monthly'!$H$255:$AY$255)</f>
        <v>0</v>
      </c>
      <c r="AL31" s="1087">
        <f>SUMIF('Project Cost Monthly'!$H$6:$AY$6,Dividend!AL2,'Project Cost Monthly'!$H$255:$AY$255)</f>
        <v>0</v>
      </c>
      <c r="AM31" s="1087">
        <f>SUMIF('Project Cost Monthly'!$H$6:$AY$6,Dividend!AM2,'Project Cost Monthly'!$H$255:$AY$255)</f>
        <v>0</v>
      </c>
      <c r="AN31" s="1087">
        <f>SUMIF('Project Cost Monthly'!$H$6:$AY$6,Dividend!AN2,'Project Cost Monthly'!$H$255:$AY$255)</f>
        <v>0</v>
      </c>
      <c r="AO31" s="1087">
        <f>SUMIF('Project Cost Monthly'!$H$6:$AY$6,Dividend!AO2,'Project Cost Monthly'!$H$255:$AY$255)</f>
        <v>0</v>
      </c>
      <c r="AP31" s="1087">
        <f>SUMIF('Project Cost Monthly'!$H$6:$AY$6,Dividend!AP2,'Project Cost Monthly'!$H$255:$AY$255)</f>
        <v>0</v>
      </c>
      <c r="AQ31" s="1087">
        <f>SUMIF('Project Cost Monthly'!$H$6:$AY$6,Dividend!AQ2,'Project Cost Monthly'!$H$255:$AY$255)</f>
        <v>0</v>
      </c>
      <c r="AR31" s="1087">
        <f>SUMIF('Project Cost Monthly'!$H$6:$AY$6,Dividend!AR2,'Project Cost Monthly'!$H$255:$AY$255)</f>
        <v>0</v>
      </c>
      <c r="AS31" s="1087">
        <f>SUMIF('Project Cost Monthly'!$H$6:$AY$6,Dividend!AS2,'Project Cost Monthly'!$H$255:$AY$255)</f>
        <v>0</v>
      </c>
      <c r="AT31" s="1087">
        <f>SUMIF('Project Cost Monthly'!$H$6:$AY$6,Dividend!AT2,'Project Cost Monthly'!$H$255:$AY$255)</f>
        <v>0</v>
      </c>
      <c r="AU31" s="1087">
        <f>SUMIF('Project Cost Monthly'!$H$6:$AY$6,Dividend!AU2,'Project Cost Monthly'!$H$255:$AY$255)</f>
        <v>0</v>
      </c>
      <c r="AV31" s="1087">
        <f>SUMIF('Project Cost Monthly'!$H$6:$AY$6,Dividend!AV2,'Project Cost Monthly'!$H$255:$AY$255)</f>
        <v>0</v>
      </c>
      <c r="AW31" s="1087">
        <f>SUMIF('Project Cost Monthly'!$H$6:$AY$6,Dividend!AW2,'Project Cost Monthly'!$H$255:$AY$255)</f>
        <v>0</v>
      </c>
      <c r="AX31" s="151"/>
      <c r="AY31" s="2"/>
    </row>
    <row r="32" spans="1:51">
      <c r="B32" s="27" t="s">
        <v>414</v>
      </c>
      <c r="C32" s="28" t="str">
        <f>$C$30</f>
        <v>US$</v>
      </c>
      <c r="D32" s="43">
        <f>SUM(I32:AL32)</f>
        <v>-1242135327.8400679</v>
      </c>
      <c r="E32" s="43">
        <f ca="1">-SUM(E30:E31)*E18</f>
        <v>0</v>
      </c>
      <c r="F32" s="43">
        <f ca="1">-SUM(F30:F31)*F18</f>
        <v>0</v>
      </c>
      <c r="G32" s="43">
        <f ca="1">-SUM(G30:G31)*G18</f>
        <v>0</v>
      </c>
      <c r="H32" s="43">
        <f ca="1">-SUM(H30:H31)*H18</f>
        <v>0</v>
      </c>
      <c r="I32" s="43">
        <f>-SUM(I30:I31)*I18</f>
        <v>0</v>
      </c>
      <c r="J32" s="43">
        <f t="shared" ref="J32:AU32" si="4">-SUM(J30:J31)*J18</f>
        <v>0</v>
      </c>
      <c r="K32" s="43">
        <f t="shared" si="4"/>
        <v>0</v>
      </c>
      <c r="L32" s="43">
        <f t="shared" si="4"/>
        <v>0</v>
      </c>
      <c r="M32" s="43">
        <f t="shared" si="4"/>
        <v>0</v>
      </c>
      <c r="N32" s="43">
        <f t="shared" si="4"/>
        <v>0</v>
      </c>
      <c r="O32" s="43">
        <f t="shared" si="4"/>
        <v>0</v>
      </c>
      <c r="P32" s="43">
        <f t="shared" si="4"/>
        <v>0</v>
      </c>
      <c r="Q32" s="43">
        <f t="shared" si="4"/>
        <v>0</v>
      </c>
      <c r="R32" s="43">
        <f t="shared" si="4"/>
        <v>0</v>
      </c>
      <c r="S32" s="43">
        <f t="shared" si="4"/>
        <v>0</v>
      </c>
      <c r="T32" s="43">
        <f t="shared" si="4"/>
        <v>0</v>
      </c>
      <c r="U32" s="43">
        <f t="shared" si="4"/>
        <v>0</v>
      </c>
      <c r="V32" s="43">
        <f t="shared" si="4"/>
        <v>0</v>
      </c>
      <c r="W32" s="43">
        <f t="shared" si="4"/>
        <v>0</v>
      </c>
      <c r="X32" s="43">
        <f t="shared" si="4"/>
        <v>0</v>
      </c>
      <c r="Y32" s="43">
        <f t="shared" si="4"/>
        <v>0</v>
      </c>
      <c r="Z32" s="43">
        <f t="shared" si="4"/>
        <v>0</v>
      </c>
      <c r="AA32" s="43">
        <f t="shared" si="4"/>
        <v>0</v>
      </c>
      <c r="AB32" s="43">
        <f t="shared" si="4"/>
        <v>0</v>
      </c>
      <c r="AC32" s="43">
        <f t="shared" si="4"/>
        <v>0</v>
      </c>
      <c r="AD32" s="43">
        <f t="shared" si="4"/>
        <v>0</v>
      </c>
      <c r="AE32" s="43">
        <f t="shared" si="4"/>
        <v>0</v>
      </c>
      <c r="AF32" s="43">
        <f t="shared" si="4"/>
        <v>0</v>
      </c>
      <c r="AG32" s="43">
        <f t="shared" si="4"/>
        <v>0</v>
      </c>
      <c r="AH32" s="43">
        <f t="shared" si="4"/>
        <v>0</v>
      </c>
      <c r="AI32" s="43">
        <f t="shared" si="4"/>
        <v>0</v>
      </c>
      <c r="AJ32" s="43">
        <f t="shared" si="4"/>
        <v>0</v>
      </c>
      <c r="AK32" s="43">
        <f t="shared" si="4"/>
        <v>0</v>
      </c>
      <c r="AL32" s="43">
        <f>-SUM(AL30:AL31)*AL18</f>
        <v>-1242135327.8400679</v>
      </c>
      <c r="AM32" s="43">
        <f t="shared" si="4"/>
        <v>0</v>
      </c>
      <c r="AN32" s="43">
        <f t="shared" si="4"/>
        <v>0</v>
      </c>
      <c r="AO32" s="43">
        <f t="shared" si="4"/>
        <v>0</v>
      </c>
      <c r="AP32" s="43">
        <f t="shared" si="4"/>
        <v>0</v>
      </c>
      <c r="AQ32" s="43">
        <f t="shared" si="4"/>
        <v>0</v>
      </c>
      <c r="AR32" s="43">
        <f t="shared" si="4"/>
        <v>0</v>
      </c>
      <c r="AS32" s="43">
        <f t="shared" si="4"/>
        <v>0</v>
      </c>
      <c r="AT32" s="43">
        <f t="shared" si="4"/>
        <v>0</v>
      </c>
      <c r="AU32" s="43">
        <f t="shared" si="4"/>
        <v>0</v>
      </c>
      <c r="AV32" s="43">
        <f>-SUM(AV30:AV31)*AV18</f>
        <v>0</v>
      </c>
      <c r="AW32" s="43"/>
    </row>
    <row r="33" spans="1:49">
      <c r="B33" s="2" t="s">
        <v>266</v>
      </c>
      <c r="C33" s="15" t="str">
        <f>$C$30</f>
        <v>US$</v>
      </c>
      <c r="D33" s="41">
        <f>SUM(D31:D32)</f>
        <v>0</v>
      </c>
      <c r="H33" s="135"/>
      <c r="I33" s="41">
        <f>SUM(I30:I32)</f>
        <v>715288869.70235205</v>
      </c>
      <c r="J33" s="41">
        <f t="shared" ref="J33:AW33" si="5">SUM(J30:J32)</f>
        <v>1242135327.8400679</v>
      </c>
      <c r="K33" s="41">
        <f t="shared" si="5"/>
        <v>1242135327.8400679</v>
      </c>
      <c r="L33" s="41">
        <f t="shared" si="5"/>
        <v>1242135327.8400679</v>
      </c>
      <c r="M33" s="41">
        <f t="shared" si="5"/>
        <v>1242135327.8400679</v>
      </c>
      <c r="N33" s="41">
        <f t="shared" si="5"/>
        <v>1242135327.8400679</v>
      </c>
      <c r="O33" s="41">
        <f t="shared" si="5"/>
        <v>1242135327.8400679</v>
      </c>
      <c r="P33" s="41">
        <f t="shared" si="5"/>
        <v>1242135327.8400679</v>
      </c>
      <c r="Q33" s="41">
        <f t="shared" si="5"/>
        <v>1242135327.8400679</v>
      </c>
      <c r="R33" s="41">
        <f t="shared" si="5"/>
        <v>1242135327.8400679</v>
      </c>
      <c r="S33" s="41">
        <f t="shared" si="5"/>
        <v>1242135327.8400679</v>
      </c>
      <c r="T33" s="41">
        <f t="shared" si="5"/>
        <v>1242135327.8400679</v>
      </c>
      <c r="U33" s="41">
        <f t="shared" si="5"/>
        <v>1242135327.8400679</v>
      </c>
      <c r="V33" s="41">
        <f t="shared" si="5"/>
        <v>1242135327.8400679</v>
      </c>
      <c r="W33" s="41">
        <f t="shared" si="5"/>
        <v>1242135327.8400679</v>
      </c>
      <c r="X33" s="41">
        <f t="shared" si="5"/>
        <v>1242135327.8400679</v>
      </c>
      <c r="Y33" s="41">
        <f t="shared" si="5"/>
        <v>1242135327.8400679</v>
      </c>
      <c r="Z33" s="41">
        <f t="shared" si="5"/>
        <v>1242135327.8400679</v>
      </c>
      <c r="AA33" s="41">
        <f t="shared" si="5"/>
        <v>1242135327.8400679</v>
      </c>
      <c r="AB33" s="41">
        <f t="shared" si="5"/>
        <v>1242135327.8400679</v>
      </c>
      <c r="AC33" s="41">
        <f t="shared" si="5"/>
        <v>1242135327.8400679</v>
      </c>
      <c r="AD33" s="41">
        <f t="shared" si="5"/>
        <v>1242135327.8400679</v>
      </c>
      <c r="AE33" s="41">
        <f t="shared" si="5"/>
        <v>1242135327.8400679</v>
      </c>
      <c r="AF33" s="41">
        <f t="shared" si="5"/>
        <v>1242135327.8400679</v>
      </c>
      <c r="AG33" s="41">
        <f t="shared" si="5"/>
        <v>1242135327.8400679</v>
      </c>
      <c r="AH33" s="41">
        <f t="shared" si="5"/>
        <v>1242135327.8400679</v>
      </c>
      <c r="AI33" s="41">
        <f t="shared" si="5"/>
        <v>1242135327.8400679</v>
      </c>
      <c r="AJ33" s="41">
        <f t="shared" si="5"/>
        <v>1242135327.8400679</v>
      </c>
      <c r="AK33" s="41">
        <f t="shared" si="5"/>
        <v>1242135327.8400679</v>
      </c>
      <c r="AL33" s="41">
        <f t="shared" si="5"/>
        <v>0</v>
      </c>
      <c r="AM33" s="41">
        <f t="shared" si="5"/>
        <v>0</v>
      </c>
      <c r="AN33" s="41">
        <f t="shared" si="5"/>
        <v>0</v>
      </c>
      <c r="AO33" s="41">
        <f t="shared" si="5"/>
        <v>0</v>
      </c>
      <c r="AP33" s="41">
        <f t="shared" si="5"/>
        <v>0</v>
      </c>
      <c r="AQ33" s="41">
        <f t="shared" si="5"/>
        <v>0</v>
      </c>
      <c r="AR33" s="41">
        <f t="shared" si="5"/>
        <v>0</v>
      </c>
      <c r="AS33" s="41">
        <f t="shared" si="5"/>
        <v>0</v>
      </c>
      <c r="AT33" s="41">
        <f t="shared" si="5"/>
        <v>0</v>
      </c>
      <c r="AU33" s="41">
        <f t="shared" si="5"/>
        <v>0</v>
      </c>
      <c r="AV33" s="41">
        <f t="shared" si="5"/>
        <v>0</v>
      </c>
      <c r="AW33" s="41">
        <f t="shared" si="5"/>
        <v>0</v>
      </c>
    </row>
    <row r="35" spans="1:49">
      <c r="B35" s="10" t="s">
        <v>415</v>
      </c>
    </row>
    <row r="37" spans="1:49">
      <c r="B37" s="29" t="s">
        <v>416</v>
      </c>
    </row>
    <row r="38" spans="1:49">
      <c r="B38" s="2" t="s">
        <v>417</v>
      </c>
      <c r="C38" s="15" t="str">
        <f>$C$30</f>
        <v>US$</v>
      </c>
      <c r="I38" s="41">
        <f ca="1">IS!I24</f>
        <v>0</v>
      </c>
      <c r="J38" s="41">
        <f ca="1">IS!J24</f>
        <v>-101346445.94880253</v>
      </c>
      <c r="K38" s="41">
        <f ca="1">IS!K24</f>
        <v>601103167.41262317</v>
      </c>
      <c r="L38" s="41">
        <f ca="1">IS!L24</f>
        <v>766476390.96728206</v>
      </c>
      <c r="M38" s="41">
        <f ca="1">IS!M24</f>
        <v>967451302.13697529</v>
      </c>
      <c r="N38" s="41">
        <f ca="1">IS!N24</f>
        <v>716202149.65850806</v>
      </c>
      <c r="O38" s="41">
        <f ca="1">IS!O24</f>
        <v>813388738.75065017</v>
      </c>
      <c r="P38" s="41">
        <f ca="1">IS!P24</f>
        <v>903724823.72212029</v>
      </c>
      <c r="Q38" s="41">
        <f ca="1">IS!Q24</f>
        <v>997181923.12643623</v>
      </c>
      <c r="R38" s="41">
        <f ca="1">IS!R24</f>
        <v>1095065507.5052567</v>
      </c>
      <c r="S38" s="41">
        <f ca="1">IS!S24</f>
        <v>1192395373.2546463</v>
      </c>
      <c r="T38" s="41">
        <f ca="1">IS!T24</f>
        <v>1270895496.5780845</v>
      </c>
      <c r="U38" s="41">
        <f ca="1">IS!U24</f>
        <v>1352765573.750109</v>
      </c>
      <c r="V38" s="41">
        <f ca="1">IS!V24</f>
        <v>1439017045.950619</v>
      </c>
      <c r="W38" s="41">
        <f ca="1">IS!W24</f>
        <v>1528799756.0469604</v>
      </c>
      <c r="X38" s="41">
        <f ca="1">IS!X24</f>
        <v>1041452441.7878249</v>
      </c>
      <c r="Y38" s="41">
        <f ca="1">IS!Y24</f>
        <v>1075727254.1279027</v>
      </c>
      <c r="Z38" s="41">
        <f ca="1">IS!Z24</f>
        <v>1112437165.9615741</v>
      </c>
      <c r="AA38" s="41">
        <f ca="1">IS!AA24</f>
        <v>1149731802.1569755</v>
      </c>
      <c r="AB38" s="41">
        <f ca="1">IS!AB24</f>
        <v>1189194864.8123109</v>
      </c>
      <c r="AC38" s="41">
        <f ca="1">IS!AC24</f>
        <v>1230062111.2330027</v>
      </c>
      <c r="AD38" s="41">
        <f ca="1">IS!AD24</f>
        <v>1272846183.0684404</v>
      </c>
      <c r="AE38" s="41">
        <f ca="1">IS!AE24</f>
        <v>1316407521.3113132</v>
      </c>
      <c r="AF38" s="41">
        <f ca="1">IS!AF24</f>
        <v>1362340680.0241423</v>
      </c>
      <c r="AG38" s="41">
        <f ca="1">IS!AG24</f>
        <v>1409656588.6585941</v>
      </c>
      <c r="AH38" s="41">
        <f ca="1">IS!AH24</f>
        <v>1458885592.3794088</v>
      </c>
      <c r="AI38" s="41">
        <f ca="1">IS!AI24</f>
        <v>1508952650.5487921</v>
      </c>
      <c r="AJ38" s="41">
        <f ca="1">IS!AJ24</f>
        <v>1561404893.1475964</v>
      </c>
      <c r="AK38" s="41">
        <f ca="1">IS!AK24</f>
        <v>1636184385.5819736</v>
      </c>
      <c r="AL38" s="41">
        <f ca="1">IS!AL24</f>
        <v>1713613077.4992456</v>
      </c>
      <c r="AM38" s="41">
        <f>IS!AM24</f>
        <v>0</v>
      </c>
      <c r="AN38" s="41">
        <f>IS!AN24</f>
        <v>0</v>
      </c>
      <c r="AO38" s="41">
        <f>IS!AO24</f>
        <v>0</v>
      </c>
      <c r="AP38" s="41">
        <f>IS!AP24</f>
        <v>0</v>
      </c>
      <c r="AQ38" s="41">
        <f>IS!AQ24</f>
        <v>0</v>
      </c>
      <c r="AR38" s="41">
        <f>IS!AR24</f>
        <v>0</v>
      </c>
      <c r="AS38" s="41">
        <f>IS!AS24</f>
        <v>0</v>
      </c>
      <c r="AT38" s="41">
        <f>IS!AT24</f>
        <v>0</v>
      </c>
      <c r="AU38" s="41">
        <f>IS!AU24</f>
        <v>0</v>
      </c>
      <c r="AV38" s="41">
        <f>IS!AV24</f>
        <v>0</v>
      </c>
      <c r="AW38" s="41">
        <f>IS!AW24</f>
        <v>0</v>
      </c>
    </row>
    <row r="39" spans="1:49">
      <c r="B39" s="2" t="s">
        <v>418</v>
      </c>
      <c r="C39" s="15" t="str">
        <f>$C$30</f>
        <v>US$</v>
      </c>
      <c r="I39" s="41">
        <f>-'O&amp;M Costs'!I352</f>
        <v>0</v>
      </c>
      <c r="J39" s="41">
        <f ca="1">-'O&amp;M Costs'!J352</f>
        <v>0</v>
      </c>
      <c r="K39" s="41">
        <f ca="1">-'O&amp;M Costs'!K352</f>
        <v>0</v>
      </c>
      <c r="L39" s="41">
        <f ca="1">-'O&amp;M Costs'!L352</f>
        <v>0</v>
      </c>
      <c r="M39" s="41">
        <f ca="1">-'O&amp;M Costs'!M352</f>
        <v>0</v>
      </c>
      <c r="N39" s="41">
        <f ca="1">-'O&amp;M Costs'!N352</f>
        <v>0</v>
      </c>
      <c r="O39" s="41">
        <f ca="1">-'O&amp;M Costs'!O352</f>
        <v>0</v>
      </c>
      <c r="P39" s="41">
        <f ca="1">-'O&amp;M Costs'!P352</f>
        <v>0</v>
      </c>
      <c r="Q39" s="41">
        <f ca="1">-'O&amp;M Costs'!Q352</f>
        <v>0</v>
      </c>
      <c r="R39" s="41">
        <f ca="1">-'O&amp;M Costs'!R352</f>
        <v>0</v>
      </c>
      <c r="S39" s="41">
        <f ca="1">-'O&amp;M Costs'!S352</f>
        <v>0</v>
      </c>
      <c r="T39" s="41">
        <f ca="1">-'O&amp;M Costs'!T352</f>
        <v>0</v>
      </c>
      <c r="U39" s="41">
        <f ca="1">-'O&amp;M Costs'!U352</f>
        <v>0</v>
      </c>
      <c r="V39" s="41">
        <f ca="1">-'O&amp;M Costs'!V352</f>
        <v>0</v>
      </c>
      <c r="W39" s="41">
        <f ca="1">-'O&amp;M Costs'!W352</f>
        <v>0</v>
      </c>
      <c r="X39" s="41">
        <f ca="1">-'O&amp;M Costs'!X352</f>
        <v>0</v>
      </c>
      <c r="Y39" s="41">
        <f ca="1">-'O&amp;M Costs'!Y352</f>
        <v>0</v>
      </c>
      <c r="Z39" s="41">
        <f ca="1">-'O&amp;M Costs'!Z352</f>
        <v>0</v>
      </c>
      <c r="AA39" s="41">
        <f ca="1">-'O&amp;M Costs'!AA352</f>
        <v>0</v>
      </c>
      <c r="AB39" s="41">
        <f ca="1">-'O&amp;M Costs'!AB352</f>
        <v>0</v>
      </c>
      <c r="AC39" s="41">
        <f ca="1">-'O&amp;M Costs'!AC352</f>
        <v>0</v>
      </c>
      <c r="AD39" s="41">
        <f ca="1">-'O&amp;M Costs'!AD352</f>
        <v>0</v>
      </c>
      <c r="AE39" s="41">
        <f ca="1">-'O&amp;M Costs'!AE352</f>
        <v>0</v>
      </c>
      <c r="AF39" s="41">
        <f ca="1">-'O&amp;M Costs'!AF352</f>
        <v>0</v>
      </c>
      <c r="AG39" s="41">
        <f ca="1">-'O&amp;M Costs'!AG352</f>
        <v>0</v>
      </c>
      <c r="AH39" s="41">
        <f ca="1">-'O&amp;M Costs'!AH352</f>
        <v>0</v>
      </c>
      <c r="AI39" s="41">
        <f ca="1">-'O&amp;M Costs'!AI352</f>
        <v>0</v>
      </c>
      <c r="AJ39" s="41">
        <f ca="1">-'O&amp;M Costs'!AJ352</f>
        <v>0</v>
      </c>
      <c r="AK39" s="41">
        <f ca="1">-'O&amp;M Costs'!AK352</f>
        <v>0</v>
      </c>
      <c r="AL39" s="41">
        <f ca="1">-'O&amp;M Costs'!AL352</f>
        <v>0</v>
      </c>
      <c r="AM39" s="41">
        <f ca="1">-'O&amp;M Costs'!AM352</f>
        <v>0</v>
      </c>
      <c r="AN39" s="41">
        <f ca="1">-'O&amp;M Costs'!AN352</f>
        <v>0</v>
      </c>
      <c r="AO39" s="41">
        <f ca="1">-'O&amp;M Costs'!AO352</f>
        <v>0</v>
      </c>
      <c r="AP39" s="41">
        <f ca="1">-'O&amp;M Costs'!AP352</f>
        <v>0</v>
      </c>
      <c r="AQ39" s="41">
        <f ca="1">-'O&amp;M Costs'!AQ352</f>
        <v>0</v>
      </c>
      <c r="AR39" s="41">
        <f ca="1">-'O&amp;M Costs'!AR352</f>
        <v>0</v>
      </c>
      <c r="AS39" s="41">
        <f ca="1">-'O&amp;M Costs'!AS352</f>
        <v>0</v>
      </c>
      <c r="AT39" s="41">
        <f ca="1">-'O&amp;M Costs'!AT352</f>
        <v>0</v>
      </c>
      <c r="AU39" s="41">
        <f ca="1">-'O&amp;M Costs'!AU352</f>
        <v>0</v>
      </c>
      <c r="AV39" s="41">
        <f ca="1">-'O&amp;M Costs'!AV352</f>
        <v>0</v>
      </c>
      <c r="AW39" s="41">
        <f ca="1">-'O&amp;M Costs'!AW352</f>
        <v>0</v>
      </c>
    </row>
    <row r="40" spans="1:49">
      <c r="B40" s="27" t="s">
        <v>419</v>
      </c>
      <c r="C40" s="28" t="str">
        <f>$C$30</f>
        <v>US$</v>
      </c>
      <c r="D40" s="27"/>
      <c r="E40" s="27"/>
      <c r="F40" s="27"/>
      <c r="G40" s="27"/>
      <c r="H40" s="27"/>
      <c r="I40" s="43">
        <f>IS!I29</f>
        <v>0</v>
      </c>
      <c r="J40" s="43">
        <f ca="1">IS!J29</f>
        <v>0</v>
      </c>
      <c r="K40" s="43">
        <f ca="1">IS!K29</f>
        <v>-101346445.94880253</v>
      </c>
      <c r="L40" s="43">
        <f ca="1">IS!L29</f>
        <v>499756721.46382064</v>
      </c>
      <c r="M40" s="43">
        <f ca="1">IS!M29</f>
        <v>1111207836.1414471</v>
      </c>
      <c r="N40" s="43">
        <f ca="1">IS!N29</f>
        <v>1851312098.8477917</v>
      </c>
      <c r="O40" s="43">
        <f ca="1">IS!O29</f>
        <v>2279390039.1457977</v>
      </c>
      <c r="P40" s="43">
        <f ca="1">IS!P29</f>
        <v>2731489186.4828477</v>
      </c>
      <c r="Q40" s="43">
        <f ca="1">IS!Q29</f>
        <v>3196617388.3552537</v>
      </c>
      <c r="R40" s="43">
        <f ca="1">IS!R29</f>
        <v>3670388210.9699359</v>
      </c>
      <c r="S40" s="43">
        <f ca="1">IS!S29</f>
        <v>4192003949.3360758</v>
      </c>
      <c r="T40" s="43">
        <f ca="1">IS!T29</f>
        <v>4701068376.4452667</v>
      </c>
      <c r="U40" s="43">
        <f ca="1">IS!U29</f>
        <v>5188830576.5765371</v>
      </c>
      <c r="V40" s="43">
        <f ca="1">IS!V29</f>
        <v>5659594226.9932661</v>
      </c>
      <c r="W40" s="43">
        <f ca="1">IS!W29</f>
        <v>6122357553.5752249</v>
      </c>
      <c r="X40" s="43">
        <f ca="1">IS!X29</f>
        <v>6573297970.8146029</v>
      </c>
      <c r="Y40" s="43">
        <f ca="1">IS!Y29</f>
        <v>6516182995.8995543</v>
      </c>
      <c r="Z40" s="43">
        <f ca="1">IS!Z29</f>
        <v>6482229625.839098</v>
      </c>
      <c r="AA40" s="43">
        <f ca="1">IS!AA29</f>
        <v>6473131421.3422613</v>
      </c>
      <c r="AB40" s="43">
        <f ca="1">IS!AB29</f>
        <v>6476500506.5351458</v>
      </c>
      <c r="AC40" s="43">
        <f ca="1">IS!AC29</f>
        <v>6515841065.6453381</v>
      </c>
      <c r="AD40" s="43">
        <f ca="1">IS!AD29</f>
        <v>6584017700.34659</v>
      </c>
      <c r="AE40" s="43">
        <f ca="1">IS!AE29</f>
        <v>6681554327.0845032</v>
      </c>
      <c r="AF40" s="43">
        <f ca="1">IS!AF29</f>
        <v>6794980737.5001163</v>
      </c>
      <c r="AG40" s="43">
        <f ca="1">IS!AG29</f>
        <v>6933723204.8956203</v>
      </c>
      <c r="AH40" s="43">
        <f ca="1">IS!AH29</f>
        <v>7091872824.5210819</v>
      </c>
      <c r="AI40" s="43">
        <f ca="1">IS!AI29</f>
        <v>7271649063.5526714</v>
      </c>
      <c r="AJ40" s="43">
        <f ca="1">IS!AJ29</f>
        <v>7459902990.5283947</v>
      </c>
      <c r="AK40" s="43">
        <f ca="1">IS!AK29</f>
        <v>9021307883.6759911</v>
      </c>
      <c r="AL40" s="43">
        <f ca="1">IS!AL29</f>
        <v>10657492269.257965</v>
      </c>
      <c r="AM40" s="43">
        <f>IS!AM29</f>
        <v>0</v>
      </c>
      <c r="AN40" s="43">
        <f>IS!AN29</f>
        <v>0</v>
      </c>
      <c r="AO40" s="43">
        <f>IS!AO29</f>
        <v>0</v>
      </c>
      <c r="AP40" s="43">
        <f>IS!AP29</f>
        <v>0</v>
      </c>
      <c r="AQ40" s="43">
        <f>IS!AQ29</f>
        <v>0</v>
      </c>
      <c r="AR40" s="43">
        <f>IS!AR29</f>
        <v>0</v>
      </c>
      <c r="AS40" s="43">
        <f>IS!AS29</f>
        <v>0</v>
      </c>
      <c r="AT40" s="43">
        <f>IS!AT29</f>
        <v>0</v>
      </c>
      <c r="AU40" s="43">
        <f>IS!AU29</f>
        <v>0</v>
      </c>
      <c r="AV40" s="43">
        <f>IS!AV29</f>
        <v>0</v>
      </c>
      <c r="AW40" s="43">
        <f>IS!AW29</f>
        <v>0</v>
      </c>
    </row>
    <row r="41" spans="1:49">
      <c r="B41" s="2" t="s">
        <v>420</v>
      </c>
      <c r="C41" s="15" t="str">
        <f>$C$30</f>
        <v>US$</v>
      </c>
      <c r="I41" s="41">
        <f t="shared" ref="I41:AW41" ca="1" si="6">MAX(SUM(I38:I40),0)</f>
        <v>0</v>
      </c>
      <c r="J41" s="41">
        <f t="shared" ca="1" si="6"/>
        <v>0</v>
      </c>
      <c r="K41" s="41">
        <f t="shared" ca="1" si="6"/>
        <v>499756721.46382064</v>
      </c>
      <c r="L41" s="41">
        <f t="shared" ca="1" si="6"/>
        <v>1266233112.4311028</v>
      </c>
      <c r="M41" s="41">
        <f t="shared" ca="1" si="6"/>
        <v>2078659138.2784224</v>
      </c>
      <c r="N41" s="41">
        <f t="shared" ca="1" si="6"/>
        <v>2567514248.5063</v>
      </c>
      <c r="O41" s="41">
        <f t="shared" ca="1" si="6"/>
        <v>3092778777.8964481</v>
      </c>
      <c r="P41" s="41">
        <f t="shared" ca="1" si="6"/>
        <v>3635214010.204968</v>
      </c>
      <c r="Q41" s="41">
        <f t="shared" ca="1" si="6"/>
        <v>4193799311.4816899</v>
      </c>
      <c r="R41" s="41">
        <f t="shared" ca="1" si="6"/>
        <v>4765453718.475193</v>
      </c>
      <c r="S41" s="41">
        <f t="shared" ca="1" si="6"/>
        <v>5384399322.5907221</v>
      </c>
      <c r="T41" s="41">
        <f t="shared" ca="1" si="6"/>
        <v>5971963873.0233517</v>
      </c>
      <c r="U41" s="41">
        <f t="shared" ca="1" si="6"/>
        <v>6541596150.3266459</v>
      </c>
      <c r="V41" s="41">
        <f t="shared" ca="1" si="6"/>
        <v>7098611272.9438848</v>
      </c>
      <c r="W41" s="41">
        <f t="shared" ca="1" si="6"/>
        <v>7651157309.6221848</v>
      </c>
      <c r="X41" s="41">
        <f t="shared" ca="1" si="6"/>
        <v>7614750412.6024275</v>
      </c>
      <c r="Y41" s="41">
        <f t="shared" ca="1" si="6"/>
        <v>7591910250.0274572</v>
      </c>
      <c r="Z41" s="41">
        <f t="shared" ca="1" si="6"/>
        <v>7594666791.8006725</v>
      </c>
      <c r="AA41" s="41">
        <f t="shared" ca="1" si="6"/>
        <v>7622863223.4992371</v>
      </c>
      <c r="AB41" s="41">
        <f t="shared" ca="1" si="6"/>
        <v>7665695371.3474569</v>
      </c>
      <c r="AC41" s="41">
        <f t="shared" ca="1" si="6"/>
        <v>7745903176.8783407</v>
      </c>
      <c r="AD41" s="41">
        <f t="shared" ca="1" si="6"/>
        <v>7856863883.4150305</v>
      </c>
      <c r="AE41" s="41">
        <f t="shared" ca="1" si="6"/>
        <v>7997961848.3958168</v>
      </c>
      <c r="AF41" s="41">
        <f t="shared" ca="1" si="6"/>
        <v>8157321417.5242586</v>
      </c>
      <c r="AG41" s="41">
        <f t="shared" ca="1" si="6"/>
        <v>8343379793.5542145</v>
      </c>
      <c r="AH41" s="41">
        <f t="shared" ca="1" si="6"/>
        <v>8550758416.9004908</v>
      </c>
      <c r="AI41" s="41">
        <f t="shared" ca="1" si="6"/>
        <v>8780601714.1014633</v>
      </c>
      <c r="AJ41" s="41">
        <f t="shared" ca="1" si="6"/>
        <v>9021307883.6759911</v>
      </c>
      <c r="AK41" s="41">
        <f t="shared" ca="1" si="6"/>
        <v>10657492269.257965</v>
      </c>
      <c r="AL41" s="41">
        <f t="shared" ca="1" si="6"/>
        <v>12371105346.75721</v>
      </c>
      <c r="AM41" s="41">
        <f t="shared" ca="1" si="6"/>
        <v>0</v>
      </c>
      <c r="AN41" s="41">
        <f t="shared" ca="1" si="6"/>
        <v>0</v>
      </c>
      <c r="AO41" s="41">
        <f t="shared" ca="1" si="6"/>
        <v>0</v>
      </c>
      <c r="AP41" s="41">
        <f t="shared" ca="1" si="6"/>
        <v>0</v>
      </c>
      <c r="AQ41" s="41">
        <f t="shared" ca="1" si="6"/>
        <v>0</v>
      </c>
      <c r="AR41" s="41">
        <f t="shared" ca="1" si="6"/>
        <v>0</v>
      </c>
      <c r="AS41" s="41">
        <f t="shared" ca="1" si="6"/>
        <v>0</v>
      </c>
      <c r="AT41" s="41">
        <f t="shared" ca="1" si="6"/>
        <v>0</v>
      </c>
      <c r="AU41" s="41">
        <f t="shared" ca="1" si="6"/>
        <v>0</v>
      </c>
      <c r="AV41" s="41">
        <f t="shared" ca="1" si="6"/>
        <v>0</v>
      </c>
      <c r="AW41" s="41">
        <f t="shared" ca="1" si="6"/>
        <v>0</v>
      </c>
    </row>
    <row r="43" spans="1:49">
      <c r="B43" s="29" t="s">
        <v>421</v>
      </c>
    </row>
    <row r="44" spans="1:49">
      <c r="A44" s="12"/>
      <c r="B44" s="2" t="s">
        <v>422</v>
      </c>
      <c r="C44" s="15" t="str">
        <f>$C$30</f>
        <v>US$</v>
      </c>
      <c r="I44" s="41">
        <f ca="1">CF!I33+CF!I38</f>
        <v>0</v>
      </c>
      <c r="J44" s="41">
        <f ca="1">CF!J33+CF!J38</f>
        <v>-132913371.73613448</v>
      </c>
      <c r="K44" s="41">
        <f ca="1">CF!K33+CF!K38</f>
        <v>632979160.75820112</v>
      </c>
      <c r="L44" s="41">
        <f ca="1">CF!L33+CF!L38</f>
        <v>400522681.1728363</v>
      </c>
      <c r="M44" s="41">
        <f ca="1">CF!M33+CF!M38</f>
        <v>637170363.89615703</v>
      </c>
      <c r="N44" s="41">
        <f ca="1">CF!N33+CF!N38</f>
        <v>637790714.93315852</v>
      </c>
      <c r="O44" s="41">
        <f ca="1">CF!O33+CF!O38</f>
        <v>764050013.53653836</v>
      </c>
      <c r="P44" s="41">
        <f ca="1">CF!P33+CF!P38</f>
        <v>883250661.19559181</v>
      </c>
      <c r="Q44" s="41">
        <f ca="1">CF!Q33+CF!Q38</f>
        <v>1004026479.5966463</v>
      </c>
      <c r="R44" s="41">
        <f ca="1">CF!R33+CF!R38</f>
        <v>867476193.08027482</v>
      </c>
      <c r="S44" s="41">
        <f ca="1">CF!S33+CF!S38</f>
        <v>1283070151.1751375</v>
      </c>
      <c r="T44" s="41">
        <f ca="1">CF!T33+CF!T38</f>
        <v>1361126777.7746472</v>
      </c>
      <c r="U44" s="41">
        <f ca="1">CF!U33+CF!U38</f>
        <v>1442257475.690588</v>
      </c>
      <c r="V44" s="41">
        <f ca="1">CF!V33+CF!V38</f>
        <v>1528178348.3972325</v>
      </c>
      <c r="W44" s="41">
        <f ca="1">CF!W33+CF!W38</f>
        <v>1616160258.3257608</v>
      </c>
      <c r="X44" s="41">
        <f ca="1">CF!X33+CF!X38</f>
        <v>1235546330.5832512</v>
      </c>
      <c r="Y44" s="41">
        <f ca="1">CF!Y33+CF!Y38</f>
        <v>1172655466.6061137</v>
      </c>
      <c r="Z44" s="41">
        <f ca="1">CF!Z33+CF!Z38</f>
        <v>1209196930.2893116</v>
      </c>
      <c r="AA44" s="41">
        <f ca="1">CF!AA33+CF!AA38</f>
        <v>1245685425.722734</v>
      </c>
      <c r="AB44" s="41">
        <f ca="1">CF!AB33+CF!AB38</f>
        <v>1285172638.6101649</v>
      </c>
      <c r="AC44" s="41">
        <f ca="1">CF!AC33+CF!AC38</f>
        <v>1325847448.789845</v>
      </c>
      <c r="AD44" s="41">
        <f ca="1">CF!AD33+CF!AD38</f>
        <v>1368791499.13083</v>
      </c>
      <c r="AE44" s="41">
        <f ca="1">CF!AE33+CF!AE38</f>
        <v>1411363588.111443</v>
      </c>
      <c r="AF44" s="41">
        <f ca="1">CF!AF33+CF!AF38</f>
        <v>1457366133.1732535</v>
      </c>
      <c r="AG44" s="41">
        <f ca="1">CF!AG33+CF!AG38</f>
        <v>1504464392.6556954</v>
      </c>
      <c r="AH44" s="41">
        <f ca="1">CF!AH33+CF!AH38</f>
        <v>1553913969.7623825</v>
      </c>
      <c r="AI44" s="41">
        <f ca="1">CF!AI33+CF!AI38</f>
        <v>1602784955.700546</v>
      </c>
      <c r="AJ44" s="41">
        <f ca="1">CF!AJ33+CF!AJ38</f>
        <v>1655357824.3929558</v>
      </c>
      <c r="AK44" s="41">
        <f ca="1">CF!AK33+CF!AK38</f>
        <v>1729891184.7949376</v>
      </c>
      <c r="AL44" s="41">
        <f ca="1">CF!AL33+CF!AL38</f>
        <v>898834319.09046316</v>
      </c>
      <c r="AM44" s="41">
        <f>CF!AM33+CF!AM38</f>
        <v>0</v>
      </c>
      <c r="AN44" s="41">
        <f>CF!AN33+CF!AN38</f>
        <v>0</v>
      </c>
      <c r="AO44" s="41">
        <f>CF!AO33+CF!AO38</f>
        <v>0</v>
      </c>
      <c r="AP44" s="41">
        <f>CF!AP33+CF!AP38</f>
        <v>0</v>
      </c>
      <c r="AQ44" s="41">
        <f>CF!AQ33+CF!AQ38</f>
        <v>0</v>
      </c>
      <c r="AR44" s="41">
        <f>CF!AR33+CF!AR38</f>
        <v>0</v>
      </c>
      <c r="AS44" s="41">
        <f>CF!AS33+CF!AS38</f>
        <v>0</v>
      </c>
      <c r="AT44" s="41">
        <f>CF!AT33+CF!AT38</f>
        <v>0</v>
      </c>
      <c r="AU44" s="41">
        <f>CF!AU33+CF!AU38</f>
        <v>0</v>
      </c>
      <c r="AV44" s="41">
        <f>CF!AV33+CF!AV38</f>
        <v>0</v>
      </c>
      <c r="AW44" s="41">
        <f>CF!AW33+CF!AW38</f>
        <v>0</v>
      </c>
    </row>
    <row r="45" spans="1:49">
      <c r="B45" s="2" t="s">
        <v>418</v>
      </c>
      <c r="C45" s="15" t="str">
        <f>$C$30</f>
        <v>US$</v>
      </c>
      <c r="I45" s="41">
        <f>I39</f>
        <v>0</v>
      </c>
      <c r="J45" s="41">
        <f t="shared" ref="J45:AI45" ca="1" si="7">J39</f>
        <v>0</v>
      </c>
      <c r="K45" s="41">
        <f t="shared" ca="1" si="7"/>
        <v>0</v>
      </c>
      <c r="L45" s="41">
        <f t="shared" ca="1" si="7"/>
        <v>0</v>
      </c>
      <c r="M45" s="41">
        <f t="shared" ca="1" si="7"/>
        <v>0</v>
      </c>
      <c r="N45" s="41">
        <f t="shared" ca="1" si="7"/>
        <v>0</v>
      </c>
      <c r="O45" s="41">
        <f t="shared" ca="1" si="7"/>
        <v>0</v>
      </c>
      <c r="P45" s="41">
        <f t="shared" ca="1" si="7"/>
        <v>0</v>
      </c>
      <c r="Q45" s="41">
        <f t="shared" ca="1" si="7"/>
        <v>0</v>
      </c>
      <c r="R45" s="41">
        <f t="shared" ca="1" si="7"/>
        <v>0</v>
      </c>
      <c r="S45" s="41">
        <f t="shared" ca="1" si="7"/>
        <v>0</v>
      </c>
      <c r="T45" s="41">
        <f t="shared" ca="1" si="7"/>
        <v>0</v>
      </c>
      <c r="U45" s="41">
        <f t="shared" ca="1" si="7"/>
        <v>0</v>
      </c>
      <c r="V45" s="41">
        <f t="shared" ca="1" si="7"/>
        <v>0</v>
      </c>
      <c r="W45" s="41">
        <f t="shared" ca="1" si="7"/>
        <v>0</v>
      </c>
      <c r="X45" s="41">
        <f t="shared" ca="1" si="7"/>
        <v>0</v>
      </c>
      <c r="Y45" s="41">
        <f t="shared" ca="1" si="7"/>
        <v>0</v>
      </c>
      <c r="Z45" s="41">
        <f t="shared" ca="1" si="7"/>
        <v>0</v>
      </c>
      <c r="AA45" s="41">
        <f t="shared" ca="1" si="7"/>
        <v>0</v>
      </c>
      <c r="AB45" s="41">
        <f t="shared" ca="1" si="7"/>
        <v>0</v>
      </c>
      <c r="AC45" s="41">
        <f t="shared" ca="1" si="7"/>
        <v>0</v>
      </c>
      <c r="AD45" s="41">
        <f t="shared" ca="1" si="7"/>
        <v>0</v>
      </c>
      <c r="AE45" s="41">
        <f t="shared" ca="1" si="7"/>
        <v>0</v>
      </c>
      <c r="AF45" s="41">
        <f t="shared" ca="1" si="7"/>
        <v>0</v>
      </c>
      <c r="AG45" s="41">
        <f t="shared" ca="1" si="7"/>
        <v>0</v>
      </c>
      <c r="AH45" s="41">
        <f t="shared" ca="1" si="7"/>
        <v>0</v>
      </c>
      <c r="AI45" s="41">
        <f t="shared" ca="1" si="7"/>
        <v>0</v>
      </c>
    </row>
    <row r="46" spans="1:49">
      <c r="B46" s="27" t="s">
        <v>423</v>
      </c>
      <c r="C46" s="28" t="str">
        <f>$C$30</f>
        <v>US$</v>
      </c>
      <c r="D46" s="27"/>
      <c r="E46" s="27"/>
      <c r="F46" s="27"/>
      <c r="G46" s="27"/>
      <c r="H46" s="27"/>
      <c r="I46" s="43">
        <f>CF!I41</f>
        <v>0</v>
      </c>
      <c r="J46" s="43">
        <f ca="1">CF!J41</f>
        <v>0</v>
      </c>
      <c r="K46" s="43">
        <f ca="1">CF!K41</f>
        <v>0</v>
      </c>
      <c r="L46" s="43">
        <f ca="1">CF!L41</f>
        <v>632979160.75820112</v>
      </c>
      <c r="M46" s="43">
        <f ca="1">CF!M41</f>
        <v>878476565.64138186</v>
      </c>
      <c r="N46" s="43">
        <f ca="1">CF!N41</f>
        <v>1288299890.1069081</v>
      </c>
      <c r="O46" s="43">
        <f ca="1">CF!O41</f>
        <v>1637966395.679565</v>
      </c>
      <c r="P46" s="43">
        <f ca="1">CF!P41</f>
        <v>2040726817.8025031</v>
      </c>
      <c r="Q46" s="43">
        <f ca="1">CF!Q41</f>
        <v>2485380857.1483808</v>
      </c>
      <c r="R46" s="43">
        <f ca="1">CF!R41</f>
        <v>2965996236.233273</v>
      </c>
      <c r="S46" s="43">
        <f ca="1">CF!S41</f>
        <v>3260022660.1744308</v>
      </c>
      <c r="T46" s="43">
        <f ca="1">CF!T41</f>
        <v>3859761865.2041125</v>
      </c>
      <c r="U46" s="43">
        <f ca="1">CF!U41</f>
        <v>4437755346.5319462</v>
      </c>
      <c r="V46" s="43">
        <f ca="1">CF!V41</f>
        <v>4998010898.8891544</v>
      </c>
      <c r="W46" s="43">
        <f ca="1">CF!W41</f>
        <v>5549935527.9177265</v>
      </c>
      <c r="X46" s="43">
        <f ca="1">CF!X41</f>
        <v>6088236447.4359055</v>
      </c>
      <c r="Y46" s="43">
        <f ca="1">CF!Y41</f>
        <v>6225215361.3162832</v>
      </c>
      <c r="Z46" s="43">
        <f ca="1">CF!Z41</f>
        <v>6288190203.7340374</v>
      </c>
      <c r="AA46" s="43">
        <f ca="1">CF!AA41</f>
        <v>6375851763.5649385</v>
      </c>
      <c r="AB46" s="43">
        <f ca="1">CF!AB41</f>
        <v>6475174472.3235817</v>
      </c>
      <c r="AC46" s="43">
        <f ca="1">CF!AC41</f>
        <v>6610492805.2316284</v>
      </c>
      <c r="AD46" s="43">
        <f ca="1">CF!AD41</f>
        <v>6774454777.4897223</v>
      </c>
      <c r="AE46" s="43">
        <f ca="1">CF!AE41</f>
        <v>6967936720.2900257</v>
      </c>
      <c r="AF46" s="43">
        <f ca="1">CF!AF41</f>
        <v>7176319197.5057688</v>
      </c>
      <c r="AG46" s="43">
        <f ca="1">CF!AG41</f>
        <v>7410087118.0503836</v>
      </c>
      <c r="AH46" s="43">
        <f ca="1">CF!AH41</f>
        <v>7663044541.6729469</v>
      </c>
      <c r="AI46" s="43">
        <f ca="1">CF!AI41</f>
        <v>7937849158.0875101</v>
      </c>
      <c r="AJ46" s="43">
        <f ca="1">CF!AJ41</f>
        <v>8219935390.2149868</v>
      </c>
      <c r="AK46" s="43">
        <f ca="1">CF!AK41</f>
        <v>9875293214.6079426</v>
      </c>
      <c r="AL46" s="43">
        <f ca="1">CF!AL41</f>
        <v>11605184399.40288</v>
      </c>
      <c r="AM46" s="43">
        <f>CF!AM41</f>
        <v>0</v>
      </c>
      <c r="AN46" s="43">
        <f>CF!AN41</f>
        <v>0</v>
      </c>
      <c r="AO46" s="43">
        <f>CF!AO41</f>
        <v>0</v>
      </c>
      <c r="AP46" s="43">
        <f>CF!AP41</f>
        <v>0</v>
      </c>
      <c r="AQ46" s="43">
        <f>CF!AQ41</f>
        <v>0</v>
      </c>
      <c r="AR46" s="43">
        <f>CF!AR41</f>
        <v>0</v>
      </c>
      <c r="AS46" s="43">
        <f>CF!AS41</f>
        <v>0</v>
      </c>
      <c r="AT46" s="43">
        <f>CF!AT41</f>
        <v>0</v>
      </c>
      <c r="AU46" s="43">
        <f>CF!AU41</f>
        <v>0</v>
      </c>
      <c r="AV46" s="43">
        <f>CF!AV41</f>
        <v>0</v>
      </c>
      <c r="AW46" s="43">
        <f>CF!AW41</f>
        <v>0</v>
      </c>
    </row>
    <row r="47" spans="1:49">
      <c r="B47" s="2" t="s">
        <v>424</v>
      </c>
      <c r="C47" s="15" t="str">
        <f>$C$30</f>
        <v>US$</v>
      </c>
      <c r="I47" s="41">
        <f t="shared" ref="I47:AW47" ca="1" si="8">MAX(SUM(I44:I46),0)</f>
        <v>0</v>
      </c>
      <c r="J47" s="41">
        <f t="shared" ca="1" si="8"/>
        <v>0</v>
      </c>
      <c r="K47" s="41">
        <f t="shared" ca="1" si="8"/>
        <v>632979160.75820112</v>
      </c>
      <c r="L47" s="41">
        <f t="shared" ca="1" si="8"/>
        <v>1033501841.9310374</v>
      </c>
      <c r="M47" s="41">
        <f t="shared" ca="1" si="8"/>
        <v>1515646929.537539</v>
      </c>
      <c r="N47" s="41">
        <f t="shared" ca="1" si="8"/>
        <v>1926090605.0400667</v>
      </c>
      <c r="O47" s="41">
        <f t="shared" ca="1" si="8"/>
        <v>2402016409.2161036</v>
      </c>
      <c r="P47" s="41">
        <f t="shared" ca="1" si="8"/>
        <v>2923977478.998095</v>
      </c>
      <c r="Q47" s="41">
        <f t="shared" ca="1" si="8"/>
        <v>3489407336.7450271</v>
      </c>
      <c r="R47" s="41">
        <f t="shared" ca="1" si="8"/>
        <v>3833472429.3135481</v>
      </c>
      <c r="S47" s="41">
        <f t="shared" ca="1" si="8"/>
        <v>4543092811.3495684</v>
      </c>
      <c r="T47" s="41">
        <f t="shared" ca="1" si="8"/>
        <v>5220888642.9787598</v>
      </c>
      <c r="U47" s="41">
        <f t="shared" ca="1" si="8"/>
        <v>5880012822.2225342</v>
      </c>
      <c r="V47" s="41">
        <f t="shared" ca="1" si="8"/>
        <v>6526189247.2863865</v>
      </c>
      <c r="W47" s="41">
        <f t="shared" ca="1" si="8"/>
        <v>7166095786.2434874</v>
      </c>
      <c r="X47" s="41">
        <f ca="1">MAX(SUM(X44:X46),0)</f>
        <v>7323782778.0191565</v>
      </c>
      <c r="Y47" s="41">
        <f t="shared" ca="1" si="8"/>
        <v>7397870827.9223967</v>
      </c>
      <c r="Z47" s="41">
        <f t="shared" ca="1" si="8"/>
        <v>7497387134.0233488</v>
      </c>
      <c r="AA47" s="41">
        <f t="shared" ca="1" si="8"/>
        <v>7621537189.287672</v>
      </c>
      <c r="AB47" s="41">
        <f t="shared" ca="1" si="8"/>
        <v>7760347110.9337463</v>
      </c>
      <c r="AC47" s="41">
        <f t="shared" ca="1" si="8"/>
        <v>7936340254.0214729</v>
      </c>
      <c r="AD47" s="41">
        <f t="shared" ca="1" si="8"/>
        <v>8143246276.6205521</v>
      </c>
      <c r="AE47" s="41">
        <f t="shared" ca="1" si="8"/>
        <v>8379300308.4014683</v>
      </c>
      <c r="AF47" s="41">
        <f t="shared" ca="1" si="8"/>
        <v>8633685330.6790218</v>
      </c>
      <c r="AG47" s="41">
        <f t="shared" ca="1" si="8"/>
        <v>8914551510.7060795</v>
      </c>
      <c r="AH47" s="41">
        <f t="shared" ca="1" si="8"/>
        <v>9216958511.4353294</v>
      </c>
      <c r="AI47" s="41">
        <f t="shared" ca="1" si="8"/>
        <v>9540634113.7880554</v>
      </c>
      <c r="AJ47" s="41">
        <f t="shared" ca="1" si="8"/>
        <v>9875293214.6079426</v>
      </c>
      <c r="AK47" s="41">
        <f t="shared" ca="1" si="8"/>
        <v>11605184399.40288</v>
      </c>
      <c r="AL47" s="41">
        <f t="shared" ca="1" si="8"/>
        <v>12504018718.493343</v>
      </c>
      <c r="AM47" s="41">
        <f t="shared" si="8"/>
        <v>0</v>
      </c>
      <c r="AN47" s="41">
        <f t="shared" si="8"/>
        <v>0</v>
      </c>
      <c r="AO47" s="41">
        <f t="shared" si="8"/>
        <v>0</v>
      </c>
      <c r="AP47" s="41">
        <f t="shared" si="8"/>
        <v>0</v>
      </c>
      <c r="AQ47" s="41">
        <f t="shared" si="8"/>
        <v>0</v>
      </c>
      <c r="AR47" s="41">
        <f t="shared" si="8"/>
        <v>0</v>
      </c>
      <c r="AS47" s="41">
        <f t="shared" si="8"/>
        <v>0</v>
      </c>
      <c r="AT47" s="41">
        <f t="shared" si="8"/>
        <v>0</v>
      </c>
      <c r="AU47" s="41">
        <f t="shared" si="8"/>
        <v>0</v>
      </c>
      <c r="AV47" s="41">
        <f t="shared" si="8"/>
        <v>0</v>
      </c>
      <c r="AW47" s="41">
        <f t="shared" si="8"/>
        <v>0</v>
      </c>
    </row>
    <row r="49" spans="1:49">
      <c r="B49" s="10" t="s">
        <v>425</v>
      </c>
    </row>
    <row r="51" spans="1:49">
      <c r="B51" s="2" t="s">
        <v>288</v>
      </c>
      <c r="C51" s="15" t="s">
        <v>306</v>
      </c>
      <c r="D51" s="2">
        <f>'Input '!F321</f>
        <v>1</v>
      </c>
    </row>
    <row r="52" spans="1:49">
      <c r="B52" s="2" t="s">
        <v>426</v>
      </c>
      <c r="C52" s="15" t="s">
        <v>183</v>
      </c>
      <c r="D52" s="2">
        <f>'Input '!F322</f>
        <v>1</v>
      </c>
    </row>
    <row r="53" spans="1:49">
      <c r="C53" s="15"/>
    </row>
    <row r="54" spans="1:49">
      <c r="B54" s="2" t="s">
        <v>427</v>
      </c>
      <c r="C54" s="15" t="s">
        <v>306</v>
      </c>
      <c r="I54" s="159" t="str">
        <f ca="1">Ratios!I36</f>
        <v xml:space="preserve"> </v>
      </c>
      <c r="J54" s="159" t="str">
        <f ca="1">Ratios!J36</f>
        <v xml:space="preserve"> </v>
      </c>
      <c r="K54" s="41" t="str">
        <f ca="1">Ratios!K36</f>
        <v xml:space="preserve"> </v>
      </c>
      <c r="L54" s="186">
        <f ca="1">Ratios!L36</f>
        <v>1.5618520582690452</v>
      </c>
      <c r="M54" s="186">
        <f ca="1">Ratios!M36</f>
        <v>1.9507544625004101</v>
      </c>
      <c r="N54" s="186">
        <f ca="1">Ratios!N36</f>
        <v>2.0173687730445606</v>
      </c>
      <c r="O54" s="41">
        <f ca="1">Ratios!O36</f>
        <v>2.3054767468761397</v>
      </c>
      <c r="P54" s="41">
        <f ca="1">Ratios!P36</f>
        <v>2.6292853190162759</v>
      </c>
      <c r="Q54" s="41">
        <f ca="1">Ratios!Q36</f>
        <v>3.0103801317550669</v>
      </c>
      <c r="R54" s="41">
        <f ca="1">Ratios!R36</f>
        <v>2.8997914959970199</v>
      </c>
      <c r="S54" s="41" t="str">
        <f ca="1">Ratios!S36</f>
        <v xml:space="preserve"> </v>
      </c>
      <c r="T54" s="41" t="str">
        <f ca="1">Ratios!T36</f>
        <v xml:space="preserve"> </v>
      </c>
      <c r="U54" s="41" t="str">
        <f ca="1">Ratios!U36</f>
        <v xml:space="preserve"> </v>
      </c>
      <c r="V54" s="41" t="str">
        <f ca="1">Ratios!V36</f>
        <v xml:space="preserve"> </v>
      </c>
      <c r="W54" s="41" t="str">
        <f ca="1">Ratios!W36</f>
        <v xml:space="preserve"> </v>
      </c>
      <c r="X54" s="41" t="str">
        <f ca="1">Ratios!X36</f>
        <v xml:space="preserve"> </v>
      </c>
      <c r="Y54" s="41" t="str">
        <f ca="1">Ratios!Y36</f>
        <v xml:space="preserve"> </v>
      </c>
      <c r="Z54" s="41" t="str">
        <f ca="1">Ratios!Z36</f>
        <v xml:space="preserve"> </v>
      </c>
      <c r="AA54" s="41" t="str">
        <f ca="1">Ratios!AA36</f>
        <v xml:space="preserve"> </v>
      </c>
      <c r="AB54" s="41" t="str">
        <f ca="1">Ratios!AB36</f>
        <v xml:space="preserve"> </v>
      </c>
      <c r="AC54" s="41" t="str">
        <f ca="1">Ratios!AC36</f>
        <v xml:space="preserve"> </v>
      </c>
      <c r="AD54" s="41" t="str">
        <f ca="1">Ratios!AD36</f>
        <v xml:space="preserve"> </v>
      </c>
      <c r="AE54" s="41" t="str">
        <f ca="1">Ratios!AE36</f>
        <v xml:space="preserve"> </v>
      </c>
      <c r="AF54" s="41" t="str">
        <f ca="1">Ratios!AF36</f>
        <v xml:space="preserve"> </v>
      </c>
      <c r="AG54" s="41" t="str">
        <f ca="1">Ratios!AG36</f>
        <v xml:space="preserve"> </v>
      </c>
      <c r="AH54" s="41" t="str">
        <f ca="1">Ratios!AH36</f>
        <v xml:space="preserve"> </v>
      </c>
      <c r="AI54" s="41" t="str">
        <f ca="1">Ratios!AI36</f>
        <v xml:space="preserve"> </v>
      </c>
    </row>
    <row r="55" spans="1:49">
      <c r="B55" s="2" t="s">
        <v>428</v>
      </c>
      <c r="C55" s="15" t="s">
        <v>60</v>
      </c>
      <c r="I55" s="159">
        <f t="shared" ref="I55:AI55" ca="1" si="9">IF(OR($D$52=0,I54="n/a",I54&gt;=$D$51),1,0)</f>
        <v>1</v>
      </c>
      <c r="J55" s="159">
        <f t="shared" ca="1" si="9"/>
        <v>1</v>
      </c>
      <c r="K55" s="159">
        <f t="shared" ca="1" si="9"/>
        <v>1</v>
      </c>
      <c r="L55" s="159">
        <f t="shared" ca="1" si="9"/>
        <v>1</v>
      </c>
      <c r="M55" s="159">
        <f t="shared" ca="1" si="9"/>
        <v>1</v>
      </c>
      <c r="N55" s="159">
        <f t="shared" ca="1" si="9"/>
        <v>1</v>
      </c>
      <c r="O55" s="159">
        <f t="shared" ca="1" si="9"/>
        <v>1</v>
      </c>
      <c r="P55" s="159">
        <f t="shared" ca="1" si="9"/>
        <v>1</v>
      </c>
      <c r="Q55" s="159">
        <f t="shared" ca="1" si="9"/>
        <v>1</v>
      </c>
      <c r="R55" s="159">
        <f t="shared" ca="1" si="9"/>
        <v>1</v>
      </c>
      <c r="S55" s="159">
        <f t="shared" ca="1" si="9"/>
        <v>1</v>
      </c>
      <c r="T55" s="159">
        <f t="shared" ca="1" si="9"/>
        <v>1</v>
      </c>
      <c r="U55" s="159">
        <f t="shared" ca="1" si="9"/>
        <v>1</v>
      </c>
      <c r="V55" s="159">
        <f t="shared" ca="1" si="9"/>
        <v>1</v>
      </c>
      <c r="W55" s="159">
        <f t="shared" ca="1" si="9"/>
        <v>1</v>
      </c>
      <c r="X55" s="159">
        <f t="shared" ca="1" si="9"/>
        <v>1</v>
      </c>
      <c r="Y55" s="159">
        <f t="shared" ca="1" si="9"/>
        <v>1</v>
      </c>
      <c r="Z55" s="159">
        <f t="shared" ca="1" si="9"/>
        <v>1</v>
      </c>
      <c r="AA55" s="159">
        <f t="shared" ca="1" si="9"/>
        <v>1</v>
      </c>
      <c r="AB55" s="159">
        <f t="shared" ca="1" si="9"/>
        <v>1</v>
      </c>
      <c r="AC55" s="159">
        <f t="shared" ca="1" si="9"/>
        <v>1</v>
      </c>
      <c r="AD55" s="159">
        <f t="shared" ca="1" si="9"/>
        <v>1</v>
      </c>
      <c r="AE55" s="159">
        <f t="shared" ca="1" si="9"/>
        <v>1</v>
      </c>
      <c r="AF55" s="159">
        <f t="shared" ca="1" si="9"/>
        <v>1</v>
      </c>
      <c r="AG55" s="159">
        <f t="shared" ca="1" si="9"/>
        <v>1</v>
      </c>
      <c r="AH55" s="159">
        <f t="shared" ca="1" si="9"/>
        <v>1</v>
      </c>
      <c r="AI55" s="159">
        <f t="shared" ca="1" si="9"/>
        <v>1</v>
      </c>
      <c r="AJ55" s="159">
        <f>IF(OR($D$52=0,AJ54="n/a",AJ54&gt;=$D$51),1,0)</f>
        <v>0</v>
      </c>
      <c r="AK55" s="159">
        <f>IF(OR($D$52=0,AK54="n/a",AK54&gt;=$D$51),1,0)</f>
        <v>0</v>
      </c>
      <c r="AL55" s="159">
        <f>IF(OR($D$52=0,AL54="n/a",AL54&gt;=$D$51),1,0)</f>
        <v>0</v>
      </c>
      <c r="AM55" s="159">
        <f t="shared" ref="AM55:AV55" si="10">IF(OR($D$52=0,AM54="n/a",AM54&gt;=$D$51),1,0)</f>
        <v>0</v>
      </c>
      <c r="AN55" s="159">
        <f t="shared" si="10"/>
        <v>0</v>
      </c>
      <c r="AO55" s="159">
        <f t="shared" si="10"/>
        <v>0</v>
      </c>
      <c r="AP55" s="159">
        <f t="shared" si="10"/>
        <v>0</v>
      </c>
      <c r="AQ55" s="159">
        <f t="shared" si="10"/>
        <v>0</v>
      </c>
      <c r="AR55" s="159">
        <f t="shared" si="10"/>
        <v>0</v>
      </c>
      <c r="AS55" s="159">
        <f t="shared" si="10"/>
        <v>0</v>
      </c>
      <c r="AT55" s="159">
        <f t="shared" si="10"/>
        <v>0</v>
      </c>
      <c r="AU55" s="159">
        <f t="shared" si="10"/>
        <v>0</v>
      </c>
      <c r="AV55" s="159">
        <f t="shared" si="10"/>
        <v>0</v>
      </c>
    </row>
    <row r="56" spans="1:49">
      <c r="A56" s="12"/>
      <c r="B56" s="2" t="s">
        <v>429</v>
      </c>
      <c r="C56" s="15" t="s">
        <v>60</v>
      </c>
      <c r="I56" s="41">
        <f ca="1">(I55*I17)</f>
        <v>0</v>
      </c>
      <c r="J56" s="41">
        <f t="shared" ref="J56:AI56" ca="1" si="11">(J55*J17)</f>
        <v>0</v>
      </c>
      <c r="K56" s="41">
        <f t="shared" ca="1" si="11"/>
        <v>0</v>
      </c>
      <c r="L56" s="41">
        <f t="shared" ca="1" si="11"/>
        <v>1</v>
      </c>
      <c r="M56" s="41">
        <f t="shared" ca="1" si="11"/>
        <v>1</v>
      </c>
      <c r="N56" s="41">
        <f t="shared" ca="1" si="11"/>
        <v>1</v>
      </c>
      <c r="O56" s="41">
        <f t="shared" ca="1" si="11"/>
        <v>1</v>
      </c>
      <c r="P56" s="41">
        <f t="shared" ca="1" si="11"/>
        <v>1</v>
      </c>
      <c r="Q56" s="41">
        <f t="shared" ca="1" si="11"/>
        <v>1</v>
      </c>
      <c r="R56" s="41">
        <f t="shared" ca="1" si="11"/>
        <v>1</v>
      </c>
      <c r="S56" s="41">
        <f t="shared" ca="1" si="11"/>
        <v>1</v>
      </c>
      <c r="T56" s="41">
        <f t="shared" ca="1" si="11"/>
        <v>1</v>
      </c>
      <c r="U56" s="41">
        <f t="shared" ca="1" si="11"/>
        <v>1</v>
      </c>
      <c r="V56" s="41">
        <f t="shared" ca="1" si="11"/>
        <v>1</v>
      </c>
      <c r="W56" s="41">
        <f t="shared" ca="1" si="11"/>
        <v>1</v>
      </c>
      <c r="X56" s="41">
        <f t="shared" ca="1" si="11"/>
        <v>1</v>
      </c>
      <c r="Y56" s="41">
        <f t="shared" ca="1" si="11"/>
        <v>1</v>
      </c>
      <c r="Z56" s="41">
        <f t="shared" ca="1" si="11"/>
        <v>1</v>
      </c>
      <c r="AA56" s="41">
        <f t="shared" ca="1" si="11"/>
        <v>1</v>
      </c>
      <c r="AB56" s="41">
        <f t="shared" ca="1" si="11"/>
        <v>1</v>
      </c>
      <c r="AC56" s="41">
        <f t="shared" ca="1" si="11"/>
        <v>1</v>
      </c>
      <c r="AD56" s="41">
        <f t="shared" ca="1" si="11"/>
        <v>1</v>
      </c>
      <c r="AE56" s="41">
        <f t="shared" ca="1" si="11"/>
        <v>1</v>
      </c>
      <c r="AF56" s="41">
        <f t="shared" ca="1" si="11"/>
        <v>1</v>
      </c>
      <c r="AG56" s="41">
        <f t="shared" ca="1" si="11"/>
        <v>1</v>
      </c>
      <c r="AH56" s="41">
        <f t="shared" ca="1" si="11"/>
        <v>1</v>
      </c>
      <c r="AI56" s="41">
        <f t="shared" ca="1" si="11"/>
        <v>1</v>
      </c>
      <c r="AJ56" s="41">
        <f>(AJ55*AJ17)</f>
        <v>0</v>
      </c>
      <c r="AK56" s="41">
        <f>(AK55*AK17)</f>
        <v>0</v>
      </c>
      <c r="AL56" s="41">
        <f>(AL55*AL17)</f>
        <v>0</v>
      </c>
      <c r="AM56" s="41">
        <f t="shared" ref="AM56:AV56" si="12">(AM55*AM17)</f>
        <v>0</v>
      </c>
      <c r="AN56" s="41">
        <f t="shared" si="12"/>
        <v>0</v>
      </c>
      <c r="AO56" s="41">
        <f t="shared" si="12"/>
        <v>0</v>
      </c>
      <c r="AP56" s="41">
        <f t="shared" si="12"/>
        <v>0</v>
      </c>
      <c r="AQ56" s="41">
        <f t="shared" si="12"/>
        <v>0</v>
      </c>
      <c r="AR56" s="41">
        <f t="shared" si="12"/>
        <v>0</v>
      </c>
      <c r="AS56" s="41">
        <f t="shared" si="12"/>
        <v>0</v>
      </c>
      <c r="AT56" s="41">
        <f t="shared" si="12"/>
        <v>0</v>
      </c>
      <c r="AU56" s="41">
        <f t="shared" si="12"/>
        <v>0</v>
      </c>
      <c r="AV56" s="41">
        <f t="shared" si="12"/>
        <v>0</v>
      </c>
    </row>
    <row r="57" spans="1:49">
      <c r="C57" s="15"/>
    </row>
    <row r="58" spans="1:49">
      <c r="B58" s="2" t="s">
        <v>263</v>
      </c>
      <c r="C58" s="15" t="str">
        <f>$C$30</f>
        <v>US$</v>
      </c>
      <c r="I58" s="41">
        <f>H61</f>
        <v>0</v>
      </c>
      <c r="J58" s="41">
        <f t="shared" ref="J58:AI58" ca="1" si="13">I61</f>
        <v>0</v>
      </c>
      <c r="K58" s="41">
        <f t="shared" ca="1" si="13"/>
        <v>0</v>
      </c>
      <c r="L58" s="41">
        <f t="shared" ca="1" si="13"/>
        <v>0</v>
      </c>
      <c r="M58" s="41">
        <f t="shared" ca="1" si="13"/>
        <v>0</v>
      </c>
      <c r="N58" s="41">
        <f t="shared" ca="1" si="13"/>
        <v>0</v>
      </c>
      <c r="O58" s="41">
        <f t="shared" ca="1" si="13"/>
        <v>0</v>
      </c>
      <c r="P58" s="41">
        <f t="shared" ca="1" si="13"/>
        <v>0</v>
      </c>
      <c r="Q58" s="41">
        <f t="shared" ca="1" si="13"/>
        <v>0</v>
      </c>
      <c r="R58" s="41">
        <f t="shared" ca="1" si="13"/>
        <v>0</v>
      </c>
      <c r="S58" s="41">
        <f t="shared" ca="1" si="13"/>
        <v>0</v>
      </c>
      <c r="T58" s="41">
        <f t="shared" ca="1" si="13"/>
        <v>0</v>
      </c>
      <c r="U58" s="41">
        <f t="shared" ca="1" si="13"/>
        <v>0</v>
      </c>
      <c r="V58" s="41">
        <f t="shared" ca="1" si="13"/>
        <v>0</v>
      </c>
      <c r="W58" s="41">
        <f t="shared" ca="1" si="13"/>
        <v>0</v>
      </c>
      <c r="X58" s="41">
        <f t="shared" ca="1" si="13"/>
        <v>0</v>
      </c>
      <c r="Y58" s="41">
        <f t="shared" ca="1" si="13"/>
        <v>0</v>
      </c>
      <c r="Z58" s="41">
        <f t="shared" ca="1" si="13"/>
        <v>0</v>
      </c>
      <c r="AA58" s="41">
        <f t="shared" ca="1" si="13"/>
        <v>0</v>
      </c>
      <c r="AB58" s="41">
        <f t="shared" ca="1" si="13"/>
        <v>0</v>
      </c>
      <c r="AC58" s="41">
        <f t="shared" ca="1" si="13"/>
        <v>0</v>
      </c>
      <c r="AD58" s="41">
        <f t="shared" ca="1" si="13"/>
        <v>0</v>
      </c>
      <c r="AE58" s="41">
        <f t="shared" ca="1" si="13"/>
        <v>0</v>
      </c>
      <c r="AF58" s="41">
        <f t="shared" ca="1" si="13"/>
        <v>0</v>
      </c>
      <c r="AG58" s="41">
        <f t="shared" ca="1" si="13"/>
        <v>0</v>
      </c>
      <c r="AH58" s="41">
        <f t="shared" ca="1" si="13"/>
        <v>0</v>
      </c>
      <c r="AI58" s="41">
        <f t="shared" ca="1" si="13"/>
        <v>0</v>
      </c>
    </row>
    <row r="59" spans="1:49">
      <c r="B59" s="2" t="s">
        <v>430</v>
      </c>
      <c r="C59" s="15" t="str">
        <f>$C$30</f>
        <v>US$</v>
      </c>
      <c r="D59" s="42">
        <f ca="1">SUM(I59:AW59)</f>
        <v>21210912668.453354</v>
      </c>
      <c r="I59" s="41">
        <f ca="1">MIN(I41,I47)*I56*'Input '!$F$40*I24</f>
        <v>0</v>
      </c>
      <c r="J59" s="41">
        <f ca="1">MIN(J41,J47)*J56*'Input '!$F$40*J24</f>
        <v>0</v>
      </c>
      <c r="K59" s="41">
        <f ca="1">MIN(K41,K47)*K56*'Input '!$F$40*K24</f>
        <v>0</v>
      </c>
      <c r="L59" s="41">
        <f ca="1">MIN(L41,L47)*L56*'Input '!$F$40*L24</f>
        <v>155025276.2896556</v>
      </c>
      <c r="M59" s="41">
        <f ca="1">MIN(M41,M47)*M56*'Input '!$F$40*M24</f>
        <v>227347039.43063083</v>
      </c>
      <c r="N59" s="41">
        <f ca="1">MIN(N41,N47)*N56*'Input '!$F$40*N24</f>
        <v>288124209.36050177</v>
      </c>
      <c r="O59" s="41">
        <f ca="1">MIN(O41,O47)*O56*'Input '!$F$40*O24</f>
        <v>361289591.41360027</v>
      </c>
      <c r="P59" s="41">
        <f ca="1">MIN(P41,P47)*P56*'Input '!$F$40*P24</f>
        <v>438596621.84971422</v>
      </c>
      <c r="Q59" s="41">
        <f ca="1">MIN(Q41,Q47)*Q56*'Input '!$F$40*Q24</f>
        <v>523411100.51175404</v>
      </c>
      <c r="R59" s="41">
        <f ca="1">MIN(R41,R47)*R56*'Input '!$F$40*R24</f>
        <v>573449769.13911676</v>
      </c>
      <c r="S59" s="41">
        <f ca="1">MIN(S41,S47)*S56*'Input '!$F$40*S24</f>
        <v>683330946.14545572</v>
      </c>
      <c r="T59" s="41">
        <f ca="1">MIN(T41,T47)*T56*'Input '!$F$40*T24</f>
        <v>783133296.44681394</v>
      </c>
      <c r="U59" s="41">
        <f ca="1">MIN(U41,U47)*U56*'Input '!$F$40*U24</f>
        <v>882001923.3333801</v>
      </c>
      <c r="V59" s="41">
        <f ca="1">MIN(V41,V47)*V56*'Input '!$F$40*V24</f>
        <v>976253719.36866021</v>
      </c>
      <c r="W59" s="41">
        <f ca="1">MIN(W41,W47)*W56*'Input '!$F$40*W24</f>
        <v>1077859338.8075821</v>
      </c>
      <c r="X59" s="41">
        <f ca="1">MIN(X41,X47)*X56*'Input '!$F$40*X24</f>
        <v>1098567416.7028735</v>
      </c>
      <c r="Y59" s="41">
        <f ca="1">MIN(Y41,Y47)*Y56*'Input '!$F$40*Y24</f>
        <v>1109680624.1883595</v>
      </c>
      <c r="Z59" s="41">
        <f ca="1">MIN(Z41,Z47)*Z56*'Input '!$F$40*Z24</f>
        <v>1121535370.4584107</v>
      </c>
      <c r="AA59" s="41">
        <f ca="1">MIN(AA41,AA47)*AA56*'Input '!$F$40*AA24</f>
        <v>1146362716.9640911</v>
      </c>
      <c r="AB59" s="41">
        <f ca="1">MIN(AB41,AB47)*AB56*'Input '!$F$40*AB24</f>
        <v>1149854305.7021184</v>
      </c>
      <c r="AC59" s="41">
        <f ca="1">MIN(AC41,AC47)*AC56*'Input '!$F$40*AC24</f>
        <v>1161885476.5317512</v>
      </c>
      <c r="AD59" s="41">
        <f ca="1">MIN(AD41,AD47)*AD56*'Input '!$F$40*AD24</f>
        <v>1175309556.3305271</v>
      </c>
      <c r="AE59" s="41">
        <f ca="1">MIN(AE41,AE47)*AE56*'Input '!$F$40*AE24</f>
        <v>1202981110.8956997</v>
      </c>
      <c r="AF59" s="41">
        <f ca="1">MIN(AF41,AF47)*AF56*'Input '!$F$40*AF24</f>
        <v>1223598212.6286387</v>
      </c>
      <c r="AG59" s="41">
        <f ca="1">MIN(AG41,AG47)*AG56*'Input '!$F$40*AG24</f>
        <v>1251506969.0331321</v>
      </c>
      <c r="AH59" s="41">
        <f ca="1">MIN(AH41,AH47)*AH56*'Input '!$F$40*AH24</f>
        <v>1279109353.3478193</v>
      </c>
      <c r="AI59" s="41">
        <f ca="1">MIN(AI41,AI47)*AI56*'Input '!$F$40*AI24</f>
        <v>1320698723.5730693</v>
      </c>
      <c r="AJ59" s="41">
        <f ca="1">MIN(AJ41,AJ47)*AJ56*'Input '!$F$40*AJ24</f>
        <v>0</v>
      </c>
      <c r="AK59" s="41">
        <f ca="1">MIN(AK41,AK47)*AK56*'Input '!$F$40*AK24</f>
        <v>0</v>
      </c>
      <c r="AL59" s="41">
        <f ca="1">MIN(AL41,AL47)*AL56*'Input '!$F$40*AL24</f>
        <v>0</v>
      </c>
      <c r="AM59" s="41">
        <f ca="1">MIN(AM41,AM47)*AM56*'Input '!$F$40*AM24</f>
        <v>0</v>
      </c>
      <c r="AN59" s="41">
        <f ca="1">MIN(AN41,AN47)*AN56*'Input '!$F$40*AN24</f>
        <v>0</v>
      </c>
      <c r="AO59" s="41">
        <f ca="1">MIN(AO41,AO47)*AO56*'Input '!$F$40*AO24</f>
        <v>0</v>
      </c>
      <c r="AP59" s="41">
        <f ca="1">MIN(AP41,AP47)*AP56*'Input '!$F$40*AP24</f>
        <v>0</v>
      </c>
      <c r="AQ59" s="41">
        <f ca="1">MIN(AQ41,AQ47)*AQ56*'Input '!$F$40*AQ24</f>
        <v>0</v>
      </c>
      <c r="AR59" s="41">
        <f ca="1">MIN(AR41,AR47)*AR56*'Input '!$F$40*AR24</f>
        <v>0</v>
      </c>
      <c r="AS59" s="41">
        <f ca="1">MIN(AS41,AS47)*AS56*'Input '!$F$40*AS24</f>
        <v>0</v>
      </c>
      <c r="AT59" s="41">
        <f ca="1">MIN(AT41,AT47)*AT56*'Input '!$F$40*AT24</f>
        <v>0</v>
      </c>
      <c r="AU59" s="41">
        <f ca="1">MIN(AU41,AU47)*AU56*'Input '!$F$40*AU24</f>
        <v>0</v>
      </c>
      <c r="AV59" s="41">
        <f ca="1">MIN(AV41,AV47)*AV56*'Input '!$F$40*AV24</f>
        <v>0</v>
      </c>
      <c r="AW59" s="41">
        <f ca="1">MIN(AW41,AW47)*AW56*'Input '!$F$40*AW24</f>
        <v>0</v>
      </c>
    </row>
    <row r="60" spans="1:49">
      <c r="B60" s="27" t="s">
        <v>431</v>
      </c>
      <c r="C60" s="28" t="str">
        <f>$C$30</f>
        <v>US$</v>
      </c>
      <c r="D60" s="108">
        <f ca="1">SUM(I60:AW60)</f>
        <v>-21210912668.453354</v>
      </c>
      <c r="E60" s="27"/>
      <c r="F60" s="27"/>
      <c r="G60" s="27"/>
      <c r="H60" s="27"/>
      <c r="I60" s="43">
        <f ca="1">-I59</f>
        <v>0</v>
      </c>
      <c r="J60" s="43">
        <f t="shared" ref="J60:AI60" ca="1" si="14">-J59</f>
        <v>0</v>
      </c>
      <c r="K60" s="43">
        <f t="shared" ca="1" si="14"/>
        <v>0</v>
      </c>
      <c r="L60" s="43">
        <f t="shared" ca="1" si="14"/>
        <v>-155025276.2896556</v>
      </c>
      <c r="M60" s="43">
        <f t="shared" ca="1" si="14"/>
        <v>-227347039.43063083</v>
      </c>
      <c r="N60" s="43">
        <f t="shared" ca="1" si="14"/>
        <v>-288124209.36050177</v>
      </c>
      <c r="O60" s="43">
        <f t="shared" ca="1" si="14"/>
        <v>-361289591.41360027</v>
      </c>
      <c r="P60" s="43">
        <f t="shared" ca="1" si="14"/>
        <v>-438596621.84971422</v>
      </c>
      <c r="Q60" s="43">
        <f t="shared" ca="1" si="14"/>
        <v>-523411100.51175404</v>
      </c>
      <c r="R60" s="43">
        <f t="shared" ca="1" si="14"/>
        <v>-573449769.13911676</v>
      </c>
      <c r="S60" s="43">
        <f t="shared" ca="1" si="14"/>
        <v>-683330946.14545572</v>
      </c>
      <c r="T60" s="43">
        <f t="shared" ca="1" si="14"/>
        <v>-783133296.44681394</v>
      </c>
      <c r="U60" s="43">
        <f t="shared" ca="1" si="14"/>
        <v>-882001923.3333801</v>
      </c>
      <c r="V60" s="43">
        <f t="shared" ca="1" si="14"/>
        <v>-976253719.36866021</v>
      </c>
      <c r="W60" s="43">
        <f t="shared" ca="1" si="14"/>
        <v>-1077859338.8075821</v>
      </c>
      <c r="X60" s="43">
        <f t="shared" ca="1" si="14"/>
        <v>-1098567416.7028735</v>
      </c>
      <c r="Y60" s="43">
        <f t="shared" ca="1" si="14"/>
        <v>-1109680624.1883595</v>
      </c>
      <c r="Z60" s="43">
        <f t="shared" ca="1" si="14"/>
        <v>-1121535370.4584107</v>
      </c>
      <c r="AA60" s="43">
        <f t="shared" ca="1" si="14"/>
        <v>-1146362716.9640911</v>
      </c>
      <c r="AB60" s="43">
        <f t="shared" ca="1" si="14"/>
        <v>-1149854305.7021184</v>
      </c>
      <c r="AC60" s="43">
        <f t="shared" ca="1" si="14"/>
        <v>-1161885476.5317512</v>
      </c>
      <c r="AD60" s="43">
        <f t="shared" ca="1" si="14"/>
        <v>-1175309556.3305271</v>
      </c>
      <c r="AE60" s="43">
        <f t="shared" ca="1" si="14"/>
        <v>-1202981110.8956997</v>
      </c>
      <c r="AF60" s="43">
        <f t="shared" ca="1" si="14"/>
        <v>-1223598212.6286387</v>
      </c>
      <c r="AG60" s="43">
        <f t="shared" ca="1" si="14"/>
        <v>-1251506969.0331321</v>
      </c>
      <c r="AH60" s="43">
        <f t="shared" ca="1" si="14"/>
        <v>-1279109353.3478193</v>
      </c>
      <c r="AI60" s="43">
        <f t="shared" ca="1" si="14"/>
        <v>-1320698723.5730693</v>
      </c>
      <c r="AJ60" s="43">
        <f t="shared" ref="AJ60:AW60" ca="1" si="15">-AJ59</f>
        <v>0</v>
      </c>
      <c r="AK60" s="43">
        <f t="shared" ca="1" si="15"/>
        <v>0</v>
      </c>
      <c r="AL60" s="43">
        <f t="shared" ca="1" si="15"/>
        <v>0</v>
      </c>
      <c r="AM60" s="43">
        <f t="shared" ca="1" si="15"/>
        <v>0</v>
      </c>
      <c r="AN60" s="43">
        <f t="shared" ca="1" si="15"/>
        <v>0</v>
      </c>
      <c r="AO60" s="43">
        <f t="shared" ca="1" si="15"/>
        <v>0</v>
      </c>
      <c r="AP60" s="43">
        <f t="shared" ca="1" si="15"/>
        <v>0</v>
      </c>
      <c r="AQ60" s="43">
        <f t="shared" ca="1" si="15"/>
        <v>0</v>
      </c>
      <c r="AR60" s="43">
        <f t="shared" ca="1" si="15"/>
        <v>0</v>
      </c>
      <c r="AS60" s="43">
        <f t="shared" ca="1" si="15"/>
        <v>0</v>
      </c>
      <c r="AT60" s="43">
        <f t="shared" ca="1" si="15"/>
        <v>0</v>
      </c>
      <c r="AU60" s="43">
        <f t="shared" ca="1" si="15"/>
        <v>0</v>
      </c>
      <c r="AV60" s="43">
        <f t="shared" ca="1" si="15"/>
        <v>0</v>
      </c>
      <c r="AW60" s="43">
        <f t="shared" ca="1" si="15"/>
        <v>0</v>
      </c>
    </row>
    <row r="61" spans="1:49">
      <c r="B61" s="2" t="s">
        <v>266</v>
      </c>
      <c r="C61" s="15" t="str">
        <f>$C$30</f>
        <v>US$</v>
      </c>
      <c r="H61" s="135"/>
      <c r="I61" s="41">
        <f ca="1">SUM(I58:I60)</f>
        <v>0</v>
      </c>
      <c r="J61" s="41">
        <f t="shared" ref="J61:AW61" ca="1" si="16">SUM(J58:J60)</f>
        <v>0</v>
      </c>
      <c r="K61" s="41">
        <f t="shared" ca="1" si="16"/>
        <v>0</v>
      </c>
      <c r="L61" s="41">
        <f t="shared" ca="1" si="16"/>
        <v>0</v>
      </c>
      <c r="M61" s="41">
        <f t="shared" ca="1" si="16"/>
        <v>0</v>
      </c>
      <c r="N61" s="41">
        <f t="shared" ca="1" si="16"/>
        <v>0</v>
      </c>
      <c r="O61" s="41">
        <f t="shared" ca="1" si="16"/>
        <v>0</v>
      </c>
      <c r="P61" s="41">
        <f t="shared" ca="1" si="16"/>
        <v>0</v>
      </c>
      <c r="Q61" s="41">
        <f t="shared" ca="1" si="16"/>
        <v>0</v>
      </c>
      <c r="R61" s="41">
        <f t="shared" ca="1" si="16"/>
        <v>0</v>
      </c>
      <c r="S61" s="41">
        <f t="shared" ca="1" si="16"/>
        <v>0</v>
      </c>
      <c r="T61" s="41">
        <f t="shared" ca="1" si="16"/>
        <v>0</v>
      </c>
      <c r="U61" s="41">
        <f t="shared" ca="1" si="16"/>
        <v>0</v>
      </c>
      <c r="V61" s="41">
        <f t="shared" ca="1" si="16"/>
        <v>0</v>
      </c>
      <c r="W61" s="41">
        <f t="shared" ca="1" si="16"/>
        <v>0</v>
      </c>
      <c r="X61" s="41">
        <f t="shared" ca="1" si="16"/>
        <v>0</v>
      </c>
      <c r="Y61" s="41">
        <f t="shared" ca="1" si="16"/>
        <v>0</v>
      </c>
      <c r="Z61" s="41">
        <f t="shared" ca="1" si="16"/>
        <v>0</v>
      </c>
      <c r="AA61" s="41">
        <f t="shared" ca="1" si="16"/>
        <v>0</v>
      </c>
      <c r="AB61" s="41">
        <f t="shared" ca="1" si="16"/>
        <v>0</v>
      </c>
      <c r="AC61" s="41">
        <f t="shared" ca="1" si="16"/>
        <v>0</v>
      </c>
      <c r="AD61" s="41">
        <f t="shared" ca="1" si="16"/>
        <v>0</v>
      </c>
      <c r="AE61" s="41">
        <f t="shared" ca="1" si="16"/>
        <v>0</v>
      </c>
      <c r="AF61" s="41">
        <f t="shared" ca="1" si="16"/>
        <v>0</v>
      </c>
      <c r="AG61" s="41">
        <f t="shared" ca="1" si="16"/>
        <v>0</v>
      </c>
      <c r="AH61" s="41">
        <f t="shared" ca="1" si="16"/>
        <v>0</v>
      </c>
      <c r="AI61" s="41">
        <f t="shared" ca="1" si="16"/>
        <v>0</v>
      </c>
      <c r="AJ61" s="41">
        <f t="shared" ca="1" si="16"/>
        <v>0</v>
      </c>
      <c r="AK61" s="41">
        <f t="shared" ca="1" si="16"/>
        <v>0</v>
      </c>
      <c r="AL61" s="41">
        <f t="shared" ca="1" si="16"/>
        <v>0</v>
      </c>
      <c r="AM61" s="41">
        <f t="shared" ca="1" si="16"/>
        <v>0</v>
      </c>
      <c r="AN61" s="41">
        <f t="shared" ca="1" si="16"/>
        <v>0</v>
      </c>
      <c r="AO61" s="41">
        <f t="shared" ca="1" si="16"/>
        <v>0</v>
      </c>
      <c r="AP61" s="41">
        <f t="shared" ca="1" si="16"/>
        <v>0</v>
      </c>
      <c r="AQ61" s="41">
        <f t="shared" ca="1" si="16"/>
        <v>0</v>
      </c>
      <c r="AR61" s="41">
        <f t="shared" ca="1" si="16"/>
        <v>0</v>
      </c>
      <c r="AS61" s="41">
        <f t="shared" ca="1" si="16"/>
        <v>0</v>
      </c>
      <c r="AT61" s="41">
        <f t="shared" ca="1" si="16"/>
        <v>0</v>
      </c>
      <c r="AU61" s="41">
        <f t="shared" ca="1" si="16"/>
        <v>0</v>
      </c>
      <c r="AV61" s="41">
        <f t="shared" ca="1" si="16"/>
        <v>0</v>
      </c>
      <c r="AW61" s="41">
        <f t="shared" ca="1" si="16"/>
        <v>0</v>
      </c>
    </row>
    <row r="62" spans="1:49">
      <c r="C62" s="15"/>
    </row>
    <row r="63" spans="1:49">
      <c r="A63" s="130" t="s">
        <v>109</v>
      </c>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9B9B1-8D6F-4AEF-8614-021F47D8A88B}">
  <sheetPr codeName="Sheet25"/>
  <dimension ref="F9:M13"/>
  <sheetViews>
    <sheetView topLeftCell="A17" workbookViewId="0">
      <selection activeCell="G16" sqref="G16"/>
    </sheetView>
  </sheetViews>
  <sheetFormatPr defaultRowHeight="15"/>
  <cols>
    <col min="6" max="6" width="28.3828125" customWidth="1"/>
    <col min="7" max="7" width="12.9140625" bestFit="1" customWidth="1"/>
    <col min="8" max="8" width="12.77734375" bestFit="1" customWidth="1"/>
  </cols>
  <sheetData>
    <row r="9" spans="6:13" ht="15.75" thickBot="1">
      <c r="G9" s="296"/>
      <c r="H9" s="296"/>
      <c r="I9" s="296"/>
      <c r="J9" s="296"/>
      <c r="K9" s="296"/>
      <c r="L9" s="296"/>
      <c r="M9" s="296"/>
    </row>
    <row r="10" spans="6:13" ht="15.75" thickBot="1">
      <c r="F10" s="304" t="s">
        <v>661</v>
      </c>
      <c r="G10" s="305">
        <v>2016</v>
      </c>
      <c r="H10" s="305">
        <v>2017</v>
      </c>
      <c r="I10" s="305">
        <v>2018</v>
      </c>
      <c r="J10" s="305">
        <v>2019</v>
      </c>
      <c r="K10" s="305">
        <v>2020</v>
      </c>
      <c r="L10" s="305">
        <v>2021</v>
      </c>
      <c r="M10" s="306">
        <v>2022</v>
      </c>
    </row>
    <row r="11" spans="6:13">
      <c r="F11" s="297" t="s">
        <v>662</v>
      </c>
      <c r="G11" s="298">
        <v>1</v>
      </c>
      <c r="H11" s="307">
        <f>Returns!I53</f>
        <v>0.86030774204797589</v>
      </c>
      <c r="I11" s="307">
        <f>Returns!J53</f>
        <v>0.7401294110276867</v>
      </c>
      <c r="J11" s="307">
        <f>Returns!K53</f>
        <v>0.63647663154504541</v>
      </c>
      <c r="K11" s="307">
        <f>Returns!L53</f>
        <v>0.5475657737508195</v>
      </c>
      <c r="L11" s="307">
        <f>Returns!M53</f>
        <v>0.47107507443832036</v>
      </c>
      <c r="M11" s="308">
        <f>Returns!N53</f>
        <v>0.40526953362511364</v>
      </c>
    </row>
    <row r="12" spans="6:13" ht="15.75" thickBot="1">
      <c r="F12" s="299" t="s">
        <v>663</v>
      </c>
      <c r="G12" s="309">
        <v>2523609</v>
      </c>
      <c r="H12" s="309">
        <v>3770554</v>
      </c>
      <c r="I12" s="300">
        <v>488</v>
      </c>
      <c r="J12" s="300"/>
      <c r="K12" s="300"/>
      <c r="L12" s="300"/>
      <c r="M12" s="301"/>
    </row>
    <row r="13" spans="6:13" ht="15.75" thickBot="1">
      <c r="F13" s="251" t="s">
        <v>664</v>
      </c>
      <c r="G13" s="310">
        <f>H12-G12</f>
        <v>1246945</v>
      </c>
      <c r="H13" s="302"/>
      <c r="I13" s="302"/>
      <c r="J13" s="302"/>
      <c r="K13" s="302"/>
      <c r="L13" s="302"/>
      <c r="M13" s="303"/>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607D0-9EF9-410E-A743-2DC4BC2EDEFB}">
  <sheetPr codeName="Sheet31"/>
  <dimension ref="A1:I52"/>
  <sheetViews>
    <sheetView showGridLines="0" zoomScale="85" zoomScaleNormal="85" workbookViewId="0">
      <pane xSplit="1" ySplit="7" topLeftCell="B8" activePane="bottomRight" state="frozen"/>
      <selection pane="bottomLeft" activeCell="A8" sqref="A8"/>
      <selection pane="topRight" activeCell="B1" sqref="B1"/>
      <selection pane="bottomRight" activeCell="A25" sqref="A25"/>
    </sheetView>
  </sheetViews>
  <sheetFormatPr defaultColWidth="9.14453125" defaultRowHeight="13.5"/>
  <cols>
    <col min="1" max="1" width="15.6015625" style="944" customWidth="1"/>
    <col min="2" max="2" width="20.84765625" style="945" customWidth="1"/>
    <col min="3" max="3" width="23.26953125" style="945" customWidth="1"/>
    <col min="4" max="5" width="21.92578125" style="945" customWidth="1"/>
    <col min="6" max="6" width="24.48046875" style="945" customWidth="1"/>
    <col min="7" max="7" width="23.67578125" style="945" customWidth="1"/>
    <col min="8" max="16384" width="9.14453125" style="939"/>
  </cols>
  <sheetData>
    <row r="1" spans="1:7" s="935" customFormat="1" ht="32.25" customHeight="1">
      <c r="A1" s="3492" t="s">
        <v>1084</v>
      </c>
      <c r="B1" s="3492"/>
      <c r="C1" s="3492"/>
      <c r="D1" s="3492"/>
      <c r="E1" s="3492"/>
      <c r="F1" s="3492"/>
      <c r="G1" s="3492"/>
    </row>
    <row r="2" spans="1:7" s="935" customFormat="1" ht="29.25" customHeight="1">
      <c r="A2" s="3493" t="s">
        <v>1085</v>
      </c>
      <c r="B2" s="3493"/>
      <c r="C2" s="3493"/>
      <c r="D2" s="3493"/>
      <c r="E2" s="3493"/>
      <c r="F2" s="3493"/>
      <c r="G2" s="3493"/>
    </row>
    <row r="3" spans="1:7" ht="21" customHeight="1">
      <c r="A3" s="3494"/>
      <c r="B3" s="936" t="s">
        <v>892</v>
      </c>
      <c r="C3" s="937" t="s">
        <v>892</v>
      </c>
      <c r="D3" s="936" t="s">
        <v>892</v>
      </c>
      <c r="E3" s="937" t="s">
        <v>892</v>
      </c>
      <c r="F3" s="936" t="s">
        <v>892</v>
      </c>
      <c r="G3" s="938" t="s">
        <v>892</v>
      </c>
    </row>
    <row r="4" spans="1:7" ht="21" customHeight="1">
      <c r="A4" s="3494"/>
      <c r="B4" s="936" t="s">
        <v>1086</v>
      </c>
      <c r="C4" s="937" t="s">
        <v>1086</v>
      </c>
      <c r="D4" s="936" t="s">
        <v>1087</v>
      </c>
      <c r="E4" s="937" t="s">
        <v>1087</v>
      </c>
      <c r="F4" s="936" t="s">
        <v>1088</v>
      </c>
      <c r="G4" s="938" t="s">
        <v>1089</v>
      </c>
    </row>
    <row r="5" spans="1:7" ht="26.25">
      <c r="A5" s="3494"/>
      <c r="B5" s="940" t="s">
        <v>1090</v>
      </c>
      <c r="C5" s="941" t="s">
        <v>1091</v>
      </c>
      <c r="D5" s="936" t="s">
        <v>1092</v>
      </c>
      <c r="E5" s="937" t="s">
        <v>1093</v>
      </c>
      <c r="F5" s="940" t="s">
        <v>1094</v>
      </c>
      <c r="G5" s="938" t="s">
        <v>1095</v>
      </c>
    </row>
    <row r="6" spans="1:7" ht="21" customHeight="1">
      <c r="A6" s="3494"/>
      <c r="B6" s="936" t="s">
        <v>1096</v>
      </c>
      <c r="C6" s="937" t="s">
        <v>1096</v>
      </c>
      <c r="D6" s="936" t="s">
        <v>1097</v>
      </c>
      <c r="E6" s="937" t="s">
        <v>1097</v>
      </c>
      <c r="F6" s="936" t="s">
        <v>1098</v>
      </c>
      <c r="G6" s="938" t="s">
        <v>1099</v>
      </c>
    </row>
    <row r="7" spans="1:7" ht="21" customHeight="1">
      <c r="A7" s="3495"/>
      <c r="B7" s="936" t="s">
        <v>1100</v>
      </c>
      <c r="C7" s="937" t="s">
        <v>1100</v>
      </c>
      <c r="D7" s="936" t="s">
        <v>1100</v>
      </c>
      <c r="E7" s="937" t="s">
        <v>1100</v>
      </c>
      <c r="F7" s="936" t="s">
        <v>1100</v>
      </c>
      <c r="G7" s="938" t="s">
        <v>1100</v>
      </c>
    </row>
    <row r="8" spans="1:7" ht="17.25" customHeight="1">
      <c r="A8" s="942">
        <v>44256</v>
      </c>
      <c r="B8" s="943">
        <v>497.23700000000002</v>
      </c>
      <c r="C8" s="943">
        <v>393.13320000000004</v>
      </c>
      <c r="D8" s="943">
        <v>331.35284907020468</v>
      </c>
      <c r="E8" s="943">
        <v>383.25458904713906</v>
      </c>
      <c r="F8" s="943">
        <v>346.07666378815384</v>
      </c>
      <c r="G8" s="943">
        <v>328.75</v>
      </c>
    </row>
    <row r="9" spans="1:7" ht="17.25" customHeight="1">
      <c r="A9" s="942">
        <v>44287</v>
      </c>
      <c r="B9" s="943">
        <v>520.85159999999996</v>
      </c>
      <c r="C9" s="943">
        <v>401.7808</v>
      </c>
      <c r="D9" s="943">
        <v>350.02848313470537</v>
      </c>
      <c r="E9" s="943">
        <v>380.4684659012417</v>
      </c>
      <c r="F9" s="943">
        <v>342.07133026372014</v>
      </c>
      <c r="G9" s="943">
        <v>325.8</v>
      </c>
    </row>
    <row r="10" spans="1:7" ht="17.25" customHeight="1">
      <c r="A10" s="942">
        <v>44317</v>
      </c>
      <c r="B10" s="943">
        <v>539.14459999999997</v>
      </c>
      <c r="C10" s="943">
        <v>366.52520000000004</v>
      </c>
      <c r="D10" s="943">
        <v>347.5166015759101</v>
      </c>
      <c r="E10" s="943">
        <v>369.79204566700122</v>
      </c>
      <c r="F10" s="943">
        <v>347.60050277303804</v>
      </c>
      <c r="G10" s="943">
        <v>338.125</v>
      </c>
    </row>
    <row r="11" spans="1:7" ht="17.25" customHeight="1">
      <c r="A11" s="942">
        <v>44348</v>
      </c>
      <c r="B11" s="943">
        <v>539.14459999999997</v>
      </c>
      <c r="C11" s="943">
        <v>353.88640000000004</v>
      </c>
      <c r="D11" s="943">
        <v>345.72478863680897</v>
      </c>
      <c r="E11" s="943">
        <v>371.10406663602492</v>
      </c>
      <c r="F11" s="943">
        <v>344.54993974298122</v>
      </c>
      <c r="G11" s="943">
        <v>336.25</v>
      </c>
    </row>
    <row r="12" spans="1:7" ht="17.25" customHeight="1">
      <c r="A12" s="942">
        <v>44378</v>
      </c>
      <c r="B12" s="943">
        <v>539.14459999999997</v>
      </c>
      <c r="C12" s="943">
        <v>377.16840000000002</v>
      </c>
      <c r="D12" s="943">
        <v>342.31784861370681</v>
      </c>
      <c r="E12" s="943">
        <v>394.80412881570231</v>
      </c>
      <c r="F12" s="943">
        <v>348.00429014012286</v>
      </c>
      <c r="G12" s="943">
        <v>338.2</v>
      </c>
    </row>
    <row r="13" spans="1:7" ht="17.25" customHeight="1">
      <c r="A13" s="942">
        <v>44409</v>
      </c>
      <c r="B13" s="943">
        <v>539.14459999999997</v>
      </c>
      <c r="C13" s="943">
        <v>428.05619999999999</v>
      </c>
      <c r="D13" s="943">
        <v>344.33932418486506</v>
      </c>
      <c r="E13" s="943">
        <v>461.93896202980181</v>
      </c>
      <c r="F13" s="943">
        <v>359.27402482477987</v>
      </c>
      <c r="G13" s="943">
        <v>348</v>
      </c>
    </row>
    <row r="14" spans="1:7" ht="17.25" customHeight="1">
      <c r="A14" s="942">
        <v>44440</v>
      </c>
      <c r="B14" s="943">
        <v>594.02359999999999</v>
      </c>
      <c r="C14" s="943">
        <v>437.70159999999998</v>
      </c>
      <c r="D14" s="943">
        <v>343.14311110829925</v>
      </c>
      <c r="E14" s="943">
        <v>444.36998751775917</v>
      </c>
      <c r="F14" s="943">
        <v>380.62022821471442</v>
      </c>
      <c r="G14" s="943">
        <v>373.125</v>
      </c>
    </row>
    <row r="15" spans="1:7" ht="17.25" customHeight="1">
      <c r="A15" s="942">
        <v>44470</v>
      </c>
      <c r="B15" s="943">
        <v>607.66019999999992</v>
      </c>
      <c r="C15" s="943">
        <v>487.25900000000001</v>
      </c>
      <c r="D15" s="943">
        <v>411.84987810477486</v>
      </c>
      <c r="E15" s="943">
        <v>508.84681807939171</v>
      </c>
      <c r="F15" s="943">
        <v>454.79689892744494</v>
      </c>
      <c r="G15" s="943">
        <v>444.5</v>
      </c>
    </row>
    <row r="16" spans="1:7" ht="17.25" customHeight="1">
      <c r="A16" s="942">
        <v>44501</v>
      </c>
      <c r="B16" s="943">
        <v>680.83219999999994</v>
      </c>
      <c r="C16" s="943">
        <v>445.68400000000003</v>
      </c>
      <c r="D16" s="943">
        <v>424.7814122547627</v>
      </c>
      <c r="E16" s="943">
        <v>446.28688904660157</v>
      </c>
      <c r="F16" s="943">
        <v>405.73913584084079</v>
      </c>
      <c r="G16" s="943">
        <v>379.375</v>
      </c>
    </row>
    <row r="17" spans="1:7" ht="17.25" customHeight="1">
      <c r="A17" s="942">
        <v>44531</v>
      </c>
      <c r="B17" s="943">
        <v>645.90919999999994</v>
      </c>
      <c r="C17" s="943">
        <v>369.85120000000001</v>
      </c>
      <c r="D17" s="943">
        <v>429.08705300281161</v>
      </c>
      <c r="E17" s="943">
        <v>407.58862048176047</v>
      </c>
      <c r="F17" s="943">
        <v>379.76004186390185</v>
      </c>
      <c r="G17" s="943">
        <v>352.5</v>
      </c>
    </row>
    <row r="18" spans="1:7" ht="17.25" customHeight="1">
      <c r="A18" s="942">
        <v>44562</v>
      </c>
      <c r="B18" s="943">
        <v>614.64479999999992</v>
      </c>
      <c r="C18" s="943">
        <v>387.8116</v>
      </c>
      <c r="D18" s="943">
        <v>437.09368750643767</v>
      </c>
      <c r="E18" s="943">
        <v>426.37884125758535</v>
      </c>
      <c r="F18" s="943">
        <v>359.06307729135688</v>
      </c>
      <c r="G18" s="943">
        <v>344.375</v>
      </c>
    </row>
    <row r="19" spans="1:7" ht="17.25" customHeight="1">
      <c r="A19" s="942">
        <v>44593</v>
      </c>
      <c r="B19" s="943">
        <v>616.64039999999989</v>
      </c>
      <c r="C19" s="943">
        <v>404.77420000000001</v>
      </c>
      <c r="D19" s="943">
        <v>436.23743570097281</v>
      </c>
      <c r="E19" s="943">
        <v>414.45033186911525</v>
      </c>
      <c r="F19" s="943">
        <v>374.97077779459266</v>
      </c>
      <c r="G19" s="943">
        <v>361.25</v>
      </c>
    </row>
    <row r="20" spans="1:7" ht="17.25" customHeight="1">
      <c r="A20" s="942">
        <v>44621</v>
      </c>
      <c r="B20" s="943">
        <v>616.64039999999989</v>
      </c>
      <c r="C20" s="943">
        <v>431.0496</v>
      </c>
      <c r="D20" s="943">
        <v>448.50807668979132</v>
      </c>
      <c r="E20" s="943">
        <v>452.72094428845253</v>
      </c>
      <c r="F20" s="943">
        <v>409.2048070188622</v>
      </c>
      <c r="G20" s="943">
        <v>396.2</v>
      </c>
    </row>
    <row r="21" spans="1:7" ht="17.25" customHeight="1">
      <c r="A21" s="942">
        <v>44652</v>
      </c>
      <c r="B21" s="943">
        <v>659.54579999999999</v>
      </c>
      <c r="C21" s="943">
        <v>379.16399999999999</v>
      </c>
      <c r="D21" s="943">
        <v>509.87401524233877</v>
      </c>
      <c r="E21" s="943">
        <v>396.28661975245865</v>
      </c>
      <c r="F21" s="943">
        <v>400.12208334327522</v>
      </c>
      <c r="G21" s="943">
        <v>379.625</v>
      </c>
    </row>
    <row r="22" spans="1:7" ht="17.25" customHeight="1">
      <c r="A22" s="942">
        <v>44682</v>
      </c>
      <c r="B22" s="943">
        <v>633.60299999999995</v>
      </c>
      <c r="C22" s="943">
        <v>329.274</v>
      </c>
      <c r="D22" s="943">
        <v>520.7066655876755</v>
      </c>
      <c r="E22" s="943">
        <v>378.13996442272617</v>
      </c>
      <c r="F22" s="943">
        <v>368.35614683656428</v>
      </c>
      <c r="G22" s="943">
        <v>349.375</v>
      </c>
    </row>
    <row r="23" spans="1:7" ht="17.25" customHeight="1">
      <c r="A23" s="942">
        <v>44713</v>
      </c>
      <c r="B23" s="943">
        <v>610.32100000000003</v>
      </c>
      <c r="C23" s="943">
        <v>356.87979999999999</v>
      </c>
      <c r="D23" s="943">
        <v>518.68456904518598</v>
      </c>
      <c r="E23" s="943">
        <v>392.20609623009193</v>
      </c>
      <c r="F23" s="943">
        <v>361.5684798101542</v>
      </c>
      <c r="G23" s="943">
        <v>344.5</v>
      </c>
    </row>
    <row r="24" spans="1:7" ht="17.25" customHeight="1">
      <c r="A24" s="942">
        <v>44743</v>
      </c>
      <c r="B24" s="943">
        <v>600.34299999999996</v>
      </c>
      <c r="C24" s="943">
        <v>348.23220000000003</v>
      </c>
      <c r="D24" s="943">
        <v>506.55825524823018</v>
      </c>
      <c r="E24" s="943">
        <v>366.98641878593588</v>
      </c>
      <c r="F24" s="943">
        <v>325.27145466633237</v>
      </c>
      <c r="G24" s="943">
        <v>307.8</v>
      </c>
    </row>
    <row r="25" spans="1:7" ht="17.25" customHeight="1">
      <c r="A25" s="942">
        <v>44774</v>
      </c>
      <c r="B25" s="943">
        <v>593.35840000000007</v>
      </c>
      <c r="C25" s="943">
        <v>374.50759999999997</v>
      </c>
      <c r="D25" s="943">
        <v>511.54728156525323</v>
      </c>
      <c r="E25" s="943">
        <v>373.57250617238043</v>
      </c>
      <c r="F25" s="943">
        <v>325.56212683341499</v>
      </c>
      <c r="G25" s="943">
        <v>315</v>
      </c>
    </row>
    <row r="26" spans="1:7" ht="17.25" customHeight="1">
      <c r="A26" s="942">
        <v>44805</v>
      </c>
      <c r="B26" s="943">
        <v>589.36720000000003</v>
      </c>
      <c r="C26" s="943">
        <v>354.21899999999999</v>
      </c>
      <c r="D26" s="943">
        <v>516.40127317862971</v>
      </c>
      <c r="E26" s="943">
        <v>358.38021633998301</v>
      </c>
      <c r="F26" s="943">
        <v>333.5844227575588</v>
      </c>
      <c r="G26" s="943">
        <v>324</v>
      </c>
    </row>
    <row r="27" spans="1:7" ht="17.25" customHeight="1">
      <c r="A27" s="942">
        <v>44835</v>
      </c>
      <c r="B27" s="943">
        <v>584.37819999999999</v>
      </c>
      <c r="C27" s="943">
        <v>357.2124</v>
      </c>
      <c r="D27" s="943">
        <v>503.11134674168261</v>
      </c>
      <c r="E27" s="943">
        <v>349.80825047931495</v>
      </c>
      <c r="F27" s="943">
        <v>333.87437572148531</v>
      </c>
      <c r="G27" s="943">
        <v>326.25</v>
      </c>
    </row>
    <row r="28" spans="1:7" ht="17.25" customHeight="1">
      <c r="A28" s="942">
        <v>44866</v>
      </c>
      <c r="B28" s="943">
        <v>584.37819999999999</v>
      </c>
      <c r="C28" s="943">
        <v>330.27179999999998</v>
      </c>
      <c r="D28" s="943">
        <v>497.58380083531222</v>
      </c>
      <c r="E28" s="943">
        <v>329.8439372915222</v>
      </c>
      <c r="F28" s="943">
        <v>324.50096683076845</v>
      </c>
      <c r="G28" s="943">
        <v>313.125</v>
      </c>
    </row>
    <row r="29" spans="1:7" ht="17.25" customHeight="1">
      <c r="A29" s="942">
        <v>44896</v>
      </c>
      <c r="B29" s="943">
        <v>575.39800000000002</v>
      </c>
      <c r="C29" s="943">
        <v>334.59559999999999</v>
      </c>
      <c r="D29" s="943">
        <v>478.47042584974315</v>
      </c>
      <c r="E29" s="943">
        <v>329.19380486321558</v>
      </c>
      <c r="F29" s="943">
        <v>316.48580731057211</v>
      </c>
      <c r="G29" s="943">
        <v>302.10000000000002</v>
      </c>
    </row>
    <row r="30" spans="1:7" ht="17.25" customHeight="1">
      <c r="A30" s="942">
        <v>44927</v>
      </c>
      <c r="B30" s="943">
        <v>575.39800000000002</v>
      </c>
      <c r="C30" s="943">
        <v>350.89300000000003</v>
      </c>
      <c r="D30" s="943">
        <v>444.27898293817526</v>
      </c>
      <c r="E30" s="943">
        <v>341.53117934258682</v>
      </c>
      <c r="F30" s="943">
        <v>326.10469174470973</v>
      </c>
      <c r="G30" s="943">
        <v>316.25</v>
      </c>
    </row>
    <row r="31" spans="1:7" ht="17.25" customHeight="1">
      <c r="A31" s="942">
        <v>44958</v>
      </c>
      <c r="B31" s="943">
        <v>579.38919999999996</v>
      </c>
      <c r="C31" s="943">
        <v>366.19259999999997</v>
      </c>
      <c r="D31" s="943">
        <v>445.08728894135044</v>
      </c>
      <c r="E31" s="943">
        <v>360.84607219857827</v>
      </c>
      <c r="F31" s="943">
        <v>332.89921546593513</v>
      </c>
      <c r="G31" s="943">
        <v>326.625</v>
      </c>
    </row>
    <row r="32" spans="1:7" ht="17.25" customHeight="1">
      <c r="A32" s="942">
        <v>44986</v>
      </c>
      <c r="B32" s="943">
        <v>593.35840000000007</v>
      </c>
      <c r="C32" s="943">
        <v>339.25200000000001</v>
      </c>
      <c r="D32" s="943">
        <v>447.21174147306289</v>
      </c>
      <c r="E32" s="943">
        <v>361.16269995055274</v>
      </c>
      <c r="F32" s="943">
        <v>320.94121098441519</v>
      </c>
      <c r="G32" s="943">
        <v>315.2</v>
      </c>
    </row>
    <row r="33" spans="1:9" ht="17.25" customHeight="1">
      <c r="A33" s="942">
        <v>45017</v>
      </c>
      <c r="B33" s="943">
        <v>576.39580000000001</v>
      </c>
      <c r="C33" s="943">
        <v>270.40379999999999</v>
      </c>
      <c r="D33" s="943">
        <v>443.6121746024279</v>
      </c>
      <c r="E33" s="943">
        <v>321.68132023854287</v>
      </c>
      <c r="F33" s="943">
        <v>305.93494935391055</v>
      </c>
      <c r="G33" s="943">
        <v>298</v>
      </c>
    </row>
    <row r="34" spans="1:9" ht="17.25" customHeight="1">
      <c r="A34" s="942">
        <v>45047</v>
      </c>
      <c r="B34" s="943">
        <v>558.43539999999996</v>
      </c>
      <c r="C34" s="943">
        <v>295.01620000000003</v>
      </c>
      <c r="D34" s="943">
        <v>445.80405824909565</v>
      </c>
      <c r="E34" s="943">
        <v>296.38862086394664</v>
      </c>
      <c r="F34" s="943">
        <v>286.20757021643556</v>
      </c>
      <c r="G34" s="943">
        <v>274.375</v>
      </c>
    </row>
    <row r="35" spans="1:9" ht="17.25" customHeight="1">
      <c r="A35" s="942">
        <v>45078</v>
      </c>
      <c r="B35" s="943">
        <v>544.46619999999996</v>
      </c>
      <c r="C35" s="943">
        <v>252.77600000000001</v>
      </c>
      <c r="D35" s="943">
        <v>449.31588593702332</v>
      </c>
      <c r="E35" s="943">
        <v>261.43344510294969</v>
      </c>
      <c r="F35" s="943">
        <v>253.37334888833291</v>
      </c>
      <c r="G35" s="943">
        <v>243.2</v>
      </c>
    </row>
    <row r="36" spans="1:9" ht="17.25" customHeight="1">
      <c r="A36" s="942">
        <v>45108</v>
      </c>
      <c r="B36" s="943">
        <v>525.84059999999999</v>
      </c>
      <c r="C36" s="943">
        <v>229.494</v>
      </c>
      <c r="D36" s="943">
        <v>325.63068553316407</v>
      </c>
      <c r="E36" s="943">
        <v>223.45867030577864</v>
      </c>
      <c r="F36" s="943">
        <v>257.03213781455531</v>
      </c>
      <c r="G36" s="943">
        <v>254.375</v>
      </c>
    </row>
    <row r="37" spans="1:9" ht="17.25" customHeight="1">
      <c r="A37" s="942">
        <v>45139</v>
      </c>
      <c r="B37" s="943">
        <v>516.52780000000007</v>
      </c>
      <c r="C37" s="943">
        <v>229.16140000000001</v>
      </c>
      <c r="D37" s="943">
        <v>329.2072521752678</v>
      </c>
      <c r="E37" s="943">
        <v>248.09599260139254</v>
      </c>
      <c r="F37" s="943">
        <v>268.4135767041393</v>
      </c>
      <c r="G37" s="943">
        <v>269.375</v>
      </c>
    </row>
    <row r="38" spans="1:9" ht="17.25" customHeight="1">
      <c r="A38" s="942">
        <v>45170</v>
      </c>
      <c r="B38" s="943">
        <v>516.52780000000007</v>
      </c>
      <c r="C38" s="943">
        <v>256.10200000000003</v>
      </c>
      <c r="D38" s="943">
        <v>336.00462846557997</v>
      </c>
      <c r="E38" s="943">
        <v>256.17504256736021</v>
      </c>
      <c r="F38" s="943">
        <v>286.68936738186306</v>
      </c>
      <c r="G38" s="943">
        <v>288.5</v>
      </c>
    </row>
    <row r="39" spans="1:9" ht="17.25" customHeight="1">
      <c r="A39" s="942">
        <v>45200</v>
      </c>
      <c r="B39" s="943">
        <v>516.52780000000007</v>
      </c>
      <c r="C39" s="943">
        <v>324.28500000000003</v>
      </c>
      <c r="D39" s="943">
        <v>340.8631465193406</v>
      </c>
      <c r="E39" s="943">
        <v>304.56504629522783</v>
      </c>
      <c r="F39" s="943">
        <v>286.08231332213325</v>
      </c>
      <c r="G39" s="943">
        <v>281.375</v>
      </c>
    </row>
    <row r="40" spans="1:9" ht="17.25" customHeight="1">
      <c r="A40" s="942">
        <v>45231</v>
      </c>
      <c r="B40" s="943">
        <v>550.78560000000004</v>
      </c>
      <c r="C40" s="943">
        <v>331.9348</v>
      </c>
      <c r="D40" s="943">
        <v>335.19118278379182</v>
      </c>
      <c r="E40" s="943">
        <v>356.16987000820615</v>
      </c>
      <c r="F40" s="943">
        <v>287.47542641460535</v>
      </c>
      <c r="G40" s="943">
        <v>280.875</v>
      </c>
    </row>
    <row r="41" spans="1:9" ht="17.25" customHeight="1">
      <c r="A41" s="942">
        <v>45261</v>
      </c>
      <c r="B41" s="943">
        <v>576.39580000000001</v>
      </c>
      <c r="C41" s="943">
        <v>314.30700000000002</v>
      </c>
      <c r="D41" s="943">
        <v>329.95058520297874</v>
      </c>
      <c r="E41" s="943">
        <v>346.96104548374808</v>
      </c>
      <c r="F41" s="943">
        <v>291.58529841649988</v>
      </c>
      <c r="G41" s="943">
        <v>285.7</v>
      </c>
    </row>
    <row r="42" spans="1:9" ht="17.25" customHeight="1">
      <c r="A42" s="942">
        <v>45292</v>
      </c>
      <c r="B42" s="943">
        <v>576.39580000000001</v>
      </c>
      <c r="C42" s="943">
        <v>310.31580000000002</v>
      </c>
      <c r="D42" s="943">
        <v>452.69951100804286</v>
      </c>
      <c r="E42" s="943">
        <v>301.24287012445467</v>
      </c>
      <c r="F42" s="943">
        <v>290.169460075171</v>
      </c>
      <c r="G42" s="943">
        <v>285.375</v>
      </c>
    </row>
    <row r="43" spans="1:9" ht="17.25" customHeight="1" thickBot="1">
      <c r="A43" s="942">
        <v>45323</v>
      </c>
      <c r="B43" s="943">
        <v>588.36939999999993</v>
      </c>
      <c r="C43" s="943">
        <v>337.25640000000004</v>
      </c>
      <c r="D43" s="943">
        <v>458.83416506553351</v>
      </c>
      <c r="E43" s="943">
        <v>301.12595251111293</v>
      </c>
      <c r="F43" s="943">
        <v>299.4771855849142</v>
      </c>
      <c r="G43" s="943">
        <v>296.625</v>
      </c>
      <c r="I43" s="939" t="s">
        <v>1106</v>
      </c>
    </row>
    <row r="44" spans="1:9" ht="17.25" customHeight="1" thickBot="1">
      <c r="A44" s="942">
        <v>45352</v>
      </c>
      <c r="B44" s="943">
        <v>613.64700000000005</v>
      </c>
      <c r="C44" s="943">
        <v>345.904</v>
      </c>
      <c r="D44" s="943">
        <v>455.45050205897752</v>
      </c>
      <c r="E44" s="948">
        <v>337.57126033443456</v>
      </c>
      <c r="F44" s="948">
        <v>309.98165897451287</v>
      </c>
      <c r="G44" s="949">
        <v>310.10000000000002</v>
      </c>
      <c r="I44" s="1038">
        <f>G44</f>
        <v>310.10000000000002</v>
      </c>
    </row>
    <row r="45" spans="1:9" ht="15.6" customHeight="1" thickBot="1">
      <c r="B45" s="943">
        <f>AVERAGE(B30:B44)</f>
        <v>560.56403999999998</v>
      </c>
      <c r="C45" s="943">
        <f>AVERAGE(C30:C43)</f>
        <v>300.5278571428571</v>
      </c>
      <c r="D45" s="943">
        <f>AVERAGE(D30:D43)</f>
        <v>398.83509206391682</v>
      </c>
      <c r="E45" s="943">
        <f>AVERAGE(E30:E43)</f>
        <v>305.77413054245983</v>
      </c>
      <c r="F45" s="943">
        <f>AVERAGE(F30:F43)</f>
        <v>292.31326802625864</v>
      </c>
      <c r="G45" s="943">
        <f>AVERAGE(G30:G43)</f>
        <v>286.84642857142859</v>
      </c>
      <c r="I45" s="950">
        <f>AVERAGE(B45:G45)</f>
        <v>357.47680272448684</v>
      </c>
    </row>
    <row r="46" spans="1:9" ht="15.6" customHeight="1">
      <c r="B46" s="947"/>
      <c r="C46" s="947"/>
      <c r="D46" s="947"/>
      <c r="E46" s="947"/>
      <c r="F46" s="947"/>
      <c r="G46" s="947"/>
    </row>
    <row r="47" spans="1:9" ht="76.5" customHeight="1">
      <c r="C47" s="3496" t="s">
        <v>1101</v>
      </c>
      <c r="D47" s="3496"/>
      <c r="E47" s="3496"/>
      <c r="F47" s="3496"/>
      <c r="G47" s="3496"/>
    </row>
    <row r="48" spans="1:9">
      <c r="C48" s="946"/>
      <c r="D48" s="946"/>
      <c r="E48" s="946"/>
      <c r="F48" s="946"/>
      <c r="G48" s="946"/>
    </row>
    <row r="49" spans="3:7">
      <c r="C49" s="946"/>
      <c r="D49" s="946"/>
      <c r="E49" s="946"/>
      <c r="F49" s="946"/>
      <c r="G49" s="946"/>
    </row>
    <row r="50" spans="3:7">
      <c r="C50" s="946"/>
      <c r="D50" s="946"/>
      <c r="E50" s="946"/>
      <c r="F50" s="946"/>
      <c r="G50" s="946"/>
    </row>
    <row r="51" spans="3:7">
      <c r="C51" s="946"/>
      <c r="D51" s="946"/>
      <c r="E51" s="946"/>
      <c r="F51" s="946"/>
      <c r="G51" s="946"/>
    </row>
    <row r="52" spans="3:7">
      <c r="C52" s="946"/>
      <c r="D52" s="946"/>
      <c r="E52" s="946"/>
      <c r="F52" s="946"/>
      <c r="G52" s="946"/>
    </row>
  </sheetData>
  <mergeCells count="4">
    <mergeCell ref="A1:G1"/>
    <mergeCell ref="A2:G2"/>
    <mergeCell ref="A3:A7"/>
    <mergeCell ref="C47:G47"/>
  </mergeCells>
  <pageMargins left="0.7" right="0.7" top="0.75" bottom="0.75" header="0.3" footer="0.3"/>
  <pageSetup paperSize="9" orientation="portrait" horizontalDpi="1200" verticalDpi="1200"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95C27-E97D-48E9-B0C2-A8F287FB1E6E}">
  <sheetPr codeName="Sheet30"/>
  <dimension ref="B1:S39"/>
  <sheetViews>
    <sheetView topLeftCell="A25" workbookViewId="0">
      <selection activeCell="D27" sqref="D27"/>
    </sheetView>
  </sheetViews>
  <sheetFormatPr defaultRowHeight="15"/>
  <cols>
    <col min="2" max="2" width="39.27734375" customWidth="1"/>
    <col min="3" max="3" width="28.11328125" customWidth="1"/>
    <col min="4" max="4" width="16.41015625" customWidth="1"/>
    <col min="5" max="5" width="13.71875" customWidth="1"/>
    <col min="12" max="12" width="19.7734375" customWidth="1"/>
    <col min="19" max="19" width="22.05859375" customWidth="1"/>
  </cols>
  <sheetData>
    <row r="1" spans="2:19" ht="15.75" thickBot="1"/>
    <row r="2" spans="2:19" ht="69" thickBot="1">
      <c r="B2" s="925" t="s">
        <v>985</v>
      </c>
      <c r="C2" s="455"/>
      <c r="D2" s="926" t="s">
        <v>1077</v>
      </c>
      <c r="E2" s="926" t="s">
        <v>1078</v>
      </c>
      <c r="F2" s="927" t="s">
        <v>1079</v>
      </c>
      <c r="M2" t="s">
        <v>863</v>
      </c>
      <c r="S2" t="s">
        <v>863</v>
      </c>
    </row>
    <row r="3" spans="2:19">
      <c r="B3" s="459">
        <v>1</v>
      </c>
      <c r="C3" s="924">
        <v>44958</v>
      </c>
      <c r="D3" s="1002">
        <v>344</v>
      </c>
      <c r="E3" s="1005">
        <v>307</v>
      </c>
      <c r="F3" s="1006">
        <v>341</v>
      </c>
      <c r="L3" s="991">
        <v>44958</v>
      </c>
      <c r="M3" s="988">
        <f>'Methanol Data '!G31</f>
        <v>326.625</v>
      </c>
      <c r="S3" t="s">
        <v>1160</v>
      </c>
    </row>
    <row r="4" spans="2:19">
      <c r="B4" s="459">
        <v>2</v>
      </c>
      <c r="C4" s="924">
        <v>44986</v>
      </c>
      <c r="D4" s="1002">
        <v>322</v>
      </c>
      <c r="E4" s="1005">
        <v>263</v>
      </c>
      <c r="F4" s="1006">
        <v>303</v>
      </c>
      <c r="L4" s="992">
        <v>44986</v>
      </c>
      <c r="M4" s="989">
        <f>'Methanol Data '!G32</f>
        <v>315.2</v>
      </c>
    </row>
    <row r="5" spans="2:19">
      <c r="B5" s="459">
        <v>3</v>
      </c>
      <c r="C5" s="924">
        <v>45017</v>
      </c>
      <c r="D5" s="1002">
        <v>320.25</v>
      </c>
      <c r="E5" s="1005">
        <v>259</v>
      </c>
      <c r="F5" s="1006">
        <v>336</v>
      </c>
      <c r="L5" s="992">
        <v>45017</v>
      </c>
      <c r="M5" s="989">
        <f>'Methanol Data '!G33</f>
        <v>298</v>
      </c>
    </row>
    <row r="6" spans="2:19">
      <c r="B6" s="459">
        <v>4</v>
      </c>
      <c r="C6" s="924">
        <v>45047</v>
      </c>
      <c r="D6" s="1002">
        <v>317.13</v>
      </c>
      <c r="E6" s="1005">
        <v>260</v>
      </c>
      <c r="F6" s="1006">
        <v>371</v>
      </c>
      <c r="L6" s="992">
        <v>45047</v>
      </c>
      <c r="M6" s="989">
        <f>'Methanol Data '!G34</f>
        <v>274.375</v>
      </c>
    </row>
    <row r="7" spans="2:19">
      <c r="B7" s="459">
        <v>5</v>
      </c>
      <c r="C7" s="924">
        <v>45078</v>
      </c>
      <c r="D7" s="1002">
        <v>285.5</v>
      </c>
      <c r="E7" s="1005">
        <v>239</v>
      </c>
      <c r="F7" s="1006">
        <v>290</v>
      </c>
      <c r="L7" s="992">
        <v>45078</v>
      </c>
      <c r="M7" s="989">
        <f>'Methanol Data '!G35</f>
        <v>243.2</v>
      </c>
    </row>
    <row r="8" spans="2:19">
      <c r="B8" s="459">
        <v>6</v>
      </c>
      <c r="C8" s="924">
        <v>45108</v>
      </c>
      <c r="D8" s="1002">
        <v>346.5</v>
      </c>
      <c r="E8" s="1005">
        <v>308</v>
      </c>
      <c r="F8" s="1006">
        <v>344</v>
      </c>
      <c r="L8" s="992">
        <v>45108</v>
      </c>
      <c r="M8" s="989">
        <f>'Methanol Data '!G36</f>
        <v>254.375</v>
      </c>
    </row>
    <row r="9" spans="2:19">
      <c r="B9" s="459">
        <v>7</v>
      </c>
      <c r="C9" s="924">
        <v>45139</v>
      </c>
      <c r="D9" s="1002">
        <v>383.1</v>
      </c>
      <c r="E9" s="1005">
        <v>353</v>
      </c>
      <c r="F9" s="1006">
        <v>374</v>
      </c>
      <c r="L9" s="992">
        <v>45139</v>
      </c>
      <c r="M9" s="989">
        <f>'Methanol Data '!G37</f>
        <v>269.375</v>
      </c>
    </row>
    <row r="10" spans="2:19">
      <c r="B10" s="459">
        <v>8</v>
      </c>
      <c r="C10" s="924">
        <v>45170</v>
      </c>
      <c r="D10" s="1002">
        <v>385</v>
      </c>
      <c r="E10" s="1005">
        <v>344</v>
      </c>
      <c r="F10" s="1006">
        <v>398</v>
      </c>
      <c r="L10" s="992">
        <v>45170</v>
      </c>
      <c r="M10" s="989">
        <f>'Methanol Data '!G38</f>
        <v>288.5</v>
      </c>
    </row>
    <row r="11" spans="2:19">
      <c r="B11" s="459">
        <v>9</v>
      </c>
      <c r="C11" s="924">
        <v>45200</v>
      </c>
      <c r="D11" s="1002">
        <v>379.25</v>
      </c>
      <c r="E11" s="1005">
        <v>341</v>
      </c>
      <c r="F11" s="1006">
        <v>381</v>
      </c>
      <c r="L11" s="992">
        <v>45200</v>
      </c>
      <c r="M11" s="989">
        <f>'Methanol Data '!G39</f>
        <v>281.375</v>
      </c>
    </row>
    <row r="12" spans="2:19">
      <c r="B12" s="459">
        <v>10</v>
      </c>
      <c r="C12" s="924">
        <v>45231</v>
      </c>
      <c r="D12" s="1002">
        <v>329.4</v>
      </c>
      <c r="E12" s="1005">
        <v>298</v>
      </c>
      <c r="F12" s="1006">
        <v>331</v>
      </c>
      <c r="L12" s="992">
        <v>45231</v>
      </c>
      <c r="M12" s="989">
        <f>'Methanol Data '!G40</f>
        <v>280.875</v>
      </c>
    </row>
    <row r="13" spans="2:19">
      <c r="B13" s="459">
        <v>11</v>
      </c>
      <c r="C13" s="924">
        <v>45261</v>
      </c>
      <c r="D13" s="1002">
        <v>285</v>
      </c>
      <c r="E13" s="1005">
        <v>254</v>
      </c>
      <c r="F13" s="1006">
        <v>307</v>
      </c>
      <c r="L13" s="992">
        <v>45261</v>
      </c>
      <c r="M13" s="989">
        <f>'Methanol Data '!G41</f>
        <v>285.7</v>
      </c>
    </row>
    <row r="14" spans="2:19">
      <c r="B14" s="928">
        <v>12</v>
      </c>
      <c r="C14" s="929">
        <v>45292</v>
      </c>
      <c r="D14" s="1003">
        <v>326.38</v>
      </c>
      <c r="E14" s="1007">
        <v>270</v>
      </c>
      <c r="F14" s="1008">
        <v>327</v>
      </c>
      <c r="L14" s="992">
        <v>45292</v>
      </c>
      <c r="M14" s="989">
        <f>'Methanol Data '!G42</f>
        <v>285.375</v>
      </c>
    </row>
    <row r="15" spans="2:19">
      <c r="B15" s="999">
        <v>13</v>
      </c>
      <c r="C15" s="929">
        <v>45323</v>
      </c>
      <c r="D15" s="1004">
        <v>364.75</v>
      </c>
      <c r="E15" s="1000"/>
      <c r="F15" s="1001"/>
      <c r="L15" s="992"/>
      <c r="M15" s="989"/>
    </row>
    <row r="16" spans="2:19" ht="15.75" thickBot="1">
      <c r="B16" s="999">
        <v>14</v>
      </c>
      <c r="C16" s="929">
        <v>45352</v>
      </c>
      <c r="D16" s="1004">
        <v>366.75</v>
      </c>
      <c r="E16" s="1000"/>
      <c r="F16" s="1001"/>
      <c r="L16" s="992"/>
      <c r="M16" s="989"/>
    </row>
    <row r="17" spans="2:14" ht="15.75" thickBot="1">
      <c r="B17" s="930"/>
      <c r="C17" s="931" t="s">
        <v>1080</v>
      </c>
      <c r="D17" s="934">
        <f>AVERAGE(D3:D16)</f>
        <v>339.64357142857142</v>
      </c>
      <c r="E17" s="932">
        <f>AVERAGE(E3:E14)</f>
        <v>291.33333333333331</v>
      </c>
      <c r="F17" s="933">
        <f>AVERAGE(F3:F14)</f>
        <v>341.91666666666669</v>
      </c>
      <c r="L17" s="992">
        <v>45323</v>
      </c>
      <c r="M17" s="989">
        <f>'Methanol Data '!G43</f>
        <v>296.625</v>
      </c>
    </row>
    <row r="18" spans="2:14" ht="15.75" thickBot="1">
      <c r="L18" s="992">
        <v>45352</v>
      </c>
      <c r="M18" s="990">
        <f>'Methanol Data '!G44</f>
        <v>310.10000000000002</v>
      </c>
    </row>
    <row r="19" spans="2:14" ht="20.45" customHeight="1" thickBot="1">
      <c r="B19" s="998" t="s">
        <v>1161</v>
      </c>
      <c r="L19" s="299" t="s">
        <v>1080</v>
      </c>
      <c r="M19" s="1037">
        <f>AVERAGE(M3:M18)</f>
        <v>286.40714285714284</v>
      </c>
    </row>
    <row r="21" spans="2:14">
      <c r="B21" t="s">
        <v>1083</v>
      </c>
      <c r="E21" s="987" t="s">
        <v>985</v>
      </c>
    </row>
    <row r="22" spans="2:14">
      <c r="B22" s="987" t="s">
        <v>1103</v>
      </c>
    </row>
    <row r="23" spans="2:14">
      <c r="B23" t="s">
        <v>1265</v>
      </c>
      <c r="L23" t="s">
        <v>1153</v>
      </c>
      <c r="N23" s="923">
        <f>M18</f>
        <v>310.10000000000002</v>
      </c>
    </row>
    <row r="24" spans="2:14">
      <c r="B24" t="s">
        <v>1081</v>
      </c>
      <c r="C24">
        <v>24850</v>
      </c>
      <c r="D24" t="s">
        <v>1154</v>
      </c>
      <c r="E24" s="923">
        <f>D17</f>
        <v>339.64357142857142</v>
      </c>
      <c r="L24" t="s">
        <v>1154</v>
      </c>
      <c r="N24" s="923">
        <f>M19</f>
        <v>286.40714285714284</v>
      </c>
    </row>
    <row r="25" spans="2:14">
      <c r="B25" t="s">
        <v>1102</v>
      </c>
      <c r="C25" s="311">
        <v>497000</v>
      </c>
      <c r="D25" s="398">
        <f>C25/1500</f>
        <v>331.33333333333331</v>
      </c>
      <c r="E25" s="413"/>
    </row>
    <row r="26" spans="2:14">
      <c r="B26" t="s">
        <v>1082</v>
      </c>
      <c r="C26" s="413">
        <f>C25/Fx_Rate</f>
        <v>355</v>
      </c>
    </row>
    <row r="28" spans="2:14">
      <c r="C28">
        <f>C25/C26</f>
        <v>1400</v>
      </c>
    </row>
    <row r="30" spans="2:14">
      <c r="B30" t="s">
        <v>1223</v>
      </c>
      <c r="C30">
        <f>C32*(C39)</f>
        <v>0.9422358554873892</v>
      </c>
    </row>
    <row r="31" spans="2:14">
      <c r="B31" s="344" t="s">
        <v>917</v>
      </c>
    </row>
    <row r="32" spans="2:14">
      <c r="B32" s="352" t="s">
        <v>918</v>
      </c>
      <c r="C32">
        <v>1</v>
      </c>
    </row>
    <row r="33" spans="2:7">
      <c r="B33" s="320" t="s">
        <v>1219</v>
      </c>
      <c r="C33">
        <v>2.42</v>
      </c>
    </row>
    <row r="34" spans="2:7">
      <c r="B34" s="344" t="s">
        <v>919</v>
      </c>
    </row>
    <row r="35" spans="2:7">
      <c r="B35" s="320" t="s">
        <v>1220</v>
      </c>
      <c r="C35" s="413">
        <f>AVERAGE(D14:D15)</f>
        <v>345.565</v>
      </c>
    </row>
    <row r="36" spans="2:7">
      <c r="B36" s="320" t="s">
        <v>1221</v>
      </c>
      <c r="C36" s="413">
        <f>D16</f>
        <v>366.75</v>
      </c>
    </row>
    <row r="37" spans="2:7">
      <c r="E37" s="978">
        <f>C32*(1+C38)</f>
        <v>0.9422358554873892</v>
      </c>
      <c r="F37" t="s">
        <v>1224</v>
      </c>
      <c r="G37">
        <f>C33</f>
        <v>2.42</v>
      </c>
    </row>
    <row r="38" spans="2:7">
      <c r="C38">
        <f>(C35-C36)/C36</f>
        <v>-5.7764144512610777E-2</v>
      </c>
    </row>
    <row r="39" spans="2:7">
      <c r="C39">
        <f>1+C38</f>
        <v>0.9422358554873892</v>
      </c>
    </row>
  </sheetData>
  <hyperlinks>
    <hyperlink ref="B19" r:id="rId1" location="/en/price-statistics/" display="https://africafertilizer.org/app/ - /en/price-statistics/" xr:uid="{4D8CA663-490D-4282-A9C0-4CA60FFCF91F}"/>
  </hyperlinks>
  <pageMargins left="0.7" right="0.7" top="0.75" bottom="0.75" header="0.3" footer="0.3"/>
  <pageSetup orientation="portrait" r:id="rId2"/>
  <ignoredErrors>
    <ignoredError sqref="C35" formulaRange="1"/>
  </ignoredError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tabColor theme="9" tint="0.39997558519241921"/>
  </sheetPr>
  <dimension ref="A1:AX110"/>
  <sheetViews>
    <sheetView workbookViewId="0">
      <selection activeCell="J42" sqref="J42"/>
    </sheetView>
  </sheetViews>
  <sheetFormatPr defaultColWidth="9.14453125" defaultRowHeight="10.5"/>
  <cols>
    <col min="1" max="1" width="3.49609375" style="2" customWidth="1"/>
    <col min="2" max="2" width="29.0546875" style="2" customWidth="1"/>
    <col min="3" max="3" width="9.14453125" style="2"/>
    <col min="4" max="4" width="12.9140625" style="2" bestFit="1" customWidth="1"/>
    <col min="5" max="9" width="9.14453125" style="2"/>
    <col min="10" max="10" width="9.81640625" style="2" bestFit="1" customWidth="1"/>
    <col min="11" max="13" width="10.625" style="2" bestFit="1" customWidth="1"/>
    <col min="14" max="14" width="11.97265625" style="2" customWidth="1"/>
    <col min="15" max="35" width="10.625" style="2" bestFit="1" customWidth="1"/>
    <col min="36" max="48" width="11.703125" style="2" customWidth="1"/>
    <col min="49" max="49" width="11.1640625" style="2" customWidth="1"/>
    <col min="50" max="50" width="2.82421875" style="135" customWidth="1"/>
    <col min="51" max="16384" width="9.14453125" style="2"/>
  </cols>
  <sheetData>
    <row r="1" spans="1:49" s="3265" customFormat="1" ht="14.45" customHeight="1">
      <c r="A1" s="3259" t="s">
        <v>672</v>
      </c>
      <c r="B1" s="3260"/>
      <c r="C1" s="3260"/>
      <c r="D1" s="3260"/>
      <c r="E1" s="3260"/>
      <c r="F1" s="3260"/>
      <c r="G1" s="3260"/>
      <c r="H1" s="3260"/>
      <c r="I1" s="3260"/>
      <c r="J1" s="3260"/>
      <c r="K1" s="3260"/>
      <c r="L1" s="3260"/>
      <c r="M1" s="3260"/>
      <c r="N1" s="3260"/>
      <c r="O1" s="3260"/>
      <c r="P1" s="3260"/>
      <c r="Q1" s="3260"/>
      <c r="R1" s="3260"/>
      <c r="S1" s="3260"/>
      <c r="T1" s="3260"/>
      <c r="U1" s="3260"/>
      <c r="V1" s="3260"/>
      <c r="W1" s="3260"/>
      <c r="X1" s="3260"/>
      <c r="Y1" s="3260"/>
      <c r="Z1" s="3260"/>
      <c r="AA1" s="3260"/>
      <c r="AB1" s="3260"/>
      <c r="AC1" s="3260"/>
      <c r="AD1" s="3260"/>
      <c r="AE1" s="3260"/>
      <c r="AF1" s="3260"/>
      <c r="AG1" s="3260"/>
      <c r="AH1" s="3260"/>
      <c r="AI1" s="3260"/>
      <c r="AJ1" s="3260"/>
      <c r="AK1" s="3260"/>
      <c r="AL1" s="3260"/>
      <c r="AM1" s="3260"/>
      <c r="AN1" s="3260"/>
      <c r="AO1" s="3260"/>
      <c r="AP1" s="3260"/>
      <c r="AQ1" s="3260"/>
      <c r="AR1" s="3260"/>
      <c r="AS1" s="3260"/>
      <c r="AT1" s="3260"/>
      <c r="AU1" s="3260"/>
      <c r="AV1" s="3260"/>
      <c r="AW1" s="3260"/>
    </row>
    <row r="2" spans="1:49" s="135" customFormat="1" ht="11.25">
      <c r="A2" s="2711" t="s">
        <v>2399</v>
      </c>
      <c r="B2" s="2711"/>
      <c r="C2" s="2704"/>
      <c r="D2" s="2704"/>
      <c r="E2" s="2704"/>
      <c r="F2" s="2704"/>
      <c r="G2" s="2704"/>
      <c r="H2" s="2704" t="s">
        <v>0</v>
      </c>
      <c r="I2" s="2714">
        <f>'Timing &amp; Flags'!I2</f>
        <v>1</v>
      </c>
      <c r="J2" s="2714">
        <f>'Timing &amp; Flags'!J2</f>
        <v>2</v>
      </c>
      <c r="K2" s="2714">
        <f>'Timing &amp; Flags'!K2</f>
        <v>3</v>
      </c>
      <c r="L2" s="2714">
        <f>'Timing &amp; Flags'!L2</f>
        <v>4</v>
      </c>
      <c r="M2" s="2714">
        <f>'Timing &amp; Flags'!M2</f>
        <v>5</v>
      </c>
      <c r="N2" s="2714">
        <f>'Timing &amp; Flags'!N2</f>
        <v>6</v>
      </c>
      <c r="O2" s="2714">
        <f>'Timing &amp; Flags'!O2</f>
        <v>7</v>
      </c>
      <c r="P2" s="2714">
        <f>'Timing &amp; Flags'!P2</f>
        <v>8</v>
      </c>
      <c r="Q2" s="2714">
        <f>'Timing &amp; Flags'!Q2</f>
        <v>9</v>
      </c>
      <c r="R2" s="2714">
        <f>'Timing &amp; Flags'!R2</f>
        <v>10</v>
      </c>
      <c r="S2" s="2714">
        <f>'Timing &amp; Flags'!S2</f>
        <v>11</v>
      </c>
      <c r="T2" s="2714">
        <f>'Timing &amp; Flags'!T2</f>
        <v>12</v>
      </c>
      <c r="U2" s="2714">
        <f>'Timing &amp; Flags'!U2</f>
        <v>13</v>
      </c>
      <c r="V2" s="2714">
        <f>'Timing &amp; Flags'!V2</f>
        <v>14</v>
      </c>
      <c r="W2" s="2714">
        <f>'Timing &amp; Flags'!W2</f>
        <v>15</v>
      </c>
      <c r="X2" s="2714">
        <f>'Timing &amp; Flags'!X2</f>
        <v>16</v>
      </c>
      <c r="Y2" s="2714">
        <f>'Timing &amp; Flags'!Y2</f>
        <v>17</v>
      </c>
      <c r="Z2" s="2714">
        <f>'Timing &amp; Flags'!Z2</f>
        <v>18</v>
      </c>
      <c r="AA2" s="2714">
        <f>'Timing &amp; Flags'!AA2</f>
        <v>19</v>
      </c>
      <c r="AB2" s="2714">
        <f>'Timing &amp; Flags'!AB2</f>
        <v>20</v>
      </c>
      <c r="AC2" s="2714">
        <f>'Timing &amp; Flags'!AC2</f>
        <v>21</v>
      </c>
      <c r="AD2" s="2714">
        <f>'Timing &amp; Flags'!AD2</f>
        <v>22</v>
      </c>
      <c r="AE2" s="2714">
        <f>'Timing &amp; Flags'!AE2</f>
        <v>23</v>
      </c>
      <c r="AF2" s="2714">
        <f>'Timing &amp; Flags'!AF2</f>
        <v>24</v>
      </c>
      <c r="AG2" s="2714">
        <f>'Timing &amp; Flags'!AG2</f>
        <v>25</v>
      </c>
      <c r="AH2" s="2714">
        <f>'Timing &amp; Flags'!AH2</f>
        <v>26</v>
      </c>
      <c r="AI2" s="2714">
        <f>'Timing &amp; Flags'!AI2</f>
        <v>27</v>
      </c>
      <c r="AJ2" s="2714">
        <f>'Timing &amp; Flags'!AJ2</f>
        <v>28</v>
      </c>
      <c r="AK2" s="2714">
        <f>'Timing &amp; Flags'!AK2</f>
        <v>29</v>
      </c>
      <c r="AL2" s="2714">
        <f>'Timing &amp; Flags'!AL2</f>
        <v>30</v>
      </c>
      <c r="AM2" s="2714">
        <f>'Timing &amp; Flags'!AM2</f>
        <v>31</v>
      </c>
      <c r="AN2" s="2714">
        <f>'Timing &amp; Flags'!AN2</f>
        <v>32</v>
      </c>
      <c r="AO2" s="2714">
        <f>'Timing &amp; Flags'!AO2</f>
        <v>33</v>
      </c>
      <c r="AP2" s="2714">
        <f>'Timing &amp; Flags'!AP2</f>
        <v>34</v>
      </c>
      <c r="AQ2" s="2714">
        <f>'Timing &amp; Flags'!AQ2</f>
        <v>35</v>
      </c>
      <c r="AR2" s="2714">
        <f>'Timing &amp; Flags'!AR2</f>
        <v>36</v>
      </c>
      <c r="AS2" s="2714">
        <f>'Timing &amp; Flags'!AS2</f>
        <v>37</v>
      </c>
      <c r="AT2" s="2714">
        <f>'Timing &amp; Flags'!AT2</f>
        <v>38</v>
      </c>
      <c r="AU2" s="2714">
        <f>'Timing &amp; Flags'!AU2</f>
        <v>39</v>
      </c>
      <c r="AV2" s="2714">
        <f>'Timing &amp; Flags'!AV2</f>
        <v>40</v>
      </c>
      <c r="AW2" s="2714">
        <f>'Timing &amp; Flags'!AW2</f>
        <v>41</v>
      </c>
    </row>
    <row r="3" spans="1:49" s="135" customFormat="1" ht="11.25">
      <c r="A3" s="2711" t="s">
        <v>673</v>
      </c>
      <c r="B3" s="2704"/>
      <c r="C3" s="2704"/>
      <c r="D3" s="2704"/>
      <c r="E3" s="2704"/>
      <c r="F3" s="2704"/>
      <c r="G3" s="2704"/>
      <c r="H3" s="2704" t="s">
        <v>1</v>
      </c>
      <c r="I3" s="2719">
        <f>'Timing &amp; Flags'!I3</f>
        <v>46023</v>
      </c>
      <c r="J3" s="2719">
        <f>'Timing &amp; Flags'!J3</f>
        <v>46388</v>
      </c>
      <c r="K3" s="2719">
        <f>'Timing &amp; Flags'!K3</f>
        <v>46753</v>
      </c>
      <c r="L3" s="2719">
        <f>'Timing &amp; Flags'!L3</f>
        <v>47119</v>
      </c>
      <c r="M3" s="2719">
        <f>'Timing &amp; Flags'!M3</f>
        <v>47484</v>
      </c>
      <c r="N3" s="2719">
        <f>'Timing &amp; Flags'!N3</f>
        <v>47849</v>
      </c>
      <c r="O3" s="2719">
        <f>'Timing &amp; Flags'!O3</f>
        <v>48214</v>
      </c>
      <c r="P3" s="2719">
        <f>'Timing &amp; Flags'!P3</f>
        <v>48580</v>
      </c>
      <c r="Q3" s="2719">
        <f>'Timing &amp; Flags'!Q3</f>
        <v>48945</v>
      </c>
      <c r="R3" s="2719">
        <f>'Timing &amp; Flags'!R3</f>
        <v>49310</v>
      </c>
      <c r="S3" s="2719">
        <f>'Timing &amp; Flags'!S3</f>
        <v>49675</v>
      </c>
      <c r="T3" s="2719">
        <f>'Timing &amp; Flags'!T3</f>
        <v>50041</v>
      </c>
      <c r="U3" s="2719">
        <f>'Timing &amp; Flags'!U3</f>
        <v>50406</v>
      </c>
      <c r="V3" s="2719">
        <f>'Timing &amp; Flags'!V3</f>
        <v>50771</v>
      </c>
      <c r="W3" s="2719">
        <f>'Timing &amp; Flags'!W3</f>
        <v>51136</v>
      </c>
      <c r="X3" s="2719">
        <f>'Timing &amp; Flags'!X3</f>
        <v>51502</v>
      </c>
      <c r="Y3" s="2719">
        <f>'Timing &amp; Flags'!Y3</f>
        <v>51867</v>
      </c>
      <c r="Z3" s="2719">
        <f>'Timing &amp; Flags'!Z3</f>
        <v>52232</v>
      </c>
      <c r="AA3" s="2719">
        <f>'Timing &amp; Flags'!AA3</f>
        <v>52597</v>
      </c>
      <c r="AB3" s="2719">
        <f>'Timing &amp; Flags'!AB3</f>
        <v>52963</v>
      </c>
      <c r="AC3" s="2719">
        <f>'Timing &amp; Flags'!AC3</f>
        <v>53328</v>
      </c>
      <c r="AD3" s="2719">
        <f>'Timing &amp; Flags'!AD3</f>
        <v>53693</v>
      </c>
      <c r="AE3" s="2719">
        <f>'Timing &amp; Flags'!AE3</f>
        <v>54058</v>
      </c>
      <c r="AF3" s="2719">
        <f>'Timing &amp; Flags'!AF3</f>
        <v>54424</v>
      </c>
      <c r="AG3" s="2719">
        <f>'Timing &amp; Flags'!AG3</f>
        <v>54789</v>
      </c>
      <c r="AH3" s="2719">
        <f>'Timing &amp; Flags'!AH3</f>
        <v>55154</v>
      </c>
      <c r="AI3" s="2719">
        <f>'Timing &amp; Flags'!AI3</f>
        <v>55519</v>
      </c>
      <c r="AJ3" s="2719">
        <f>'Timing &amp; Flags'!AJ3</f>
        <v>55885</v>
      </c>
      <c r="AK3" s="2719">
        <f>'Timing &amp; Flags'!AK3</f>
        <v>56250</v>
      </c>
      <c r="AL3" s="2719">
        <f>'Timing &amp; Flags'!AL3</f>
        <v>56615</v>
      </c>
      <c r="AM3" s="2719">
        <f>'Timing &amp; Flags'!AM3</f>
        <v>56980</v>
      </c>
      <c r="AN3" s="2719">
        <f>'Timing &amp; Flags'!AN3</f>
        <v>57346</v>
      </c>
      <c r="AO3" s="2719">
        <f>'Timing &amp; Flags'!AO3</f>
        <v>57711</v>
      </c>
      <c r="AP3" s="2719">
        <f>'Timing &amp; Flags'!AP3</f>
        <v>58076</v>
      </c>
      <c r="AQ3" s="2719">
        <f>'Timing &amp; Flags'!AQ3</f>
        <v>58441</v>
      </c>
      <c r="AR3" s="2719">
        <f>'Timing &amp; Flags'!AR3</f>
        <v>58807</v>
      </c>
      <c r="AS3" s="2719">
        <f>'Timing &amp; Flags'!AS3</f>
        <v>59172</v>
      </c>
      <c r="AT3" s="2719">
        <f>'Timing &amp; Flags'!AT3</f>
        <v>59537</v>
      </c>
      <c r="AU3" s="2719">
        <f>'Timing &amp; Flags'!AU3</f>
        <v>59902</v>
      </c>
      <c r="AV3" s="2719">
        <f>'Timing &amp; Flags'!AV3</f>
        <v>60268</v>
      </c>
      <c r="AW3" s="2719">
        <f>'Timing &amp; Flags'!AW3</f>
        <v>60633</v>
      </c>
    </row>
    <row r="4" spans="1:49" s="135" customFormat="1" ht="11.25">
      <c r="A4" s="2704" t="s">
        <v>849</v>
      </c>
      <c r="B4" s="2704"/>
      <c r="C4" s="2704"/>
      <c r="D4" s="2704"/>
      <c r="E4" s="2704"/>
      <c r="F4" s="2704"/>
      <c r="G4" s="2704"/>
      <c r="H4" s="2704" t="s">
        <v>2</v>
      </c>
      <c r="I4" s="2722">
        <f>'Timing &amp; Flags'!I4</f>
        <v>46387</v>
      </c>
      <c r="J4" s="2722">
        <f>'Timing &amp; Flags'!J4</f>
        <v>46752</v>
      </c>
      <c r="K4" s="2722">
        <f>'Timing &amp; Flags'!K4</f>
        <v>47118</v>
      </c>
      <c r="L4" s="2722">
        <f>'Timing &amp; Flags'!L4</f>
        <v>47483</v>
      </c>
      <c r="M4" s="2722">
        <f>'Timing &amp; Flags'!M4</f>
        <v>47848</v>
      </c>
      <c r="N4" s="2722">
        <f>'Timing &amp; Flags'!N4</f>
        <v>48213</v>
      </c>
      <c r="O4" s="2722">
        <f>'Timing &amp; Flags'!O4</f>
        <v>48579</v>
      </c>
      <c r="P4" s="2722">
        <f>'Timing &amp; Flags'!P4</f>
        <v>48944</v>
      </c>
      <c r="Q4" s="2722">
        <f>'Timing &amp; Flags'!Q4</f>
        <v>49309</v>
      </c>
      <c r="R4" s="2722">
        <f>'Timing &amp; Flags'!R4</f>
        <v>49674</v>
      </c>
      <c r="S4" s="2722">
        <f>'Timing &amp; Flags'!S4</f>
        <v>50040</v>
      </c>
      <c r="T4" s="2722">
        <f>'Timing &amp; Flags'!T4</f>
        <v>50405</v>
      </c>
      <c r="U4" s="2722">
        <f>'Timing &amp; Flags'!U4</f>
        <v>50770</v>
      </c>
      <c r="V4" s="2722">
        <f>'Timing &amp; Flags'!V4</f>
        <v>51135</v>
      </c>
      <c r="W4" s="2722">
        <f>'Timing &amp; Flags'!W4</f>
        <v>51501</v>
      </c>
      <c r="X4" s="2722">
        <f>'Timing &amp; Flags'!X4</f>
        <v>51866</v>
      </c>
      <c r="Y4" s="2722">
        <f>'Timing &amp; Flags'!Y4</f>
        <v>52231</v>
      </c>
      <c r="Z4" s="2722">
        <f>'Timing &amp; Flags'!Z4</f>
        <v>52596</v>
      </c>
      <c r="AA4" s="2722">
        <f>'Timing &amp; Flags'!AA4</f>
        <v>52962</v>
      </c>
      <c r="AB4" s="2722">
        <f>'Timing &amp; Flags'!AB4</f>
        <v>53327</v>
      </c>
      <c r="AC4" s="2722">
        <f>'Timing &amp; Flags'!AC4</f>
        <v>53692</v>
      </c>
      <c r="AD4" s="2722">
        <f>'Timing &amp; Flags'!AD4</f>
        <v>54057</v>
      </c>
      <c r="AE4" s="2722">
        <f>'Timing &amp; Flags'!AE4</f>
        <v>54423</v>
      </c>
      <c r="AF4" s="2722">
        <f>'Timing &amp; Flags'!AF4</f>
        <v>54788</v>
      </c>
      <c r="AG4" s="2722">
        <f>'Timing &amp; Flags'!AG4</f>
        <v>55153</v>
      </c>
      <c r="AH4" s="2722">
        <f>'Timing &amp; Flags'!AH4</f>
        <v>55518</v>
      </c>
      <c r="AI4" s="2722">
        <f>'Timing &amp; Flags'!AI4</f>
        <v>55884</v>
      </c>
      <c r="AJ4" s="2722">
        <f>'Timing &amp; Flags'!AJ4</f>
        <v>56249</v>
      </c>
      <c r="AK4" s="2722">
        <f>'Timing &amp; Flags'!AK4</f>
        <v>56614</v>
      </c>
      <c r="AL4" s="2722">
        <f>'Timing &amp; Flags'!AL4</f>
        <v>56979</v>
      </c>
      <c r="AM4" s="2722">
        <f>'Timing &amp; Flags'!AM4</f>
        <v>57345</v>
      </c>
      <c r="AN4" s="2722">
        <f>'Timing &amp; Flags'!AN4</f>
        <v>57710</v>
      </c>
      <c r="AO4" s="2722">
        <f>'Timing &amp; Flags'!AO4</f>
        <v>58075</v>
      </c>
      <c r="AP4" s="2722">
        <f>'Timing &amp; Flags'!AP4</f>
        <v>58440</v>
      </c>
      <c r="AQ4" s="2722">
        <f>'Timing &amp; Flags'!AQ4</f>
        <v>58806</v>
      </c>
      <c r="AR4" s="2722">
        <f>'Timing &amp; Flags'!AR4</f>
        <v>59171</v>
      </c>
      <c r="AS4" s="2722">
        <f>'Timing &amp; Flags'!AS4</f>
        <v>59536</v>
      </c>
      <c r="AT4" s="2722">
        <f>'Timing &amp; Flags'!AT4</f>
        <v>59901</v>
      </c>
      <c r="AU4" s="2722">
        <f>'Timing &amp; Flags'!AU4</f>
        <v>60267</v>
      </c>
      <c r="AV4" s="2722">
        <f>'Timing &amp; Flags'!AV4</f>
        <v>60632</v>
      </c>
      <c r="AW4" s="2722">
        <f>'Timing &amp; Flags'!AW4</f>
        <v>60997</v>
      </c>
    </row>
    <row r="5" spans="1:49" s="135" customFormat="1" ht="11.25">
      <c r="A5" s="2704" t="s">
        <v>640</v>
      </c>
      <c r="B5" s="2704"/>
      <c r="C5" s="2704"/>
      <c r="D5" s="2704"/>
      <c r="E5" s="2704"/>
      <c r="F5" s="2704"/>
      <c r="G5" s="2704"/>
      <c r="H5" s="2704" t="s">
        <v>3</v>
      </c>
      <c r="I5" s="2723">
        <f ca="1">'Timing &amp; Flags'!I5</f>
        <v>365</v>
      </c>
      <c r="J5" s="2723">
        <f ca="1">'Timing &amp; Flags'!J5</f>
        <v>366</v>
      </c>
      <c r="K5" s="2723">
        <f ca="1">'Timing &amp; Flags'!K5</f>
        <v>365</v>
      </c>
      <c r="L5" s="2723">
        <f ca="1">'Timing &amp; Flags'!L5</f>
        <v>365</v>
      </c>
      <c r="M5" s="2723">
        <f ca="1">'Timing &amp; Flags'!M5</f>
        <v>365</v>
      </c>
      <c r="N5" s="2723">
        <f ca="1">'Timing &amp; Flags'!N5</f>
        <v>366</v>
      </c>
      <c r="O5" s="2723">
        <f ca="1">'Timing &amp; Flags'!O5</f>
        <v>365</v>
      </c>
      <c r="P5" s="2723">
        <f ca="1">'Timing &amp; Flags'!P5</f>
        <v>365</v>
      </c>
      <c r="Q5" s="2723">
        <f ca="1">'Timing &amp; Flags'!Q5</f>
        <v>365</v>
      </c>
      <c r="R5" s="2723">
        <f ca="1">'Timing &amp; Flags'!R5</f>
        <v>366</v>
      </c>
      <c r="S5" s="2723">
        <f ca="1">'Timing &amp; Flags'!S5</f>
        <v>365</v>
      </c>
      <c r="T5" s="2723">
        <f ca="1">'Timing &amp; Flags'!T5</f>
        <v>365</v>
      </c>
      <c r="U5" s="2723">
        <f ca="1">'Timing &amp; Flags'!U5</f>
        <v>365</v>
      </c>
      <c r="V5" s="2723">
        <f ca="1">'Timing &amp; Flags'!V5</f>
        <v>366</v>
      </c>
      <c r="W5" s="2723">
        <f ca="1">'Timing &amp; Flags'!W5</f>
        <v>365</v>
      </c>
      <c r="X5" s="2723">
        <f ca="1">'Timing &amp; Flags'!X5</f>
        <v>365</v>
      </c>
      <c r="Y5" s="2723">
        <f ca="1">'Timing &amp; Flags'!Y5</f>
        <v>365</v>
      </c>
      <c r="Z5" s="2723">
        <f ca="1">'Timing &amp; Flags'!Z5</f>
        <v>366</v>
      </c>
      <c r="AA5" s="2723">
        <f ca="1">'Timing &amp; Flags'!AA5</f>
        <v>365</v>
      </c>
      <c r="AB5" s="2723">
        <f ca="1">'Timing &amp; Flags'!AB5</f>
        <v>365</v>
      </c>
      <c r="AC5" s="2723">
        <f ca="1">'Timing &amp; Flags'!AC5</f>
        <v>365</v>
      </c>
      <c r="AD5" s="2723">
        <f ca="1">'Timing &amp; Flags'!AD5</f>
        <v>366</v>
      </c>
      <c r="AE5" s="2723">
        <f ca="1">'Timing &amp; Flags'!AE5</f>
        <v>365</v>
      </c>
      <c r="AF5" s="2723">
        <f ca="1">'Timing &amp; Flags'!AF5</f>
        <v>365</v>
      </c>
      <c r="AG5" s="2723">
        <f ca="1">'Timing &amp; Flags'!AG5</f>
        <v>365</v>
      </c>
      <c r="AH5" s="2723">
        <f ca="1">'Timing &amp; Flags'!AH5</f>
        <v>366</v>
      </c>
      <c r="AI5" s="2723">
        <f ca="1">'Timing &amp; Flags'!AI5</f>
        <v>365</v>
      </c>
      <c r="AJ5" s="2723">
        <f ca="1">'Timing &amp; Flags'!AJ5</f>
        <v>365</v>
      </c>
      <c r="AK5" s="2723">
        <f ca="1">'Timing &amp; Flags'!AK5</f>
        <v>365</v>
      </c>
      <c r="AL5" s="2723">
        <f ca="1">'Timing &amp; Flags'!AL5</f>
        <v>365</v>
      </c>
      <c r="AM5" s="2723">
        <f ca="1">'Timing &amp; Flags'!AM5</f>
        <v>365</v>
      </c>
      <c r="AN5" s="2723">
        <f ca="1">'Timing &amp; Flags'!AN5</f>
        <v>365</v>
      </c>
      <c r="AO5" s="2723">
        <f ca="1">'Timing &amp; Flags'!AO5</f>
        <v>365</v>
      </c>
      <c r="AP5" s="2723">
        <f ca="1">'Timing &amp; Flags'!AP5</f>
        <v>365</v>
      </c>
      <c r="AQ5" s="2723">
        <f ca="1">'Timing &amp; Flags'!AQ5</f>
        <v>365</v>
      </c>
      <c r="AR5" s="2723">
        <f ca="1">'Timing &amp; Flags'!AR5</f>
        <v>365</v>
      </c>
      <c r="AS5" s="2723">
        <f ca="1">'Timing &amp; Flags'!AS5</f>
        <v>365</v>
      </c>
      <c r="AT5" s="2723">
        <f ca="1">'Timing &amp; Flags'!AT5</f>
        <v>365</v>
      </c>
      <c r="AU5" s="2723">
        <f ca="1">'Timing &amp; Flags'!AU5</f>
        <v>365</v>
      </c>
      <c r="AV5" s="2723">
        <f ca="1">'Timing &amp; Flags'!AV5</f>
        <v>365</v>
      </c>
      <c r="AW5" s="2723">
        <f ca="1">'Timing &amp; Flags'!AW5</f>
        <v>365</v>
      </c>
    </row>
    <row r="7" spans="1:49">
      <c r="A7" s="1" t="s">
        <v>258</v>
      </c>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9" spans="1:49">
      <c r="B9" s="10" t="s">
        <v>210</v>
      </c>
      <c r="F9" s="13"/>
    </row>
    <row r="10" spans="1:49">
      <c r="B10" s="50" t="s">
        <v>58</v>
      </c>
    </row>
    <row r="11" spans="1:49">
      <c r="B11" s="2" t="s">
        <v>59</v>
      </c>
      <c r="C11" s="15" t="s">
        <v>60</v>
      </c>
      <c r="D11" s="41">
        <f>SUM(I11:AI11)</f>
        <v>1</v>
      </c>
      <c r="I11" s="41">
        <f>'Timing &amp; Flags'!I36</f>
        <v>1</v>
      </c>
      <c r="J11" s="41">
        <f>'Timing &amp; Flags'!J36</f>
        <v>0</v>
      </c>
      <c r="K11" s="41">
        <f>'Timing &amp; Flags'!K36</f>
        <v>0</v>
      </c>
      <c r="L11" s="41">
        <f>'Timing &amp; Flags'!L36</f>
        <v>0</v>
      </c>
      <c r="M11" s="41">
        <f>'Timing &amp; Flags'!M36</f>
        <v>0</v>
      </c>
      <c r="N11" s="41">
        <f>'Timing &amp; Flags'!N36</f>
        <v>0</v>
      </c>
      <c r="O11" s="41">
        <f>'Timing &amp; Flags'!O36</f>
        <v>0</v>
      </c>
      <c r="P11" s="41">
        <f>'Timing &amp; Flags'!P36</f>
        <v>0</v>
      </c>
      <c r="Q11" s="41">
        <f>'Timing &amp; Flags'!Q36</f>
        <v>0</v>
      </c>
      <c r="R11" s="41">
        <f>'Timing &amp; Flags'!R36</f>
        <v>0</v>
      </c>
      <c r="S11" s="41">
        <f>'Timing &amp; Flags'!S36</f>
        <v>0</v>
      </c>
      <c r="T11" s="41">
        <f>'Timing &amp; Flags'!T36</f>
        <v>0</v>
      </c>
      <c r="U11" s="41">
        <f>'Timing &amp; Flags'!U36</f>
        <v>0</v>
      </c>
      <c r="V11" s="41">
        <f>'Timing &amp; Flags'!V36</f>
        <v>0</v>
      </c>
      <c r="W11" s="41">
        <f>'Timing &amp; Flags'!W36</f>
        <v>0</v>
      </c>
      <c r="X11" s="41">
        <f>'Timing &amp; Flags'!X36</f>
        <v>0</v>
      </c>
      <c r="Y11" s="41">
        <f>'Timing &amp; Flags'!Y36</f>
        <v>0</v>
      </c>
      <c r="Z11" s="41">
        <f>'Timing &amp; Flags'!Z36</f>
        <v>0</v>
      </c>
      <c r="AA11" s="41">
        <f>'Timing &amp; Flags'!AA36</f>
        <v>0</v>
      </c>
      <c r="AB11" s="41">
        <f>'Timing &amp; Flags'!AB36</f>
        <v>0</v>
      </c>
      <c r="AC11" s="41">
        <f>'Timing &amp; Flags'!AC36</f>
        <v>0</v>
      </c>
      <c r="AD11" s="41">
        <f>'Timing &amp; Flags'!AD36</f>
        <v>0</v>
      </c>
      <c r="AE11" s="41">
        <f>'Timing &amp; Flags'!AE36</f>
        <v>0</v>
      </c>
      <c r="AF11" s="41">
        <f>'Timing &amp; Flags'!AF36</f>
        <v>0</v>
      </c>
      <c r="AG11" s="41">
        <f>'Timing &amp; Flags'!AG36</f>
        <v>0</v>
      </c>
      <c r="AH11" s="41">
        <f>'Timing &amp; Flags'!AH36</f>
        <v>0</v>
      </c>
      <c r="AI11" s="41">
        <f>'Timing &amp; Flags'!AI36</f>
        <v>0</v>
      </c>
      <c r="AJ11" s="41">
        <f>'Timing &amp; Flags'!AJ36</f>
        <v>0</v>
      </c>
      <c r="AK11" s="41">
        <f>'Timing &amp; Flags'!AK36</f>
        <v>0</v>
      </c>
      <c r="AL11" s="41">
        <f>'Timing &amp; Flags'!AL36</f>
        <v>0</v>
      </c>
      <c r="AM11" s="41">
        <f>'Timing &amp; Flags'!AM36</f>
        <v>0</v>
      </c>
      <c r="AN11" s="41">
        <f>'Timing &amp; Flags'!AN36</f>
        <v>0</v>
      </c>
      <c r="AO11" s="41">
        <f>'Timing &amp; Flags'!AO36</f>
        <v>0</v>
      </c>
      <c r="AP11" s="41">
        <f>'Timing &amp; Flags'!AP36</f>
        <v>0</v>
      </c>
      <c r="AQ11" s="41">
        <f>'Timing &amp; Flags'!AQ36</f>
        <v>0</v>
      </c>
      <c r="AR11" s="41">
        <f>'Timing &amp; Flags'!AR36</f>
        <v>0</v>
      </c>
      <c r="AS11" s="41">
        <f>'Timing &amp; Flags'!AS36</f>
        <v>0</v>
      </c>
      <c r="AT11" s="41">
        <f>'Timing &amp; Flags'!AT36</f>
        <v>0</v>
      </c>
      <c r="AU11" s="41">
        <f>'Timing &amp; Flags'!AU36</f>
        <v>0</v>
      </c>
      <c r="AV11" s="41">
        <f>'Timing &amp; Flags'!AV36</f>
        <v>0</v>
      </c>
      <c r="AW11" s="41">
        <f>'Timing &amp; Flags'!AW36</f>
        <v>0</v>
      </c>
    </row>
    <row r="12" spans="1:49">
      <c r="B12" s="2" t="s">
        <v>61</v>
      </c>
      <c r="C12" s="15" t="s">
        <v>60</v>
      </c>
      <c r="D12" s="41">
        <f>SUM(I12:AI12)</f>
        <v>3</v>
      </c>
      <c r="I12" s="41">
        <f>'Timing &amp; Flags'!I37</f>
        <v>1</v>
      </c>
      <c r="J12" s="41">
        <f>'Timing &amp; Flags'!J37</f>
        <v>1</v>
      </c>
      <c r="K12" s="41">
        <f>'Timing &amp; Flags'!K37</f>
        <v>1</v>
      </c>
      <c r="L12" s="41">
        <f>'Timing &amp; Flags'!L37</f>
        <v>0</v>
      </c>
      <c r="M12" s="41">
        <f>'Timing &amp; Flags'!M37</f>
        <v>0</v>
      </c>
      <c r="N12" s="41">
        <f>'Timing &amp; Flags'!N37</f>
        <v>0</v>
      </c>
      <c r="O12" s="41">
        <f>'Timing &amp; Flags'!O37</f>
        <v>0</v>
      </c>
      <c r="P12" s="41">
        <f>'Timing &amp; Flags'!P37</f>
        <v>0</v>
      </c>
      <c r="Q12" s="41">
        <f>'Timing &amp; Flags'!Q37</f>
        <v>0</v>
      </c>
      <c r="R12" s="41">
        <f>'Timing &amp; Flags'!R37</f>
        <v>0</v>
      </c>
      <c r="S12" s="41">
        <f>'Timing &amp; Flags'!S37</f>
        <v>0</v>
      </c>
      <c r="T12" s="41">
        <f>'Timing &amp; Flags'!T37</f>
        <v>0</v>
      </c>
      <c r="U12" s="41">
        <f>'Timing &amp; Flags'!U37</f>
        <v>0</v>
      </c>
      <c r="V12" s="41">
        <f>'Timing &amp; Flags'!V37</f>
        <v>0</v>
      </c>
      <c r="W12" s="41">
        <f>'Timing &amp; Flags'!W37</f>
        <v>0</v>
      </c>
      <c r="X12" s="41">
        <f>'Timing &amp; Flags'!X37</f>
        <v>0</v>
      </c>
      <c r="Y12" s="41">
        <f>'Timing &amp; Flags'!Y37</f>
        <v>0</v>
      </c>
      <c r="Z12" s="41">
        <f>'Timing &amp; Flags'!Z37</f>
        <v>0</v>
      </c>
      <c r="AA12" s="41">
        <f>'Timing &amp; Flags'!AA37</f>
        <v>0</v>
      </c>
      <c r="AB12" s="41">
        <f>'Timing &amp; Flags'!AB37</f>
        <v>0</v>
      </c>
      <c r="AC12" s="41">
        <f>'Timing &amp; Flags'!AC37</f>
        <v>0</v>
      </c>
      <c r="AD12" s="41">
        <f>'Timing &amp; Flags'!AD37</f>
        <v>0</v>
      </c>
      <c r="AE12" s="41">
        <f>'Timing &amp; Flags'!AE37</f>
        <v>0</v>
      </c>
      <c r="AF12" s="41">
        <f>'Timing &amp; Flags'!AF37</f>
        <v>0</v>
      </c>
      <c r="AG12" s="41">
        <f>'Timing &amp; Flags'!AG37</f>
        <v>0</v>
      </c>
      <c r="AH12" s="41">
        <f>'Timing &amp; Flags'!AH37</f>
        <v>0</v>
      </c>
      <c r="AI12" s="41">
        <f>'Timing &amp; Flags'!AI37</f>
        <v>0</v>
      </c>
      <c r="AJ12" s="41">
        <f>'Timing &amp; Flags'!AJ37</f>
        <v>0</v>
      </c>
      <c r="AK12" s="41">
        <f>'Timing &amp; Flags'!AK37</f>
        <v>0</v>
      </c>
      <c r="AL12" s="41">
        <f>'Timing &amp; Flags'!AL37</f>
        <v>0</v>
      </c>
      <c r="AM12" s="41">
        <f>'Timing &amp; Flags'!AM37</f>
        <v>0</v>
      </c>
      <c r="AN12" s="41">
        <f>'Timing &amp; Flags'!AN37</f>
        <v>0</v>
      </c>
      <c r="AO12" s="41">
        <f>'Timing &amp; Flags'!AO37</f>
        <v>0</v>
      </c>
      <c r="AP12" s="41">
        <f>'Timing &amp; Flags'!AP37</f>
        <v>0</v>
      </c>
      <c r="AQ12" s="41">
        <f>'Timing &amp; Flags'!AQ37</f>
        <v>0</v>
      </c>
      <c r="AR12" s="41">
        <f>'Timing &amp; Flags'!AR37</f>
        <v>0</v>
      </c>
      <c r="AS12" s="41">
        <f>'Timing &amp; Flags'!AS37</f>
        <v>0</v>
      </c>
      <c r="AT12" s="41">
        <f>'Timing &amp; Flags'!AT37</f>
        <v>0</v>
      </c>
      <c r="AU12" s="41">
        <f>'Timing &amp; Flags'!AU37</f>
        <v>0</v>
      </c>
      <c r="AV12" s="41">
        <f>'Timing &amp; Flags'!AV37</f>
        <v>0</v>
      </c>
      <c r="AW12" s="41">
        <f>'Timing &amp; Flags'!AW37</f>
        <v>0</v>
      </c>
    </row>
    <row r="13" spans="1:49">
      <c r="B13" s="2" t="s">
        <v>62</v>
      </c>
      <c r="C13" s="15" t="s">
        <v>60</v>
      </c>
      <c r="D13" s="41">
        <f>SUM(I13:AI13)</f>
        <v>1</v>
      </c>
      <c r="F13" s="14"/>
      <c r="I13" s="41">
        <f>'Timing &amp; Flags'!I38</f>
        <v>0</v>
      </c>
      <c r="J13" s="41">
        <f>'Timing &amp; Flags'!J38</f>
        <v>0</v>
      </c>
      <c r="K13" s="41">
        <f>'Timing &amp; Flags'!K38</f>
        <v>1</v>
      </c>
      <c r="L13" s="41">
        <f>'Timing &amp; Flags'!L38</f>
        <v>0</v>
      </c>
      <c r="M13" s="41">
        <f>'Timing &amp; Flags'!M38</f>
        <v>0</v>
      </c>
      <c r="N13" s="41">
        <f>'Timing &amp; Flags'!N38</f>
        <v>0</v>
      </c>
      <c r="O13" s="41">
        <f>'Timing &amp; Flags'!O38</f>
        <v>0</v>
      </c>
      <c r="P13" s="41">
        <f>'Timing &amp; Flags'!P38</f>
        <v>0</v>
      </c>
      <c r="Q13" s="41">
        <f>'Timing &amp; Flags'!Q38</f>
        <v>0</v>
      </c>
      <c r="R13" s="41">
        <f>'Timing &amp; Flags'!R38</f>
        <v>0</v>
      </c>
      <c r="S13" s="41">
        <f>'Timing &amp; Flags'!S38</f>
        <v>0</v>
      </c>
      <c r="T13" s="41">
        <f>'Timing &amp; Flags'!T38</f>
        <v>0</v>
      </c>
      <c r="U13" s="41">
        <f>'Timing &amp; Flags'!U38</f>
        <v>0</v>
      </c>
      <c r="V13" s="41">
        <f>'Timing &amp; Flags'!V38</f>
        <v>0</v>
      </c>
      <c r="W13" s="41">
        <f>'Timing &amp; Flags'!W38</f>
        <v>0</v>
      </c>
      <c r="X13" s="41">
        <f>'Timing &amp; Flags'!X38</f>
        <v>0</v>
      </c>
      <c r="Y13" s="41">
        <f>'Timing &amp; Flags'!Y38</f>
        <v>0</v>
      </c>
      <c r="Z13" s="41">
        <f>'Timing &amp; Flags'!Z38</f>
        <v>0</v>
      </c>
      <c r="AA13" s="41">
        <f>'Timing &amp; Flags'!AA38</f>
        <v>0</v>
      </c>
      <c r="AB13" s="41">
        <f>'Timing &amp; Flags'!AB38</f>
        <v>0</v>
      </c>
      <c r="AC13" s="41">
        <f>'Timing &amp; Flags'!AC38</f>
        <v>0</v>
      </c>
      <c r="AD13" s="41">
        <f>'Timing &amp; Flags'!AD38</f>
        <v>0</v>
      </c>
      <c r="AE13" s="41">
        <f>'Timing &amp; Flags'!AE38</f>
        <v>0</v>
      </c>
      <c r="AF13" s="41">
        <f>'Timing &amp; Flags'!AF38</f>
        <v>0</v>
      </c>
      <c r="AG13" s="41">
        <f>'Timing &amp; Flags'!AG38</f>
        <v>0</v>
      </c>
      <c r="AH13" s="41">
        <f>'Timing &amp; Flags'!AH38</f>
        <v>0</v>
      </c>
      <c r="AI13" s="41">
        <f>'Timing &amp; Flags'!AI38</f>
        <v>0</v>
      </c>
      <c r="AJ13" s="41">
        <f>'Timing &amp; Flags'!AJ38</f>
        <v>0</v>
      </c>
      <c r="AK13" s="41">
        <f>'Timing &amp; Flags'!AK38</f>
        <v>0</v>
      </c>
      <c r="AL13" s="41">
        <f>'Timing &amp; Flags'!AL38</f>
        <v>0</v>
      </c>
      <c r="AM13" s="41">
        <f>'Timing &amp; Flags'!AM38</f>
        <v>0</v>
      </c>
      <c r="AN13" s="41">
        <f>'Timing &amp; Flags'!AN38</f>
        <v>0</v>
      </c>
      <c r="AO13" s="41">
        <f>'Timing &amp; Flags'!AO38</f>
        <v>0</v>
      </c>
      <c r="AP13" s="41">
        <f>'Timing &amp; Flags'!AP38</f>
        <v>0</v>
      </c>
      <c r="AQ13" s="41">
        <f>'Timing &amp; Flags'!AQ38</f>
        <v>0</v>
      </c>
      <c r="AR13" s="41">
        <f>'Timing &amp; Flags'!AR38</f>
        <v>0</v>
      </c>
      <c r="AS13" s="41">
        <f>'Timing &amp; Flags'!AS38</f>
        <v>0</v>
      </c>
      <c r="AT13" s="41">
        <f>'Timing &amp; Flags'!AT38</f>
        <v>0</v>
      </c>
      <c r="AU13" s="41">
        <f>'Timing &amp; Flags'!AU38</f>
        <v>0</v>
      </c>
      <c r="AV13" s="41">
        <f>'Timing &amp; Flags'!AV38</f>
        <v>0</v>
      </c>
      <c r="AW13" s="41">
        <f>'Timing &amp; Flags'!AW38</f>
        <v>0</v>
      </c>
    </row>
    <row r="15" spans="1:49">
      <c r="B15" s="50" t="s">
        <v>64</v>
      </c>
    </row>
    <row r="16" spans="1:49">
      <c r="B16" s="2" t="s">
        <v>65</v>
      </c>
      <c r="C16" s="15" t="s">
        <v>60</v>
      </c>
      <c r="D16" s="41">
        <f>SUM(I16:AI16)</f>
        <v>1</v>
      </c>
      <c r="I16" s="41">
        <f>'Timing &amp; Flags'!I42</f>
        <v>0</v>
      </c>
      <c r="J16" s="41">
        <f>'Timing &amp; Flags'!J42</f>
        <v>0</v>
      </c>
      <c r="K16" s="41">
        <f>'Timing &amp; Flags'!K42</f>
        <v>0</v>
      </c>
      <c r="L16" s="41">
        <f>'Timing &amp; Flags'!L42</f>
        <v>1</v>
      </c>
      <c r="M16" s="41">
        <f>'Timing &amp; Flags'!M42</f>
        <v>0</v>
      </c>
      <c r="N16" s="41">
        <f>'Timing &amp; Flags'!N42</f>
        <v>0</v>
      </c>
      <c r="O16" s="41">
        <f>'Timing &amp; Flags'!O42</f>
        <v>0</v>
      </c>
      <c r="P16" s="41">
        <f>'Timing &amp; Flags'!P42</f>
        <v>0</v>
      </c>
      <c r="Q16" s="41">
        <f>'Timing &amp; Flags'!Q42</f>
        <v>0</v>
      </c>
      <c r="R16" s="41">
        <f>'Timing &amp; Flags'!R42</f>
        <v>0</v>
      </c>
      <c r="S16" s="41">
        <f>'Timing &amp; Flags'!S42</f>
        <v>0</v>
      </c>
      <c r="T16" s="41">
        <f>'Timing &amp; Flags'!T42</f>
        <v>0</v>
      </c>
      <c r="U16" s="41">
        <f>'Timing &amp; Flags'!U42</f>
        <v>0</v>
      </c>
      <c r="V16" s="41">
        <f>'Timing &amp; Flags'!V42</f>
        <v>0</v>
      </c>
      <c r="W16" s="41">
        <f>'Timing &amp; Flags'!W42</f>
        <v>0</v>
      </c>
      <c r="X16" s="41">
        <f>'Timing &amp; Flags'!X42</f>
        <v>0</v>
      </c>
      <c r="Y16" s="41">
        <f>'Timing &amp; Flags'!Y42</f>
        <v>0</v>
      </c>
      <c r="Z16" s="41">
        <f>'Timing &amp; Flags'!Z42</f>
        <v>0</v>
      </c>
      <c r="AA16" s="41">
        <f>'Timing &amp; Flags'!AA42</f>
        <v>0</v>
      </c>
      <c r="AB16" s="41">
        <f>'Timing &amp; Flags'!AB42</f>
        <v>0</v>
      </c>
      <c r="AC16" s="41">
        <f>'Timing &amp; Flags'!AC42</f>
        <v>0</v>
      </c>
      <c r="AD16" s="41">
        <f>'Timing &amp; Flags'!AD42</f>
        <v>0</v>
      </c>
      <c r="AE16" s="41">
        <f>'Timing &amp; Flags'!AE42</f>
        <v>0</v>
      </c>
      <c r="AF16" s="41">
        <f>'Timing &amp; Flags'!AF42</f>
        <v>0</v>
      </c>
      <c r="AG16" s="41">
        <f>'Timing &amp; Flags'!AG42</f>
        <v>0</v>
      </c>
      <c r="AH16" s="41">
        <f>'Timing &amp; Flags'!AH42</f>
        <v>0</v>
      </c>
      <c r="AI16" s="41">
        <f>'Timing &amp; Flags'!AI42</f>
        <v>0</v>
      </c>
      <c r="AJ16" s="41">
        <f>'Timing &amp; Flags'!AJ42</f>
        <v>0</v>
      </c>
      <c r="AK16" s="41">
        <f>'Timing &amp; Flags'!AK42</f>
        <v>0</v>
      </c>
      <c r="AL16" s="41">
        <f>'Timing &amp; Flags'!AL42</f>
        <v>0</v>
      </c>
      <c r="AM16" s="41">
        <f>'Timing &amp; Flags'!AM42</f>
        <v>0</v>
      </c>
      <c r="AN16" s="41">
        <f>'Timing &amp; Flags'!AN42</f>
        <v>0</v>
      </c>
      <c r="AO16" s="41">
        <f>'Timing &amp; Flags'!AO42</f>
        <v>0</v>
      </c>
      <c r="AP16" s="41">
        <f>'Timing &amp; Flags'!AP42</f>
        <v>0</v>
      </c>
      <c r="AQ16" s="41">
        <f>'Timing &amp; Flags'!AQ42</f>
        <v>0</v>
      </c>
      <c r="AR16" s="41">
        <f>'Timing &amp; Flags'!AR42</f>
        <v>0</v>
      </c>
      <c r="AS16" s="41">
        <f>'Timing &amp; Flags'!AS42</f>
        <v>0</v>
      </c>
      <c r="AT16" s="41">
        <f>'Timing &amp; Flags'!AT42</f>
        <v>0</v>
      </c>
      <c r="AU16" s="41">
        <f>'Timing &amp; Flags'!AU42</f>
        <v>0</v>
      </c>
      <c r="AV16" s="41">
        <f>'Timing &amp; Flags'!AV42</f>
        <v>0</v>
      </c>
      <c r="AW16" s="41">
        <f>'Timing &amp; Flags'!AW42</f>
        <v>0</v>
      </c>
    </row>
    <row r="17" spans="1:49">
      <c r="B17" s="2" t="s">
        <v>66</v>
      </c>
      <c r="C17" s="15" t="s">
        <v>60</v>
      </c>
      <c r="D17" s="41">
        <f>SUM(I17:AI17)</f>
        <v>24</v>
      </c>
      <c r="I17" s="41">
        <f>'Timing &amp; Flags'!I43</f>
        <v>0</v>
      </c>
      <c r="J17" s="41">
        <f>'Timing &amp; Flags'!J43</f>
        <v>0</v>
      </c>
      <c r="K17" s="41">
        <f>'Timing &amp; Flags'!K43</f>
        <v>0</v>
      </c>
      <c r="L17" s="41">
        <f>'Timing &amp; Flags'!L43</f>
        <v>1</v>
      </c>
      <c r="M17" s="41">
        <f>'Timing &amp; Flags'!M43</f>
        <v>1</v>
      </c>
      <c r="N17" s="41">
        <f>'Timing &amp; Flags'!N43</f>
        <v>1</v>
      </c>
      <c r="O17" s="41">
        <f>'Timing &amp; Flags'!O43</f>
        <v>1</v>
      </c>
      <c r="P17" s="41">
        <f>'Timing &amp; Flags'!P43</f>
        <v>1</v>
      </c>
      <c r="Q17" s="41">
        <f>'Timing &amp; Flags'!Q43</f>
        <v>1</v>
      </c>
      <c r="R17" s="41">
        <f>'Timing &amp; Flags'!R43</f>
        <v>1</v>
      </c>
      <c r="S17" s="41">
        <f>'Timing &amp; Flags'!S43</f>
        <v>1</v>
      </c>
      <c r="T17" s="41">
        <f>'Timing &amp; Flags'!T43</f>
        <v>1</v>
      </c>
      <c r="U17" s="41">
        <f>'Timing &amp; Flags'!U43</f>
        <v>1</v>
      </c>
      <c r="V17" s="41">
        <f>'Timing &amp; Flags'!V43</f>
        <v>1</v>
      </c>
      <c r="W17" s="41">
        <f>'Timing &amp; Flags'!W43</f>
        <v>1</v>
      </c>
      <c r="X17" s="41">
        <f>'Timing &amp; Flags'!X43</f>
        <v>1</v>
      </c>
      <c r="Y17" s="41">
        <f>'Timing &amp; Flags'!Y43</f>
        <v>1</v>
      </c>
      <c r="Z17" s="41">
        <f>'Timing &amp; Flags'!Z43</f>
        <v>1</v>
      </c>
      <c r="AA17" s="41">
        <f>'Timing &amp; Flags'!AA43</f>
        <v>1</v>
      </c>
      <c r="AB17" s="41">
        <f>'Timing &amp; Flags'!AB43</f>
        <v>1</v>
      </c>
      <c r="AC17" s="41">
        <f>'Timing &amp; Flags'!AC43</f>
        <v>1</v>
      </c>
      <c r="AD17" s="41">
        <f>'Timing &amp; Flags'!AD43</f>
        <v>1</v>
      </c>
      <c r="AE17" s="41">
        <f>'Timing &amp; Flags'!AE43</f>
        <v>1</v>
      </c>
      <c r="AF17" s="41">
        <f>'Timing &amp; Flags'!AF43</f>
        <v>1</v>
      </c>
      <c r="AG17" s="41">
        <f>'Timing &amp; Flags'!AG43</f>
        <v>1</v>
      </c>
      <c r="AH17" s="41">
        <f>'Timing &amp; Flags'!AH43</f>
        <v>1</v>
      </c>
      <c r="AI17" s="41">
        <f>'Timing &amp; Flags'!AI43</f>
        <v>1</v>
      </c>
      <c r="AJ17" s="41">
        <f>'Timing &amp; Flags'!AJ43</f>
        <v>1</v>
      </c>
      <c r="AK17" s="41">
        <f>'Timing &amp; Flags'!AK43</f>
        <v>1</v>
      </c>
      <c r="AL17" s="41">
        <f>'Timing &amp; Flags'!AL43</f>
        <v>1</v>
      </c>
      <c r="AM17" s="41">
        <f>'Timing &amp; Flags'!AM43</f>
        <v>0</v>
      </c>
      <c r="AN17" s="41">
        <f>'Timing &amp; Flags'!AN43</f>
        <v>0</v>
      </c>
      <c r="AO17" s="41">
        <f>'Timing &amp; Flags'!AO43</f>
        <v>0</v>
      </c>
      <c r="AP17" s="41">
        <f>'Timing &amp; Flags'!AP43</f>
        <v>0</v>
      </c>
      <c r="AQ17" s="41">
        <f>'Timing &amp; Flags'!AQ43</f>
        <v>0</v>
      </c>
      <c r="AR17" s="41">
        <f>'Timing &amp; Flags'!AR43</f>
        <v>0</v>
      </c>
      <c r="AS17" s="41">
        <f>'Timing &amp; Flags'!AS43</f>
        <v>0</v>
      </c>
      <c r="AT17" s="41">
        <f>'Timing &amp; Flags'!AT43</f>
        <v>0</v>
      </c>
      <c r="AU17" s="41">
        <f>'Timing &amp; Flags'!AU43</f>
        <v>0</v>
      </c>
      <c r="AV17" s="41">
        <f>'Timing &amp; Flags'!AV43</f>
        <v>0</v>
      </c>
      <c r="AW17" s="41">
        <f>'Timing &amp; Flags'!AW43</f>
        <v>0</v>
      </c>
    </row>
    <row r="18" spans="1:49">
      <c r="B18" s="2" t="s">
        <v>67</v>
      </c>
      <c r="C18" s="15" t="s">
        <v>60</v>
      </c>
      <c r="D18" s="41">
        <f>SUM(I18:AI18)</f>
        <v>0</v>
      </c>
      <c r="I18" s="41">
        <f>'Timing &amp; Flags'!I44</f>
        <v>0</v>
      </c>
      <c r="J18" s="41">
        <f>'Timing &amp; Flags'!J44</f>
        <v>0</v>
      </c>
      <c r="K18" s="41">
        <f>'Timing &amp; Flags'!K44</f>
        <v>0</v>
      </c>
      <c r="L18" s="41">
        <f>'Timing &amp; Flags'!L44</f>
        <v>0</v>
      </c>
      <c r="M18" s="41">
        <f>'Timing &amp; Flags'!M44</f>
        <v>0</v>
      </c>
      <c r="N18" s="41">
        <f>'Timing &amp; Flags'!N44</f>
        <v>0</v>
      </c>
      <c r="O18" s="41">
        <f>'Timing &amp; Flags'!O44</f>
        <v>0</v>
      </c>
      <c r="P18" s="41">
        <f>'Timing &amp; Flags'!P44</f>
        <v>0</v>
      </c>
      <c r="Q18" s="41">
        <f>'Timing &amp; Flags'!Q44</f>
        <v>0</v>
      </c>
      <c r="R18" s="41">
        <f>'Timing &amp; Flags'!R44</f>
        <v>0</v>
      </c>
      <c r="S18" s="41">
        <f>'Timing &amp; Flags'!S44</f>
        <v>0</v>
      </c>
      <c r="T18" s="41">
        <f>'Timing &amp; Flags'!T44</f>
        <v>0</v>
      </c>
      <c r="U18" s="41">
        <f>'Timing &amp; Flags'!U44</f>
        <v>0</v>
      </c>
      <c r="V18" s="41">
        <f>'Timing &amp; Flags'!V44</f>
        <v>0</v>
      </c>
      <c r="W18" s="41">
        <f>'Timing &amp; Flags'!W44</f>
        <v>0</v>
      </c>
      <c r="X18" s="41">
        <f>'Timing &amp; Flags'!X44</f>
        <v>0</v>
      </c>
      <c r="Y18" s="41">
        <f>'Timing &amp; Flags'!Y44</f>
        <v>0</v>
      </c>
      <c r="Z18" s="41">
        <f>'Timing &amp; Flags'!Z44</f>
        <v>0</v>
      </c>
      <c r="AA18" s="41">
        <f>'Timing &amp; Flags'!AA44</f>
        <v>0</v>
      </c>
      <c r="AB18" s="41">
        <f>'Timing &amp; Flags'!AB44</f>
        <v>0</v>
      </c>
      <c r="AC18" s="41">
        <f>'Timing &amp; Flags'!AC44</f>
        <v>0</v>
      </c>
      <c r="AD18" s="41">
        <f>'Timing &amp; Flags'!AD44</f>
        <v>0</v>
      </c>
      <c r="AE18" s="41">
        <f>'Timing &amp; Flags'!AE44</f>
        <v>0</v>
      </c>
      <c r="AF18" s="41">
        <f>'Timing &amp; Flags'!AF44</f>
        <v>0</v>
      </c>
      <c r="AG18" s="41">
        <f>'Timing &amp; Flags'!AG44</f>
        <v>0</v>
      </c>
      <c r="AH18" s="41">
        <f>'Timing &amp; Flags'!AH44</f>
        <v>0</v>
      </c>
      <c r="AI18" s="41">
        <f>'Timing &amp; Flags'!AI44</f>
        <v>0</v>
      </c>
      <c r="AJ18" s="41">
        <f>'Timing &amp; Flags'!AJ44</f>
        <v>0</v>
      </c>
      <c r="AK18" s="41">
        <f>'Timing &amp; Flags'!AK44</f>
        <v>0</v>
      </c>
      <c r="AL18" s="41">
        <f>'Timing &amp; Flags'!AL44</f>
        <v>1</v>
      </c>
      <c r="AM18" s="41">
        <f>'Timing &amp; Flags'!AM44</f>
        <v>0</v>
      </c>
      <c r="AN18" s="41">
        <f>'Timing &amp; Flags'!AN44</f>
        <v>0</v>
      </c>
      <c r="AO18" s="41">
        <f>'Timing &amp; Flags'!AO44</f>
        <v>0</v>
      </c>
      <c r="AP18" s="41">
        <f>'Timing &amp; Flags'!AP44</f>
        <v>0</v>
      </c>
      <c r="AQ18" s="41">
        <f>'Timing &amp; Flags'!AQ44</f>
        <v>0</v>
      </c>
      <c r="AR18" s="41">
        <f>'Timing &amp; Flags'!AR44</f>
        <v>0</v>
      </c>
      <c r="AS18" s="41">
        <f>'Timing &amp; Flags'!AS44</f>
        <v>0</v>
      </c>
      <c r="AT18" s="41">
        <f>'Timing &amp; Flags'!AT44</f>
        <v>0</v>
      </c>
      <c r="AU18" s="41">
        <f>'Timing &amp; Flags'!AU44</f>
        <v>0</v>
      </c>
      <c r="AV18" s="41">
        <f>'Timing &amp; Flags'!AV44</f>
        <v>0</v>
      </c>
      <c r="AW18" s="41">
        <f>'Timing &amp; Flags'!AW44</f>
        <v>0</v>
      </c>
    </row>
    <row r="20" spans="1:49">
      <c r="B20" s="2" t="s">
        <v>538</v>
      </c>
      <c r="C20" s="15" t="s">
        <v>60</v>
      </c>
      <c r="D20" s="41">
        <f>SUM(I20:AI20)</f>
        <v>27</v>
      </c>
      <c r="I20" s="2">
        <f>'Timing &amp; Flags'!I49</f>
        <v>1</v>
      </c>
      <c r="J20" s="2">
        <f>'Timing &amp; Flags'!J49</f>
        <v>1</v>
      </c>
      <c r="K20" s="2">
        <f>'Timing &amp; Flags'!K49</f>
        <v>1</v>
      </c>
      <c r="L20" s="2">
        <f>'Timing &amp; Flags'!L49</f>
        <v>1</v>
      </c>
      <c r="M20" s="2">
        <f>'Timing &amp; Flags'!M49</f>
        <v>1</v>
      </c>
      <c r="N20" s="2">
        <f>'Timing &amp; Flags'!N49</f>
        <v>1</v>
      </c>
      <c r="O20" s="2">
        <f>'Timing &amp; Flags'!O49</f>
        <v>1</v>
      </c>
      <c r="P20" s="2">
        <f>'Timing &amp; Flags'!P49</f>
        <v>1</v>
      </c>
      <c r="Q20" s="2">
        <f>'Timing &amp; Flags'!Q49</f>
        <v>1</v>
      </c>
      <c r="R20" s="2">
        <f>'Timing &amp; Flags'!R49</f>
        <v>1</v>
      </c>
      <c r="S20" s="2">
        <f>'Timing &amp; Flags'!S49</f>
        <v>1</v>
      </c>
      <c r="T20" s="2">
        <f>'Timing &amp; Flags'!T49</f>
        <v>1</v>
      </c>
      <c r="U20" s="2">
        <f>'Timing &amp; Flags'!U49</f>
        <v>1</v>
      </c>
      <c r="V20" s="2">
        <f>'Timing &amp; Flags'!V49</f>
        <v>1</v>
      </c>
      <c r="W20" s="2">
        <f>'Timing &amp; Flags'!W49</f>
        <v>1</v>
      </c>
      <c r="X20" s="2">
        <f>'Timing &amp; Flags'!X49</f>
        <v>1</v>
      </c>
      <c r="Y20" s="2">
        <f>'Timing &amp; Flags'!Y49</f>
        <v>1</v>
      </c>
      <c r="Z20" s="2">
        <f>'Timing &amp; Flags'!Z49</f>
        <v>1</v>
      </c>
      <c r="AA20" s="2">
        <f>'Timing &amp; Flags'!AA49</f>
        <v>1</v>
      </c>
      <c r="AB20" s="2">
        <f>'Timing &amp; Flags'!AB49</f>
        <v>1</v>
      </c>
      <c r="AC20" s="2">
        <f>'Timing &amp; Flags'!AC49</f>
        <v>1</v>
      </c>
      <c r="AD20" s="2">
        <f>'Timing &amp; Flags'!AD49</f>
        <v>1</v>
      </c>
      <c r="AE20" s="2">
        <f>'Timing &amp; Flags'!AE49</f>
        <v>1</v>
      </c>
      <c r="AF20" s="2">
        <f>'Timing &amp; Flags'!AF49</f>
        <v>1</v>
      </c>
      <c r="AG20" s="2">
        <f>'Timing &amp; Flags'!AG49</f>
        <v>1</v>
      </c>
      <c r="AH20" s="2">
        <f>'Timing &amp; Flags'!AH49</f>
        <v>1</v>
      </c>
      <c r="AI20" s="2">
        <f>'Timing &amp; Flags'!AI49</f>
        <v>1</v>
      </c>
      <c r="AJ20" s="2">
        <f>'Timing &amp; Flags'!AJ49</f>
        <v>1</v>
      </c>
      <c r="AK20" s="2">
        <f>'Timing &amp; Flags'!AK49</f>
        <v>1</v>
      </c>
      <c r="AL20" s="2">
        <f>'Timing &amp; Flags'!AL49</f>
        <v>1</v>
      </c>
      <c r="AM20" s="2">
        <f>'Timing &amp; Flags'!AM49</f>
        <v>0</v>
      </c>
      <c r="AN20" s="2">
        <f>'Timing &amp; Flags'!AN49</f>
        <v>0</v>
      </c>
      <c r="AO20" s="2">
        <f>'Timing &amp; Flags'!AO49</f>
        <v>0</v>
      </c>
      <c r="AP20" s="2">
        <f>'Timing &amp; Flags'!AP49</f>
        <v>0</v>
      </c>
      <c r="AQ20" s="2">
        <f>'Timing &amp; Flags'!AQ49</f>
        <v>0</v>
      </c>
      <c r="AR20" s="2">
        <f>'Timing &amp; Flags'!AR49</f>
        <v>0</v>
      </c>
      <c r="AS20" s="2">
        <f>'Timing &amp; Flags'!AS49</f>
        <v>0</v>
      </c>
      <c r="AT20" s="2">
        <f>'Timing &amp; Flags'!AT49</f>
        <v>0</v>
      </c>
      <c r="AU20" s="2">
        <f>'Timing &amp; Flags'!AU49</f>
        <v>0</v>
      </c>
      <c r="AV20" s="2">
        <f>'Timing &amp; Flags'!AV49</f>
        <v>0</v>
      </c>
      <c r="AW20" s="2">
        <f>'Timing &amp; Flags'!AW49</f>
        <v>0</v>
      </c>
    </row>
    <row r="22" spans="1:49">
      <c r="B22" s="50" t="s">
        <v>69</v>
      </c>
    </row>
    <row r="23" spans="1:49">
      <c r="B23" s="2" t="s">
        <v>56</v>
      </c>
      <c r="C23" s="15" t="s">
        <v>72</v>
      </c>
      <c r="D23" s="41">
        <f ca="1">SUM(I23:AI23)</f>
        <v>3.0000074855902388</v>
      </c>
      <c r="I23" s="17">
        <f ca="1">'Timing &amp; Flags'!I54</f>
        <v>1</v>
      </c>
      <c r="J23" s="17">
        <f ca="1">'Timing &amp; Flags'!J54</f>
        <v>0.99726775956284153</v>
      </c>
      <c r="K23" s="17">
        <f ca="1">'Timing &amp; Flags'!K54</f>
        <v>1.0027397260273974</v>
      </c>
      <c r="L23" s="17">
        <f>'Timing &amp; Flags'!L54</f>
        <v>0</v>
      </c>
      <c r="M23" s="17">
        <f>'Timing &amp; Flags'!M54</f>
        <v>0</v>
      </c>
      <c r="N23" s="17">
        <f>'Timing &amp; Flags'!N54</f>
        <v>0</v>
      </c>
      <c r="O23" s="17">
        <f>'Timing &amp; Flags'!O54</f>
        <v>0</v>
      </c>
      <c r="P23" s="17">
        <f>'Timing &amp; Flags'!P54</f>
        <v>0</v>
      </c>
      <c r="Q23" s="17">
        <f>'Timing &amp; Flags'!Q54</f>
        <v>0</v>
      </c>
      <c r="R23" s="17">
        <f>'Timing &amp; Flags'!R54</f>
        <v>0</v>
      </c>
      <c r="S23" s="17">
        <f>'Timing &amp; Flags'!S54</f>
        <v>0</v>
      </c>
      <c r="T23" s="17">
        <f>'Timing &amp; Flags'!T54</f>
        <v>0</v>
      </c>
      <c r="U23" s="17">
        <f>'Timing &amp; Flags'!U54</f>
        <v>0</v>
      </c>
      <c r="V23" s="17">
        <f>'Timing &amp; Flags'!V54</f>
        <v>0</v>
      </c>
      <c r="W23" s="17">
        <f>'Timing &amp; Flags'!W54</f>
        <v>0</v>
      </c>
      <c r="X23" s="17">
        <f>'Timing &amp; Flags'!X54</f>
        <v>0</v>
      </c>
      <c r="Y23" s="17">
        <f>'Timing &amp; Flags'!Y54</f>
        <v>0</v>
      </c>
      <c r="Z23" s="17">
        <f>'Timing &amp; Flags'!Z54</f>
        <v>0</v>
      </c>
      <c r="AA23" s="17">
        <f>'Timing &amp; Flags'!AA54</f>
        <v>0</v>
      </c>
      <c r="AB23" s="17">
        <f>'Timing &amp; Flags'!AB54</f>
        <v>0</v>
      </c>
      <c r="AC23" s="17">
        <f>'Timing &amp; Flags'!AC54</f>
        <v>0</v>
      </c>
      <c r="AD23" s="17">
        <f>'Timing &amp; Flags'!AD54</f>
        <v>0</v>
      </c>
      <c r="AE23" s="17">
        <f>'Timing &amp; Flags'!AE54</f>
        <v>0</v>
      </c>
      <c r="AF23" s="17">
        <f>'Timing &amp; Flags'!AF54</f>
        <v>0</v>
      </c>
      <c r="AG23" s="17">
        <f>'Timing &amp; Flags'!AG54</f>
        <v>0</v>
      </c>
      <c r="AH23" s="17">
        <f>'Timing &amp; Flags'!AH54</f>
        <v>0</v>
      </c>
      <c r="AI23" s="17">
        <f>'Timing &amp; Flags'!AI54</f>
        <v>0</v>
      </c>
      <c r="AJ23" s="17">
        <f>'Timing &amp; Flags'!AJ54</f>
        <v>0</v>
      </c>
      <c r="AK23" s="17">
        <f>'Timing &amp; Flags'!AK54</f>
        <v>0</v>
      </c>
      <c r="AL23" s="17">
        <f>'Timing &amp; Flags'!AL54</f>
        <v>0</v>
      </c>
      <c r="AM23" s="17">
        <f>'Timing &amp; Flags'!AM54</f>
        <v>0</v>
      </c>
      <c r="AN23" s="17">
        <f>'Timing &amp; Flags'!AN54</f>
        <v>0</v>
      </c>
      <c r="AO23" s="17">
        <f>'Timing &amp; Flags'!AO54</f>
        <v>0</v>
      </c>
      <c r="AP23" s="17">
        <f>'Timing &amp; Flags'!AP54</f>
        <v>0</v>
      </c>
      <c r="AQ23" s="17">
        <f>'Timing &amp; Flags'!AQ54</f>
        <v>0</v>
      </c>
      <c r="AR23" s="17">
        <f>'Timing &amp; Flags'!AR54</f>
        <v>0</v>
      </c>
      <c r="AS23" s="17">
        <f>'Timing &amp; Flags'!AS54</f>
        <v>0</v>
      </c>
      <c r="AT23" s="17">
        <f>'Timing &amp; Flags'!AT54</f>
        <v>0</v>
      </c>
      <c r="AU23" s="17">
        <f>'Timing &amp; Flags'!AU54</f>
        <v>0</v>
      </c>
      <c r="AV23" s="17">
        <f>'Timing &amp; Flags'!AV54</f>
        <v>0</v>
      </c>
      <c r="AW23" s="17">
        <f>'Timing &amp; Flags'!AW54</f>
        <v>0</v>
      </c>
    </row>
    <row r="24" spans="1:49">
      <c r="B24" s="27" t="s">
        <v>57</v>
      </c>
      <c r="C24" s="15" t="s">
        <v>72</v>
      </c>
      <c r="D24" s="43">
        <f ca="1">SUM(I24:AI24)</f>
        <v>24.00004491354143</v>
      </c>
      <c r="E24" s="27"/>
      <c r="F24" s="27"/>
      <c r="G24" s="27"/>
      <c r="H24" s="27"/>
      <c r="I24" s="116">
        <f>'Timing &amp; Flags'!I55</f>
        <v>0</v>
      </c>
      <c r="J24" s="116">
        <f>'Timing &amp; Flags'!J55</f>
        <v>0</v>
      </c>
      <c r="K24" s="116">
        <f>'Timing &amp; Flags'!K55</f>
        <v>0</v>
      </c>
      <c r="L24" s="116">
        <f ca="1">'Timing &amp; Flags'!L55</f>
        <v>1</v>
      </c>
      <c r="M24" s="116">
        <f ca="1">'Timing &amp; Flags'!M55</f>
        <v>1</v>
      </c>
      <c r="N24" s="116">
        <f ca="1">'Timing &amp; Flags'!N55</f>
        <v>0.99726775956284153</v>
      </c>
      <c r="O24" s="116">
        <f ca="1">'Timing &amp; Flags'!O55</f>
        <v>1.0027397260273974</v>
      </c>
      <c r="P24" s="116">
        <f ca="1">'Timing &amp; Flags'!P55</f>
        <v>1</v>
      </c>
      <c r="Q24" s="116">
        <f ca="1">'Timing &amp; Flags'!Q55</f>
        <v>1</v>
      </c>
      <c r="R24" s="116">
        <f ca="1">'Timing &amp; Flags'!R55</f>
        <v>0.99726775956284153</v>
      </c>
      <c r="S24" s="116">
        <f ca="1">'Timing &amp; Flags'!S55</f>
        <v>1.0027397260273974</v>
      </c>
      <c r="T24" s="116">
        <f ca="1">'Timing &amp; Flags'!T55</f>
        <v>1</v>
      </c>
      <c r="U24" s="116">
        <f ca="1">'Timing &amp; Flags'!U55</f>
        <v>1</v>
      </c>
      <c r="V24" s="116">
        <f ca="1">'Timing &amp; Flags'!V55</f>
        <v>0.99726775956284153</v>
      </c>
      <c r="W24" s="116">
        <f ca="1">'Timing &amp; Flags'!W55</f>
        <v>1.0027397260273974</v>
      </c>
      <c r="X24" s="116">
        <f ca="1">'Timing &amp; Flags'!X55</f>
        <v>1</v>
      </c>
      <c r="Y24" s="116">
        <f ca="1">'Timing &amp; Flags'!Y55</f>
        <v>1</v>
      </c>
      <c r="Z24" s="116">
        <f ca="1">'Timing &amp; Flags'!Z55</f>
        <v>0.99726775956284153</v>
      </c>
      <c r="AA24" s="116">
        <f ca="1">'Timing &amp; Flags'!AA55</f>
        <v>1.0027397260273974</v>
      </c>
      <c r="AB24" s="116">
        <f ca="1">'Timing &amp; Flags'!AB55</f>
        <v>1</v>
      </c>
      <c r="AC24" s="116">
        <f ca="1">'Timing &amp; Flags'!AC55</f>
        <v>1</v>
      </c>
      <c r="AD24" s="116">
        <f ca="1">'Timing &amp; Flags'!AD55</f>
        <v>0.99726775956284153</v>
      </c>
      <c r="AE24" s="116">
        <f ca="1">'Timing &amp; Flags'!AE55</f>
        <v>1.0027397260273974</v>
      </c>
      <c r="AF24" s="116">
        <f ca="1">'Timing &amp; Flags'!AF55</f>
        <v>1</v>
      </c>
      <c r="AG24" s="116">
        <f ca="1">'Timing &amp; Flags'!AG55</f>
        <v>1</v>
      </c>
      <c r="AH24" s="116">
        <f ca="1">'Timing &amp; Flags'!AH55</f>
        <v>0.99726775956284153</v>
      </c>
      <c r="AI24" s="116">
        <f ca="1">'Timing &amp; Flags'!AI55</f>
        <v>1.0027397260273974</v>
      </c>
      <c r="AJ24" s="116">
        <f ca="1">'Timing &amp; Flags'!AJ55</f>
        <v>1</v>
      </c>
      <c r="AK24" s="116">
        <f ca="1">'Timing &amp; Flags'!AK55</f>
        <v>1</v>
      </c>
      <c r="AL24" s="116">
        <f ca="1">'Timing &amp; Flags'!AL55</f>
        <v>1</v>
      </c>
      <c r="AM24" s="116">
        <f>'Timing &amp; Flags'!AM55</f>
        <v>0</v>
      </c>
      <c r="AN24" s="116">
        <f>'Timing &amp; Flags'!AN55</f>
        <v>0</v>
      </c>
      <c r="AO24" s="116">
        <f>'Timing &amp; Flags'!AO55</f>
        <v>0</v>
      </c>
      <c r="AP24" s="116">
        <f>'Timing &amp; Flags'!AP55</f>
        <v>0</v>
      </c>
      <c r="AQ24" s="116">
        <f>'Timing &amp; Flags'!AQ55</f>
        <v>0</v>
      </c>
      <c r="AR24" s="116">
        <f>'Timing &amp; Flags'!AR55</f>
        <v>0</v>
      </c>
      <c r="AS24" s="116">
        <f>'Timing &amp; Flags'!AS55</f>
        <v>0</v>
      </c>
      <c r="AT24" s="116">
        <f>'Timing &amp; Flags'!AT55</f>
        <v>0</v>
      </c>
      <c r="AU24" s="116">
        <f>'Timing &amp; Flags'!AU55</f>
        <v>0</v>
      </c>
      <c r="AV24" s="116">
        <f>'Timing &amp; Flags'!AV55</f>
        <v>0</v>
      </c>
      <c r="AW24" s="116">
        <f>'Timing &amp; Flags'!AW55</f>
        <v>0</v>
      </c>
    </row>
    <row r="25" spans="1:49">
      <c r="B25" s="2" t="s">
        <v>71</v>
      </c>
      <c r="C25" s="132" t="s">
        <v>72</v>
      </c>
      <c r="D25" s="42">
        <f ca="1">SUM(D23:D24)</f>
        <v>27.000052399131668</v>
      </c>
      <c r="I25" s="17">
        <f ca="1">SUM(I23:I24)</f>
        <v>1</v>
      </c>
      <c r="J25" s="17">
        <f t="shared" ref="J25:AW25" ca="1" si="0">SUM(J23:J24)</f>
        <v>0.99726775956284153</v>
      </c>
      <c r="K25" s="17">
        <f t="shared" ca="1" si="0"/>
        <v>1.0027397260273974</v>
      </c>
      <c r="L25" s="17">
        <f t="shared" ca="1" si="0"/>
        <v>1</v>
      </c>
      <c r="M25" s="17">
        <f t="shared" ca="1" si="0"/>
        <v>1</v>
      </c>
      <c r="N25" s="17">
        <f t="shared" ca="1" si="0"/>
        <v>0.99726775956284153</v>
      </c>
      <c r="O25" s="17">
        <f t="shared" ca="1" si="0"/>
        <v>1.0027397260273974</v>
      </c>
      <c r="P25" s="17">
        <f t="shared" ca="1" si="0"/>
        <v>1</v>
      </c>
      <c r="Q25" s="17">
        <f t="shared" ca="1" si="0"/>
        <v>1</v>
      </c>
      <c r="R25" s="17">
        <f t="shared" ca="1" si="0"/>
        <v>0.99726775956284153</v>
      </c>
      <c r="S25" s="17">
        <f t="shared" ca="1" si="0"/>
        <v>1.0027397260273974</v>
      </c>
      <c r="T25" s="17">
        <f t="shared" ca="1" si="0"/>
        <v>1</v>
      </c>
      <c r="U25" s="17">
        <f t="shared" ca="1" si="0"/>
        <v>1</v>
      </c>
      <c r="V25" s="17">
        <f t="shared" ca="1" si="0"/>
        <v>0.99726775956284153</v>
      </c>
      <c r="W25" s="17">
        <f t="shared" ca="1" si="0"/>
        <v>1.0027397260273974</v>
      </c>
      <c r="X25" s="17">
        <f t="shared" ca="1" si="0"/>
        <v>1</v>
      </c>
      <c r="Y25" s="17">
        <f t="shared" ca="1" si="0"/>
        <v>1</v>
      </c>
      <c r="Z25" s="17">
        <f t="shared" ca="1" si="0"/>
        <v>0.99726775956284153</v>
      </c>
      <c r="AA25" s="17">
        <f t="shared" ca="1" si="0"/>
        <v>1.0027397260273974</v>
      </c>
      <c r="AB25" s="17">
        <f t="shared" ca="1" si="0"/>
        <v>1</v>
      </c>
      <c r="AC25" s="17">
        <f t="shared" ca="1" si="0"/>
        <v>1</v>
      </c>
      <c r="AD25" s="17">
        <f t="shared" ca="1" si="0"/>
        <v>0.99726775956284153</v>
      </c>
      <c r="AE25" s="17">
        <f t="shared" ca="1" si="0"/>
        <v>1.0027397260273974</v>
      </c>
      <c r="AF25" s="17">
        <f t="shared" ca="1" si="0"/>
        <v>1</v>
      </c>
      <c r="AG25" s="17">
        <f t="shared" ca="1" si="0"/>
        <v>1</v>
      </c>
      <c r="AH25" s="17">
        <f t="shared" ca="1" si="0"/>
        <v>0.99726775956284153</v>
      </c>
      <c r="AI25" s="17">
        <f t="shared" ca="1" si="0"/>
        <v>1.0027397260273974</v>
      </c>
      <c r="AJ25" s="17">
        <f t="shared" ca="1" si="0"/>
        <v>1</v>
      </c>
      <c r="AK25" s="17">
        <f t="shared" ca="1" si="0"/>
        <v>1</v>
      </c>
      <c r="AL25" s="17">
        <f t="shared" ca="1" si="0"/>
        <v>1</v>
      </c>
      <c r="AM25" s="17">
        <f t="shared" si="0"/>
        <v>0</v>
      </c>
      <c r="AN25" s="17">
        <f t="shared" si="0"/>
        <v>0</v>
      </c>
      <c r="AO25" s="17">
        <f t="shared" si="0"/>
        <v>0</v>
      </c>
      <c r="AP25" s="17">
        <f t="shared" si="0"/>
        <v>0</v>
      </c>
      <c r="AQ25" s="17">
        <f t="shared" si="0"/>
        <v>0</v>
      </c>
      <c r="AR25" s="17">
        <f t="shared" si="0"/>
        <v>0</v>
      </c>
      <c r="AS25" s="17">
        <f t="shared" si="0"/>
        <v>0</v>
      </c>
      <c r="AT25" s="17">
        <f t="shared" si="0"/>
        <v>0</v>
      </c>
      <c r="AU25" s="17">
        <f t="shared" si="0"/>
        <v>0</v>
      </c>
      <c r="AV25" s="17">
        <f t="shared" si="0"/>
        <v>0</v>
      </c>
      <c r="AW25" s="17">
        <f t="shared" si="0"/>
        <v>0</v>
      </c>
    </row>
    <row r="26" spans="1:49">
      <c r="B26" s="5"/>
    </row>
    <row r="27" spans="1:49">
      <c r="A27" s="1" t="s">
        <v>385</v>
      </c>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c r="B28" s="5"/>
    </row>
    <row r="29" spans="1:49">
      <c r="B29" s="2" t="s">
        <v>192</v>
      </c>
      <c r="C29" s="15" t="s">
        <v>18</v>
      </c>
      <c r="D29" s="86">
        <f>'Input '!E369</f>
        <v>0.5</v>
      </c>
    </row>
    <row r="30" spans="1:49">
      <c r="B30" s="2" t="s">
        <v>194</v>
      </c>
      <c r="C30" s="15" t="s">
        <v>18</v>
      </c>
      <c r="D30" s="86">
        <f>'Input '!E370</f>
        <v>0.25</v>
      </c>
    </row>
    <row r="31" spans="1:49">
      <c r="B31" s="2" t="s">
        <v>195</v>
      </c>
      <c r="C31" s="15" t="s">
        <v>18</v>
      </c>
      <c r="D31" s="86">
        <f>'Input '!E371</f>
        <v>0.1</v>
      </c>
    </row>
    <row r="32" spans="1:49">
      <c r="C32" s="15"/>
    </row>
    <row r="33" spans="1:49">
      <c r="B33" s="2" t="s">
        <v>196</v>
      </c>
      <c r="C33" s="15" t="s">
        <v>45</v>
      </c>
      <c r="D33" s="49">
        <f>'Input '!E373</f>
        <v>5</v>
      </c>
    </row>
    <row r="34" spans="1:49">
      <c r="B34" s="2" t="s">
        <v>198</v>
      </c>
      <c r="C34" s="15" t="s">
        <v>41</v>
      </c>
      <c r="D34" s="68">
        <f>'Input '!E374</f>
        <v>47119</v>
      </c>
    </row>
    <row r="35" spans="1:49">
      <c r="B35" s="2" t="s">
        <v>199</v>
      </c>
      <c r="C35" s="15" t="s">
        <v>41</v>
      </c>
      <c r="D35" s="68">
        <f>'Input '!E375</f>
        <v>48944</v>
      </c>
    </row>
    <row r="36" spans="1:49">
      <c r="C36" s="15"/>
    </row>
    <row r="37" spans="1:49">
      <c r="B37" s="2" t="s">
        <v>374</v>
      </c>
      <c r="C37" s="15" t="s">
        <v>18</v>
      </c>
      <c r="D37" s="104">
        <f>Corporate_tax</f>
        <v>0.3</v>
      </c>
    </row>
    <row r="38" spans="1:49">
      <c r="B38" s="2" t="s">
        <v>375</v>
      </c>
      <c r="C38" s="15" t="s">
        <v>18</v>
      </c>
      <c r="D38" s="104">
        <f>Education_tax</f>
        <v>0.03</v>
      </c>
    </row>
    <row r="39" spans="1:49">
      <c r="C39" s="15"/>
    </row>
    <row r="40" spans="1:49">
      <c r="B40" s="2" t="s">
        <v>204</v>
      </c>
      <c r="C40" s="15" t="s">
        <v>18</v>
      </c>
      <c r="D40" s="2">
        <f>'Input '!E382</f>
        <v>5</v>
      </c>
    </row>
    <row r="41" spans="1:49">
      <c r="C41" s="15"/>
    </row>
    <row r="42" spans="1:49">
      <c r="B42" s="2" t="s">
        <v>205</v>
      </c>
      <c r="C42" s="15" t="s">
        <v>18</v>
      </c>
      <c r="D42" s="14">
        <f>'Input '!E384</f>
        <v>0.66669999999999996</v>
      </c>
    </row>
    <row r="43" spans="1:49">
      <c r="C43" s="15"/>
    </row>
    <row r="44" spans="1:49">
      <c r="A44" s="12"/>
      <c r="C44" s="15"/>
    </row>
    <row r="45" spans="1:49">
      <c r="B45" s="10" t="s">
        <v>376</v>
      </c>
      <c r="C45" s="15"/>
    </row>
    <row r="46" spans="1:49">
      <c r="C46" s="15"/>
    </row>
    <row r="47" spans="1:49">
      <c r="B47" s="2" t="s">
        <v>377</v>
      </c>
      <c r="C47" s="15" t="s">
        <v>60</v>
      </c>
      <c r="I47" s="123">
        <f>($D$34&lt;=I3)*($D$35&gt;=I4)*1</f>
        <v>0</v>
      </c>
      <c r="J47" s="123">
        <f t="shared" ref="J47:AI47" si="1">($D$34&lt;=J3)*($D$35&gt;=J4)*1</f>
        <v>0</v>
      </c>
      <c r="K47" s="123">
        <f t="shared" si="1"/>
        <v>0</v>
      </c>
      <c r="L47" s="123">
        <f t="shared" si="1"/>
        <v>1</v>
      </c>
      <c r="M47" s="123">
        <f t="shared" si="1"/>
        <v>1</v>
      </c>
      <c r="N47" s="123">
        <f t="shared" si="1"/>
        <v>1</v>
      </c>
      <c r="O47" s="123">
        <f t="shared" si="1"/>
        <v>1</v>
      </c>
      <c r="P47" s="123">
        <f t="shared" si="1"/>
        <v>1</v>
      </c>
      <c r="Q47" s="123">
        <f t="shared" si="1"/>
        <v>0</v>
      </c>
      <c r="R47" s="123">
        <f t="shared" si="1"/>
        <v>0</v>
      </c>
      <c r="S47" s="123">
        <f t="shared" si="1"/>
        <v>0</v>
      </c>
      <c r="T47" s="123">
        <f t="shared" si="1"/>
        <v>0</v>
      </c>
      <c r="U47" s="123">
        <f t="shared" si="1"/>
        <v>0</v>
      </c>
      <c r="V47" s="123">
        <f t="shared" si="1"/>
        <v>0</v>
      </c>
      <c r="W47" s="123">
        <f t="shared" si="1"/>
        <v>0</v>
      </c>
      <c r="X47" s="123">
        <f t="shared" si="1"/>
        <v>0</v>
      </c>
      <c r="Y47" s="123">
        <f t="shared" si="1"/>
        <v>0</v>
      </c>
      <c r="Z47" s="123">
        <f t="shared" si="1"/>
        <v>0</v>
      </c>
      <c r="AA47" s="123">
        <f t="shared" si="1"/>
        <v>0</v>
      </c>
      <c r="AB47" s="123">
        <f t="shared" si="1"/>
        <v>0</v>
      </c>
      <c r="AC47" s="123">
        <f t="shared" si="1"/>
        <v>0</v>
      </c>
      <c r="AD47" s="123">
        <f t="shared" si="1"/>
        <v>0</v>
      </c>
      <c r="AE47" s="123">
        <f t="shared" si="1"/>
        <v>0</v>
      </c>
      <c r="AF47" s="123">
        <f t="shared" si="1"/>
        <v>0</v>
      </c>
      <c r="AG47" s="123">
        <f t="shared" si="1"/>
        <v>0</v>
      </c>
      <c r="AH47" s="123">
        <f t="shared" si="1"/>
        <v>0</v>
      </c>
      <c r="AI47" s="123">
        <f t="shared" si="1"/>
        <v>0</v>
      </c>
      <c r="AJ47" s="123">
        <f t="shared" ref="AJ47:AW47" si="2">($D$34&lt;=AJ3)*($D$35&gt;=AJ4)*1</f>
        <v>0</v>
      </c>
      <c r="AK47" s="123">
        <f t="shared" si="2"/>
        <v>0</v>
      </c>
      <c r="AL47" s="123">
        <f t="shared" si="2"/>
        <v>0</v>
      </c>
      <c r="AM47" s="123">
        <f t="shared" si="2"/>
        <v>0</v>
      </c>
      <c r="AN47" s="123">
        <f t="shared" si="2"/>
        <v>0</v>
      </c>
      <c r="AO47" s="123">
        <f t="shared" si="2"/>
        <v>0</v>
      </c>
      <c r="AP47" s="123">
        <f t="shared" si="2"/>
        <v>0</v>
      </c>
      <c r="AQ47" s="123">
        <f t="shared" si="2"/>
        <v>0</v>
      </c>
      <c r="AR47" s="123">
        <f t="shared" si="2"/>
        <v>0</v>
      </c>
      <c r="AS47" s="123">
        <f t="shared" si="2"/>
        <v>0</v>
      </c>
      <c r="AT47" s="123">
        <f t="shared" si="2"/>
        <v>0</v>
      </c>
      <c r="AU47" s="123">
        <f t="shared" si="2"/>
        <v>0</v>
      </c>
      <c r="AV47" s="123">
        <f t="shared" si="2"/>
        <v>0</v>
      </c>
      <c r="AW47" s="123">
        <f t="shared" si="2"/>
        <v>0</v>
      </c>
    </row>
    <row r="48" spans="1:49">
      <c r="B48" s="2" t="s">
        <v>378</v>
      </c>
      <c r="C48" s="15" t="s">
        <v>60</v>
      </c>
      <c r="I48" s="123">
        <f>IF(I2=SUM($D$33+1),1,0)</f>
        <v>0</v>
      </c>
      <c r="J48" s="123">
        <f t="shared" ref="J48:AI48" si="3">IF(J2=SUM($D$33+1),1,0)</f>
        <v>0</v>
      </c>
      <c r="K48" s="123">
        <f t="shared" si="3"/>
        <v>0</v>
      </c>
      <c r="L48" s="123">
        <f>IF(L2=SUM($D$33+1),1,0)</f>
        <v>0</v>
      </c>
      <c r="M48" s="123">
        <f t="shared" si="3"/>
        <v>0</v>
      </c>
      <c r="N48" s="123">
        <f t="shared" si="3"/>
        <v>1</v>
      </c>
      <c r="O48" s="123">
        <f t="shared" si="3"/>
        <v>0</v>
      </c>
      <c r="P48" s="123">
        <f t="shared" si="3"/>
        <v>0</v>
      </c>
      <c r="Q48" s="123">
        <f t="shared" si="3"/>
        <v>0</v>
      </c>
      <c r="R48" s="123">
        <f t="shared" si="3"/>
        <v>0</v>
      </c>
      <c r="S48" s="123">
        <f t="shared" si="3"/>
        <v>0</v>
      </c>
      <c r="T48" s="123">
        <f t="shared" si="3"/>
        <v>0</v>
      </c>
      <c r="U48" s="123">
        <f t="shared" si="3"/>
        <v>0</v>
      </c>
      <c r="V48" s="123">
        <f t="shared" si="3"/>
        <v>0</v>
      </c>
      <c r="W48" s="123">
        <f t="shared" si="3"/>
        <v>0</v>
      </c>
      <c r="X48" s="123">
        <f t="shared" si="3"/>
        <v>0</v>
      </c>
      <c r="Y48" s="123">
        <f t="shared" si="3"/>
        <v>0</v>
      </c>
      <c r="Z48" s="123">
        <f t="shared" si="3"/>
        <v>0</v>
      </c>
      <c r="AA48" s="123">
        <f t="shared" si="3"/>
        <v>0</v>
      </c>
      <c r="AB48" s="123">
        <f t="shared" si="3"/>
        <v>0</v>
      </c>
      <c r="AC48" s="123">
        <f t="shared" si="3"/>
        <v>0</v>
      </c>
      <c r="AD48" s="123">
        <f t="shared" si="3"/>
        <v>0</v>
      </c>
      <c r="AE48" s="123">
        <f t="shared" si="3"/>
        <v>0</v>
      </c>
      <c r="AF48" s="123">
        <f t="shared" si="3"/>
        <v>0</v>
      </c>
      <c r="AG48" s="123">
        <f t="shared" si="3"/>
        <v>0</v>
      </c>
      <c r="AH48" s="123">
        <f t="shared" si="3"/>
        <v>0</v>
      </c>
      <c r="AI48" s="123">
        <f t="shared" si="3"/>
        <v>0</v>
      </c>
      <c r="AJ48" s="123">
        <f t="shared" ref="AJ48:AW48" si="4">IF(AJ2=SUM($D$33+1),1,0)</f>
        <v>0</v>
      </c>
      <c r="AK48" s="123">
        <f t="shared" si="4"/>
        <v>0</v>
      </c>
      <c r="AL48" s="123">
        <f t="shared" si="4"/>
        <v>0</v>
      </c>
      <c r="AM48" s="123">
        <f t="shared" si="4"/>
        <v>0</v>
      </c>
      <c r="AN48" s="123">
        <f t="shared" si="4"/>
        <v>0</v>
      </c>
      <c r="AO48" s="123">
        <f t="shared" si="4"/>
        <v>0</v>
      </c>
      <c r="AP48" s="123">
        <f t="shared" si="4"/>
        <v>0</v>
      </c>
      <c r="AQ48" s="123">
        <f t="shared" si="4"/>
        <v>0</v>
      </c>
      <c r="AR48" s="123">
        <f t="shared" si="4"/>
        <v>0</v>
      </c>
      <c r="AS48" s="123">
        <f t="shared" si="4"/>
        <v>0</v>
      </c>
      <c r="AT48" s="123">
        <f t="shared" si="4"/>
        <v>0</v>
      </c>
      <c r="AU48" s="123">
        <f t="shared" si="4"/>
        <v>0</v>
      </c>
      <c r="AV48" s="123">
        <f t="shared" si="4"/>
        <v>0</v>
      </c>
      <c r="AW48" s="123">
        <f t="shared" si="4"/>
        <v>0</v>
      </c>
    </row>
    <row r="50" spans="1:49">
      <c r="B50" s="2" t="s">
        <v>379</v>
      </c>
      <c r="C50" s="15" t="str">
        <f>IF('Input '!$F$9=1,"US$","=N=")</f>
        <v>US$</v>
      </c>
      <c r="D50" s="42">
        <f ca="1">SUM(I50:AI50)</f>
        <v>4140451092.8002276</v>
      </c>
      <c r="I50" s="41">
        <f>IF(I2=($D$33+1),SUM('Fixed Assets'!$I$51:'Fixed Assets'!I51),'Fixed Assets'!I51*Taxation!I48)</f>
        <v>0</v>
      </c>
      <c r="J50" s="41">
        <f>IF(J2=($D$33+1),SUM('Fixed Assets'!$I$51:'Fixed Assets'!J51),'Fixed Assets'!J51*Taxation!J48)</f>
        <v>0</v>
      </c>
      <c r="K50" s="41">
        <f ca="1">IF(K2=($D$33+1),SUM('Fixed Assets'!$I$51:'Fixed Assets'!K51),'Fixed Assets'!K51*Taxation!K48)</f>
        <v>0</v>
      </c>
      <c r="L50" s="41">
        <f ca="1">IF(L2=($D$33+1),SUM('Fixed Assets'!$I$51:'Fixed Assets'!L51),'Fixed Assets'!L51*Taxation!L48)</f>
        <v>0</v>
      </c>
      <c r="M50" s="41">
        <f ca="1">IF(M2=($D$33+1),SUM('Fixed Assets'!$I$51:'Fixed Assets'!M51),'Fixed Assets'!M51*Taxation!M48)</f>
        <v>0</v>
      </c>
      <c r="N50" s="41">
        <f ca="1">IF(N2=($D$33+1),SUM('Fixed Assets'!$I$51:'Fixed Assets'!N51),'Fixed Assets'!N51*Taxation!N48)</f>
        <v>4140451092.8002276</v>
      </c>
      <c r="O50" s="41">
        <f ca="1">IF(O2=($D$33+1),SUM('Fixed Assets'!$I$51:'Fixed Assets'!O51),'Fixed Assets'!O51*Taxation!O48)</f>
        <v>0</v>
      </c>
      <c r="P50" s="41">
        <f ca="1">IF(P2=($D$33+1),SUM('Fixed Assets'!$I$51:'Fixed Assets'!P51),'Fixed Assets'!P51*Taxation!P48)</f>
        <v>0</v>
      </c>
      <c r="Q50" s="41">
        <f ca="1">IF(Q2=($D$33+1),SUM('Fixed Assets'!$I$51:'Fixed Assets'!Q51),'Fixed Assets'!Q51*Taxation!Q48)</f>
        <v>0</v>
      </c>
      <c r="R50" s="41">
        <f ca="1">IF(R2=($D$33+1),SUM('Fixed Assets'!$I$51:'Fixed Assets'!R51),'Fixed Assets'!R51*Taxation!R48)</f>
        <v>0</v>
      </c>
      <c r="S50" s="41">
        <f ca="1">IF(S2=($D$33+1),SUM('Fixed Assets'!$I$51:'Fixed Assets'!S51),'Fixed Assets'!S51*Taxation!S48)</f>
        <v>0</v>
      </c>
      <c r="T50" s="41">
        <f ca="1">IF(T2=($D$33+1),SUM('Fixed Assets'!$I$51:'Fixed Assets'!T51),'Fixed Assets'!T51*Taxation!T48)</f>
        <v>0</v>
      </c>
      <c r="U50" s="41">
        <f ca="1">IF(U2=($D$33+1),SUM('Fixed Assets'!$I$51:'Fixed Assets'!U51),'Fixed Assets'!U51*Taxation!U48)</f>
        <v>0</v>
      </c>
      <c r="V50" s="41">
        <f ca="1">IF(V2=($D$33+1),SUM('Fixed Assets'!$I$51:'Fixed Assets'!V51),'Fixed Assets'!V51*Taxation!V48)</f>
        <v>0</v>
      </c>
      <c r="W50" s="41">
        <f ca="1">IF(W2=($D$33+1),SUM('Fixed Assets'!$I$51:'Fixed Assets'!W51),'Fixed Assets'!W51*Taxation!W48)</f>
        <v>0</v>
      </c>
      <c r="X50" s="41">
        <f ca="1">IF(X2=($D$33+1),SUM('Fixed Assets'!$I$51:'Fixed Assets'!X51),'Fixed Assets'!X51*Taxation!X48)</f>
        <v>0</v>
      </c>
      <c r="Y50" s="41">
        <f ca="1">IF(Y2=($D$33+1),SUM('Fixed Assets'!$I$51:'Fixed Assets'!Y51),'Fixed Assets'!Y51*Taxation!Y48)</f>
        <v>0</v>
      </c>
      <c r="Z50" s="41">
        <f ca="1">IF(Z2=($D$33+1),SUM('Fixed Assets'!$I$51:'Fixed Assets'!Z51),'Fixed Assets'!Z51*Taxation!Z48)</f>
        <v>0</v>
      </c>
      <c r="AA50" s="41">
        <f ca="1">IF(AA2=($D$33+1),SUM('Fixed Assets'!$I$51:'Fixed Assets'!AA51),'Fixed Assets'!AA51*Taxation!AA48)</f>
        <v>0</v>
      </c>
      <c r="AB50" s="41">
        <f ca="1">IF(AB2=($D$33+1),SUM('Fixed Assets'!$I$51:'Fixed Assets'!AB51),'Fixed Assets'!AB51*Taxation!AB48)</f>
        <v>0</v>
      </c>
      <c r="AC50" s="41">
        <f ca="1">IF(AC2=($D$33+1),SUM('Fixed Assets'!$I$51:'Fixed Assets'!AC51),'Fixed Assets'!AC51*Taxation!AC48)</f>
        <v>0</v>
      </c>
      <c r="AD50" s="41">
        <f ca="1">IF(AD2=($D$33+1),SUM('Fixed Assets'!$I$51:'Fixed Assets'!AD51),'Fixed Assets'!AD51*Taxation!AD48)</f>
        <v>0</v>
      </c>
      <c r="AE50" s="41">
        <f ca="1">IF(AE2=($D$33+1),SUM('Fixed Assets'!$I$51:'Fixed Assets'!AE51),'Fixed Assets'!AE51*Taxation!AE48)</f>
        <v>0</v>
      </c>
      <c r="AF50" s="41">
        <f ca="1">IF(AF2=($D$33+1),SUM('Fixed Assets'!$I$51:'Fixed Assets'!AF51),'Fixed Assets'!AF51*Taxation!AF48)</f>
        <v>0</v>
      </c>
      <c r="AG50" s="41">
        <f ca="1">IF(AG2=($D$33+1),SUM('Fixed Assets'!$I$51:'Fixed Assets'!AG51),'Fixed Assets'!AG51*Taxation!AG48)</f>
        <v>0</v>
      </c>
      <c r="AH50" s="41">
        <f ca="1">IF(AH2=($D$33+1),SUM('Fixed Assets'!$I$51:'Fixed Assets'!AH51),'Fixed Assets'!AH51*Taxation!AH48)</f>
        <v>0</v>
      </c>
      <c r="AI50" s="41">
        <f ca="1">IF(AI2=($D$33+1),SUM('Fixed Assets'!$I$51:'Fixed Assets'!AI51),'Fixed Assets'!AI51*Taxation!AI48)</f>
        <v>0</v>
      </c>
      <c r="AJ50" s="41">
        <f ca="1">IF(AJ2=($D$33+1),SUM('Fixed Assets'!$I$51:'Fixed Assets'!AJ51),'Fixed Assets'!AJ51*Taxation!AJ48)</f>
        <v>0</v>
      </c>
      <c r="AK50" s="41">
        <f>IF(AK2=($D$33+1),SUM('Fixed Assets'!$I$51:'Fixed Assets'!AK51),'Fixed Assets'!AK51*Taxation!AK48)</f>
        <v>0</v>
      </c>
      <c r="AL50" s="41">
        <f>IF(AL2=($D$33+1),SUM('Fixed Assets'!$I$51:'Fixed Assets'!AL51),'Fixed Assets'!AL51*Taxation!AL48)</f>
        <v>0</v>
      </c>
      <c r="AM50" s="41">
        <f>IF(AM2=($D$33+1),SUM('Fixed Assets'!$I$51:'Fixed Assets'!AM51),'Fixed Assets'!AM51*Taxation!AM48)</f>
        <v>0</v>
      </c>
      <c r="AN50" s="41">
        <f>IF(AN2=($D$33+1),SUM('Fixed Assets'!$I$51:'Fixed Assets'!AN51),'Fixed Assets'!AN51*Taxation!AN48)</f>
        <v>0</v>
      </c>
      <c r="AO50" s="41">
        <f>IF(AO2=($D$33+1),SUM('Fixed Assets'!$I$51:'Fixed Assets'!AO51),'Fixed Assets'!AO51*Taxation!AO48)</f>
        <v>0</v>
      </c>
      <c r="AP50" s="41">
        <f>IF(AP2=($D$33+1),SUM('Fixed Assets'!$I$51:'Fixed Assets'!AP51),'Fixed Assets'!AP51*Taxation!AP48)</f>
        <v>0</v>
      </c>
      <c r="AQ50" s="41">
        <f>IF(AQ2=($D$33+1),SUM('Fixed Assets'!$I$51:'Fixed Assets'!AQ51),'Fixed Assets'!AQ51*Taxation!AQ48)</f>
        <v>0</v>
      </c>
      <c r="AR50" s="41">
        <f>IF(AR2=($D$33+1),SUM('Fixed Assets'!$I$51:'Fixed Assets'!AR51),'Fixed Assets'!AR51*Taxation!AR48)</f>
        <v>0</v>
      </c>
      <c r="AS50" s="41">
        <f>IF(AS2=($D$33+1),SUM('Fixed Assets'!$I$51:'Fixed Assets'!AS51),'Fixed Assets'!AS51*Taxation!AS48)</f>
        <v>0</v>
      </c>
      <c r="AT50" s="41">
        <f>IF(AT2=($D$33+1),SUM('Fixed Assets'!$I$51:'Fixed Assets'!AT51),'Fixed Assets'!AT51*Taxation!AT48)</f>
        <v>0</v>
      </c>
      <c r="AU50" s="41">
        <f>IF(AU2=($D$33+1),SUM('Fixed Assets'!$I$51:'Fixed Assets'!AU51),'Fixed Assets'!AU51*Taxation!AU48)</f>
        <v>0</v>
      </c>
      <c r="AV50" s="41">
        <f>IF(AV2=($D$33+1),SUM('Fixed Assets'!$I$51:'Fixed Assets'!AV51),'Fixed Assets'!AV51*Taxation!AV48)</f>
        <v>0</v>
      </c>
      <c r="AW50" s="41">
        <f>IF(AW2=($D$33+1),SUM('Fixed Assets'!$I$51:'Fixed Assets'!AW51),'Fixed Assets'!AW51*Taxation!AW48)</f>
        <v>0</v>
      </c>
    </row>
    <row r="51" spans="1:49">
      <c r="B51" s="27" t="s">
        <v>192</v>
      </c>
      <c r="C51" s="28" t="str">
        <f>$C$50</f>
        <v>US$</v>
      </c>
      <c r="D51" s="108">
        <f ca="1">SUM(I51:AI51)</f>
        <v>-2070225546.4001138</v>
      </c>
      <c r="E51" s="27"/>
      <c r="F51" s="27"/>
      <c r="G51" s="27"/>
      <c r="H51" s="27"/>
      <c r="I51" s="43">
        <f t="shared" ref="I51:AI51" si="5">-I50*I48*$D$29</f>
        <v>0</v>
      </c>
      <c r="J51" s="43">
        <f t="shared" si="5"/>
        <v>0</v>
      </c>
      <c r="K51" s="43">
        <f t="shared" ca="1" si="5"/>
        <v>0</v>
      </c>
      <c r="L51" s="43">
        <f t="shared" ca="1" si="5"/>
        <v>0</v>
      </c>
      <c r="M51" s="43">
        <f t="shared" ca="1" si="5"/>
        <v>0</v>
      </c>
      <c r="N51" s="43">
        <f ca="1">-N50*N48*$D$29</f>
        <v>-2070225546.4001138</v>
      </c>
      <c r="O51" s="43">
        <f t="shared" ca="1" si="5"/>
        <v>0</v>
      </c>
      <c r="P51" s="43">
        <f t="shared" ca="1" si="5"/>
        <v>0</v>
      </c>
      <c r="Q51" s="43">
        <f t="shared" ca="1" si="5"/>
        <v>0</v>
      </c>
      <c r="R51" s="43">
        <f t="shared" ca="1" si="5"/>
        <v>0</v>
      </c>
      <c r="S51" s="43">
        <f t="shared" ca="1" si="5"/>
        <v>0</v>
      </c>
      <c r="T51" s="43">
        <f t="shared" ca="1" si="5"/>
        <v>0</v>
      </c>
      <c r="U51" s="43">
        <f t="shared" ca="1" si="5"/>
        <v>0</v>
      </c>
      <c r="V51" s="43">
        <f t="shared" ca="1" si="5"/>
        <v>0</v>
      </c>
      <c r="W51" s="43">
        <f t="shared" ca="1" si="5"/>
        <v>0</v>
      </c>
      <c r="X51" s="43">
        <f t="shared" ca="1" si="5"/>
        <v>0</v>
      </c>
      <c r="Y51" s="43">
        <f t="shared" ca="1" si="5"/>
        <v>0</v>
      </c>
      <c r="Z51" s="43">
        <f t="shared" ca="1" si="5"/>
        <v>0</v>
      </c>
      <c r="AA51" s="43">
        <f t="shared" ca="1" si="5"/>
        <v>0</v>
      </c>
      <c r="AB51" s="43">
        <f t="shared" ca="1" si="5"/>
        <v>0</v>
      </c>
      <c r="AC51" s="43">
        <f t="shared" ca="1" si="5"/>
        <v>0</v>
      </c>
      <c r="AD51" s="43">
        <f t="shared" ca="1" si="5"/>
        <v>0</v>
      </c>
      <c r="AE51" s="43">
        <f t="shared" ca="1" si="5"/>
        <v>0</v>
      </c>
      <c r="AF51" s="43">
        <f t="shared" ca="1" si="5"/>
        <v>0</v>
      </c>
      <c r="AG51" s="43">
        <f t="shared" ca="1" si="5"/>
        <v>0</v>
      </c>
      <c r="AH51" s="43">
        <f t="shared" ca="1" si="5"/>
        <v>0</v>
      </c>
      <c r="AI51" s="43">
        <f t="shared" ca="1" si="5"/>
        <v>0</v>
      </c>
      <c r="AJ51" s="43">
        <f t="shared" ref="AJ51:AW51" ca="1" si="6">-AJ50*AJ48*$D$29</f>
        <v>0</v>
      </c>
      <c r="AK51" s="43">
        <f t="shared" si="6"/>
        <v>0</v>
      </c>
      <c r="AL51" s="43">
        <f t="shared" si="6"/>
        <v>0</v>
      </c>
      <c r="AM51" s="43">
        <f t="shared" si="6"/>
        <v>0</v>
      </c>
      <c r="AN51" s="43">
        <f t="shared" si="6"/>
        <v>0</v>
      </c>
      <c r="AO51" s="43">
        <f t="shared" si="6"/>
        <v>0</v>
      </c>
      <c r="AP51" s="43">
        <f t="shared" si="6"/>
        <v>0</v>
      </c>
      <c r="AQ51" s="43">
        <f t="shared" si="6"/>
        <v>0</v>
      </c>
      <c r="AR51" s="43">
        <f t="shared" si="6"/>
        <v>0</v>
      </c>
      <c r="AS51" s="43">
        <f t="shared" si="6"/>
        <v>0</v>
      </c>
      <c r="AT51" s="43">
        <f t="shared" si="6"/>
        <v>0</v>
      </c>
      <c r="AU51" s="43">
        <f t="shared" si="6"/>
        <v>0</v>
      </c>
      <c r="AV51" s="43">
        <f t="shared" si="6"/>
        <v>0</v>
      </c>
      <c r="AW51" s="43">
        <f t="shared" si="6"/>
        <v>0</v>
      </c>
    </row>
    <row r="52" spans="1:49">
      <c r="I52" s="42">
        <f>SUM(I50:I51)</f>
        <v>0</v>
      </c>
      <c r="J52" s="42">
        <f t="shared" ref="J52:AI52" si="7">SUM(J50:J51)</f>
        <v>0</v>
      </c>
      <c r="K52" s="42">
        <f t="shared" ca="1" si="7"/>
        <v>0</v>
      </c>
      <c r="L52" s="42">
        <f t="shared" ca="1" si="7"/>
        <v>0</v>
      </c>
      <c r="M52" s="42">
        <f t="shared" ca="1" si="7"/>
        <v>0</v>
      </c>
      <c r="N52" s="42">
        <f t="shared" ca="1" si="7"/>
        <v>2070225546.4001138</v>
      </c>
      <c r="O52" s="42">
        <f t="shared" ca="1" si="7"/>
        <v>0</v>
      </c>
      <c r="P52" s="42">
        <f t="shared" ca="1" si="7"/>
        <v>0</v>
      </c>
      <c r="Q52" s="42">
        <f t="shared" ca="1" si="7"/>
        <v>0</v>
      </c>
      <c r="R52" s="42">
        <f t="shared" ca="1" si="7"/>
        <v>0</v>
      </c>
      <c r="S52" s="42">
        <f t="shared" ca="1" si="7"/>
        <v>0</v>
      </c>
      <c r="T52" s="42">
        <f t="shared" ca="1" si="7"/>
        <v>0</v>
      </c>
      <c r="U52" s="42">
        <f t="shared" ca="1" si="7"/>
        <v>0</v>
      </c>
      <c r="V52" s="42">
        <f t="shared" ca="1" si="7"/>
        <v>0</v>
      </c>
      <c r="W52" s="42">
        <f t="shared" ca="1" si="7"/>
        <v>0</v>
      </c>
      <c r="X52" s="42">
        <f t="shared" ca="1" si="7"/>
        <v>0</v>
      </c>
      <c r="Y52" s="42">
        <f t="shared" ca="1" si="7"/>
        <v>0</v>
      </c>
      <c r="Z52" s="42">
        <f t="shared" ca="1" si="7"/>
        <v>0</v>
      </c>
      <c r="AA52" s="42">
        <f t="shared" ca="1" si="7"/>
        <v>0</v>
      </c>
      <c r="AB52" s="42">
        <f t="shared" ca="1" si="7"/>
        <v>0</v>
      </c>
      <c r="AC52" s="42">
        <f t="shared" ca="1" si="7"/>
        <v>0</v>
      </c>
      <c r="AD52" s="42">
        <f t="shared" ca="1" si="7"/>
        <v>0</v>
      </c>
      <c r="AE52" s="42">
        <f t="shared" ca="1" si="7"/>
        <v>0</v>
      </c>
      <c r="AF52" s="42">
        <f t="shared" ca="1" si="7"/>
        <v>0</v>
      </c>
      <c r="AG52" s="42">
        <f t="shared" ca="1" si="7"/>
        <v>0</v>
      </c>
      <c r="AH52" s="42">
        <f t="shared" ca="1" si="7"/>
        <v>0</v>
      </c>
      <c r="AI52" s="42">
        <f t="shared" ca="1" si="7"/>
        <v>0</v>
      </c>
      <c r="AJ52" s="42">
        <f t="shared" ref="AJ52:AW52" ca="1" si="8">SUM(AJ50:AJ51)</f>
        <v>0</v>
      </c>
      <c r="AK52" s="42">
        <f t="shared" si="8"/>
        <v>0</v>
      </c>
      <c r="AL52" s="42">
        <f t="shared" si="8"/>
        <v>0</v>
      </c>
      <c r="AM52" s="42">
        <f t="shared" si="8"/>
        <v>0</v>
      </c>
      <c r="AN52" s="42">
        <f t="shared" si="8"/>
        <v>0</v>
      </c>
      <c r="AO52" s="42">
        <f t="shared" si="8"/>
        <v>0</v>
      </c>
      <c r="AP52" s="42">
        <f t="shared" si="8"/>
        <v>0</v>
      </c>
      <c r="AQ52" s="42">
        <f t="shared" si="8"/>
        <v>0</v>
      </c>
      <c r="AR52" s="42">
        <f t="shared" si="8"/>
        <v>0</v>
      </c>
      <c r="AS52" s="42">
        <f t="shared" si="8"/>
        <v>0</v>
      </c>
      <c r="AT52" s="42">
        <f t="shared" si="8"/>
        <v>0</v>
      </c>
      <c r="AU52" s="42">
        <f t="shared" si="8"/>
        <v>0</v>
      </c>
      <c r="AV52" s="42">
        <f t="shared" si="8"/>
        <v>0</v>
      </c>
      <c r="AW52" s="42">
        <f t="shared" si="8"/>
        <v>0</v>
      </c>
    </row>
    <row r="53" spans="1:49">
      <c r="B53" s="2" t="s">
        <v>194</v>
      </c>
      <c r="C53" s="15" t="str">
        <f>$C$50</f>
        <v>US$</v>
      </c>
      <c r="D53" s="42">
        <f ca="1">SUM(I53:AI53)</f>
        <v>-2070225546.4001138</v>
      </c>
      <c r="I53" s="53">
        <f ca="1">-SUM(OFFSET(I52,,,1,-MAX(MIN(I2,(1/$D$30)),0)))/(1/$D$30)*I17</f>
        <v>0</v>
      </c>
      <c r="J53" s="53">
        <f t="shared" ref="J53:AI53" ca="1" si="9">-SUM(OFFSET(J52,,,1,-MAX(MIN(J2,(1/$D$30)),0)))/(1/$D$30)*J17</f>
        <v>0</v>
      </c>
      <c r="K53" s="53">
        <f t="shared" ca="1" si="9"/>
        <v>0</v>
      </c>
      <c r="L53" s="53">
        <f t="shared" ca="1" si="9"/>
        <v>0</v>
      </c>
      <c r="M53" s="53">
        <f t="shared" ca="1" si="9"/>
        <v>0</v>
      </c>
      <c r="N53" s="53">
        <f t="shared" ca="1" si="9"/>
        <v>-517556386.60002846</v>
      </c>
      <c r="O53" s="53">
        <f t="shared" ca="1" si="9"/>
        <v>-517556386.60002846</v>
      </c>
      <c r="P53" s="53">
        <f t="shared" ca="1" si="9"/>
        <v>-517556386.60002846</v>
      </c>
      <c r="Q53" s="53">
        <f t="shared" ca="1" si="9"/>
        <v>-517556386.60002846</v>
      </c>
      <c r="R53" s="53">
        <f t="shared" ca="1" si="9"/>
        <v>0</v>
      </c>
      <c r="S53" s="53">
        <f t="shared" ca="1" si="9"/>
        <v>0</v>
      </c>
      <c r="T53" s="53">
        <f t="shared" ca="1" si="9"/>
        <v>0</v>
      </c>
      <c r="U53" s="53">
        <f t="shared" ca="1" si="9"/>
        <v>0</v>
      </c>
      <c r="V53" s="53">
        <f t="shared" ca="1" si="9"/>
        <v>0</v>
      </c>
      <c r="W53" s="53">
        <f t="shared" ca="1" si="9"/>
        <v>0</v>
      </c>
      <c r="X53" s="53">
        <f t="shared" ca="1" si="9"/>
        <v>0</v>
      </c>
      <c r="Y53" s="53">
        <f t="shared" ca="1" si="9"/>
        <v>0</v>
      </c>
      <c r="Z53" s="53">
        <f t="shared" ca="1" si="9"/>
        <v>0</v>
      </c>
      <c r="AA53" s="53">
        <f t="shared" ca="1" si="9"/>
        <v>0</v>
      </c>
      <c r="AB53" s="53">
        <f t="shared" ca="1" si="9"/>
        <v>0</v>
      </c>
      <c r="AC53" s="53">
        <f t="shared" ca="1" si="9"/>
        <v>0</v>
      </c>
      <c r="AD53" s="53">
        <f t="shared" ca="1" si="9"/>
        <v>0</v>
      </c>
      <c r="AE53" s="53">
        <f t="shared" ca="1" si="9"/>
        <v>0</v>
      </c>
      <c r="AF53" s="53">
        <f t="shared" ca="1" si="9"/>
        <v>0</v>
      </c>
      <c r="AG53" s="53">
        <f t="shared" ca="1" si="9"/>
        <v>0</v>
      </c>
      <c r="AH53" s="53">
        <f t="shared" ca="1" si="9"/>
        <v>0</v>
      </c>
      <c r="AI53" s="53">
        <f t="shared" ca="1" si="9"/>
        <v>0</v>
      </c>
      <c r="AJ53" s="53">
        <f t="shared" ref="AJ53:AW53" ca="1" si="10">-SUM(OFFSET(AJ52,,,1,-MAX(MIN(AJ2,(1/$D$30)),0)))/(1/$D$30)*AJ17</f>
        <v>0</v>
      </c>
      <c r="AK53" s="53">
        <f t="shared" ca="1" si="10"/>
        <v>0</v>
      </c>
      <c r="AL53" s="53">
        <f t="shared" ca="1" si="10"/>
        <v>0</v>
      </c>
      <c r="AM53" s="53">
        <f t="shared" ca="1" si="10"/>
        <v>0</v>
      </c>
      <c r="AN53" s="53">
        <f t="shared" ca="1" si="10"/>
        <v>0</v>
      </c>
      <c r="AO53" s="53">
        <f t="shared" ca="1" si="10"/>
        <v>0</v>
      </c>
      <c r="AP53" s="53">
        <f t="shared" ca="1" si="10"/>
        <v>0</v>
      </c>
      <c r="AQ53" s="53">
        <f t="shared" ca="1" si="10"/>
        <v>0</v>
      </c>
      <c r="AR53" s="53">
        <f t="shared" ca="1" si="10"/>
        <v>0</v>
      </c>
      <c r="AS53" s="53">
        <f t="shared" ca="1" si="10"/>
        <v>0</v>
      </c>
      <c r="AT53" s="53">
        <f t="shared" ca="1" si="10"/>
        <v>0</v>
      </c>
      <c r="AU53" s="53">
        <f t="shared" ca="1" si="10"/>
        <v>0</v>
      </c>
      <c r="AV53" s="53">
        <f t="shared" ca="1" si="10"/>
        <v>0</v>
      </c>
      <c r="AW53" s="53">
        <f t="shared" ca="1" si="10"/>
        <v>0</v>
      </c>
    </row>
    <row r="54" spans="1:49">
      <c r="B54" s="27" t="s">
        <v>195</v>
      </c>
      <c r="C54" s="28" t="str">
        <f>$C$50</f>
        <v>US$</v>
      </c>
      <c r="D54" s="108">
        <f ca="1">SUM(I54:AI54)</f>
        <v>-414045109.2800228</v>
      </c>
      <c r="E54" s="27"/>
      <c r="F54" s="27"/>
      <c r="G54" s="27"/>
      <c r="H54" s="27"/>
      <c r="I54" s="43">
        <f t="shared" ref="I54:AI54" si="11">-I50*I48*$D$31</f>
        <v>0</v>
      </c>
      <c r="J54" s="43">
        <f t="shared" si="11"/>
        <v>0</v>
      </c>
      <c r="K54" s="43">
        <f t="shared" ca="1" si="11"/>
        <v>0</v>
      </c>
      <c r="L54" s="43">
        <f t="shared" ca="1" si="11"/>
        <v>0</v>
      </c>
      <c r="M54" s="43">
        <f t="shared" ca="1" si="11"/>
        <v>0</v>
      </c>
      <c r="N54" s="43">
        <f ca="1">-N50*N48*$D$31</f>
        <v>-414045109.2800228</v>
      </c>
      <c r="O54" s="43">
        <f t="shared" ca="1" si="11"/>
        <v>0</v>
      </c>
      <c r="P54" s="43">
        <f t="shared" ca="1" si="11"/>
        <v>0</v>
      </c>
      <c r="Q54" s="43">
        <f t="shared" ca="1" si="11"/>
        <v>0</v>
      </c>
      <c r="R54" s="43">
        <f t="shared" ca="1" si="11"/>
        <v>0</v>
      </c>
      <c r="S54" s="43">
        <f t="shared" ca="1" si="11"/>
        <v>0</v>
      </c>
      <c r="T54" s="43">
        <f t="shared" ca="1" si="11"/>
        <v>0</v>
      </c>
      <c r="U54" s="43">
        <f t="shared" ca="1" si="11"/>
        <v>0</v>
      </c>
      <c r="V54" s="43">
        <f t="shared" ca="1" si="11"/>
        <v>0</v>
      </c>
      <c r="W54" s="43">
        <f t="shared" ca="1" si="11"/>
        <v>0</v>
      </c>
      <c r="X54" s="43">
        <f t="shared" ca="1" si="11"/>
        <v>0</v>
      </c>
      <c r="Y54" s="43">
        <f t="shared" ca="1" si="11"/>
        <v>0</v>
      </c>
      <c r="Z54" s="43">
        <f t="shared" ca="1" si="11"/>
        <v>0</v>
      </c>
      <c r="AA54" s="43">
        <f t="shared" ca="1" si="11"/>
        <v>0</v>
      </c>
      <c r="AB54" s="43">
        <f t="shared" ca="1" si="11"/>
        <v>0</v>
      </c>
      <c r="AC54" s="43">
        <f t="shared" ca="1" si="11"/>
        <v>0</v>
      </c>
      <c r="AD54" s="43">
        <f t="shared" ca="1" si="11"/>
        <v>0</v>
      </c>
      <c r="AE54" s="43">
        <f t="shared" ca="1" si="11"/>
        <v>0</v>
      </c>
      <c r="AF54" s="43">
        <f t="shared" ca="1" si="11"/>
        <v>0</v>
      </c>
      <c r="AG54" s="43">
        <f t="shared" ca="1" si="11"/>
        <v>0</v>
      </c>
      <c r="AH54" s="43">
        <f t="shared" ca="1" si="11"/>
        <v>0</v>
      </c>
      <c r="AI54" s="43">
        <f t="shared" ca="1" si="11"/>
        <v>0</v>
      </c>
      <c r="AJ54" s="43">
        <f t="shared" ref="AJ54:AW54" ca="1" si="12">-AJ50*AJ48*$D$31</f>
        <v>0</v>
      </c>
      <c r="AK54" s="43">
        <f t="shared" si="12"/>
        <v>0</v>
      </c>
      <c r="AL54" s="43">
        <f t="shared" si="12"/>
        <v>0</v>
      </c>
      <c r="AM54" s="43">
        <f t="shared" si="12"/>
        <v>0</v>
      </c>
      <c r="AN54" s="43">
        <f t="shared" si="12"/>
        <v>0</v>
      </c>
      <c r="AO54" s="43">
        <f t="shared" si="12"/>
        <v>0</v>
      </c>
      <c r="AP54" s="43">
        <f t="shared" si="12"/>
        <v>0</v>
      </c>
      <c r="AQ54" s="43">
        <f t="shared" si="12"/>
        <v>0</v>
      </c>
      <c r="AR54" s="43">
        <f t="shared" si="12"/>
        <v>0</v>
      </c>
      <c r="AS54" s="43">
        <f t="shared" si="12"/>
        <v>0</v>
      </c>
      <c r="AT54" s="43">
        <f t="shared" si="12"/>
        <v>0</v>
      </c>
      <c r="AU54" s="43">
        <f t="shared" si="12"/>
        <v>0</v>
      </c>
      <c r="AV54" s="43">
        <f t="shared" si="12"/>
        <v>0</v>
      </c>
      <c r="AW54" s="43">
        <f t="shared" si="12"/>
        <v>0</v>
      </c>
    </row>
    <row r="55" spans="1:49">
      <c r="B55" s="2" t="s">
        <v>380</v>
      </c>
      <c r="C55" s="15" t="str">
        <f>$C$50</f>
        <v>US$</v>
      </c>
      <c r="D55" s="42">
        <f ca="1">SUM(D53:D54)</f>
        <v>-2484270655.6801367</v>
      </c>
      <c r="I55" s="41">
        <f t="shared" ref="I55:AI55" ca="1" si="13">I51+I53</f>
        <v>0</v>
      </c>
      <c r="J55" s="41">
        <f t="shared" ca="1" si="13"/>
        <v>0</v>
      </c>
      <c r="K55" s="41">
        <f t="shared" ca="1" si="13"/>
        <v>0</v>
      </c>
      <c r="L55" s="41">
        <f t="shared" ca="1" si="13"/>
        <v>0</v>
      </c>
      <c r="M55" s="41">
        <f t="shared" ca="1" si="13"/>
        <v>0</v>
      </c>
      <c r="N55" s="41">
        <f t="shared" ca="1" si="13"/>
        <v>-2587781933.0001421</v>
      </c>
      <c r="O55" s="41">
        <f t="shared" ca="1" si="13"/>
        <v>-517556386.60002846</v>
      </c>
      <c r="P55" s="41">
        <f t="shared" ca="1" si="13"/>
        <v>-517556386.60002846</v>
      </c>
      <c r="Q55" s="41">
        <f t="shared" ca="1" si="13"/>
        <v>-517556386.60002846</v>
      </c>
      <c r="R55" s="41">
        <f t="shared" ca="1" si="13"/>
        <v>0</v>
      </c>
      <c r="S55" s="41">
        <f t="shared" ca="1" si="13"/>
        <v>0</v>
      </c>
      <c r="T55" s="41">
        <f t="shared" ca="1" si="13"/>
        <v>0</v>
      </c>
      <c r="U55" s="41">
        <f t="shared" ca="1" si="13"/>
        <v>0</v>
      </c>
      <c r="V55" s="41">
        <f t="shared" ca="1" si="13"/>
        <v>0</v>
      </c>
      <c r="W55" s="41">
        <f t="shared" ca="1" si="13"/>
        <v>0</v>
      </c>
      <c r="X55" s="41">
        <f t="shared" ca="1" si="13"/>
        <v>0</v>
      </c>
      <c r="Y55" s="41">
        <f t="shared" ca="1" si="13"/>
        <v>0</v>
      </c>
      <c r="Z55" s="41">
        <f t="shared" ca="1" si="13"/>
        <v>0</v>
      </c>
      <c r="AA55" s="41">
        <f t="shared" ca="1" si="13"/>
        <v>0</v>
      </c>
      <c r="AB55" s="41">
        <f t="shared" ca="1" si="13"/>
        <v>0</v>
      </c>
      <c r="AC55" s="41">
        <f t="shared" ca="1" si="13"/>
        <v>0</v>
      </c>
      <c r="AD55" s="41">
        <f t="shared" ca="1" si="13"/>
        <v>0</v>
      </c>
      <c r="AE55" s="41">
        <f t="shared" ca="1" si="13"/>
        <v>0</v>
      </c>
      <c r="AF55" s="41">
        <f t="shared" ca="1" si="13"/>
        <v>0</v>
      </c>
      <c r="AG55" s="41">
        <f t="shared" ca="1" si="13"/>
        <v>0</v>
      </c>
      <c r="AH55" s="41">
        <f t="shared" ca="1" si="13"/>
        <v>0</v>
      </c>
      <c r="AI55" s="41">
        <f t="shared" ca="1" si="13"/>
        <v>0</v>
      </c>
    </row>
    <row r="56" spans="1:49">
      <c r="A56" s="12"/>
    </row>
    <row r="57" spans="1:49">
      <c r="B57" s="2" t="s">
        <v>381</v>
      </c>
      <c r="C57" s="15" t="str">
        <f>$C$50</f>
        <v>US$</v>
      </c>
      <c r="I57" s="41">
        <f t="shared" ref="I57:AI57" si="14">H60</f>
        <v>0</v>
      </c>
      <c r="J57" s="41">
        <f t="shared" ca="1" si="14"/>
        <v>0</v>
      </c>
      <c r="K57" s="41">
        <f t="shared" ca="1" si="14"/>
        <v>0</v>
      </c>
      <c r="L57" s="41">
        <f t="shared" ca="1" si="14"/>
        <v>0</v>
      </c>
      <c r="M57" s="41">
        <f t="shared" ca="1" si="14"/>
        <v>0</v>
      </c>
      <c r="N57" s="41">
        <f t="shared" ca="1" si="14"/>
        <v>0</v>
      </c>
      <c r="O57" s="41">
        <f t="shared" ca="1" si="14"/>
        <v>1772387325.2276225</v>
      </c>
      <c r="P57" s="41">
        <f t="shared" ca="1" si="14"/>
        <v>1377277574.7214928</v>
      </c>
      <c r="Q57" s="41">
        <f t="shared" ca="1" si="14"/>
        <v>892558873.91139388</v>
      </c>
      <c r="R57" s="41">
        <f t="shared" ca="1" si="14"/>
        <v>314843384.78359723</v>
      </c>
      <c r="S57" s="41">
        <f t="shared" ca="1" si="14"/>
        <v>0</v>
      </c>
      <c r="T57" s="41">
        <f t="shared" ca="1" si="14"/>
        <v>0</v>
      </c>
      <c r="U57" s="41">
        <f t="shared" ca="1" si="14"/>
        <v>0</v>
      </c>
      <c r="V57" s="41">
        <f t="shared" ca="1" si="14"/>
        <v>0</v>
      </c>
      <c r="W57" s="41">
        <f t="shared" ca="1" si="14"/>
        <v>0</v>
      </c>
      <c r="X57" s="41">
        <f t="shared" ca="1" si="14"/>
        <v>0</v>
      </c>
      <c r="Y57" s="41">
        <f t="shared" ca="1" si="14"/>
        <v>0</v>
      </c>
      <c r="Z57" s="41">
        <f t="shared" ca="1" si="14"/>
        <v>0</v>
      </c>
      <c r="AA57" s="41">
        <f t="shared" ca="1" si="14"/>
        <v>0</v>
      </c>
      <c r="AB57" s="41">
        <f t="shared" ca="1" si="14"/>
        <v>0</v>
      </c>
      <c r="AC57" s="41">
        <f t="shared" ca="1" si="14"/>
        <v>0</v>
      </c>
      <c r="AD57" s="41">
        <f t="shared" ca="1" si="14"/>
        <v>0</v>
      </c>
      <c r="AE57" s="41">
        <f t="shared" ca="1" si="14"/>
        <v>0</v>
      </c>
      <c r="AF57" s="41">
        <f t="shared" ca="1" si="14"/>
        <v>0</v>
      </c>
      <c r="AG57" s="41">
        <f t="shared" ca="1" si="14"/>
        <v>0</v>
      </c>
      <c r="AH57" s="41">
        <f t="shared" ca="1" si="14"/>
        <v>0</v>
      </c>
      <c r="AI57" s="41">
        <f t="shared" ca="1" si="14"/>
        <v>0</v>
      </c>
      <c r="AJ57" s="41">
        <f t="shared" ref="AJ57:AW57" ca="1" si="15">AI60</f>
        <v>0</v>
      </c>
      <c r="AK57" s="41">
        <f t="shared" si="15"/>
        <v>0</v>
      </c>
      <c r="AL57" s="41">
        <f t="shared" si="15"/>
        <v>0</v>
      </c>
      <c r="AM57" s="41">
        <f t="shared" si="15"/>
        <v>0</v>
      </c>
      <c r="AN57" s="41">
        <f t="shared" si="15"/>
        <v>0</v>
      </c>
      <c r="AO57" s="41">
        <f t="shared" si="15"/>
        <v>0</v>
      </c>
      <c r="AP57" s="41">
        <f t="shared" si="15"/>
        <v>0</v>
      </c>
      <c r="AQ57" s="41">
        <f t="shared" si="15"/>
        <v>0</v>
      </c>
      <c r="AR57" s="41">
        <f t="shared" si="15"/>
        <v>0</v>
      </c>
      <c r="AS57" s="41">
        <f t="shared" si="15"/>
        <v>0</v>
      </c>
      <c r="AT57" s="41">
        <f t="shared" si="15"/>
        <v>0</v>
      </c>
      <c r="AU57" s="41">
        <f t="shared" si="15"/>
        <v>0</v>
      </c>
      <c r="AV57" s="41">
        <f t="shared" si="15"/>
        <v>0</v>
      </c>
      <c r="AW57" s="41">
        <f t="shared" si="15"/>
        <v>0</v>
      </c>
    </row>
    <row r="58" spans="1:49">
      <c r="B58" s="2" t="s">
        <v>382</v>
      </c>
      <c r="C58" s="15" t="str">
        <f>$C$50</f>
        <v>US$</v>
      </c>
      <c r="I58" s="41">
        <f t="shared" ref="I58:AI58" ca="1" si="16">-I55</f>
        <v>0</v>
      </c>
      <c r="J58" s="41">
        <f t="shared" ca="1" si="16"/>
        <v>0</v>
      </c>
      <c r="K58" s="41">
        <f t="shared" ca="1" si="16"/>
        <v>0</v>
      </c>
      <c r="L58" s="41">
        <f t="shared" ca="1" si="16"/>
        <v>0</v>
      </c>
      <c r="M58" s="41">
        <f t="shared" ca="1" si="16"/>
        <v>0</v>
      </c>
      <c r="N58" s="41">
        <f ca="1">-N55</f>
        <v>2587781933.0001421</v>
      </c>
      <c r="O58" s="41">
        <f t="shared" ca="1" si="16"/>
        <v>517556386.60002846</v>
      </c>
      <c r="P58" s="41">
        <f t="shared" ca="1" si="16"/>
        <v>517556386.60002846</v>
      </c>
      <c r="Q58" s="41">
        <f t="shared" ca="1" si="16"/>
        <v>517556386.60002846</v>
      </c>
      <c r="R58" s="41">
        <f t="shared" ca="1" si="16"/>
        <v>0</v>
      </c>
      <c r="S58" s="41">
        <f t="shared" ca="1" si="16"/>
        <v>0</v>
      </c>
      <c r="T58" s="41">
        <f t="shared" ca="1" si="16"/>
        <v>0</v>
      </c>
      <c r="U58" s="41">
        <f t="shared" ca="1" si="16"/>
        <v>0</v>
      </c>
      <c r="V58" s="41">
        <f t="shared" ca="1" si="16"/>
        <v>0</v>
      </c>
      <c r="W58" s="41">
        <f t="shared" ca="1" si="16"/>
        <v>0</v>
      </c>
      <c r="X58" s="41">
        <f t="shared" ca="1" si="16"/>
        <v>0</v>
      </c>
      <c r="Y58" s="41">
        <f t="shared" ca="1" si="16"/>
        <v>0</v>
      </c>
      <c r="Z58" s="41">
        <f t="shared" ca="1" si="16"/>
        <v>0</v>
      </c>
      <c r="AA58" s="41">
        <f t="shared" ca="1" si="16"/>
        <v>0</v>
      </c>
      <c r="AB58" s="41">
        <f t="shared" ca="1" si="16"/>
        <v>0</v>
      </c>
      <c r="AC58" s="41">
        <f t="shared" ca="1" si="16"/>
        <v>0</v>
      </c>
      <c r="AD58" s="41">
        <f t="shared" ca="1" si="16"/>
        <v>0</v>
      </c>
      <c r="AE58" s="41">
        <f t="shared" ca="1" si="16"/>
        <v>0</v>
      </c>
      <c r="AF58" s="41">
        <f t="shared" ca="1" si="16"/>
        <v>0</v>
      </c>
      <c r="AG58" s="41">
        <f t="shared" ca="1" si="16"/>
        <v>0</v>
      </c>
      <c r="AH58" s="41">
        <f t="shared" ca="1" si="16"/>
        <v>0</v>
      </c>
      <c r="AI58" s="41">
        <f t="shared" ca="1" si="16"/>
        <v>0</v>
      </c>
      <c r="AJ58" s="41">
        <f t="shared" ref="AJ58:AW58" si="17">-AJ55</f>
        <v>0</v>
      </c>
      <c r="AK58" s="41">
        <f t="shared" si="17"/>
        <v>0</v>
      </c>
      <c r="AL58" s="41">
        <f t="shared" si="17"/>
        <v>0</v>
      </c>
      <c r="AM58" s="41">
        <f t="shared" si="17"/>
        <v>0</v>
      </c>
      <c r="AN58" s="41">
        <f t="shared" si="17"/>
        <v>0</v>
      </c>
      <c r="AO58" s="41">
        <f t="shared" si="17"/>
        <v>0</v>
      </c>
      <c r="AP58" s="41">
        <f t="shared" si="17"/>
        <v>0</v>
      </c>
      <c r="AQ58" s="41">
        <f t="shared" si="17"/>
        <v>0</v>
      </c>
      <c r="AR58" s="41">
        <f t="shared" si="17"/>
        <v>0</v>
      </c>
      <c r="AS58" s="41">
        <f t="shared" si="17"/>
        <v>0</v>
      </c>
      <c r="AT58" s="41">
        <f t="shared" si="17"/>
        <v>0</v>
      </c>
      <c r="AU58" s="41">
        <f t="shared" si="17"/>
        <v>0</v>
      </c>
      <c r="AV58" s="41">
        <f t="shared" si="17"/>
        <v>0</v>
      </c>
      <c r="AW58" s="41">
        <f t="shared" si="17"/>
        <v>0</v>
      </c>
    </row>
    <row r="59" spans="1:49">
      <c r="B59" s="27" t="s">
        <v>383</v>
      </c>
      <c r="C59" s="28" t="str">
        <f>$C$50</f>
        <v>US$</v>
      </c>
      <c r="D59" s="27"/>
      <c r="E59" s="27"/>
      <c r="F59" s="27"/>
      <c r="G59" s="27"/>
      <c r="H59" s="27"/>
      <c r="I59" s="43">
        <f>-IF(I2&gt;$D$33,MIN(SUM(I57:I58),$D$42*I77),0)*I17</f>
        <v>0</v>
      </c>
      <c r="J59" s="43">
        <f t="shared" ref="J59:AI59" si="18">-IF(J2&gt;$D$33,MIN(SUM(J57:J58),$D$42*J77),0)*J17</f>
        <v>0</v>
      </c>
      <c r="K59" s="43">
        <f t="shared" si="18"/>
        <v>0</v>
      </c>
      <c r="L59" s="43">
        <f t="shared" si="18"/>
        <v>0</v>
      </c>
      <c r="M59" s="43">
        <f t="shared" si="18"/>
        <v>0</v>
      </c>
      <c r="N59" s="43">
        <f ca="1">-IF(N2&gt;$D$33,MIN(SUM(N57:N58),$D$42*N77),0)*N17</f>
        <v>-815394607.77251947</v>
      </c>
      <c r="O59" s="43">
        <f t="shared" ca="1" si="18"/>
        <v>-912666137.10615826</v>
      </c>
      <c r="P59" s="43">
        <f t="shared" ca="1" si="18"/>
        <v>-1002275087.4101274</v>
      </c>
      <c r="Q59" s="43">
        <f t="shared" ca="1" si="18"/>
        <v>-1095271875.7278252</v>
      </c>
      <c r="R59" s="43">
        <f t="shared" ca="1" si="18"/>
        <v>-314843384.78359723</v>
      </c>
      <c r="S59" s="43">
        <f t="shared" ca="1" si="18"/>
        <v>0</v>
      </c>
      <c r="T59" s="43">
        <f t="shared" ca="1" si="18"/>
        <v>0</v>
      </c>
      <c r="U59" s="43">
        <f t="shared" ca="1" si="18"/>
        <v>0</v>
      </c>
      <c r="V59" s="43">
        <f t="shared" ca="1" si="18"/>
        <v>0</v>
      </c>
      <c r="W59" s="43">
        <f t="shared" ca="1" si="18"/>
        <v>0</v>
      </c>
      <c r="X59" s="43">
        <f t="shared" ca="1" si="18"/>
        <v>0</v>
      </c>
      <c r="Y59" s="43">
        <f t="shared" ca="1" si="18"/>
        <v>0</v>
      </c>
      <c r="Z59" s="43">
        <f t="shared" ca="1" si="18"/>
        <v>0</v>
      </c>
      <c r="AA59" s="43">
        <f t="shared" ca="1" si="18"/>
        <v>0</v>
      </c>
      <c r="AB59" s="43">
        <f t="shared" ca="1" si="18"/>
        <v>0</v>
      </c>
      <c r="AC59" s="43">
        <f t="shared" ca="1" si="18"/>
        <v>0</v>
      </c>
      <c r="AD59" s="43">
        <f t="shared" ca="1" si="18"/>
        <v>0</v>
      </c>
      <c r="AE59" s="43">
        <f t="shared" ca="1" si="18"/>
        <v>0</v>
      </c>
      <c r="AF59" s="43">
        <f t="shared" ca="1" si="18"/>
        <v>0</v>
      </c>
      <c r="AG59" s="43">
        <f t="shared" ca="1" si="18"/>
        <v>0</v>
      </c>
      <c r="AH59" s="43">
        <f t="shared" ca="1" si="18"/>
        <v>0</v>
      </c>
      <c r="AI59" s="43">
        <f t="shared" ca="1" si="18"/>
        <v>0</v>
      </c>
      <c r="AJ59" s="43">
        <f t="shared" ref="AJ59:AW59" ca="1" si="19">-IF(AJ2&gt;$D$33,MIN(SUM(AJ57:AJ58),$D$42*AJ77),0)*AJ17</f>
        <v>0</v>
      </c>
      <c r="AK59" s="43">
        <f t="shared" ca="1" si="19"/>
        <v>0</v>
      </c>
      <c r="AL59" s="43">
        <f t="shared" ca="1" si="19"/>
        <v>0</v>
      </c>
      <c r="AM59" s="43">
        <f t="shared" ca="1" si="19"/>
        <v>0</v>
      </c>
      <c r="AN59" s="43">
        <f t="shared" ca="1" si="19"/>
        <v>0</v>
      </c>
      <c r="AO59" s="43">
        <f t="shared" ca="1" si="19"/>
        <v>0</v>
      </c>
      <c r="AP59" s="43">
        <f t="shared" ca="1" si="19"/>
        <v>0</v>
      </c>
      <c r="AQ59" s="43">
        <f t="shared" ca="1" si="19"/>
        <v>0</v>
      </c>
      <c r="AR59" s="43">
        <f t="shared" ca="1" si="19"/>
        <v>0</v>
      </c>
      <c r="AS59" s="43">
        <f t="shared" ca="1" si="19"/>
        <v>0</v>
      </c>
      <c r="AT59" s="43">
        <f t="shared" ca="1" si="19"/>
        <v>0</v>
      </c>
      <c r="AU59" s="43">
        <f t="shared" ca="1" si="19"/>
        <v>0</v>
      </c>
      <c r="AV59" s="43">
        <f t="shared" ca="1" si="19"/>
        <v>0</v>
      </c>
      <c r="AW59" s="43">
        <f t="shared" ca="1" si="19"/>
        <v>0</v>
      </c>
    </row>
    <row r="60" spans="1:49">
      <c r="B60" s="2" t="s">
        <v>384</v>
      </c>
      <c r="C60" s="15" t="str">
        <f>$C$50</f>
        <v>US$</v>
      </c>
      <c r="I60" s="41">
        <f t="shared" ref="I60:AI60" ca="1" si="20">SUM(I57:I59)</f>
        <v>0</v>
      </c>
      <c r="J60" s="41">
        <f t="shared" ca="1" si="20"/>
        <v>0</v>
      </c>
      <c r="K60" s="41">
        <f t="shared" ca="1" si="20"/>
        <v>0</v>
      </c>
      <c r="L60" s="41">
        <f t="shared" ca="1" si="20"/>
        <v>0</v>
      </c>
      <c r="M60" s="41">
        <f t="shared" ca="1" si="20"/>
        <v>0</v>
      </c>
      <c r="N60" s="41">
        <f t="shared" ca="1" si="20"/>
        <v>1772387325.2276225</v>
      </c>
      <c r="O60" s="41">
        <f t="shared" ca="1" si="20"/>
        <v>1377277574.7214928</v>
      </c>
      <c r="P60" s="41">
        <f t="shared" ca="1" si="20"/>
        <v>892558873.91139388</v>
      </c>
      <c r="Q60" s="41">
        <f t="shared" ca="1" si="20"/>
        <v>314843384.78359723</v>
      </c>
      <c r="R60" s="41">
        <f t="shared" ca="1" si="20"/>
        <v>0</v>
      </c>
      <c r="S60" s="41">
        <f t="shared" ca="1" si="20"/>
        <v>0</v>
      </c>
      <c r="T60" s="41">
        <f t="shared" ca="1" si="20"/>
        <v>0</v>
      </c>
      <c r="U60" s="41">
        <f t="shared" ca="1" si="20"/>
        <v>0</v>
      </c>
      <c r="V60" s="41">
        <f t="shared" ca="1" si="20"/>
        <v>0</v>
      </c>
      <c r="W60" s="41">
        <f t="shared" ca="1" si="20"/>
        <v>0</v>
      </c>
      <c r="X60" s="41">
        <f t="shared" ca="1" si="20"/>
        <v>0</v>
      </c>
      <c r="Y60" s="41">
        <f t="shared" ca="1" si="20"/>
        <v>0</v>
      </c>
      <c r="Z60" s="41">
        <f t="shared" ca="1" si="20"/>
        <v>0</v>
      </c>
      <c r="AA60" s="41">
        <f t="shared" ca="1" si="20"/>
        <v>0</v>
      </c>
      <c r="AB60" s="41">
        <f t="shared" ca="1" si="20"/>
        <v>0</v>
      </c>
      <c r="AC60" s="41">
        <f t="shared" ca="1" si="20"/>
        <v>0</v>
      </c>
      <c r="AD60" s="41">
        <f t="shared" ca="1" si="20"/>
        <v>0</v>
      </c>
      <c r="AE60" s="41">
        <f t="shared" ca="1" si="20"/>
        <v>0</v>
      </c>
      <c r="AF60" s="41">
        <f t="shared" ca="1" si="20"/>
        <v>0</v>
      </c>
      <c r="AG60" s="41">
        <f t="shared" ca="1" si="20"/>
        <v>0</v>
      </c>
      <c r="AH60" s="41">
        <f t="shared" ca="1" si="20"/>
        <v>0</v>
      </c>
      <c r="AI60" s="41">
        <f t="shared" ca="1" si="20"/>
        <v>0</v>
      </c>
    </row>
    <row r="62" spans="1:49">
      <c r="B62" s="10" t="s">
        <v>386</v>
      </c>
    </row>
    <row r="63" spans="1:49">
      <c r="A63" s="12"/>
      <c r="B63" s="2" t="s">
        <v>263</v>
      </c>
      <c r="C63" s="15" t="str">
        <f>$C$50</f>
        <v>US$</v>
      </c>
      <c r="I63" s="41">
        <f>H67</f>
        <v>0</v>
      </c>
      <c r="J63" s="41">
        <f t="shared" ref="J63:AI63" ca="1" si="21">I67</f>
        <v>0</v>
      </c>
      <c r="K63" s="41">
        <f t="shared" ca="1" si="21"/>
        <v>144780637.06971791</v>
      </c>
      <c r="L63" s="41">
        <f t="shared" ca="1" si="21"/>
        <v>0</v>
      </c>
      <c r="M63" s="41">
        <f t="shared" ca="1" si="21"/>
        <v>0</v>
      </c>
      <c r="N63" s="41">
        <f t="shared" ca="1" si="21"/>
        <v>0</v>
      </c>
      <c r="O63" s="41">
        <f t="shared" ca="1" si="21"/>
        <v>0</v>
      </c>
      <c r="P63" s="41">
        <f t="shared" ca="1" si="21"/>
        <v>0</v>
      </c>
      <c r="Q63" s="41">
        <f t="shared" ca="1" si="21"/>
        <v>0</v>
      </c>
      <c r="R63" s="41">
        <f t="shared" ca="1" si="21"/>
        <v>0</v>
      </c>
      <c r="S63" s="41">
        <f t="shared" ca="1" si="21"/>
        <v>0</v>
      </c>
      <c r="T63" s="41">
        <f t="shared" ca="1" si="21"/>
        <v>0</v>
      </c>
      <c r="U63" s="41">
        <f t="shared" ca="1" si="21"/>
        <v>0</v>
      </c>
      <c r="V63" s="41">
        <f t="shared" ca="1" si="21"/>
        <v>0</v>
      </c>
      <c r="W63" s="41">
        <f t="shared" ca="1" si="21"/>
        <v>0</v>
      </c>
      <c r="X63" s="41">
        <f t="shared" ca="1" si="21"/>
        <v>0</v>
      </c>
      <c r="Y63" s="41">
        <f t="shared" ca="1" si="21"/>
        <v>0</v>
      </c>
      <c r="Z63" s="41">
        <f t="shared" ca="1" si="21"/>
        <v>0</v>
      </c>
      <c r="AA63" s="41">
        <f t="shared" ca="1" si="21"/>
        <v>0</v>
      </c>
      <c r="AB63" s="41">
        <f t="shared" ca="1" si="21"/>
        <v>0</v>
      </c>
      <c r="AC63" s="41">
        <f t="shared" ca="1" si="21"/>
        <v>0</v>
      </c>
      <c r="AD63" s="41">
        <f t="shared" ca="1" si="21"/>
        <v>0</v>
      </c>
      <c r="AE63" s="41">
        <f t="shared" ca="1" si="21"/>
        <v>0</v>
      </c>
      <c r="AF63" s="41">
        <f t="shared" ca="1" si="21"/>
        <v>0</v>
      </c>
      <c r="AG63" s="41">
        <f t="shared" ca="1" si="21"/>
        <v>0</v>
      </c>
      <c r="AH63" s="41">
        <f t="shared" ca="1" si="21"/>
        <v>0</v>
      </c>
      <c r="AI63" s="41">
        <f t="shared" ca="1" si="21"/>
        <v>0</v>
      </c>
      <c r="AJ63" s="41">
        <f t="shared" ref="AJ63:AW63" ca="1" si="22">AI67</f>
        <v>0</v>
      </c>
      <c r="AK63" s="41">
        <f t="shared" ca="1" si="22"/>
        <v>0</v>
      </c>
      <c r="AL63" s="41">
        <f t="shared" ca="1" si="22"/>
        <v>0</v>
      </c>
      <c r="AM63" s="41">
        <f t="shared" ca="1" si="22"/>
        <v>0</v>
      </c>
      <c r="AN63" s="41">
        <f t="shared" ca="1" si="22"/>
        <v>0</v>
      </c>
      <c r="AO63" s="41">
        <f t="shared" ca="1" si="22"/>
        <v>0</v>
      </c>
      <c r="AP63" s="41">
        <f t="shared" ca="1" si="22"/>
        <v>0</v>
      </c>
      <c r="AQ63" s="41">
        <f t="shared" ca="1" si="22"/>
        <v>0</v>
      </c>
      <c r="AR63" s="41">
        <f t="shared" ca="1" si="22"/>
        <v>0</v>
      </c>
      <c r="AS63" s="41">
        <f t="shared" ca="1" si="22"/>
        <v>0</v>
      </c>
      <c r="AT63" s="41">
        <f t="shared" ca="1" si="22"/>
        <v>0</v>
      </c>
      <c r="AU63" s="41">
        <f t="shared" ca="1" si="22"/>
        <v>0</v>
      </c>
      <c r="AV63" s="41">
        <f t="shared" ca="1" si="22"/>
        <v>0</v>
      </c>
      <c r="AW63" s="41">
        <f t="shared" ca="1" si="22"/>
        <v>0</v>
      </c>
    </row>
    <row r="64" spans="1:49">
      <c r="B64" s="2" t="s">
        <v>387</v>
      </c>
      <c r="C64" s="15" t="str">
        <f>$C$50</f>
        <v>US$</v>
      </c>
      <c r="D64" s="42">
        <f ca="1">SUM(I64:AI64)</f>
        <v>144780637.06971791</v>
      </c>
      <c r="I64" s="41">
        <f ca="1">-MIN(I75,0)</f>
        <v>0</v>
      </c>
      <c r="J64" s="41">
        <f t="shared" ref="J64:AI64" ca="1" si="23">-MIN(J75,0)</f>
        <v>144780637.06971791</v>
      </c>
      <c r="K64" s="41">
        <f t="shared" ca="1" si="23"/>
        <v>0</v>
      </c>
      <c r="L64" s="41">
        <f t="shared" ca="1" si="23"/>
        <v>0</v>
      </c>
      <c r="M64" s="41">
        <f t="shared" ca="1" si="23"/>
        <v>0</v>
      </c>
      <c r="N64" s="41">
        <f t="shared" ca="1" si="23"/>
        <v>0</v>
      </c>
      <c r="O64" s="41">
        <f t="shared" ca="1" si="23"/>
        <v>0</v>
      </c>
      <c r="P64" s="41">
        <f t="shared" ca="1" si="23"/>
        <v>0</v>
      </c>
      <c r="Q64" s="41">
        <f t="shared" ca="1" si="23"/>
        <v>0</v>
      </c>
      <c r="R64" s="41">
        <f t="shared" ca="1" si="23"/>
        <v>0</v>
      </c>
      <c r="S64" s="41">
        <f t="shared" ca="1" si="23"/>
        <v>0</v>
      </c>
      <c r="T64" s="41">
        <f t="shared" ca="1" si="23"/>
        <v>0</v>
      </c>
      <c r="U64" s="41">
        <f t="shared" ca="1" si="23"/>
        <v>0</v>
      </c>
      <c r="V64" s="41">
        <f t="shared" ca="1" si="23"/>
        <v>0</v>
      </c>
      <c r="W64" s="41">
        <f t="shared" ca="1" si="23"/>
        <v>0</v>
      </c>
      <c r="X64" s="41">
        <f t="shared" ca="1" si="23"/>
        <v>0</v>
      </c>
      <c r="Y64" s="41">
        <f t="shared" ca="1" si="23"/>
        <v>0</v>
      </c>
      <c r="Z64" s="41">
        <f t="shared" ca="1" si="23"/>
        <v>0</v>
      </c>
      <c r="AA64" s="41">
        <f t="shared" ca="1" si="23"/>
        <v>0</v>
      </c>
      <c r="AB64" s="41">
        <f t="shared" ca="1" si="23"/>
        <v>0</v>
      </c>
      <c r="AC64" s="41">
        <f t="shared" ca="1" si="23"/>
        <v>0</v>
      </c>
      <c r="AD64" s="41">
        <f t="shared" ca="1" si="23"/>
        <v>0</v>
      </c>
      <c r="AE64" s="41">
        <f t="shared" ca="1" si="23"/>
        <v>0</v>
      </c>
      <c r="AF64" s="41">
        <f t="shared" ca="1" si="23"/>
        <v>0</v>
      </c>
      <c r="AG64" s="41">
        <f t="shared" ca="1" si="23"/>
        <v>0</v>
      </c>
      <c r="AH64" s="41">
        <f t="shared" ca="1" si="23"/>
        <v>0</v>
      </c>
      <c r="AI64" s="41">
        <f t="shared" ca="1" si="23"/>
        <v>0</v>
      </c>
      <c r="AJ64" s="41">
        <f t="shared" ref="AJ64:AW64" ca="1" si="24">-MIN(AJ75,0)</f>
        <v>0</v>
      </c>
      <c r="AK64" s="41">
        <f t="shared" ca="1" si="24"/>
        <v>0</v>
      </c>
      <c r="AL64" s="41">
        <f t="shared" ca="1" si="24"/>
        <v>0</v>
      </c>
      <c r="AM64" s="41">
        <f t="shared" si="24"/>
        <v>0</v>
      </c>
      <c r="AN64" s="41">
        <f t="shared" si="24"/>
        <v>0</v>
      </c>
      <c r="AO64" s="41">
        <f t="shared" si="24"/>
        <v>0</v>
      </c>
      <c r="AP64" s="41">
        <f t="shared" si="24"/>
        <v>0</v>
      </c>
      <c r="AQ64" s="41">
        <f t="shared" si="24"/>
        <v>0</v>
      </c>
      <c r="AR64" s="41">
        <f t="shared" si="24"/>
        <v>0</v>
      </c>
      <c r="AS64" s="41">
        <f t="shared" si="24"/>
        <v>0</v>
      </c>
      <c r="AT64" s="41">
        <f t="shared" si="24"/>
        <v>0</v>
      </c>
      <c r="AU64" s="41">
        <f t="shared" si="24"/>
        <v>0</v>
      </c>
      <c r="AV64" s="41">
        <f t="shared" si="24"/>
        <v>0</v>
      </c>
      <c r="AW64" s="41">
        <f t="shared" si="24"/>
        <v>0</v>
      </c>
    </row>
    <row r="65" spans="2:49">
      <c r="B65" s="2" t="s">
        <v>388</v>
      </c>
      <c r="C65" s="15" t="str">
        <f>$C$50</f>
        <v>US$</v>
      </c>
      <c r="D65" s="42">
        <f ca="1">SUM(I65:AI65)</f>
        <v>-144780637.06971791</v>
      </c>
      <c r="I65" s="41">
        <f t="shared" ref="I65:AI65" ca="1" si="25">-IF(I75&lt;0,0,MIN(I75,I63))</f>
        <v>0</v>
      </c>
      <c r="J65" s="41">
        <f t="shared" ca="1" si="25"/>
        <v>0</v>
      </c>
      <c r="K65" s="41">
        <f t="shared" ca="1" si="25"/>
        <v>-144780637.06971791</v>
      </c>
      <c r="L65" s="41">
        <f t="shared" ca="1" si="25"/>
        <v>0</v>
      </c>
      <c r="M65" s="41">
        <f t="shared" ca="1" si="25"/>
        <v>0</v>
      </c>
      <c r="N65" s="41">
        <f t="shared" ca="1" si="25"/>
        <v>0</v>
      </c>
      <c r="O65" s="41">
        <f t="shared" ca="1" si="25"/>
        <v>0</v>
      </c>
      <c r="P65" s="41">
        <f t="shared" ca="1" si="25"/>
        <v>0</v>
      </c>
      <c r="Q65" s="41">
        <f t="shared" ca="1" si="25"/>
        <v>0</v>
      </c>
      <c r="R65" s="41">
        <f t="shared" ca="1" si="25"/>
        <v>0</v>
      </c>
      <c r="S65" s="41">
        <f t="shared" ca="1" si="25"/>
        <v>0</v>
      </c>
      <c r="T65" s="41">
        <f t="shared" ca="1" si="25"/>
        <v>0</v>
      </c>
      <c r="U65" s="41">
        <f t="shared" ca="1" si="25"/>
        <v>0</v>
      </c>
      <c r="V65" s="41">
        <f t="shared" ca="1" si="25"/>
        <v>0</v>
      </c>
      <c r="W65" s="41">
        <f t="shared" ca="1" si="25"/>
        <v>0</v>
      </c>
      <c r="X65" s="41">
        <f t="shared" ca="1" si="25"/>
        <v>0</v>
      </c>
      <c r="Y65" s="41">
        <f t="shared" ca="1" si="25"/>
        <v>0</v>
      </c>
      <c r="Z65" s="41">
        <f t="shared" ca="1" si="25"/>
        <v>0</v>
      </c>
      <c r="AA65" s="41">
        <f t="shared" ca="1" si="25"/>
        <v>0</v>
      </c>
      <c r="AB65" s="41">
        <f t="shared" ca="1" si="25"/>
        <v>0</v>
      </c>
      <c r="AC65" s="41">
        <f t="shared" ca="1" si="25"/>
        <v>0</v>
      </c>
      <c r="AD65" s="41">
        <f t="shared" ca="1" si="25"/>
        <v>0</v>
      </c>
      <c r="AE65" s="41">
        <f t="shared" ca="1" si="25"/>
        <v>0</v>
      </c>
      <c r="AF65" s="41">
        <f t="shared" ca="1" si="25"/>
        <v>0</v>
      </c>
      <c r="AG65" s="41">
        <f t="shared" ca="1" si="25"/>
        <v>0</v>
      </c>
      <c r="AH65" s="41">
        <f t="shared" ca="1" si="25"/>
        <v>0</v>
      </c>
      <c r="AI65" s="41">
        <f t="shared" ca="1" si="25"/>
        <v>0</v>
      </c>
      <c r="AJ65" s="41">
        <f t="shared" ref="AJ65:AW65" ca="1" si="26">-IF(AJ75&lt;0,0,MIN(AJ75,AJ63))</f>
        <v>0</v>
      </c>
      <c r="AK65" s="41">
        <f t="shared" ca="1" si="26"/>
        <v>0</v>
      </c>
      <c r="AL65" s="41">
        <f t="shared" ca="1" si="26"/>
        <v>0</v>
      </c>
      <c r="AM65" s="41">
        <f t="shared" ca="1" si="26"/>
        <v>0</v>
      </c>
      <c r="AN65" s="41">
        <f t="shared" ca="1" si="26"/>
        <v>0</v>
      </c>
      <c r="AO65" s="41">
        <f t="shared" ca="1" si="26"/>
        <v>0</v>
      </c>
      <c r="AP65" s="41">
        <f t="shared" ca="1" si="26"/>
        <v>0</v>
      </c>
      <c r="AQ65" s="41">
        <f t="shared" ca="1" si="26"/>
        <v>0</v>
      </c>
      <c r="AR65" s="41">
        <f t="shared" ca="1" si="26"/>
        <v>0</v>
      </c>
      <c r="AS65" s="41">
        <f t="shared" ca="1" si="26"/>
        <v>0</v>
      </c>
      <c r="AT65" s="41">
        <f t="shared" ca="1" si="26"/>
        <v>0</v>
      </c>
      <c r="AU65" s="41">
        <f t="shared" ca="1" si="26"/>
        <v>0</v>
      </c>
      <c r="AV65" s="41">
        <f t="shared" ca="1" si="26"/>
        <v>0</v>
      </c>
      <c r="AW65" s="41">
        <f t="shared" ca="1" si="26"/>
        <v>0</v>
      </c>
    </row>
    <row r="66" spans="2:49">
      <c r="B66" s="27" t="s">
        <v>389</v>
      </c>
      <c r="C66" s="28" t="str">
        <f>$C$50</f>
        <v>US$</v>
      </c>
      <c r="D66" s="108">
        <f ca="1">SUM(I66:AI66)</f>
        <v>0</v>
      </c>
      <c r="E66" s="27"/>
      <c r="F66" s="27"/>
      <c r="G66" s="27"/>
      <c r="H66" s="27"/>
      <c r="I66" s="43">
        <f ca="1">IF(I18=1,-SUM(I63:I65),-MAX(0,SUM($I$69:I69)+SUM($I$65:I65)+SUM($H$66:H66)))</f>
        <v>0</v>
      </c>
      <c r="J66" s="43">
        <f ca="1">IF(J18=1,-SUM(J63:J65),-MAX(0,SUM($I$69:J69)+SUM($I$65:J65)+SUM($H$66:I66)))</f>
        <v>0</v>
      </c>
      <c r="K66" s="43">
        <f ca="1">IF(K18=1,-SUM(K63:K65),-MAX(0,SUM($I$69:K69)+SUM($I$65:K65)+SUM($H$66:J66)))</f>
        <v>0</v>
      </c>
      <c r="L66" s="43">
        <f ca="1">IF(L18=1,-SUM(L63:L65),-MAX(0,SUM($I$69:L69)+SUM($I$65:L65)+SUM($H$66:K66)))</f>
        <v>0</v>
      </c>
      <c r="M66" s="43">
        <f ca="1">IF(M18=1,-SUM(M63:M65),-MAX(0,SUM($I$69:M69)+SUM($I$65:M65)+SUM($H$66:L66)))</f>
        <v>0</v>
      </c>
      <c r="N66" s="43">
        <f ca="1">IF(N18=1,-SUM(N63:N65),-MAX(0,SUM($I$69:N69)+SUM($I$65:N65)+SUM($H$66:M66)))</f>
        <v>0</v>
      </c>
      <c r="O66" s="43">
        <f ca="1">IF(O18=1,-SUM(O63:O65),-MAX(0,SUM($I$69:O69)+SUM($I$65:O65)+SUM($H$66:N66)))</f>
        <v>0</v>
      </c>
      <c r="P66" s="43">
        <f ca="1">IF(P18=1,-SUM(P63:P65),-MAX(0,SUM($I$69:P69)+SUM($I$65:P65)+SUM($H$66:O66)))</f>
        <v>0</v>
      </c>
      <c r="Q66" s="43">
        <f ca="1">IF(Q18=1,-SUM(Q63:Q65),-MAX(0,SUM($I$69:Q69)+SUM($I$65:Q65)+SUM($H$66:P66)))</f>
        <v>0</v>
      </c>
      <c r="R66" s="43">
        <f ca="1">IF(R18=1,-SUM(R63:R65),-MAX(0,SUM($I$69:R69)+SUM($I$65:R65)+SUM($H$66:Q66)))</f>
        <v>0</v>
      </c>
      <c r="S66" s="43">
        <f ca="1">IF(S18=1,-SUM(S63:S65),-MAX(0,SUM($I$69:S69)+SUM($I$65:S65)+SUM($H$66:R66)))</f>
        <v>0</v>
      </c>
      <c r="T66" s="43">
        <f ca="1">IF(T18=1,-SUM(T63:T65),-MAX(0,SUM($I$69:T69)+SUM($I$65:T65)+SUM($H$66:S66)))</f>
        <v>0</v>
      </c>
      <c r="U66" s="43">
        <f ca="1">IF(U18=1,-SUM(U63:U65),-MAX(0,SUM($I$69:U69)+SUM($I$65:U65)+SUM($H$66:T66)))</f>
        <v>0</v>
      </c>
      <c r="V66" s="43">
        <f ca="1">IF(V18=1,-SUM(V63:V65),-MAX(0,SUM($I$69:V69)+SUM($I$65:V65)+SUM($H$66:U66)))</f>
        <v>0</v>
      </c>
      <c r="W66" s="43">
        <f ca="1">IF(W18=1,-SUM(W63:W65),-MAX(0,SUM($I$69:W69)+SUM($I$65:W65)+SUM($H$66:V66)))</f>
        <v>0</v>
      </c>
      <c r="X66" s="43">
        <f ca="1">IF(X18=1,-SUM(X63:X65),-MAX(0,SUM($I$69:X69)+SUM($I$65:X65)+SUM($H$66:W66)))</f>
        <v>0</v>
      </c>
      <c r="Y66" s="43">
        <f ca="1">IF(Y18=1,-SUM(Y63:Y65),-MAX(0,SUM($I$69:Y69)+SUM($I$65:Y65)+SUM($H$66:X66)))</f>
        <v>0</v>
      </c>
      <c r="Z66" s="43">
        <f ca="1">IF(Z18=1,-SUM(Z63:Z65),-MAX(0,SUM($I$69:Z69)+SUM($I$65:Z65)+SUM($H$66:Y66)))</f>
        <v>0</v>
      </c>
      <c r="AA66" s="43">
        <f ca="1">IF(AA18=1,-SUM(AA63:AA65),-MAX(0,SUM($I$69:AA69)+SUM($I$65:AA65)+SUM($H$66:Z66)))</f>
        <v>0</v>
      </c>
      <c r="AB66" s="43">
        <f ca="1">IF(AB18=1,-SUM(AB63:AB65),-MAX(0,SUM($I$69:AB69)+SUM($I$65:AB65)+SUM($H$66:AA66)))</f>
        <v>0</v>
      </c>
      <c r="AC66" s="43">
        <f ca="1">IF(AC18=1,-SUM(AC63:AC65),-MAX(0,SUM($I$69:AC69)+SUM($I$65:AC65)+SUM($H$66:AB66)))</f>
        <v>0</v>
      </c>
      <c r="AD66" s="43">
        <f ca="1">IF(AD18=1,-SUM(AD63:AD65),-MAX(0,SUM($I$69:AD69)+SUM($I$65:AD65)+SUM($H$66:AC66)))</f>
        <v>0</v>
      </c>
      <c r="AE66" s="43">
        <f ca="1">IF(AE18=1,-SUM(AE63:AE65),-MAX(0,SUM($I$69:AE69)+SUM($I$65:AE65)+SUM($H$66:AD66)))</f>
        <v>0</v>
      </c>
      <c r="AF66" s="43">
        <f ca="1">IF(AF18=1,-SUM(AF63:AF65),-MAX(0,SUM($I$69:AF69)+SUM($I$65:AF65)+SUM($H$66:AE66)))</f>
        <v>0</v>
      </c>
      <c r="AG66" s="43">
        <f ca="1">IF(AG18=1,-SUM(AG63:AG65),-MAX(0,SUM($I$69:AG69)+SUM($I$65:AG65)+SUM($H$66:AF66)))</f>
        <v>0</v>
      </c>
      <c r="AH66" s="43">
        <f ca="1">IF(AH18=1,-SUM(AH63:AH65),-MAX(0,SUM($I$69:AH69)+SUM($I$65:AH65)+SUM($H$66:AG66)))</f>
        <v>0</v>
      </c>
      <c r="AI66" s="43">
        <f ca="1">IF(AI18=1,-SUM(AI63:AI65),-MAX(0,SUM($I$69:AI69)+SUM($I$65:AI65)+SUM($H$66:AH66)))</f>
        <v>0</v>
      </c>
      <c r="AJ66" s="43">
        <f ca="1">IF(AJ18=1,-SUM(AJ63:AJ65),-MAX(0,SUM($I$69:AJ69)+SUM($I$65:AJ65)+SUM($H$66:AI66)))</f>
        <v>0</v>
      </c>
      <c r="AK66" s="43">
        <f ca="1">IF(AK18=1,-SUM(AK63:AK65),-MAX(0,SUM($I$69:AK69)+SUM($I$65:AK65)+SUM($H$66:AJ66)))</f>
        <v>0</v>
      </c>
      <c r="AL66" s="43">
        <f ca="1">IF(AL18=1,-SUM(AL63:AL65),-MAX(0,SUM($I$69:AL69)+SUM($I$65:AL65)+SUM($H$66:AK66)))</f>
        <v>0</v>
      </c>
      <c r="AM66" s="43">
        <f ca="1">IF(AM18=1,-SUM(AM63:AM65),-MAX(0,SUM($I$69:AM69)+SUM($I$65:AM65)+SUM($H$66:AL66)))</f>
        <v>0</v>
      </c>
      <c r="AN66" s="43">
        <f ca="1">IF(AN18=1,-SUM(AN63:AN65),-MAX(0,SUM($I$69:AN69)+SUM($I$65:AN65)+SUM($H$66:AM66)))</f>
        <v>0</v>
      </c>
      <c r="AO66" s="43">
        <f ca="1">IF(AO18=1,-SUM(AO63:AO65),-MAX(0,SUM($I$69:AO69)+SUM($I$65:AO65)+SUM($H$66:AN66)))</f>
        <v>0</v>
      </c>
      <c r="AP66" s="43">
        <f ca="1">IF(AP18=1,-SUM(AP63:AP65),-MAX(0,SUM($I$69:AP69)+SUM($I$65:AP65)+SUM($H$66:AO66)))</f>
        <v>0</v>
      </c>
      <c r="AQ66" s="43">
        <f ca="1">IF(AQ18=1,-SUM(AQ63:AQ65),-MAX(0,SUM($I$69:AQ69)+SUM($I$65:AQ65)+SUM($H$66:AP66)))</f>
        <v>0</v>
      </c>
      <c r="AR66" s="43">
        <f ca="1">IF(AR18=1,-SUM(AR63:AR65),-MAX(0,SUM($I$69:AR69)+SUM($I$65:AR65)+SUM($H$66:AQ66)))</f>
        <v>0</v>
      </c>
      <c r="AS66" s="43">
        <f ca="1">IF(AS18=1,-SUM(AS63:AS65),-MAX(0,SUM($I$69:AS69)+SUM($I$65:AS65)+SUM($H$66:AR66)))</f>
        <v>0</v>
      </c>
      <c r="AT66" s="43">
        <f ca="1">IF(AT18=1,-SUM(AT63:AT65),-MAX(0,SUM($I$69:AT69)+SUM($I$65:AT65)+SUM($H$66:AS66)))</f>
        <v>0</v>
      </c>
      <c r="AU66" s="43">
        <f ca="1">IF(AU18=1,-SUM(AU63:AU65),-MAX(0,SUM($I$69:AU69)+SUM($I$65:AU65)+SUM($H$66:AT66)))</f>
        <v>0</v>
      </c>
      <c r="AV66" s="43">
        <f ca="1">IF(AV18=1,-SUM(AV63:AV65),-MAX(0,SUM($I$69:AV69)+SUM($I$65:AV65)+SUM($H$66:AU66)))</f>
        <v>0</v>
      </c>
      <c r="AW66" s="43">
        <f ca="1">IF(AW18=1,-SUM(AW63:AW65),-MAX(0,SUM($I$69:AW69)+SUM($I$65:AW65)+SUM($H$66:AV66)))</f>
        <v>0</v>
      </c>
    </row>
    <row r="67" spans="2:49">
      <c r="B67" s="2" t="s">
        <v>266</v>
      </c>
      <c r="C67" s="15" t="str">
        <f>$C$50</f>
        <v>US$</v>
      </c>
      <c r="D67" s="42">
        <f ca="1">SUM(D64:D66)</f>
        <v>0</v>
      </c>
      <c r="H67" s="135"/>
      <c r="I67" s="41">
        <f t="shared" ref="I67:AI67" ca="1" si="27">SUM(I63:I66)</f>
        <v>0</v>
      </c>
      <c r="J67" s="41">
        <f t="shared" ca="1" si="27"/>
        <v>144780637.06971791</v>
      </c>
      <c r="K67" s="41">
        <f t="shared" ca="1" si="27"/>
        <v>0</v>
      </c>
      <c r="L67" s="41">
        <f t="shared" ca="1" si="27"/>
        <v>0</v>
      </c>
      <c r="M67" s="41">
        <f t="shared" ca="1" si="27"/>
        <v>0</v>
      </c>
      <c r="N67" s="41">
        <f t="shared" ca="1" si="27"/>
        <v>0</v>
      </c>
      <c r="O67" s="41">
        <f t="shared" ca="1" si="27"/>
        <v>0</v>
      </c>
      <c r="P67" s="41">
        <f t="shared" ca="1" si="27"/>
        <v>0</v>
      </c>
      <c r="Q67" s="41">
        <f t="shared" ca="1" si="27"/>
        <v>0</v>
      </c>
      <c r="R67" s="41">
        <f t="shared" ca="1" si="27"/>
        <v>0</v>
      </c>
      <c r="S67" s="41">
        <f t="shared" ca="1" si="27"/>
        <v>0</v>
      </c>
      <c r="T67" s="41">
        <f t="shared" ca="1" si="27"/>
        <v>0</v>
      </c>
      <c r="U67" s="41">
        <f t="shared" ca="1" si="27"/>
        <v>0</v>
      </c>
      <c r="V67" s="41">
        <f t="shared" ca="1" si="27"/>
        <v>0</v>
      </c>
      <c r="W67" s="41">
        <f t="shared" ca="1" si="27"/>
        <v>0</v>
      </c>
      <c r="X67" s="41">
        <f t="shared" ca="1" si="27"/>
        <v>0</v>
      </c>
      <c r="Y67" s="41">
        <f t="shared" ca="1" si="27"/>
        <v>0</v>
      </c>
      <c r="Z67" s="41">
        <f t="shared" ca="1" si="27"/>
        <v>0</v>
      </c>
      <c r="AA67" s="41">
        <f t="shared" ca="1" si="27"/>
        <v>0</v>
      </c>
      <c r="AB67" s="41">
        <f t="shared" ca="1" si="27"/>
        <v>0</v>
      </c>
      <c r="AC67" s="41">
        <f t="shared" ca="1" si="27"/>
        <v>0</v>
      </c>
      <c r="AD67" s="41">
        <f t="shared" ca="1" si="27"/>
        <v>0</v>
      </c>
      <c r="AE67" s="41">
        <f t="shared" ca="1" si="27"/>
        <v>0</v>
      </c>
      <c r="AF67" s="41">
        <f t="shared" ca="1" si="27"/>
        <v>0</v>
      </c>
      <c r="AG67" s="41">
        <f t="shared" ca="1" si="27"/>
        <v>0</v>
      </c>
      <c r="AH67" s="41">
        <f t="shared" ca="1" si="27"/>
        <v>0</v>
      </c>
      <c r="AI67" s="41">
        <f t="shared" ca="1" si="27"/>
        <v>0</v>
      </c>
      <c r="AJ67" s="41">
        <f t="shared" ref="AJ67:AW67" ca="1" si="28">SUM(AJ63:AJ66)</f>
        <v>0</v>
      </c>
      <c r="AK67" s="41">
        <f t="shared" ca="1" si="28"/>
        <v>0</v>
      </c>
      <c r="AL67" s="41">
        <f t="shared" ca="1" si="28"/>
        <v>0</v>
      </c>
      <c r="AM67" s="41">
        <f t="shared" ca="1" si="28"/>
        <v>0</v>
      </c>
      <c r="AN67" s="41">
        <f t="shared" ca="1" si="28"/>
        <v>0</v>
      </c>
      <c r="AO67" s="41">
        <f t="shared" ca="1" si="28"/>
        <v>0</v>
      </c>
      <c r="AP67" s="41">
        <f t="shared" ca="1" si="28"/>
        <v>0</v>
      </c>
      <c r="AQ67" s="41">
        <f t="shared" ca="1" si="28"/>
        <v>0</v>
      </c>
      <c r="AR67" s="41">
        <f t="shared" ca="1" si="28"/>
        <v>0</v>
      </c>
      <c r="AS67" s="41">
        <f t="shared" ca="1" si="28"/>
        <v>0</v>
      </c>
      <c r="AT67" s="41">
        <f t="shared" ca="1" si="28"/>
        <v>0</v>
      </c>
      <c r="AU67" s="41">
        <f t="shared" ca="1" si="28"/>
        <v>0</v>
      </c>
      <c r="AV67" s="41">
        <f t="shared" ca="1" si="28"/>
        <v>0</v>
      </c>
      <c r="AW67" s="41">
        <f t="shared" ca="1" si="28"/>
        <v>0</v>
      </c>
    </row>
    <row r="69" spans="2:49">
      <c r="B69" s="2" t="s">
        <v>390</v>
      </c>
      <c r="C69" s="15" t="str">
        <f>$C$50</f>
        <v>US$</v>
      </c>
      <c r="I69" s="41">
        <f ca="1">IF(I2-1&lt;$D$40,0,OFFSET(I64,0,-$D$40))</f>
        <v>0</v>
      </c>
      <c r="J69" s="41">
        <f t="shared" ref="J69:AI69" ca="1" si="29">IF(J2-1&lt;$D$40,0,OFFSET(J64,0,-$D$40))</f>
        <v>0</v>
      </c>
      <c r="K69" s="41">
        <f t="shared" ca="1" si="29"/>
        <v>0</v>
      </c>
      <c r="L69" s="41">
        <f t="shared" ca="1" si="29"/>
        <v>0</v>
      </c>
      <c r="M69" s="41">
        <f t="shared" ca="1" si="29"/>
        <v>0</v>
      </c>
      <c r="N69" s="41">
        <f t="shared" ca="1" si="29"/>
        <v>0</v>
      </c>
      <c r="O69" s="41">
        <f t="shared" ca="1" si="29"/>
        <v>144780637.06971791</v>
      </c>
      <c r="P69" s="41">
        <f t="shared" ca="1" si="29"/>
        <v>0</v>
      </c>
      <c r="Q69" s="41">
        <f t="shared" ca="1" si="29"/>
        <v>0</v>
      </c>
      <c r="R69" s="41">
        <f t="shared" ca="1" si="29"/>
        <v>0</v>
      </c>
      <c r="S69" s="41">
        <f t="shared" ca="1" si="29"/>
        <v>0</v>
      </c>
      <c r="T69" s="41">
        <f t="shared" ca="1" si="29"/>
        <v>0</v>
      </c>
      <c r="U69" s="41">
        <f t="shared" ca="1" si="29"/>
        <v>0</v>
      </c>
      <c r="V69" s="41">
        <f t="shared" ca="1" si="29"/>
        <v>0</v>
      </c>
      <c r="W69" s="41">
        <f t="shared" ca="1" si="29"/>
        <v>0</v>
      </c>
      <c r="X69" s="41">
        <f t="shared" ca="1" si="29"/>
        <v>0</v>
      </c>
      <c r="Y69" s="41">
        <f t="shared" ca="1" si="29"/>
        <v>0</v>
      </c>
      <c r="Z69" s="41">
        <f t="shared" ca="1" si="29"/>
        <v>0</v>
      </c>
      <c r="AA69" s="41">
        <f t="shared" ca="1" si="29"/>
        <v>0</v>
      </c>
      <c r="AB69" s="41">
        <f t="shared" ca="1" si="29"/>
        <v>0</v>
      </c>
      <c r="AC69" s="41">
        <f t="shared" ca="1" si="29"/>
        <v>0</v>
      </c>
      <c r="AD69" s="41">
        <f t="shared" ca="1" si="29"/>
        <v>0</v>
      </c>
      <c r="AE69" s="41">
        <f t="shared" ca="1" si="29"/>
        <v>0</v>
      </c>
      <c r="AF69" s="41">
        <f t="shared" ca="1" si="29"/>
        <v>0</v>
      </c>
      <c r="AG69" s="41">
        <f t="shared" ca="1" si="29"/>
        <v>0</v>
      </c>
      <c r="AH69" s="41">
        <f t="shared" ca="1" si="29"/>
        <v>0</v>
      </c>
      <c r="AI69" s="41">
        <f t="shared" ca="1" si="29"/>
        <v>0</v>
      </c>
      <c r="AJ69" s="41">
        <f t="shared" ref="AJ69:AW69" ca="1" si="30">IF(AJ2-1&lt;$D$40,0,OFFSET(AJ64,0,-$D$40))</f>
        <v>0</v>
      </c>
      <c r="AK69" s="41">
        <f t="shared" ca="1" si="30"/>
        <v>0</v>
      </c>
      <c r="AL69" s="41">
        <f t="shared" ca="1" si="30"/>
        <v>0</v>
      </c>
      <c r="AM69" s="41">
        <f t="shared" ca="1" si="30"/>
        <v>0</v>
      </c>
      <c r="AN69" s="41">
        <f t="shared" ca="1" si="30"/>
        <v>0</v>
      </c>
      <c r="AO69" s="41">
        <f t="shared" ca="1" si="30"/>
        <v>0</v>
      </c>
      <c r="AP69" s="41">
        <f t="shared" ca="1" si="30"/>
        <v>0</v>
      </c>
      <c r="AQ69" s="41">
        <f t="shared" ca="1" si="30"/>
        <v>0</v>
      </c>
      <c r="AR69" s="41">
        <f t="shared" ca="1" si="30"/>
        <v>0</v>
      </c>
      <c r="AS69" s="41">
        <f t="shared" ca="1" si="30"/>
        <v>0</v>
      </c>
      <c r="AT69" s="41">
        <f t="shared" ca="1" si="30"/>
        <v>0</v>
      </c>
      <c r="AU69" s="41">
        <f t="shared" ca="1" si="30"/>
        <v>0</v>
      </c>
      <c r="AV69" s="41">
        <f t="shared" ca="1" si="30"/>
        <v>0</v>
      </c>
      <c r="AW69" s="41">
        <f t="shared" ca="1" si="30"/>
        <v>0</v>
      </c>
    </row>
    <row r="71" spans="2:49">
      <c r="B71" s="10" t="s">
        <v>391</v>
      </c>
    </row>
    <row r="73" spans="2:49">
      <c r="B73" s="2" t="s">
        <v>392</v>
      </c>
      <c r="C73" s="15" t="str">
        <f t="shared" ref="C73:C80" si="31">$C$50</f>
        <v>US$</v>
      </c>
      <c r="D73" s="41">
        <f ca="1">SUM(I73:AI73)</f>
        <v>41704669816.206772</v>
      </c>
      <c r="I73" s="41">
        <f ca="1">IS!I20</f>
        <v>0</v>
      </c>
      <c r="J73" s="41">
        <f ca="1">IS!J20</f>
        <v>-144780637.06971791</v>
      </c>
      <c r="K73" s="41">
        <f ca="1">IS!K20</f>
        <v>600175382.53925037</v>
      </c>
      <c r="L73" s="41">
        <f ca="1">IS!L20</f>
        <v>722114414.97299385</v>
      </c>
      <c r="M73" s="41">
        <f ca="1">IS!M20</f>
        <v>923089326.14268708</v>
      </c>
      <c r="N73" s="41">
        <f ca="1">IS!N20</f>
        <v>1075561532.0887589</v>
      </c>
      <c r="O73" s="41">
        <f ca="1">IS!O20</f>
        <v>1220652373.6061265</v>
      </c>
      <c r="P73" s="41">
        <f ca="1">IS!P20</f>
        <v>1355464210.9276853</v>
      </c>
      <c r="Q73" s="41">
        <f ca="1">IS!Q20</f>
        <v>1494952418.9938285</v>
      </c>
      <c r="R73" s="41">
        <f ca="1">IS!R20</f>
        <v>1641029230.3674881</v>
      </c>
      <c r="S73" s="41">
        <f ca="1">IS!S20</f>
        <v>1786333917.6419415</v>
      </c>
      <c r="T73" s="41">
        <f ca="1">IS!T20</f>
        <v>1903480140.5634525</v>
      </c>
      <c r="U73" s="41">
        <f ca="1">IS!U20</f>
        <v>2025674285.5963249</v>
      </c>
      <c r="V73" s="41">
        <f ca="1">IS!V20</f>
        <v>2154389735.50982</v>
      </c>
      <c r="W73" s="41">
        <f ca="1">IS!W20</f>
        <v>2288430011.3618131</v>
      </c>
      <c r="X73" s="41">
        <f ca="1">IS!X20</f>
        <v>1561027819.9809756</v>
      </c>
      <c r="Y73" s="41">
        <f ca="1">IS!Y20</f>
        <v>1612184256.3094501</v>
      </c>
      <c r="Z73" s="41">
        <f ca="1">IS!Z20</f>
        <v>1666957078.8097529</v>
      </c>
      <c r="AA73" s="41">
        <f ca="1">IS!AA20</f>
        <v>1722656945.8543732</v>
      </c>
      <c r="AB73" s="41">
        <f ca="1">IS!AB20</f>
        <v>1781538899.1219995</v>
      </c>
      <c r="AC73" s="41">
        <f ca="1">IS!AC20</f>
        <v>1842534789.3021364</v>
      </c>
      <c r="AD73" s="41">
        <f ca="1">IS!AD20</f>
        <v>1906373522.2528372</v>
      </c>
      <c r="AE73" s="41">
        <f ca="1">IS!AE20</f>
        <v>1971426675.9354742</v>
      </c>
      <c r="AF73" s="41">
        <f ca="1">IS!AF20</f>
        <v>2039965488.9904046</v>
      </c>
      <c r="AG73" s="41">
        <f ca="1">IS!AG20</f>
        <v>2110586248.1463027</v>
      </c>
      <c r="AH73" s="41">
        <f ca="1">IS!AH20</f>
        <v>2184044282.4184613</v>
      </c>
      <c r="AI73" s="41">
        <f ca="1">IS!AI20</f>
        <v>2258807465.8421593</v>
      </c>
      <c r="AJ73" s="41">
        <f ca="1">IS!AJ20</f>
        <v>2337076254.8463063</v>
      </c>
      <c r="AK73" s="41">
        <f ca="1">IS!AK20</f>
        <v>2448687437.5841827</v>
      </c>
      <c r="AL73" s="41">
        <f ca="1">IS!AL20</f>
        <v>2564252352.0198951</v>
      </c>
      <c r="AM73" s="41">
        <f>IS!AM20</f>
        <v>0</v>
      </c>
      <c r="AN73" s="41">
        <f>IS!AN20</f>
        <v>0</v>
      </c>
      <c r="AO73" s="41">
        <f>IS!AO20</f>
        <v>0</v>
      </c>
      <c r="AP73" s="41">
        <f>IS!AP20</f>
        <v>0</v>
      </c>
      <c r="AQ73" s="41">
        <f>IS!AQ20</f>
        <v>0</v>
      </c>
      <c r="AR73" s="41">
        <f>IS!AR20</f>
        <v>0</v>
      </c>
      <c r="AS73" s="41">
        <f>IS!AS20</f>
        <v>0</v>
      </c>
      <c r="AT73" s="41">
        <f>IS!AT20</f>
        <v>0</v>
      </c>
      <c r="AU73" s="41">
        <f>IS!AU20</f>
        <v>0</v>
      </c>
      <c r="AV73" s="41">
        <f>IS!AV20</f>
        <v>0</v>
      </c>
      <c r="AW73" s="41">
        <f>IS!AW20</f>
        <v>0</v>
      </c>
    </row>
    <row r="74" spans="2:49">
      <c r="B74" s="27" t="s">
        <v>269</v>
      </c>
      <c r="C74" s="28" t="str">
        <f t="shared" si="31"/>
        <v>US$</v>
      </c>
      <c r="D74" s="108">
        <f ca="1">SUM(I74:AI74)</f>
        <v>3696837974.3688354</v>
      </c>
      <c r="E74" s="27"/>
      <c r="F74" s="27"/>
      <c r="G74" s="27"/>
      <c r="H74" s="27"/>
      <c r="I74" s="43">
        <f ca="1">-IS!I13</f>
        <v>0</v>
      </c>
      <c r="J74" s="43">
        <f ca="1">-IS!J13</f>
        <v>0</v>
      </c>
      <c r="K74" s="43">
        <f ca="1">-IS!K13</f>
        <v>147873253.31429383</v>
      </c>
      <c r="L74" s="43">
        <f ca="1">-IS!L13</f>
        <v>147873253.31429383</v>
      </c>
      <c r="M74" s="43">
        <f ca="1">-IS!M13</f>
        <v>147873253.31429383</v>
      </c>
      <c r="N74" s="43">
        <f ca="1">-IS!N13</f>
        <v>147469228.03201434</v>
      </c>
      <c r="O74" s="43">
        <f ca="1">-IS!O13</f>
        <v>148278385.51515493</v>
      </c>
      <c r="P74" s="43">
        <f ca="1">-IS!P13</f>
        <v>147873253.31429383</v>
      </c>
      <c r="Q74" s="43">
        <f ca="1">-IS!Q13</f>
        <v>147873253.31429383</v>
      </c>
      <c r="R74" s="43">
        <f ca="1">-IS!R13</f>
        <v>147469228.03201434</v>
      </c>
      <c r="S74" s="43">
        <f ca="1">-IS!S13</f>
        <v>148278385.51515493</v>
      </c>
      <c r="T74" s="43">
        <f ca="1">-IS!T13</f>
        <v>147873253.31429383</v>
      </c>
      <c r="U74" s="43">
        <f ca="1">-IS!U13</f>
        <v>147873253.31429383</v>
      </c>
      <c r="V74" s="43">
        <f ca="1">-IS!V13</f>
        <v>147469228.03201434</v>
      </c>
      <c r="W74" s="43">
        <f ca="1">-IS!W13</f>
        <v>148278385.51515493</v>
      </c>
      <c r="X74" s="43">
        <f ca="1">-IS!X13</f>
        <v>147873253.31429383</v>
      </c>
      <c r="Y74" s="43">
        <f ca="1">-IS!Y13</f>
        <v>147873253.31429383</v>
      </c>
      <c r="Z74" s="43">
        <f ca="1">-IS!Z13</f>
        <v>147469228.03201434</v>
      </c>
      <c r="AA74" s="43">
        <f ca="1">-IS!AA13</f>
        <v>148278385.51515493</v>
      </c>
      <c r="AB74" s="43">
        <f ca="1">-IS!AB13</f>
        <v>147873253.31429383</v>
      </c>
      <c r="AC74" s="43">
        <f ca="1">-IS!AC13</f>
        <v>147873253.31429383</v>
      </c>
      <c r="AD74" s="43">
        <f ca="1">-IS!AD13</f>
        <v>147469228.03201434</v>
      </c>
      <c r="AE74" s="43">
        <f ca="1">-IS!AE13</f>
        <v>148278385.51515493</v>
      </c>
      <c r="AF74" s="43">
        <f ca="1">-IS!AF13</f>
        <v>147873253.31429383</v>
      </c>
      <c r="AG74" s="43">
        <f ca="1">-IS!AG13</f>
        <v>147873253.31429383</v>
      </c>
      <c r="AH74" s="43">
        <f ca="1">-IS!AH13</f>
        <v>147469228.03201434</v>
      </c>
      <c r="AI74" s="43">
        <f ca="1">-IS!AI13</f>
        <v>148278385.51515493</v>
      </c>
      <c r="AJ74" s="43">
        <f ca="1">-IS!AJ13</f>
        <v>147873253.31429383</v>
      </c>
      <c r="AK74" s="43">
        <f ca="1">-IS!AK13</f>
        <v>147873253.31429383</v>
      </c>
      <c r="AL74" s="43">
        <f ca="1">-IS!AL13</f>
        <v>147866611.80280447</v>
      </c>
      <c r="AM74" s="43">
        <f>-IS!AM13</f>
        <v>0</v>
      </c>
      <c r="AN74" s="43">
        <f>-IS!AN13</f>
        <v>0</v>
      </c>
      <c r="AO74" s="43">
        <f>-IS!AO13</f>
        <v>0</v>
      </c>
      <c r="AP74" s="43">
        <f>-IS!AP13</f>
        <v>0</v>
      </c>
      <c r="AQ74" s="43">
        <f>-IS!AQ13</f>
        <v>0</v>
      </c>
      <c r="AR74" s="43">
        <f>-IS!AR13</f>
        <v>0</v>
      </c>
      <c r="AS74" s="43">
        <f>-IS!AS13</f>
        <v>0</v>
      </c>
      <c r="AT74" s="43">
        <f>-IS!AT13</f>
        <v>0</v>
      </c>
      <c r="AU74" s="43">
        <f>-IS!AU13</f>
        <v>0</v>
      </c>
      <c r="AV74" s="43">
        <f>-IS!AV13</f>
        <v>0</v>
      </c>
      <c r="AW74" s="43">
        <f>-IS!AW13</f>
        <v>0</v>
      </c>
    </row>
    <row r="75" spans="2:49">
      <c r="B75" s="2" t="s">
        <v>393</v>
      </c>
      <c r="C75" s="15" t="str">
        <f t="shared" si="31"/>
        <v>US$</v>
      </c>
      <c r="D75" s="42">
        <f ca="1">SUM(D73:D74)</f>
        <v>45401507790.575607</v>
      </c>
      <c r="I75" s="41">
        <f t="shared" ref="I75:AW75" ca="1" si="32">SUM(I73:I74)</f>
        <v>0</v>
      </c>
      <c r="J75" s="41">
        <f t="shared" ca="1" si="32"/>
        <v>-144780637.06971791</v>
      </c>
      <c r="K75" s="41">
        <f t="shared" ca="1" si="32"/>
        <v>748048635.85354424</v>
      </c>
      <c r="L75" s="41">
        <f t="shared" ca="1" si="32"/>
        <v>869987668.28728771</v>
      </c>
      <c r="M75" s="41">
        <f t="shared" ca="1" si="32"/>
        <v>1070962579.4569809</v>
      </c>
      <c r="N75" s="41">
        <f t="shared" ca="1" si="32"/>
        <v>1223030760.1207733</v>
      </c>
      <c r="O75" s="41">
        <f t="shared" ca="1" si="32"/>
        <v>1368930759.1212814</v>
      </c>
      <c r="P75" s="41">
        <f t="shared" ca="1" si="32"/>
        <v>1503337464.2419791</v>
      </c>
      <c r="Q75" s="41">
        <f t="shared" ca="1" si="32"/>
        <v>1642825672.3081224</v>
      </c>
      <c r="R75" s="41">
        <f t="shared" ca="1" si="32"/>
        <v>1788498458.3995025</v>
      </c>
      <c r="S75" s="41">
        <f t="shared" ca="1" si="32"/>
        <v>1934612303.1570964</v>
      </c>
      <c r="T75" s="41">
        <f t="shared" ca="1" si="32"/>
        <v>2051353393.8777463</v>
      </c>
      <c r="U75" s="41">
        <f t="shared" ca="1" si="32"/>
        <v>2173547538.9106188</v>
      </c>
      <c r="V75" s="41">
        <f t="shared" ca="1" si="32"/>
        <v>2301858963.5418344</v>
      </c>
      <c r="W75" s="41">
        <f t="shared" ca="1" si="32"/>
        <v>2436708396.8769679</v>
      </c>
      <c r="X75" s="41">
        <f t="shared" ca="1" si="32"/>
        <v>1708901073.2952695</v>
      </c>
      <c r="Y75" s="41">
        <f t="shared" ca="1" si="32"/>
        <v>1760057509.623744</v>
      </c>
      <c r="Z75" s="41">
        <f t="shared" ca="1" si="32"/>
        <v>1814426306.8417673</v>
      </c>
      <c r="AA75" s="41">
        <f t="shared" ca="1" si="32"/>
        <v>1870935331.3695281</v>
      </c>
      <c r="AB75" s="41">
        <f t="shared" ca="1" si="32"/>
        <v>1929412152.4362934</v>
      </c>
      <c r="AC75" s="41">
        <f t="shared" ca="1" si="32"/>
        <v>1990408042.6164303</v>
      </c>
      <c r="AD75" s="41">
        <f t="shared" ca="1" si="32"/>
        <v>2053842750.2848516</v>
      </c>
      <c r="AE75" s="41">
        <f t="shared" ca="1" si="32"/>
        <v>2119705061.450629</v>
      </c>
      <c r="AF75" s="41">
        <f t="shared" ca="1" si="32"/>
        <v>2187838742.3046985</v>
      </c>
      <c r="AG75" s="41">
        <f t="shared" ca="1" si="32"/>
        <v>2258459501.4605966</v>
      </c>
      <c r="AH75" s="41">
        <f t="shared" ca="1" si="32"/>
        <v>2331513510.4504757</v>
      </c>
      <c r="AI75" s="41">
        <f t="shared" ca="1" si="32"/>
        <v>2407085851.3573141</v>
      </c>
      <c r="AJ75" s="41">
        <f t="shared" ca="1" si="32"/>
        <v>2484949508.1606002</v>
      </c>
      <c r="AK75" s="41">
        <f t="shared" ca="1" si="32"/>
        <v>2596560690.8984766</v>
      </c>
      <c r="AL75" s="41">
        <f t="shared" ca="1" si="32"/>
        <v>2712118963.8226995</v>
      </c>
      <c r="AM75" s="41">
        <f t="shared" si="32"/>
        <v>0</v>
      </c>
      <c r="AN75" s="41">
        <f t="shared" si="32"/>
        <v>0</v>
      </c>
      <c r="AO75" s="41">
        <f t="shared" si="32"/>
        <v>0</v>
      </c>
      <c r="AP75" s="41">
        <f t="shared" si="32"/>
        <v>0</v>
      </c>
      <c r="AQ75" s="41">
        <f t="shared" si="32"/>
        <v>0</v>
      </c>
      <c r="AR75" s="41">
        <f t="shared" si="32"/>
        <v>0</v>
      </c>
      <c r="AS75" s="41">
        <f t="shared" si="32"/>
        <v>0</v>
      </c>
      <c r="AT75" s="41">
        <f t="shared" si="32"/>
        <v>0</v>
      </c>
      <c r="AU75" s="41">
        <f t="shared" si="32"/>
        <v>0</v>
      </c>
      <c r="AV75" s="41">
        <f t="shared" si="32"/>
        <v>0</v>
      </c>
      <c r="AW75" s="41">
        <f t="shared" si="32"/>
        <v>0</v>
      </c>
    </row>
    <row r="76" spans="2:49">
      <c r="B76" s="27" t="s">
        <v>394</v>
      </c>
      <c r="C76" s="28" t="str">
        <f t="shared" si="31"/>
        <v>US$</v>
      </c>
      <c r="D76" s="108">
        <f ca="1">SUM(D74:D75)</f>
        <v>49098345764.944443</v>
      </c>
      <c r="E76" s="27"/>
      <c r="F76" s="27"/>
      <c r="G76" s="27"/>
      <c r="H76" s="27"/>
      <c r="I76" s="43">
        <f t="shared" ref="I76:AW76" ca="1" si="33">I65</f>
        <v>0</v>
      </c>
      <c r="J76" s="43">
        <f t="shared" ca="1" si="33"/>
        <v>0</v>
      </c>
      <c r="K76" s="43">
        <f t="shared" ca="1" si="33"/>
        <v>-144780637.06971791</v>
      </c>
      <c r="L76" s="43">
        <f t="shared" ca="1" si="33"/>
        <v>0</v>
      </c>
      <c r="M76" s="43">
        <f t="shared" ca="1" si="33"/>
        <v>0</v>
      </c>
      <c r="N76" s="43">
        <f t="shared" ca="1" si="33"/>
        <v>0</v>
      </c>
      <c r="O76" s="43">
        <f t="shared" ca="1" si="33"/>
        <v>0</v>
      </c>
      <c r="P76" s="43">
        <f t="shared" ca="1" si="33"/>
        <v>0</v>
      </c>
      <c r="Q76" s="43">
        <f t="shared" ca="1" si="33"/>
        <v>0</v>
      </c>
      <c r="R76" s="43">
        <f t="shared" ca="1" si="33"/>
        <v>0</v>
      </c>
      <c r="S76" s="43">
        <f t="shared" ca="1" si="33"/>
        <v>0</v>
      </c>
      <c r="T76" s="43">
        <f t="shared" ca="1" si="33"/>
        <v>0</v>
      </c>
      <c r="U76" s="43">
        <f t="shared" ca="1" si="33"/>
        <v>0</v>
      </c>
      <c r="V76" s="43">
        <f t="shared" ca="1" si="33"/>
        <v>0</v>
      </c>
      <c r="W76" s="43">
        <f t="shared" ca="1" si="33"/>
        <v>0</v>
      </c>
      <c r="X76" s="43">
        <f t="shared" ca="1" si="33"/>
        <v>0</v>
      </c>
      <c r="Y76" s="43">
        <f t="shared" ca="1" si="33"/>
        <v>0</v>
      </c>
      <c r="Z76" s="43">
        <f t="shared" ca="1" si="33"/>
        <v>0</v>
      </c>
      <c r="AA76" s="43">
        <f t="shared" ca="1" si="33"/>
        <v>0</v>
      </c>
      <c r="AB76" s="43">
        <f t="shared" ca="1" si="33"/>
        <v>0</v>
      </c>
      <c r="AC76" s="43">
        <f t="shared" ca="1" si="33"/>
        <v>0</v>
      </c>
      <c r="AD76" s="43">
        <f t="shared" ca="1" si="33"/>
        <v>0</v>
      </c>
      <c r="AE76" s="43">
        <f t="shared" ca="1" si="33"/>
        <v>0</v>
      </c>
      <c r="AF76" s="43">
        <f t="shared" ca="1" si="33"/>
        <v>0</v>
      </c>
      <c r="AG76" s="43">
        <f t="shared" ca="1" si="33"/>
        <v>0</v>
      </c>
      <c r="AH76" s="43">
        <f t="shared" ca="1" si="33"/>
        <v>0</v>
      </c>
      <c r="AI76" s="43">
        <f t="shared" ca="1" si="33"/>
        <v>0</v>
      </c>
      <c r="AJ76" s="43">
        <f t="shared" ca="1" si="33"/>
        <v>0</v>
      </c>
      <c r="AK76" s="43">
        <f t="shared" ca="1" si="33"/>
        <v>0</v>
      </c>
      <c r="AL76" s="43">
        <f t="shared" ca="1" si="33"/>
        <v>0</v>
      </c>
      <c r="AM76" s="43">
        <f t="shared" ca="1" si="33"/>
        <v>0</v>
      </c>
      <c r="AN76" s="43">
        <f t="shared" ca="1" si="33"/>
        <v>0</v>
      </c>
      <c r="AO76" s="43">
        <f t="shared" ca="1" si="33"/>
        <v>0</v>
      </c>
      <c r="AP76" s="43">
        <f t="shared" ca="1" si="33"/>
        <v>0</v>
      </c>
      <c r="AQ76" s="43">
        <f t="shared" ca="1" si="33"/>
        <v>0</v>
      </c>
      <c r="AR76" s="43">
        <f t="shared" ca="1" si="33"/>
        <v>0</v>
      </c>
      <c r="AS76" s="43">
        <f t="shared" ca="1" si="33"/>
        <v>0</v>
      </c>
      <c r="AT76" s="43">
        <f t="shared" ca="1" si="33"/>
        <v>0</v>
      </c>
      <c r="AU76" s="43">
        <f t="shared" ca="1" si="33"/>
        <v>0</v>
      </c>
      <c r="AV76" s="43">
        <f t="shared" ca="1" si="33"/>
        <v>0</v>
      </c>
      <c r="AW76" s="43">
        <f t="shared" ca="1" si="33"/>
        <v>0</v>
      </c>
    </row>
    <row r="77" spans="2:49">
      <c r="B77" s="2" t="s">
        <v>395</v>
      </c>
      <c r="C77" s="15" t="str">
        <f t="shared" si="31"/>
        <v>US$</v>
      </c>
      <c r="D77" s="42">
        <f ca="1">SUM(D75:D76)</f>
        <v>94499853555.52005</v>
      </c>
      <c r="I77" s="41">
        <f t="shared" ref="I77:AW77" ca="1" si="34">IF(SUM(I75:I76)&lt;0,0,SUM(I75:I76))</f>
        <v>0</v>
      </c>
      <c r="J77" s="41">
        <f t="shared" ca="1" si="34"/>
        <v>0</v>
      </c>
      <c r="K77" s="41">
        <f t="shared" ca="1" si="34"/>
        <v>603267998.78382635</v>
      </c>
      <c r="L77" s="41">
        <f t="shared" ca="1" si="34"/>
        <v>869987668.28728771</v>
      </c>
      <c r="M77" s="41">
        <f t="shared" ca="1" si="34"/>
        <v>1070962579.4569809</v>
      </c>
      <c r="N77" s="41">
        <f t="shared" ca="1" si="34"/>
        <v>1223030760.1207733</v>
      </c>
      <c r="O77" s="41">
        <f t="shared" ca="1" si="34"/>
        <v>1368930759.1212814</v>
      </c>
      <c r="P77" s="41">
        <f t="shared" ca="1" si="34"/>
        <v>1503337464.2419791</v>
      </c>
      <c r="Q77" s="41">
        <f t="shared" ca="1" si="34"/>
        <v>1642825672.3081224</v>
      </c>
      <c r="R77" s="41">
        <f t="shared" ca="1" si="34"/>
        <v>1788498458.3995025</v>
      </c>
      <c r="S77" s="41">
        <f t="shared" ca="1" si="34"/>
        <v>1934612303.1570964</v>
      </c>
      <c r="T77" s="41">
        <f t="shared" ca="1" si="34"/>
        <v>2051353393.8777463</v>
      </c>
      <c r="U77" s="41">
        <f t="shared" ca="1" si="34"/>
        <v>2173547538.9106188</v>
      </c>
      <c r="V77" s="41">
        <f t="shared" ca="1" si="34"/>
        <v>2301858963.5418344</v>
      </c>
      <c r="W77" s="41">
        <f t="shared" ca="1" si="34"/>
        <v>2436708396.8769679</v>
      </c>
      <c r="X77" s="41">
        <f t="shared" ca="1" si="34"/>
        <v>1708901073.2952695</v>
      </c>
      <c r="Y77" s="41">
        <f t="shared" ca="1" si="34"/>
        <v>1760057509.623744</v>
      </c>
      <c r="Z77" s="41">
        <f t="shared" ca="1" si="34"/>
        <v>1814426306.8417673</v>
      </c>
      <c r="AA77" s="41">
        <f t="shared" ca="1" si="34"/>
        <v>1870935331.3695281</v>
      </c>
      <c r="AB77" s="41">
        <f t="shared" ca="1" si="34"/>
        <v>1929412152.4362934</v>
      </c>
      <c r="AC77" s="41">
        <f t="shared" ca="1" si="34"/>
        <v>1990408042.6164303</v>
      </c>
      <c r="AD77" s="41">
        <f t="shared" ca="1" si="34"/>
        <v>2053842750.2848516</v>
      </c>
      <c r="AE77" s="41">
        <f t="shared" ca="1" si="34"/>
        <v>2119705061.450629</v>
      </c>
      <c r="AF77" s="41">
        <f t="shared" ca="1" si="34"/>
        <v>2187838742.3046985</v>
      </c>
      <c r="AG77" s="41">
        <f t="shared" ca="1" si="34"/>
        <v>2258459501.4605966</v>
      </c>
      <c r="AH77" s="41">
        <f t="shared" ca="1" si="34"/>
        <v>2331513510.4504757</v>
      </c>
      <c r="AI77" s="41">
        <f t="shared" ca="1" si="34"/>
        <v>2407085851.3573141</v>
      </c>
      <c r="AJ77" s="41">
        <f t="shared" ca="1" si="34"/>
        <v>2484949508.1606002</v>
      </c>
      <c r="AK77" s="41">
        <f t="shared" ca="1" si="34"/>
        <v>2596560690.8984766</v>
      </c>
      <c r="AL77" s="41">
        <f t="shared" ca="1" si="34"/>
        <v>2712118963.8226995</v>
      </c>
      <c r="AM77" s="41">
        <f t="shared" ca="1" si="34"/>
        <v>0</v>
      </c>
      <c r="AN77" s="41">
        <f t="shared" ca="1" si="34"/>
        <v>0</v>
      </c>
      <c r="AO77" s="41">
        <f t="shared" ca="1" si="34"/>
        <v>0</v>
      </c>
      <c r="AP77" s="41">
        <f t="shared" ca="1" si="34"/>
        <v>0</v>
      </c>
      <c r="AQ77" s="41">
        <f t="shared" ca="1" si="34"/>
        <v>0</v>
      </c>
      <c r="AR77" s="41">
        <f t="shared" ca="1" si="34"/>
        <v>0</v>
      </c>
      <c r="AS77" s="41">
        <f t="shared" ca="1" si="34"/>
        <v>0</v>
      </c>
      <c r="AT77" s="41">
        <f t="shared" ca="1" si="34"/>
        <v>0</v>
      </c>
      <c r="AU77" s="41">
        <f t="shared" ca="1" si="34"/>
        <v>0</v>
      </c>
      <c r="AV77" s="41">
        <f t="shared" ca="1" si="34"/>
        <v>0</v>
      </c>
      <c r="AW77" s="41">
        <f t="shared" ca="1" si="34"/>
        <v>0</v>
      </c>
    </row>
    <row r="78" spans="2:49">
      <c r="B78" s="2" t="s">
        <v>396</v>
      </c>
      <c r="C78" s="15" t="str">
        <f t="shared" si="31"/>
        <v>US$</v>
      </c>
      <c r="D78" s="42">
        <f ca="1">SUM(I78:AI78)</f>
        <v>-4140451092.8002272</v>
      </c>
      <c r="I78" s="53">
        <f t="shared" ref="I78:AI78" si="35">I59</f>
        <v>0</v>
      </c>
      <c r="J78" s="53">
        <f t="shared" si="35"/>
        <v>0</v>
      </c>
      <c r="K78" s="53">
        <f t="shared" si="35"/>
        <v>0</v>
      </c>
      <c r="L78" s="53">
        <f t="shared" si="35"/>
        <v>0</v>
      </c>
      <c r="M78" s="53">
        <f t="shared" si="35"/>
        <v>0</v>
      </c>
      <c r="N78" s="53">
        <f t="shared" ca="1" si="35"/>
        <v>-815394607.77251947</v>
      </c>
      <c r="O78" s="53">
        <f t="shared" ca="1" si="35"/>
        <v>-912666137.10615826</v>
      </c>
      <c r="P78" s="53">
        <f t="shared" ca="1" si="35"/>
        <v>-1002275087.4101274</v>
      </c>
      <c r="Q78" s="53">
        <f t="shared" ca="1" si="35"/>
        <v>-1095271875.7278252</v>
      </c>
      <c r="R78" s="53">
        <f t="shared" ca="1" si="35"/>
        <v>-314843384.78359723</v>
      </c>
      <c r="S78" s="53">
        <f t="shared" ca="1" si="35"/>
        <v>0</v>
      </c>
      <c r="T78" s="53">
        <f t="shared" ca="1" si="35"/>
        <v>0</v>
      </c>
      <c r="U78" s="53">
        <f t="shared" ca="1" si="35"/>
        <v>0</v>
      </c>
      <c r="V78" s="53">
        <f t="shared" ca="1" si="35"/>
        <v>0</v>
      </c>
      <c r="W78" s="53">
        <f t="shared" ca="1" si="35"/>
        <v>0</v>
      </c>
      <c r="X78" s="53">
        <f t="shared" ca="1" si="35"/>
        <v>0</v>
      </c>
      <c r="Y78" s="53">
        <f t="shared" ca="1" si="35"/>
        <v>0</v>
      </c>
      <c r="Z78" s="53">
        <f t="shared" ca="1" si="35"/>
        <v>0</v>
      </c>
      <c r="AA78" s="53">
        <f t="shared" ca="1" si="35"/>
        <v>0</v>
      </c>
      <c r="AB78" s="53">
        <f t="shared" ca="1" si="35"/>
        <v>0</v>
      </c>
      <c r="AC78" s="53">
        <f t="shared" ca="1" si="35"/>
        <v>0</v>
      </c>
      <c r="AD78" s="53">
        <f t="shared" ca="1" si="35"/>
        <v>0</v>
      </c>
      <c r="AE78" s="53">
        <f t="shared" ca="1" si="35"/>
        <v>0</v>
      </c>
      <c r="AF78" s="53">
        <f t="shared" ca="1" si="35"/>
        <v>0</v>
      </c>
      <c r="AG78" s="53">
        <f t="shared" ca="1" si="35"/>
        <v>0</v>
      </c>
      <c r="AH78" s="53">
        <f t="shared" ca="1" si="35"/>
        <v>0</v>
      </c>
      <c r="AI78" s="53">
        <f t="shared" ca="1" si="35"/>
        <v>0</v>
      </c>
      <c r="AJ78" s="53">
        <f t="shared" ref="AJ78:AV78" ca="1" si="36">AJ59</f>
        <v>0</v>
      </c>
      <c r="AK78" s="53">
        <f t="shared" ca="1" si="36"/>
        <v>0</v>
      </c>
      <c r="AL78" s="53">
        <f t="shared" ca="1" si="36"/>
        <v>0</v>
      </c>
      <c r="AM78" s="53">
        <f t="shared" ca="1" si="36"/>
        <v>0</v>
      </c>
      <c r="AN78" s="53">
        <f t="shared" ca="1" si="36"/>
        <v>0</v>
      </c>
      <c r="AO78" s="53">
        <f t="shared" ca="1" si="36"/>
        <v>0</v>
      </c>
      <c r="AP78" s="53">
        <f t="shared" ca="1" si="36"/>
        <v>0</v>
      </c>
      <c r="AQ78" s="53">
        <f t="shared" ca="1" si="36"/>
        <v>0</v>
      </c>
      <c r="AR78" s="53">
        <f t="shared" ca="1" si="36"/>
        <v>0</v>
      </c>
      <c r="AS78" s="53">
        <f t="shared" ca="1" si="36"/>
        <v>0</v>
      </c>
      <c r="AT78" s="53">
        <f t="shared" ca="1" si="36"/>
        <v>0</v>
      </c>
      <c r="AU78" s="53">
        <f t="shared" ca="1" si="36"/>
        <v>0</v>
      </c>
      <c r="AV78" s="53">
        <f t="shared" ca="1" si="36"/>
        <v>0</v>
      </c>
    </row>
    <row r="79" spans="2:49">
      <c r="B79" s="27" t="s">
        <v>195</v>
      </c>
      <c r="C79" s="28" t="str">
        <f t="shared" si="31"/>
        <v>US$</v>
      </c>
      <c r="D79" s="108">
        <f ca="1">SUM(I79:AI79)</f>
        <v>0</v>
      </c>
      <c r="E79" s="27"/>
      <c r="F79" s="27"/>
      <c r="G79" s="27"/>
      <c r="H79" s="27"/>
      <c r="I79" s="43">
        <f ca="1">IF(SUM(I57:I58)&lt;($D$42*I77),I54,0)*I48</f>
        <v>0</v>
      </c>
      <c r="J79" s="43">
        <f t="shared" ref="J79:AI79" ca="1" si="37">IF(SUM(J57:J58)&lt;($D$42*J77),J54,0)*J48</f>
        <v>0</v>
      </c>
      <c r="K79" s="43">
        <f t="shared" ca="1" si="37"/>
        <v>0</v>
      </c>
      <c r="L79" s="43">
        <f t="shared" ca="1" si="37"/>
        <v>0</v>
      </c>
      <c r="M79" s="43">
        <f t="shared" ca="1" si="37"/>
        <v>0</v>
      </c>
      <c r="N79" s="43">
        <f t="shared" ca="1" si="37"/>
        <v>0</v>
      </c>
      <c r="O79" s="43">
        <f t="shared" ca="1" si="37"/>
        <v>0</v>
      </c>
      <c r="P79" s="43">
        <f t="shared" ca="1" si="37"/>
        <v>0</v>
      </c>
      <c r="Q79" s="43">
        <f t="shared" ca="1" si="37"/>
        <v>0</v>
      </c>
      <c r="R79" s="43">
        <f t="shared" ca="1" si="37"/>
        <v>0</v>
      </c>
      <c r="S79" s="43">
        <f t="shared" ca="1" si="37"/>
        <v>0</v>
      </c>
      <c r="T79" s="43">
        <f t="shared" ca="1" si="37"/>
        <v>0</v>
      </c>
      <c r="U79" s="43">
        <f t="shared" ca="1" si="37"/>
        <v>0</v>
      </c>
      <c r="V79" s="43">
        <f t="shared" ca="1" si="37"/>
        <v>0</v>
      </c>
      <c r="W79" s="43">
        <f t="shared" ca="1" si="37"/>
        <v>0</v>
      </c>
      <c r="X79" s="43">
        <f t="shared" ca="1" si="37"/>
        <v>0</v>
      </c>
      <c r="Y79" s="43">
        <f t="shared" ca="1" si="37"/>
        <v>0</v>
      </c>
      <c r="Z79" s="43">
        <f t="shared" ca="1" si="37"/>
        <v>0</v>
      </c>
      <c r="AA79" s="43">
        <f t="shared" ca="1" si="37"/>
        <v>0</v>
      </c>
      <c r="AB79" s="43">
        <f t="shared" ca="1" si="37"/>
        <v>0</v>
      </c>
      <c r="AC79" s="43">
        <f t="shared" ca="1" si="37"/>
        <v>0</v>
      </c>
      <c r="AD79" s="43">
        <f t="shared" ca="1" si="37"/>
        <v>0</v>
      </c>
      <c r="AE79" s="43">
        <f t="shared" ca="1" si="37"/>
        <v>0</v>
      </c>
      <c r="AF79" s="43">
        <f t="shared" ca="1" si="37"/>
        <v>0</v>
      </c>
      <c r="AG79" s="43">
        <f t="shared" ca="1" si="37"/>
        <v>0</v>
      </c>
      <c r="AH79" s="43">
        <f t="shared" ca="1" si="37"/>
        <v>0</v>
      </c>
      <c r="AI79" s="43">
        <f t="shared" ca="1" si="37"/>
        <v>0</v>
      </c>
      <c r="AJ79" s="43">
        <f t="shared" ref="AJ79:AV79" ca="1" si="38">IF(SUM(AJ57:AJ58)&lt;($D$42*AJ77),AJ54,0)*AJ48</f>
        <v>0</v>
      </c>
      <c r="AK79" s="43">
        <f t="shared" ca="1" si="38"/>
        <v>0</v>
      </c>
      <c r="AL79" s="43">
        <f t="shared" ca="1" si="38"/>
        <v>0</v>
      </c>
      <c r="AM79" s="43">
        <f t="shared" ca="1" si="38"/>
        <v>0</v>
      </c>
      <c r="AN79" s="43">
        <f t="shared" ca="1" si="38"/>
        <v>0</v>
      </c>
      <c r="AO79" s="43">
        <f t="shared" ca="1" si="38"/>
        <v>0</v>
      </c>
      <c r="AP79" s="43">
        <f t="shared" ca="1" si="38"/>
        <v>0</v>
      </c>
      <c r="AQ79" s="43">
        <f t="shared" ca="1" si="38"/>
        <v>0</v>
      </c>
      <c r="AR79" s="43">
        <f t="shared" ca="1" si="38"/>
        <v>0</v>
      </c>
      <c r="AS79" s="43">
        <f t="shared" ca="1" si="38"/>
        <v>0</v>
      </c>
      <c r="AT79" s="43">
        <f t="shared" ca="1" si="38"/>
        <v>0</v>
      </c>
      <c r="AU79" s="43">
        <f t="shared" ca="1" si="38"/>
        <v>0</v>
      </c>
      <c r="AV79" s="43">
        <f t="shared" ca="1" si="38"/>
        <v>0</v>
      </c>
    </row>
    <row r="80" spans="2:49">
      <c r="B80" s="2" t="s">
        <v>397</v>
      </c>
      <c r="C80" s="15" t="str">
        <f t="shared" si="31"/>
        <v>US$</v>
      </c>
      <c r="D80" s="42">
        <f ca="1">SUM(D77:D79)</f>
        <v>90359402462.719818</v>
      </c>
      <c r="I80" s="41">
        <f t="shared" ref="I80:AW80" si="39">IF(I2&gt;$D$33,SUM(I77:I79),0)</f>
        <v>0</v>
      </c>
      <c r="J80" s="41">
        <f t="shared" si="39"/>
        <v>0</v>
      </c>
      <c r="K80" s="41">
        <f t="shared" si="39"/>
        <v>0</v>
      </c>
      <c r="L80" s="41">
        <f t="shared" si="39"/>
        <v>0</v>
      </c>
      <c r="M80" s="41">
        <f t="shared" si="39"/>
        <v>0</v>
      </c>
      <c r="N80" s="41">
        <f t="shared" ca="1" si="39"/>
        <v>407636152.34825385</v>
      </c>
      <c r="O80" s="41">
        <f t="shared" ca="1" si="39"/>
        <v>456264622.01512313</v>
      </c>
      <c r="P80" s="41">
        <f t="shared" ca="1" si="39"/>
        <v>501062376.83185172</v>
      </c>
      <c r="Q80" s="41">
        <f t="shared" ca="1" si="39"/>
        <v>547553796.58029723</v>
      </c>
      <c r="R80" s="41">
        <f t="shared" ca="1" si="39"/>
        <v>1473655073.6159053</v>
      </c>
      <c r="S80" s="41">
        <f t="shared" ca="1" si="39"/>
        <v>1934612303.1570964</v>
      </c>
      <c r="T80" s="41">
        <f t="shared" ca="1" si="39"/>
        <v>2051353393.8777463</v>
      </c>
      <c r="U80" s="41">
        <f t="shared" ca="1" si="39"/>
        <v>2173547538.9106188</v>
      </c>
      <c r="V80" s="41">
        <f t="shared" ca="1" si="39"/>
        <v>2301858963.5418344</v>
      </c>
      <c r="W80" s="41">
        <f t="shared" ca="1" si="39"/>
        <v>2436708396.8769679</v>
      </c>
      <c r="X80" s="41">
        <f t="shared" ca="1" si="39"/>
        <v>1708901073.2952695</v>
      </c>
      <c r="Y80" s="41">
        <f t="shared" ca="1" si="39"/>
        <v>1760057509.623744</v>
      </c>
      <c r="Z80" s="41">
        <f t="shared" ca="1" si="39"/>
        <v>1814426306.8417673</v>
      </c>
      <c r="AA80" s="41">
        <f t="shared" ca="1" si="39"/>
        <v>1870935331.3695281</v>
      </c>
      <c r="AB80" s="41">
        <f t="shared" ca="1" si="39"/>
        <v>1929412152.4362934</v>
      </c>
      <c r="AC80" s="41">
        <f t="shared" ca="1" si="39"/>
        <v>1990408042.6164303</v>
      </c>
      <c r="AD80" s="41">
        <f t="shared" ca="1" si="39"/>
        <v>2053842750.2848516</v>
      </c>
      <c r="AE80" s="41">
        <f t="shared" ca="1" si="39"/>
        <v>2119705061.450629</v>
      </c>
      <c r="AF80" s="41">
        <f t="shared" ca="1" si="39"/>
        <v>2187838742.3046985</v>
      </c>
      <c r="AG80" s="41">
        <f t="shared" ca="1" si="39"/>
        <v>2258459501.4605966</v>
      </c>
      <c r="AH80" s="41">
        <f t="shared" ca="1" si="39"/>
        <v>2331513510.4504757</v>
      </c>
      <c r="AI80" s="41">
        <f t="shared" ca="1" si="39"/>
        <v>2407085851.3573141</v>
      </c>
      <c r="AJ80" s="41">
        <f t="shared" ca="1" si="39"/>
        <v>2484949508.1606002</v>
      </c>
      <c r="AK80" s="41">
        <f t="shared" ca="1" si="39"/>
        <v>2596560690.8984766</v>
      </c>
      <c r="AL80" s="41">
        <f t="shared" ca="1" si="39"/>
        <v>2712118963.8226995</v>
      </c>
      <c r="AM80" s="41">
        <f t="shared" ca="1" si="39"/>
        <v>0</v>
      </c>
      <c r="AN80" s="41">
        <f t="shared" ca="1" si="39"/>
        <v>0</v>
      </c>
      <c r="AO80" s="41">
        <f t="shared" ca="1" si="39"/>
        <v>0</v>
      </c>
      <c r="AP80" s="41">
        <f t="shared" ca="1" si="39"/>
        <v>0</v>
      </c>
      <c r="AQ80" s="41">
        <f t="shared" ca="1" si="39"/>
        <v>0</v>
      </c>
      <c r="AR80" s="41">
        <f t="shared" ca="1" si="39"/>
        <v>0</v>
      </c>
      <c r="AS80" s="41">
        <f t="shared" ca="1" si="39"/>
        <v>0</v>
      </c>
      <c r="AT80" s="41">
        <f t="shared" ca="1" si="39"/>
        <v>0</v>
      </c>
      <c r="AU80" s="41">
        <f t="shared" ca="1" si="39"/>
        <v>0</v>
      </c>
      <c r="AV80" s="41">
        <f t="shared" ca="1" si="39"/>
        <v>0</v>
      </c>
      <c r="AW80" s="41">
        <f t="shared" ca="1" si="39"/>
        <v>0</v>
      </c>
    </row>
    <row r="82" spans="2:49">
      <c r="B82" s="10" t="s">
        <v>398</v>
      </c>
    </row>
    <row r="83" spans="2:49">
      <c r="B83" s="2" t="s">
        <v>399</v>
      </c>
      <c r="C83" s="15" t="str">
        <f>$C$50</f>
        <v>US$</v>
      </c>
      <c r="D83" s="42">
        <f ca="1">SUM(I83:AI83)</f>
        <v>11615051535.374189</v>
      </c>
      <c r="I83" s="41">
        <f t="shared" ref="I83:AI83" si="40">I80*$D$37</f>
        <v>0</v>
      </c>
      <c r="J83" s="41">
        <f t="shared" si="40"/>
        <v>0</v>
      </c>
      <c r="K83" s="41">
        <f t="shared" si="40"/>
        <v>0</v>
      </c>
      <c r="L83" s="41">
        <f t="shared" si="40"/>
        <v>0</v>
      </c>
      <c r="M83" s="41">
        <f t="shared" si="40"/>
        <v>0</v>
      </c>
      <c r="N83" s="41">
        <f ca="1">N80*$D$37</f>
        <v>122290845.70447615</v>
      </c>
      <c r="O83" s="41">
        <f t="shared" ca="1" si="40"/>
        <v>136879386.60453692</v>
      </c>
      <c r="P83" s="41">
        <f t="shared" ca="1" si="40"/>
        <v>150318713.04955551</v>
      </c>
      <c r="Q83" s="41">
        <f t="shared" ca="1" si="40"/>
        <v>164266138.97408918</v>
      </c>
      <c r="R83" s="41">
        <f t="shared" ca="1" si="40"/>
        <v>442096522.08477157</v>
      </c>
      <c r="S83" s="41">
        <f t="shared" ca="1" si="40"/>
        <v>580383690.94712889</v>
      </c>
      <c r="T83" s="41">
        <f t="shared" ca="1" si="40"/>
        <v>615406018.16332388</v>
      </c>
      <c r="U83" s="41">
        <f t="shared" ca="1" si="40"/>
        <v>652064261.67318559</v>
      </c>
      <c r="V83" s="41">
        <f t="shared" ca="1" si="40"/>
        <v>690557689.06255031</v>
      </c>
      <c r="W83" s="41">
        <f t="shared" ca="1" si="40"/>
        <v>731012519.06309032</v>
      </c>
      <c r="X83" s="41">
        <f t="shared" ca="1" si="40"/>
        <v>512670321.98858082</v>
      </c>
      <c r="Y83" s="41">
        <f t="shared" ca="1" si="40"/>
        <v>528017252.88712317</v>
      </c>
      <c r="Z83" s="41">
        <f t="shared" ca="1" si="40"/>
        <v>544327892.05253017</v>
      </c>
      <c r="AA83" s="41">
        <f t="shared" ca="1" si="40"/>
        <v>561280599.41085839</v>
      </c>
      <c r="AB83" s="41">
        <f t="shared" ca="1" si="40"/>
        <v>578823645.73088801</v>
      </c>
      <c r="AC83" s="41">
        <f t="shared" ca="1" si="40"/>
        <v>597122412.78492904</v>
      </c>
      <c r="AD83" s="41">
        <f t="shared" ca="1" si="40"/>
        <v>616152825.08545542</v>
      </c>
      <c r="AE83" s="41">
        <f t="shared" ca="1" si="40"/>
        <v>635911518.43518865</v>
      </c>
      <c r="AF83" s="41">
        <f t="shared" ca="1" si="40"/>
        <v>656351622.69140947</v>
      </c>
      <c r="AG83" s="41">
        <f t="shared" ca="1" si="40"/>
        <v>677537850.4381789</v>
      </c>
      <c r="AH83" s="41">
        <f t="shared" ca="1" si="40"/>
        <v>699454053.13514268</v>
      </c>
      <c r="AI83" s="41">
        <f t="shared" ca="1" si="40"/>
        <v>722125755.40719426</v>
      </c>
      <c r="AJ83" s="41">
        <f t="shared" ref="AJ83:AW83" ca="1" si="41">AJ80*$D$37</f>
        <v>745484852.44818008</v>
      </c>
      <c r="AK83" s="41">
        <f t="shared" ca="1" si="41"/>
        <v>778968207.26954293</v>
      </c>
      <c r="AL83" s="41">
        <f t="shared" ca="1" si="41"/>
        <v>813635689.14680982</v>
      </c>
      <c r="AM83" s="41">
        <f t="shared" ca="1" si="41"/>
        <v>0</v>
      </c>
      <c r="AN83" s="41">
        <f t="shared" ca="1" si="41"/>
        <v>0</v>
      </c>
      <c r="AO83" s="41">
        <f t="shared" ca="1" si="41"/>
        <v>0</v>
      </c>
      <c r="AP83" s="41">
        <f t="shared" ca="1" si="41"/>
        <v>0</v>
      </c>
      <c r="AQ83" s="41">
        <f t="shared" ca="1" si="41"/>
        <v>0</v>
      </c>
      <c r="AR83" s="41">
        <f t="shared" ca="1" si="41"/>
        <v>0</v>
      </c>
      <c r="AS83" s="41">
        <f t="shared" ca="1" si="41"/>
        <v>0</v>
      </c>
      <c r="AT83" s="41">
        <f t="shared" ca="1" si="41"/>
        <v>0</v>
      </c>
      <c r="AU83" s="41">
        <f t="shared" ca="1" si="41"/>
        <v>0</v>
      </c>
      <c r="AV83" s="41">
        <f t="shared" ca="1" si="41"/>
        <v>0</v>
      </c>
      <c r="AW83" s="41">
        <f t="shared" ca="1" si="41"/>
        <v>0</v>
      </c>
    </row>
    <row r="84" spans="2:49">
      <c r="B84" s="27" t="s">
        <v>375</v>
      </c>
      <c r="C84" s="28" t="str">
        <f>$C$50</f>
        <v>US$</v>
      </c>
      <c r="D84" s="108">
        <f ca="1">SUM(I84:AI84)</f>
        <v>1285718686.3214257</v>
      </c>
      <c r="E84" s="27"/>
      <c r="F84" s="27"/>
      <c r="G84" s="27"/>
      <c r="H84" s="27"/>
      <c r="I84" s="43">
        <f ca="1">IF(AND(I77&gt;0,I2&gt;$D$33),I77*$D$38,0)</f>
        <v>0</v>
      </c>
      <c r="J84" s="43">
        <f t="shared" ref="J84:AI84" ca="1" si="42">IF(AND(J77&gt;0,J2&gt;$D$33),J77*$D$38,0)</f>
        <v>0</v>
      </c>
      <c r="K84" s="43">
        <f t="shared" ca="1" si="42"/>
        <v>0</v>
      </c>
      <c r="L84" s="43">
        <f t="shared" ca="1" si="42"/>
        <v>0</v>
      </c>
      <c r="M84" s="43">
        <f t="shared" ca="1" si="42"/>
        <v>0</v>
      </c>
      <c r="N84" s="43">
        <f t="shared" ca="1" si="42"/>
        <v>36690922.803623199</v>
      </c>
      <c r="O84" s="43">
        <f t="shared" ca="1" si="42"/>
        <v>41067922.773638442</v>
      </c>
      <c r="P84" s="43">
        <f t="shared" ca="1" si="42"/>
        <v>45100123.927259371</v>
      </c>
      <c r="Q84" s="43">
        <f t="shared" ca="1" si="42"/>
        <v>49284770.169243671</v>
      </c>
      <c r="R84" s="43">
        <f t="shared" ca="1" si="42"/>
        <v>53654953.751985073</v>
      </c>
      <c r="S84" s="43">
        <f t="shared" ca="1" si="42"/>
        <v>58038369.094712891</v>
      </c>
      <c r="T84" s="43">
        <f t="shared" ca="1" si="42"/>
        <v>61540601.816332385</v>
      </c>
      <c r="U84" s="43">
        <f t="shared" ca="1" si="42"/>
        <v>65206426.16731856</v>
      </c>
      <c r="V84" s="43">
        <f t="shared" ca="1" si="42"/>
        <v>69055768.906255022</v>
      </c>
      <c r="W84" s="43">
        <f t="shared" ca="1" si="42"/>
        <v>73101251.906309038</v>
      </c>
      <c r="X84" s="43">
        <f t="shared" ca="1" si="42"/>
        <v>51267032.198858082</v>
      </c>
      <c r="Y84" s="43">
        <f t="shared" ca="1" si="42"/>
        <v>52801725.288712315</v>
      </c>
      <c r="Z84" s="43">
        <f t="shared" ca="1" si="42"/>
        <v>54432789.20525302</v>
      </c>
      <c r="AA84" s="43">
        <f t="shared" ca="1" si="42"/>
        <v>56128059.941085838</v>
      </c>
      <c r="AB84" s="43">
        <f t="shared" ca="1" si="42"/>
        <v>57882364.573088802</v>
      </c>
      <c r="AC84" s="43">
        <f t="shared" ca="1" si="42"/>
        <v>59712241.278492905</v>
      </c>
      <c r="AD84" s="43">
        <f t="shared" ca="1" si="42"/>
        <v>61615282.508545548</v>
      </c>
      <c r="AE84" s="43">
        <f t="shared" ca="1" si="42"/>
        <v>63591151.843518868</v>
      </c>
      <c r="AF84" s="43">
        <f t="shared" ca="1" si="42"/>
        <v>65635162.269140951</v>
      </c>
      <c r="AG84" s="43">
        <f t="shared" ca="1" si="42"/>
        <v>67753785.043817893</v>
      </c>
      <c r="AH84" s="43">
        <f t="shared" ca="1" si="42"/>
        <v>69945405.313514262</v>
      </c>
      <c r="AI84" s="43">
        <f t="shared" ca="1" si="42"/>
        <v>72212575.54071942</v>
      </c>
      <c r="AJ84" s="43">
        <f t="shared" ref="AJ84:AW84" ca="1" si="43">IF(AND(AJ77&gt;0,AJ2&gt;$D$33),AJ77*$D$38,0)</f>
        <v>74548485.244818002</v>
      </c>
      <c r="AK84" s="43">
        <f t="shared" ca="1" si="43"/>
        <v>77896820.726954296</v>
      </c>
      <c r="AL84" s="43">
        <f t="shared" ca="1" si="43"/>
        <v>81363568.914680988</v>
      </c>
      <c r="AM84" s="43">
        <f t="shared" ca="1" si="43"/>
        <v>0</v>
      </c>
      <c r="AN84" s="43">
        <f t="shared" ca="1" si="43"/>
        <v>0</v>
      </c>
      <c r="AO84" s="43">
        <f t="shared" ca="1" si="43"/>
        <v>0</v>
      </c>
      <c r="AP84" s="43">
        <f t="shared" ca="1" si="43"/>
        <v>0</v>
      </c>
      <c r="AQ84" s="43">
        <f t="shared" ca="1" si="43"/>
        <v>0</v>
      </c>
      <c r="AR84" s="43">
        <f t="shared" ca="1" si="43"/>
        <v>0</v>
      </c>
      <c r="AS84" s="43">
        <f t="shared" ca="1" si="43"/>
        <v>0</v>
      </c>
      <c r="AT84" s="43">
        <f t="shared" ca="1" si="43"/>
        <v>0</v>
      </c>
      <c r="AU84" s="43">
        <f t="shared" ca="1" si="43"/>
        <v>0</v>
      </c>
      <c r="AV84" s="43">
        <f t="shared" ca="1" si="43"/>
        <v>0</v>
      </c>
      <c r="AW84" s="43">
        <f t="shared" ca="1" si="43"/>
        <v>0</v>
      </c>
    </row>
    <row r="85" spans="2:49">
      <c r="B85" s="2" t="s">
        <v>71</v>
      </c>
      <c r="C85" s="15" t="str">
        <f>$C$50</f>
        <v>US$</v>
      </c>
      <c r="D85" s="42">
        <f ca="1">SUM(D82:D84)</f>
        <v>12900770221.695616</v>
      </c>
      <c r="I85" s="41">
        <f t="shared" ref="I85:AW85" ca="1" si="44">SUM(I83:I84)</f>
        <v>0</v>
      </c>
      <c r="J85" s="41">
        <f t="shared" ca="1" si="44"/>
        <v>0</v>
      </c>
      <c r="K85" s="41">
        <f t="shared" ca="1" si="44"/>
        <v>0</v>
      </c>
      <c r="L85" s="41">
        <f t="shared" ca="1" si="44"/>
        <v>0</v>
      </c>
      <c r="M85" s="41">
        <f t="shared" ca="1" si="44"/>
        <v>0</v>
      </c>
      <c r="N85" s="41">
        <f t="shared" ca="1" si="44"/>
        <v>158981768.50809935</v>
      </c>
      <c r="O85" s="41">
        <f t="shared" ca="1" si="44"/>
        <v>177947309.37817538</v>
      </c>
      <c r="P85" s="41">
        <f t="shared" ca="1" si="44"/>
        <v>195418836.97681487</v>
      </c>
      <c r="Q85" s="41">
        <f t="shared" ca="1" si="44"/>
        <v>213550909.14333284</v>
      </c>
      <c r="R85" s="41">
        <f t="shared" ca="1" si="44"/>
        <v>495751475.83675665</v>
      </c>
      <c r="S85" s="41">
        <f t="shared" ca="1" si="44"/>
        <v>638422060.04184175</v>
      </c>
      <c r="T85" s="41">
        <f t="shared" ca="1" si="44"/>
        <v>676946619.97965622</v>
      </c>
      <c r="U85" s="41">
        <f t="shared" ca="1" si="44"/>
        <v>717270687.84050417</v>
      </c>
      <c r="V85" s="41">
        <f t="shared" ca="1" si="44"/>
        <v>759613457.96880531</v>
      </c>
      <c r="W85" s="41">
        <f t="shared" ca="1" si="44"/>
        <v>804113770.96939933</v>
      </c>
      <c r="X85" s="41">
        <f t="shared" ca="1" si="44"/>
        <v>563937354.18743896</v>
      </c>
      <c r="Y85" s="41">
        <f t="shared" ca="1" si="44"/>
        <v>580818978.17583549</v>
      </c>
      <c r="Z85" s="41">
        <f t="shared" ca="1" si="44"/>
        <v>598760681.25778317</v>
      </c>
      <c r="AA85" s="41">
        <f t="shared" ca="1" si="44"/>
        <v>617408659.35194421</v>
      </c>
      <c r="AB85" s="41">
        <f t="shared" ca="1" si="44"/>
        <v>636706010.30397677</v>
      </c>
      <c r="AC85" s="41">
        <f t="shared" ca="1" si="44"/>
        <v>656834654.06342196</v>
      </c>
      <c r="AD85" s="41">
        <f t="shared" ca="1" si="44"/>
        <v>677768107.59400094</v>
      </c>
      <c r="AE85" s="41">
        <f t="shared" ca="1" si="44"/>
        <v>699502670.2787075</v>
      </c>
      <c r="AF85" s="41">
        <f t="shared" ca="1" si="44"/>
        <v>721986784.96055043</v>
      </c>
      <c r="AG85" s="41">
        <f t="shared" ca="1" si="44"/>
        <v>745291635.48199677</v>
      </c>
      <c r="AH85" s="41">
        <f t="shared" ca="1" si="44"/>
        <v>769399458.44865692</v>
      </c>
      <c r="AI85" s="41">
        <f t="shared" ca="1" si="44"/>
        <v>794338330.94791365</v>
      </c>
      <c r="AJ85" s="41">
        <f t="shared" ca="1" si="44"/>
        <v>820033337.69299805</v>
      </c>
      <c r="AK85" s="41">
        <f t="shared" ca="1" si="44"/>
        <v>856865027.99649727</v>
      </c>
      <c r="AL85" s="41">
        <f t="shared" ca="1" si="44"/>
        <v>894999258.06149077</v>
      </c>
      <c r="AM85" s="41">
        <f t="shared" ca="1" si="44"/>
        <v>0</v>
      </c>
      <c r="AN85" s="41">
        <f t="shared" ca="1" si="44"/>
        <v>0</v>
      </c>
      <c r="AO85" s="41">
        <f t="shared" ca="1" si="44"/>
        <v>0</v>
      </c>
      <c r="AP85" s="41">
        <f t="shared" ca="1" si="44"/>
        <v>0</v>
      </c>
      <c r="AQ85" s="41">
        <f t="shared" ca="1" si="44"/>
        <v>0</v>
      </c>
      <c r="AR85" s="41">
        <f t="shared" ca="1" si="44"/>
        <v>0</v>
      </c>
      <c r="AS85" s="41">
        <f t="shared" ca="1" si="44"/>
        <v>0</v>
      </c>
      <c r="AT85" s="41">
        <f t="shared" ca="1" si="44"/>
        <v>0</v>
      </c>
      <c r="AU85" s="41">
        <f t="shared" ca="1" si="44"/>
        <v>0</v>
      </c>
      <c r="AV85" s="41">
        <f t="shared" ca="1" si="44"/>
        <v>0</v>
      </c>
      <c r="AW85" s="41">
        <f t="shared" ca="1" si="44"/>
        <v>0</v>
      </c>
    </row>
    <row r="87" spans="2:49">
      <c r="B87" s="29" t="s">
        <v>400</v>
      </c>
    </row>
    <row r="88" spans="2:49">
      <c r="B88" s="2" t="s">
        <v>263</v>
      </c>
      <c r="C88" s="15" t="str">
        <f>$C$50</f>
        <v>US$</v>
      </c>
      <c r="D88" s="42">
        <f>SUM(D86:D87)</f>
        <v>0</v>
      </c>
      <c r="I88" s="41">
        <f t="shared" ref="I88:AI88" si="45">H91</f>
        <v>0</v>
      </c>
      <c r="J88" s="41">
        <f t="shared" ca="1" si="45"/>
        <v>0</v>
      </c>
      <c r="K88" s="41">
        <f t="shared" ca="1" si="45"/>
        <v>0</v>
      </c>
      <c r="L88" s="41">
        <f t="shared" ca="1" si="45"/>
        <v>0</v>
      </c>
      <c r="M88" s="41">
        <f t="shared" ca="1" si="45"/>
        <v>0</v>
      </c>
      <c r="N88" s="41">
        <f t="shared" ca="1" si="45"/>
        <v>0</v>
      </c>
      <c r="O88" s="41">
        <f t="shared" ca="1" si="45"/>
        <v>0</v>
      </c>
      <c r="P88" s="41">
        <f t="shared" ca="1" si="45"/>
        <v>0</v>
      </c>
      <c r="Q88" s="41">
        <f t="shared" ca="1" si="45"/>
        <v>0</v>
      </c>
      <c r="R88" s="41">
        <f t="shared" ca="1" si="45"/>
        <v>0</v>
      </c>
      <c r="S88" s="41">
        <f t="shared" ca="1" si="45"/>
        <v>0</v>
      </c>
      <c r="T88" s="41">
        <f t="shared" ca="1" si="45"/>
        <v>0</v>
      </c>
      <c r="U88" s="41">
        <f t="shared" ca="1" si="45"/>
        <v>0</v>
      </c>
      <c r="V88" s="41">
        <f t="shared" ca="1" si="45"/>
        <v>0</v>
      </c>
      <c r="W88" s="41">
        <f t="shared" ca="1" si="45"/>
        <v>0</v>
      </c>
      <c r="X88" s="41">
        <f t="shared" ca="1" si="45"/>
        <v>0</v>
      </c>
      <c r="Y88" s="41">
        <f t="shared" ca="1" si="45"/>
        <v>0</v>
      </c>
      <c r="Z88" s="41">
        <f t="shared" ca="1" si="45"/>
        <v>0</v>
      </c>
      <c r="AA88" s="41">
        <f t="shared" ca="1" si="45"/>
        <v>0</v>
      </c>
      <c r="AB88" s="41">
        <f t="shared" ca="1" si="45"/>
        <v>0</v>
      </c>
      <c r="AC88" s="41">
        <f t="shared" ca="1" si="45"/>
        <v>0</v>
      </c>
      <c r="AD88" s="41">
        <f t="shared" ca="1" si="45"/>
        <v>0</v>
      </c>
      <c r="AE88" s="41">
        <f t="shared" ca="1" si="45"/>
        <v>0</v>
      </c>
      <c r="AF88" s="41">
        <f t="shared" ca="1" si="45"/>
        <v>0</v>
      </c>
      <c r="AG88" s="41">
        <f t="shared" ca="1" si="45"/>
        <v>0</v>
      </c>
      <c r="AH88" s="41">
        <f t="shared" ca="1" si="45"/>
        <v>0</v>
      </c>
      <c r="AI88" s="41">
        <f t="shared" ca="1" si="45"/>
        <v>0</v>
      </c>
      <c r="AJ88" s="41">
        <f t="shared" ref="AJ88:AW88" ca="1" si="46">AI91</f>
        <v>0</v>
      </c>
      <c r="AK88" s="41">
        <f t="shared" si="46"/>
        <v>0</v>
      </c>
      <c r="AL88" s="41">
        <f t="shared" si="46"/>
        <v>0</v>
      </c>
      <c r="AM88" s="41">
        <f t="shared" si="46"/>
        <v>0</v>
      </c>
      <c r="AN88" s="41">
        <f t="shared" si="46"/>
        <v>0</v>
      </c>
      <c r="AO88" s="41">
        <f t="shared" si="46"/>
        <v>0</v>
      </c>
      <c r="AP88" s="41">
        <f t="shared" si="46"/>
        <v>0</v>
      </c>
      <c r="AQ88" s="41">
        <f t="shared" si="46"/>
        <v>0</v>
      </c>
      <c r="AR88" s="41">
        <f t="shared" si="46"/>
        <v>0</v>
      </c>
      <c r="AS88" s="41">
        <f t="shared" si="46"/>
        <v>0</v>
      </c>
      <c r="AT88" s="41">
        <f t="shared" si="46"/>
        <v>0</v>
      </c>
      <c r="AU88" s="41">
        <f t="shared" si="46"/>
        <v>0</v>
      </c>
      <c r="AV88" s="41">
        <f t="shared" si="46"/>
        <v>0</v>
      </c>
      <c r="AW88" s="41">
        <f t="shared" si="46"/>
        <v>0</v>
      </c>
    </row>
    <row r="89" spans="2:49">
      <c r="B89" s="2" t="s">
        <v>401</v>
      </c>
      <c r="C89" s="15" t="str">
        <f>$C$50</f>
        <v>US$</v>
      </c>
      <c r="D89" s="42">
        <f ca="1">SUM(I89:AW89)</f>
        <v>15472667845.4466</v>
      </c>
      <c r="I89" s="41">
        <f t="shared" ref="I89:AI89" ca="1" si="47">I85</f>
        <v>0</v>
      </c>
      <c r="J89" s="41">
        <f t="shared" ca="1" si="47"/>
        <v>0</v>
      </c>
      <c r="K89" s="41">
        <f t="shared" ca="1" si="47"/>
        <v>0</v>
      </c>
      <c r="L89" s="41">
        <f t="shared" ca="1" si="47"/>
        <v>0</v>
      </c>
      <c r="M89" s="41">
        <f t="shared" ca="1" si="47"/>
        <v>0</v>
      </c>
      <c r="N89" s="41">
        <f t="shared" ca="1" si="47"/>
        <v>158981768.50809935</v>
      </c>
      <c r="O89" s="41">
        <f t="shared" ca="1" si="47"/>
        <v>177947309.37817538</v>
      </c>
      <c r="P89" s="41">
        <f t="shared" ca="1" si="47"/>
        <v>195418836.97681487</v>
      </c>
      <c r="Q89" s="41">
        <f t="shared" ca="1" si="47"/>
        <v>213550909.14333284</v>
      </c>
      <c r="R89" s="41">
        <f t="shared" ca="1" si="47"/>
        <v>495751475.83675665</v>
      </c>
      <c r="S89" s="41">
        <f t="shared" ca="1" si="47"/>
        <v>638422060.04184175</v>
      </c>
      <c r="T89" s="41">
        <f t="shared" ca="1" si="47"/>
        <v>676946619.97965622</v>
      </c>
      <c r="U89" s="41">
        <f t="shared" ca="1" si="47"/>
        <v>717270687.84050417</v>
      </c>
      <c r="V89" s="41">
        <f t="shared" ca="1" si="47"/>
        <v>759613457.96880531</v>
      </c>
      <c r="W89" s="41">
        <f t="shared" ca="1" si="47"/>
        <v>804113770.96939933</v>
      </c>
      <c r="X89" s="41">
        <f t="shared" ca="1" si="47"/>
        <v>563937354.18743896</v>
      </c>
      <c r="Y89" s="41">
        <f t="shared" ca="1" si="47"/>
        <v>580818978.17583549</v>
      </c>
      <c r="Z89" s="41">
        <f t="shared" ca="1" si="47"/>
        <v>598760681.25778317</v>
      </c>
      <c r="AA89" s="41">
        <f t="shared" ca="1" si="47"/>
        <v>617408659.35194421</v>
      </c>
      <c r="AB89" s="41">
        <f t="shared" ca="1" si="47"/>
        <v>636706010.30397677</v>
      </c>
      <c r="AC89" s="41">
        <f t="shared" ca="1" si="47"/>
        <v>656834654.06342196</v>
      </c>
      <c r="AD89" s="41">
        <f t="shared" ca="1" si="47"/>
        <v>677768107.59400094</v>
      </c>
      <c r="AE89" s="41">
        <f t="shared" ca="1" si="47"/>
        <v>699502670.2787075</v>
      </c>
      <c r="AF89" s="41">
        <f t="shared" ca="1" si="47"/>
        <v>721986784.96055043</v>
      </c>
      <c r="AG89" s="41">
        <f t="shared" ca="1" si="47"/>
        <v>745291635.48199677</v>
      </c>
      <c r="AH89" s="41">
        <f t="shared" ca="1" si="47"/>
        <v>769399458.44865692</v>
      </c>
      <c r="AI89" s="41">
        <f t="shared" ca="1" si="47"/>
        <v>794338330.94791365</v>
      </c>
      <c r="AJ89" s="41">
        <f t="shared" ref="AJ89:AW89" ca="1" si="48">AJ85</f>
        <v>820033337.69299805</v>
      </c>
      <c r="AK89" s="41">
        <f t="shared" ca="1" si="48"/>
        <v>856865027.99649727</v>
      </c>
      <c r="AL89" s="41">
        <f t="shared" ca="1" si="48"/>
        <v>894999258.06149077</v>
      </c>
      <c r="AM89" s="41">
        <f t="shared" ca="1" si="48"/>
        <v>0</v>
      </c>
      <c r="AN89" s="41">
        <f t="shared" ca="1" si="48"/>
        <v>0</v>
      </c>
      <c r="AO89" s="41">
        <f t="shared" ca="1" si="48"/>
        <v>0</v>
      </c>
      <c r="AP89" s="41">
        <f t="shared" ca="1" si="48"/>
        <v>0</v>
      </c>
      <c r="AQ89" s="41">
        <f t="shared" ca="1" si="48"/>
        <v>0</v>
      </c>
      <c r="AR89" s="41">
        <f t="shared" ca="1" si="48"/>
        <v>0</v>
      </c>
      <c r="AS89" s="41">
        <f t="shared" ca="1" si="48"/>
        <v>0</v>
      </c>
      <c r="AT89" s="41">
        <f t="shared" ca="1" si="48"/>
        <v>0</v>
      </c>
      <c r="AU89" s="41">
        <f t="shared" ca="1" si="48"/>
        <v>0</v>
      </c>
      <c r="AV89" s="41">
        <f t="shared" ca="1" si="48"/>
        <v>0</v>
      </c>
      <c r="AW89" s="41">
        <f t="shared" ca="1" si="48"/>
        <v>0</v>
      </c>
    </row>
    <row r="90" spans="2:49">
      <c r="B90" s="27" t="s">
        <v>402</v>
      </c>
      <c r="C90" s="28" t="str">
        <f>$C$50</f>
        <v>US$</v>
      </c>
      <c r="D90" s="108">
        <f ca="1">SUM(I90:AW90)</f>
        <v>-15472667845.4466</v>
      </c>
      <c r="E90" s="27"/>
      <c r="F90" s="27"/>
      <c r="G90" s="27"/>
      <c r="H90" s="27"/>
      <c r="I90" s="43">
        <f ca="1">-I89</f>
        <v>0</v>
      </c>
      <c r="J90" s="43">
        <f t="shared" ref="J90:AI90" ca="1" si="49">-J89</f>
        <v>0</v>
      </c>
      <c r="K90" s="43">
        <f t="shared" ca="1" si="49"/>
        <v>0</v>
      </c>
      <c r="L90" s="43">
        <f t="shared" ca="1" si="49"/>
        <v>0</v>
      </c>
      <c r="M90" s="43">
        <f t="shared" ca="1" si="49"/>
        <v>0</v>
      </c>
      <c r="N90" s="43">
        <f ca="1">-N89</f>
        <v>-158981768.50809935</v>
      </c>
      <c r="O90" s="43">
        <f t="shared" ca="1" si="49"/>
        <v>-177947309.37817538</v>
      </c>
      <c r="P90" s="43">
        <f t="shared" ca="1" si="49"/>
        <v>-195418836.97681487</v>
      </c>
      <c r="Q90" s="43">
        <f t="shared" ca="1" si="49"/>
        <v>-213550909.14333284</v>
      </c>
      <c r="R90" s="43">
        <f t="shared" ca="1" si="49"/>
        <v>-495751475.83675665</v>
      </c>
      <c r="S90" s="43">
        <f t="shared" ca="1" si="49"/>
        <v>-638422060.04184175</v>
      </c>
      <c r="T90" s="43">
        <f t="shared" ca="1" si="49"/>
        <v>-676946619.97965622</v>
      </c>
      <c r="U90" s="43">
        <f t="shared" ca="1" si="49"/>
        <v>-717270687.84050417</v>
      </c>
      <c r="V90" s="43">
        <f t="shared" ca="1" si="49"/>
        <v>-759613457.96880531</v>
      </c>
      <c r="W90" s="43">
        <f t="shared" ca="1" si="49"/>
        <v>-804113770.96939933</v>
      </c>
      <c r="X90" s="43">
        <f t="shared" ca="1" si="49"/>
        <v>-563937354.18743896</v>
      </c>
      <c r="Y90" s="43">
        <f t="shared" ca="1" si="49"/>
        <v>-580818978.17583549</v>
      </c>
      <c r="Z90" s="43">
        <f t="shared" ca="1" si="49"/>
        <v>-598760681.25778317</v>
      </c>
      <c r="AA90" s="43">
        <f t="shared" ca="1" si="49"/>
        <v>-617408659.35194421</v>
      </c>
      <c r="AB90" s="43">
        <f t="shared" ca="1" si="49"/>
        <v>-636706010.30397677</v>
      </c>
      <c r="AC90" s="43">
        <f t="shared" ca="1" si="49"/>
        <v>-656834654.06342196</v>
      </c>
      <c r="AD90" s="43">
        <f t="shared" ca="1" si="49"/>
        <v>-677768107.59400094</v>
      </c>
      <c r="AE90" s="43">
        <f t="shared" ca="1" si="49"/>
        <v>-699502670.2787075</v>
      </c>
      <c r="AF90" s="43">
        <f t="shared" ca="1" si="49"/>
        <v>-721986784.96055043</v>
      </c>
      <c r="AG90" s="43">
        <f t="shared" ca="1" si="49"/>
        <v>-745291635.48199677</v>
      </c>
      <c r="AH90" s="43">
        <f t="shared" ca="1" si="49"/>
        <v>-769399458.44865692</v>
      </c>
      <c r="AI90" s="43">
        <f t="shared" ca="1" si="49"/>
        <v>-794338330.94791365</v>
      </c>
      <c r="AJ90" s="43">
        <f t="shared" ref="AJ90:AW90" ca="1" si="50">-AJ89</f>
        <v>-820033337.69299805</v>
      </c>
      <c r="AK90" s="43">
        <f t="shared" ca="1" si="50"/>
        <v>-856865027.99649727</v>
      </c>
      <c r="AL90" s="43">
        <f t="shared" ca="1" si="50"/>
        <v>-894999258.06149077</v>
      </c>
      <c r="AM90" s="43">
        <f t="shared" ca="1" si="50"/>
        <v>0</v>
      </c>
      <c r="AN90" s="43">
        <f t="shared" ca="1" si="50"/>
        <v>0</v>
      </c>
      <c r="AO90" s="43">
        <f t="shared" ca="1" si="50"/>
        <v>0</v>
      </c>
      <c r="AP90" s="43">
        <f t="shared" ca="1" si="50"/>
        <v>0</v>
      </c>
      <c r="AQ90" s="43">
        <f t="shared" ca="1" si="50"/>
        <v>0</v>
      </c>
      <c r="AR90" s="43">
        <f t="shared" ca="1" si="50"/>
        <v>0</v>
      </c>
      <c r="AS90" s="43">
        <f t="shared" ca="1" si="50"/>
        <v>0</v>
      </c>
      <c r="AT90" s="43">
        <f t="shared" ca="1" si="50"/>
        <v>0</v>
      </c>
      <c r="AU90" s="43">
        <f t="shared" ca="1" si="50"/>
        <v>0</v>
      </c>
      <c r="AV90" s="43">
        <f t="shared" ca="1" si="50"/>
        <v>0</v>
      </c>
      <c r="AW90" s="43">
        <f t="shared" ca="1" si="50"/>
        <v>0</v>
      </c>
    </row>
    <row r="91" spans="2:49">
      <c r="B91" s="2" t="s">
        <v>266</v>
      </c>
      <c r="C91" s="15" t="str">
        <f>$C$50</f>
        <v>US$</v>
      </c>
      <c r="D91" s="42">
        <f ca="1">SUM(D88:D90)</f>
        <v>0</v>
      </c>
      <c r="H91" s="135"/>
      <c r="I91" s="41">
        <f t="shared" ref="I91:AI91" ca="1" si="51">SUM(I88:I90)</f>
        <v>0</v>
      </c>
      <c r="J91" s="41">
        <f t="shared" ca="1" si="51"/>
        <v>0</v>
      </c>
      <c r="K91" s="41">
        <f t="shared" ca="1" si="51"/>
        <v>0</v>
      </c>
      <c r="L91" s="41">
        <f t="shared" ca="1" si="51"/>
        <v>0</v>
      </c>
      <c r="M91" s="41">
        <f t="shared" ca="1" si="51"/>
        <v>0</v>
      </c>
      <c r="N91" s="41">
        <f t="shared" ca="1" si="51"/>
        <v>0</v>
      </c>
      <c r="O91" s="41">
        <f t="shared" ca="1" si="51"/>
        <v>0</v>
      </c>
      <c r="P91" s="41">
        <f t="shared" ca="1" si="51"/>
        <v>0</v>
      </c>
      <c r="Q91" s="41">
        <f t="shared" ca="1" si="51"/>
        <v>0</v>
      </c>
      <c r="R91" s="41">
        <f t="shared" ca="1" si="51"/>
        <v>0</v>
      </c>
      <c r="S91" s="41">
        <f t="shared" ca="1" si="51"/>
        <v>0</v>
      </c>
      <c r="T91" s="41">
        <f t="shared" ca="1" si="51"/>
        <v>0</v>
      </c>
      <c r="U91" s="41">
        <f t="shared" ca="1" si="51"/>
        <v>0</v>
      </c>
      <c r="V91" s="41">
        <f t="shared" ca="1" si="51"/>
        <v>0</v>
      </c>
      <c r="W91" s="41">
        <f t="shared" ca="1" si="51"/>
        <v>0</v>
      </c>
      <c r="X91" s="41">
        <f t="shared" ca="1" si="51"/>
        <v>0</v>
      </c>
      <c r="Y91" s="41">
        <f t="shared" ca="1" si="51"/>
        <v>0</v>
      </c>
      <c r="Z91" s="41">
        <f t="shared" ca="1" si="51"/>
        <v>0</v>
      </c>
      <c r="AA91" s="41">
        <f t="shared" ca="1" si="51"/>
        <v>0</v>
      </c>
      <c r="AB91" s="41">
        <f t="shared" ca="1" si="51"/>
        <v>0</v>
      </c>
      <c r="AC91" s="41">
        <f t="shared" ca="1" si="51"/>
        <v>0</v>
      </c>
      <c r="AD91" s="41">
        <f t="shared" ca="1" si="51"/>
        <v>0</v>
      </c>
      <c r="AE91" s="41">
        <f t="shared" ca="1" si="51"/>
        <v>0</v>
      </c>
      <c r="AF91" s="41">
        <f t="shared" ca="1" si="51"/>
        <v>0</v>
      </c>
      <c r="AG91" s="41">
        <f t="shared" ca="1" si="51"/>
        <v>0</v>
      </c>
      <c r="AH91" s="41">
        <f t="shared" ca="1" si="51"/>
        <v>0</v>
      </c>
      <c r="AI91" s="41">
        <f t="shared" ca="1" si="51"/>
        <v>0</v>
      </c>
    </row>
    <row r="93" spans="2:49">
      <c r="B93" s="10" t="s">
        <v>403</v>
      </c>
    </row>
    <row r="95" spans="2:49">
      <c r="B95" s="29" t="s">
        <v>404</v>
      </c>
    </row>
    <row r="97" spans="1:49">
      <c r="B97" s="2" t="s">
        <v>269</v>
      </c>
      <c r="C97" s="15" t="str">
        <f>$C$50</f>
        <v>US$</v>
      </c>
      <c r="D97" s="42">
        <f>SUM(D95:D96)</f>
        <v>0</v>
      </c>
      <c r="I97" s="41">
        <f ca="1">'Fixed Assets'!I47</f>
        <v>0</v>
      </c>
      <c r="J97" s="41">
        <f ca="1">'Fixed Assets'!J47</f>
        <v>0</v>
      </c>
      <c r="K97" s="41">
        <f ca="1">'Fixed Assets'!K47</f>
        <v>-147873253.31429383</v>
      </c>
      <c r="L97" s="41">
        <f ca="1">'Fixed Assets'!L47</f>
        <v>-147873253.31429383</v>
      </c>
      <c r="M97" s="41">
        <f ca="1">'Fixed Assets'!M47</f>
        <v>-147873253.31429383</v>
      </c>
      <c r="N97" s="41">
        <f ca="1">'Fixed Assets'!N47</f>
        <v>-147469228.03201434</v>
      </c>
      <c r="O97" s="41">
        <f ca="1">'Fixed Assets'!O47</f>
        <v>-148278385.51515493</v>
      </c>
      <c r="P97" s="41">
        <f ca="1">'Fixed Assets'!P47</f>
        <v>-147873253.31429383</v>
      </c>
      <c r="Q97" s="41">
        <f ca="1">'Fixed Assets'!Q47</f>
        <v>-147873253.31429383</v>
      </c>
      <c r="R97" s="41">
        <f ca="1">'Fixed Assets'!R47</f>
        <v>-147469228.03201434</v>
      </c>
      <c r="S97" s="41">
        <f ca="1">'Fixed Assets'!S47</f>
        <v>-148278385.51515493</v>
      </c>
      <c r="T97" s="41">
        <f ca="1">'Fixed Assets'!T47</f>
        <v>-147873253.31429383</v>
      </c>
      <c r="U97" s="41">
        <f ca="1">'Fixed Assets'!U47</f>
        <v>-147873253.31429383</v>
      </c>
      <c r="V97" s="41">
        <f ca="1">'Fixed Assets'!V47</f>
        <v>-147469228.03201434</v>
      </c>
      <c r="W97" s="41">
        <f ca="1">'Fixed Assets'!W47</f>
        <v>-148278385.51515493</v>
      </c>
      <c r="X97" s="41">
        <f ca="1">'Fixed Assets'!X47</f>
        <v>-147873253.31429383</v>
      </c>
      <c r="Y97" s="41">
        <f ca="1">'Fixed Assets'!Y47</f>
        <v>-147873253.31429383</v>
      </c>
      <c r="Z97" s="41">
        <f ca="1">'Fixed Assets'!Z47</f>
        <v>-147469228.03201434</v>
      </c>
      <c r="AA97" s="41">
        <f ca="1">'Fixed Assets'!AA47</f>
        <v>-148278385.51515493</v>
      </c>
      <c r="AB97" s="41">
        <f ca="1">'Fixed Assets'!AB47</f>
        <v>-147873253.31429383</v>
      </c>
      <c r="AC97" s="41">
        <f ca="1">'Fixed Assets'!AC47</f>
        <v>-147873253.31429383</v>
      </c>
      <c r="AD97" s="41">
        <f ca="1">'Fixed Assets'!AD47</f>
        <v>-147469228.03201434</v>
      </c>
      <c r="AE97" s="41">
        <f ca="1">'Fixed Assets'!AE47</f>
        <v>-148278385.51515493</v>
      </c>
      <c r="AF97" s="41">
        <f ca="1">'Fixed Assets'!AF47</f>
        <v>-147873253.31429383</v>
      </c>
      <c r="AG97" s="41">
        <f ca="1">'Fixed Assets'!AG47</f>
        <v>-147873253.31429383</v>
      </c>
      <c r="AH97" s="41">
        <f ca="1">'Fixed Assets'!AH47</f>
        <v>-147469228.03201434</v>
      </c>
      <c r="AI97" s="41">
        <f ca="1">'Fixed Assets'!AI47</f>
        <v>-148278385.51515493</v>
      </c>
      <c r="AJ97" s="41">
        <f ca="1">'Fixed Assets'!AJ47</f>
        <v>-147873253.31429383</v>
      </c>
      <c r="AK97" s="41">
        <f ca="1">'Fixed Assets'!AK47</f>
        <v>-147873253.31429383</v>
      </c>
      <c r="AL97" s="41">
        <f ca="1">'Fixed Assets'!AL47</f>
        <v>-147866611.80280447</v>
      </c>
      <c r="AM97" s="41">
        <f ca="1">'Fixed Assets'!AM47</f>
        <v>0</v>
      </c>
      <c r="AN97" s="41">
        <f ca="1">'Fixed Assets'!AN47</f>
        <v>0</v>
      </c>
      <c r="AO97" s="41">
        <f ca="1">'Fixed Assets'!AO47</f>
        <v>0</v>
      </c>
      <c r="AP97" s="41">
        <f ca="1">'Fixed Assets'!AP47</f>
        <v>0</v>
      </c>
      <c r="AQ97" s="41">
        <f ca="1">'Fixed Assets'!AQ47</f>
        <v>0</v>
      </c>
      <c r="AR97" s="41">
        <f ca="1">'Fixed Assets'!AR47</f>
        <v>0</v>
      </c>
      <c r="AS97" s="41">
        <f ca="1">'Fixed Assets'!AS47</f>
        <v>0</v>
      </c>
      <c r="AT97" s="41">
        <f ca="1">'Fixed Assets'!AT47</f>
        <v>0</v>
      </c>
      <c r="AU97" s="41">
        <f ca="1">'Fixed Assets'!AU47</f>
        <v>0</v>
      </c>
      <c r="AV97" s="41">
        <f ca="1">'Fixed Assets'!AV47</f>
        <v>0</v>
      </c>
      <c r="AW97" s="41">
        <f ca="1">'Fixed Assets'!AW47</f>
        <v>0</v>
      </c>
    </row>
    <row r="98" spans="1:49">
      <c r="B98" s="2" t="s">
        <v>405</v>
      </c>
      <c r="C98" s="15" t="str">
        <f>$C$50</f>
        <v>US$</v>
      </c>
      <c r="D98" s="42">
        <f ca="1">SUM(I98:AI98)</f>
        <v>4140451092.8002272</v>
      </c>
      <c r="I98" s="41">
        <f t="shared" ref="I98:AI98" si="52">-I78</f>
        <v>0</v>
      </c>
      <c r="J98" s="41">
        <f t="shared" si="52"/>
        <v>0</v>
      </c>
      <c r="K98" s="41">
        <f t="shared" si="52"/>
        <v>0</v>
      </c>
      <c r="L98" s="41">
        <f t="shared" si="52"/>
        <v>0</v>
      </c>
      <c r="M98" s="41">
        <f t="shared" si="52"/>
        <v>0</v>
      </c>
      <c r="N98" s="41">
        <f t="shared" ca="1" si="52"/>
        <v>815394607.77251947</v>
      </c>
      <c r="O98" s="41">
        <f t="shared" ca="1" si="52"/>
        <v>912666137.10615826</v>
      </c>
      <c r="P98" s="41">
        <f t="shared" ca="1" si="52"/>
        <v>1002275087.4101274</v>
      </c>
      <c r="Q98" s="41">
        <f t="shared" ca="1" si="52"/>
        <v>1095271875.7278252</v>
      </c>
      <c r="R98" s="41">
        <f t="shared" ca="1" si="52"/>
        <v>314843384.78359723</v>
      </c>
      <c r="S98" s="41">
        <f t="shared" ca="1" si="52"/>
        <v>0</v>
      </c>
      <c r="T98" s="41">
        <f t="shared" ca="1" si="52"/>
        <v>0</v>
      </c>
      <c r="U98" s="41">
        <f t="shared" ca="1" si="52"/>
        <v>0</v>
      </c>
      <c r="V98" s="41">
        <f t="shared" ca="1" si="52"/>
        <v>0</v>
      </c>
      <c r="W98" s="41">
        <f t="shared" ca="1" si="52"/>
        <v>0</v>
      </c>
      <c r="X98" s="41">
        <f t="shared" ca="1" si="52"/>
        <v>0</v>
      </c>
      <c r="Y98" s="41">
        <f t="shared" ca="1" si="52"/>
        <v>0</v>
      </c>
      <c r="Z98" s="41">
        <f t="shared" ca="1" si="52"/>
        <v>0</v>
      </c>
      <c r="AA98" s="41">
        <f t="shared" ca="1" si="52"/>
        <v>0</v>
      </c>
      <c r="AB98" s="41">
        <f t="shared" ca="1" si="52"/>
        <v>0</v>
      </c>
      <c r="AC98" s="41">
        <f t="shared" ca="1" si="52"/>
        <v>0</v>
      </c>
      <c r="AD98" s="41">
        <f t="shared" ca="1" si="52"/>
        <v>0</v>
      </c>
      <c r="AE98" s="41">
        <f t="shared" ca="1" si="52"/>
        <v>0</v>
      </c>
      <c r="AF98" s="41">
        <f t="shared" ca="1" si="52"/>
        <v>0</v>
      </c>
      <c r="AG98" s="41">
        <f t="shared" ca="1" si="52"/>
        <v>0</v>
      </c>
      <c r="AH98" s="41">
        <f t="shared" ca="1" si="52"/>
        <v>0</v>
      </c>
      <c r="AI98" s="41">
        <f t="shared" ca="1" si="52"/>
        <v>0</v>
      </c>
      <c r="AJ98" s="41">
        <f t="shared" ref="AJ98:AW98" ca="1" si="53">-AJ78</f>
        <v>0</v>
      </c>
      <c r="AK98" s="41">
        <f t="shared" ca="1" si="53"/>
        <v>0</v>
      </c>
      <c r="AL98" s="41">
        <f t="shared" ca="1" si="53"/>
        <v>0</v>
      </c>
      <c r="AM98" s="41">
        <f t="shared" ca="1" si="53"/>
        <v>0</v>
      </c>
      <c r="AN98" s="41">
        <f t="shared" ca="1" si="53"/>
        <v>0</v>
      </c>
      <c r="AO98" s="41">
        <f t="shared" ca="1" si="53"/>
        <v>0</v>
      </c>
      <c r="AP98" s="41">
        <f t="shared" ca="1" si="53"/>
        <v>0</v>
      </c>
      <c r="AQ98" s="41">
        <f t="shared" ca="1" si="53"/>
        <v>0</v>
      </c>
      <c r="AR98" s="41">
        <f t="shared" ca="1" si="53"/>
        <v>0</v>
      </c>
      <c r="AS98" s="41">
        <f t="shared" ca="1" si="53"/>
        <v>0</v>
      </c>
      <c r="AT98" s="41">
        <f t="shared" ca="1" si="53"/>
        <v>0</v>
      </c>
      <c r="AU98" s="41">
        <f t="shared" ca="1" si="53"/>
        <v>0</v>
      </c>
      <c r="AV98" s="41">
        <f t="shared" ca="1" si="53"/>
        <v>0</v>
      </c>
      <c r="AW98" s="41">
        <f t="shared" si="53"/>
        <v>0</v>
      </c>
    </row>
    <row r="99" spans="1:49">
      <c r="B99" s="27" t="s">
        <v>406</v>
      </c>
      <c r="C99" s="28" t="str">
        <f>$C$50</f>
        <v>US$</v>
      </c>
      <c r="D99" s="27"/>
      <c r="E99" s="27"/>
      <c r="F99" s="27"/>
      <c r="G99" s="27"/>
      <c r="H99" s="27"/>
      <c r="I99" s="43">
        <f t="shared" ref="I99:AI99" ca="1" si="54">-SUM(I64:I66)</f>
        <v>0</v>
      </c>
      <c r="J99" s="43">
        <f t="shared" ca="1" si="54"/>
        <v>-144780637.06971791</v>
      </c>
      <c r="K99" s="43">
        <f t="shared" ca="1" si="54"/>
        <v>144780637.06971791</v>
      </c>
      <c r="L99" s="43">
        <f t="shared" ca="1" si="54"/>
        <v>0</v>
      </c>
      <c r="M99" s="43">
        <f t="shared" ca="1" si="54"/>
        <v>0</v>
      </c>
      <c r="N99" s="43">
        <f t="shared" ca="1" si="54"/>
        <v>0</v>
      </c>
      <c r="O99" s="43">
        <f t="shared" ca="1" si="54"/>
        <v>0</v>
      </c>
      <c r="P99" s="43">
        <f t="shared" ca="1" si="54"/>
        <v>0</v>
      </c>
      <c r="Q99" s="43">
        <f t="shared" ca="1" si="54"/>
        <v>0</v>
      </c>
      <c r="R99" s="43">
        <f t="shared" ca="1" si="54"/>
        <v>0</v>
      </c>
      <c r="S99" s="43">
        <f t="shared" ca="1" si="54"/>
        <v>0</v>
      </c>
      <c r="T99" s="43">
        <f t="shared" ca="1" si="54"/>
        <v>0</v>
      </c>
      <c r="U99" s="43">
        <f t="shared" ca="1" si="54"/>
        <v>0</v>
      </c>
      <c r="V99" s="43">
        <f t="shared" ca="1" si="54"/>
        <v>0</v>
      </c>
      <c r="W99" s="43">
        <f t="shared" ca="1" si="54"/>
        <v>0</v>
      </c>
      <c r="X99" s="43">
        <f t="shared" ca="1" si="54"/>
        <v>0</v>
      </c>
      <c r="Y99" s="43">
        <f t="shared" ca="1" si="54"/>
        <v>0</v>
      </c>
      <c r="Z99" s="43">
        <f t="shared" ca="1" si="54"/>
        <v>0</v>
      </c>
      <c r="AA99" s="43">
        <f t="shared" ca="1" si="54"/>
        <v>0</v>
      </c>
      <c r="AB99" s="43">
        <f t="shared" ca="1" si="54"/>
        <v>0</v>
      </c>
      <c r="AC99" s="43">
        <f t="shared" ca="1" si="54"/>
        <v>0</v>
      </c>
      <c r="AD99" s="43">
        <f t="shared" ca="1" si="54"/>
        <v>0</v>
      </c>
      <c r="AE99" s="43">
        <f t="shared" ca="1" si="54"/>
        <v>0</v>
      </c>
      <c r="AF99" s="43">
        <f t="shared" ca="1" si="54"/>
        <v>0</v>
      </c>
      <c r="AG99" s="43">
        <f t="shared" ca="1" si="54"/>
        <v>0</v>
      </c>
      <c r="AH99" s="43">
        <f t="shared" ca="1" si="54"/>
        <v>0</v>
      </c>
      <c r="AI99" s="43">
        <f t="shared" ca="1" si="54"/>
        <v>0</v>
      </c>
      <c r="AJ99" s="43">
        <f t="shared" ref="AJ99:AW99" ca="1" si="55">-SUM(AJ64:AJ66)</f>
        <v>0</v>
      </c>
      <c r="AK99" s="43">
        <f t="shared" ca="1" si="55"/>
        <v>0</v>
      </c>
      <c r="AL99" s="43">
        <f t="shared" ca="1" si="55"/>
        <v>0</v>
      </c>
      <c r="AM99" s="43">
        <f t="shared" ca="1" si="55"/>
        <v>0</v>
      </c>
      <c r="AN99" s="43">
        <f t="shared" ca="1" si="55"/>
        <v>0</v>
      </c>
      <c r="AO99" s="43">
        <f t="shared" ca="1" si="55"/>
        <v>0</v>
      </c>
      <c r="AP99" s="43">
        <f t="shared" ca="1" si="55"/>
        <v>0</v>
      </c>
      <c r="AQ99" s="43">
        <f t="shared" ca="1" si="55"/>
        <v>0</v>
      </c>
      <c r="AR99" s="43">
        <f t="shared" ca="1" si="55"/>
        <v>0</v>
      </c>
      <c r="AS99" s="43">
        <f t="shared" ca="1" si="55"/>
        <v>0</v>
      </c>
      <c r="AT99" s="43">
        <f t="shared" ca="1" si="55"/>
        <v>0</v>
      </c>
      <c r="AU99" s="43">
        <f t="shared" ca="1" si="55"/>
        <v>0</v>
      </c>
      <c r="AV99" s="43">
        <f t="shared" ca="1" si="55"/>
        <v>0</v>
      </c>
      <c r="AW99" s="43">
        <f t="shared" ca="1" si="55"/>
        <v>0</v>
      </c>
    </row>
    <row r="100" spans="1:49">
      <c r="B100" s="2" t="s">
        <v>407</v>
      </c>
      <c r="C100" s="15" t="str">
        <f>$C$50</f>
        <v>US$</v>
      </c>
      <c r="I100" s="41">
        <f t="shared" ref="I100:AW100" ca="1" si="56">SUM(I97:I99)</f>
        <v>0</v>
      </c>
      <c r="J100" s="41">
        <f t="shared" ca="1" si="56"/>
        <v>-144780637.06971791</v>
      </c>
      <c r="K100" s="41">
        <f t="shared" ca="1" si="56"/>
        <v>-3092616.2445759177</v>
      </c>
      <c r="L100" s="41">
        <f t="shared" ca="1" si="56"/>
        <v>-147873253.31429383</v>
      </c>
      <c r="M100" s="41">
        <f t="shared" ca="1" si="56"/>
        <v>-147873253.31429383</v>
      </c>
      <c r="N100" s="41">
        <f t="shared" ca="1" si="56"/>
        <v>667925379.7405051</v>
      </c>
      <c r="O100" s="41">
        <f t="shared" ca="1" si="56"/>
        <v>764387751.5910033</v>
      </c>
      <c r="P100" s="41">
        <f t="shared" ca="1" si="56"/>
        <v>854401834.09583354</v>
      </c>
      <c r="Q100" s="41">
        <f t="shared" ca="1" si="56"/>
        <v>947398622.4135313</v>
      </c>
      <c r="R100" s="41">
        <f t="shared" ca="1" si="56"/>
        <v>167374156.75158289</v>
      </c>
      <c r="S100" s="41">
        <f t="shared" ca="1" si="56"/>
        <v>-148278385.51515493</v>
      </c>
      <c r="T100" s="41">
        <f t="shared" ca="1" si="56"/>
        <v>-147873253.31429383</v>
      </c>
      <c r="U100" s="41">
        <f t="shared" ca="1" si="56"/>
        <v>-147873253.31429383</v>
      </c>
      <c r="V100" s="41">
        <f t="shared" ca="1" si="56"/>
        <v>-147469228.03201434</v>
      </c>
      <c r="W100" s="41">
        <f t="shared" ca="1" si="56"/>
        <v>-148278385.51515493</v>
      </c>
      <c r="X100" s="41">
        <f t="shared" ca="1" si="56"/>
        <v>-147873253.31429383</v>
      </c>
      <c r="Y100" s="41">
        <f t="shared" ca="1" si="56"/>
        <v>-147873253.31429383</v>
      </c>
      <c r="Z100" s="41">
        <f t="shared" ca="1" si="56"/>
        <v>-147469228.03201434</v>
      </c>
      <c r="AA100" s="41">
        <f t="shared" ca="1" si="56"/>
        <v>-148278385.51515493</v>
      </c>
      <c r="AB100" s="41">
        <f t="shared" ca="1" si="56"/>
        <v>-147873253.31429383</v>
      </c>
      <c r="AC100" s="41">
        <f t="shared" ca="1" si="56"/>
        <v>-147873253.31429383</v>
      </c>
      <c r="AD100" s="41">
        <f t="shared" ca="1" si="56"/>
        <v>-147469228.03201434</v>
      </c>
      <c r="AE100" s="41">
        <f t="shared" ca="1" si="56"/>
        <v>-148278385.51515493</v>
      </c>
      <c r="AF100" s="41">
        <f t="shared" ca="1" si="56"/>
        <v>-147873253.31429383</v>
      </c>
      <c r="AG100" s="41">
        <f t="shared" ca="1" si="56"/>
        <v>-147873253.31429383</v>
      </c>
      <c r="AH100" s="41">
        <f t="shared" ca="1" si="56"/>
        <v>-147469228.03201434</v>
      </c>
      <c r="AI100" s="41">
        <f t="shared" ca="1" si="56"/>
        <v>-148278385.51515493</v>
      </c>
      <c r="AJ100" s="41">
        <f t="shared" ca="1" si="56"/>
        <v>-147873253.31429383</v>
      </c>
      <c r="AK100" s="41">
        <f t="shared" ca="1" si="56"/>
        <v>-147873253.31429383</v>
      </c>
      <c r="AL100" s="41">
        <f t="shared" ca="1" si="56"/>
        <v>-147866611.80280447</v>
      </c>
      <c r="AM100" s="41">
        <f t="shared" ca="1" si="56"/>
        <v>0</v>
      </c>
      <c r="AN100" s="41">
        <f t="shared" ca="1" si="56"/>
        <v>0</v>
      </c>
      <c r="AO100" s="41">
        <f t="shared" ca="1" si="56"/>
        <v>0</v>
      </c>
      <c r="AP100" s="41">
        <f t="shared" ca="1" si="56"/>
        <v>0</v>
      </c>
      <c r="AQ100" s="41">
        <f t="shared" ca="1" si="56"/>
        <v>0</v>
      </c>
      <c r="AR100" s="41">
        <f t="shared" ca="1" si="56"/>
        <v>0</v>
      </c>
      <c r="AS100" s="41">
        <f t="shared" ca="1" si="56"/>
        <v>0</v>
      </c>
      <c r="AT100" s="41">
        <f t="shared" ca="1" si="56"/>
        <v>0</v>
      </c>
      <c r="AU100" s="41">
        <f t="shared" ca="1" si="56"/>
        <v>0</v>
      </c>
      <c r="AV100" s="41">
        <f t="shared" ca="1" si="56"/>
        <v>0</v>
      </c>
      <c r="AW100" s="41">
        <f t="shared" ca="1" si="56"/>
        <v>0</v>
      </c>
    </row>
    <row r="102" spans="1:49">
      <c r="B102" s="29" t="s">
        <v>408</v>
      </c>
    </row>
    <row r="103" spans="1:49">
      <c r="B103" s="2" t="s">
        <v>263</v>
      </c>
      <c r="C103" s="15" t="str">
        <f>$C$50</f>
        <v>US$</v>
      </c>
      <c r="I103" s="41">
        <f t="shared" ref="I103:AI103" si="57">H105</f>
        <v>0</v>
      </c>
      <c r="J103" s="41">
        <f t="shared" ca="1" si="57"/>
        <v>0</v>
      </c>
      <c r="K103" s="41">
        <f t="shared" ca="1" si="57"/>
        <v>-43434191.120915376</v>
      </c>
      <c r="L103" s="41">
        <f t="shared" ca="1" si="57"/>
        <v>-44361975.994288154</v>
      </c>
      <c r="M103" s="41">
        <f t="shared" ca="1" si="57"/>
        <v>-88723951.988576293</v>
      </c>
      <c r="N103" s="41">
        <f t="shared" ca="1" si="57"/>
        <v>-133085927.98286444</v>
      </c>
      <c r="O103" s="41">
        <f t="shared" ca="1" si="57"/>
        <v>67291685.939287096</v>
      </c>
      <c r="P103" s="41">
        <f t="shared" ca="1" si="57"/>
        <v>296608011.41658807</v>
      </c>
      <c r="Q103" s="41">
        <f t="shared" ca="1" si="57"/>
        <v>552928561.64533806</v>
      </c>
      <c r="R103" s="41">
        <f t="shared" ca="1" si="57"/>
        <v>837148148.3693974</v>
      </c>
      <c r="S103" s="41">
        <f t="shared" ca="1" si="57"/>
        <v>887360395.39487231</v>
      </c>
      <c r="T103" s="41">
        <f t="shared" ca="1" si="57"/>
        <v>842876879.74032581</v>
      </c>
      <c r="U103" s="41">
        <f t="shared" ca="1" si="57"/>
        <v>798514903.74603772</v>
      </c>
      <c r="V103" s="41">
        <f t="shared" ca="1" si="57"/>
        <v>754152927.75174952</v>
      </c>
      <c r="W103" s="41">
        <f t="shared" ca="1" si="57"/>
        <v>709912159.3421452</v>
      </c>
      <c r="X103" s="41">
        <f t="shared" ca="1" si="57"/>
        <v>665428643.68759871</v>
      </c>
      <c r="Y103" s="41">
        <f t="shared" ca="1" si="57"/>
        <v>621066667.6933105</v>
      </c>
      <c r="Z103" s="41">
        <f t="shared" ca="1" si="57"/>
        <v>576704691.69902229</v>
      </c>
      <c r="AA103" s="41">
        <f t="shared" ca="1" si="57"/>
        <v>532463923.28941798</v>
      </c>
      <c r="AB103" s="41">
        <f t="shared" ca="1" si="57"/>
        <v>487980407.63487148</v>
      </c>
      <c r="AC103" s="41">
        <f t="shared" ca="1" si="57"/>
        <v>443618431.64058334</v>
      </c>
      <c r="AD103" s="41">
        <f t="shared" ca="1" si="57"/>
        <v>399256455.64629519</v>
      </c>
      <c r="AE103" s="41">
        <f t="shared" ca="1" si="57"/>
        <v>355015687.23669088</v>
      </c>
      <c r="AF103" s="41">
        <f t="shared" ca="1" si="57"/>
        <v>310532171.58214438</v>
      </c>
      <c r="AG103" s="41">
        <f t="shared" ca="1" si="57"/>
        <v>266170195.58785623</v>
      </c>
      <c r="AH103" s="41">
        <f t="shared" ca="1" si="57"/>
        <v>221808219.59356809</v>
      </c>
      <c r="AI103" s="41">
        <f t="shared" ca="1" si="57"/>
        <v>177567451.18396378</v>
      </c>
      <c r="AJ103" s="41">
        <f t="shared" ref="AJ103:AW103" ca="1" si="58">AI105</f>
        <v>133083935.52941731</v>
      </c>
      <c r="AK103" s="41">
        <f t="shared" ca="1" si="58"/>
        <v>88721959.53512916</v>
      </c>
      <c r="AL103" s="41">
        <f t="shared" ca="1" si="58"/>
        <v>44359983.540841013</v>
      </c>
      <c r="AM103" s="41">
        <f t="shared" ca="1" si="58"/>
        <v>-3.2782554626464844E-7</v>
      </c>
      <c r="AN103" s="41">
        <f t="shared" ca="1" si="58"/>
        <v>-3.2782554626464844E-7</v>
      </c>
      <c r="AO103" s="41">
        <f t="shared" ca="1" si="58"/>
        <v>-3.2782554626464844E-7</v>
      </c>
      <c r="AP103" s="41">
        <f t="shared" ca="1" si="58"/>
        <v>-3.2782554626464844E-7</v>
      </c>
      <c r="AQ103" s="41">
        <f t="shared" ca="1" si="58"/>
        <v>-3.2782554626464844E-7</v>
      </c>
      <c r="AR103" s="41">
        <f t="shared" ca="1" si="58"/>
        <v>-3.2782554626464844E-7</v>
      </c>
      <c r="AS103" s="41">
        <f t="shared" ca="1" si="58"/>
        <v>-3.2782554626464844E-7</v>
      </c>
      <c r="AT103" s="41">
        <f t="shared" ca="1" si="58"/>
        <v>-3.2782554626464844E-7</v>
      </c>
      <c r="AU103" s="41">
        <f t="shared" ca="1" si="58"/>
        <v>-3.2782554626464844E-7</v>
      </c>
      <c r="AV103" s="41">
        <f t="shared" ca="1" si="58"/>
        <v>-3.2782554626464844E-7</v>
      </c>
      <c r="AW103" s="41">
        <f t="shared" ca="1" si="58"/>
        <v>-3.2782554626464844E-7</v>
      </c>
    </row>
    <row r="104" spans="1:49">
      <c r="B104" s="27" t="s">
        <v>409</v>
      </c>
      <c r="C104" s="28" t="str">
        <f>$C$50</f>
        <v>US$</v>
      </c>
      <c r="D104" s="27"/>
      <c r="E104" s="27"/>
      <c r="F104" s="27"/>
      <c r="G104" s="27"/>
      <c r="H104" s="27"/>
      <c r="I104" s="43">
        <f t="shared" ref="I104:AI104" ca="1" si="59">I100*$D$37</f>
        <v>0</v>
      </c>
      <c r="J104" s="43">
        <f t="shared" ca="1" si="59"/>
        <v>-43434191.120915376</v>
      </c>
      <c r="K104" s="43">
        <f t="shared" ca="1" si="59"/>
        <v>-927784.87337277527</v>
      </c>
      <c r="L104" s="43">
        <f t="shared" ca="1" si="59"/>
        <v>-44361975.994288146</v>
      </c>
      <c r="M104" s="43">
        <f t="shared" ca="1" si="59"/>
        <v>-44361975.994288146</v>
      </c>
      <c r="N104" s="43">
        <f t="shared" ca="1" si="59"/>
        <v>200377613.92215154</v>
      </c>
      <c r="O104" s="43">
        <f t="shared" ca="1" si="59"/>
        <v>229316325.47730097</v>
      </c>
      <c r="P104" s="43">
        <f t="shared" ca="1" si="59"/>
        <v>256320550.22875005</v>
      </c>
      <c r="Q104" s="43">
        <f t="shared" ca="1" si="59"/>
        <v>284219586.7240594</v>
      </c>
      <c r="R104" s="43">
        <f t="shared" ca="1" si="59"/>
        <v>50212247.025474869</v>
      </c>
      <c r="S104" s="43">
        <f t="shared" ca="1" si="59"/>
        <v>-44483515.654546477</v>
      </c>
      <c r="T104" s="43">
        <f t="shared" ca="1" si="59"/>
        <v>-44361975.994288146</v>
      </c>
      <c r="U104" s="43">
        <f t="shared" ca="1" si="59"/>
        <v>-44361975.994288146</v>
      </c>
      <c r="V104" s="43">
        <f t="shared" ca="1" si="59"/>
        <v>-44240768.409604304</v>
      </c>
      <c r="W104" s="43">
        <f t="shared" ca="1" si="59"/>
        <v>-44483515.654546477</v>
      </c>
      <c r="X104" s="43">
        <f t="shared" ca="1" si="59"/>
        <v>-44361975.994288146</v>
      </c>
      <c r="Y104" s="43">
        <f t="shared" ca="1" si="59"/>
        <v>-44361975.994288146</v>
      </c>
      <c r="Z104" s="43">
        <f t="shared" ca="1" si="59"/>
        <v>-44240768.409604304</v>
      </c>
      <c r="AA104" s="43">
        <f t="shared" ca="1" si="59"/>
        <v>-44483515.654546477</v>
      </c>
      <c r="AB104" s="43">
        <f t="shared" ca="1" si="59"/>
        <v>-44361975.994288146</v>
      </c>
      <c r="AC104" s="43">
        <f t="shared" ca="1" si="59"/>
        <v>-44361975.994288146</v>
      </c>
      <c r="AD104" s="43">
        <f t="shared" ca="1" si="59"/>
        <v>-44240768.409604304</v>
      </c>
      <c r="AE104" s="43">
        <f t="shared" ca="1" si="59"/>
        <v>-44483515.654546477</v>
      </c>
      <c r="AF104" s="43">
        <f t="shared" ca="1" si="59"/>
        <v>-44361975.994288146</v>
      </c>
      <c r="AG104" s="43">
        <f t="shared" ca="1" si="59"/>
        <v>-44361975.994288146</v>
      </c>
      <c r="AH104" s="43">
        <f t="shared" ca="1" si="59"/>
        <v>-44240768.409604304</v>
      </c>
      <c r="AI104" s="43">
        <f t="shared" ca="1" si="59"/>
        <v>-44483515.654546477</v>
      </c>
      <c r="AJ104" s="43">
        <f t="shared" ref="AJ104:AW104" ca="1" si="60">AJ100*$D$37</f>
        <v>-44361975.994288146</v>
      </c>
      <c r="AK104" s="43">
        <f t="shared" ca="1" si="60"/>
        <v>-44361975.994288146</v>
      </c>
      <c r="AL104" s="43">
        <f t="shared" ca="1" si="60"/>
        <v>-44359983.540841341</v>
      </c>
      <c r="AM104" s="43">
        <f t="shared" ca="1" si="60"/>
        <v>0</v>
      </c>
      <c r="AN104" s="43">
        <f t="shared" ca="1" si="60"/>
        <v>0</v>
      </c>
      <c r="AO104" s="43">
        <f t="shared" ca="1" si="60"/>
        <v>0</v>
      </c>
      <c r="AP104" s="43">
        <f t="shared" ca="1" si="60"/>
        <v>0</v>
      </c>
      <c r="AQ104" s="43">
        <f t="shared" ca="1" si="60"/>
        <v>0</v>
      </c>
      <c r="AR104" s="43">
        <f t="shared" ca="1" si="60"/>
        <v>0</v>
      </c>
      <c r="AS104" s="43">
        <f t="shared" ca="1" si="60"/>
        <v>0</v>
      </c>
      <c r="AT104" s="43">
        <f t="shared" ca="1" si="60"/>
        <v>0</v>
      </c>
      <c r="AU104" s="43">
        <f t="shared" ca="1" si="60"/>
        <v>0</v>
      </c>
      <c r="AV104" s="43">
        <f t="shared" ca="1" si="60"/>
        <v>0</v>
      </c>
      <c r="AW104" s="43">
        <f t="shared" ca="1" si="60"/>
        <v>0</v>
      </c>
    </row>
    <row r="105" spans="1:49">
      <c r="B105" s="2" t="s">
        <v>266</v>
      </c>
      <c r="C105" s="15" t="str">
        <f>$C$50</f>
        <v>US$</v>
      </c>
      <c r="I105" s="41">
        <f t="shared" ref="I105:AW105" ca="1" si="61">SUM(I103:I104)</f>
        <v>0</v>
      </c>
      <c r="J105" s="41">
        <f t="shared" ca="1" si="61"/>
        <v>-43434191.120915376</v>
      </c>
      <c r="K105" s="41">
        <f t="shared" ca="1" si="61"/>
        <v>-44361975.994288154</v>
      </c>
      <c r="L105" s="41">
        <f t="shared" ca="1" si="61"/>
        <v>-88723951.988576293</v>
      </c>
      <c r="M105" s="41">
        <f t="shared" ca="1" si="61"/>
        <v>-133085927.98286444</v>
      </c>
      <c r="N105" s="41">
        <f t="shared" ca="1" si="61"/>
        <v>67291685.939287096</v>
      </c>
      <c r="O105" s="41">
        <f t="shared" ca="1" si="61"/>
        <v>296608011.41658807</v>
      </c>
      <c r="P105" s="41">
        <f t="shared" ca="1" si="61"/>
        <v>552928561.64533806</v>
      </c>
      <c r="Q105" s="41">
        <f t="shared" ca="1" si="61"/>
        <v>837148148.3693974</v>
      </c>
      <c r="R105" s="41">
        <f t="shared" ca="1" si="61"/>
        <v>887360395.39487231</v>
      </c>
      <c r="S105" s="41">
        <f t="shared" ca="1" si="61"/>
        <v>842876879.74032581</v>
      </c>
      <c r="T105" s="41">
        <f t="shared" ca="1" si="61"/>
        <v>798514903.74603772</v>
      </c>
      <c r="U105" s="41">
        <f t="shared" ca="1" si="61"/>
        <v>754152927.75174952</v>
      </c>
      <c r="V105" s="41">
        <f t="shared" ca="1" si="61"/>
        <v>709912159.3421452</v>
      </c>
      <c r="W105" s="41">
        <f t="shared" ca="1" si="61"/>
        <v>665428643.68759871</v>
      </c>
      <c r="X105" s="41">
        <f t="shared" ca="1" si="61"/>
        <v>621066667.6933105</v>
      </c>
      <c r="Y105" s="41">
        <f t="shared" ca="1" si="61"/>
        <v>576704691.69902229</v>
      </c>
      <c r="Z105" s="41">
        <f t="shared" ca="1" si="61"/>
        <v>532463923.28941798</v>
      </c>
      <c r="AA105" s="41">
        <f t="shared" ca="1" si="61"/>
        <v>487980407.63487148</v>
      </c>
      <c r="AB105" s="41">
        <f t="shared" ca="1" si="61"/>
        <v>443618431.64058334</v>
      </c>
      <c r="AC105" s="41">
        <f t="shared" ca="1" si="61"/>
        <v>399256455.64629519</v>
      </c>
      <c r="AD105" s="41">
        <f t="shared" ca="1" si="61"/>
        <v>355015687.23669088</v>
      </c>
      <c r="AE105" s="41">
        <f t="shared" ca="1" si="61"/>
        <v>310532171.58214438</v>
      </c>
      <c r="AF105" s="41">
        <f t="shared" ca="1" si="61"/>
        <v>266170195.58785623</v>
      </c>
      <c r="AG105" s="41">
        <f t="shared" ca="1" si="61"/>
        <v>221808219.59356809</v>
      </c>
      <c r="AH105" s="41">
        <f t="shared" ca="1" si="61"/>
        <v>177567451.18396378</v>
      </c>
      <c r="AI105" s="41">
        <f t="shared" ca="1" si="61"/>
        <v>133083935.52941731</v>
      </c>
      <c r="AJ105" s="41">
        <f t="shared" ca="1" si="61"/>
        <v>88721959.53512916</v>
      </c>
      <c r="AK105" s="41">
        <f t="shared" ca="1" si="61"/>
        <v>44359983.540841013</v>
      </c>
      <c r="AL105" s="41">
        <f t="shared" ca="1" si="61"/>
        <v>-3.2782554626464844E-7</v>
      </c>
      <c r="AM105" s="41">
        <f t="shared" ca="1" si="61"/>
        <v>-3.2782554626464844E-7</v>
      </c>
      <c r="AN105" s="41">
        <f t="shared" ca="1" si="61"/>
        <v>-3.2782554626464844E-7</v>
      </c>
      <c r="AO105" s="41">
        <f t="shared" ca="1" si="61"/>
        <v>-3.2782554626464844E-7</v>
      </c>
      <c r="AP105" s="41">
        <f t="shared" ca="1" si="61"/>
        <v>-3.2782554626464844E-7</v>
      </c>
      <c r="AQ105" s="41">
        <f t="shared" ca="1" si="61"/>
        <v>-3.2782554626464844E-7</v>
      </c>
      <c r="AR105" s="41">
        <f t="shared" ca="1" si="61"/>
        <v>-3.2782554626464844E-7</v>
      </c>
      <c r="AS105" s="41">
        <f t="shared" ca="1" si="61"/>
        <v>-3.2782554626464844E-7</v>
      </c>
      <c r="AT105" s="41">
        <f t="shared" ca="1" si="61"/>
        <v>-3.2782554626464844E-7</v>
      </c>
      <c r="AU105" s="41">
        <f t="shared" ca="1" si="61"/>
        <v>-3.2782554626464844E-7</v>
      </c>
      <c r="AV105" s="41">
        <f t="shared" ca="1" si="61"/>
        <v>-3.2782554626464844E-7</v>
      </c>
      <c r="AW105" s="41">
        <f t="shared" ca="1" si="61"/>
        <v>-3.2782554626464844E-7</v>
      </c>
    </row>
    <row r="107" spans="1:49">
      <c r="B107" s="2" t="s">
        <v>410</v>
      </c>
      <c r="C107" s="15" t="str">
        <f>$C$50</f>
        <v>US$</v>
      </c>
      <c r="I107" s="41">
        <f t="shared" ref="I107:AW107" ca="1" si="62">-IF(I105&lt;0,I105,0)</f>
        <v>0</v>
      </c>
      <c r="J107" s="41">
        <f t="shared" ca="1" si="62"/>
        <v>43434191.120915376</v>
      </c>
      <c r="K107" s="41">
        <f t="shared" ca="1" si="62"/>
        <v>44361975.994288154</v>
      </c>
      <c r="L107" s="41">
        <f t="shared" ca="1" si="62"/>
        <v>88723951.988576293</v>
      </c>
      <c r="M107" s="41">
        <f t="shared" ca="1" si="62"/>
        <v>133085927.98286444</v>
      </c>
      <c r="N107" s="41">
        <f t="shared" ca="1" si="62"/>
        <v>0</v>
      </c>
      <c r="O107" s="41">
        <f t="shared" ca="1" si="62"/>
        <v>0</v>
      </c>
      <c r="P107" s="41">
        <f t="shared" ca="1" si="62"/>
        <v>0</v>
      </c>
      <c r="Q107" s="41">
        <f t="shared" ca="1" si="62"/>
        <v>0</v>
      </c>
      <c r="R107" s="41">
        <f t="shared" ca="1" si="62"/>
        <v>0</v>
      </c>
      <c r="S107" s="41">
        <f t="shared" ca="1" si="62"/>
        <v>0</v>
      </c>
      <c r="T107" s="41">
        <f t="shared" ca="1" si="62"/>
        <v>0</v>
      </c>
      <c r="U107" s="41">
        <f t="shared" ca="1" si="62"/>
        <v>0</v>
      </c>
      <c r="V107" s="41">
        <f t="shared" ca="1" si="62"/>
        <v>0</v>
      </c>
      <c r="W107" s="41">
        <f t="shared" ca="1" si="62"/>
        <v>0</v>
      </c>
      <c r="X107" s="41">
        <f t="shared" ca="1" si="62"/>
        <v>0</v>
      </c>
      <c r="Y107" s="41">
        <f t="shared" ca="1" si="62"/>
        <v>0</v>
      </c>
      <c r="Z107" s="41">
        <f t="shared" ca="1" si="62"/>
        <v>0</v>
      </c>
      <c r="AA107" s="41">
        <f t="shared" ca="1" si="62"/>
        <v>0</v>
      </c>
      <c r="AB107" s="41">
        <f t="shared" ca="1" si="62"/>
        <v>0</v>
      </c>
      <c r="AC107" s="41">
        <f t="shared" ca="1" si="62"/>
        <v>0</v>
      </c>
      <c r="AD107" s="41">
        <f t="shared" ca="1" si="62"/>
        <v>0</v>
      </c>
      <c r="AE107" s="41">
        <f t="shared" ca="1" si="62"/>
        <v>0</v>
      </c>
      <c r="AF107" s="41">
        <f t="shared" ca="1" si="62"/>
        <v>0</v>
      </c>
      <c r="AG107" s="41">
        <f t="shared" ca="1" si="62"/>
        <v>0</v>
      </c>
      <c r="AH107" s="41">
        <f t="shared" ca="1" si="62"/>
        <v>0</v>
      </c>
      <c r="AI107" s="41">
        <f t="shared" ca="1" si="62"/>
        <v>0</v>
      </c>
      <c r="AJ107" s="41">
        <f t="shared" ca="1" si="62"/>
        <v>0</v>
      </c>
      <c r="AK107" s="41">
        <f t="shared" ca="1" si="62"/>
        <v>0</v>
      </c>
      <c r="AL107" s="41">
        <f t="shared" ca="1" si="62"/>
        <v>3.2782554626464844E-7</v>
      </c>
      <c r="AM107" s="41">
        <f t="shared" ca="1" si="62"/>
        <v>3.2782554626464844E-7</v>
      </c>
      <c r="AN107" s="41">
        <f t="shared" ca="1" si="62"/>
        <v>3.2782554626464844E-7</v>
      </c>
      <c r="AO107" s="41">
        <f t="shared" ca="1" si="62"/>
        <v>3.2782554626464844E-7</v>
      </c>
      <c r="AP107" s="41">
        <f t="shared" ca="1" si="62"/>
        <v>3.2782554626464844E-7</v>
      </c>
      <c r="AQ107" s="41">
        <f t="shared" ca="1" si="62"/>
        <v>3.2782554626464844E-7</v>
      </c>
      <c r="AR107" s="41">
        <f t="shared" ca="1" si="62"/>
        <v>3.2782554626464844E-7</v>
      </c>
      <c r="AS107" s="41">
        <f t="shared" ca="1" si="62"/>
        <v>3.2782554626464844E-7</v>
      </c>
      <c r="AT107" s="41">
        <f t="shared" ca="1" si="62"/>
        <v>3.2782554626464844E-7</v>
      </c>
      <c r="AU107" s="41">
        <f t="shared" ca="1" si="62"/>
        <v>3.2782554626464844E-7</v>
      </c>
      <c r="AV107" s="41">
        <f t="shared" ca="1" si="62"/>
        <v>3.2782554626464844E-7</v>
      </c>
      <c r="AW107" s="41">
        <f t="shared" ca="1" si="62"/>
        <v>3.2782554626464844E-7</v>
      </c>
    </row>
    <row r="108" spans="1:49">
      <c r="B108" s="2" t="s">
        <v>411</v>
      </c>
      <c r="C108" s="15" t="str">
        <f>$C$50</f>
        <v>US$</v>
      </c>
      <c r="I108" s="41">
        <f t="shared" ref="I108:AW108" ca="1" si="63">IF(I105&gt;0,I105,0)</f>
        <v>0</v>
      </c>
      <c r="J108" s="41">
        <f t="shared" ca="1" si="63"/>
        <v>0</v>
      </c>
      <c r="K108" s="41">
        <f t="shared" ca="1" si="63"/>
        <v>0</v>
      </c>
      <c r="L108" s="41">
        <f t="shared" ca="1" si="63"/>
        <v>0</v>
      </c>
      <c r="M108" s="41">
        <f t="shared" ca="1" si="63"/>
        <v>0</v>
      </c>
      <c r="N108" s="41">
        <f t="shared" ca="1" si="63"/>
        <v>67291685.939287096</v>
      </c>
      <c r="O108" s="41">
        <f t="shared" ca="1" si="63"/>
        <v>296608011.41658807</v>
      </c>
      <c r="P108" s="41">
        <f t="shared" ca="1" si="63"/>
        <v>552928561.64533806</v>
      </c>
      <c r="Q108" s="41">
        <f t="shared" ca="1" si="63"/>
        <v>837148148.3693974</v>
      </c>
      <c r="R108" s="41">
        <f t="shared" ca="1" si="63"/>
        <v>887360395.39487231</v>
      </c>
      <c r="S108" s="41">
        <f t="shared" ca="1" si="63"/>
        <v>842876879.74032581</v>
      </c>
      <c r="T108" s="41">
        <f t="shared" ca="1" si="63"/>
        <v>798514903.74603772</v>
      </c>
      <c r="U108" s="41">
        <f t="shared" ca="1" si="63"/>
        <v>754152927.75174952</v>
      </c>
      <c r="V108" s="41">
        <f t="shared" ca="1" si="63"/>
        <v>709912159.3421452</v>
      </c>
      <c r="W108" s="41">
        <f t="shared" ca="1" si="63"/>
        <v>665428643.68759871</v>
      </c>
      <c r="X108" s="41">
        <f t="shared" ca="1" si="63"/>
        <v>621066667.6933105</v>
      </c>
      <c r="Y108" s="41">
        <f t="shared" ca="1" si="63"/>
        <v>576704691.69902229</v>
      </c>
      <c r="Z108" s="41">
        <f t="shared" ca="1" si="63"/>
        <v>532463923.28941798</v>
      </c>
      <c r="AA108" s="41">
        <f t="shared" ca="1" si="63"/>
        <v>487980407.63487148</v>
      </c>
      <c r="AB108" s="41">
        <f t="shared" ca="1" si="63"/>
        <v>443618431.64058334</v>
      </c>
      <c r="AC108" s="41">
        <f t="shared" ca="1" si="63"/>
        <v>399256455.64629519</v>
      </c>
      <c r="AD108" s="41">
        <f t="shared" ca="1" si="63"/>
        <v>355015687.23669088</v>
      </c>
      <c r="AE108" s="41">
        <f t="shared" ca="1" si="63"/>
        <v>310532171.58214438</v>
      </c>
      <c r="AF108" s="41">
        <f t="shared" ca="1" si="63"/>
        <v>266170195.58785623</v>
      </c>
      <c r="AG108" s="41">
        <f t="shared" ca="1" si="63"/>
        <v>221808219.59356809</v>
      </c>
      <c r="AH108" s="41">
        <f t="shared" ca="1" si="63"/>
        <v>177567451.18396378</v>
      </c>
      <c r="AI108" s="41">
        <f t="shared" ca="1" si="63"/>
        <v>133083935.52941731</v>
      </c>
      <c r="AJ108" s="41">
        <f t="shared" ca="1" si="63"/>
        <v>88721959.53512916</v>
      </c>
      <c r="AK108" s="41">
        <f t="shared" ca="1" si="63"/>
        <v>44359983.540841013</v>
      </c>
      <c r="AL108" s="41">
        <f t="shared" ca="1" si="63"/>
        <v>0</v>
      </c>
      <c r="AM108" s="41">
        <f t="shared" ca="1" si="63"/>
        <v>0</v>
      </c>
      <c r="AN108" s="41">
        <f t="shared" ca="1" si="63"/>
        <v>0</v>
      </c>
      <c r="AO108" s="41">
        <f t="shared" ca="1" si="63"/>
        <v>0</v>
      </c>
      <c r="AP108" s="41">
        <f t="shared" ca="1" si="63"/>
        <v>0</v>
      </c>
      <c r="AQ108" s="41">
        <f t="shared" ca="1" si="63"/>
        <v>0</v>
      </c>
      <c r="AR108" s="41">
        <f t="shared" ca="1" si="63"/>
        <v>0</v>
      </c>
      <c r="AS108" s="41">
        <f t="shared" ca="1" si="63"/>
        <v>0</v>
      </c>
      <c r="AT108" s="41">
        <f t="shared" ca="1" si="63"/>
        <v>0</v>
      </c>
      <c r="AU108" s="41">
        <f t="shared" ca="1" si="63"/>
        <v>0</v>
      </c>
      <c r="AV108" s="41">
        <f t="shared" ca="1" si="63"/>
        <v>0</v>
      </c>
      <c r="AW108" s="41">
        <f t="shared" ca="1" si="63"/>
        <v>0</v>
      </c>
    </row>
    <row r="110" spans="1:49">
      <c r="A110" s="130" t="s">
        <v>109</v>
      </c>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tabColor theme="9" tint="0.39997558519241921"/>
  </sheetPr>
  <dimension ref="A1:AW78"/>
  <sheetViews>
    <sheetView workbookViewId="0">
      <selection activeCell="C34" sqref="C34"/>
    </sheetView>
  </sheetViews>
  <sheetFormatPr defaultColWidth="9.14453125" defaultRowHeight="10.5"/>
  <cols>
    <col min="1" max="1" width="3.49609375" style="2" customWidth="1"/>
    <col min="2" max="2" width="35.109375" style="2" customWidth="1"/>
    <col min="3" max="3" width="9.14453125" style="2"/>
    <col min="4" max="4" width="23.9453125" style="2" customWidth="1"/>
    <col min="5" max="8" width="9.14453125" style="2"/>
    <col min="9" max="9" width="10.4921875" style="2" customWidth="1"/>
    <col min="10" max="10" width="10.625" style="2" bestFit="1" customWidth="1"/>
    <col min="11" max="17" width="11.97265625" style="2" bestFit="1" customWidth="1"/>
    <col min="18" max="35" width="10.625" style="2" bestFit="1" customWidth="1"/>
    <col min="36" max="48" width="12.23828125" style="2" customWidth="1"/>
    <col min="49" max="16384" width="9.14453125" style="2"/>
  </cols>
  <sheetData>
    <row r="1" spans="1:49" s="3265" customFormat="1" ht="14.25">
      <c r="A1" s="3259" t="s">
        <v>672</v>
      </c>
      <c r="B1" s="3260"/>
      <c r="C1" s="3260"/>
      <c r="D1" s="3260"/>
      <c r="E1" s="3260"/>
      <c r="F1" s="3260"/>
      <c r="G1" s="3260"/>
      <c r="H1" s="3260"/>
      <c r="I1" s="3260"/>
      <c r="J1" s="3260"/>
      <c r="K1" s="3260"/>
      <c r="L1" s="3260"/>
      <c r="M1" s="3260"/>
      <c r="N1" s="3260"/>
      <c r="O1" s="3260"/>
      <c r="P1" s="3260"/>
      <c r="Q1" s="3260"/>
      <c r="R1" s="3260"/>
      <c r="S1" s="3260"/>
      <c r="T1" s="3260"/>
      <c r="U1" s="3260"/>
      <c r="V1" s="3260"/>
      <c r="W1" s="3260"/>
      <c r="X1" s="3260"/>
      <c r="Y1" s="3260"/>
      <c r="Z1" s="3260"/>
      <c r="AA1" s="3260"/>
      <c r="AB1" s="3260"/>
      <c r="AC1" s="3260"/>
      <c r="AD1" s="3260"/>
      <c r="AE1" s="3260"/>
      <c r="AF1" s="3260"/>
      <c r="AG1" s="3260"/>
      <c r="AH1" s="3260"/>
      <c r="AI1" s="3260"/>
      <c r="AJ1" s="3260"/>
      <c r="AK1" s="3260"/>
      <c r="AL1" s="3260"/>
      <c r="AM1" s="3260"/>
      <c r="AN1" s="3260"/>
      <c r="AO1" s="3260"/>
      <c r="AP1" s="3260"/>
      <c r="AQ1" s="3260"/>
      <c r="AR1" s="3260"/>
      <c r="AS1" s="3260"/>
      <c r="AT1" s="3260"/>
      <c r="AU1" s="3260"/>
      <c r="AV1" s="3260"/>
      <c r="AW1" s="3260"/>
    </row>
    <row r="2" spans="1:49" s="151" customFormat="1" ht="11.25">
      <c r="A2" s="3270" t="s">
        <v>2397</v>
      </c>
      <c r="B2" s="3270"/>
      <c r="C2" s="3271"/>
      <c r="D2" s="3271"/>
      <c r="E2" s="3271"/>
      <c r="F2" s="3271"/>
      <c r="G2" s="3271"/>
      <c r="H2" s="3271" t="s">
        <v>0</v>
      </c>
      <c r="I2" s="2715">
        <f>'Timing &amp; Flags'!I2</f>
        <v>1</v>
      </c>
      <c r="J2" s="2715">
        <f>'Timing &amp; Flags'!J2</f>
        <v>2</v>
      </c>
      <c r="K2" s="2715">
        <f>'Timing &amp; Flags'!K2</f>
        <v>3</v>
      </c>
      <c r="L2" s="2715">
        <f>'Timing &amp; Flags'!L2</f>
        <v>4</v>
      </c>
      <c r="M2" s="2715">
        <f>'Timing &amp; Flags'!M2</f>
        <v>5</v>
      </c>
      <c r="N2" s="2715">
        <f>'Timing &amp; Flags'!N2</f>
        <v>6</v>
      </c>
      <c r="O2" s="2715">
        <f>'Timing &amp; Flags'!O2</f>
        <v>7</v>
      </c>
      <c r="P2" s="2715">
        <f>'Timing &amp; Flags'!P2</f>
        <v>8</v>
      </c>
      <c r="Q2" s="2715">
        <f>'Timing &amp; Flags'!Q2</f>
        <v>9</v>
      </c>
      <c r="R2" s="2715">
        <f>'Timing &amp; Flags'!R2</f>
        <v>10</v>
      </c>
      <c r="S2" s="2715">
        <f>'Timing &amp; Flags'!S2</f>
        <v>11</v>
      </c>
      <c r="T2" s="2715">
        <f>'Timing &amp; Flags'!T2</f>
        <v>12</v>
      </c>
      <c r="U2" s="2715">
        <f>'Timing &amp; Flags'!U2</f>
        <v>13</v>
      </c>
      <c r="V2" s="2715">
        <f>'Timing &amp; Flags'!V2</f>
        <v>14</v>
      </c>
      <c r="W2" s="2715">
        <f>'Timing &amp; Flags'!W2</f>
        <v>15</v>
      </c>
      <c r="X2" s="2715">
        <f>'Timing &amp; Flags'!X2</f>
        <v>16</v>
      </c>
      <c r="Y2" s="2715">
        <f>'Timing &amp; Flags'!Y2</f>
        <v>17</v>
      </c>
      <c r="Z2" s="2715">
        <f>'Timing &amp; Flags'!Z2</f>
        <v>18</v>
      </c>
      <c r="AA2" s="2715">
        <f>'Timing &amp; Flags'!AA2</f>
        <v>19</v>
      </c>
      <c r="AB2" s="2715">
        <f>'Timing &amp; Flags'!AB2</f>
        <v>20</v>
      </c>
      <c r="AC2" s="2715">
        <f>'Timing &amp; Flags'!AC2</f>
        <v>21</v>
      </c>
      <c r="AD2" s="2715">
        <f>'Timing &amp; Flags'!AD2</f>
        <v>22</v>
      </c>
      <c r="AE2" s="2715">
        <f>'Timing &amp; Flags'!AE2</f>
        <v>23</v>
      </c>
      <c r="AF2" s="2715">
        <f>'Timing &amp; Flags'!AF2</f>
        <v>24</v>
      </c>
      <c r="AG2" s="2715">
        <f>'Timing &amp; Flags'!AG2</f>
        <v>25</v>
      </c>
      <c r="AH2" s="2715">
        <f>'Timing &amp; Flags'!AH2</f>
        <v>26</v>
      </c>
      <c r="AI2" s="2715">
        <f>'Timing &amp; Flags'!AI2</f>
        <v>27</v>
      </c>
      <c r="AJ2" s="2715">
        <f>'Timing &amp; Flags'!AJ2</f>
        <v>28</v>
      </c>
      <c r="AK2" s="2715">
        <f>'Timing &amp; Flags'!AK2</f>
        <v>29</v>
      </c>
      <c r="AL2" s="2715">
        <f>'Timing &amp; Flags'!AL2</f>
        <v>30</v>
      </c>
      <c r="AM2" s="2715">
        <f>'Timing &amp; Flags'!AM2</f>
        <v>31</v>
      </c>
      <c r="AN2" s="2715">
        <f>'Timing &amp; Flags'!AN2</f>
        <v>32</v>
      </c>
      <c r="AO2" s="2715">
        <f>'Timing &amp; Flags'!AO2</f>
        <v>33</v>
      </c>
      <c r="AP2" s="2715">
        <f>'Timing &amp; Flags'!AP2</f>
        <v>34</v>
      </c>
      <c r="AQ2" s="2715">
        <f>'Timing &amp; Flags'!AQ2</f>
        <v>35</v>
      </c>
      <c r="AR2" s="2715">
        <f>'Timing &amp; Flags'!AR2</f>
        <v>36</v>
      </c>
      <c r="AS2" s="2715">
        <f>'Timing &amp; Flags'!AS2</f>
        <v>37</v>
      </c>
      <c r="AT2" s="2715">
        <f>'Timing &amp; Flags'!AT2</f>
        <v>38</v>
      </c>
      <c r="AU2" s="2715">
        <f>'Timing &amp; Flags'!AU2</f>
        <v>39</v>
      </c>
      <c r="AV2" s="2715">
        <f>'Timing &amp; Flags'!AV2</f>
        <v>40</v>
      </c>
      <c r="AW2" s="2715">
        <f>'Timing &amp; Flags'!AW2</f>
        <v>41</v>
      </c>
    </row>
    <row r="3" spans="1:49" s="151" customFormat="1" ht="11.25">
      <c r="A3" s="3270" t="s">
        <v>2395</v>
      </c>
      <c r="B3" s="3271"/>
      <c r="C3" s="3271"/>
      <c r="D3" s="3271"/>
      <c r="E3" s="3271"/>
      <c r="F3" s="3271"/>
      <c r="G3" s="3271"/>
      <c r="H3" s="3271" t="s">
        <v>1</v>
      </c>
      <c r="I3" s="3272">
        <f>'Timing &amp; Flags'!I3</f>
        <v>46023</v>
      </c>
      <c r="J3" s="3272">
        <f>'Timing &amp; Flags'!J3</f>
        <v>46388</v>
      </c>
      <c r="K3" s="3272">
        <f>'Timing &amp; Flags'!K3</f>
        <v>46753</v>
      </c>
      <c r="L3" s="3272">
        <f>'Timing &amp; Flags'!L3</f>
        <v>47119</v>
      </c>
      <c r="M3" s="3272">
        <f>'Timing &amp; Flags'!M3</f>
        <v>47484</v>
      </c>
      <c r="N3" s="3272">
        <f>'Timing &amp; Flags'!N3</f>
        <v>47849</v>
      </c>
      <c r="O3" s="3272">
        <f>'Timing &amp; Flags'!O3</f>
        <v>48214</v>
      </c>
      <c r="P3" s="3272">
        <f>'Timing &amp; Flags'!P3</f>
        <v>48580</v>
      </c>
      <c r="Q3" s="3272">
        <f>'Timing &amp; Flags'!Q3</f>
        <v>48945</v>
      </c>
      <c r="R3" s="3272">
        <f>'Timing &amp; Flags'!R3</f>
        <v>49310</v>
      </c>
      <c r="S3" s="3272">
        <f>'Timing &amp; Flags'!S3</f>
        <v>49675</v>
      </c>
      <c r="T3" s="3272">
        <f>'Timing &amp; Flags'!T3</f>
        <v>50041</v>
      </c>
      <c r="U3" s="3272">
        <f>'Timing &amp; Flags'!U3</f>
        <v>50406</v>
      </c>
      <c r="V3" s="3272">
        <f>'Timing &amp; Flags'!V3</f>
        <v>50771</v>
      </c>
      <c r="W3" s="3272">
        <f>'Timing &amp; Flags'!W3</f>
        <v>51136</v>
      </c>
      <c r="X3" s="3272">
        <f>'Timing &amp; Flags'!X3</f>
        <v>51502</v>
      </c>
      <c r="Y3" s="3272">
        <f>'Timing &amp; Flags'!Y3</f>
        <v>51867</v>
      </c>
      <c r="Z3" s="3272">
        <f>'Timing &amp; Flags'!Z3</f>
        <v>52232</v>
      </c>
      <c r="AA3" s="3272">
        <f>'Timing &amp; Flags'!AA3</f>
        <v>52597</v>
      </c>
      <c r="AB3" s="3272">
        <f>'Timing &amp; Flags'!AB3</f>
        <v>52963</v>
      </c>
      <c r="AC3" s="3272">
        <f>'Timing &amp; Flags'!AC3</f>
        <v>53328</v>
      </c>
      <c r="AD3" s="3272">
        <f>'Timing &amp; Flags'!AD3</f>
        <v>53693</v>
      </c>
      <c r="AE3" s="3272">
        <f>'Timing &amp; Flags'!AE3</f>
        <v>54058</v>
      </c>
      <c r="AF3" s="3272">
        <f>'Timing &amp; Flags'!AF3</f>
        <v>54424</v>
      </c>
      <c r="AG3" s="3272">
        <f>'Timing &amp; Flags'!AG3</f>
        <v>54789</v>
      </c>
      <c r="AH3" s="3272">
        <f>'Timing &amp; Flags'!AH3</f>
        <v>55154</v>
      </c>
      <c r="AI3" s="3272">
        <f>'Timing &amp; Flags'!AI3</f>
        <v>55519</v>
      </c>
      <c r="AJ3" s="3272">
        <f>'Timing &amp; Flags'!AJ3</f>
        <v>55885</v>
      </c>
      <c r="AK3" s="3272">
        <f>'Timing &amp; Flags'!AK3</f>
        <v>56250</v>
      </c>
      <c r="AL3" s="3272">
        <f>'Timing &amp; Flags'!AL3</f>
        <v>56615</v>
      </c>
      <c r="AM3" s="3272">
        <f>'Timing &amp; Flags'!AM3</f>
        <v>56980</v>
      </c>
      <c r="AN3" s="3272">
        <f>'Timing &amp; Flags'!AN3</f>
        <v>57346</v>
      </c>
      <c r="AO3" s="3272">
        <f>'Timing &amp; Flags'!AO3</f>
        <v>57711</v>
      </c>
      <c r="AP3" s="3272">
        <f>'Timing &amp; Flags'!AP3</f>
        <v>58076</v>
      </c>
      <c r="AQ3" s="3272">
        <f>'Timing &amp; Flags'!AQ3</f>
        <v>58441</v>
      </c>
      <c r="AR3" s="3272">
        <f>'Timing &amp; Flags'!AR3</f>
        <v>58807</v>
      </c>
      <c r="AS3" s="3272">
        <f>'Timing &amp; Flags'!AS3</f>
        <v>59172</v>
      </c>
      <c r="AT3" s="3272">
        <f>'Timing &amp; Flags'!AT3</f>
        <v>59537</v>
      </c>
      <c r="AU3" s="3272">
        <f>'Timing &amp; Flags'!AU3</f>
        <v>59902</v>
      </c>
      <c r="AV3" s="3272">
        <f>'Timing &amp; Flags'!AV3</f>
        <v>60268</v>
      </c>
      <c r="AW3" s="3272">
        <f>'Timing &amp; Flags'!AW3</f>
        <v>60633</v>
      </c>
    </row>
    <row r="4" spans="1:49" s="151" customFormat="1" ht="11.25">
      <c r="A4" s="3271" t="s">
        <v>849</v>
      </c>
      <c r="B4" s="3271"/>
      <c r="C4" s="3271"/>
      <c r="D4" s="3271"/>
      <c r="E4" s="3271"/>
      <c r="F4" s="3271"/>
      <c r="G4" s="3271"/>
      <c r="H4" s="3271" t="s">
        <v>2</v>
      </c>
      <c r="I4" s="3273">
        <f>'Timing &amp; Flags'!I4</f>
        <v>46387</v>
      </c>
      <c r="J4" s="3273">
        <f>'Timing &amp; Flags'!J4</f>
        <v>46752</v>
      </c>
      <c r="K4" s="3273">
        <f>'Timing &amp; Flags'!K4</f>
        <v>47118</v>
      </c>
      <c r="L4" s="3273">
        <f>'Timing &amp; Flags'!L4</f>
        <v>47483</v>
      </c>
      <c r="M4" s="3273">
        <f>'Timing &amp; Flags'!M4</f>
        <v>47848</v>
      </c>
      <c r="N4" s="3273">
        <f>'Timing &amp; Flags'!N4</f>
        <v>48213</v>
      </c>
      <c r="O4" s="3273">
        <f>'Timing &amp; Flags'!O4</f>
        <v>48579</v>
      </c>
      <c r="P4" s="3273">
        <f>'Timing &amp; Flags'!P4</f>
        <v>48944</v>
      </c>
      <c r="Q4" s="3273">
        <f>'Timing &amp; Flags'!Q4</f>
        <v>49309</v>
      </c>
      <c r="R4" s="3273">
        <f>'Timing &amp; Flags'!R4</f>
        <v>49674</v>
      </c>
      <c r="S4" s="3273">
        <f>'Timing &amp; Flags'!S4</f>
        <v>50040</v>
      </c>
      <c r="T4" s="3273">
        <f>'Timing &amp; Flags'!T4</f>
        <v>50405</v>
      </c>
      <c r="U4" s="3273">
        <f>'Timing &amp; Flags'!U4</f>
        <v>50770</v>
      </c>
      <c r="V4" s="3273">
        <f>'Timing &amp; Flags'!V4</f>
        <v>51135</v>
      </c>
      <c r="W4" s="3273">
        <f>'Timing &amp; Flags'!W4</f>
        <v>51501</v>
      </c>
      <c r="X4" s="3273">
        <f>'Timing &amp; Flags'!X4</f>
        <v>51866</v>
      </c>
      <c r="Y4" s="3273">
        <f>'Timing &amp; Flags'!Y4</f>
        <v>52231</v>
      </c>
      <c r="Z4" s="3273">
        <f>'Timing &amp; Flags'!Z4</f>
        <v>52596</v>
      </c>
      <c r="AA4" s="3273">
        <f>'Timing &amp; Flags'!AA4</f>
        <v>52962</v>
      </c>
      <c r="AB4" s="3273">
        <f>'Timing &amp; Flags'!AB4</f>
        <v>53327</v>
      </c>
      <c r="AC4" s="3273">
        <f>'Timing &amp; Flags'!AC4</f>
        <v>53692</v>
      </c>
      <c r="AD4" s="3273">
        <f>'Timing &amp; Flags'!AD4</f>
        <v>54057</v>
      </c>
      <c r="AE4" s="3273">
        <f>'Timing &amp; Flags'!AE4</f>
        <v>54423</v>
      </c>
      <c r="AF4" s="3273">
        <f>'Timing &amp; Flags'!AF4</f>
        <v>54788</v>
      </c>
      <c r="AG4" s="3273">
        <f>'Timing &amp; Flags'!AG4</f>
        <v>55153</v>
      </c>
      <c r="AH4" s="3273">
        <f>'Timing &amp; Flags'!AH4</f>
        <v>55518</v>
      </c>
      <c r="AI4" s="3273">
        <f>'Timing &amp; Flags'!AI4</f>
        <v>55884</v>
      </c>
      <c r="AJ4" s="3273">
        <f>'Timing &amp; Flags'!AJ4</f>
        <v>56249</v>
      </c>
      <c r="AK4" s="3273">
        <f>'Timing &amp; Flags'!AK4</f>
        <v>56614</v>
      </c>
      <c r="AL4" s="3273">
        <f>'Timing &amp; Flags'!AL4</f>
        <v>56979</v>
      </c>
      <c r="AM4" s="3273">
        <f>'Timing &amp; Flags'!AM4</f>
        <v>57345</v>
      </c>
      <c r="AN4" s="3273">
        <f>'Timing &amp; Flags'!AN4</f>
        <v>57710</v>
      </c>
      <c r="AO4" s="3273">
        <f>'Timing &amp; Flags'!AO4</f>
        <v>58075</v>
      </c>
      <c r="AP4" s="3273">
        <f>'Timing &amp; Flags'!AP4</f>
        <v>58440</v>
      </c>
      <c r="AQ4" s="3273">
        <f>'Timing &amp; Flags'!AQ4</f>
        <v>58806</v>
      </c>
      <c r="AR4" s="3273">
        <f>'Timing &amp; Flags'!AR4</f>
        <v>59171</v>
      </c>
      <c r="AS4" s="3273">
        <f>'Timing &amp; Flags'!AS4</f>
        <v>59536</v>
      </c>
      <c r="AT4" s="3273">
        <f>'Timing &amp; Flags'!AT4</f>
        <v>59901</v>
      </c>
      <c r="AU4" s="3273">
        <f>'Timing &amp; Flags'!AU4</f>
        <v>60267</v>
      </c>
      <c r="AV4" s="3273">
        <f>'Timing &amp; Flags'!AV4</f>
        <v>60632</v>
      </c>
      <c r="AW4" s="3273">
        <f>'Timing &amp; Flags'!AW4</f>
        <v>60997</v>
      </c>
    </row>
    <row r="5" spans="1:49" s="151" customFormat="1" ht="11.25">
      <c r="A5" s="3271" t="s">
        <v>640</v>
      </c>
      <c r="B5" s="3271"/>
      <c r="C5" s="3271"/>
      <c r="D5" s="3271"/>
      <c r="E5" s="3271"/>
      <c r="F5" s="3271"/>
      <c r="G5" s="3271"/>
      <c r="H5" s="3271" t="s">
        <v>3</v>
      </c>
      <c r="I5" s="2717">
        <f ca="1">'Timing &amp; Flags'!I5</f>
        <v>365</v>
      </c>
      <c r="J5" s="2717">
        <f ca="1">'Timing &amp; Flags'!J5</f>
        <v>366</v>
      </c>
      <c r="K5" s="2717">
        <f ca="1">'Timing &amp; Flags'!K5</f>
        <v>365</v>
      </c>
      <c r="L5" s="2717">
        <f ca="1">'Timing &amp; Flags'!L5</f>
        <v>365</v>
      </c>
      <c r="M5" s="2717">
        <f ca="1">'Timing &amp; Flags'!M5</f>
        <v>365</v>
      </c>
      <c r="N5" s="2717">
        <f ca="1">'Timing &amp; Flags'!N5</f>
        <v>366</v>
      </c>
      <c r="O5" s="2717">
        <f ca="1">'Timing &amp; Flags'!O5</f>
        <v>365</v>
      </c>
      <c r="P5" s="2717">
        <f ca="1">'Timing &amp; Flags'!P5</f>
        <v>365</v>
      </c>
      <c r="Q5" s="2717">
        <f ca="1">'Timing &amp; Flags'!Q5</f>
        <v>365</v>
      </c>
      <c r="R5" s="2717">
        <f ca="1">'Timing &amp; Flags'!R5</f>
        <v>366</v>
      </c>
      <c r="S5" s="2717">
        <f ca="1">'Timing &amp; Flags'!S5</f>
        <v>365</v>
      </c>
      <c r="T5" s="2717">
        <f ca="1">'Timing &amp; Flags'!T5</f>
        <v>365</v>
      </c>
      <c r="U5" s="2717">
        <f ca="1">'Timing &amp; Flags'!U5</f>
        <v>365</v>
      </c>
      <c r="V5" s="2717">
        <f ca="1">'Timing &amp; Flags'!V5</f>
        <v>366</v>
      </c>
      <c r="W5" s="2717">
        <f ca="1">'Timing &amp; Flags'!W5</f>
        <v>365</v>
      </c>
      <c r="X5" s="2717">
        <f ca="1">'Timing &amp; Flags'!X5</f>
        <v>365</v>
      </c>
      <c r="Y5" s="2717">
        <f ca="1">'Timing &amp; Flags'!Y5</f>
        <v>365</v>
      </c>
      <c r="Z5" s="2717">
        <f ca="1">'Timing &amp; Flags'!Z5</f>
        <v>366</v>
      </c>
      <c r="AA5" s="2717">
        <f ca="1">'Timing &amp; Flags'!AA5</f>
        <v>365</v>
      </c>
      <c r="AB5" s="2717">
        <f ca="1">'Timing &amp; Flags'!AB5</f>
        <v>365</v>
      </c>
      <c r="AC5" s="2717">
        <f ca="1">'Timing &amp; Flags'!AC5</f>
        <v>365</v>
      </c>
      <c r="AD5" s="2717">
        <f ca="1">'Timing &amp; Flags'!AD5</f>
        <v>366</v>
      </c>
      <c r="AE5" s="2717">
        <f ca="1">'Timing &amp; Flags'!AE5</f>
        <v>365</v>
      </c>
      <c r="AF5" s="2717">
        <f ca="1">'Timing &amp; Flags'!AF5</f>
        <v>365</v>
      </c>
      <c r="AG5" s="2717">
        <f ca="1">'Timing &amp; Flags'!AG5</f>
        <v>365</v>
      </c>
      <c r="AH5" s="2717">
        <f ca="1">'Timing &amp; Flags'!AH5</f>
        <v>366</v>
      </c>
      <c r="AI5" s="2717">
        <f ca="1">'Timing &amp; Flags'!AI5</f>
        <v>365</v>
      </c>
      <c r="AJ5" s="2717">
        <f ca="1">'Timing &amp; Flags'!AJ5</f>
        <v>365</v>
      </c>
      <c r="AK5" s="2717">
        <f ca="1">'Timing &amp; Flags'!AK5</f>
        <v>365</v>
      </c>
      <c r="AL5" s="2717">
        <f ca="1">'Timing &amp; Flags'!AL5</f>
        <v>365</v>
      </c>
      <c r="AM5" s="2717">
        <f ca="1">'Timing &amp; Flags'!AM5</f>
        <v>365</v>
      </c>
      <c r="AN5" s="2717">
        <f ca="1">'Timing &amp; Flags'!AN5</f>
        <v>365</v>
      </c>
      <c r="AO5" s="2717">
        <f ca="1">'Timing &amp; Flags'!AO5</f>
        <v>365</v>
      </c>
      <c r="AP5" s="2717">
        <f ca="1">'Timing &amp; Flags'!AP5</f>
        <v>365</v>
      </c>
      <c r="AQ5" s="2717">
        <f ca="1">'Timing &amp; Flags'!AQ5</f>
        <v>365</v>
      </c>
      <c r="AR5" s="2717">
        <f ca="1">'Timing &amp; Flags'!AR5</f>
        <v>365</v>
      </c>
      <c r="AS5" s="2717">
        <f ca="1">'Timing &amp; Flags'!AS5</f>
        <v>365</v>
      </c>
      <c r="AT5" s="2717">
        <f ca="1">'Timing &amp; Flags'!AT5</f>
        <v>365</v>
      </c>
      <c r="AU5" s="2717">
        <f ca="1">'Timing &amp; Flags'!AU5</f>
        <v>365</v>
      </c>
      <c r="AV5" s="2717">
        <f ca="1">'Timing &amp; Flags'!AV5</f>
        <v>365</v>
      </c>
      <c r="AW5" s="2717">
        <f ca="1">'Timing &amp; Flags'!AW5</f>
        <v>365</v>
      </c>
    </row>
    <row r="7" spans="1:49">
      <c r="A7" s="6" t="s">
        <v>258</v>
      </c>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9" spans="1:49">
      <c r="B9" s="10" t="s">
        <v>210</v>
      </c>
      <c r="D9" s="137"/>
      <c r="F9" s="13"/>
    </row>
    <row r="10" spans="1:49">
      <c r="B10" s="50" t="s">
        <v>58</v>
      </c>
    </row>
    <row r="11" spans="1:49">
      <c r="B11" s="2" t="s">
        <v>59</v>
      </c>
      <c r="C11" s="15" t="s">
        <v>60</v>
      </c>
      <c r="D11" s="37">
        <f>SUM(I11:AI11)</f>
        <v>1</v>
      </c>
      <c r="I11" s="41">
        <f>'Timing &amp; Flags'!I36</f>
        <v>1</v>
      </c>
      <c r="J11" s="41">
        <f>'Timing &amp; Flags'!J36</f>
        <v>0</v>
      </c>
      <c r="K11" s="41">
        <f>'Timing &amp; Flags'!K36</f>
        <v>0</v>
      </c>
      <c r="L11" s="41">
        <f>'Timing &amp; Flags'!L36</f>
        <v>0</v>
      </c>
      <c r="M11" s="41">
        <f>'Timing &amp; Flags'!M36</f>
        <v>0</v>
      </c>
      <c r="N11" s="41">
        <f>'Timing &amp; Flags'!N36</f>
        <v>0</v>
      </c>
      <c r="O11" s="41">
        <f>'Timing &amp; Flags'!O36</f>
        <v>0</v>
      </c>
      <c r="P11" s="41">
        <f>'Timing &amp; Flags'!P36</f>
        <v>0</v>
      </c>
      <c r="Q11" s="41">
        <f>'Timing &amp; Flags'!Q36</f>
        <v>0</v>
      </c>
      <c r="R11" s="41">
        <f>'Timing &amp; Flags'!R36</f>
        <v>0</v>
      </c>
      <c r="S11" s="41">
        <f>'Timing &amp; Flags'!S36</f>
        <v>0</v>
      </c>
      <c r="T11" s="41">
        <f>'Timing &amp; Flags'!T36</f>
        <v>0</v>
      </c>
      <c r="U11" s="41">
        <f>'Timing &amp; Flags'!U36</f>
        <v>0</v>
      </c>
      <c r="V11" s="41">
        <f>'Timing &amp; Flags'!V36</f>
        <v>0</v>
      </c>
      <c r="W11" s="41">
        <f>'Timing &amp; Flags'!W36</f>
        <v>0</v>
      </c>
      <c r="X11" s="41">
        <f>'Timing &amp; Flags'!X36</f>
        <v>0</v>
      </c>
      <c r="Y11" s="41">
        <f>'Timing &amp; Flags'!Y36</f>
        <v>0</v>
      </c>
      <c r="Z11" s="41">
        <f>'Timing &amp; Flags'!Z36</f>
        <v>0</v>
      </c>
      <c r="AA11" s="41">
        <f>'Timing &amp; Flags'!AA36</f>
        <v>0</v>
      </c>
      <c r="AB11" s="41">
        <f>'Timing &amp; Flags'!AB36</f>
        <v>0</v>
      </c>
      <c r="AC11" s="41">
        <f>'Timing &amp; Flags'!AC36</f>
        <v>0</v>
      </c>
      <c r="AD11" s="41">
        <f>'Timing &amp; Flags'!AD36</f>
        <v>0</v>
      </c>
      <c r="AE11" s="41">
        <f>'Timing &amp; Flags'!AE36</f>
        <v>0</v>
      </c>
      <c r="AF11" s="41">
        <f>'Timing &amp; Flags'!AF36</f>
        <v>0</v>
      </c>
      <c r="AG11" s="41">
        <f>'Timing &amp; Flags'!AG36</f>
        <v>0</v>
      </c>
      <c r="AH11" s="41">
        <f>'Timing &amp; Flags'!AH36</f>
        <v>0</v>
      </c>
      <c r="AI11" s="41">
        <f>'Timing &amp; Flags'!AI36</f>
        <v>0</v>
      </c>
      <c r="AJ11" s="41">
        <f>'Timing &amp; Flags'!AJ36</f>
        <v>0</v>
      </c>
      <c r="AK11" s="41">
        <f>'Timing &amp; Flags'!AK36</f>
        <v>0</v>
      </c>
      <c r="AL11" s="41">
        <f>'Timing &amp; Flags'!AL36</f>
        <v>0</v>
      </c>
      <c r="AM11" s="41">
        <f>'Timing &amp; Flags'!AM36</f>
        <v>0</v>
      </c>
      <c r="AN11" s="41">
        <f>'Timing &amp; Flags'!AN36</f>
        <v>0</v>
      </c>
      <c r="AO11" s="41">
        <f>'Timing &amp; Flags'!AO36</f>
        <v>0</v>
      </c>
      <c r="AP11" s="41">
        <f>'Timing &amp; Flags'!AP36</f>
        <v>0</v>
      </c>
      <c r="AQ11" s="41">
        <f>'Timing &amp; Flags'!AQ36</f>
        <v>0</v>
      </c>
      <c r="AR11" s="41">
        <f>'Timing &amp; Flags'!AR36</f>
        <v>0</v>
      </c>
      <c r="AS11" s="41">
        <f>'Timing &amp; Flags'!AS36</f>
        <v>0</v>
      </c>
      <c r="AT11" s="41">
        <f>'Timing &amp; Flags'!AT36</f>
        <v>0</v>
      </c>
      <c r="AU11" s="41">
        <f>'Timing &amp; Flags'!AU36</f>
        <v>0</v>
      </c>
      <c r="AV11" s="41">
        <f>'Timing &amp; Flags'!AV36</f>
        <v>0</v>
      </c>
      <c r="AW11" s="41">
        <f>'Timing &amp; Flags'!AW36</f>
        <v>0</v>
      </c>
    </row>
    <row r="12" spans="1:49">
      <c r="B12" s="2" t="s">
        <v>61</v>
      </c>
      <c r="C12" s="15" t="s">
        <v>60</v>
      </c>
      <c r="D12" s="37">
        <f>SUM(I12:AI12)</f>
        <v>3</v>
      </c>
      <c r="I12" s="41">
        <f>'Timing &amp; Flags'!I37</f>
        <v>1</v>
      </c>
      <c r="J12" s="41">
        <f>'Timing &amp; Flags'!J37</f>
        <v>1</v>
      </c>
      <c r="K12" s="41">
        <f>'Timing &amp; Flags'!K37</f>
        <v>1</v>
      </c>
      <c r="L12" s="41">
        <f>'Timing &amp; Flags'!L37</f>
        <v>0</v>
      </c>
      <c r="M12" s="41">
        <f>'Timing &amp; Flags'!M37</f>
        <v>0</v>
      </c>
      <c r="N12" s="41">
        <f>'Timing &amp; Flags'!N37</f>
        <v>0</v>
      </c>
      <c r="O12" s="41">
        <f>'Timing &amp; Flags'!O37</f>
        <v>0</v>
      </c>
      <c r="P12" s="41">
        <f>'Timing &amp; Flags'!P37</f>
        <v>0</v>
      </c>
      <c r="Q12" s="41">
        <f>'Timing &amp; Flags'!Q37</f>
        <v>0</v>
      </c>
      <c r="R12" s="41">
        <f>'Timing &amp; Flags'!R37</f>
        <v>0</v>
      </c>
      <c r="S12" s="41">
        <f>'Timing &amp; Flags'!S37</f>
        <v>0</v>
      </c>
      <c r="T12" s="41">
        <f>'Timing &amp; Flags'!T37</f>
        <v>0</v>
      </c>
      <c r="U12" s="41">
        <f>'Timing &amp; Flags'!U37</f>
        <v>0</v>
      </c>
      <c r="V12" s="41">
        <f>'Timing &amp; Flags'!V37</f>
        <v>0</v>
      </c>
      <c r="W12" s="41">
        <f>'Timing &amp; Flags'!W37</f>
        <v>0</v>
      </c>
      <c r="X12" s="41">
        <f>'Timing &amp; Flags'!X37</f>
        <v>0</v>
      </c>
      <c r="Y12" s="41">
        <f>'Timing &amp; Flags'!Y37</f>
        <v>0</v>
      </c>
      <c r="Z12" s="41">
        <f>'Timing &amp; Flags'!Z37</f>
        <v>0</v>
      </c>
      <c r="AA12" s="41">
        <f>'Timing &amp; Flags'!AA37</f>
        <v>0</v>
      </c>
      <c r="AB12" s="41">
        <f>'Timing &amp; Flags'!AB37</f>
        <v>0</v>
      </c>
      <c r="AC12" s="41">
        <f>'Timing &amp; Flags'!AC37</f>
        <v>0</v>
      </c>
      <c r="AD12" s="41">
        <f>'Timing &amp; Flags'!AD37</f>
        <v>0</v>
      </c>
      <c r="AE12" s="41">
        <f>'Timing &amp; Flags'!AE37</f>
        <v>0</v>
      </c>
      <c r="AF12" s="41">
        <f>'Timing &amp; Flags'!AF37</f>
        <v>0</v>
      </c>
      <c r="AG12" s="41">
        <f>'Timing &amp; Flags'!AG37</f>
        <v>0</v>
      </c>
      <c r="AH12" s="41">
        <f>'Timing &amp; Flags'!AH37</f>
        <v>0</v>
      </c>
      <c r="AI12" s="41">
        <f>'Timing &amp; Flags'!AI37</f>
        <v>0</v>
      </c>
      <c r="AJ12" s="41">
        <f>'Timing &amp; Flags'!AJ37</f>
        <v>0</v>
      </c>
      <c r="AK12" s="41">
        <f>'Timing &amp; Flags'!AK37</f>
        <v>0</v>
      </c>
      <c r="AL12" s="41">
        <f>'Timing &amp; Flags'!AL37</f>
        <v>0</v>
      </c>
      <c r="AM12" s="41">
        <f>'Timing &amp; Flags'!AM37</f>
        <v>0</v>
      </c>
      <c r="AN12" s="41">
        <f>'Timing &amp; Flags'!AN37</f>
        <v>0</v>
      </c>
      <c r="AO12" s="41">
        <f>'Timing &amp; Flags'!AO37</f>
        <v>0</v>
      </c>
      <c r="AP12" s="41">
        <f>'Timing &amp; Flags'!AP37</f>
        <v>0</v>
      </c>
      <c r="AQ12" s="41">
        <f>'Timing &amp; Flags'!AQ37</f>
        <v>0</v>
      </c>
      <c r="AR12" s="41">
        <f>'Timing &amp; Flags'!AR37</f>
        <v>0</v>
      </c>
      <c r="AS12" s="41">
        <f>'Timing &amp; Flags'!AS37</f>
        <v>0</v>
      </c>
      <c r="AT12" s="41">
        <f>'Timing &amp; Flags'!AT37</f>
        <v>0</v>
      </c>
      <c r="AU12" s="41">
        <f>'Timing &amp; Flags'!AU37</f>
        <v>0</v>
      </c>
      <c r="AV12" s="41">
        <f>'Timing &amp; Flags'!AV37</f>
        <v>0</v>
      </c>
      <c r="AW12" s="41">
        <f>'Timing &amp; Flags'!AW37</f>
        <v>0</v>
      </c>
    </row>
    <row r="13" spans="1:49">
      <c r="B13" s="2" t="s">
        <v>62</v>
      </c>
      <c r="C13" s="15" t="s">
        <v>60</v>
      </c>
      <c r="D13" s="37">
        <f>SUM(I13:AI13)</f>
        <v>1</v>
      </c>
      <c r="F13" s="14"/>
      <c r="I13" s="41">
        <f>'Timing &amp; Flags'!I38</f>
        <v>0</v>
      </c>
      <c r="J13" s="41">
        <f>'Timing &amp; Flags'!J38</f>
        <v>0</v>
      </c>
      <c r="K13" s="41">
        <f>'Timing &amp; Flags'!K38</f>
        <v>1</v>
      </c>
      <c r="L13" s="41">
        <f>'Timing &amp; Flags'!L38</f>
        <v>0</v>
      </c>
      <c r="M13" s="41">
        <f>'Timing &amp; Flags'!M38</f>
        <v>0</v>
      </c>
      <c r="N13" s="41">
        <f>'Timing &amp; Flags'!N38</f>
        <v>0</v>
      </c>
      <c r="O13" s="41">
        <f>'Timing &amp; Flags'!O38</f>
        <v>0</v>
      </c>
      <c r="P13" s="41">
        <f>'Timing &amp; Flags'!P38</f>
        <v>0</v>
      </c>
      <c r="Q13" s="41">
        <f>'Timing &amp; Flags'!Q38</f>
        <v>0</v>
      </c>
      <c r="R13" s="41">
        <f>'Timing &amp; Flags'!R38</f>
        <v>0</v>
      </c>
      <c r="S13" s="41">
        <f>'Timing &amp; Flags'!S38</f>
        <v>0</v>
      </c>
      <c r="T13" s="41">
        <f>'Timing &amp; Flags'!T38</f>
        <v>0</v>
      </c>
      <c r="U13" s="41">
        <f>'Timing &amp; Flags'!U38</f>
        <v>0</v>
      </c>
      <c r="V13" s="41">
        <f>'Timing &amp; Flags'!V38</f>
        <v>0</v>
      </c>
      <c r="W13" s="41">
        <f>'Timing &amp; Flags'!W38</f>
        <v>0</v>
      </c>
      <c r="X13" s="41">
        <f>'Timing &amp; Flags'!X38</f>
        <v>0</v>
      </c>
      <c r="Y13" s="41">
        <f>'Timing &amp; Flags'!Y38</f>
        <v>0</v>
      </c>
      <c r="Z13" s="41">
        <f>'Timing &amp; Flags'!Z38</f>
        <v>0</v>
      </c>
      <c r="AA13" s="41">
        <f>'Timing &amp; Flags'!AA38</f>
        <v>0</v>
      </c>
      <c r="AB13" s="41">
        <f>'Timing &amp; Flags'!AB38</f>
        <v>0</v>
      </c>
      <c r="AC13" s="41">
        <f>'Timing &amp; Flags'!AC38</f>
        <v>0</v>
      </c>
      <c r="AD13" s="41">
        <f>'Timing &amp; Flags'!AD38</f>
        <v>0</v>
      </c>
      <c r="AE13" s="41">
        <f>'Timing &amp; Flags'!AE38</f>
        <v>0</v>
      </c>
      <c r="AF13" s="41">
        <f>'Timing &amp; Flags'!AF38</f>
        <v>0</v>
      </c>
      <c r="AG13" s="41">
        <f>'Timing &amp; Flags'!AG38</f>
        <v>0</v>
      </c>
      <c r="AH13" s="41">
        <f>'Timing &amp; Flags'!AH38</f>
        <v>0</v>
      </c>
      <c r="AI13" s="41">
        <f>'Timing &amp; Flags'!AI38</f>
        <v>0</v>
      </c>
      <c r="AJ13" s="41">
        <f>'Timing &amp; Flags'!AJ38</f>
        <v>0</v>
      </c>
      <c r="AK13" s="41">
        <f>'Timing &amp; Flags'!AK38</f>
        <v>0</v>
      </c>
      <c r="AL13" s="41">
        <f>'Timing &amp; Flags'!AL38</f>
        <v>0</v>
      </c>
      <c r="AM13" s="41">
        <f>'Timing &amp; Flags'!AM38</f>
        <v>0</v>
      </c>
      <c r="AN13" s="41">
        <f>'Timing &amp; Flags'!AN38</f>
        <v>0</v>
      </c>
      <c r="AO13" s="41">
        <f>'Timing &amp; Flags'!AO38</f>
        <v>0</v>
      </c>
      <c r="AP13" s="41">
        <f>'Timing &amp; Flags'!AP38</f>
        <v>0</v>
      </c>
      <c r="AQ13" s="41">
        <f>'Timing &amp; Flags'!AQ38</f>
        <v>0</v>
      </c>
      <c r="AR13" s="41">
        <f>'Timing &amp; Flags'!AR38</f>
        <v>0</v>
      </c>
      <c r="AS13" s="41">
        <f>'Timing &amp; Flags'!AS38</f>
        <v>0</v>
      </c>
      <c r="AT13" s="41">
        <f>'Timing &amp; Flags'!AT38</f>
        <v>0</v>
      </c>
      <c r="AU13" s="41">
        <f>'Timing &amp; Flags'!AU38</f>
        <v>0</v>
      </c>
      <c r="AV13" s="41">
        <f>'Timing &amp; Flags'!AV38</f>
        <v>0</v>
      </c>
      <c r="AW13" s="41">
        <f>'Timing &amp; Flags'!AW38</f>
        <v>0</v>
      </c>
    </row>
    <row r="15" spans="1:49" ht="11.25">
      <c r="B15" s="50" t="s">
        <v>64</v>
      </c>
      <c r="D15" s="138"/>
    </row>
    <row r="16" spans="1:49">
      <c r="B16" s="2" t="s">
        <v>65</v>
      </c>
      <c r="C16" s="15" t="s">
        <v>60</v>
      </c>
      <c r="D16" s="37">
        <f>SUM(I16:AI16)</f>
        <v>1</v>
      </c>
      <c r="I16" s="41">
        <f>'Timing &amp; Flags'!I42</f>
        <v>0</v>
      </c>
      <c r="J16" s="41">
        <f>'Timing &amp; Flags'!J42</f>
        <v>0</v>
      </c>
      <c r="K16" s="41">
        <f>'Timing &amp; Flags'!K42</f>
        <v>0</v>
      </c>
      <c r="L16" s="41">
        <f>'Timing &amp; Flags'!L42</f>
        <v>1</v>
      </c>
      <c r="M16" s="41">
        <f>'Timing &amp; Flags'!M42</f>
        <v>0</v>
      </c>
      <c r="N16" s="41">
        <f>'Timing &amp; Flags'!N42</f>
        <v>0</v>
      </c>
      <c r="O16" s="41">
        <f>'Timing &amp; Flags'!O42</f>
        <v>0</v>
      </c>
      <c r="P16" s="41">
        <f>'Timing &amp; Flags'!P42</f>
        <v>0</v>
      </c>
      <c r="Q16" s="41">
        <f>'Timing &amp; Flags'!Q42</f>
        <v>0</v>
      </c>
      <c r="R16" s="41">
        <f>'Timing &amp; Flags'!R42</f>
        <v>0</v>
      </c>
      <c r="S16" s="41">
        <f>'Timing &amp; Flags'!S42</f>
        <v>0</v>
      </c>
      <c r="T16" s="41">
        <f>'Timing &amp; Flags'!T42</f>
        <v>0</v>
      </c>
      <c r="U16" s="41">
        <f>'Timing &amp; Flags'!U42</f>
        <v>0</v>
      </c>
      <c r="V16" s="41">
        <f>'Timing &amp; Flags'!V42</f>
        <v>0</v>
      </c>
      <c r="W16" s="41">
        <f>'Timing &amp; Flags'!W42</f>
        <v>0</v>
      </c>
      <c r="X16" s="41">
        <f>'Timing &amp; Flags'!X42</f>
        <v>0</v>
      </c>
      <c r="Y16" s="41">
        <f>'Timing &amp; Flags'!Y42</f>
        <v>0</v>
      </c>
      <c r="Z16" s="41">
        <f>'Timing &amp; Flags'!Z42</f>
        <v>0</v>
      </c>
      <c r="AA16" s="41">
        <f>'Timing &amp; Flags'!AA42</f>
        <v>0</v>
      </c>
      <c r="AB16" s="41">
        <f>'Timing &amp; Flags'!AB42</f>
        <v>0</v>
      </c>
      <c r="AC16" s="41">
        <f>'Timing &amp; Flags'!AC42</f>
        <v>0</v>
      </c>
      <c r="AD16" s="41">
        <f>'Timing &amp; Flags'!AD42</f>
        <v>0</v>
      </c>
      <c r="AE16" s="41">
        <f>'Timing &amp; Flags'!AE42</f>
        <v>0</v>
      </c>
      <c r="AF16" s="41">
        <f>'Timing &amp; Flags'!AF42</f>
        <v>0</v>
      </c>
      <c r="AG16" s="41">
        <f>'Timing &amp; Flags'!AG42</f>
        <v>0</v>
      </c>
      <c r="AH16" s="41">
        <f>'Timing &amp; Flags'!AH42</f>
        <v>0</v>
      </c>
      <c r="AI16" s="41">
        <f>'Timing &amp; Flags'!AI42</f>
        <v>0</v>
      </c>
      <c r="AJ16" s="41">
        <f>'Timing &amp; Flags'!AJ42</f>
        <v>0</v>
      </c>
      <c r="AK16" s="41">
        <f>'Timing &amp; Flags'!AK42</f>
        <v>0</v>
      </c>
      <c r="AL16" s="41">
        <f>'Timing &amp; Flags'!AL42</f>
        <v>0</v>
      </c>
      <c r="AM16" s="41">
        <f>'Timing &amp; Flags'!AM42</f>
        <v>0</v>
      </c>
      <c r="AN16" s="41">
        <f>'Timing &amp; Flags'!AN42</f>
        <v>0</v>
      </c>
      <c r="AO16" s="41">
        <f>'Timing &amp; Flags'!AO42</f>
        <v>0</v>
      </c>
      <c r="AP16" s="41">
        <f>'Timing &amp; Flags'!AP42</f>
        <v>0</v>
      </c>
      <c r="AQ16" s="41">
        <f>'Timing &amp; Flags'!AQ42</f>
        <v>0</v>
      </c>
      <c r="AR16" s="41">
        <f>'Timing &amp; Flags'!AR42</f>
        <v>0</v>
      </c>
      <c r="AS16" s="41">
        <f>'Timing &amp; Flags'!AS42</f>
        <v>0</v>
      </c>
      <c r="AT16" s="41">
        <f>'Timing &amp; Flags'!AT42</f>
        <v>0</v>
      </c>
      <c r="AU16" s="41">
        <f>'Timing &amp; Flags'!AU42</f>
        <v>0</v>
      </c>
      <c r="AV16" s="41">
        <f>'Timing &amp; Flags'!AV42</f>
        <v>0</v>
      </c>
      <c r="AW16" s="41">
        <f>'Timing &amp; Flags'!AW42</f>
        <v>0</v>
      </c>
    </row>
    <row r="17" spans="1:49">
      <c r="B17" s="2" t="s">
        <v>66</v>
      </c>
      <c r="C17" s="15" t="s">
        <v>60</v>
      </c>
      <c r="D17" s="37">
        <f>SUM(I17:AI17)</f>
        <v>24</v>
      </c>
      <c r="I17" s="41">
        <f>'Timing &amp; Flags'!I43</f>
        <v>0</v>
      </c>
      <c r="J17" s="41">
        <f>'Timing &amp; Flags'!J43</f>
        <v>0</v>
      </c>
      <c r="K17" s="41">
        <f>'Timing &amp; Flags'!K43</f>
        <v>0</v>
      </c>
      <c r="L17" s="41">
        <f>'Timing &amp; Flags'!L43</f>
        <v>1</v>
      </c>
      <c r="M17" s="41">
        <f>'Timing &amp; Flags'!M43</f>
        <v>1</v>
      </c>
      <c r="N17" s="41">
        <f>'Timing &amp; Flags'!N43</f>
        <v>1</v>
      </c>
      <c r="O17" s="41">
        <f>'Timing &amp; Flags'!O43</f>
        <v>1</v>
      </c>
      <c r="P17" s="41">
        <f>'Timing &amp; Flags'!P43</f>
        <v>1</v>
      </c>
      <c r="Q17" s="41">
        <f>'Timing &amp; Flags'!Q43</f>
        <v>1</v>
      </c>
      <c r="R17" s="41">
        <f>'Timing &amp; Flags'!R43</f>
        <v>1</v>
      </c>
      <c r="S17" s="41">
        <f>'Timing &amp; Flags'!S43</f>
        <v>1</v>
      </c>
      <c r="T17" s="41">
        <f>'Timing &amp; Flags'!T43</f>
        <v>1</v>
      </c>
      <c r="U17" s="41">
        <f>'Timing &amp; Flags'!U43</f>
        <v>1</v>
      </c>
      <c r="V17" s="41">
        <f>'Timing &amp; Flags'!V43</f>
        <v>1</v>
      </c>
      <c r="W17" s="41">
        <f>'Timing &amp; Flags'!W43</f>
        <v>1</v>
      </c>
      <c r="X17" s="41">
        <f>'Timing &amp; Flags'!X43</f>
        <v>1</v>
      </c>
      <c r="Y17" s="41">
        <f>'Timing &amp; Flags'!Y43</f>
        <v>1</v>
      </c>
      <c r="Z17" s="41">
        <f>'Timing &amp; Flags'!Z43</f>
        <v>1</v>
      </c>
      <c r="AA17" s="41">
        <f>'Timing &amp; Flags'!AA43</f>
        <v>1</v>
      </c>
      <c r="AB17" s="41">
        <f>'Timing &amp; Flags'!AB43</f>
        <v>1</v>
      </c>
      <c r="AC17" s="41">
        <f>'Timing &amp; Flags'!AC43</f>
        <v>1</v>
      </c>
      <c r="AD17" s="41">
        <f>'Timing &amp; Flags'!AD43</f>
        <v>1</v>
      </c>
      <c r="AE17" s="41">
        <f>'Timing &amp; Flags'!AE43</f>
        <v>1</v>
      </c>
      <c r="AF17" s="41">
        <f>'Timing &amp; Flags'!AF43</f>
        <v>1</v>
      </c>
      <c r="AG17" s="41">
        <f>'Timing &amp; Flags'!AG43</f>
        <v>1</v>
      </c>
      <c r="AH17" s="41">
        <f>'Timing &amp; Flags'!AH43</f>
        <v>1</v>
      </c>
      <c r="AI17" s="41">
        <f>'Timing &amp; Flags'!AI43</f>
        <v>1</v>
      </c>
      <c r="AJ17" s="41">
        <f>'Timing &amp; Flags'!AJ43</f>
        <v>1</v>
      </c>
      <c r="AK17" s="41">
        <f>'Timing &amp; Flags'!AK43</f>
        <v>1</v>
      </c>
      <c r="AL17" s="41">
        <f>'Timing &amp; Flags'!AL43</f>
        <v>1</v>
      </c>
      <c r="AM17" s="41">
        <f>'Timing &amp; Flags'!AM43</f>
        <v>0</v>
      </c>
      <c r="AN17" s="41">
        <f>'Timing &amp; Flags'!AN43</f>
        <v>0</v>
      </c>
      <c r="AO17" s="41">
        <f>'Timing &amp; Flags'!AO43</f>
        <v>0</v>
      </c>
      <c r="AP17" s="41">
        <f>'Timing &amp; Flags'!AP43</f>
        <v>0</v>
      </c>
      <c r="AQ17" s="41">
        <f>'Timing &amp; Flags'!AQ43</f>
        <v>0</v>
      </c>
      <c r="AR17" s="41">
        <f>'Timing &amp; Flags'!AR43</f>
        <v>0</v>
      </c>
      <c r="AS17" s="41">
        <f>'Timing &amp; Flags'!AS43</f>
        <v>0</v>
      </c>
      <c r="AT17" s="41">
        <f>'Timing &amp; Flags'!AT43</f>
        <v>0</v>
      </c>
      <c r="AU17" s="41">
        <f>'Timing &amp; Flags'!AU43</f>
        <v>0</v>
      </c>
      <c r="AV17" s="41">
        <f>'Timing &amp; Flags'!AV43</f>
        <v>0</v>
      </c>
      <c r="AW17" s="41">
        <f>'Timing &amp; Flags'!AW43</f>
        <v>0</v>
      </c>
    </row>
    <row r="18" spans="1:49">
      <c r="B18" s="2" t="s">
        <v>67</v>
      </c>
      <c r="C18" s="15" t="s">
        <v>60</v>
      </c>
      <c r="D18" s="37">
        <f>SUM(I18:AI18)</f>
        <v>0</v>
      </c>
      <c r="I18" s="41">
        <f>'Timing &amp; Flags'!I44</f>
        <v>0</v>
      </c>
      <c r="J18" s="41">
        <f>'Timing &amp; Flags'!J44</f>
        <v>0</v>
      </c>
      <c r="K18" s="41">
        <f>'Timing &amp; Flags'!K44</f>
        <v>0</v>
      </c>
      <c r="L18" s="41">
        <f>'Timing &amp; Flags'!L44</f>
        <v>0</v>
      </c>
      <c r="M18" s="41">
        <f>'Timing &amp; Flags'!M44</f>
        <v>0</v>
      </c>
      <c r="N18" s="41">
        <f>'Timing &amp; Flags'!N44</f>
        <v>0</v>
      </c>
      <c r="O18" s="41">
        <f>'Timing &amp; Flags'!O44</f>
        <v>0</v>
      </c>
      <c r="P18" s="41">
        <f>'Timing &amp; Flags'!P44</f>
        <v>0</v>
      </c>
      <c r="Q18" s="41">
        <f>'Timing &amp; Flags'!Q44</f>
        <v>0</v>
      </c>
      <c r="R18" s="41">
        <f>'Timing &amp; Flags'!R44</f>
        <v>0</v>
      </c>
      <c r="S18" s="41">
        <f>'Timing &amp; Flags'!S44</f>
        <v>0</v>
      </c>
      <c r="T18" s="41">
        <f>'Timing &amp; Flags'!T44</f>
        <v>0</v>
      </c>
      <c r="U18" s="41">
        <f>'Timing &amp; Flags'!U44</f>
        <v>0</v>
      </c>
      <c r="V18" s="41">
        <f>'Timing &amp; Flags'!V44</f>
        <v>0</v>
      </c>
      <c r="W18" s="41">
        <f>'Timing &amp; Flags'!W44</f>
        <v>0</v>
      </c>
      <c r="X18" s="41">
        <f>'Timing &amp; Flags'!X44</f>
        <v>0</v>
      </c>
      <c r="Y18" s="41">
        <f>'Timing &amp; Flags'!Y44</f>
        <v>0</v>
      </c>
      <c r="Z18" s="41">
        <f>'Timing &amp; Flags'!Z44</f>
        <v>0</v>
      </c>
      <c r="AA18" s="41">
        <f>'Timing &amp; Flags'!AA44</f>
        <v>0</v>
      </c>
      <c r="AB18" s="41">
        <f>'Timing &amp; Flags'!AB44</f>
        <v>0</v>
      </c>
      <c r="AC18" s="41">
        <f>'Timing &amp; Flags'!AC44</f>
        <v>0</v>
      </c>
      <c r="AD18" s="41">
        <f>'Timing &amp; Flags'!AD44</f>
        <v>0</v>
      </c>
      <c r="AE18" s="41">
        <f>'Timing &amp; Flags'!AE44</f>
        <v>0</v>
      </c>
      <c r="AF18" s="41">
        <f>'Timing &amp; Flags'!AF44</f>
        <v>0</v>
      </c>
      <c r="AG18" s="41">
        <f>'Timing &amp; Flags'!AG44</f>
        <v>0</v>
      </c>
      <c r="AH18" s="41">
        <f>'Timing &amp; Flags'!AH44</f>
        <v>0</v>
      </c>
      <c r="AI18" s="41">
        <f>'Timing &amp; Flags'!AI44</f>
        <v>0</v>
      </c>
      <c r="AJ18" s="41">
        <f>'Timing &amp; Flags'!AJ44</f>
        <v>0</v>
      </c>
      <c r="AK18" s="41">
        <f>'Timing &amp; Flags'!AK44</f>
        <v>0</v>
      </c>
      <c r="AL18" s="41">
        <f>'Timing &amp; Flags'!AL44</f>
        <v>1</v>
      </c>
      <c r="AM18" s="41">
        <f>'Timing &amp; Flags'!AM44</f>
        <v>0</v>
      </c>
      <c r="AN18" s="41">
        <f>'Timing &amp; Flags'!AN44</f>
        <v>0</v>
      </c>
      <c r="AO18" s="41">
        <f>'Timing &amp; Flags'!AO44</f>
        <v>0</v>
      </c>
      <c r="AP18" s="41">
        <f>'Timing &amp; Flags'!AP44</f>
        <v>0</v>
      </c>
      <c r="AQ18" s="41">
        <f>'Timing &amp; Flags'!AQ44</f>
        <v>0</v>
      </c>
      <c r="AR18" s="41">
        <f>'Timing &amp; Flags'!AR44</f>
        <v>0</v>
      </c>
      <c r="AS18" s="41">
        <f>'Timing &amp; Flags'!AS44</f>
        <v>0</v>
      </c>
      <c r="AT18" s="41">
        <f>'Timing &amp; Flags'!AT44</f>
        <v>0</v>
      </c>
      <c r="AU18" s="41">
        <f>'Timing &amp; Flags'!AU44</f>
        <v>0</v>
      </c>
      <c r="AV18" s="41">
        <f>'Timing &amp; Flags'!AV44</f>
        <v>0</v>
      </c>
      <c r="AW18" s="41">
        <f>'Timing &amp; Flags'!AW44</f>
        <v>0</v>
      </c>
    </row>
    <row r="20" spans="1:49">
      <c r="B20" s="2" t="s">
        <v>538</v>
      </c>
      <c r="C20" s="15" t="s">
        <v>60</v>
      </c>
      <c r="D20" s="37">
        <f>SUM(I20:AI20)</f>
        <v>27</v>
      </c>
      <c r="I20" s="2">
        <f>'Timing &amp; Flags'!I49</f>
        <v>1</v>
      </c>
      <c r="J20" s="2">
        <f>'Timing &amp; Flags'!J49</f>
        <v>1</v>
      </c>
      <c r="K20" s="2">
        <f>'Timing &amp; Flags'!K49</f>
        <v>1</v>
      </c>
      <c r="L20" s="2">
        <f>'Timing &amp; Flags'!L49</f>
        <v>1</v>
      </c>
      <c r="M20" s="2">
        <f>'Timing &amp; Flags'!M49</f>
        <v>1</v>
      </c>
      <c r="N20" s="2">
        <f>'Timing &amp; Flags'!N49</f>
        <v>1</v>
      </c>
      <c r="O20" s="2">
        <f>'Timing &amp; Flags'!O49</f>
        <v>1</v>
      </c>
      <c r="P20" s="2">
        <f>'Timing &amp; Flags'!P49</f>
        <v>1</v>
      </c>
      <c r="Q20" s="2">
        <f>'Timing &amp; Flags'!Q49</f>
        <v>1</v>
      </c>
      <c r="R20" s="2">
        <f>'Timing &amp; Flags'!R49</f>
        <v>1</v>
      </c>
      <c r="S20" s="2">
        <f>'Timing &amp; Flags'!S49</f>
        <v>1</v>
      </c>
      <c r="T20" s="2">
        <f>'Timing &amp; Flags'!T49</f>
        <v>1</v>
      </c>
      <c r="U20" s="2">
        <f>'Timing &amp; Flags'!U49</f>
        <v>1</v>
      </c>
      <c r="V20" s="2">
        <f>'Timing &amp; Flags'!V49</f>
        <v>1</v>
      </c>
      <c r="W20" s="2">
        <f>'Timing &amp; Flags'!W49</f>
        <v>1</v>
      </c>
      <c r="X20" s="2">
        <f>'Timing &amp; Flags'!X49</f>
        <v>1</v>
      </c>
      <c r="Y20" s="2">
        <f>'Timing &amp; Flags'!Y49</f>
        <v>1</v>
      </c>
      <c r="Z20" s="2">
        <f>'Timing &amp; Flags'!Z49</f>
        <v>1</v>
      </c>
      <c r="AA20" s="2">
        <f>'Timing &amp; Flags'!AA49</f>
        <v>1</v>
      </c>
      <c r="AB20" s="2">
        <f>'Timing &amp; Flags'!AB49</f>
        <v>1</v>
      </c>
      <c r="AC20" s="2">
        <f>'Timing &amp; Flags'!AC49</f>
        <v>1</v>
      </c>
      <c r="AD20" s="2">
        <f>'Timing &amp; Flags'!AD49</f>
        <v>1</v>
      </c>
      <c r="AE20" s="2">
        <f>'Timing &amp; Flags'!AE49</f>
        <v>1</v>
      </c>
      <c r="AF20" s="2">
        <f>'Timing &amp; Flags'!AF49</f>
        <v>1</v>
      </c>
      <c r="AG20" s="2">
        <f>'Timing &amp; Flags'!AG49</f>
        <v>1</v>
      </c>
      <c r="AH20" s="2">
        <f>'Timing &amp; Flags'!AH49</f>
        <v>1</v>
      </c>
      <c r="AI20" s="2">
        <f>'Timing &amp; Flags'!AI49</f>
        <v>1</v>
      </c>
      <c r="AJ20" s="2">
        <f>'Timing &amp; Flags'!AJ49</f>
        <v>1</v>
      </c>
      <c r="AK20" s="2">
        <f>'Timing &amp; Flags'!AK49</f>
        <v>1</v>
      </c>
      <c r="AL20" s="2">
        <f>'Timing &amp; Flags'!AL49</f>
        <v>1</v>
      </c>
      <c r="AM20" s="2">
        <f>'Timing &amp; Flags'!AM49</f>
        <v>0</v>
      </c>
      <c r="AN20" s="2">
        <f>'Timing &amp; Flags'!AN49</f>
        <v>0</v>
      </c>
      <c r="AO20" s="2">
        <f>'Timing &amp; Flags'!AO49</f>
        <v>0</v>
      </c>
      <c r="AP20" s="2">
        <f>'Timing &amp; Flags'!AP49</f>
        <v>0</v>
      </c>
      <c r="AQ20" s="2">
        <f>'Timing &amp; Flags'!AQ49</f>
        <v>0</v>
      </c>
      <c r="AR20" s="2">
        <f>'Timing &amp; Flags'!AR49</f>
        <v>0</v>
      </c>
      <c r="AS20" s="2">
        <f>'Timing &amp; Flags'!AS49</f>
        <v>0</v>
      </c>
      <c r="AT20" s="2">
        <f>'Timing &amp; Flags'!AT49</f>
        <v>0</v>
      </c>
      <c r="AU20" s="2">
        <f>'Timing &amp; Flags'!AU49</f>
        <v>0</v>
      </c>
      <c r="AV20" s="2">
        <f>'Timing &amp; Flags'!AV49</f>
        <v>0</v>
      </c>
      <c r="AW20" s="2">
        <f>'Timing &amp; Flags'!AW49</f>
        <v>0</v>
      </c>
    </row>
    <row r="22" spans="1:49">
      <c r="B22" s="50" t="s">
        <v>69</v>
      </c>
    </row>
    <row r="23" spans="1:49">
      <c r="B23" s="2" t="s">
        <v>56</v>
      </c>
      <c r="C23" s="15" t="s">
        <v>72</v>
      </c>
      <c r="D23" s="139">
        <f ca="1">SUM(I23:AI23)</f>
        <v>3.0000074855902388</v>
      </c>
      <c r="I23" s="17">
        <f ca="1">'Timing &amp; Flags'!I54</f>
        <v>1</v>
      </c>
      <c r="J23" s="17">
        <f ca="1">'Timing &amp; Flags'!J54</f>
        <v>0.99726775956284153</v>
      </c>
      <c r="K23" s="17">
        <f ca="1">'Timing &amp; Flags'!K54</f>
        <v>1.0027397260273974</v>
      </c>
      <c r="L23" s="17">
        <f>'Timing &amp; Flags'!L54</f>
        <v>0</v>
      </c>
      <c r="M23" s="17">
        <f>'Timing &amp; Flags'!M54</f>
        <v>0</v>
      </c>
      <c r="N23" s="17">
        <f>'Timing &amp; Flags'!N54</f>
        <v>0</v>
      </c>
      <c r="O23" s="17">
        <f>'Timing &amp; Flags'!O54</f>
        <v>0</v>
      </c>
      <c r="P23" s="17">
        <f>'Timing &amp; Flags'!P54</f>
        <v>0</v>
      </c>
      <c r="Q23" s="17">
        <f>'Timing &amp; Flags'!Q54</f>
        <v>0</v>
      </c>
      <c r="R23" s="17">
        <f>'Timing &amp; Flags'!R54</f>
        <v>0</v>
      </c>
      <c r="S23" s="17">
        <f>'Timing &amp; Flags'!S54</f>
        <v>0</v>
      </c>
      <c r="T23" s="17">
        <f>'Timing &amp; Flags'!T54</f>
        <v>0</v>
      </c>
      <c r="U23" s="17">
        <f>'Timing &amp; Flags'!U54</f>
        <v>0</v>
      </c>
      <c r="V23" s="17">
        <f>'Timing &amp; Flags'!V54</f>
        <v>0</v>
      </c>
      <c r="W23" s="17">
        <f>'Timing &amp; Flags'!W54</f>
        <v>0</v>
      </c>
      <c r="X23" s="17">
        <f>'Timing &amp; Flags'!X54</f>
        <v>0</v>
      </c>
      <c r="Y23" s="17">
        <f>'Timing &amp; Flags'!Y54</f>
        <v>0</v>
      </c>
      <c r="Z23" s="17">
        <f>'Timing &amp; Flags'!Z54</f>
        <v>0</v>
      </c>
      <c r="AA23" s="17">
        <f>'Timing &amp; Flags'!AA54</f>
        <v>0</v>
      </c>
      <c r="AB23" s="17">
        <f>'Timing &amp; Flags'!AB54</f>
        <v>0</v>
      </c>
      <c r="AC23" s="17">
        <f>'Timing &amp; Flags'!AC54</f>
        <v>0</v>
      </c>
      <c r="AD23" s="17">
        <f>'Timing &amp; Flags'!AD54</f>
        <v>0</v>
      </c>
      <c r="AE23" s="17">
        <f>'Timing &amp; Flags'!AE54</f>
        <v>0</v>
      </c>
      <c r="AF23" s="17">
        <f>'Timing &amp; Flags'!AF54</f>
        <v>0</v>
      </c>
      <c r="AG23" s="17">
        <f>'Timing &amp; Flags'!AG54</f>
        <v>0</v>
      </c>
      <c r="AH23" s="17">
        <f>'Timing &amp; Flags'!AH54</f>
        <v>0</v>
      </c>
      <c r="AI23" s="17">
        <f>'Timing &amp; Flags'!AI54</f>
        <v>0</v>
      </c>
      <c r="AJ23" s="17">
        <f>'Timing &amp; Flags'!AJ54</f>
        <v>0</v>
      </c>
      <c r="AK23" s="17">
        <f>'Timing &amp; Flags'!AK54</f>
        <v>0</v>
      </c>
      <c r="AL23" s="17">
        <f>'Timing &amp; Flags'!AL54</f>
        <v>0</v>
      </c>
      <c r="AM23" s="17">
        <f>'Timing &amp; Flags'!AM54</f>
        <v>0</v>
      </c>
      <c r="AN23" s="17">
        <f>'Timing &amp; Flags'!AN54</f>
        <v>0</v>
      </c>
      <c r="AO23" s="17">
        <f>'Timing &amp; Flags'!AO54</f>
        <v>0</v>
      </c>
      <c r="AP23" s="17">
        <f>'Timing &amp; Flags'!AP54</f>
        <v>0</v>
      </c>
      <c r="AQ23" s="17">
        <f>'Timing &amp; Flags'!AQ54</f>
        <v>0</v>
      </c>
      <c r="AR23" s="17">
        <f>'Timing &amp; Flags'!AR54</f>
        <v>0</v>
      </c>
      <c r="AS23" s="17">
        <f>'Timing &amp; Flags'!AS54</f>
        <v>0</v>
      </c>
      <c r="AT23" s="17">
        <f>'Timing &amp; Flags'!AT54</f>
        <v>0</v>
      </c>
      <c r="AU23" s="17">
        <f>'Timing &amp; Flags'!AU54</f>
        <v>0</v>
      </c>
      <c r="AV23" s="17">
        <f>'Timing &amp; Flags'!AV54</f>
        <v>0</v>
      </c>
      <c r="AW23" s="17">
        <f>'Timing &amp; Flags'!AW54</f>
        <v>0</v>
      </c>
    </row>
    <row r="24" spans="1:49">
      <c r="B24" s="27" t="s">
        <v>57</v>
      </c>
      <c r="C24" s="15" t="s">
        <v>72</v>
      </c>
      <c r="D24" s="139">
        <f ca="1">SUM(I24:AI24)</f>
        <v>24.00004491354143</v>
      </c>
      <c r="E24" s="27"/>
      <c r="F24" s="27"/>
      <c r="G24" s="27"/>
      <c r="H24" s="27"/>
      <c r="I24" s="116">
        <f>'Timing &amp; Flags'!I55</f>
        <v>0</v>
      </c>
      <c r="J24" s="116">
        <f>'Timing &amp; Flags'!J55</f>
        <v>0</v>
      </c>
      <c r="K24" s="116">
        <f>'Timing &amp; Flags'!K55</f>
        <v>0</v>
      </c>
      <c r="L24" s="116">
        <f ca="1">'Timing &amp; Flags'!L55</f>
        <v>1</v>
      </c>
      <c r="M24" s="116">
        <f ca="1">'Timing &amp; Flags'!M55</f>
        <v>1</v>
      </c>
      <c r="N24" s="116">
        <f ca="1">'Timing &amp; Flags'!N55</f>
        <v>0.99726775956284153</v>
      </c>
      <c r="O24" s="116">
        <f ca="1">'Timing &amp; Flags'!O55</f>
        <v>1.0027397260273974</v>
      </c>
      <c r="P24" s="116">
        <f ca="1">'Timing &amp; Flags'!P55</f>
        <v>1</v>
      </c>
      <c r="Q24" s="116">
        <f ca="1">'Timing &amp; Flags'!Q55</f>
        <v>1</v>
      </c>
      <c r="R24" s="116">
        <f ca="1">'Timing &amp; Flags'!R55</f>
        <v>0.99726775956284153</v>
      </c>
      <c r="S24" s="116">
        <f ca="1">'Timing &amp; Flags'!S55</f>
        <v>1.0027397260273974</v>
      </c>
      <c r="T24" s="116">
        <f ca="1">'Timing &amp; Flags'!T55</f>
        <v>1</v>
      </c>
      <c r="U24" s="116">
        <f ca="1">'Timing &amp; Flags'!U55</f>
        <v>1</v>
      </c>
      <c r="V24" s="116">
        <f ca="1">'Timing &amp; Flags'!V55</f>
        <v>0.99726775956284153</v>
      </c>
      <c r="W24" s="116">
        <f ca="1">'Timing &amp; Flags'!W55</f>
        <v>1.0027397260273974</v>
      </c>
      <c r="X24" s="116">
        <f ca="1">'Timing &amp; Flags'!X55</f>
        <v>1</v>
      </c>
      <c r="Y24" s="116">
        <f ca="1">'Timing &amp; Flags'!Y55</f>
        <v>1</v>
      </c>
      <c r="Z24" s="116">
        <f ca="1">'Timing &amp; Flags'!Z55</f>
        <v>0.99726775956284153</v>
      </c>
      <c r="AA24" s="116">
        <f ca="1">'Timing &amp; Flags'!AA55</f>
        <v>1.0027397260273974</v>
      </c>
      <c r="AB24" s="116">
        <f ca="1">'Timing &amp; Flags'!AB55</f>
        <v>1</v>
      </c>
      <c r="AC24" s="116">
        <f ca="1">'Timing &amp; Flags'!AC55</f>
        <v>1</v>
      </c>
      <c r="AD24" s="116">
        <f ca="1">'Timing &amp; Flags'!AD55</f>
        <v>0.99726775956284153</v>
      </c>
      <c r="AE24" s="116">
        <f ca="1">'Timing &amp; Flags'!AE55</f>
        <v>1.0027397260273974</v>
      </c>
      <c r="AF24" s="116">
        <f ca="1">'Timing &amp; Flags'!AF55</f>
        <v>1</v>
      </c>
      <c r="AG24" s="116">
        <f ca="1">'Timing &amp; Flags'!AG55</f>
        <v>1</v>
      </c>
      <c r="AH24" s="116">
        <f ca="1">'Timing &amp; Flags'!AH55</f>
        <v>0.99726775956284153</v>
      </c>
      <c r="AI24" s="116">
        <f ca="1">'Timing &amp; Flags'!AI55</f>
        <v>1.0027397260273974</v>
      </c>
      <c r="AJ24" s="116">
        <f ca="1">'Timing &amp; Flags'!AJ55</f>
        <v>1</v>
      </c>
      <c r="AK24" s="116">
        <f ca="1">'Timing &amp; Flags'!AK55</f>
        <v>1</v>
      </c>
      <c r="AL24" s="116">
        <f ca="1">'Timing &amp; Flags'!AL55</f>
        <v>1</v>
      </c>
      <c r="AM24" s="116">
        <f>'Timing &amp; Flags'!AM55</f>
        <v>0</v>
      </c>
      <c r="AN24" s="116">
        <f>'Timing &amp; Flags'!AN55</f>
        <v>0</v>
      </c>
      <c r="AO24" s="116">
        <f>'Timing &amp; Flags'!AO55</f>
        <v>0</v>
      </c>
      <c r="AP24" s="116">
        <f>'Timing &amp; Flags'!AP55</f>
        <v>0</v>
      </c>
      <c r="AQ24" s="116">
        <f>'Timing &amp; Flags'!AQ55</f>
        <v>0</v>
      </c>
      <c r="AR24" s="116">
        <f>'Timing &amp; Flags'!AR55</f>
        <v>0</v>
      </c>
      <c r="AS24" s="116">
        <f>'Timing &amp; Flags'!AS55</f>
        <v>0</v>
      </c>
      <c r="AT24" s="116">
        <f>'Timing &amp; Flags'!AT55</f>
        <v>0</v>
      </c>
      <c r="AU24" s="116">
        <f>'Timing &amp; Flags'!AU55</f>
        <v>0</v>
      </c>
      <c r="AV24" s="116">
        <f>'Timing &amp; Flags'!AV55</f>
        <v>0</v>
      </c>
      <c r="AW24" s="116">
        <f>'Timing &amp; Flags'!AW55</f>
        <v>0</v>
      </c>
    </row>
    <row r="25" spans="1:49">
      <c r="B25" s="2" t="s">
        <v>71</v>
      </c>
      <c r="C25" s="132" t="s">
        <v>72</v>
      </c>
      <c r="D25" s="140">
        <f ca="1">SUM(D23:D24)</f>
        <v>27.000052399131668</v>
      </c>
      <c r="I25" s="17">
        <f ca="1">SUM(I23:I24)</f>
        <v>1</v>
      </c>
      <c r="J25" s="17">
        <f t="shared" ref="J25:AW25" ca="1" si="0">SUM(J23:J24)</f>
        <v>0.99726775956284153</v>
      </c>
      <c r="K25" s="17">
        <f t="shared" ca="1" si="0"/>
        <v>1.0027397260273974</v>
      </c>
      <c r="L25" s="17">
        <f t="shared" ca="1" si="0"/>
        <v>1</v>
      </c>
      <c r="M25" s="17">
        <f t="shared" ca="1" si="0"/>
        <v>1</v>
      </c>
      <c r="N25" s="17">
        <f t="shared" ca="1" si="0"/>
        <v>0.99726775956284153</v>
      </c>
      <c r="O25" s="17">
        <f t="shared" ca="1" si="0"/>
        <v>1.0027397260273974</v>
      </c>
      <c r="P25" s="17">
        <f t="shared" ca="1" si="0"/>
        <v>1</v>
      </c>
      <c r="Q25" s="17">
        <f t="shared" ca="1" si="0"/>
        <v>1</v>
      </c>
      <c r="R25" s="17">
        <f t="shared" ca="1" si="0"/>
        <v>0.99726775956284153</v>
      </c>
      <c r="S25" s="17">
        <f t="shared" ca="1" si="0"/>
        <v>1.0027397260273974</v>
      </c>
      <c r="T25" s="17">
        <f t="shared" ca="1" si="0"/>
        <v>1</v>
      </c>
      <c r="U25" s="17">
        <f t="shared" ca="1" si="0"/>
        <v>1</v>
      </c>
      <c r="V25" s="17">
        <f t="shared" ca="1" si="0"/>
        <v>0.99726775956284153</v>
      </c>
      <c r="W25" s="17">
        <f t="shared" ca="1" si="0"/>
        <v>1.0027397260273974</v>
      </c>
      <c r="X25" s="17">
        <f t="shared" ca="1" si="0"/>
        <v>1</v>
      </c>
      <c r="Y25" s="17">
        <f t="shared" ca="1" si="0"/>
        <v>1</v>
      </c>
      <c r="Z25" s="17">
        <f t="shared" ca="1" si="0"/>
        <v>0.99726775956284153</v>
      </c>
      <c r="AA25" s="17">
        <f t="shared" ca="1" si="0"/>
        <v>1.0027397260273974</v>
      </c>
      <c r="AB25" s="17">
        <f t="shared" ca="1" si="0"/>
        <v>1</v>
      </c>
      <c r="AC25" s="17">
        <f t="shared" ca="1" si="0"/>
        <v>1</v>
      </c>
      <c r="AD25" s="17">
        <f t="shared" ca="1" si="0"/>
        <v>0.99726775956284153</v>
      </c>
      <c r="AE25" s="17">
        <f t="shared" ca="1" si="0"/>
        <v>1.0027397260273974</v>
      </c>
      <c r="AF25" s="17">
        <f t="shared" ca="1" si="0"/>
        <v>1</v>
      </c>
      <c r="AG25" s="17">
        <f t="shared" ca="1" si="0"/>
        <v>1</v>
      </c>
      <c r="AH25" s="17">
        <f t="shared" ca="1" si="0"/>
        <v>0.99726775956284153</v>
      </c>
      <c r="AI25" s="17">
        <f t="shared" ca="1" si="0"/>
        <v>1.0027397260273974</v>
      </c>
      <c r="AJ25" s="17">
        <f t="shared" ca="1" si="0"/>
        <v>1</v>
      </c>
      <c r="AK25" s="17">
        <f t="shared" ca="1" si="0"/>
        <v>1</v>
      </c>
      <c r="AL25" s="17">
        <f t="shared" ca="1" si="0"/>
        <v>1</v>
      </c>
      <c r="AM25" s="17">
        <f t="shared" si="0"/>
        <v>0</v>
      </c>
      <c r="AN25" s="17">
        <f t="shared" si="0"/>
        <v>0</v>
      </c>
      <c r="AO25" s="17">
        <f t="shared" si="0"/>
        <v>0</v>
      </c>
      <c r="AP25" s="17">
        <f t="shared" si="0"/>
        <v>0</v>
      </c>
      <c r="AQ25" s="17">
        <f t="shared" si="0"/>
        <v>0</v>
      </c>
      <c r="AR25" s="17">
        <f t="shared" si="0"/>
        <v>0</v>
      </c>
      <c r="AS25" s="17">
        <f t="shared" si="0"/>
        <v>0</v>
      </c>
      <c r="AT25" s="17">
        <f t="shared" si="0"/>
        <v>0</v>
      </c>
      <c r="AU25" s="17">
        <f t="shared" si="0"/>
        <v>0</v>
      </c>
      <c r="AV25" s="17">
        <f t="shared" si="0"/>
        <v>0</v>
      </c>
      <c r="AW25" s="17">
        <f t="shared" si="0"/>
        <v>0</v>
      </c>
    </row>
    <row r="26" spans="1:49">
      <c r="B26" s="5"/>
    </row>
    <row r="27" spans="1:49">
      <c r="A27" s="6" t="s">
        <v>273</v>
      </c>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c r="B28" s="5"/>
    </row>
    <row r="29" spans="1:49">
      <c r="B29" s="2" t="s">
        <v>274</v>
      </c>
      <c r="C29" s="15" t="s">
        <v>60</v>
      </c>
      <c r="D29" s="41">
        <f>SUM(I29:AI29)</f>
        <v>7</v>
      </c>
      <c r="I29" s="41">
        <f>'Debt Schedule'!I34</f>
        <v>0</v>
      </c>
      <c r="J29" s="41">
        <f>'Debt Schedule'!J34</f>
        <v>0</v>
      </c>
      <c r="K29" s="41">
        <f>'Debt Schedule'!K34</f>
        <v>0</v>
      </c>
      <c r="L29" s="41">
        <f>'Debt Schedule'!L34</f>
        <v>1</v>
      </c>
      <c r="M29" s="41">
        <f>'Debt Schedule'!M34</f>
        <v>1</v>
      </c>
      <c r="N29" s="41">
        <f>'Debt Schedule'!N34</f>
        <v>1</v>
      </c>
      <c r="O29" s="41">
        <f>'Debt Schedule'!O34</f>
        <v>1</v>
      </c>
      <c r="P29" s="41">
        <f>'Debt Schedule'!P34</f>
        <v>1</v>
      </c>
      <c r="Q29" s="41">
        <f>'Debt Schedule'!Q34</f>
        <v>1</v>
      </c>
      <c r="R29" s="41">
        <f>'Debt Schedule'!R34</f>
        <v>1</v>
      </c>
      <c r="S29" s="41">
        <f>'Debt Schedule'!S34</f>
        <v>0</v>
      </c>
      <c r="T29" s="41">
        <f>'Debt Schedule'!T34</f>
        <v>0</v>
      </c>
      <c r="U29" s="41">
        <f>'Debt Schedule'!U34</f>
        <v>0</v>
      </c>
      <c r="V29" s="41">
        <f>'Debt Schedule'!V34</f>
        <v>0</v>
      </c>
      <c r="W29" s="41">
        <f>'Debt Schedule'!W34</f>
        <v>0</v>
      </c>
      <c r="X29" s="41">
        <f>'Debt Schedule'!X34</f>
        <v>0</v>
      </c>
      <c r="Y29" s="41">
        <f>'Debt Schedule'!Y34</f>
        <v>0</v>
      </c>
      <c r="Z29" s="41">
        <f>'Debt Schedule'!Z34</f>
        <v>0</v>
      </c>
      <c r="AA29" s="41">
        <f>'Debt Schedule'!AA34</f>
        <v>0</v>
      </c>
      <c r="AB29" s="41">
        <f>'Debt Schedule'!AB34</f>
        <v>0</v>
      </c>
      <c r="AC29" s="41">
        <f>'Debt Schedule'!AC34</f>
        <v>0</v>
      </c>
      <c r="AD29" s="41">
        <f>'Debt Schedule'!AD34</f>
        <v>0</v>
      </c>
      <c r="AE29" s="41">
        <f>'Debt Schedule'!AE34</f>
        <v>0</v>
      </c>
      <c r="AF29" s="41">
        <f>'Debt Schedule'!AF34</f>
        <v>0</v>
      </c>
      <c r="AG29" s="41">
        <f>'Debt Schedule'!AG34</f>
        <v>0</v>
      </c>
      <c r="AH29" s="41">
        <f>'Debt Schedule'!AH34</f>
        <v>0</v>
      </c>
      <c r="AI29" s="41">
        <f>'Debt Schedule'!AI34</f>
        <v>0</v>
      </c>
      <c r="AJ29" s="41">
        <f>'Debt Schedule'!AJ34</f>
        <v>0</v>
      </c>
      <c r="AK29" s="41">
        <f>'Debt Schedule'!AK34</f>
        <v>0</v>
      </c>
      <c r="AL29" s="41">
        <f>'Debt Schedule'!AL34</f>
        <v>0</v>
      </c>
      <c r="AM29" s="41">
        <f>'Debt Schedule'!AM34</f>
        <v>0</v>
      </c>
      <c r="AN29" s="41">
        <f>'Debt Schedule'!AN34</f>
        <v>0</v>
      </c>
      <c r="AO29" s="41">
        <f>'Debt Schedule'!AO34</f>
        <v>0</v>
      </c>
      <c r="AP29" s="41">
        <f>'Debt Schedule'!AP34</f>
        <v>0</v>
      </c>
      <c r="AQ29" s="41">
        <f>'Debt Schedule'!AQ34</f>
        <v>0</v>
      </c>
      <c r="AR29" s="41">
        <f>'Debt Schedule'!AR34</f>
        <v>0</v>
      </c>
      <c r="AS29" s="41">
        <f>'Debt Schedule'!AS34</f>
        <v>0</v>
      </c>
      <c r="AT29" s="41">
        <f>'Debt Schedule'!AT34</f>
        <v>0</v>
      </c>
      <c r="AU29" s="41">
        <f>'Debt Schedule'!AU34</f>
        <v>0</v>
      </c>
      <c r="AV29" s="41">
        <f>'Debt Schedule'!AV34</f>
        <v>0</v>
      </c>
      <c r="AW29" s="41">
        <f>'Debt Schedule'!AW34</f>
        <v>0</v>
      </c>
    </row>
    <row r="30" spans="1:49">
      <c r="B30" s="2" t="s">
        <v>108</v>
      </c>
      <c r="C30" s="15" t="s">
        <v>60</v>
      </c>
      <c r="D30" s="41">
        <f>SUM(I30:AI30)</f>
        <v>1</v>
      </c>
      <c r="I30" s="41">
        <f>'Timing &amp; Flags'!I136</f>
        <v>0</v>
      </c>
      <c r="J30" s="41">
        <f>'Timing &amp; Flags'!J136</f>
        <v>0</v>
      </c>
      <c r="K30" s="41">
        <f>'Timing &amp; Flags'!K136</f>
        <v>0</v>
      </c>
      <c r="L30" s="41">
        <f>'Timing &amp; Flags'!L136</f>
        <v>0</v>
      </c>
      <c r="M30" s="41">
        <f>'Timing &amp; Flags'!M136</f>
        <v>0</v>
      </c>
      <c r="N30" s="41">
        <f>'Timing &amp; Flags'!N136</f>
        <v>0</v>
      </c>
      <c r="O30" s="41">
        <f>'Timing &amp; Flags'!O136</f>
        <v>0</v>
      </c>
      <c r="P30" s="41">
        <f>'Timing &amp; Flags'!P136</f>
        <v>0</v>
      </c>
      <c r="Q30" s="41">
        <f>'Timing &amp; Flags'!Q136</f>
        <v>0</v>
      </c>
      <c r="R30" s="41">
        <f>'Timing &amp; Flags'!R136</f>
        <v>1</v>
      </c>
      <c r="S30" s="41">
        <f>'Timing &amp; Flags'!S136</f>
        <v>0</v>
      </c>
      <c r="T30" s="41">
        <f>'Timing &amp; Flags'!T136</f>
        <v>0</v>
      </c>
      <c r="U30" s="41">
        <f>'Timing &amp; Flags'!U136</f>
        <v>0</v>
      </c>
      <c r="V30" s="41">
        <f>'Timing &amp; Flags'!V136</f>
        <v>0</v>
      </c>
      <c r="W30" s="41">
        <f>'Timing &amp; Flags'!W136</f>
        <v>0</v>
      </c>
      <c r="X30" s="41">
        <f>'Timing &amp; Flags'!X136</f>
        <v>0</v>
      </c>
      <c r="Y30" s="41">
        <f>'Timing &amp; Flags'!Y136</f>
        <v>0</v>
      </c>
      <c r="Z30" s="41">
        <f>'Timing &amp; Flags'!Z136</f>
        <v>0</v>
      </c>
      <c r="AA30" s="41">
        <f>'Timing &amp; Flags'!AA136</f>
        <v>0</v>
      </c>
      <c r="AB30" s="41">
        <f>'Timing &amp; Flags'!AB136</f>
        <v>0</v>
      </c>
      <c r="AC30" s="41">
        <f>'Timing &amp; Flags'!AC136</f>
        <v>0</v>
      </c>
      <c r="AD30" s="41">
        <f>'Timing &amp; Flags'!AD136</f>
        <v>0</v>
      </c>
      <c r="AE30" s="41">
        <f>'Timing &amp; Flags'!AE136</f>
        <v>0</v>
      </c>
      <c r="AF30" s="41">
        <f>'Timing &amp; Flags'!AF136</f>
        <v>0</v>
      </c>
      <c r="AG30" s="41">
        <f>'Timing &amp; Flags'!AG136</f>
        <v>0</v>
      </c>
      <c r="AH30" s="41">
        <f>'Timing &amp; Flags'!AH136</f>
        <v>0</v>
      </c>
      <c r="AI30" s="41">
        <f>'Timing &amp; Flags'!AI136</f>
        <v>0</v>
      </c>
      <c r="AJ30" s="41">
        <f>'Timing &amp; Flags'!AJ136</f>
        <v>0</v>
      </c>
      <c r="AK30" s="41">
        <f>'Timing &amp; Flags'!AK136</f>
        <v>0</v>
      </c>
      <c r="AL30" s="41">
        <f>'Timing &amp; Flags'!AL136</f>
        <v>0</v>
      </c>
      <c r="AM30" s="41">
        <f>'Timing &amp; Flags'!AM136</f>
        <v>0</v>
      </c>
      <c r="AN30" s="41">
        <f>'Timing &amp; Flags'!AN136</f>
        <v>0</v>
      </c>
      <c r="AO30" s="41">
        <f>'Timing &amp; Flags'!AO136</f>
        <v>0</v>
      </c>
      <c r="AP30" s="41">
        <f>'Timing &amp; Flags'!AP136</f>
        <v>0</v>
      </c>
      <c r="AQ30" s="41">
        <f>'Timing &amp; Flags'!AQ136</f>
        <v>0</v>
      </c>
      <c r="AR30" s="41">
        <f>'Timing &amp; Flags'!AR136</f>
        <v>0</v>
      </c>
      <c r="AS30" s="41">
        <f>'Timing &amp; Flags'!AS136</f>
        <v>0</v>
      </c>
      <c r="AT30" s="41">
        <f>'Timing &amp; Flags'!AT136</f>
        <v>0</v>
      </c>
      <c r="AU30" s="41">
        <f>'Timing &amp; Flags'!AU136</f>
        <v>0</v>
      </c>
      <c r="AV30" s="41">
        <f>'Timing &amp; Flags'!AV136</f>
        <v>0</v>
      </c>
      <c r="AW30" s="41">
        <f>'Timing &amp; Flags'!AW136</f>
        <v>0</v>
      </c>
    </row>
    <row r="31" spans="1:49">
      <c r="B31" s="2" t="s">
        <v>182</v>
      </c>
      <c r="C31" s="15" t="s">
        <v>183</v>
      </c>
      <c r="D31" s="2">
        <f>'Input '!F344</f>
        <v>1</v>
      </c>
      <c r="I31" s="41">
        <f t="shared" ref="I31:AI31" si="1">$D$31*J29*I13</f>
        <v>0</v>
      </c>
      <c r="J31" s="41">
        <f t="shared" si="1"/>
        <v>0</v>
      </c>
      <c r="K31" s="41">
        <f t="shared" si="1"/>
        <v>1</v>
      </c>
      <c r="L31" s="41">
        <f t="shared" si="1"/>
        <v>0</v>
      </c>
      <c r="M31" s="41">
        <f t="shared" si="1"/>
        <v>0</v>
      </c>
      <c r="N31" s="41">
        <f>$D$31*O29*N13</f>
        <v>0</v>
      </c>
      <c r="O31" s="41">
        <f t="shared" si="1"/>
        <v>0</v>
      </c>
      <c r="P31" s="41">
        <f t="shared" si="1"/>
        <v>0</v>
      </c>
      <c r="Q31" s="41">
        <f t="shared" si="1"/>
        <v>0</v>
      </c>
      <c r="R31" s="41">
        <f t="shared" si="1"/>
        <v>0</v>
      </c>
      <c r="S31" s="41">
        <f t="shared" si="1"/>
        <v>0</v>
      </c>
      <c r="T31" s="41">
        <f t="shared" si="1"/>
        <v>0</v>
      </c>
      <c r="U31" s="41">
        <f t="shared" si="1"/>
        <v>0</v>
      </c>
      <c r="V31" s="41">
        <f t="shared" si="1"/>
        <v>0</v>
      </c>
      <c r="W31" s="41">
        <f t="shared" si="1"/>
        <v>0</v>
      </c>
      <c r="X31" s="41">
        <f t="shared" si="1"/>
        <v>0</v>
      </c>
      <c r="Y31" s="41">
        <f t="shared" si="1"/>
        <v>0</v>
      </c>
      <c r="Z31" s="41">
        <f t="shared" si="1"/>
        <v>0</v>
      </c>
      <c r="AA31" s="41">
        <f t="shared" si="1"/>
        <v>0</v>
      </c>
      <c r="AB31" s="41">
        <f t="shared" si="1"/>
        <v>0</v>
      </c>
      <c r="AC31" s="41">
        <f t="shared" si="1"/>
        <v>0</v>
      </c>
      <c r="AD31" s="41">
        <f t="shared" si="1"/>
        <v>0</v>
      </c>
      <c r="AE31" s="41">
        <f t="shared" si="1"/>
        <v>0</v>
      </c>
      <c r="AF31" s="41">
        <f t="shared" si="1"/>
        <v>0</v>
      </c>
      <c r="AG31" s="41">
        <f t="shared" si="1"/>
        <v>0</v>
      </c>
      <c r="AH31" s="41">
        <f t="shared" si="1"/>
        <v>0</v>
      </c>
      <c r="AI31" s="41">
        <f t="shared" si="1"/>
        <v>0</v>
      </c>
      <c r="AJ31" s="41">
        <f t="shared" ref="AJ31:AW31" si="2">$D$31*AK29*AJ13</f>
        <v>0</v>
      </c>
      <c r="AK31" s="41">
        <f t="shared" si="2"/>
        <v>0</v>
      </c>
      <c r="AL31" s="41">
        <f t="shared" si="2"/>
        <v>0</v>
      </c>
      <c r="AM31" s="41">
        <f t="shared" si="2"/>
        <v>0</v>
      </c>
      <c r="AN31" s="41">
        <f t="shared" si="2"/>
        <v>0</v>
      </c>
      <c r="AO31" s="41">
        <f t="shared" si="2"/>
        <v>0</v>
      </c>
      <c r="AP31" s="41">
        <f t="shared" si="2"/>
        <v>0</v>
      </c>
      <c r="AQ31" s="41">
        <f t="shared" si="2"/>
        <v>0</v>
      </c>
      <c r="AR31" s="41">
        <f t="shared" si="2"/>
        <v>0</v>
      </c>
      <c r="AS31" s="41">
        <f t="shared" si="2"/>
        <v>0</v>
      </c>
      <c r="AT31" s="41">
        <f t="shared" si="2"/>
        <v>0</v>
      </c>
      <c r="AU31" s="41">
        <f t="shared" si="2"/>
        <v>0</v>
      </c>
      <c r="AV31" s="41">
        <f t="shared" si="2"/>
        <v>0</v>
      </c>
      <c r="AW31" s="41">
        <f t="shared" si="2"/>
        <v>0</v>
      </c>
    </row>
    <row r="32" spans="1:49">
      <c r="B32" s="2" t="s">
        <v>275</v>
      </c>
      <c r="C32" s="15" t="s">
        <v>60</v>
      </c>
      <c r="D32" s="41">
        <f>SUM(I32:AI32)</f>
        <v>7</v>
      </c>
      <c r="I32" s="41">
        <f t="shared" ref="I32:AI32" si="3">MAX(I29,I31)*NOT(I30)</f>
        <v>0</v>
      </c>
      <c r="J32" s="41">
        <f t="shared" si="3"/>
        <v>0</v>
      </c>
      <c r="K32" s="41">
        <f t="shared" si="3"/>
        <v>1</v>
      </c>
      <c r="L32" s="41">
        <f t="shared" si="3"/>
        <v>1</v>
      </c>
      <c r="M32" s="41">
        <f t="shared" si="3"/>
        <v>1</v>
      </c>
      <c r="N32" s="41">
        <f t="shared" si="3"/>
        <v>1</v>
      </c>
      <c r="O32" s="41">
        <f t="shared" si="3"/>
        <v>1</v>
      </c>
      <c r="P32" s="41">
        <f t="shared" si="3"/>
        <v>1</v>
      </c>
      <c r="Q32" s="41">
        <f t="shared" si="3"/>
        <v>1</v>
      </c>
      <c r="R32" s="41">
        <f t="shared" si="3"/>
        <v>0</v>
      </c>
      <c r="S32" s="41">
        <f t="shared" si="3"/>
        <v>0</v>
      </c>
      <c r="T32" s="41">
        <f t="shared" si="3"/>
        <v>0</v>
      </c>
      <c r="U32" s="41">
        <f t="shared" si="3"/>
        <v>0</v>
      </c>
      <c r="V32" s="41">
        <f t="shared" si="3"/>
        <v>0</v>
      </c>
      <c r="W32" s="41">
        <f t="shared" si="3"/>
        <v>0</v>
      </c>
      <c r="X32" s="41">
        <f t="shared" si="3"/>
        <v>0</v>
      </c>
      <c r="Y32" s="41">
        <f t="shared" si="3"/>
        <v>0</v>
      </c>
      <c r="Z32" s="41">
        <f t="shared" si="3"/>
        <v>0</v>
      </c>
      <c r="AA32" s="41">
        <f t="shared" si="3"/>
        <v>0</v>
      </c>
      <c r="AB32" s="41">
        <f t="shared" si="3"/>
        <v>0</v>
      </c>
      <c r="AC32" s="41">
        <f t="shared" si="3"/>
        <v>0</v>
      </c>
      <c r="AD32" s="41">
        <f t="shared" si="3"/>
        <v>0</v>
      </c>
      <c r="AE32" s="41">
        <f t="shared" si="3"/>
        <v>0</v>
      </c>
      <c r="AF32" s="41">
        <f t="shared" si="3"/>
        <v>0</v>
      </c>
      <c r="AG32" s="41">
        <f t="shared" si="3"/>
        <v>0</v>
      </c>
      <c r="AH32" s="41">
        <f t="shared" si="3"/>
        <v>0</v>
      </c>
      <c r="AI32" s="41">
        <f t="shared" si="3"/>
        <v>0</v>
      </c>
      <c r="AJ32" s="41">
        <f t="shared" ref="AJ32:AW32" si="4">MAX(AJ29,AJ31)*NOT(AJ30)</f>
        <v>0</v>
      </c>
      <c r="AK32" s="41">
        <f t="shared" si="4"/>
        <v>0</v>
      </c>
      <c r="AL32" s="41">
        <f t="shared" si="4"/>
        <v>0</v>
      </c>
      <c r="AM32" s="41">
        <f t="shared" si="4"/>
        <v>0</v>
      </c>
      <c r="AN32" s="41">
        <f t="shared" si="4"/>
        <v>0</v>
      </c>
      <c r="AO32" s="41">
        <f t="shared" si="4"/>
        <v>0</v>
      </c>
      <c r="AP32" s="41">
        <f t="shared" si="4"/>
        <v>0</v>
      </c>
      <c r="AQ32" s="41">
        <f t="shared" si="4"/>
        <v>0</v>
      </c>
      <c r="AR32" s="41">
        <f t="shared" si="4"/>
        <v>0</v>
      </c>
      <c r="AS32" s="41">
        <f t="shared" si="4"/>
        <v>0</v>
      </c>
      <c r="AT32" s="41">
        <f t="shared" si="4"/>
        <v>0</v>
      </c>
      <c r="AU32" s="41">
        <f t="shared" si="4"/>
        <v>0</v>
      </c>
      <c r="AV32" s="41">
        <f t="shared" si="4"/>
        <v>0</v>
      </c>
      <c r="AW32" s="41">
        <f t="shared" si="4"/>
        <v>0</v>
      </c>
    </row>
    <row r="34" spans="1:49">
      <c r="B34" s="2" t="s">
        <v>276</v>
      </c>
      <c r="C34" s="15" t="str">
        <f>IF('Input '!$F$9=1,"US$","=N=")</f>
        <v>US$</v>
      </c>
      <c r="D34" s="41">
        <f ca="1">SUM(I34:AI34)</f>
        <v>4093349196.5737753</v>
      </c>
      <c r="I34" s="41">
        <f ca="1">'Debt Schedule'!I75</f>
        <v>0</v>
      </c>
      <c r="J34" s="41">
        <f ca="1">'Debt Schedule'!J75</f>
        <v>0</v>
      </c>
      <c r="K34" s="41">
        <f ca="1">'Debt Schedule'!K75</f>
        <v>0</v>
      </c>
      <c r="L34" s="41">
        <f ca="1">'Debt Schedule'!L75</f>
        <v>712861464.64741492</v>
      </c>
      <c r="M34" s="41">
        <f ca="1">'Debt Schedule'!M75</f>
        <v>670173413.88064456</v>
      </c>
      <c r="N34" s="41">
        <f ca="1">'Debt Schedule'!N75</f>
        <v>626902193.02143204</v>
      </c>
      <c r="O34" s="41">
        <f ca="1">'Debt Schedule'!O75</f>
        <v>585265126.60208225</v>
      </c>
      <c r="P34" s="41">
        <f ca="1">'Debt Schedule'!P75</f>
        <v>542109261.58033371</v>
      </c>
      <c r="Q34" s="41">
        <f ca="1">'Debt Schedule'!Q75</f>
        <v>499421210.81356329</v>
      </c>
      <c r="R34" s="41">
        <f ca="1">'Debt Schedule'!R75</f>
        <v>456616526.02830452</v>
      </c>
      <c r="S34" s="41">
        <f ca="1">'Debt Schedule'!S75</f>
        <v>0</v>
      </c>
      <c r="T34" s="41">
        <f ca="1">'Debt Schedule'!T75</f>
        <v>0</v>
      </c>
      <c r="U34" s="41">
        <f ca="1">'Debt Schedule'!U75</f>
        <v>0</v>
      </c>
      <c r="V34" s="41">
        <f ca="1">'Debt Schedule'!V75</f>
        <v>0</v>
      </c>
      <c r="W34" s="41">
        <f ca="1">'Debt Schedule'!W75</f>
        <v>0</v>
      </c>
      <c r="X34" s="41">
        <f ca="1">'Debt Schedule'!X75</f>
        <v>0</v>
      </c>
      <c r="Y34" s="41">
        <f ca="1">'Debt Schedule'!Y75</f>
        <v>0</v>
      </c>
      <c r="Z34" s="41">
        <f ca="1">'Debt Schedule'!Z75</f>
        <v>0</v>
      </c>
      <c r="AA34" s="41">
        <f ca="1">'Debt Schedule'!AA75</f>
        <v>0</v>
      </c>
      <c r="AB34" s="41">
        <f ca="1">'Debt Schedule'!AB75</f>
        <v>0</v>
      </c>
      <c r="AC34" s="41">
        <f ca="1">'Debt Schedule'!AC75</f>
        <v>0</v>
      </c>
      <c r="AD34" s="41">
        <f ca="1">'Debt Schedule'!AD75</f>
        <v>0</v>
      </c>
      <c r="AE34" s="41">
        <f ca="1">'Debt Schedule'!AE75</f>
        <v>0</v>
      </c>
      <c r="AF34" s="41">
        <f ca="1">'Debt Schedule'!AF75</f>
        <v>0</v>
      </c>
      <c r="AG34" s="41">
        <f ca="1">'Debt Schedule'!AG75</f>
        <v>0</v>
      </c>
      <c r="AH34" s="41">
        <f ca="1">'Debt Schedule'!AH75</f>
        <v>0</v>
      </c>
      <c r="AI34" s="41">
        <f ca="1">'Debt Schedule'!AI75</f>
        <v>0</v>
      </c>
      <c r="AJ34" s="41">
        <f ca="1">'Debt Schedule'!AJ75</f>
        <v>0</v>
      </c>
      <c r="AK34" s="41">
        <f ca="1">'Debt Schedule'!AK75</f>
        <v>0</v>
      </c>
      <c r="AL34" s="41">
        <f ca="1">'Debt Schedule'!AL75</f>
        <v>0</v>
      </c>
      <c r="AM34" s="41">
        <f ca="1">'Debt Schedule'!AM75</f>
        <v>0</v>
      </c>
      <c r="AN34" s="41">
        <f ca="1">'Debt Schedule'!AN75</f>
        <v>0</v>
      </c>
      <c r="AO34" s="41">
        <f ca="1">'Debt Schedule'!AO75</f>
        <v>0</v>
      </c>
      <c r="AP34" s="41">
        <f ca="1">'Debt Schedule'!AP75</f>
        <v>0</v>
      </c>
      <c r="AQ34" s="41">
        <f ca="1">'Debt Schedule'!AQ75</f>
        <v>0</v>
      </c>
      <c r="AR34" s="41">
        <f ca="1">'Debt Schedule'!AR75</f>
        <v>0</v>
      </c>
      <c r="AS34" s="41">
        <f ca="1">'Debt Schedule'!AS75</f>
        <v>0</v>
      </c>
      <c r="AT34" s="41">
        <f ca="1">'Debt Schedule'!AT75</f>
        <v>0</v>
      </c>
      <c r="AU34" s="41">
        <f ca="1">'Debt Schedule'!AU75</f>
        <v>0</v>
      </c>
      <c r="AV34" s="41">
        <f ca="1">'Debt Schedule'!AV75</f>
        <v>0</v>
      </c>
      <c r="AW34" s="41">
        <f ca="1">'Debt Schedule'!AW75</f>
        <v>0</v>
      </c>
    </row>
    <row r="35" spans="1:49">
      <c r="B35" s="2" t="s">
        <v>277</v>
      </c>
      <c r="C35" s="15" t="s">
        <v>180</v>
      </c>
      <c r="D35" s="2">
        <f>'Input '!F342</f>
        <v>1</v>
      </c>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row>
    <row r="36" spans="1:49">
      <c r="B36" s="2" t="s">
        <v>181</v>
      </c>
      <c r="C36" s="15" t="s">
        <v>20</v>
      </c>
    </row>
    <row r="37" spans="1:49">
      <c r="B37" s="2" t="s">
        <v>278</v>
      </c>
      <c r="I37" s="42">
        <f ca="1">CF!I24+CF!I26+I45</f>
        <v>0</v>
      </c>
      <c r="J37" s="42">
        <f ca="1">CF!J24+CF!J26+J45</f>
        <v>-132913371.73613448</v>
      </c>
      <c r="K37" s="42">
        <f ca="1">CF!K24+CF!K26+K45</f>
        <v>632979160.75820112</v>
      </c>
      <c r="L37" s="42">
        <f ca="1">CF!L24+CF!L26+L45</f>
        <v>400522681.1728363</v>
      </c>
      <c r="M37" s="42">
        <f ca="1">CF!M24+CF!M26+M45</f>
        <v>637170363.89615703</v>
      </c>
      <c r="N37" s="42">
        <f ca="1">CF!N24+CF!N26+N45</f>
        <v>637790714.93315852</v>
      </c>
      <c r="O37" s="42">
        <f ca="1">CF!O24+CF!O26+O45</f>
        <v>764050013.53653836</v>
      </c>
      <c r="P37" s="42">
        <f ca="1">CF!P24+CF!P26+P45</f>
        <v>883250661.19559181</v>
      </c>
      <c r="Q37" s="42">
        <f ca="1">CF!Q24+CF!Q26+Q45</f>
        <v>1004026479.5966463</v>
      </c>
      <c r="R37" s="42">
        <f ca="1">CF!R24+CF!R26+R45</f>
        <v>867476193.08027482</v>
      </c>
      <c r="S37" s="42">
        <f ca="1">CF!S24+CF!S26+S45</f>
        <v>1283070151.1751375</v>
      </c>
      <c r="T37" s="42">
        <f ca="1">CF!T24+CF!T26+T45</f>
        <v>1361126777.7746472</v>
      </c>
      <c r="U37" s="42">
        <f ca="1">CF!U24+CF!U26+U45</f>
        <v>1442257475.690588</v>
      </c>
      <c r="V37" s="42">
        <f ca="1">CF!V24+CF!V26+V45</f>
        <v>1528178348.3972325</v>
      </c>
      <c r="W37" s="42">
        <f ca="1">CF!W24+CF!W26+W45</f>
        <v>1616160258.3257608</v>
      </c>
      <c r="X37" s="42">
        <f ca="1">CF!X24+CF!X26+X45</f>
        <v>1235546330.5832512</v>
      </c>
      <c r="Y37" s="42">
        <f ca="1">CF!Y24+CF!Y26+Y45</f>
        <v>1172655466.6061137</v>
      </c>
      <c r="Z37" s="42">
        <f ca="1">CF!Z24+CF!Z26+Z45</f>
        <v>1209196930.2893116</v>
      </c>
      <c r="AA37" s="42">
        <f ca="1">CF!AA24+CF!AA26+AA45</f>
        <v>1245685425.722734</v>
      </c>
      <c r="AB37" s="42">
        <f ca="1">CF!AB24+CF!AB26+AB45</f>
        <v>1285172638.6101649</v>
      </c>
      <c r="AC37" s="42">
        <f ca="1">CF!AC24+CF!AC26+AC45</f>
        <v>1325847448.789845</v>
      </c>
      <c r="AD37" s="42">
        <f ca="1">CF!AD24+CF!AD26+AD45</f>
        <v>1368791499.13083</v>
      </c>
      <c r="AE37" s="42">
        <f ca="1">CF!AE24+CF!AE26+AE45</f>
        <v>1411363588.111443</v>
      </c>
      <c r="AF37" s="42">
        <f ca="1">CF!AF24+CF!AF26+AF45</f>
        <v>1457366133.1732535</v>
      </c>
      <c r="AG37" s="42">
        <f ca="1">CF!AG24+CF!AG26+AG45</f>
        <v>1504464392.6556954</v>
      </c>
      <c r="AH37" s="42">
        <f ca="1">CF!AH24+CF!AH26+AH45</f>
        <v>1553913969.7623825</v>
      </c>
      <c r="AI37" s="42">
        <f ca="1">CF!AI24+CF!AI26+AI45</f>
        <v>1602784955.700546</v>
      </c>
      <c r="AJ37" s="42">
        <f ca="1">CF!AJ24+CF!AJ26+AJ45</f>
        <v>1655357824.3929558</v>
      </c>
      <c r="AK37" s="42">
        <f ca="1">CF!AK24+CF!AK26+AK45</f>
        <v>1729891184.7949376</v>
      </c>
      <c r="AL37" s="42">
        <f ca="1">CF!AL24+CF!AL26+AL45</f>
        <v>2140969646.930531</v>
      </c>
      <c r="AM37" s="42">
        <f>CF!AM24+CF!AM26+AM45</f>
        <v>0</v>
      </c>
      <c r="AN37" s="42">
        <f>CF!AN24+CF!AN26+AN45</f>
        <v>0</v>
      </c>
      <c r="AO37" s="42">
        <f>CF!AO24+CF!AO26+AO45</f>
        <v>0</v>
      </c>
      <c r="AP37" s="42">
        <f>CF!AP24+CF!AP26+AP45</f>
        <v>0</v>
      </c>
      <c r="AQ37" s="42">
        <f>CF!AQ24+CF!AQ26+AQ45</f>
        <v>0</v>
      </c>
      <c r="AR37" s="42">
        <f>CF!AR24+CF!AR26+AR45</f>
        <v>0</v>
      </c>
      <c r="AS37" s="42">
        <f>CF!AS24+CF!AS26+AS45</f>
        <v>0</v>
      </c>
      <c r="AT37" s="42">
        <f>CF!AT24+CF!AT26+AT45</f>
        <v>0</v>
      </c>
      <c r="AU37" s="42">
        <f>CF!AU24+CF!AU26+AU45</f>
        <v>0</v>
      </c>
      <c r="AV37" s="42">
        <f>CF!AV24+CF!AV26+AV45</f>
        <v>0</v>
      </c>
      <c r="AW37" s="42">
        <f>CF!AW24+CF!AW26+AW45</f>
        <v>0</v>
      </c>
    </row>
    <row r="39" spans="1:49">
      <c r="B39" s="2" t="s">
        <v>279</v>
      </c>
      <c r="C39" s="15" t="str">
        <f>$C$34</f>
        <v>US$</v>
      </c>
      <c r="I39" s="41">
        <v>0</v>
      </c>
      <c r="J39" s="41">
        <v>0</v>
      </c>
      <c r="K39" s="41">
        <v>0</v>
      </c>
      <c r="L39" s="41">
        <v>0</v>
      </c>
      <c r="M39" s="41">
        <v>0</v>
      </c>
      <c r="N39" s="41">
        <v>0</v>
      </c>
      <c r="O39" s="41">
        <v>0</v>
      </c>
      <c r="P39" s="41">
        <v>0</v>
      </c>
      <c r="Q39" s="41">
        <v>0</v>
      </c>
      <c r="R39" s="41">
        <v>0</v>
      </c>
      <c r="S39" s="41">
        <v>0</v>
      </c>
      <c r="T39" s="41">
        <v>0</v>
      </c>
      <c r="U39" s="41">
        <v>0</v>
      </c>
      <c r="V39" s="41">
        <v>0</v>
      </c>
      <c r="W39" s="41">
        <v>0</v>
      </c>
      <c r="X39" s="41">
        <v>0</v>
      </c>
      <c r="Y39" s="41">
        <v>0</v>
      </c>
      <c r="Z39" s="41">
        <v>0</v>
      </c>
      <c r="AA39" s="41">
        <v>0</v>
      </c>
      <c r="AB39" s="41">
        <v>0</v>
      </c>
      <c r="AC39" s="41">
        <v>0</v>
      </c>
      <c r="AD39" s="41">
        <v>0</v>
      </c>
      <c r="AE39" s="41">
        <v>0</v>
      </c>
      <c r="AF39" s="41">
        <v>0</v>
      </c>
      <c r="AG39" s="41">
        <v>0</v>
      </c>
      <c r="AH39" s="41">
        <v>0</v>
      </c>
      <c r="AI39" s="41">
        <v>0</v>
      </c>
      <c r="AJ39" s="41">
        <v>0</v>
      </c>
      <c r="AK39" s="41">
        <v>0</v>
      </c>
      <c r="AL39" s="41">
        <v>0</v>
      </c>
      <c r="AM39" s="41">
        <v>0</v>
      </c>
      <c r="AN39" s="41">
        <v>0</v>
      </c>
      <c r="AO39" s="41">
        <v>0</v>
      </c>
      <c r="AP39" s="41">
        <v>0</v>
      </c>
      <c r="AQ39" s="41">
        <v>0</v>
      </c>
      <c r="AR39" s="41">
        <v>0</v>
      </c>
      <c r="AS39" s="41">
        <v>0</v>
      </c>
      <c r="AT39" s="41">
        <v>0</v>
      </c>
      <c r="AU39" s="41">
        <v>0</v>
      </c>
      <c r="AV39" s="41">
        <v>0</v>
      </c>
    </row>
    <row r="40" spans="1:49">
      <c r="B40" s="2" t="s">
        <v>280</v>
      </c>
      <c r="C40" s="15" t="str">
        <f>$C$34</f>
        <v>US$</v>
      </c>
      <c r="I40" s="41">
        <f t="shared" ref="I40:AI40" ca="1" si="5">I39*I31+MAX(MIN(I39,I37),0)*(I32-I31)</f>
        <v>0</v>
      </c>
      <c r="J40" s="41">
        <f t="shared" ca="1" si="5"/>
        <v>0</v>
      </c>
      <c r="K40" s="41">
        <f ca="1">K39*K31+MAX(MIN(K39,K37),0)*(K32-K31)</f>
        <v>0</v>
      </c>
      <c r="L40" s="41">
        <f t="shared" ca="1" si="5"/>
        <v>0</v>
      </c>
      <c r="M40" s="41">
        <f t="shared" ca="1" si="5"/>
        <v>0</v>
      </c>
      <c r="N40" s="41">
        <f t="shared" ca="1" si="5"/>
        <v>0</v>
      </c>
      <c r="O40" s="41">
        <f t="shared" ca="1" si="5"/>
        <v>0</v>
      </c>
      <c r="P40" s="41">
        <f t="shared" ca="1" si="5"/>
        <v>0</v>
      </c>
      <c r="Q40" s="41">
        <f t="shared" ca="1" si="5"/>
        <v>0</v>
      </c>
      <c r="R40" s="41">
        <f t="shared" ca="1" si="5"/>
        <v>0</v>
      </c>
      <c r="S40" s="41">
        <f t="shared" ca="1" si="5"/>
        <v>0</v>
      </c>
      <c r="T40" s="41">
        <f t="shared" ca="1" si="5"/>
        <v>0</v>
      </c>
      <c r="U40" s="41">
        <f t="shared" ca="1" si="5"/>
        <v>0</v>
      </c>
      <c r="V40" s="41">
        <f t="shared" ca="1" si="5"/>
        <v>0</v>
      </c>
      <c r="W40" s="41">
        <f t="shared" ca="1" si="5"/>
        <v>0</v>
      </c>
      <c r="X40" s="41">
        <f t="shared" ca="1" si="5"/>
        <v>0</v>
      </c>
      <c r="Y40" s="41">
        <f t="shared" ca="1" si="5"/>
        <v>0</v>
      </c>
      <c r="Z40" s="41">
        <f t="shared" ca="1" si="5"/>
        <v>0</v>
      </c>
      <c r="AA40" s="41">
        <f t="shared" ca="1" si="5"/>
        <v>0</v>
      </c>
      <c r="AB40" s="41">
        <f t="shared" ca="1" si="5"/>
        <v>0</v>
      </c>
      <c r="AC40" s="41">
        <f t="shared" ca="1" si="5"/>
        <v>0</v>
      </c>
      <c r="AD40" s="41">
        <f t="shared" ca="1" si="5"/>
        <v>0</v>
      </c>
      <c r="AE40" s="41">
        <f t="shared" ca="1" si="5"/>
        <v>0</v>
      </c>
      <c r="AF40" s="41">
        <f t="shared" ca="1" si="5"/>
        <v>0</v>
      </c>
      <c r="AG40" s="41">
        <f t="shared" ca="1" si="5"/>
        <v>0</v>
      </c>
      <c r="AH40" s="41">
        <f t="shared" ca="1" si="5"/>
        <v>0</v>
      </c>
      <c r="AI40" s="41">
        <f t="shared" ca="1" si="5"/>
        <v>0</v>
      </c>
      <c r="AJ40" s="41">
        <f t="shared" ref="AJ40:AV40" ca="1" si="6">AJ39*AJ31+MAX(MIN(AJ39,AJ37),0)*(AJ32-AJ31)</f>
        <v>0</v>
      </c>
      <c r="AK40" s="41">
        <f t="shared" ca="1" si="6"/>
        <v>0</v>
      </c>
      <c r="AL40" s="41">
        <f t="shared" ca="1" si="6"/>
        <v>0</v>
      </c>
      <c r="AM40" s="41">
        <f t="shared" si="6"/>
        <v>0</v>
      </c>
      <c r="AN40" s="41">
        <f t="shared" si="6"/>
        <v>0</v>
      </c>
      <c r="AO40" s="41">
        <f t="shared" si="6"/>
        <v>0</v>
      </c>
      <c r="AP40" s="41">
        <f t="shared" si="6"/>
        <v>0</v>
      </c>
      <c r="AQ40" s="41">
        <f t="shared" si="6"/>
        <v>0</v>
      </c>
      <c r="AR40" s="41">
        <f t="shared" si="6"/>
        <v>0</v>
      </c>
      <c r="AS40" s="41">
        <f t="shared" si="6"/>
        <v>0</v>
      </c>
      <c r="AT40" s="41">
        <f t="shared" si="6"/>
        <v>0</v>
      </c>
      <c r="AU40" s="41">
        <f t="shared" si="6"/>
        <v>0</v>
      </c>
      <c r="AV40" s="41">
        <f t="shared" si="6"/>
        <v>0</v>
      </c>
    </row>
    <row r="41" spans="1:49">
      <c r="B41" s="2" t="s">
        <v>281</v>
      </c>
      <c r="C41" s="15" t="str">
        <f>$C$34</f>
        <v>US$</v>
      </c>
      <c r="I41" s="41">
        <v>0</v>
      </c>
      <c r="J41" s="41">
        <v>0</v>
      </c>
      <c r="K41" s="41">
        <v>0</v>
      </c>
      <c r="L41" s="41">
        <v>0</v>
      </c>
      <c r="M41" s="41">
        <v>0</v>
      </c>
      <c r="N41" s="41">
        <v>0</v>
      </c>
      <c r="O41" s="41">
        <v>0</v>
      </c>
      <c r="P41" s="41">
        <v>0</v>
      </c>
      <c r="Q41" s="41">
        <v>0</v>
      </c>
      <c r="R41" s="41">
        <v>0</v>
      </c>
      <c r="S41" s="41">
        <v>0</v>
      </c>
      <c r="T41" s="41">
        <v>0</v>
      </c>
      <c r="U41" s="41">
        <v>0</v>
      </c>
      <c r="V41" s="41">
        <v>0</v>
      </c>
      <c r="W41" s="41">
        <v>0</v>
      </c>
      <c r="X41" s="41">
        <v>0</v>
      </c>
      <c r="Y41" s="41">
        <v>0</v>
      </c>
      <c r="Z41" s="41">
        <v>0</v>
      </c>
      <c r="AA41" s="41">
        <v>0</v>
      </c>
      <c r="AB41" s="41">
        <v>0</v>
      </c>
      <c r="AC41" s="41">
        <v>0</v>
      </c>
      <c r="AD41" s="41">
        <v>0</v>
      </c>
      <c r="AE41" s="41">
        <v>0</v>
      </c>
      <c r="AF41" s="41">
        <v>0</v>
      </c>
      <c r="AG41" s="41">
        <v>0</v>
      </c>
      <c r="AH41" s="41">
        <v>0</v>
      </c>
      <c r="AI41" s="41">
        <v>0</v>
      </c>
      <c r="AJ41" s="41">
        <v>0</v>
      </c>
      <c r="AK41" s="41">
        <v>0</v>
      </c>
      <c r="AL41" s="41">
        <v>0</v>
      </c>
      <c r="AM41" s="41">
        <v>0</v>
      </c>
      <c r="AN41" s="41">
        <v>0</v>
      </c>
      <c r="AO41" s="41">
        <v>0</v>
      </c>
      <c r="AP41" s="41">
        <v>0</v>
      </c>
      <c r="AQ41" s="41">
        <v>0</v>
      </c>
      <c r="AR41" s="41">
        <v>0</v>
      </c>
      <c r="AS41" s="41">
        <v>0</v>
      </c>
      <c r="AT41" s="41">
        <v>0</v>
      </c>
      <c r="AU41" s="41">
        <v>0</v>
      </c>
      <c r="AV41" s="41">
        <v>0</v>
      </c>
    </row>
    <row r="42" spans="1:49">
      <c r="B42" s="2" t="s">
        <v>230</v>
      </c>
      <c r="C42" s="15" t="str">
        <f>$C$34</f>
        <v>US$</v>
      </c>
      <c r="D42" s="153">
        <f ca="1">SUM(I42:AI42)</f>
        <v>0</v>
      </c>
      <c r="I42" s="152">
        <f t="shared" ref="I42:AV42" ca="1" si="7">ABS(I40-I41)</f>
        <v>0</v>
      </c>
      <c r="J42" s="152">
        <f t="shared" ca="1" si="7"/>
        <v>0</v>
      </c>
      <c r="K42" s="152">
        <f t="shared" ca="1" si="7"/>
        <v>0</v>
      </c>
      <c r="L42" s="152">
        <f t="shared" ca="1" si="7"/>
        <v>0</v>
      </c>
      <c r="M42" s="152">
        <f t="shared" ca="1" si="7"/>
        <v>0</v>
      </c>
      <c r="N42" s="152">
        <f t="shared" ca="1" si="7"/>
        <v>0</v>
      </c>
      <c r="O42" s="152">
        <f t="shared" ca="1" si="7"/>
        <v>0</v>
      </c>
      <c r="P42" s="152">
        <f t="shared" ca="1" si="7"/>
        <v>0</v>
      </c>
      <c r="Q42" s="152">
        <f t="shared" ca="1" si="7"/>
        <v>0</v>
      </c>
      <c r="R42" s="152">
        <f t="shared" ca="1" si="7"/>
        <v>0</v>
      </c>
      <c r="S42" s="152">
        <f t="shared" ca="1" si="7"/>
        <v>0</v>
      </c>
      <c r="T42" s="152">
        <f t="shared" ca="1" si="7"/>
        <v>0</v>
      </c>
      <c r="U42" s="152">
        <f t="shared" ca="1" si="7"/>
        <v>0</v>
      </c>
      <c r="V42" s="152">
        <f t="shared" ca="1" si="7"/>
        <v>0</v>
      </c>
      <c r="W42" s="152">
        <f t="shared" ca="1" si="7"/>
        <v>0</v>
      </c>
      <c r="X42" s="152">
        <f t="shared" ca="1" si="7"/>
        <v>0</v>
      </c>
      <c r="Y42" s="152">
        <f t="shared" ca="1" si="7"/>
        <v>0</v>
      </c>
      <c r="Z42" s="152">
        <f t="shared" ca="1" si="7"/>
        <v>0</v>
      </c>
      <c r="AA42" s="152">
        <f t="shared" ca="1" si="7"/>
        <v>0</v>
      </c>
      <c r="AB42" s="152">
        <f t="shared" ca="1" si="7"/>
        <v>0</v>
      </c>
      <c r="AC42" s="152">
        <f t="shared" ca="1" si="7"/>
        <v>0</v>
      </c>
      <c r="AD42" s="152">
        <f t="shared" ca="1" si="7"/>
        <v>0</v>
      </c>
      <c r="AE42" s="152">
        <f t="shared" ca="1" si="7"/>
        <v>0</v>
      </c>
      <c r="AF42" s="152">
        <f t="shared" ca="1" si="7"/>
        <v>0</v>
      </c>
      <c r="AG42" s="1088">
        <f t="shared" ca="1" si="7"/>
        <v>0</v>
      </c>
      <c r="AH42" s="1088">
        <f t="shared" ca="1" si="7"/>
        <v>0</v>
      </c>
      <c r="AI42" s="1088">
        <f t="shared" ca="1" si="7"/>
        <v>0</v>
      </c>
      <c r="AJ42" s="1088">
        <f t="shared" ca="1" si="7"/>
        <v>0</v>
      </c>
      <c r="AK42" s="1088">
        <f t="shared" ca="1" si="7"/>
        <v>0</v>
      </c>
      <c r="AL42" s="1088">
        <f t="shared" ca="1" si="7"/>
        <v>0</v>
      </c>
      <c r="AM42" s="1088">
        <f t="shared" si="7"/>
        <v>0</v>
      </c>
      <c r="AN42" s="1088">
        <f t="shared" si="7"/>
        <v>0</v>
      </c>
      <c r="AO42" s="1088">
        <f t="shared" si="7"/>
        <v>0</v>
      </c>
      <c r="AP42" s="1088">
        <f t="shared" si="7"/>
        <v>0</v>
      </c>
      <c r="AQ42" s="1088">
        <f t="shared" si="7"/>
        <v>0</v>
      </c>
      <c r="AR42" s="1088">
        <f t="shared" si="7"/>
        <v>0</v>
      </c>
      <c r="AS42" s="1088">
        <f t="shared" si="7"/>
        <v>0</v>
      </c>
      <c r="AT42" s="1088">
        <f t="shared" si="7"/>
        <v>0</v>
      </c>
      <c r="AU42" s="1088">
        <f t="shared" si="7"/>
        <v>0</v>
      </c>
      <c r="AV42" s="1088">
        <f t="shared" si="7"/>
        <v>0</v>
      </c>
    </row>
    <row r="44" spans="1:49">
      <c r="A44" s="12"/>
      <c r="B44" s="29" t="s">
        <v>282</v>
      </c>
    </row>
    <row r="45" spans="1:49">
      <c r="B45" s="2" t="s">
        <v>263</v>
      </c>
      <c r="C45" s="15" t="str">
        <f>$C$34</f>
        <v>US$</v>
      </c>
      <c r="I45" s="41">
        <f t="shared" ref="I45:AI45" si="8">H48</f>
        <v>0</v>
      </c>
      <c r="J45" s="41">
        <f t="shared" si="8"/>
        <v>0</v>
      </c>
      <c r="K45" s="41">
        <f t="shared" si="8"/>
        <v>0</v>
      </c>
      <c r="L45" s="41">
        <f t="shared" si="8"/>
        <v>0</v>
      </c>
      <c r="M45" s="41">
        <f t="shared" si="8"/>
        <v>0</v>
      </c>
      <c r="N45" s="41">
        <f t="shared" si="8"/>
        <v>0</v>
      </c>
      <c r="O45" s="41">
        <f t="shared" si="8"/>
        <v>0</v>
      </c>
      <c r="P45" s="41">
        <f t="shared" si="8"/>
        <v>0</v>
      </c>
      <c r="Q45" s="41">
        <f t="shared" si="8"/>
        <v>0</v>
      </c>
      <c r="R45" s="41">
        <f t="shared" si="8"/>
        <v>0</v>
      </c>
      <c r="S45" s="41">
        <f t="shared" si="8"/>
        <v>0</v>
      </c>
      <c r="T45" s="41">
        <f t="shared" si="8"/>
        <v>0</v>
      </c>
      <c r="U45" s="41">
        <f t="shared" si="8"/>
        <v>0</v>
      </c>
      <c r="V45" s="41">
        <f t="shared" si="8"/>
        <v>0</v>
      </c>
      <c r="W45" s="41">
        <f t="shared" si="8"/>
        <v>0</v>
      </c>
      <c r="X45" s="41">
        <f t="shared" si="8"/>
        <v>0</v>
      </c>
      <c r="Y45" s="41">
        <f t="shared" si="8"/>
        <v>0</v>
      </c>
      <c r="Z45" s="41">
        <f t="shared" si="8"/>
        <v>0</v>
      </c>
      <c r="AA45" s="41">
        <f t="shared" si="8"/>
        <v>0</v>
      </c>
      <c r="AB45" s="41">
        <f t="shared" si="8"/>
        <v>0</v>
      </c>
      <c r="AC45" s="41">
        <f t="shared" si="8"/>
        <v>0</v>
      </c>
      <c r="AD45" s="41">
        <f t="shared" si="8"/>
        <v>0</v>
      </c>
      <c r="AE45" s="41">
        <f t="shared" si="8"/>
        <v>0</v>
      </c>
      <c r="AF45" s="41">
        <f t="shared" si="8"/>
        <v>0</v>
      </c>
      <c r="AG45" s="41">
        <f t="shared" si="8"/>
        <v>0</v>
      </c>
      <c r="AH45" s="41">
        <f t="shared" si="8"/>
        <v>0</v>
      </c>
      <c r="AI45" s="41">
        <f t="shared" si="8"/>
        <v>0</v>
      </c>
      <c r="AJ45" s="41">
        <f t="shared" ref="AJ45:AV45" si="9">AI48</f>
        <v>0</v>
      </c>
      <c r="AK45" s="41">
        <f t="shared" si="9"/>
        <v>0</v>
      </c>
      <c r="AL45" s="41">
        <f t="shared" si="9"/>
        <v>0</v>
      </c>
      <c r="AM45" s="41">
        <f t="shared" si="9"/>
        <v>0</v>
      </c>
      <c r="AN45" s="41">
        <f t="shared" si="9"/>
        <v>0</v>
      </c>
      <c r="AO45" s="41">
        <f t="shared" si="9"/>
        <v>0</v>
      </c>
      <c r="AP45" s="41">
        <f t="shared" si="9"/>
        <v>0</v>
      </c>
      <c r="AQ45" s="41">
        <f t="shared" si="9"/>
        <v>0</v>
      </c>
      <c r="AR45" s="41">
        <f t="shared" si="9"/>
        <v>0</v>
      </c>
      <c r="AS45" s="41">
        <f t="shared" si="9"/>
        <v>0</v>
      </c>
      <c r="AT45" s="41">
        <f t="shared" si="9"/>
        <v>0</v>
      </c>
      <c r="AU45" s="41">
        <f t="shared" si="9"/>
        <v>0</v>
      </c>
      <c r="AV45" s="41">
        <f t="shared" si="9"/>
        <v>0</v>
      </c>
    </row>
    <row r="46" spans="1:49">
      <c r="B46" s="2" t="s">
        <v>283</v>
      </c>
      <c r="C46" s="15" t="str">
        <f>$C$34</f>
        <v>US$</v>
      </c>
      <c r="D46" s="42">
        <f>SUM(I46:AI46)</f>
        <v>0</v>
      </c>
      <c r="I46" s="41">
        <f>I41*I31</f>
        <v>0</v>
      </c>
      <c r="J46" s="41">
        <f t="shared" ref="J46:AI46" si="10">J41*J31</f>
        <v>0</v>
      </c>
      <c r="K46" s="41">
        <f t="shared" si="10"/>
        <v>0</v>
      </c>
      <c r="L46" s="41">
        <f t="shared" si="10"/>
        <v>0</v>
      </c>
      <c r="M46" s="41">
        <f t="shared" si="10"/>
        <v>0</v>
      </c>
      <c r="N46" s="41">
        <f t="shared" si="10"/>
        <v>0</v>
      </c>
      <c r="O46" s="41">
        <f t="shared" si="10"/>
        <v>0</v>
      </c>
      <c r="P46" s="41">
        <f t="shared" si="10"/>
        <v>0</v>
      </c>
      <c r="Q46" s="41">
        <f t="shared" si="10"/>
        <v>0</v>
      </c>
      <c r="R46" s="41">
        <f t="shared" si="10"/>
        <v>0</v>
      </c>
      <c r="S46" s="41">
        <f t="shared" si="10"/>
        <v>0</v>
      </c>
      <c r="T46" s="41">
        <f t="shared" si="10"/>
        <v>0</v>
      </c>
      <c r="U46" s="41">
        <f t="shared" si="10"/>
        <v>0</v>
      </c>
      <c r="V46" s="41">
        <f t="shared" si="10"/>
        <v>0</v>
      </c>
      <c r="W46" s="41">
        <f t="shared" si="10"/>
        <v>0</v>
      </c>
      <c r="X46" s="41">
        <f t="shared" si="10"/>
        <v>0</v>
      </c>
      <c r="Y46" s="41">
        <f t="shared" si="10"/>
        <v>0</v>
      </c>
      <c r="Z46" s="41">
        <f t="shared" si="10"/>
        <v>0</v>
      </c>
      <c r="AA46" s="41">
        <f t="shared" si="10"/>
        <v>0</v>
      </c>
      <c r="AB46" s="41">
        <f t="shared" si="10"/>
        <v>0</v>
      </c>
      <c r="AC46" s="41">
        <f t="shared" si="10"/>
        <v>0</v>
      </c>
      <c r="AD46" s="41">
        <f t="shared" si="10"/>
        <v>0</v>
      </c>
      <c r="AE46" s="41">
        <f t="shared" si="10"/>
        <v>0</v>
      </c>
      <c r="AF46" s="41">
        <f t="shared" si="10"/>
        <v>0</v>
      </c>
      <c r="AG46" s="41">
        <f t="shared" si="10"/>
        <v>0</v>
      </c>
      <c r="AH46" s="41">
        <f t="shared" si="10"/>
        <v>0</v>
      </c>
      <c r="AI46" s="41">
        <f t="shared" si="10"/>
        <v>0</v>
      </c>
      <c r="AJ46" s="41">
        <f t="shared" ref="AJ46:AV46" si="11">AJ41*AJ31</f>
        <v>0</v>
      </c>
      <c r="AK46" s="41">
        <f t="shared" si="11"/>
        <v>0</v>
      </c>
      <c r="AL46" s="41">
        <f t="shared" si="11"/>
        <v>0</v>
      </c>
      <c r="AM46" s="41">
        <f t="shared" si="11"/>
        <v>0</v>
      </c>
      <c r="AN46" s="41">
        <f t="shared" si="11"/>
        <v>0</v>
      </c>
      <c r="AO46" s="41">
        <f t="shared" si="11"/>
        <v>0</v>
      </c>
      <c r="AP46" s="41">
        <f t="shared" si="11"/>
        <v>0</v>
      </c>
      <c r="AQ46" s="41">
        <f t="shared" si="11"/>
        <v>0</v>
      </c>
      <c r="AR46" s="41">
        <f t="shared" si="11"/>
        <v>0</v>
      </c>
      <c r="AS46" s="41">
        <f t="shared" si="11"/>
        <v>0</v>
      </c>
      <c r="AT46" s="41">
        <f t="shared" si="11"/>
        <v>0</v>
      </c>
      <c r="AU46" s="41">
        <f t="shared" si="11"/>
        <v>0</v>
      </c>
      <c r="AV46" s="41">
        <f t="shared" si="11"/>
        <v>0</v>
      </c>
    </row>
    <row r="47" spans="1:49">
      <c r="B47" s="27" t="s">
        <v>284</v>
      </c>
      <c r="C47" s="28" t="str">
        <f>$C$34</f>
        <v>US$</v>
      </c>
      <c r="D47" s="108">
        <f>SUM(I47:AI47)</f>
        <v>0</v>
      </c>
      <c r="E47" s="27"/>
      <c r="F47" s="27"/>
      <c r="G47" s="27"/>
      <c r="H47" s="27"/>
      <c r="I47" s="43">
        <f t="shared" ref="I47:AI47" si="12">I48-SUM(I45:I46)</f>
        <v>0</v>
      </c>
      <c r="J47" s="43">
        <f t="shared" si="12"/>
        <v>0</v>
      </c>
      <c r="K47" s="43">
        <f t="shared" si="12"/>
        <v>0</v>
      </c>
      <c r="L47" s="43">
        <f t="shared" si="12"/>
        <v>0</v>
      </c>
      <c r="M47" s="43">
        <f t="shared" si="12"/>
        <v>0</v>
      </c>
      <c r="N47" s="43">
        <f t="shared" si="12"/>
        <v>0</v>
      </c>
      <c r="O47" s="43">
        <f t="shared" si="12"/>
        <v>0</v>
      </c>
      <c r="P47" s="43">
        <f t="shared" si="12"/>
        <v>0</v>
      </c>
      <c r="Q47" s="43">
        <f t="shared" si="12"/>
        <v>0</v>
      </c>
      <c r="R47" s="43">
        <f t="shared" si="12"/>
        <v>0</v>
      </c>
      <c r="S47" s="43">
        <f t="shared" si="12"/>
        <v>0</v>
      </c>
      <c r="T47" s="43">
        <f t="shared" si="12"/>
        <v>0</v>
      </c>
      <c r="U47" s="43">
        <f t="shared" si="12"/>
        <v>0</v>
      </c>
      <c r="V47" s="43">
        <f t="shared" si="12"/>
        <v>0</v>
      </c>
      <c r="W47" s="43">
        <f t="shared" si="12"/>
        <v>0</v>
      </c>
      <c r="X47" s="43">
        <f t="shared" si="12"/>
        <v>0</v>
      </c>
      <c r="Y47" s="43">
        <f t="shared" si="12"/>
        <v>0</v>
      </c>
      <c r="Z47" s="43">
        <f t="shared" si="12"/>
        <v>0</v>
      </c>
      <c r="AA47" s="43">
        <f t="shared" si="12"/>
        <v>0</v>
      </c>
      <c r="AB47" s="43">
        <f t="shared" si="12"/>
        <v>0</v>
      </c>
      <c r="AC47" s="43">
        <f t="shared" si="12"/>
        <v>0</v>
      </c>
      <c r="AD47" s="43">
        <f t="shared" si="12"/>
        <v>0</v>
      </c>
      <c r="AE47" s="43">
        <f t="shared" si="12"/>
        <v>0</v>
      </c>
      <c r="AF47" s="43">
        <f t="shared" si="12"/>
        <v>0</v>
      </c>
      <c r="AG47" s="43">
        <f t="shared" si="12"/>
        <v>0</v>
      </c>
      <c r="AH47" s="43">
        <f t="shared" si="12"/>
        <v>0</v>
      </c>
      <c r="AI47" s="43">
        <f t="shared" si="12"/>
        <v>0</v>
      </c>
      <c r="AJ47" s="43">
        <f t="shared" ref="AJ47:AV47" si="13">AJ48-SUM(AJ45:AJ46)</f>
        <v>0</v>
      </c>
      <c r="AK47" s="43">
        <f t="shared" si="13"/>
        <v>0</v>
      </c>
      <c r="AL47" s="43">
        <f t="shared" si="13"/>
        <v>0</v>
      </c>
      <c r="AM47" s="43">
        <f t="shared" si="13"/>
        <v>0</v>
      </c>
      <c r="AN47" s="43">
        <f t="shared" si="13"/>
        <v>0</v>
      </c>
      <c r="AO47" s="43">
        <f t="shared" si="13"/>
        <v>0</v>
      </c>
      <c r="AP47" s="43">
        <f t="shared" si="13"/>
        <v>0</v>
      </c>
      <c r="AQ47" s="43">
        <f t="shared" si="13"/>
        <v>0</v>
      </c>
      <c r="AR47" s="43">
        <f t="shared" si="13"/>
        <v>0</v>
      </c>
      <c r="AS47" s="43">
        <f t="shared" si="13"/>
        <v>0</v>
      </c>
      <c r="AT47" s="43">
        <f t="shared" si="13"/>
        <v>0</v>
      </c>
      <c r="AU47" s="43">
        <f t="shared" si="13"/>
        <v>0</v>
      </c>
      <c r="AV47" s="43">
        <f t="shared" si="13"/>
        <v>0</v>
      </c>
    </row>
    <row r="48" spans="1:49">
      <c r="B48" s="2" t="s">
        <v>266</v>
      </c>
      <c r="C48" s="15" t="str">
        <f>$C$34</f>
        <v>US$</v>
      </c>
      <c r="H48" s="151"/>
      <c r="I48" s="41">
        <f>I41</f>
        <v>0</v>
      </c>
      <c r="J48" s="41">
        <f>J41</f>
        <v>0</v>
      </c>
      <c r="K48" s="41">
        <f t="shared" ref="K48:AV48" si="14">K41</f>
        <v>0</v>
      </c>
      <c r="L48" s="41">
        <f t="shared" si="14"/>
        <v>0</v>
      </c>
      <c r="M48" s="41">
        <f t="shared" si="14"/>
        <v>0</v>
      </c>
      <c r="N48" s="41">
        <f t="shared" si="14"/>
        <v>0</v>
      </c>
      <c r="O48" s="41">
        <f t="shared" si="14"/>
        <v>0</v>
      </c>
      <c r="P48" s="41">
        <f t="shared" si="14"/>
        <v>0</v>
      </c>
      <c r="Q48" s="41">
        <f t="shared" si="14"/>
        <v>0</v>
      </c>
      <c r="R48" s="41">
        <f t="shared" si="14"/>
        <v>0</v>
      </c>
      <c r="S48" s="41">
        <f t="shared" si="14"/>
        <v>0</v>
      </c>
      <c r="T48" s="41">
        <f t="shared" si="14"/>
        <v>0</v>
      </c>
      <c r="U48" s="41">
        <f t="shared" si="14"/>
        <v>0</v>
      </c>
      <c r="V48" s="41">
        <f t="shared" si="14"/>
        <v>0</v>
      </c>
      <c r="W48" s="41">
        <f t="shared" si="14"/>
        <v>0</v>
      </c>
      <c r="X48" s="41">
        <f t="shared" si="14"/>
        <v>0</v>
      </c>
      <c r="Y48" s="41">
        <f t="shared" si="14"/>
        <v>0</v>
      </c>
      <c r="Z48" s="41">
        <f t="shared" si="14"/>
        <v>0</v>
      </c>
      <c r="AA48" s="41">
        <f t="shared" si="14"/>
        <v>0</v>
      </c>
      <c r="AB48" s="41">
        <f t="shared" si="14"/>
        <v>0</v>
      </c>
      <c r="AC48" s="41">
        <f t="shared" si="14"/>
        <v>0</v>
      </c>
      <c r="AD48" s="41">
        <f t="shared" si="14"/>
        <v>0</v>
      </c>
      <c r="AE48" s="41">
        <f t="shared" si="14"/>
        <v>0</v>
      </c>
      <c r="AF48" s="41">
        <f t="shared" si="14"/>
        <v>0</v>
      </c>
      <c r="AG48" s="41">
        <f t="shared" si="14"/>
        <v>0</v>
      </c>
      <c r="AH48" s="41">
        <f t="shared" si="14"/>
        <v>0</v>
      </c>
      <c r="AI48" s="41">
        <f t="shared" si="14"/>
        <v>0</v>
      </c>
      <c r="AJ48" s="41">
        <f t="shared" si="14"/>
        <v>0</v>
      </c>
      <c r="AK48" s="41">
        <f t="shared" si="14"/>
        <v>0</v>
      </c>
      <c r="AL48" s="41">
        <f t="shared" si="14"/>
        <v>0</v>
      </c>
      <c r="AM48" s="41">
        <f t="shared" si="14"/>
        <v>0</v>
      </c>
      <c r="AN48" s="41">
        <f t="shared" si="14"/>
        <v>0</v>
      </c>
      <c r="AO48" s="41">
        <f t="shared" si="14"/>
        <v>0</v>
      </c>
      <c r="AP48" s="41">
        <f t="shared" si="14"/>
        <v>0</v>
      </c>
      <c r="AQ48" s="41">
        <f t="shared" si="14"/>
        <v>0</v>
      </c>
      <c r="AR48" s="41">
        <f t="shared" si="14"/>
        <v>0</v>
      </c>
      <c r="AS48" s="41">
        <f t="shared" si="14"/>
        <v>0</v>
      </c>
      <c r="AT48" s="41">
        <f t="shared" si="14"/>
        <v>0</v>
      </c>
      <c r="AU48" s="41">
        <f t="shared" si="14"/>
        <v>0</v>
      </c>
      <c r="AV48" s="41">
        <f t="shared" si="14"/>
        <v>0</v>
      </c>
    </row>
    <row r="50" spans="1:48">
      <c r="A50" s="6" t="s">
        <v>310</v>
      </c>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row>
    <row r="51" spans="1:48">
      <c r="B51" s="10"/>
    </row>
    <row r="52" spans="1:48">
      <c r="B52" s="2" t="s">
        <v>311</v>
      </c>
      <c r="C52" s="15" t="s">
        <v>60</v>
      </c>
      <c r="D52" s="42">
        <f>SUM(I52:AI52)</f>
        <v>7</v>
      </c>
      <c r="I52" s="159">
        <f t="shared" ref="I52:X53" si="15">I29</f>
        <v>0</v>
      </c>
      <c r="J52" s="159">
        <f t="shared" si="15"/>
        <v>0</v>
      </c>
      <c r="K52" s="159">
        <f t="shared" si="15"/>
        <v>0</v>
      </c>
      <c r="L52" s="159">
        <f t="shared" si="15"/>
        <v>1</v>
      </c>
      <c r="M52" s="159">
        <f t="shared" si="15"/>
        <v>1</v>
      </c>
      <c r="N52" s="159">
        <f t="shared" si="15"/>
        <v>1</v>
      </c>
      <c r="O52" s="159">
        <f>O29</f>
        <v>1</v>
      </c>
      <c r="P52" s="159">
        <f t="shared" si="15"/>
        <v>1</v>
      </c>
      <c r="Q52" s="159">
        <f t="shared" si="15"/>
        <v>1</v>
      </c>
      <c r="R52" s="159">
        <f t="shared" si="15"/>
        <v>1</v>
      </c>
      <c r="S52" s="159">
        <f t="shared" si="15"/>
        <v>0</v>
      </c>
      <c r="T52" s="159">
        <f t="shared" si="15"/>
        <v>0</v>
      </c>
      <c r="U52" s="159">
        <f t="shared" si="15"/>
        <v>0</v>
      </c>
      <c r="V52" s="159">
        <f t="shared" si="15"/>
        <v>0</v>
      </c>
      <c r="W52" s="159">
        <f t="shared" si="15"/>
        <v>0</v>
      </c>
      <c r="X52" s="159">
        <f t="shared" si="15"/>
        <v>0</v>
      </c>
      <c r="Y52" s="159">
        <f t="shared" ref="J52:AI53" si="16">Y29</f>
        <v>0</v>
      </c>
      <c r="Z52" s="159">
        <f t="shared" si="16"/>
        <v>0</v>
      </c>
      <c r="AA52" s="159">
        <f t="shared" si="16"/>
        <v>0</v>
      </c>
      <c r="AB52" s="159">
        <f t="shared" si="16"/>
        <v>0</v>
      </c>
      <c r="AC52" s="159">
        <f t="shared" si="16"/>
        <v>0</v>
      </c>
      <c r="AD52" s="159">
        <f t="shared" si="16"/>
        <v>0</v>
      </c>
      <c r="AE52" s="159">
        <f t="shared" si="16"/>
        <v>0</v>
      </c>
      <c r="AF52" s="159">
        <f t="shared" si="16"/>
        <v>0</v>
      </c>
      <c r="AG52" s="159">
        <f t="shared" si="16"/>
        <v>0</v>
      </c>
      <c r="AH52" s="159">
        <f t="shared" si="16"/>
        <v>0</v>
      </c>
      <c r="AI52" s="159">
        <f t="shared" si="16"/>
        <v>0</v>
      </c>
      <c r="AJ52" s="159">
        <f t="shared" ref="AJ52:AV52" si="17">AJ29</f>
        <v>0</v>
      </c>
      <c r="AK52" s="159">
        <f t="shared" si="17"/>
        <v>0</v>
      </c>
      <c r="AL52" s="159">
        <f t="shared" si="17"/>
        <v>0</v>
      </c>
      <c r="AM52" s="159">
        <f t="shared" si="17"/>
        <v>0</v>
      </c>
      <c r="AN52" s="159">
        <f t="shared" si="17"/>
        <v>0</v>
      </c>
      <c r="AO52" s="159">
        <f t="shared" si="17"/>
        <v>0</v>
      </c>
      <c r="AP52" s="159">
        <f t="shared" si="17"/>
        <v>0</v>
      </c>
      <c r="AQ52" s="159">
        <f t="shared" si="17"/>
        <v>0</v>
      </c>
      <c r="AR52" s="159">
        <f t="shared" si="17"/>
        <v>0</v>
      </c>
      <c r="AS52" s="159">
        <f t="shared" si="17"/>
        <v>0</v>
      </c>
      <c r="AT52" s="159">
        <f t="shared" si="17"/>
        <v>0</v>
      </c>
      <c r="AU52" s="159">
        <f t="shared" si="17"/>
        <v>0</v>
      </c>
      <c r="AV52" s="159">
        <f t="shared" si="17"/>
        <v>0</v>
      </c>
    </row>
    <row r="53" spans="1:48">
      <c r="B53" s="2" t="s">
        <v>108</v>
      </c>
      <c r="C53" s="15" t="s">
        <v>60</v>
      </c>
      <c r="D53" s="42">
        <f>SUM(I53:AI53)</f>
        <v>1</v>
      </c>
      <c r="I53" s="159">
        <f t="shared" si="15"/>
        <v>0</v>
      </c>
      <c r="J53" s="159">
        <f t="shared" si="16"/>
        <v>0</v>
      </c>
      <c r="K53" s="159">
        <f t="shared" si="16"/>
        <v>0</v>
      </c>
      <c r="L53" s="159">
        <f t="shared" si="16"/>
        <v>0</v>
      </c>
      <c r="M53" s="159">
        <f t="shared" si="16"/>
        <v>0</v>
      </c>
      <c r="N53" s="159">
        <f t="shared" si="16"/>
        <v>0</v>
      </c>
      <c r="O53" s="159">
        <f t="shared" si="16"/>
        <v>0</v>
      </c>
      <c r="P53" s="159">
        <f t="shared" si="16"/>
        <v>0</v>
      </c>
      <c r="Q53" s="159">
        <f t="shared" si="16"/>
        <v>0</v>
      </c>
      <c r="R53" s="159">
        <f t="shared" si="16"/>
        <v>1</v>
      </c>
      <c r="S53" s="159">
        <f t="shared" si="16"/>
        <v>0</v>
      </c>
      <c r="T53" s="159">
        <f t="shared" si="16"/>
        <v>0</v>
      </c>
      <c r="U53" s="159">
        <f t="shared" si="16"/>
        <v>0</v>
      </c>
      <c r="V53" s="159">
        <f t="shared" si="16"/>
        <v>0</v>
      </c>
      <c r="W53" s="159">
        <f t="shared" si="16"/>
        <v>0</v>
      </c>
      <c r="X53" s="159">
        <f t="shared" si="16"/>
        <v>0</v>
      </c>
      <c r="Y53" s="159">
        <f t="shared" si="16"/>
        <v>0</v>
      </c>
      <c r="Z53" s="159">
        <f t="shared" si="16"/>
        <v>0</v>
      </c>
      <c r="AA53" s="159">
        <f t="shared" si="16"/>
        <v>0</v>
      </c>
      <c r="AB53" s="159">
        <f t="shared" si="16"/>
        <v>0</v>
      </c>
      <c r="AC53" s="159">
        <f t="shared" si="16"/>
        <v>0</v>
      </c>
      <c r="AD53" s="159">
        <f t="shared" si="16"/>
        <v>0</v>
      </c>
      <c r="AE53" s="159">
        <f t="shared" si="16"/>
        <v>0</v>
      </c>
      <c r="AF53" s="159">
        <f t="shared" si="16"/>
        <v>0</v>
      </c>
      <c r="AG53" s="159">
        <f t="shared" si="16"/>
        <v>0</v>
      </c>
      <c r="AH53" s="159">
        <f t="shared" si="16"/>
        <v>0</v>
      </c>
      <c r="AI53" s="159">
        <f t="shared" si="16"/>
        <v>0</v>
      </c>
      <c r="AJ53" s="159">
        <f t="shared" ref="AJ53:AV53" si="18">AJ30</f>
        <v>0</v>
      </c>
      <c r="AK53" s="159">
        <f t="shared" si="18"/>
        <v>0</v>
      </c>
      <c r="AL53" s="159">
        <f t="shared" si="18"/>
        <v>0</v>
      </c>
      <c r="AM53" s="159">
        <f t="shared" si="18"/>
        <v>0</v>
      </c>
      <c r="AN53" s="159">
        <f t="shared" si="18"/>
        <v>0</v>
      </c>
      <c r="AO53" s="159">
        <f t="shared" si="18"/>
        <v>0</v>
      </c>
      <c r="AP53" s="159">
        <f t="shared" si="18"/>
        <v>0</v>
      </c>
      <c r="AQ53" s="159">
        <f t="shared" si="18"/>
        <v>0</v>
      </c>
      <c r="AR53" s="159">
        <f t="shared" si="18"/>
        <v>0</v>
      </c>
      <c r="AS53" s="159">
        <f t="shared" si="18"/>
        <v>0</v>
      </c>
      <c r="AT53" s="159">
        <f t="shared" si="18"/>
        <v>0</v>
      </c>
      <c r="AU53" s="159">
        <f t="shared" si="18"/>
        <v>0</v>
      </c>
      <c r="AV53" s="159">
        <f t="shared" si="18"/>
        <v>0</v>
      </c>
    </row>
    <row r="54" spans="1:48">
      <c r="B54" s="2" t="s">
        <v>182</v>
      </c>
      <c r="C54" s="15" t="s">
        <v>183</v>
      </c>
      <c r="D54" s="2">
        <f>'Input '!F349</f>
        <v>0</v>
      </c>
      <c r="I54" s="159">
        <f t="shared" ref="I54:AI54" si="19">$D$54*J52*I13</f>
        <v>0</v>
      </c>
      <c r="J54" s="159">
        <f t="shared" si="19"/>
        <v>0</v>
      </c>
      <c r="K54" s="159">
        <f t="shared" si="19"/>
        <v>0</v>
      </c>
      <c r="L54" s="159">
        <f t="shared" si="19"/>
        <v>0</v>
      </c>
      <c r="M54" s="159">
        <f t="shared" si="19"/>
        <v>0</v>
      </c>
      <c r="N54" s="159">
        <f t="shared" si="19"/>
        <v>0</v>
      </c>
      <c r="O54" s="159">
        <f t="shared" si="19"/>
        <v>0</v>
      </c>
      <c r="P54" s="159">
        <f t="shared" si="19"/>
        <v>0</v>
      </c>
      <c r="Q54" s="159">
        <f t="shared" si="19"/>
        <v>0</v>
      </c>
      <c r="R54" s="159">
        <f t="shared" si="19"/>
        <v>0</v>
      </c>
      <c r="S54" s="159">
        <f t="shared" si="19"/>
        <v>0</v>
      </c>
      <c r="T54" s="159">
        <f t="shared" si="19"/>
        <v>0</v>
      </c>
      <c r="U54" s="159">
        <f t="shared" si="19"/>
        <v>0</v>
      </c>
      <c r="V54" s="159">
        <f t="shared" si="19"/>
        <v>0</v>
      </c>
      <c r="W54" s="159">
        <f t="shared" si="19"/>
        <v>0</v>
      </c>
      <c r="X54" s="159">
        <f t="shared" si="19"/>
        <v>0</v>
      </c>
      <c r="Y54" s="159">
        <f t="shared" si="19"/>
        <v>0</v>
      </c>
      <c r="Z54" s="159">
        <f t="shared" si="19"/>
        <v>0</v>
      </c>
      <c r="AA54" s="159">
        <f t="shared" si="19"/>
        <v>0</v>
      </c>
      <c r="AB54" s="159">
        <f t="shared" si="19"/>
        <v>0</v>
      </c>
      <c r="AC54" s="159">
        <f t="shared" si="19"/>
        <v>0</v>
      </c>
      <c r="AD54" s="159">
        <f t="shared" si="19"/>
        <v>0</v>
      </c>
      <c r="AE54" s="159">
        <f t="shared" si="19"/>
        <v>0</v>
      </c>
      <c r="AF54" s="159">
        <f t="shared" si="19"/>
        <v>0</v>
      </c>
      <c r="AG54" s="159">
        <f t="shared" si="19"/>
        <v>0</v>
      </c>
      <c r="AH54" s="159">
        <f t="shared" si="19"/>
        <v>0</v>
      </c>
      <c r="AI54" s="159">
        <f t="shared" si="19"/>
        <v>0</v>
      </c>
      <c r="AJ54" s="159">
        <f t="shared" ref="AJ54:AV54" si="20">$D$54*AK52*AJ13</f>
        <v>0</v>
      </c>
      <c r="AK54" s="159">
        <f t="shared" si="20"/>
        <v>0</v>
      </c>
      <c r="AL54" s="159">
        <f t="shared" si="20"/>
        <v>0</v>
      </c>
      <c r="AM54" s="159">
        <f t="shared" si="20"/>
        <v>0</v>
      </c>
      <c r="AN54" s="159">
        <f t="shared" si="20"/>
        <v>0</v>
      </c>
      <c r="AO54" s="159">
        <f t="shared" si="20"/>
        <v>0</v>
      </c>
      <c r="AP54" s="159">
        <f t="shared" si="20"/>
        <v>0</v>
      </c>
      <c r="AQ54" s="159">
        <f t="shared" si="20"/>
        <v>0</v>
      </c>
      <c r="AR54" s="159">
        <f t="shared" si="20"/>
        <v>0</v>
      </c>
      <c r="AS54" s="159">
        <f t="shared" si="20"/>
        <v>0</v>
      </c>
      <c r="AT54" s="159">
        <f t="shared" si="20"/>
        <v>0</v>
      </c>
      <c r="AU54" s="159">
        <f t="shared" si="20"/>
        <v>0</v>
      </c>
      <c r="AV54" s="159">
        <f t="shared" si="20"/>
        <v>0</v>
      </c>
    </row>
    <row r="55" spans="1:48">
      <c r="B55" s="2" t="s">
        <v>312</v>
      </c>
      <c r="C55" s="15" t="s">
        <v>60</v>
      </c>
      <c r="D55" s="42">
        <f>SUM(I55:AI55)</f>
        <v>6</v>
      </c>
      <c r="I55" s="159">
        <f t="shared" ref="I55:AI55" si="21">MAX(I52,I54)*NOT(I53)</f>
        <v>0</v>
      </c>
      <c r="J55" s="159">
        <f t="shared" si="21"/>
        <v>0</v>
      </c>
      <c r="K55" s="159">
        <f t="shared" si="21"/>
        <v>0</v>
      </c>
      <c r="L55" s="159">
        <f t="shared" si="21"/>
        <v>1</v>
      </c>
      <c r="M55" s="159">
        <f t="shared" si="21"/>
        <v>1</v>
      </c>
      <c r="N55" s="159">
        <f t="shared" si="21"/>
        <v>1</v>
      </c>
      <c r="O55" s="159">
        <f>MAX(O52,O54)*NOT(O53)</f>
        <v>1</v>
      </c>
      <c r="P55" s="159">
        <f t="shared" si="21"/>
        <v>1</v>
      </c>
      <c r="Q55" s="159">
        <f t="shared" si="21"/>
        <v>1</v>
      </c>
      <c r="R55" s="159">
        <f t="shared" si="21"/>
        <v>0</v>
      </c>
      <c r="S55" s="159">
        <f t="shared" si="21"/>
        <v>0</v>
      </c>
      <c r="T55" s="159">
        <f t="shared" si="21"/>
        <v>0</v>
      </c>
      <c r="U55" s="159">
        <f t="shared" si="21"/>
        <v>0</v>
      </c>
      <c r="V55" s="159">
        <f t="shared" si="21"/>
        <v>0</v>
      </c>
      <c r="W55" s="159">
        <f t="shared" si="21"/>
        <v>0</v>
      </c>
      <c r="X55" s="159">
        <f t="shared" si="21"/>
        <v>0</v>
      </c>
      <c r="Y55" s="159">
        <f t="shared" si="21"/>
        <v>0</v>
      </c>
      <c r="Z55" s="159">
        <f t="shared" si="21"/>
        <v>0</v>
      </c>
      <c r="AA55" s="159">
        <f t="shared" si="21"/>
        <v>0</v>
      </c>
      <c r="AB55" s="159">
        <f t="shared" si="21"/>
        <v>0</v>
      </c>
      <c r="AC55" s="159">
        <f t="shared" si="21"/>
        <v>0</v>
      </c>
      <c r="AD55" s="159">
        <f t="shared" si="21"/>
        <v>0</v>
      </c>
      <c r="AE55" s="159">
        <f t="shared" si="21"/>
        <v>0</v>
      </c>
      <c r="AF55" s="159">
        <f t="shared" si="21"/>
        <v>0</v>
      </c>
      <c r="AG55" s="159">
        <f t="shared" si="21"/>
        <v>0</v>
      </c>
      <c r="AH55" s="159">
        <f t="shared" si="21"/>
        <v>0</v>
      </c>
      <c r="AI55" s="159">
        <f t="shared" si="21"/>
        <v>0</v>
      </c>
      <c r="AJ55" s="159">
        <f t="shared" ref="AJ55:AV55" si="22">MAX(AJ52,AJ54)*NOT(AJ53)</f>
        <v>0</v>
      </c>
      <c r="AK55" s="159">
        <f t="shared" si="22"/>
        <v>0</v>
      </c>
      <c r="AL55" s="159">
        <f t="shared" si="22"/>
        <v>0</v>
      </c>
      <c r="AM55" s="159">
        <f t="shared" si="22"/>
        <v>0</v>
      </c>
      <c r="AN55" s="159">
        <f t="shared" si="22"/>
        <v>0</v>
      </c>
      <c r="AO55" s="159">
        <f t="shared" si="22"/>
        <v>0</v>
      </c>
      <c r="AP55" s="159">
        <f t="shared" si="22"/>
        <v>0</v>
      </c>
      <c r="AQ55" s="159">
        <f t="shared" si="22"/>
        <v>0</v>
      </c>
      <c r="AR55" s="159">
        <f t="shared" si="22"/>
        <v>0</v>
      </c>
      <c r="AS55" s="159">
        <f t="shared" si="22"/>
        <v>0</v>
      </c>
      <c r="AT55" s="159">
        <f t="shared" si="22"/>
        <v>0</v>
      </c>
      <c r="AU55" s="159">
        <f t="shared" si="22"/>
        <v>0</v>
      </c>
      <c r="AV55" s="159">
        <f t="shared" si="22"/>
        <v>0</v>
      </c>
    </row>
    <row r="56" spans="1:48">
      <c r="A56" s="12"/>
      <c r="B56" s="2" t="s">
        <v>313</v>
      </c>
      <c r="C56" s="15" t="s">
        <v>20</v>
      </c>
      <c r="D56" s="2">
        <f>'Input '!F348</f>
        <v>0</v>
      </c>
    </row>
    <row r="58" spans="1:48">
      <c r="B58" s="2" t="s">
        <v>314</v>
      </c>
      <c r="C58" s="15" t="str">
        <f>$C$34</f>
        <v>US$</v>
      </c>
      <c r="I58" s="41">
        <f>'O&amp;M Costs'!I271</f>
        <v>0</v>
      </c>
      <c r="J58" s="41">
        <f>'O&amp;M Costs'!J271</f>
        <v>0</v>
      </c>
      <c r="K58" s="41">
        <f>'O&amp;M Costs'!K271</f>
        <v>0</v>
      </c>
      <c r="L58" s="41">
        <f ca="1">'O&amp;M Costs'!L271</f>
        <v>0</v>
      </c>
      <c r="M58" s="41">
        <f ca="1">'O&amp;M Costs'!M271</f>
        <v>0</v>
      </c>
      <c r="N58" s="41">
        <f ca="1">'O&amp;M Costs'!N271</f>
        <v>0</v>
      </c>
      <c r="O58" s="41">
        <f ca="1">'O&amp;M Costs'!O271</f>
        <v>0</v>
      </c>
      <c r="P58" s="41">
        <f ca="1">'O&amp;M Costs'!P271</f>
        <v>0</v>
      </c>
      <c r="Q58" s="41">
        <f ca="1">'O&amp;M Costs'!Q271</f>
        <v>0</v>
      </c>
      <c r="R58" s="41">
        <f ca="1">'O&amp;M Costs'!R271</f>
        <v>0</v>
      </c>
      <c r="S58" s="41">
        <f ca="1">'O&amp;M Costs'!S271</f>
        <v>0</v>
      </c>
      <c r="T58" s="41">
        <f ca="1">'O&amp;M Costs'!T271</f>
        <v>0</v>
      </c>
      <c r="U58" s="41">
        <f ca="1">'O&amp;M Costs'!U271</f>
        <v>0</v>
      </c>
      <c r="V58" s="41">
        <f ca="1">'O&amp;M Costs'!V271</f>
        <v>0</v>
      </c>
      <c r="W58" s="41">
        <f ca="1">'O&amp;M Costs'!W271</f>
        <v>0</v>
      </c>
      <c r="X58" s="41">
        <f ca="1">'O&amp;M Costs'!X271</f>
        <v>0</v>
      </c>
      <c r="Y58" s="41">
        <f ca="1">'O&amp;M Costs'!Y271</f>
        <v>0</v>
      </c>
      <c r="Z58" s="41">
        <f ca="1">'O&amp;M Costs'!Z271</f>
        <v>0</v>
      </c>
      <c r="AA58" s="41">
        <f ca="1">'O&amp;M Costs'!AA271</f>
        <v>0</v>
      </c>
      <c r="AB58" s="41">
        <f ca="1">'O&amp;M Costs'!AB271</f>
        <v>0</v>
      </c>
      <c r="AC58" s="41">
        <f ca="1">'O&amp;M Costs'!AC271</f>
        <v>0</v>
      </c>
      <c r="AD58" s="41">
        <f ca="1">'O&amp;M Costs'!AD271</f>
        <v>0</v>
      </c>
      <c r="AE58" s="41">
        <f ca="1">'O&amp;M Costs'!AE271</f>
        <v>0</v>
      </c>
      <c r="AF58" s="41">
        <f ca="1">'O&amp;M Costs'!AF271</f>
        <v>0</v>
      </c>
      <c r="AG58" s="41">
        <f ca="1">'O&amp;M Costs'!AG271</f>
        <v>0</v>
      </c>
      <c r="AH58" s="41">
        <f ca="1">'O&amp;M Costs'!AH271</f>
        <v>0</v>
      </c>
      <c r="AI58" s="41">
        <f ca="1">'O&amp;M Costs'!AI271</f>
        <v>0</v>
      </c>
    </row>
    <row r="59" spans="1:48">
      <c r="B59" s="2" t="s">
        <v>315</v>
      </c>
      <c r="C59" s="15" t="str">
        <f>$C$34</f>
        <v>US$</v>
      </c>
      <c r="I59" s="41">
        <f ca="1">CF!I24+I73</f>
        <v>0</v>
      </c>
      <c r="J59" s="41">
        <f ca="1">CF!J24+J73</f>
        <v>-132913371.73613448</v>
      </c>
      <c r="K59" s="41">
        <f ca="1">CF!K24+K73</f>
        <v>632979160.75820112</v>
      </c>
      <c r="L59" s="41">
        <f ca="1">CF!L24+L73</f>
        <v>400522681.1728363</v>
      </c>
      <c r="M59" s="41">
        <f ca="1">CF!M24+M73</f>
        <v>637170363.89615703</v>
      </c>
      <c r="N59" s="41">
        <f ca="1">CF!N24+N73</f>
        <v>637790714.93315852</v>
      </c>
      <c r="O59" s="41">
        <f ca="1">CF!O24+O73</f>
        <v>764050013.53653836</v>
      </c>
      <c r="P59" s="41">
        <f ca="1">CF!P24+P73</f>
        <v>883250661.19559181</v>
      </c>
      <c r="Q59" s="41">
        <f ca="1">CF!Q24+Q73</f>
        <v>1004026479.5966463</v>
      </c>
      <c r="R59" s="41">
        <f ca="1">CF!R24+R73</f>
        <v>867476193.08027482</v>
      </c>
      <c r="S59" s="41">
        <f ca="1">CF!S24+S73</f>
        <v>1283070151.1751375</v>
      </c>
      <c r="T59" s="41">
        <f ca="1">CF!T24+T73</f>
        <v>1361126777.7746472</v>
      </c>
      <c r="U59" s="41">
        <f ca="1">CF!U24+U73</f>
        <v>1442257475.690588</v>
      </c>
      <c r="V59" s="41">
        <f ca="1">CF!V24+V73</f>
        <v>1528178348.3972325</v>
      </c>
      <c r="W59" s="41">
        <f ca="1">CF!W24+W73</f>
        <v>1616160258.3257608</v>
      </c>
      <c r="X59" s="41">
        <f ca="1">CF!X24+X73</f>
        <v>1235546330.5832512</v>
      </c>
      <c r="Y59" s="41">
        <f ca="1">CF!Y24+Y73</f>
        <v>1172655466.6061137</v>
      </c>
      <c r="Z59" s="41">
        <f ca="1">CF!Z24+Z73</f>
        <v>1209196930.2893116</v>
      </c>
      <c r="AA59" s="41">
        <f ca="1">CF!AA24+AA73</f>
        <v>1245685425.722734</v>
      </c>
      <c r="AB59" s="41">
        <f ca="1">CF!AB24+AB73</f>
        <v>1285172638.6101649</v>
      </c>
      <c r="AC59" s="41">
        <f ca="1">CF!AC24+AC73</f>
        <v>1325847448.789845</v>
      </c>
      <c r="AD59" s="41">
        <f ca="1">CF!AD24+AD73</f>
        <v>1368791499.13083</v>
      </c>
      <c r="AE59" s="41">
        <f ca="1">CF!AE24+AE73</f>
        <v>1411363588.111443</v>
      </c>
      <c r="AF59" s="41">
        <f ca="1">CF!AF24+AF73</f>
        <v>1457366133.1732535</v>
      </c>
      <c r="AG59" s="41">
        <f ca="1">CF!AG24+AG73</f>
        <v>1504464392.6556954</v>
      </c>
      <c r="AH59" s="41">
        <f ca="1">CF!AH24+AH73</f>
        <v>1553913969.7623825</v>
      </c>
      <c r="AI59" s="41">
        <f ca="1">CF!AI24+AI73</f>
        <v>1602784955.700546</v>
      </c>
      <c r="AJ59" s="41">
        <f ca="1">CF!AJ24+AJ73</f>
        <v>1655357824.3929558</v>
      </c>
      <c r="AK59" s="41">
        <f ca="1">CF!AK24+AK73</f>
        <v>1729891184.7949376</v>
      </c>
      <c r="AL59" s="41">
        <f ca="1">CF!AL24+AL73</f>
        <v>2140969646.930531</v>
      </c>
      <c r="AM59" s="41">
        <f>CF!AM24+AM73</f>
        <v>0</v>
      </c>
      <c r="AN59" s="41">
        <f>CF!AN24+AN73</f>
        <v>0</v>
      </c>
      <c r="AO59" s="41">
        <f>CF!AO24+AO73</f>
        <v>0</v>
      </c>
      <c r="AP59" s="41">
        <f>CF!AP24+AP73</f>
        <v>0</v>
      </c>
      <c r="AQ59" s="41">
        <f>CF!AQ24+AQ73</f>
        <v>0</v>
      </c>
      <c r="AR59" s="41">
        <f>CF!AR24+AR73</f>
        <v>0</v>
      </c>
      <c r="AS59" s="41">
        <f>CF!AS24+AS73</f>
        <v>0</v>
      </c>
      <c r="AT59" s="41">
        <f>CF!AT24+AT73</f>
        <v>0</v>
      </c>
      <c r="AU59" s="41">
        <f>CF!AU24+AU73</f>
        <v>0</v>
      </c>
      <c r="AV59" s="41">
        <f>CF!AV24+AV73</f>
        <v>0</v>
      </c>
    </row>
    <row r="61" spans="1:48">
      <c r="B61" s="155" t="s">
        <v>316</v>
      </c>
    </row>
    <row r="62" spans="1:48">
      <c r="B62" s="156" t="s">
        <v>184</v>
      </c>
      <c r="D62" s="160" t="s">
        <v>319</v>
      </c>
    </row>
    <row r="63" spans="1:48">
      <c r="A63" s="12"/>
      <c r="B63" s="157">
        <v>1</v>
      </c>
      <c r="C63" s="15" t="s">
        <v>18</v>
      </c>
      <c r="D63" s="161" t="s">
        <v>319</v>
      </c>
      <c r="I63" s="150"/>
      <c r="J63" s="150"/>
      <c r="K63" s="150"/>
      <c r="L63" s="150"/>
      <c r="M63" s="150"/>
      <c r="N63" s="150"/>
      <c r="O63" s="150"/>
      <c r="P63" s="150"/>
      <c r="Q63" s="150"/>
      <c r="R63" s="150"/>
      <c r="S63" s="150"/>
      <c r="T63" s="150"/>
      <c r="U63" s="150"/>
      <c r="V63" s="150"/>
      <c r="W63" s="150"/>
      <c r="X63" s="150"/>
      <c r="Y63" s="150"/>
      <c r="Z63" s="150"/>
      <c r="AA63" s="150"/>
      <c r="AB63" s="150"/>
      <c r="AC63" s="150"/>
      <c r="AD63" s="150"/>
      <c r="AE63" s="150"/>
      <c r="AF63" s="150"/>
      <c r="AG63" s="150"/>
      <c r="AH63" s="150"/>
      <c r="AI63" s="150"/>
    </row>
    <row r="64" spans="1:48">
      <c r="B64" s="157">
        <v>2</v>
      </c>
      <c r="C64" s="15" t="s">
        <v>18</v>
      </c>
      <c r="D64" s="161">
        <f>'Input '!F353</f>
        <v>0.75</v>
      </c>
      <c r="I64" s="150">
        <v>0</v>
      </c>
      <c r="J64" s="150">
        <v>0</v>
      </c>
      <c r="K64" s="150">
        <v>0</v>
      </c>
      <c r="L64" s="150">
        <v>0</v>
      </c>
      <c r="M64" s="150">
        <v>0</v>
      </c>
      <c r="N64" s="150">
        <v>0</v>
      </c>
      <c r="O64" s="150">
        <v>0</v>
      </c>
      <c r="P64" s="150">
        <v>0</v>
      </c>
      <c r="Q64" s="150">
        <v>0</v>
      </c>
      <c r="R64" s="150">
        <v>0</v>
      </c>
      <c r="S64" s="150">
        <v>0</v>
      </c>
      <c r="T64" s="150">
        <v>0</v>
      </c>
      <c r="U64" s="150">
        <v>0</v>
      </c>
      <c r="V64" s="150">
        <v>0</v>
      </c>
      <c r="W64" s="150">
        <v>0</v>
      </c>
      <c r="X64" s="150">
        <v>0</v>
      </c>
      <c r="Y64" s="150">
        <v>0</v>
      </c>
      <c r="Z64" s="150">
        <v>0</v>
      </c>
      <c r="AA64" s="150">
        <v>0</v>
      </c>
      <c r="AB64" s="150">
        <v>0</v>
      </c>
      <c r="AC64" s="150">
        <v>0</v>
      </c>
      <c r="AD64" s="150">
        <v>0</v>
      </c>
      <c r="AE64" s="150">
        <v>0</v>
      </c>
      <c r="AF64" s="150">
        <v>0</v>
      </c>
      <c r="AG64" s="150">
        <v>0</v>
      </c>
      <c r="AH64" s="150">
        <v>0</v>
      </c>
      <c r="AI64" s="150">
        <v>0</v>
      </c>
      <c r="AJ64" s="150">
        <v>0</v>
      </c>
      <c r="AK64" s="150">
        <v>0</v>
      </c>
      <c r="AL64" s="150">
        <v>0</v>
      </c>
      <c r="AM64" s="150">
        <v>0</v>
      </c>
      <c r="AN64" s="150">
        <v>0</v>
      </c>
      <c r="AO64" s="150">
        <v>0</v>
      </c>
      <c r="AP64" s="150">
        <v>0</v>
      </c>
      <c r="AQ64" s="150">
        <v>0</v>
      </c>
      <c r="AR64" s="150">
        <v>0</v>
      </c>
      <c r="AS64" s="150">
        <v>0</v>
      </c>
      <c r="AT64" s="150">
        <v>0</v>
      </c>
      <c r="AU64" s="150">
        <v>0</v>
      </c>
      <c r="AV64" s="150">
        <v>0</v>
      </c>
    </row>
    <row r="65" spans="1:48">
      <c r="B65" s="157">
        <v>3</v>
      </c>
      <c r="C65" s="15" t="s">
        <v>18</v>
      </c>
      <c r="D65" s="161">
        <f>'Input '!F354</f>
        <v>0.5</v>
      </c>
      <c r="I65" s="150">
        <v>0</v>
      </c>
      <c r="J65" s="150">
        <v>0</v>
      </c>
      <c r="K65" s="150">
        <v>0</v>
      </c>
      <c r="L65" s="150">
        <v>0</v>
      </c>
      <c r="M65" s="150">
        <v>0</v>
      </c>
      <c r="N65" s="150">
        <v>0</v>
      </c>
      <c r="O65" s="150">
        <v>0</v>
      </c>
      <c r="P65" s="150">
        <v>0</v>
      </c>
      <c r="Q65" s="150">
        <v>0</v>
      </c>
      <c r="R65" s="150">
        <v>0</v>
      </c>
      <c r="S65" s="150">
        <v>0</v>
      </c>
      <c r="T65" s="150">
        <v>0</v>
      </c>
      <c r="U65" s="150">
        <v>0</v>
      </c>
      <c r="V65" s="150">
        <v>0</v>
      </c>
      <c r="W65" s="150">
        <v>0</v>
      </c>
      <c r="X65" s="150">
        <v>0</v>
      </c>
      <c r="Y65" s="150">
        <v>0</v>
      </c>
      <c r="Z65" s="150">
        <v>0</v>
      </c>
      <c r="AA65" s="150">
        <v>0</v>
      </c>
      <c r="AB65" s="150">
        <v>0</v>
      </c>
      <c r="AC65" s="150">
        <v>0</v>
      </c>
      <c r="AD65" s="150">
        <v>0</v>
      </c>
      <c r="AE65" s="150">
        <v>0</v>
      </c>
      <c r="AF65" s="150">
        <v>0</v>
      </c>
      <c r="AG65" s="150">
        <v>0</v>
      </c>
      <c r="AH65" s="150">
        <v>0</v>
      </c>
      <c r="AI65" s="150">
        <v>0</v>
      </c>
      <c r="AJ65" s="150">
        <v>0</v>
      </c>
      <c r="AK65" s="150">
        <v>0</v>
      </c>
      <c r="AL65" s="150">
        <v>0</v>
      </c>
      <c r="AM65" s="150">
        <v>0</v>
      </c>
      <c r="AN65" s="150">
        <v>0</v>
      </c>
      <c r="AO65" s="150">
        <v>0</v>
      </c>
      <c r="AP65" s="150">
        <v>0</v>
      </c>
      <c r="AQ65" s="150">
        <v>0</v>
      </c>
      <c r="AR65" s="150">
        <v>0</v>
      </c>
      <c r="AS65" s="150">
        <v>0</v>
      </c>
      <c r="AT65" s="150">
        <v>0</v>
      </c>
      <c r="AU65" s="150">
        <v>0</v>
      </c>
      <c r="AV65" s="150">
        <v>0</v>
      </c>
    </row>
    <row r="66" spans="1:48">
      <c r="B66" s="157">
        <v>4</v>
      </c>
      <c r="C66" s="15" t="s">
        <v>18</v>
      </c>
      <c r="D66" s="161">
        <f>'Input '!F355</f>
        <v>0.25</v>
      </c>
      <c r="I66" s="150">
        <v>0</v>
      </c>
      <c r="J66" s="150">
        <v>0</v>
      </c>
      <c r="K66" s="150">
        <v>0</v>
      </c>
      <c r="L66" s="150">
        <v>0</v>
      </c>
      <c r="M66" s="150">
        <v>0</v>
      </c>
      <c r="N66" s="150">
        <v>0</v>
      </c>
      <c r="O66" s="150">
        <v>0</v>
      </c>
      <c r="P66" s="150">
        <v>0</v>
      </c>
      <c r="Q66" s="150">
        <v>0</v>
      </c>
      <c r="R66" s="150">
        <v>0</v>
      </c>
      <c r="S66" s="150">
        <v>0</v>
      </c>
      <c r="T66" s="150">
        <v>0</v>
      </c>
      <c r="U66" s="150">
        <v>0</v>
      </c>
      <c r="V66" s="150">
        <v>0</v>
      </c>
      <c r="W66" s="150">
        <v>0</v>
      </c>
      <c r="X66" s="150">
        <v>0</v>
      </c>
      <c r="Y66" s="150">
        <v>0</v>
      </c>
      <c r="Z66" s="150">
        <v>0</v>
      </c>
      <c r="AA66" s="150">
        <v>0</v>
      </c>
      <c r="AB66" s="150">
        <v>0</v>
      </c>
      <c r="AC66" s="150">
        <v>0</v>
      </c>
      <c r="AD66" s="150">
        <v>0</v>
      </c>
      <c r="AE66" s="150">
        <v>0</v>
      </c>
      <c r="AF66" s="150">
        <v>0</v>
      </c>
      <c r="AG66" s="150">
        <v>0</v>
      </c>
      <c r="AH66" s="150">
        <v>0</v>
      </c>
      <c r="AI66" s="150">
        <v>0</v>
      </c>
      <c r="AJ66" s="150">
        <v>0</v>
      </c>
      <c r="AK66" s="150">
        <v>0</v>
      </c>
      <c r="AL66" s="150">
        <v>0</v>
      </c>
      <c r="AM66" s="150">
        <v>0</v>
      </c>
      <c r="AN66" s="150">
        <v>0</v>
      </c>
      <c r="AO66" s="150">
        <v>0</v>
      </c>
      <c r="AP66" s="150">
        <v>0</v>
      </c>
      <c r="AQ66" s="150">
        <v>0</v>
      </c>
      <c r="AR66" s="150">
        <v>0</v>
      </c>
      <c r="AS66" s="150">
        <v>0</v>
      </c>
      <c r="AT66" s="150">
        <v>0</v>
      </c>
      <c r="AU66" s="150">
        <v>0</v>
      </c>
      <c r="AV66" s="150">
        <v>0</v>
      </c>
    </row>
    <row r="67" spans="1:48">
      <c r="B67" s="158">
        <v>5</v>
      </c>
      <c r="C67" s="28" t="s">
        <v>18</v>
      </c>
      <c r="D67" s="162">
        <f>'Input '!F356</f>
        <v>0.1</v>
      </c>
      <c r="E67" s="27"/>
      <c r="F67" s="27"/>
      <c r="G67" s="27"/>
      <c r="H67" s="27"/>
      <c r="I67" s="154">
        <v>0</v>
      </c>
      <c r="J67" s="154">
        <v>0</v>
      </c>
      <c r="K67" s="154">
        <v>0</v>
      </c>
      <c r="L67" s="154">
        <v>0</v>
      </c>
      <c r="M67" s="154">
        <v>0</v>
      </c>
      <c r="N67" s="154">
        <v>0</v>
      </c>
      <c r="O67" s="154">
        <v>0</v>
      </c>
      <c r="P67" s="154">
        <v>0</v>
      </c>
      <c r="Q67" s="154">
        <v>0</v>
      </c>
      <c r="R67" s="154">
        <v>0</v>
      </c>
      <c r="S67" s="154">
        <v>0</v>
      </c>
      <c r="T67" s="154">
        <v>0</v>
      </c>
      <c r="U67" s="154">
        <v>0</v>
      </c>
      <c r="V67" s="154">
        <v>0</v>
      </c>
      <c r="W67" s="154">
        <v>0</v>
      </c>
      <c r="X67" s="154">
        <v>0</v>
      </c>
      <c r="Y67" s="154">
        <v>0</v>
      </c>
      <c r="Z67" s="154">
        <v>0</v>
      </c>
      <c r="AA67" s="154">
        <v>0</v>
      </c>
      <c r="AB67" s="154">
        <v>0</v>
      </c>
      <c r="AC67" s="154">
        <v>0</v>
      </c>
      <c r="AD67" s="154">
        <v>0</v>
      </c>
      <c r="AE67" s="154">
        <v>0</v>
      </c>
      <c r="AF67" s="154">
        <v>0</v>
      </c>
      <c r="AG67" s="154">
        <v>0</v>
      </c>
      <c r="AH67" s="154">
        <v>0</v>
      </c>
      <c r="AI67" s="154">
        <v>0</v>
      </c>
      <c r="AJ67" s="154">
        <v>0</v>
      </c>
      <c r="AK67" s="154">
        <v>0</v>
      </c>
      <c r="AL67" s="154">
        <v>0</v>
      </c>
      <c r="AM67" s="154">
        <v>0</v>
      </c>
      <c r="AN67" s="154">
        <v>0</v>
      </c>
      <c r="AO67" s="154">
        <v>0</v>
      </c>
      <c r="AP67" s="154">
        <v>0</v>
      </c>
      <c r="AQ67" s="154">
        <v>0</v>
      </c>
      <c r="AR67" s="154">
        <v>0</v>
      </c>
      <c r="AS67" s="154">
        <v>0</v>
      </c>
      <c r="AT67" s="154">
        <v>0</v>
      </c>
      <c r="AU67" s="154">
        <v>0</v>
      </c>
      <c r="AV67" s="154">
        <v>0</v>
      </c>
    </row>
    <row r="68" spans="1:48">
      <c r="B68" s="2" t="s">
        <v>317</v>
      </c>
      <c r="I68" s="150">
        <f>SUM(I63:I67)</f>
        <v>0</v>
      </c>
      <c r="J68" s="150">
        <f t="shared" ref="J68:AI68" si="23">SUM(J63:J67)</f>
        <v>0</v>
      </c>
      <c r="K68" s="150">
        <f t="shared" si="23"/>
        <v>0</v>
      </c>
      <c r="L68" s="150">
        <f t="shared" si="23"/>
        <v>0</v>
      </c>
      <c r="M68" s="150">
        <f t="shared" si="23"/>
        <v>0</v>
      </c>
      <c r="N68" s="150">
        <f t="shared" si="23"/>
        <v>0</v>
      </c>
      <c r="O68" s="150">
        <f t="shared" si="23"/>
        <v>0</v>
      </c>
      <c r="P68" s="150">
        <f t="shared" si="23"/>
        <v>0</v>
      </c>
      <c r="Q68" s="150">
        <f t="shared" si="23"/>
        <v>0</v>
      </c>
      <c r="R68" s="150">
        <f t="shared" si="23"/>
        <v>0</v>
      </c>
      <c r="S68" s="150">
        <f t="shared" si="23"/>
        <v>0</v>
      </c>
      <c r="T68" s="150">
        <f t="shared" si="23"/>
        <v>0</v>
      </c>
      <c r="U68" s="150">
        <f t="shared" si="23"/>
        <v>0</v>
      </c>
      <c r="V68" s="150">
        <f t="shared" si="23"/>
        <v>0</v>
      </c>
      <c r="W68" s="150">
        <f t="shared" si="23"/>
        <v>0</v>
      </c>
      <c r="X68" s="150">
        <f t="shared" si="23"/>
        <v>0</v>
      </c>
      <c r="Y68" s="150">
        <f t="shared" si="23"/>
        <v>0</v>
      </c>
      <c r="Z68" s="150">
        <f t="shared" si="23"/>
        <v>0</v>
      </c>
      <c r="AA68" s="150">
        <f t="shared" si="23"/>
        <v>0</v>
      </c>
      <c r="AB68" s="150">
        <f t="shared" si="23"/>
        <v>0</v>
      </c>
      <c r="AC68" s="150">
        <f t="shared" si="23"/>
        <v>0</v>
      </c>
      <c r="AD68" s="150">
        <f t="shared" si="23"/>
        <v>0</v>
      </c>
      <c r="AE68" s="150">
        <f t="shared" si="23"/>
        <v>0</v>
      </c>
      <c r="AF68" s="150">
        <f t="shared" si="23"/>
        <v>0</v>
      </c>
      <c r="AG68" s="150">
        <f t="shared" si="23"/>
        <v>0</v>
      </c>
      <c r="AH68" s="150">
        <f t="shared" si="23"/>
        <v>0</v>
      </c>
      <c r="AI68" s="150">
        <f t="shared" si="23"/>
        <v>0</v>
      </c>
    </row>
    <row r="70" spans="1:48">
      <c r="B70" s="2" t="s">
        <v>318</v>
      </c>
      <c r="C70" s="15" t="str">
        <f>$C$34</f>
        <v>US$</v>
      </c>
      <c r="I70" s="150">
        <f t="shared" ref="I70:AV70" ca="1" si="24">I68*I54+MAX(MIN(I68,I59),0)*(I55-I54)</f>
        <v>0</v>
      </c>
      <c r="J70" s="150">
        <f t="shared" ca="1" si="24"/>
        <v>0</v>
      </c>
      <c r="K70" s="150">
        <f t="shared" ca="1" si="24"/>
        <v>0</v>
      </c>
      <c r="L70" s="150">
        <f t="shared" ca="1" si="24"/>
        <v>0</v>
      </c>
      <c r="M70" s="150">
        <f t="shared" ca="1" si="24"/>
        <v>0</v>
      </c>
      <c r="N70" s="150">
        <f t="shared" ca="1" si="24"/>
        <v>0</v>
      </c>
      <c r="O70" s="150">
        <f t="shared" ca="1" si="24"/>
        <v>0</v>
      </c>
      <c r="P70" s="150">
        <f t="shared" ca="1" si="24"/>
        <v>0</v>
      </c>
      <c r="Q70" s="150">
        <f t="shared" ca="1" si="24"/>
        <v>0</v>
      </c>
      <c r="R70" s="150">
        <f t="shared" ca="1" si="24"/>
        <v>0</v>
      </c>
      <c r="S70" s="150">
        <f t="shared" ca="1" si="24"/>
        <v>0</v>
      </c>
      <c r="T70" s="150">
        <f t="shared" ca="1" si="24"/>
        <v>0</v>
      </c>
      <c r="U70" s="150">
        <f t="shared" ca="1" si="24"/>
        <v>0</v>
      </c>
      <c r="V70" s="150">
        <f t="shared" ca="1" si="24"/>
        <v>0</v>
      </c>
      <c r="W70" s="150">
        <f t="shared" ca="1" si="24"/>
        <v>0</v>
      </c>
      <c r="X70" s="150">
        <f t="shared" ca="1" si="24"/>
        <v>0</v>
      </c>
      <c r="Y70" s="150">
        <f t="shared" ca="1" si="24"/>
        <v>0</v>
      </c>
      <c r="Z70" s="150">
        <f t="shared" ca="1" si="24"/>
        <v>0</v>
      </c>
      <c r="AA70" s="150">
        <f t="shared" ca="1" si="24"/>
        <v>0</v>
      </c>
      <c r="AB70" s="150">
        <f t="shared" ca="1" si="24"/>
        <v>0</v>
      </c>
      <c r="AC70" s="150">
        <f t="shared" ca="1" si="24"/>
        <v>0</v>
      </c>
      <c r="AD70" s="150">
        <f t="shared" ca="1" si="24"/>
        <v>0</v>
      </c>
      <c r="AE70" s="150">
        <f t="shared" ca="1" si="24"/>
        <v>0</v>
      </c>
      <c r="AF70" s="150">
        <f t="shared" ca="1" si="24"/>
        <v>0</v>
      </c>
      <c r="AG70" s="150">
        <f t="shared" ca="1" si="24"/>
        <v>0</v>
      </c>
      <c r="AH70" s="150">
        <f t="shared" ca="1" si="24"/>
        <v>0</v>
      </c>
      <c r="AI70" s="150">
        <f t="shared" ca="1" si="24"/>
        <v>0</v>
      </c>
      <c r="AJ70" s="150">
        <f t="shared" ca="1" si="24"/>
        <v>0</v>
      </c>
      <c r="AK70" s="150">
        <f t="shared" ca="1" si="24"/>
        <v>0</v>
      </c>
      <c r="AL70" s="150">
        <f t="shared" ca="1" si="24"/>
        <v>0</v>
      </c>
      <c r="AM70" s="150">
        <f t="shared" si="24"/>
        <v>0</v>
      </c>
      <c r="AN70" s="150">
        <f t="shared" si="24"/>
        <v>0</v>
      </c>
      <c r="AO70" s="150">
        <f t="shared" si="24"/>
        <v>0</v>
      </c>
      <c r="AP70" s="150">
        <f t="shared" si="24"/>
        <v>0</v>
      </c>
      <c r="AQ70" s="150">
        <f t="shared" si="24"/>
        <v>0</v>
      </c>
      <c r="AR70" s="150">
        <f t="shared" si="24"/>
        <v>0</v>
      </c>
      <c r="AS70" s="150">
        <f t="shared" si="24"/>
        <v>0</v>
      </c>
      <c r="AT70" s="150">
        <f t="shared" si="24"/>
        <v>0</v>
      </c>
      <c r="AU70" s="150">
        <f t="shared" si="24"/>
        <v>0</v>
      </c>
      <c r="AV70" s="150">
        <f t="shared" si="24"/>
        <v>0</v>
      </c>
    </row>
    <row r="72" spans="1:48">
      <c r="B72" s="29" t="s">
        <v>282</v>
      </c>
    </row>
    <row r="73" spans="1:48">
      <c r="B73" s="2" t="s">
        <v>263</v>
      </c>
      <c r="C73" s="15" t="str">
        <f>$C$34</f>
        <v>US$</v>
      </c>
      <c r="I73" s="150">
        <f t="shared" ref="I73:AI73" si="25">H76</f>
        <v>0</v>
      </c>
      <c r="J73" s="150">
        <f t="shared" ca="1" si="25"/>
        <v>0</v>
      </c>
      <c r="K73" s="150">
        <f t="shared" ca="1" si="25"/>
        <v>0</v>
      </c>
      <c r="L73" s="150">
        <f t="shared" ca="1" si="25"/>
        <v>0</v>
      </c>
      <c r="M73" s="150">
        <f t="shared" ca="1" si="25"/>
        <v>0</v>
      </c>
      <c r="N73" s="150">
        <f t="shared" ca="1" si="25"/>
        <v>0</v>
      </c>
      <c r="O73" s="150">
        <f t="shared" ca="1" si="25"/>
        <v>0</v>
      </c>
      <c r="P73" s="150">
        <f t="shared" ca="1" si="25"/>
        <v>0</v>
      </c>
      <c r="Q73" s="150">
        <f t="shared" ca="1" si="25"/>
        <v>0</v>
      </c>
      <c r="R73" s="150">
        <f t="shared" ca="1" si="25"/>
        <v>0</v>
      </c>
      <c r="S73" s="150">
        <f t="shared" ca="1" si="25"/>
        <v>0</v>
      </c>
      <c r="T73" s="150">
        <f t="shared" ca="1" si="25"/>
        <v>0</v>
      </c>
      <c r="U73" s="150">
        <f t="shared" ca="1" si="25"/>
        <v>0</v>
      </c>
      <c r="V73" s="150">
        <f t="shared" ca="1" si="25"/>
        <v>0</v>
      </c>
      <c r="W73" s="150">
        <f t="shared" ca="1" si="25"/>
        <v>0</v>
      </c>
      <c r="X73" s="150">
        <f t="shared" ca="1" si="25"/>
        <v>0</v>
      </c>
      <c r="Y73" s="150">
        <f t="shared" ca="1" si="25"/>
        <v>0</v>
      </c>
      <c r="Z73" s="150">
        <f t="shared" ca="1" si="25"/>
        <v>0</v>
      </c>
      <c r="AA73" s="150">
        <f t="shared" ca="1" si="25"/>
        <v>0</v>
      </c>
      <c r="AB73" s="150">
        <f t="shared" ca="1" si="25"/>
        <v>0</v>
      </c>
      <c r="AC73" s="150">
        <f t="shared" ca="1" si="25"/>
        <v>0</v>
      </c>
      <c r="AD73" s="150">
        <f t="shared" ca="1" si="25"/>
        <v>0</v>
      </c>
      <c r="AE73" s="150">
        <f t="shared" ca="1" si="25"/>
        <v>0</v>
      </c>
      <c r="AF73" s="150">
        <f t="shared" ca="1" si="25"/>
        <v>0</v>
      </c>
      <c r="AG73" s="150">
        <f t="shared" ca="1" si="25"/>
        <v>0</v>
      </c>
      <c r="AH73" s="150">
        <f t="shared" ca="1" si="25"/>
        <v>0</v>
      </c>
      <c r="AI73" s="150">
        <f t="shared" ca="1" si="25"/>
        <v>0</v>
      </c>
      <c r="AJ73" s="150">
        <f t="shared" ref="AJ73:AV73" ca="1" si="26">AI76</f>
        <v>0</v>
      </c>
      <c r="AK73" s="150">
        <f t="shared" si="26"/>
        <v>0</v>
      </c>
      <c r="AL73" s="150">
        <f t="shared" si="26"/>
        <v>0</v>
      </c>
      <c r="AM73" s="150">
        <f t="shared" si="26"/>
        <v>0</v>
      </c>
      <c r="AN73" s="150">
        <f t="shared" si="26"/>
        <v>0</v>
      </c>
      <c r="AO73" s="150">
        <f t="shared" si="26"/>
        <v>0</v>
      </c>
      <c r="AP73" s="150">
        <f t="shared" si="26"/>
        <v>0</v>
      </c>
      <c r="AQ73" s="150">
        <f t="shared" si="26"/>
        <v>0</v>
      </c>
      <c r="AR73" s="150">
        <f t="shared" si="26"/>
        <v>0</v>
      </c>
      <c r="AS73" s="150">
        <f t="shared" si="26"/>
        <v>0</v>
      </c>
      <c r="AT73" s="150">
        <f t="shared" si="26"/>
        <v>0</v>
      </c>
      <c r="AU73" s="150">
        <f t="shared" si="26"/>
        <v>0</v>
      </c>
      <c r="AV73" s="150">
        <f t="shared" si="26"/>
        <v>0</v>
      </c>
    </row>
    <row r="74" spans="1:48">
      <c r="B74" s="2" t="s">
        <v>283</v>
      </c>
      <c r="C74" s="15" t="str">
        <f>$C$34</f>
        <v>US$</v>
      </c>
      <c r="D74" s="150">
        <f ca="1">SUM(I74:AI74)</f>
        <v>0</v>
      </c>
      <c r="I74" s="150">
        <f t="shared" ref="I74:AI74" ca="1" si="27">I70*I54</f>
        <v>0</v>
      </c>
      <c r="J74" s="150">
        <f t="shared" ca="1" si="27"/>
        <v>0</v>
      </c>
      <c r="K74" s="150">
        <f t="shared" ca="1" si="27"/>
        <v>0</v>
      </c>
      <c r="L74" s="150">
        <f t="shared" ca="1" si="27"/>
        <v>0</v>
      </c>
      <c r="M74" s="150">
        <f t="shared" ca="1" si="27"/>
        <v>0</v>
      </c>
      <c r="N74" s="150">
        <f t="shared" ca="1" si="27"/>
        <v>0</v>
      </c>
      <c r="O74" s="150">
        <f t="shared" ca="1" si="27"/>
        <v>0</v>
      </c>
      <c r="P74" s="150">
        <f t="shared" ca="1" si="27"/>
        <v>0</v>
      </c>
      <c r="Q74" s="150">
        <f t="shared" ca="1" si="27"/>
        <v>0</v>
      </c>
      <c r="R74" s="150">
        <f t="shared" ca="1" si="27"/>
        <v>0</v>
      </c>
      <c r="S74" s="150">
        <f t="shared" ca="1" si="27"/>
        <v>0</v>
      </c>
      <c r="T74" s="150">
        <f t="shared" ca="1" si="27"/>
        <v>0</v>
      </c>
      <c r="U74" s="150">
        <f t="shared" ca="1" si="27"/>
        <v>0</v>
      </c>
      <c r="V74" s="150">
        <f t="shared" ca="1" si="27"/>
        <v>0</v>
      </c>
      <c r="W74" s="150">
        <f t="shared" ca="1" si="27"/>
        <v>0</v>
      </c>
      <c r="X74" s="150">
        <f t="shared" ca="1" si="27"/>
        <v>0</v>
      </c>
      <c r="Y74" s="150">
        <f t="shared" ca="1" si="27"/>
        <v>0</v>
      </c>
      <c r="Z74" s="150">
        <f t="shared" ca="1" si="27"/>
        <v>0</v>
      </c>
      <c r="AA74" s="150">
        <f t="shared" ca="1" si="27"/>
        <v>0</v>
      </c>
      <c r="AB74" s="150">
        <f t="shared" ca="1" si="27"/>
        <v>0</v>
      </c>
      <c r="AC74" s="150">
        <f t="shared" ca="1" si="27"/>
        <v>0</v>
      </c>
      <c r="AD74" s="150">
        <f t="shared" ca="1" si="27"/>
        <v>0</v>
      </c>
      <c r="AE74" s="150">
        <f t="shared" ca="1" si="27"/>
        <v>0</v>
      </c>
      <c r="AF74" s="150">
        <f t="shared" ca="1" si="27"/>
        <v>0</v>
      </c>
      <c r="AG74" s="150">
        <f t="shared" ca="1" si="27"/>
        <v>0</v>
      </c>
      <c r="AH74" s="150">
        <f t="shared" ca="1" si="27"/>
        <v>0</v>
      </c>
      <c r="AI74" s="150">
        <f t="shared" ca="1" si="27"/>
        <v>0</v>
      </c>
      <c r="AJ74" s="150">
        <f t="shared" ref="AJ74:AV74" ca="1" si="28">AJ70*AJ54</f>
        <v>0</v>
      </c>
      <c r="AK74" s="150">
        <f t="shared" ca="1" si="28"/>
        <v>0</v>
      </c>
      <c r="AL74" s="150">
        <f t="shared" ca="1" si="28"/>
        <v>0</v>
      </c>
      <c r="AM74" s="150">
        <f t="shared" si="28"/>
        <v>0</v>
      </c>
      <c r="AN74" s="150">
        <f t="shared" si="28"/>
        <v>0</v>
      </c>
      <c r="AO74" s="150">
        <f t="shared" si="28"/>
        <v>0</v>
      </c>
      <c r="AP74" s="150">
        <f t="shared" si="28"/>
        <v>0</v>
      </c>
      <c r="AQ74" s="150">
        <f t="shared" si="28"/>
        <v>0</v>
      </c>
      <c r="AR74" s="150">
        <f t="shared" si="28"/>
        <v>0</v>
      </c>
      <c r="AS74" s="150">
        <f t="shared" si="28"/>
        <v>0</v>
      </c>
      <c r="AT74" s="150">
        <f t="shared" si="28"/>
        <v>0</v>
      </c>
      <c r="AU74" s="150">
        <f t="shared" si="28"/>
        <v>0</v>
      </c>
      <c r="AV74" s="150">
        <f t="shared" si="28"/>
        <v>0</v>
      </c>
    </row>
    <row r="75" spans="1:48">
      <c r="B75" s="27" t="s">
        <v>284</v>
      </c>
      <c r="C75" s="28" t="str">
        <f>$C$34</f>
        <v>US$</v>
      </c>
      <c r="D75" s="154">
        <f ca="1">SUM(I75:AI75)</f>
        <v>0</v>
      </c>
      <c r="E75" s="27"/>
      <c r="F75" s="27"/>
      <c r="G75" s="27"/>
      <c r="H75" s="27"/>
      <c r="I75" s="154">
        <f t="shared" ref="I75:AI75" ca="1" si="29">I76-SUM(I73:I74)</f>
        <v>0</v>
      </c>
      <c r="J75" s="154">
        <f t="shared" ca="1" si="29"/>
        <v>0</v>
      </c>
      <c r="K75" s="154">
        <f t="shared" ca="1" si="29"/>
        <v>0</v>
      </c>
      <c r="L75" s="154">
        <f t="shared" ca="1" si="29"/>
        <v>0</v>
      </c>
      <c r="M75" s="154">
        <f t="shared" ca="1" si="29"/>
        <v>0</v>
      </c>
      <c r="N75" s="154">
        <f t="shared" ca="1" si="29"/>
        <v>0</v>
      </c>
      <c r="O75" s="154">
        <f t="shared" ca="1" si="29"/>
        <v>0</v>
      </c>
      <c r="P75" s="154">
        <f t="shared" ca="1" si="29"/>
        <v>0</v>
      </c>
      <c r="Q75" s="154">
        <f t="shared" ca="1" si="29"/>
        <v>0</v>
      </c>
      <c r="R75" s="154">
        <f t="shared" ca="1" si="29"/>
        <v>0</v>
      </c>
      <c r="S75" s="154">
        <f t="shared" ca="1" si="29"/>
        <v>0</v>
      </c>
      <c r="T75" s="154">
        <f t="shared" ca="1" si="29"/>
        <v>0</v>
      </c>
      <c r="U75" s="154">
        <f t="shared" ca="1" si="29"/>
        <v>0</v>
      </c>
      <c r="V75" s="154">
        <f t="shared" ca="1" si="29"/>
        <v>0</v>
      </c>
      <c r="W75" s="154">
        <f t="shared" ca="1" si="29"/>
        <v>0</v>
      </c>
      <c r="X75" s="154">
        <f t="shared" ca="1" si="29"/>
        <v>0</v>
      </c>
      <c r="Y75" s="154">
        <f t="shared" ca="1" si="29"/>
        <v>0</v>
      </c>
      <c r="Z75" s="154">
        <f t="shared" ca="1" si="29"/>
        <v>0</v>
      </c>
      <c r="AA75" s="154">
        <f t="shared" ca="1" si="29"/>
        <v>0</v>
      </c>
      <c r="AB75" s="154">
        <f t="shared" ca="1" si="29"/>
        <v>0</v>
      </c>
      <c r="AC75" s="154">
        <f t="shared" ca="1" si="29"/>
        <v>0</v>
      </c>
      <c r="AD75" s="154">
        <f t="shared" ca="1" si="29"/>
        <v>0</v>
      </c>
      <c r="AE75" s="154">
        <f t="shared" ca="1" si="29"/>
        <v>0</v>
      </c>
      <c r="AF75" s="154">
        <f t="shared" ca="1" si="29"/>
        <v>0</v>
      </c>
      <c r="AG75" s="154">
        <f t="shared" ca="1" si="29"/>
        <v>0</v>
      </c>
      <c r="AH75" s="154">
        <f t="shared" ca="1" si="29"/>
        <v>0</v>
      </c>
      <c r="AI75" s="154">
        <f t="shared" ca="1" si="29"/>
        <v>0</v>
      </c>
      <c r="AJ75" s="154">
        <f t="shared" ref="AJ75:AV75" ca="1" si="30">AJ76-SUM(AJ73:AJ74)</f>
        <v>0</v>
      </c>
      <c r="AK75" s="154">
        <f t="shared" ca="1" si="30"/>
        <v>0</v>
      </c>
      <c r="AL75" s="154">
        <f t="shared" ca="1" si="30"/>
        <v>0</v>
      </c>
      <c r="AM75" s="154">
        <f t="shared" si="30"/>
        <v>0</v>
      </c>
      <c r="AN75" s="154">
        <f t="shared" si="30"/>
        <v>0</v>
      </c>
      <c r="AO75" s="154">
        <f t="shared" si="30"/>
        <v>0</v>
      </c>
      <c r="AP75" s="154">
        <f t="shared" si="30"/>
        <v>0</v>
      </c>
      <c r="AQ75" s="154">
        <f t="shared" si="30"/>
        <v>0</v>
      </c>
      <c r="AR75" s="154">
        <f t="shared" si="30"/>
        <v>0</v>
      </c>
      <c r="AS75" s="154">
        <f t="shared" si="30"/>
        <v>0</v>
      </c>
      <c r="AT75" s="154">
        <f t="shared" si="30"/>
        <v>0</v>
      </c>
      <c r="AU75" s="154">
        <f t="shared" si="30"/>
        <v>0</v>
      </c>
      <c r="AV75" s="154">
        <f t="shared" si="30"/>
        <v>0</v>
      </c>
    </row>
    <row r="76" spans="1:48">
      <c r="B76" s="2" t="s">
        <v>266</v>
      </c>
      <c r="C76" s="15" t="str">
        <f>$C$34</f>
        <v>US$</v>
      </c>
      <c r="H76" s="151"/>
      <c r="I76" s="150">
        <f ca="1">I70</f>
        <v>0</v>
      </c>
      <c r="J76" s="150">
        <f t="shared" ref="J76:AI76" ca="1" si="31">J70</f>
        <v>0</v>
      </c>
      <c r="K76" s="150">
        <f t="shared" ca="1" si="31"/>
        <v>0</v>
      </c>
      <c r="L76" s="150">
        <f t="shared" ca="1" si="31"/>
        <v>0</v>
      </c>
      <c r="M76" s="150">
        <f t="shared" ca="1" si="31"/>
        <v>0</v>
      </c>
      <c r="N76" s="150">
        <f t="shared" ca="1" si="31"/>
        <v>0</v>
      </c>
      <c r="O76" s="150">
        <f t="shared" ca="1" si="31"/>
        <v>0</v>
      </c>
      <c r="P76" s="150">
        <f t="shared" ca="1" si="31"/>
        <v>0</v>
      </c>
      <c r="Q76" s="150">
        <f t="shared" ca="1" si="31"/>
        <v>0</v>
      </c>
      <c r="R76" s="150">
        <f t="shared" ca="1" si="31"/>
        <v>0</v>
      </c>
      <c r="S76" s="150">
        <f t="shared" ca="1" si="31"/>
        <v>0</v>
      </c>
      <c r="T76" s="150">
        <f t="shared" ca="1" si="31"/>
        <v>0</v>
      </c>
      <c r="U76" s="150">
        <f t="shared" ca="1" si="31"/>
        <v>0</v>
      </c>
      <c r="V76" s="150">
        <f t="shared" ca="1" si="31"/>
        <v>0</v>
      </c>
      <c r="W76" s="150">
        <f t="shared" ca="1" si="31"/>
        <v>0</v>
      </c>
      <c r="X76" s="150">
        <f t="shared" ca="1" si="31"/>
        <v>0</v>
      </c>
      <c r="Y76" s="150">
        <f t="shared" ca="1" si="31"/>
        <v>0</v>
      </c>
      <c r="Z76" s="150">
        <f t="shared" ca="1" si="31"/>
        <v>0</v>
      </c>
      <c r="AA76" s="150">
        <f t="shared" ca="1" si="31"/>
        <v>0</v>
      </c>
      <c r="AB76" s="150">
        <f t="shared" ca="1" si="31"/>
        <v>0</v>
      </c>
      <c r="AC76" s="150">
        <f t="shared" ca="1" si="31"/>
        <v>0</v>
      </c>
      <c r="AD76" s="150">
        <f t="shared" ca="1" si="31"/>
        <v>0</v>
      </c>
      <c r="AE76" s="150">
        <f t="shared" ca="1" si="31"/>
        <v>0</v>
      </c>
      <c r="AF76" s="150">
        <f t="shared" ca="1" si="31"/>
        <v>0</v>
      </c>
      <c r="AG76" s="150">
        <f t="shared" ca="1" si="31"/>
        <v>0</v>
      </c>
      <c r="AH76" s="150">
        <f t="shared" ca="1" si="31"/>
        <v>0</v>
      </c>
      <c r="AI76" s="150">
        <f t="shared" ca="1" si="31"/>
        <v>0</v>
      </c>
    </row>
    <row r="78" spans="1:48">
      <c r="A78" s="130" t="s">
        <v>109</v>
      </c>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9" tint="0.39997558519241921"/>
  </sheetPr>
  <dimension ref="C1:S35"/>
  <sheetViews>
    <sheetView topLeftCell="A29" workbookViewId="0">
      <selection activeCell="K28" sqref="K28"/>
    </sheetView>
  </sheetViews>
  <sheetFormatPr defaultColWidth="9.14453125" defaultRowHeight="10.5"/>
  <cols>
    <col min="1" max="7" width="9.14453125" style="67"/>
    <col min="8" max="8" width="16.140625" style="67" customWidth="1"/>
    <col min="9" max="12" width="9.14453125" style="67"/>
    <col min="13" max="13" width="23.9453125" style="67" bestFit="1" customWidth="1"/>
    <col min="14" max="14" width="11.97265625" style="67" bestFit="1" customWidth="1"/>
    <col min="15" max="16" width="10.625" style="67" bestFit="1" customWidth="1"/>
    <col min="17" max="16384" width="9.14453125" style="67"/>
  </cols>
  <sheetData>
    <row r="1" spans="3:19" ht="11.25">
      <c r="E1" s="97" t="s">
        <v>149</v>
      </c>
      <c r="F1" s="97" t="s">
        <v>150</v>
      </c>
      <c r="H1" s="98" t="s">
        <v>157</v>
      </c>
      <c r="K1" s="67" t="s">
        <v>435</v>
      </c>
    </row>
    <row r="2" spans="3:19" ht="11.25">
      <c r="E2" s="68">
        <v>46388</v>
      </c>
      <c r="F2" s="68">
        <v>46692</v>
      </c>
      <c r="H2" s="78" t="s">
        <v>158</v>
      </c>
      <c r="K2" s="67">
        <v>2</v>
      </c>
      <c r="S2" s="67" t="s">
        <v>1568</v>
      </c>
    </row>
    <row r="3" spans="3:19" ht="11.25">
      <c r="C3" s="292"/>
      <c r="E3" s="68">
        <v>46419</v>
      </c>
      <c r="F3" s="68">
        <v>46722</v>
      </c>
      <c r="H3" s="78" t="s">
        <v>159</v>
      </c>
      <c r="K3" s="67">
        <v>1</v>
      </c>
      <c r="M3" s="67" t="s">
        <v>648</v>
      </c>
    </row>
    <row r="4" spans="3:19" ht="11.25">
      <c r="C4" s="292"/>
      <c r="E4" s="68">
        <v>46447</v>
      </c>
      <c r="F4" s="68">
        <v>46388</v>
      </c>
      <c r="H4" s="78" t="s">
        <v>160</v>
      </c>
      <c r="K4" s="67">
        <v>0</v>
      </c>
      <c r="N4" s="247" t="s">
        <v>651</v>
      </c>
      <c r="O4" s="247" t="s">
        <v>652</v>
      </c>
      <c r="P4" s="247" t="s">
        <v>71</v>
      </c>
      <c r="S4" s="1506">
        <v>0.5</v>
      </c>
    </row>
    <row r="5" spans="3:19" ht="11.25">
      <c r="E5" s="68">
        <v>46478</v>
      </c>
      <c r="F5" s="68">
        <v>46419</v>
      </c>
      <c r="H5" s="78" t="s">
        <v>161</v>
      </c>
      <c r="M5" s="67" t="s">
        <v>649</v>
      </c>
      <c r="N5" s="240">
        <f ca="1">SUMIF('Project Cost Monthly'!H5:AI5,1,'Project Cost Monthly'!I48:AI48)</f>
        <v>0</v>
      </c>
      <c r="O5" s="240">
        <f ca="1">SUMIF('Project Cost Monthly'!H5:AI5,2,'Project Cost Monthly'!I48:AI48)</f>
        <v>0</v>
      </c>
      <c r="P5" s="245">
        <f ca="1">SUM(N5:O5)</f>
        <v>0</v>
      </c>
      <c r="S5" s="1506">
        <v>0.45</v>
      </c>
    </row>
    <row r="6" spans="3:19">
      <c r="E6" s="68">
        <v>45778</v>
      </c>
      <c r="F6" s="68">
        <v>46447</v>
      </c>
      <c r="M6" s="67" t="s">
        <v>650</v>
      </c>
      <c r="N6" s="240">
        <f ca="1">SUMIF('Project Cost Monthly'!H5:AI5,1,'Project Cost Monthly'!I49:AI49)</f>
        <v>0</v>
      </c>
      <c r="O6" s="240">
        <f ca="1">SUMIF('Project Cost Monthly'!H5:AI5,2,'Project Cost Monthly'!I49:AI49)</f>
        <v>0</v>
      </c>
      <c r="P6" s="245">
        <f ca="1">SUM(N6:O6)</f>
        <v>0</v>
      </c>
      <c r="S6" s="1506">
        <v>0.4</v>
      </c>
    </row>
    <row r="7" spans="3:19">
      <c r="E7" s="68">
        <v>46539</v>
      </c>
      <c r="F7" s="68">
        <v>46478</v>
      </c>
      <c r="M7" s="67" t="s">
        <v>221</v>
      </c>
      <c r="N7" s="240">
        <f ca="1">SUMIF('Project Cost Monthly'!H5:AI5,1,'Project Cost Monthly'!I50:AI50)</f>
        <v>0</v>
      </c>
      <c r="O7" s="240">
        <f ca="1">SUMIF('Project Cost Monthly'!H5:AI5,2,'Project Cost Monthly'!I50:AI50)</f>
        <v>0</v>
      </c>
      <c r="P7" s="245">
        <f ca="1">SUM(N7:O7)</f>
        <v>0</v>
      </c>
      <c r="S7" s="1506">
        <v>0.35</v>
      </c>
    </row>
    <row r="8" spans="3:19">
      <c r="E8" s="68">
        <v>46569</v>
      </c>
      <c r="F8" s="68">
        <v>46508</v>
      </c>
      <c r="H8" s="97" t="s">
        <v>168</v>
      </c>
      <c r="N8" s="245">
        <f ca="1">SUM(N5:N7)</f>
        <v>0</v>
      </c>
      <c r="O8" s="245">
        <f ca="1">SUM(O5:O7)</f>
        <v>0</v>
      </c>
      <c r="P8" s="246">
        <f ca="1">SUM(P5:P7)</f>
        <v>0</v>
      </c>
      <c r="S8" s="1506">
        <v>0.3</v>
      </c>
    </row>
    <row r="9" spans="3:19">
      <c r="E9" s="68">
        <v>46600</v>
      </c>
      <c r="F9" s="68">
        <v>46539</v>
      </c>
      <c r="H9" s="67">
        <v>1</v>
      </c>
      <c r="S9" s="1506">
        <v>0.25</v>
      </c>
    </row>
    <row r="10" spans="3:19">
      <c r="E10" s="68">
        <v>46631</v>
      </c>
      <c r="F10" s="68">
        <v>46569</v>
      </c>
      <c r="H10" s="67">
        <v>0</v>
      </c>
      <c r="M10" s="67" t="s">
        <v>145</v>
      </c>
      <c r="N10" s="240">
        <f ca="1">SUMIF('Project Cost Monthly'!H5:AI5,1,'Project Cost Monthly'!I255:AI255)</f>
        <v>0</v>
      </c>
      <c r="O10" s="240">
        <f ca="1">SUMIF('Project Cost Monthly'!H5:AI5,2,'Project Cost Monthly'!I255:AI255)</f>
        <v>0</v>
      </c>
      <c r="P10" s="245">
        <f ca="1">SUM(N10:O10)</f>
        <v>0</v>
      </c>
      <c r="S10" s="1506">
        <v>0.2</v>
      </c>
    </row>
    <row r="11" spans="3:19">
      <c r="E11" s="68">
        <v>45931</v>
      </c>
      <c r="F11" s="68">
        <v>46600</v>
      </c>
      <c r="M11" s="67" t="s">
        <v>144</v>
      </c>
      <c r="N11" s="240">
        <f ca="1">SUMIF('Project Cost Monthly'!H5:AI5,1,'Project Cost Monthly'!I257:AI257)</f>
        <v>0</v>
      </c>
      <c r="O11" s="240">
        <f ca="1">SUMIF('Project Cost Monthly'!H5:AI5,2,'Project Cost Monthly'!I257:AI257)</f>
        <v>0</v>
      </c>
      <c r="P11" s="245">
        <f ca="1">SUM(N11:O11)</f>
        <v>0</v>
      </c>
      <c r="S11" s="1506">
        <v>0.15</v>
      </c>
    </row>
    <row r="12" spans="3:19">
      <c r="E12" s="68">
        <v>46692</v>
      </c>
      <c r="F12" s="68">
        <v>46631</v>
      </c>
      <c r="N12" s="245">
        <f ca="1">SUM(N10:N11)</f>
        <v>0</v>
      </c>
      <c r="O12" s="245">
        <f ca="1">SUM(O10:O11)</f>
        <v>0</v>
      </c>
      <c r="P12" s="246">
        <f ca="1">SUM(P10:P11)</f>
        <v>0</v>
      </c>
      <c r="S12" s="1506">
        <v>0.1</v>
      </c>
    </row>
    <row r="13" spans="3:19">
      <c r="E13" s="68">
        <v>46722</v>
      </c>
      <c r="F13" s="68">
        <v>46661</v>
      </c>
      <c r="H13" s="97" t="s">
        <v>197</v>
      </c>
      <c r="S13" s="1506">
        <v>0.05</v>
      </c>
    </row>
    <row r="14" spans="3:19">
      <c r="E14" s="68">
        <v>46753</v>
      </c>
      <c r="F14" s="68">
        <v>46692</v>
      </c>
      <c r="H14" s="67">
        <v>0</v>
      </c>
      <c r="S14" s="1506">
        <v>0.04</v>
      </c>
    </row>
    <row r="15" spans="3:19">
      <c r="E15" s="68">
        <v>47088</v>
      </c>
      <c r="F15" s="68">
        <v>47088</v>
      </c>
      <c r="H15" s="67">
        <v>5</v>
      </c>
      <c r="S15" s="1506">
        <v>0.03</v>
      </c>
    </row>
    <row r="16" spans="3:19">
      <c r="E16" s="68">
        <v>46753</v>
      </c>
      <c r="F16" s="68">
        <v>46753</v>
      </c>
      <c r="S16" s="1506">
        <v>0.02</v>
      </c>
    </row>
    <row r="17" spans="5:19">
      <c r="E17" s="68">
        <v>46784</v>
      </c>
      <c r="F17" s="68">
        <v>46784</v>
      </c>
      <c r="H17" s="97" t="s">
        <v>253</v>
      </c>
      <c r="S17" s="1506">
        <v>0.01</v>
      </c>
    </row>
    <row r="18" spans="5:19">
      <c r="E18" s="68">
        <v>46813</v>
      </c>
      <c r="F18" s="68">
        <v>46813</v>
      </c>
      <c r="H18" s="67">
        <v>0</v>
      </c>
      <c r="S18" s="1506">
        <v>0</v>
      </c>
    </row>
    <row r="19" spans="5:19">
      <c r="E19" s="68">
        <v>46844</v>
      </c>
      <c r="F19" s="68">
        <v>46844</v>
      </c>
      <c r="H19" s="67">
        <v>1</v>
      </c>
      <c r="S19" s="1507">
        <v>-0.01</v>
      </c>
    </row>
    <row r="20" spans="5:19">
      <c r="E20" s="68">
        <v>46874</v>
      </c>
      <c r="F20" s="68">
        <v>46874</v>
      </c>
      <c r="S20" s="1507">
        <v>-0.02</v>
      </c>
    </row>
    <row r="21" spans="5:19">
      <c r="E21" s="68">
        <v>46905</v>
      </c>
      <c r="F21" s="68">
        <v>46905</v>
      </c>
      <c r="H21" s="97" t="s">
        <v>6</v>
      </c>
      <c r="S21" s="1507">
        <v>-0.03</v>
      </c>
    </row>
    <row r="22" spans="5:19">
      <c r="E22" s="68">
        <v>46935</v>
      </c>
      <c r="F22" s="68">
        <v>46935</v>
      </c>
      <c r="H22" s="67">
        <v>1</v>
      </c>
      <c r="S22" s="1507">
        <v>-0.04</v>
      </c>
    </row>
    <row r="23" spans="5:19">
      <c r="E23" s="68">
        <v>46966</v>
      </c>
      <c r="F23" s="68">
        <v>46966</v>
      </c>
      <c r="H23" s="67">
        <v>2</v>
      </c>
      <c r="S23" s="1507">
        <v>-0.05</v>
      </c>
    </row>
    <row r="24" spans="5:19">
      <c r="E24" s="68">
        <v>46997</v>
      </c>
      <c r="F24" s="68">
        <v>46997</v>
      </c>
      <c r="S24" s="1507">
        <v>-0.1</v>
      </c>
    </row>
    <row r="25" spans="5:19">
      <c r="E25" s="68">
        <v>47027</v>
      </c>
      <c r="F25" s="68">
        <v>47027</v>
      </c>
      <c r="H25" s="97" t="s">
        <v>37</v>
      </c>
      <c r="S25" s="1506">
        <v>-0.15</v>
      </c>
    </row>
    <row r="26" spans="5:19">
      <c r="E26" s="68">
        <v>47058</v>
      </c>
      <c r="F26" s="68">
        <v>47058</v>
      </c>
      <c r="H26" s="67" t="s">
        <v>79</v>
      </c>
      <c r="S26" s="1506">
        <v>-0.2</v>
      </c>
    </row>
    <row r="27" spans="5:19">
      <c r="E27" s="68">
        <v>47088</v>
      </c>
      <c r="F27" s="68">
        <v>47088</v>
      </c>
      <c r="H27" s="67" t="s">
        <v>38</v>
      </c>
      <c r="S27" s="1506">
        <v>-0.25</v>
      </c>
    </row>
    <row r="28" spans="5:19">
      <c r="E28" s="68">
        <v>47119</v>
      </c>
      <c r="F28" s="68">
        <v>47119</v>
      </c>
      <c r="H28" s="67" t="s">
        <v>39</v>
      </c>
      <c r="S28" s="1506">
        <v>-0.3</v>
      </c>
    </row>
    <row r="29" spans="5:19">
      <c r="S29" s="1506">
        <v>-0.35</v>
      </c>
    </row>
    <row r="30" spans="5:19">
      <c r="S30" s="1506">
        <v>-0.4</v>
      </c>
    </row>
    <row r="31" spans="5:19">
      <c r="S31" s="1506">
        <v>-0.45</v>
      </c>
    </row>
    <row r="32" spans="5:19">
      <c r="S32" s="1506">
        <v>-0.5</v>
      </c>
    </row>
    <row r="33" spans="19:19">
      <c r="S33" s="1506">
        <v>-0.6</v>
      </c>
    </row>
    <row r="34" spans="19:19">
      <c r="S34" s="1506">
        <v>-0.7</v>
      </c>
    </row>
    <row r="35" spans="19:19">
      <c r="S35" s="1506">
        <v>-0.8</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62E77-F69F-4E9A-AF73-A8B9E071E6E0}">
  <sheetPr codeName="Sheet34"/>
  <dimension ref="B3:J208"/>
  <sheetViews>
    <sheetView showGridLines="0" topLeftCell="A45" workbookViewId="0"/>
  </sheetViews>
  <sheetFormatPr defaultColWidth="9.14453125" defaultRowHeight="12.75"/>
  <cols>
    <col min="1" max="1" width="9.14453125" style="1010"/>
    <col min="2" max="2" width="25.69140625" style="1010" customWidth="1"/>
    <col min="3" max="3" width="70.625" style="1010" customWidth="1"/>
    <col min="4" max="16384" width="9.14453125" style="1010"/>
  </cols>
  <sheetData>
    <row r="3" spans="2:10">
      <c r="B3" s="1009" t="s">
        <v>1162</v>
      </c>
    </row>
    <row r="4" spans="2:10">
      <c r="B4" s="1011" t="s">
        <v>1163</v>
      </c>
    </row>
    <row r="5" spans="2:10">
      <c r="B5" s="1012" t="s">
        <v>1164</v>
      </c>
    </row>
    <row r="8" spans="2:10">
      <c r="B8" s="1009" t="s">
        <v>680</v>
      </c>
      <c r="E8" s="1009" t="s">
        <v>1165</v>
      </c>
    </row>
    <row r="9" spans="2:10">
      <c r="E9" s="3497" t="s">
        <v>1166</v>
      </c>
      <c r="F9" s="3498"/>
      <c r="G9" s="3498"/>
      <c r="H9" s="3498"/>
      <c r="I9" s="3498"/>
      <c r="J9" s="3498"/>
    </row>
    <row r="10" spans="2:10">
      <c r="B10" s="1011" t="s">
        <v>680</v>
      </c>
      <c r="C10" s="1011" t="s">
        <v>1167</v>
      </c>
      <c r="E10" s="3498"/>
      <c r="F10" s="3498"/>
      <c r="G10" s="3498"/>
      <c r="H10" s="3498"/>
      <c r="I10" s="3498"/>
      <c r="J10" s="3498"/>
    </row>
    <row r="11" spans="2:10">
      <c r="B11" s="1011" t="s">
        <v>1168</v>
      </c>
      <c r="C11" s="1011" t="s">
        <v>1167</v>
      </c>
      <c r="E11" s="3498"/>
      <c r="F11" s="3498"/>
      <c r="G11" s="3498"/>
      <c r="H11" s="3498"/>
      <c r="I11" s="3498"/>
      <c r="J11" s="3498"/>
    </row>
    <row r="12" spans="2:10">
      <c r="B12" s="1011" t="s">
        <v>1169</v>
      </c>
      <c r="C12" s="1011" t="s">
        <v>1170</v>
      </c>
      <c r="E12" s="3498"/>
      <c r="F12" s="3498"/>
      <c r="G12" s="3498"/>
      <c r="H12" s="3498"/>
      <c r="I12" s="3498"/>
      <c r="J12" s="3498"/>
    </row>
    <row r="13" spans="2:10">
      <c r="B13" s="1011" t="s">
        <v>1171</v>
      </c>
      <c r="C13" s="1011" t="s">
        <v>1172</v>
      </c>
      <c r="E13" s="3498"/>
      <c r="F13" s="3498"/>
      <c r="G13" s="3498"/>
      <c r="H13" s="3498"/>
      <c r="I13" s="3498"/>
      <c r="J13" s="3498"/>
    </row>
    <row r="14" spans="2:10">
      <c r="B14" s="1011" t="s">
        <v>1173</v>
      </c>
      <c r="C14" s="1013" t="s">
        <v>1174</v>
      </c>
      <c r="E14" s="3498"/>
      <c r="F14" s="3498"/>
      <c r="G14" s="3498"/>
      <c r="H14" s="3498"/>
      <c r="I14" s="3498"/>
      <c r="J14" s="3498"/>
    </row>
    <row r="15" spans="2:10">
      <c r="B15" s="1011" t="s">
        <v>1175</v>
      </c>
      <c r="C15" s="1013" t="s">
        <v>1174</v>
      </c>
      <c r="E15" s="3498"/>
      <c r="F15" s="3498"/>
      <c r="G15" s="3498"/>
      <c r="H15" s="3498"/>
      <c r="I15" s="3498"/>
      <c r="J15" s="3498"/>
    </row>
    <row r="16" spans="2:10">
      <c r="B16" s="1011" t="s">
        <v>1176</v>
      </c>
      <c r="C16" s="1013" t="s">
        <v>1174</v>
      </c>
      <c r="E16" s="3498"/>
      <c r="F16" s="3498"/>
      <c r="G16" s="3498"/>
      <c r="H16" s="3498"/>
      <c r="I16" s="3498"/>
      <c r="J16" s="3498"/>
    </row>
    <row r="17" spans="2:10">
      <c r="B17" s="1011" t="s">
        <v>1177</v>
      </c>
      <c r="C17" s="1013" t="s">
        <v>1174</v>
      </c>
      <c r="E17" s="3498"/>
      <c r="F17" s="3498"/>
      <c r="G17" s="3498"/>
      <c r="H17" s="3498"/>
      <c r="I17" s="3498"/>
      <c r="J17" s="3498"/>
    </row>
    <row r="18" spans="2:10">
      <c r="B18" s="1014" t="s">
        <v>1178</v>
      </c>
      <c r="C18" s="1014" t="s">
        <v>1179</v>
      </c>
      <c r="E18" s="3498"/>
      <c r="F18" s="3498"/>
      <c r="G18" s="3498"/>
      <c r="H18" s="3498"/>
      <c r="I18" s="3498"/>
      <c r="J18" s="3498"/>
    </row>
    <row r="19" spans="2:10">
      <c r="E19" s="3498"/>
      <c r="F19" s="3498"/>
      <c r="G19" s="3498"/>
      <c r="H19" s="3498"/>
      <c r="I19" s="3498"/>
      <c r="J19" s="3498"/>
    </row>
    <row r="20" spans="2:10">
      <c r="B20" s="1009" t="s">
        <v>1180</v>
      </c>
      <c r="E20" s="3498"/>
      <c r="F20" s="3498"/>
      <c r="G20" s="3498"/>
      <c r="H20" s="3498"/>
      <c r="I20" s="3498"/>
      <c r="J20" s="3498"/>
    </row>
    <row r="21" spans="2:10">
      <c r="E21" s="3498"/>
      <c r="F21" s="3498"/>
      <c r="G21" s="3498"/>
      <c r="H21" s="3498"/>
      <c r="I21" s="3498"/>
      <c r="J21" s="3498"/>
    </row>
    <row r="22" spans="2:10">
      <c r="B22" s="1011" t="s">
        <v>1181</v>
      </c>
      <c r="C22" s="1011" t="s">
        <v>1167</v>
      </c>
      <c r="E22" s="3498"/>
      <c r="F22" s="3498"/>
      <c r="G22" s="3498"/>
      <c r="H22" s="3498"/>
      <c r="I22" s="3498"/>
      <c r="J22" s="3498"/>
    </row>
    <row r="23" spans="2:10">
      <c r="B23" s="1011" t="s">
        <v>1182</v>
      </c>
      <c r="C23" s="1011" t="s">
        <v>1183</v>
      </c>
      <c r="E23" s="3498"/>
      <c r="F23" s="3498"/>
      <c r="G23" s="3498"/>
      <c r="H23" s="3498"/>
      <c r="I23" s="3498"/>
      <c r="J23" s="3498"/>
    </row>
    <row r="24" spans="2:10">
      <c r="B24" s="1011" t="s">
        <v>1184</v>
      </c>
      <c r="C24" s="1011" t="s">
        <v>1185</v>
      </c>
      <c r="E24" s="3498"/>
      <c r="F24" s="3498"/>
      <c r="G24" s="3498"/>
      <c r="H24" s="3498"/>
      <c r="I24" s="3498"/>
      <c r="J24" s="3498"/>
    </row>
    <row r="25" spans="2:10">
      <c r="B25" s="1011" t="s">
        <v>1186</v>
      </c>
      <c r="C25" s="1012" t="s">
        <v>1187</v>
      </c>
      <c r="E25" s="3498"/>
      <c r="F25" s="3498"/>
      <c r="G25" s="3498"/>
      <c r="H25" s="3498"/>
      <c r="I25" s="3498"/>
      <c r="J25" s="3498"/>
    </row>
    <row r="26" spans="2:10">
      <c r="E26" s="3498"/>
      <c r="F26" s="3498"/>
      <c r="G26" s="3498"/>
      <c r="H26" s="3498"/>
      <c r="I26" s="3498"/>
      <c r="J26" s="3498"/>
    </row>
    <row r="27" spans="2:10">
      <c r="E27" s="3498"/>
      <c r="F27" s="3498"/>
      <c r="G27" s="3498"/>
      <c r="H27" s="3498"/>
      <c r="I27" s="3498"/>
      <c r="J27" s="3498"/>
    </row>
    <row r="28" spans="2:10">
      <c r="E28" s="3498"/>
      <c r="F28" s="3498"/>
      <c r="G28" s="3498"/>
      <c r="H28" s="3498"/>
      <c r="I28" s="3498"/>
      <c r="J28" s="3498"/>
    </row>
    <row r="29" spans="2:10">
      <c r="E29" s="3498"/>
      <c r="F29" s="3498"/>
      <c r="G29" s="3498"/>
      <c r="H29" s="3498"/>
      <c r="I29" s="3498"/>
      <c r="J29" s="3498"/>
    </row>
    <row r="30" spans="2:10">
      <c r="E30" s="3498"/>
      <c r="F30" s="3498"/>
      <c r="G30" s="3498"/>
      <c r="H30" s="3498"/>
      <c r="I30" s="3498"/>
      <c r="J30" s="3498"/>
    </row>
    <row r="31" spans="2:10">
      <c r="E31" s="3498"/>
      <c r="F31" s="3498"/>
      <c r="G31" s="3498"/>
      <c r="H31" s="3498"/>
      <c r="I31" s="3498"/>
      <c r="J31" s="3498"/>
    </row>
    <row r="32" spans="2:10">
      <c r="E32" s="3498"/>
      <c r="F32" s="3498"/>
      <c r="G32" s="3498"/>
      <c r="H32" s="3498"/>
      <c r="I32" s="3498"/>
      <c r="J32" s="3498"/>
    </row>
    <row r="33" spans="5:10">
      <c r="E33" s="3498"/>
      <c r="F33" s="3498"/>
      <c r="G33" s="3498"/>
      <c r="H33" s="3498"/>
      <c r="I33" s="3498"/>
      <c r="J33" s="3498"/>
    </row>
    <row r="34" spans="5:10">
      <c r="E34" s="3498"/>
      <c r="F34" s="3498"/>
      <c r="G34" s="3498"/>
      <c r="H34" s="3498"/>
      <c r="I34" s="3498"/>
      <c r="J34" s="3498"/>
    </row>
    <row r="35" spans="5:10">
      <c r="E35" s="3498"/>
      <c r="F35" s="3498"/>
      <c r="G35" s="3498"/>
      <c r="H35" s="3498"/>
      <c r="I35" s="3498"/>
      <c r="J35" s="3498"/>
    </row>
    <row r="36" spans="5:10">
      <c r="E36" s="3498"/>
      <c r="F36" s="3498"/>
      <c r="G36" s="3498"/>
      <c r="H36" s="3498"/>
      <c r="I36" s="3498"/>
      <c r="J36" s="3498"/>
    </row>
    <row r="37" spans="5:10">
      <c r="E37" s="3498"/>
      <c r="F37" s="3498"/>
      <c r="G37" s="3498"/>
      <c r="H37" s="3498"/>
      <c r="I37" s="3498"/>
      <c r="J37" s="3498"/>
    </row>
    <row r="38" spans="5:10">
      <c r="E38" s="3498"/>
      <c r="F38" s="3498"/>
      <c r="G38" s="3498"/>
      <c r="H38" s="3498"/>
      <c r="I38" s="3498"/>
      <c r="J38" s="3498"/>
    </row>
    <row r="39" spans="5:10">
      <c r="E39" s="3498"/>
      <c r="F39" s="3498"/>
      <c r="G39" s="3498"/>
      <c r="H39" s="3498"/>
      <c r="I39" s="3498"/>
      <c r="J39" s="3498"/>
    </row>
    <row r="40" spans="5:10">
      <c r="E40" s="3498"/>
      <c r="F40" s="3498"/>
      <c r="G40" s="3498"/>
      <c r="H40" s="3498"/>
      <c r="I40" s="3498"/>
      <c r="J40" s="3498"/>
    </row>
    <row r="41" spans="5:10">
      <c r="E41" s="3498"/>
      <c r="F41" s="3498"/>
      <c r="G41" s="3498"/>
      <c r="H41" s="3498"/>
      <c r="I41" s="3498"/>
      <c r="J41" s="3498"/>
    </row>
    <row r="42" spans="5:10">
      <c r="E42" s="3498"/>
      <c r="F42" s="3498"/>
      <c r="G42" s="3498"/>
      <c r="H42" s="3498"/>
      <c r="I42" s="3498"/>
      <c r="J42" s="3498"/>
    </row>
    <row r="43" spans="5:10">
      <c r="E43" s="3498"/>
      <c r="F43" s="3498"/>
      <c r="G43" s="3498"/>
      <c r="H43" s="3498"/>
      <c r="I43" s="3498"/>
      <c r="J43" s="3498"/>
    </row>
    <row r="44" spans="5:10">
      <c r="E44" s="3498"/>
      <c r="F44" s="3498"/>
      <c r="G44" s="3498"/>
      <c r="H44" s="3498"/>
      <c r="I44" s="3498"/>
      <c r="J44" s="3498"/>
    </row>
    <row r="45" spans="5:10">
      <c r="E45" s="3498"/>
      <c r="F45" s="3498"/>
      <c r="G45" s="3498"/>
      <c r="H45" s="3498"/>
      <c r="I45" s="3498"/>
      <c r="J45" s="3498"/>
    </row>
    <row r="46" spans="5:10">
      <c r="E46" s="3498"/>
      <c r="F46" s="3498"/>
      <c r="G46" s="3498"/>
      <c r="H46" s="3498"/>
      <c r="I46" s="3498"/>
      <c r="J46" s="3498"/>
    </row>
    <row r="47" spans="5:10">
      <c r="E47" s="3498"/>
      <c r="F47" s="3498"/>
      <c r="G47" s="3498"/>
      <c r="H47" s="3498"/>
      <c r="I47" s="3498"/>
      <c r="J47" s="3498"/>
    </row>
    <row r="48" spans="5:10">
      <c r="E48" s="3498"/>
      <c r="F48" s="3498"/>
      <c r="G48" s="3498"/>
      <c r="H48" s="3498"/>
      <c r="I48" s="3498"/>
      <c r="J48" s="3498"/>
    </row>
    <row r="49" spans="5:10">
      <c r="E49" s="3498"/>
      <c r="F49" s="3498"/>
      <c r="G49" s="3498"/>
      <c r="H49" s="3498"/>
      <c r="I49" s="3498"/>
      <c r="J49" s="3498"/>
    </row>
    <row r="50" spans="5:10">
      <c r="E50" s="3498"/>
      <c r="F50" s="3498"/>
      <c r="G50" s="3498"/>
      <c r="H50" s="3498"/>
      <c r="I50" s="3498"/>
      <c r="J50" s="3498"/>
    </row>
    <row r="51" spans="5:10">
      <c r="E51" s="3498"/>
      <c r="F51" s="3498"/>
      <c r="G51" s="3498"/>
      <c r="H51" s="3498"/>
      <c r="I51" s="3498"/>
      <c r="J51" s="3498"/>
    </row>
    <row r="52" spans="5:10">
      <c r="E52" s="3498"/>
      <c r="F52" s="3498"/>
      <c r="G52" s="3498"/>
      <c r="H52" s="3498"/>
      <c r="I52" s="3498"/>
      <c r="J52" s="3498"/>
    </row>
    <row r="53" spans="5:10">
      <c r="E53" s="3498"/>
      <c r="F53" s="3498"/>
      <c r="G53" s="3498"/>
      <c r="H53" s="3498"/>
      <c r="I53" s="3498"/>
      <c r="J53" s="3498"/>
    </row>
    <row r="54" spans="5:10">
      <c r="E54" s="3498"/>
      <c r="F54" s="3498"/>
      <c r="G54" s="3498"/>
      <c r="H54" s="3498"/>
      <c r="I54" s="3498"/>
      <c r="J54" s="3498"/>
    </row>
    <row r="55" spans="5:10">
      <c r="E55" s="3498"/>
      <c r="F55" s="3498"/>
      <c r="G55" s="3498"/>
      <c r="H55" s="3498"/>
      <c r="I55" s="3498"/>
      <c r="J55" s="3498"/>
    </row>
    <row r="56" spans="5:10">
      <c r="E56" s="3498"/>
      <c r="F56" s="3498"/>
      <c r="G56" s="3498"/>
      <c r="H56" s="3498"/>
      <c r="I56" s="3498"/>
      <c r="J56" s="3498"/>
    </row>
    <row r="57" spans="5:10">
      <c r="E57" s="3498"/>
      <c r="F57" s="3498"/>
      <c r="G57" s="3498"/>
      <c r="H57" s="3498"/>
      <c r="I57" s="3498"/>
      <c r="J57" s="3498"/>
    </row>
    <row r="58" spans="5:10">
      <c r="E58" s="3498"/>
      <c r="F58" s="3498"/>
      <c r="G58" s="3498"/>
      <c r="H58" s="3498"/>
      <c r="I58" s="3498"/>
      <c r="J58" s="3498"/>
    </row>
    <row r="59" spans="5:10">
      <c r="E59" s="3498"/>
      <c r="F59" s="3498"/>
      <c r="G59" s="3498"/>
      <c r="H59" s="3498"/>
      <c r="I59" s="3498"/>
      <c r="J59" s="3498"/>
    </row>
    <row r="60" spans="5:10">
      <c r="E60" s="3498"/>
      <c r="F60" s="3498"/>
      <c r="G60" s="3498"/>
      <c r="H60" s="3498"/>
      <c r="I60" s="3498"/>
      <c r="J60" s="3498"/>
    </row>
    <row r="61" spans="5:10">
      <c r="E61" s="3498"/>
      <c r="F61" s="3498"/>
      <c r="G61" s="3498"/>
      <c r="H61" s="3498"/>
      <c r="I61" s="3498"/>
      <c r="J61" s="3498"/>
    </row>
    <row r="62" spans="5:10">
      <c r="E62" s="3498"/>
      <c r="F62" s="3498"/>
      <c r="G62" s="3498"/>
      <c r="H62" s="3498"/>
      <c r="I62" s="3498"/>
      <c r="J62" s="3498"/>
    </row>
    <row r="63" spans="5:10">
      <c r="E63" s="3498"/>
      <c r="F63" s="3498"/>
      <c r="G63" s="3498"/>
      <c r="H63" s="3498"/>
      <c r="I63" s="3498"/>
      <c r="J63" s="3498"/>
    </row>
    <row r="64" spans="5:10">
      <c r="E64" s="3498"/>
      <c r="F64" s="3498"/>
      <c r="G64" s="3498"/>
      <c r="H64" s="3498"/>
      <c r="I64" s="3498"/>
      <c r="J64" s="3498"/>
    </row>
    <row r="65" spans="5:10">
      <c r="E65" s="3498"/>
      <c r="F65" s="3498"/>
      <c r="G65" s="3498"/>
      <c r="H65" s="3498"/>
      <c r="I65" s="3498"/>
      <c r="J65" s="3498"/>
    </row>
    <row r="66" spans="5:10">
      <c r="E66" s="3498"/>
      <c r="F66" s="3498"/>
      <c r="G66" s="3498"/>
      <c r="H66" s="3498"/>
      <c r="I66" s="3498"/>
      <c r="J66" s="3498"/>
    </row>
    <row r="67" spans="5:10">
      <c r="E67" s="3498"/>
      <c r="F67" s="3498"/>
      <c r="G67" s="3498"/>
      <c r="H67" s="3498"/>
      <c r="I67" s="3498"/>
      <c r="J67" s="3498"/>
    </row>
    <row r="68" spans="5:10">
      <c r="E68" s="3498"/>
      <c r="F68" s="3498"/>
      <c r="G68" s="3498"/>
      <c r="H68" s="3498"/>
      <c r="I68" s="3498"/>
      <c r="J68" s="3498"/>
    </row>
    <row r="69" spans="5:10">
      <c r="E69" s="3498"/>
      <c r="F69" s="3498"/>
      <c r="G69" s="3498"/>
      <c r="H69" s="3498"/>
      <c r="I69" s="3498"/>
      <c r="J69" s="3498"/>
    </row>
    <row r="70" spans="5:10">
      <c r="E70" s="3498"/>
      <c r="F70" s="3498"/>
      <c r="G70" s="3498"/>
      <c r="H70" s="3498"/>
      <c r="I70" s="3498"/>
      <c r="J70" s="3498"/>
    </row>
    <row r="71" spans="5:10">
      <c r="E71" s="3498"/>
      <c r="F71" s="3498"/>
      <c r="G71" s="3498"/>
      <c r="H71" s="3498"/>
      <c r="I71" s="3498"/>
      <c r="J71" s="3498"/>
    </row>
    <row r="72" spans="5:10">
      <c r="E72" s="3498"/>
      <c r="F72" s="3498"/>
      <c r="G72" s="3498"/>
      <c r="H72" s="3498"/>
      <c r="I72" s="3498"/>
      <c r="J72" s="3498"/>
    </row>
    <row r="73" spans="5:10">
      <c r="E73" s="3498"/>
      <c r="F73" s="3498"/>
      <c r="G73" s="3498"/>
      <c r="H73" s="3498"/>
      <c r="I73" s="3498"/>
      <c r="J73" s="3498"/>
    </row>
    <row r="74" spans="5:10">
      <c r="E74" s="3498"/>
      <c r="F74" s="3498"/>
      <c r="G74" s="3498"/>
      <c r="H74" s="3498"/>
      <c r="I74" s="3498"/>
      <c r="J74" s="3498"/>
    </row>
    <row r="75" spans="5:10">
      <c r="E75" s="3498"/>
      <c r="F75" s="3498"/>
      <c r="G75" s="3498"/>
      <c r="H75" s="3498"/>
      <c r="I75" s="3498"/>
      <c r="J75" s="3498"/>
    </row>
    <row r="76" spans="5:10">
      <c r="E76" s="3498"/>
      <c r="F76" s="3498"/>
      <c r="G76" s="3498"/>
      <c r="H76" s="3498"/>
      <c r="I76" s="3498"/>
      <c r="J76" s="3498"/>
    </row>
    <row r="77" spans="5:10">
      <c r="E77" s="3498"/>
      <c r="F77" s="3498"/>
      <c r="G77" s="3498"/>
      <c r="H77" s="3498"/>
      <c r="I77" s="3498"/>
      <c r="J77" s="3498"/>
    </row>
    <row r="78" spans="5:10">
      <c r="E78" s="3498"/>
      <c r="F78" s="3498"/>
      <c r="G78" s="3498"/>
      <c r="H78" s="3498"/>
      <c r="I78" s="3498"/>
      <c r="J78" s="3498"/>
    </row>
    <row r="79" spans="5:10">
      <c r="E79" s="3498"/>
      <c r="F79" s="3498"/>
      <c r="G79" s="3498"/>
      <c r="H79" s="3498"/>
      <c r="I79" s="3498"/>
      <c r="J79" s="3498"/>
    </row>
    <row r="80" spans="5:10">
      <c r="E80" s="3498"/>
      <c r="F80" s="3498"/>
      <c r="G80" s="3498"/>
      <c r="H80" s="3498"/>
      <c r="I80" s="3498"/>
      <c r="J80" s="3498"/>
    </row>
    <row r="81" spans="5:10">
      <c r="E81" s="3498"/>
      <c r="F81" s="3498"/>
      <c r="G81" s="3498"/>
      <c r="H81" s="3498"/>
      <c r="I81" s="3498"/>
      <c r="J81" s="3498"/>
    </row>
    <row r="82" spans="5:10">
      <c r="E82" s="3498"/>
      <c r="F82" s="3498"/>
      <c r="G82" s="3498"/>
      <c r="H82" s="3498"/>
      <c r="I82" s="3498"/>
      <c r="J82" s="3498"/>
    </row>
    <row r="83" spans="5:10">
      <c r="E83" s="3498"/>
      <c r="F83" s="3498"/>
      <c r="G83" s="3498"/>
      <c r="H83" s="3498"/>
      <c r="I83" s="3498"/>
      <c r="J83" s="3498"/>
    </row>
    <row r="84" spans="5:10">
      <c r="E84" s="3498"/>
      <c r="F84" s="3498"/>
      <c r="G84" s="3498"/>
      <c r="H84" s="3498"/>
      <c r="I84" s="3498"/>
      <c r="J84" s="3498"/>
    </row>
    <row r="85" spans="5:10">
      <c r="E85" s="3498"/>
      <c r="F85" s="3498"/>
      <c r="G85" s="3498"/>
      <c r="H85" s="3498"/>
      <c r="I85" s="3498"/>
      <c r="J85" s="3498"/>
    </row>
    <row r="86" spans="5:10">
      <c r="E86" s="3498"/>
      <c r="F86" s="3498"/>
      <c r="G86" s="3498"/>
      <c r="H86" s="3498"/>
      <c r="I86" s="3498"/>
      <c r="J86" s="3498"/>
    </row>
    <row r="87" spans="5:10">
      <c r="E87" s="3498"/>
      <c r="F87" s="3498"/>
      <c r="G87" s="3498"/>
      <c r="H87" s="3498"/>
      <c r="I87" s="3498"/>
      <c r="J87" s="3498"/>
    </row>
    <row r="88" spans="5:10">
      <c r="E88" s="3498"/>
      <c r="F88" s="3498"/>
      <c r="G88" s="3498"/>
      <c r="H88" s="3498"/>
      <c r="I88" s="3498"/>
      <c r="J88" s="3498"/>
    </row>
    <row r="89" spans="5:10">
      <c r="E89" s="3498"/>
      <c r="F89" s="3498"/>
      <c r="G89" s="3498"/>
      <c r="H89" s="3498"/>
      <c r="I89" s="3498"/>
      <c r="J89" s="3498"/>
    </row>
    <row r="90" spans="5:10">
      <c r="E90" s="3498"/>
      <c r="F90" s="3498"/>
      <c r="G90" s="3498"/>
      <c r="H90" s="3498"/>
      <c r="I90" s="3498"/>
      <c r="J90" s="3498"/>
    </row>
    <row r="91" spans="5:10">
      <c r="E91" s="3498"/>
      <c r="F91" s="3498"/>
      <c r="G91" s="3498"/>
      <c r="H91" s="3498"/>
      <c r="I91" s="3498"/>
      <c r="J91" s="3498"/>
    </row>
    <row r="92" spans="5:10">
      <c r="E92" s="3498"/>
      <c r="F92" s="3498"/>
      <c r="G92" s="3498"/>
      <c r="H92" s="3498"/>
      <c r="I92" s="3498"/>
      <c r="J92" s="3498"/>
    </row>
    <row r="93" spans="5:10">
      <c r="E93" s="3498"/>
      <c r="F93" s="3498"/>
      <c r="G93" s="3498"/>
      <c r="H93" s="3498"/>
      <c r="I93" s="3498"/>
      <c r="J93" s="3498"/>
    </row>
    <row r="94" spans="5:10">
      <c r="E94" s="3498"/>
      <c r="F94" s="3498"/>
      <c r="G94" s="3498"/>
      <c r="H94" s="3498"/>
      <c r="I94" s="3498"/>
      <c r="J94" s="3498"/>
    </row>
    <row r="95" spans="5:10">
      <c r="E95" s="3498"/>
      <c r="F95" s="3498"/>
      <c r="G95" s="3498"/>
      <c r="H95" s="3498"/>
      <c r="I95" s="3498"/>
      <c r="J95" s="3498"/>
    </row>
    <row r="96" spans="5:10">
      <c r="E96" s="3498"/>
      <c r="F96" s="3498"/>
      <c r="G96" s="3498"/>
      <c r="H96" s="3498"/>
      <c r="I96" s="3498"/>
      <c r="J96" s="3498"/>
    </row>
    <row r="97" spans="5:10">
      <c r="E97" s="3498"/>
      <c r="F97" s="3498"/>
      <c r="G97" s="3498"/>
      <c r="H97" s="3498"/>
      <c r="I97" s="3498"/>
      <c r="J97" s="3498"/>
    </row>
    <row r="98" spans="5:10">
      <c r="E98" s="3498"/>
      <c r="F98" s="3498"/>
      <c r="G98" s="3498"/>
      <c r="H98" s="3498"/>
      <c r="I98" s="3498"/>
      <c r="J98" s="3498"/>
    </row>
    <row r="99" spans="5:10">
      <c r="E99" s="3498"/>
      <c r="F99" s="3498"/>
      <c r="G99" s="3498"/>
      <c r="H99" s="3498"/>
      <c r="I99" s="3498"/>
      <c r="J99" s="3498"/>
    </row>
    <row r="100" spans="5:10">
      <c r="E100" s="3498"/>
      <c r="F100" s="3498"/>
      <c r="G100" s="3498"/>
      <c r="H100" s="3498"/>
      <c r="I100" s="3498"/>
      <c r="J100" s="3498"/>
    </row>
    <row r="101" spans="5:10">
      <c r="E101" s="3498"/>
      <c r="F101" s="3498"/>
      <c r="G101" s="3498"/>
      <c r="H101" s="3498"/>
      <c r="I101" s="3498"/>
      <c r="J101" s="3498"/>
    </row>
    <row r="102" spans="5:10">
      <c r="E102" s="3498"/>
      <c r="F102" s="3498"/>
      <c r="G102" s="3498"/>
      <c r="H102" s="3498"/>
      <c r="I102" s="3498"/>
      <c r="J102" s="3498"/>
    </row>
    <row r="103" spans="5:10">
      <c r="E103" s="3498"/>
      <c r="F103" s="3498"/>
      <c r="G103" s="3498"/>
      <c r="H103" s="3498"/>
      <c r="I103" s="3498"/>
      <c r="J103" s="3498"/>
    </row>
    <row r="104" spans="5:10">
      <c r="E104" s="3498"/>
      <c r="F104" s="3498"/>
      <c r="G104" s="3498"/>
      <c r="H104" s="3498"/>
      <c r="I104" s="3498"/>
      <c r="J104" s="3498"/>
    </row>
    <row r="105" spans="5:10">
      <c r="E105" s="3498"/>
      <c r="F105" s="3498"/>
      <c r="G105" s="3498"/>
      <c r="H105" s="3498"/>
      <c r="I105" s="3498"/>
      <c r="J105" s="3498"/>
    </row>
    <row r="106" spans="5:10">
      <c r="E106" s="3498"/>
      <c r="F106" s="3498"/>
      <c r="G106" s="3498"/>
      <c r="H106" s="3498"/>
      <c r="I106" s="3498"/>
      <c r="J106" s="3498"/>
    </row>
    <row r="107" spans="5:10">
      <c r="E107" s="3498"/>
      <c r="F107" s="3498"/>
      <c r="G107" s="3498"/>
      <c r="H107" s="3498"/>
      <c r="I107" s="3498"/>
      <c r="J107" s="3498"/>
    </row>
    <row r="108" spans="5:10">
      <c r="E108" s="3498"/>
      <c r="F108" s="3498"/>
      <c r="G108" s="3498"/>
      <c r="H108" s="3498"/>
      <c r="I108" s="3498"/>
      <c r="J108" s="3498"/>
    </row>
    <row r="109" spans="5:10">
      <c r="E109" s="3498"/>
      <c r="F109" s="3498"/>
      <c r="G109" s="3498"/>
      <c r="H109" s="3498"/>
      <c r="I109" s="3498"/>
      <c r="J109" s="3498"/>
    </row>
    <row r="110" spans="5:10">
      <c r="E110" s="3498"/>
      <c r="F110" s="3498"/>
      <c r="G110" s="3498"/>
      <c r="H110" s="3498"/>
      <c r="I110" s="3498"/>
      <c r="J110" s="3498"/>
    </row>
    <row r="111" spans="5:10">
      <c r="E111" s="3498"/>
      <c r="F111" s="3498"/>
      <c r="G111" s="3498"/>
      <c r="H111" s="3498"/>
      <c r="I111" s="3498"/>
      <c r="J111" s="3498"/>
    </row>
    <row r="112" spans="5:10">
      <c r="E112" s="3498"/>
      <c r="F112" s="3498"/>
      <c r="G112" s="3498"/>
      <c r="H112" s="3498"/>
      <c r="I112" s="3498"/>
      <c r="J112" s="3498"/>
    </row>
    <row r="113" spans="5:10">
      <c r="E113" s="3498"/>
      <c r="F113" s="3498"/>
      <c r="G113" s="3498"/>
      <c r="H113" s="3498"/>
      <c r="I113" s="3498"/>
      <c r="J113" s="3498"/>
    </row>
    <row r="114" spans="5:10">
      <c r="E114" s="3498"/>
      <c r="F114" s="3498"/>
      <c r="G114" s="3498"/>
      <c r="H114" s="3498"/>
      <c r="I114" s="3498"/>
      <c r="J114" s="3498"/>
    </row>
    <row r="115" spans="5:10">
      <c r="E115" s="3498"/>
      <c r="F115" s="3498"/>
      <c r="G115" s="3498"/>
      <c r="H115" s="3498"/>
      <c r="I115" s="3498"/>
      <c r="J115" s="3498"/>
    </row>
    <row r="116" spans="5:10">
      <c r="E116" s="3498"/>
      <c r="F116" s="3498"/>
      <c r="G116" s="3498"/>
      <c r="H116" s="3498"/>
      <c r="I116" s="3498"/>
      <c r="J116" s="3498"/>
    </row>
    <row r="117" spans="5:10">
      <c r="E117" s="3498"/>
      <c r="F117" s="3498"/>
      <c r="G117" s="3498"/>
      <c r="H117" s="3498"/>
      <c r="I117" s="3498"/>
      <c r="J117" s="3498"/>
    </row>
    <row r="118" spans="5:10">
      <c r="E118" s="3498"/>
      <c r="F118" s="3498"/>
      <c r="G118" s="3498"/>
      <c r="H118" s="3498"/>
      <c r="I118" s="3498"/>
      <c r="J118" s="3498"/>
    </row>
    <row r="119" spans="5:10">
      <c r="E119" s="3498"/>
      <c r="F119" s="3498"/>
      <c r="G119" s="3498"/>
      <c r="H119" s="3498"/>
      <c r="I119" s="3498"/>
      <c r="J119" s="3498"/>
    </row>
    <row r="120" spans="5:10">
      <c r="E120" s="3498"/>
      <c r="F120" s="3498"/>
      <c r="G120" s="3498"/>
      <c r="H120" s="3498"/>
      <c r="I120" s="3498"/>
      <c r="J120" s="3498"/>
    </row>
    <row r="121" spans="5:10">
      <c r="E121" s="3498"/>
      <c r="F121" s="3498"/>
      <c r="G121" s="3498"/>
      <c r="H121" s="3498"/>
      <c r="I121" s="3498"/>
      <c r="J121" s="3498"/>
    </row>
    <row r="122" spans="5:10">
      <c r="E122" s="3498"/>
      <c r="F122" s="3498"/>
      <c r="G122" s="3498"/>
      <c r="H122" s="3498"/>
      <c r="I122" s="3498"/>
      <c r="J122" s="3498"/>
    </row>
    <row r="123" spans="5:10">
      <c r="E123" s="3498"/>
      <c r="F123" s="3498"/>
      <c r="G123" s="3498"/>
      <c r="H123" s="3498"/>
      <c r="I123" s="3498"/>
      <c r="J123" s="3498"/>
    </row>
    <row r="124" spans="5:10">
      <c r="E124" s="3498"/>
      <c r="F124" s="3498"/>
      <c r="G124" s="3498"/>
      <c r="H124" s="3498"/>
      <c r="I124" s="3498"/>
      <c r="J124" s="3498"/>
    </row>
    <row r="125" spans="5:10">
      <c r="E125" s="3498"/>
      <c r="F125" s="3498"/>
      <c r="G125" s="3498"/>
      <c r="H125" s="3498"/>
      <c r="I125" s="3498"/>
      <c r="J125" s="3498"/>
    </row>
    <row r="126" spans="5:10">
      <c r="E126" s="3498"/>
      <c r="F126" s="3498"/>
      <c r="G126" s="3498"/>
      <c r="H126" s="3498"/>
      <c r="I126" s="3498"/>
      <c r="J126" s="3498"/>
    </row>
    <row r="127" spans="5:10">
      <c r="E127" s="3498"/>
      <c r="F127" s="3498"/>
      <c r="G127" s="3498"/>
      <c r="H127" s="3498"/>
      <c r="I127" s="3498"/>
      <c r="J127" s="3498"/>
    </row>
    <row r="128" spans="5:10">
      <c r="E128" s="3498"/>
      <c r="F128" s="3498"/>
      <c r="G128" s="3498"/>
      <c r="H128" s="3498"/>
      <c r="I128" s="3498"/>
      <c r="J128" s="3498"/>
    </row>
    <row r="129" spans="5:10">
      <c r="E129" s="3498"/>
      <c r="F129" s="3498"/>
      <c r="G129" s="3498"/>
      <c r="H129" s="3498"/>
      <c r="I129" s="3498"/>
      <c r="J129" s="3498"/>
    </row>
    <row r="130" spans="5:10">
      <c r="E130" s="3498"/>
      <c r="F130" s="3498"/>
      <c r="G130" s="3498"/>
      <c r="H130" s="3498"/>
      <c r="I130" s="3498"/>
      <c r="J130" s="3498"/>
    </row>
    <row r="131" spans="5:10">
      <c r="E131" s="3498"/>
      <c r="F131" s="3498"/>
      <c r="G131" s="3498"/>
      <c r="H131" s="3498"/>
      <c r="I131" s="3498"/>
      <c r="J131" s="3498"/>
    </row>
    <row r="132" spans="5:10">
      <c r="E132" s="3498"/>
      <c r="F132" s="3498"/>
      <c r="G132" s="3498"/>
      <c r="H132" s="3498"/>
      <c r="I132" s="3498"/>
      <c r="J132" s="3498"/>
    </row>
    <row r="133" spans="5:10">
      <c r="E133" s="3498"/>
      <c r="F133" s="3498"/>
      <c r="G133" s="3498"/>
      <c r="H133" s="3498"/>
      <c r="I133" s="3498"/>
      <c r="J133" s="3498"/>
    </row>
    <row r="134" spans="5:10">
      <c r="E134" s="3498"/>
      <c r="F134" s="3498"/>
      <c r="G134" s="3498"/>
      <c r="H134" s="3498"/>
      <c r="I134" s="3498"/>
      <c r="J134" s="3498"/>
    </row>
    <row r="135" spans="5:10">
      <c r="E135" s="3498"/>
      <c r="F135" s="3498"/>
      <c r="G135" s="3498"/>
      <c r="H135" s="3498"/>
      <c r="I135" s="3498"/>
      <c r="J135" s="3498"/>
    </row>
    <row r="136" spans="5:10">
      <c r="E136" s="3498"/>
      <c r="F136" s="3498"/>
      <c r="G136" s="3498"/>
      <c r="H136" s="3498"/>
      <c r="I136" s="3498"/>
      <c r="J136" s="3498"/>
    </row>
    <row r="137" spans="5:10">
      <c r="E137" s="3498"/>
      <c r="F137" s="3498"/>
      <c r="G137" s="3498"/>
      <c r="H137" s="3498"/>
      <c r="I137" s="3498"/>
      <c r="J137" s="3498"/>
    </row>
    <row r="138" spans="5:10">
      <c r="E138" s="3498"/>
      <c r="F138" s="3498"/>
      <c r="G138" s="3498"/>
      <c r="H138" s="3498"/>
      <c r="I138" s="3498"/>
      <c r="J138" s="3498"/>
    </row>
    <row r="139" spans="5:10">
      <c r="E139" s="3498"/>
      <c r="F139" s="3498"/>
      <c r="G139" s="3498"/>
      <c r="H139" s="3498"/>
      <c r="I139" s="3498"/>
      <c r="J139" s="3498"/>
    </row>
    <row r="140" spans="5:10">
      <c r="E140" s="3498"/>
      <c r="F140" s="3498"/>
      <c r="G140" s="3498"/>
      <c r="H140" s="3498"/>
      <c r="I140" s="3498"/>
      <c r="J140" s="3498"/>
    </row>
    <row r="141" spans="5:10">
      <c r="E141" s="3498"/>
      <c r="F141" s="3498"/>
      <c r="G141" s="3498"/>
      <c r="H141" s="3498"/>
      <c r="I141" s="3498"/>
      <c r="J141" s="3498"/>
    </row>
    <row r="142" spans="5:10">
      <c r="E142" s="3498"/>
      <c r="F142" s="3498"/>
      <c r="G142" s="3498"/>
      <c r="H142" s="3498"/>
      <c r="I142" s="3498"/>
      <c r="J142" s="3498"/>
    </row>
    <row r="143" spans="5:10">
      <c r="E143" s="3498"/>
      <c r="F143" s="3498"/>
      <c r="G143" s="3498"/>
      <c r="H143" s="3498"/>
      <c r="I143" s="3498"/>
      <c r="J143" s="3498"/>
    </row>
    <row r="144" spans="5:10">
      <c r="E144" s="3498"/>
      <c r="F144" s="3498"/>
      <c r="G144" s="3498"/>
      <c r="H144" s="3498"/>
      <c r="I144" s="3498"/>
      <c r="J144" s="3498"/>
    </row>
    <row r="145" spans="5:10">
      <c r="E145" s="3498"/>
      <c r="F145" s="3498"/>
      <c r="G145" s="3498"/>
      <c r="H145" s="3498"/>
      <c r="I145" s="3498"/>
      <c r="J145" s="3498"/>
    </row>
    <row r="146" spans="5:10">
      <c r="E146" s="3498"/>
      <c r="F146" s="3498"/>
      <c r="G146" s="3498"/>
      <c r="H146" s="3498"/>
      <c r="I146" s="3498"/>
      <c r="J146" s="3498"/>
    </row>
    <row r="147" spans="5:10">
      <c r="E147" s="3498"/>
      <c r="F147" s="3498"/>
      <c r="G147" s="3498"/>
      <c r="H147" s="3498"/>
      <c r="I147" s="3498"/>
      <c r="J147" s="3498"/>
    </row>
    <row r="148" spans="5:10">
      <c r="E148" s="3498"/>
      <c r="F148" s="3498"/>
      <c r="G148" s="3498"/>
      <c r="H148" s="3498"/>
      <c r="I148" s="3498"/>
      <c r="J148" s="3498"/>
    </row>
    <row r="149" spans="5:10">
      <c r="E149" s="3498"/>
      <c r="F149" s="3498"/>
      <c r="G149" s="3498"/>
      <c r="H149" s="3498"/>
      <c r="I149" s="3498"/>
      <c r="J149" s="3498"/>
    </row>
    <row r="150" spans="5:10">
      <c r="E150" s="3498"/>
      <c r="F150" s="3498"/>
      <c r="G150" s="3498"/>
      <c r="H150" s="3498"/>
      <c r="I150" s="3498"/>
      <c r="J150" s="3498"/>
    </row>
    <row r="151" spans="5:10">
      <c r="E151" s="3498"/>
      <c r="F151" s="3498"/>
      <c r="G151" s="3498"/>
      <c r="H151" s="3498"/>
      <c r="I151" s="3498"/>
      <c r="J151" s="3498"/>
    </row>
    <row r="152" spans="5:10">
      <c r="E152" s="3498"/>
      <c r="F152" s="3498"/>
      <c r="G152" s="3498"/>
      <c r="H152" s="3498"/>
      <c r="I152" s="3498"/>
      <c r="J152" s="3498"/>
    </row>
    <row r="153" spans="5:10">
      <c r="E153" s="3498"/>
      <c r="F153" s="3498"/>
      <c r="G153" s="3498"/>
      <c r="H153" s="3498"/>
      <c r="I153" s="3498"/>
      <c r="J153" s="3498"/>
    </row>
    <row r="154" spans="5:10">
      <c r="E154" s="3498"/>
      <c r="F154" s="3498"/>
      <c r="G154" s="3498"/>
      <c r="H154" s="3498"/>
      <c r="I154" s="3498"/>
      <c r="J154" s="3498"/>
    </row>
    <row r="155" spans="5:10">
      <c r="E155" s="3498"/>
      <c r="F155" s="3498"/>
      <c r="G155" s="3498"/>
      <c r="H155" s="3498"/>
      <c r="I155" s="3498"/>
      <c r="J155" s="3498"/>
    </row>
    <row r="156" spans="5:10">
      <c r="E156" s="3498"/>
      <c r="F156" s="3498"/>
      <c r="G156" s="3498"/>
      <c r="H156" s="3498"/>
      <c r="I156" s="3498"/>
      <c r="J156" s="3498"/>
    </row>
    <row r="157" spans="5:10">
      <c r="E157" s="3498"/>
      <c r="F157" s="3498"/>
      <c r="G157" s="3498"/>
      <c r="H157" s="3498"/>
      <c r="I157" s="3498"/>
      <c r="J157" s="3498"/>
    </row>
    <row r="158" spans="5:10">
      <c r="E158" s="3498"/>
      <c r="F158" s="3498"/>
      <c r="G158" s="3498"/>
      <c r="H158" s="3498"/>
      <c r="I158" s="3498"/>
      <c r="J158" s="3498"/>
    </row>
    <row r="159" spans="5:10">
      <c r="E159" s="3498"/>
      <c r="F159" s="3498"/>
      <c r="G159" s="3498"/>
      <c r="H159" s="3498"/>
      <c r="I159" s="3498"/>
      <c r="J159" s="3498"/>
    </row>
    <row r="160" spans="5:10">
      <c r="E160" s="3498"/>
      <c r="F160" s="3498"/>
      <c r="G160" s="3498"/>
      <c r="H160" s="3498"/>
      <c r="I160" s="3498"/>
      <c r="J160" s="3498"/>
    </row>
    <row r="161" spans="5:10">
      <c r="E161" s="3498"/>
      <c r="F161" s="3498"/>
      <c r="G161" s="3498"/>
      <c r="H161" s="3498"/>
      <c r="I161" s="3498"/>
      <c r="J161" s="3498"/>
    </row>
    <row r="162" spans="5:10">
      <c r="E162" s="3498"/>
      <c r="F162" s="3498"/>
      <c r="G162" s="3498"/>
      <c r="H162" s="3498"/>
      <c r="I162" s="3498"/>
      <c r="J162" s="3498"/>
    </row>
    <row r="163" spans="5:10">
      <c r="E163" s="3498"/>
      <c r="F163" s="3498"/>
      <c r="G163" s="3498"/>
      <c r="H163" s="3498"/>
      <c r="I163" s="3498"/>
      <c r="J163" s="3498"/>
    </row>
    <row r="164" spans="5:10">
      <c r="E164" s="3498"/>
      <c r="F164" s="3498"/>
      <c r="G164" s="3498"/>
      <c r="H164" s="3498"/>
      <c r="I164" s="3498"/>
      <c r="J164" s="3498"/>
    </row>
    <row r="165" spans="5:10">
      <c r="E165" s="3498"/>
      <c r="F165" s="3498"/>
      <c r="G165" s="3498"/>
      <c r="H165" s="3498"/>
      <c r="I165" s="3498"/>
      <c r="J165" s="3498"/>
    </row>
    <row r="166" spans="5:10">
      <c r="E166" s="3498"/>
      <c r="F166" s="3498"/>
      <c r="G166" s="3498"/>
      <c r="H166" s="3498"/>
      <c r="I166" s="3498"/>
      <c r="J166" s="3498"/>
    </row>
    <row r="167" spans="5:10">
      <c r="E167" s="3498"/>
      <c r="F167" s="3498"/>
      <c r="G167" s="3498"/>
      <c r="H167" s="3498"/>
      <c r="I167" s="3498"/>
      <c r="J167" s="3498"/>
    </row>
    <row r="168" spans="5:10">
      <c r="E168" s="3498"/>
      <c r="F168" s="3498"/>
      <c r="G168" s="3498"/>
      <c r="H168" s="3498"/>
      <c r="I168" s="3498"/>
      <c r="J168" s="3498"/>
    </row>
    <row r="169" spans="5:10">
      <c r="E169" s="3498"/>
      <c r="F169" s="3498"/>
      <c r="G169" s="3498"/>
      <c r="H169" s="3498"/>
      <c r="I169" s="3498"/>
      <c r="J169" s="3498"/>
    </row>
    <row r="170" spans="5:10">
      <c r="E170" s="3498"/>
      <c r="F170" s="3498"/>
      <c r="G170" s="3498"/>
      <c r="H170" s="3498"/>
      <c r="I170" s="3498"/>
      <c r="J170" s="3498"/>
    </row>
    <row r="171" spans="5:10">
      <c r="E171" s="3498"/>
      <c r="F171" s="3498"/>
      <c r="G171" s="3498"/>
      <c r="H171" s="3498"/>
      <c r="I171" s="3498"/>
      <c r="J171" s="3498"/>
    </row>
    <row r="172" spans="5:10">
      <c r="E172" s="3498"/>
      <c r="F172" s="3498"/>
      <c r="G172" s="3498"/>
      <c r="H172" s="3498"/>
      <c r="I172" s="3498"/>
      <c r="J172" s="3498"/>
    </row>
    <row r="173" spans="5:10">
      <c r="E173" s="3498"/>
      <c r="F173" s="3498"/>
      <c r="G173" s="3498"/>
      <c r="H173" s="3498"/>
      <c r="I173" s="3498"/>
      <c r="J173" s="3498"/>
    </row>
    <row r="174" spans="5:10">
      <c r="E174" s="3498"/>
      <c r="F174" s="3498"/>
      <c r="G174" s="3498"/>
      <c r="H174" s="3498"/>
      <c r="I174" s="3498"/>
      <c r="J174" s="3498"/>
    </row>
    <row r="175" spans="5:10">
      <c r="E175" s="3498"/>
      <c r="F175" s="3498"/>
      <c r="G175" s="3498"/>
      <c r="H175" s="3498"/>
      <c r="I175" s="3498"/>
      <c r="J175" s="3498"/>
    </row>
    <row r="176" spans="5:10">
      <c r="E176" s="3498"/>
      <c r="F176" s="3498"/>
      <c r="G176" s="3498"/>
      <c r="H176" s="3498"/>
      <c r="I176" s="3498"/>
      <c r="J176" s="3498"/>
    </row>
    <row r="177" spans="5:10">
      <c r="E177" s="3498"/>
      <c r="F177" s="3498"/>
      <c r="G177" s="3498"/>
      <c r="H177" s="3498"/>
      <c r="I177" s="3498"/>
      <c r="J177" s="3498"/>
    </row>
    <row r="178" spans="5:10">
      <c r="E178" s="3498"/>
      <c r="F178" s="3498"/>
      <c r="G178" s="3498"/>
      <c r="H178" s="3498"/>
      <c r="I178" s="3498"/>
      <c r="J178" s="3498"/>
    </row>
    <row r="179" spans="5:10">
      <c r="E179" s="3498"/>
      <c r="F179" s="3498"/>
      <c r="G179" s="3498"/>
      <c r="H179" s="3498"/>
      <c r="I179" s="3498"/>
      <c r="J179" s="3498"/>
    </row>
    <row r="180" spans="5:10">
      <c r="E180" s="3498"/>
      <c r="F180" s="3498"/>
      <c r="G180" s="3498"/>
      <c r="H180" s="3498"/>
      <c r="I180" s="3498"/>
      <c r="J180" s="3498"/>
    </row>
    <row r="181" spans="5:10">
      <c r="E181" s="3498"/>
      <c r="F181" s="3498"/>
      <c r="G181" s="3498"/>
      <c r="H181" s="3498"/>
      <c r="I181" s="3498"/>
      <c r="J181" s="3498"/>
    </row>
    <row r="182" spans="5:10">
      <c r="E182" s="3498"/>
      <c r="F182" s="3498"/>
      <c r="G182" s="3498"/>
      <c r="H182" s="3498"/>
      <c r="I182" s="3498"/>
      <c r="J182" s="3498"/>
    </row>
    <row r="183" spans="5:10">
      <c r="E183" s="3498"/>
      <c r="F183" s="3498"/>
      <c r="G183" s="3498"/>
      <c r="H183" s="3498"/>
      <c r="I183" s="3498"/>
      <c r="J183" s="3498"/>
    </row>
    <row r="184" spans="5:10">
      <c r="E184" s="3498"/>
      <c r="F184" s="3498"/>
      <c r="G184" s="3498"/>
      <c r="H184" s="3498"/>
      <c r="I184" s="3498"/>
      <c r="J184" s="3498"/>
    </row>
    <row r="185" spans="5:10">
      <c r="E185" s="3498"/>
      <c r="F185" s="3498"/>
      <c r="G185" s="3498"/>
      <c r="H185" s="3498"/>
      <c r="I185" s="3498"/>
      <c r="J185" s="3498"/>
    </row>
    <row r="186" spans="5:10">
      <c r="E186" s="3498"/>
      <c r="F186" s="3498"/>
      <c r="G186" s="3498"/>
      <c r="H186" s="3498"/>
      <c r="I186" s="3498"/>
      <c r="J186" s="3498"/>
    </row>
    <row r="187" spans="5:10">
      <c r="E187" s="3498"/>
      <c r="F187" s="3498"/>
      <c r="G187" s="3498"/>
      <c r="H187" s="3498"/>
      <c r="I187" s="3498"/>
      <c r="J187" s="3498"/>
    </row>
    <row r="188" spans="5:10">
      <c r="E188" s="3498"/>
      <c r="F188" s="3498"/>
      <c r="G188" s="3498"/>
      <c r="H188" s="3498"/>
      <c r="I188" s="3498"/>
      <c r="J188" s="3498"/>
    </row>
    <row r="189" spans="5:10">
      <c r="E189" s="3498"/>
      <c r="F189" s="3498"/>
      <c r="G189" s="3498"/>
      <c r="H189" s="3498"/>
      <c r="I189" s="3498"/>
      <c r="J189" s="3498"/>
    </row>
    <row r="190" spans="5:10">
      <c r="E190" s="3498"/>
      <c r="F190" s="3498"/>
      <c r="G190" s="3498"/>
      <c r="H190" s="3498"/>
      <c r="I190" s="3498"/>
      <c r="J190" s="3498"/>
    </row>
    <row r="191" spans="5:10">
      <c r="E191" s="3498"/>
      <c r="F191" s="3498"/>
      <c r="G191" s="3498"/>
      <c r="H191" s="3498"/>
      <c r="I191" s="3498"/>
      <c r="J191" s="3498"/>
    </row>
    <row r="192" spans="5:10">
      <c r="E192" s="3498"/>
      <c r="F192" s="3498"/>
      <c r="G192" s="3498"/>
      <c r="H192" s="3498"/>
      <c r="I192" s="3498"/>
      <c r="J192" s="3498"/>
    </row>
    <row r="193" spans="5:10">
      <c r="E193" s="3498"/>
      <c r="F193" s="3498"/>
      <c r="G193" s="3498"/>
      <c r="H193" s="3498"/>
      <c r="I193" s="3498"/>
      <c r="J193" s="3498"/>
    </row>
    <row r="194" spans="5:10">
      <c r="E194" s="3498"/>
      <c r="F194" s="3498"/>
      <c r="G194" s="3498"/>
      <c r="H194" s="3498"/>
      <c r="I194" s="3498"/>
      <c r="J194" s="3498"/>
    </row>
    <row r="195" spans="5:10">
      <c r="E195" s="3498"/>
      <c r="F195" s="3498"/>
      <c r="G195" s="3498"/>
      <c r="H195" s="3498"/>
      <c r="I195" s="3498"/>
      <c r="J195" s="3498"/>
    </row>
    <row r="196" spans="5:10">
      <c r="E196" s="3498"/>
      <c r="F196" s="3498"/>
      <c r="G196" s="3498"/>
      <c r="H196" s="3498"/>
      <c r="I196" s="3498"/>
      <c r="J196" s="3498"/>
    </row>
    <row r="197" spans="5:10">
      <c r="E197" s="3498"/>
      <c r="F197" s="3498"/>
      <c r="G197" s="3498"/>
      <c r="H197" s="3498"/>
      <c r="I197" s="3498"/>
      <c r="J197" s="3498"/>
    </row>
    <row r="198" spans="5:10">
      <c r="E198" s="3498"/>
      <c r="F198" s="3498"/>
      <c r="G198" s="3498"/>
      <c r="H198" s="3498"/>
      <c r="I198" s="3498"/>
      <c r="J198" s="3498"/>
    </row>
    <row r="199" spans="5:10">
      <c r="E199" s="3498"/>
      <c r="F199" s="3498"/>
      <c r="G199" s="3498"/>
      <c r="H199" s="3498"/>
      <c r="I199" s="3498"/>
      <c r="J199" s="3498"/>
    </row>
    <row r="200" spans="5:10">
      <c r="E200" s="3498"/>
      <c r="F200" s="3498"/>
      <c r="G200" s="3498"/>
      <c r="H200" s="3498"/>
      <c r="I200" s="3498"/>
      <c r="J200" s="3498"/>
    </row>
    <row r="201" spans="5:10">
      <c r="E201" s="3498"/>
      <c r="F201" s="3498"/>
      <c r="G201" s="3498"/>
      <c r="H201" s="3498"/>
      <c r="I201" s="3498"/>
      <c r="J201" s="3498"/>
    </row>
    <row r="202" spans="5:10">
      <c r="E202" s="3498"/>
      <c r="F202" s="3498"/>
      <c r="G202" s="3498"/>
      <c r="H202" s="3498"/>
      <c r="I202" s="3498"/>
      <c r="J202" s="3498"/>
    </row>
    <row r="203" spans="5:10">
      <c r="E203" s="3498"/>
      <c r="F203" s="3498"/>
      <c r="G203" s="3498"/>
      <c r="H203" s="3498"/>
      <c r="I203" s="3498"/>
      <c r="J203" s="3498"/>
    </row>
    <row r="204" spans="5:10">
      <c r="E204" s="3498"/>
      <c r="F204" s="3498"/>
      <c r="G204" s="3498"/>
      <c r="H204" s="3498"/>
      <c r="I204" s="3498"/>
      <c r="J204" s="3498"/>
    </row>
    <row r="205" spans="5:10">
      <c r="E205" s="3498"/>
      <c r="F205" s="3498"/>
      <c r="G205" s="3498"/>
      <c r="H205" s="3498"/>
      <c r="I205" s="3498"/>
      <c r="J205" s="3498"/>
    </row>
    <row r="206" spans="5:10">
      <c r="E206" s="3498"/>
      <c r="F206" s="3498"/>
      <c r="G206" s="3498"/>
      <c r="H206" s="3498"/>
      <c r="I206" s="3498"/>
      <c r="J206" s="3498"/>
    </row>
    <row r="207" spans="5:10">
      <c r="E207" s="3498"/>
      <c r="F207" s="3498"/>
      <c r="G207" s="3498"/>
      <c r="H207" s="3498"/>
      <c r="I207" s="3498"/>
      <c r="J207" s="3498"/>
    </row>
    <row r="208" spans="5:10">
      <c r="E208" s="3498"/>
      <c r="F208" s="3498"/>
      <c r="G208" s="3498"/>
      <c r="H208" s="3498"/>
      <c r="I208" s="3498"/>
      <c r="J208" s="3498"/>
    </row>
  </sheetData>
  <mergeCells count="1">
    <mergeCell ref="E9:J208"/>
  </mergeCells>
  <hyperlinks>
    <hyperlink ref="B5" location="Data!A1" display="Access data" xr:uid="{87294ECE-2BE8-4127-8D9A-7636293106F1}"/>
    <hyperlink ref="C25" r:id="rId1" xr:uid="{2F8C9720-8BB0-4FEB-AC21-6CDFF22BBD2A}"/>
  </hyperlinks>
  <pageMargins left="0.75" right="0.75" top="1" bottom="1" header="0.5" footer="0.5"/>
  <pageSetup orientation="portrai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7968C-F74B-479C-93B2-0B6BB2EECDFD}">
  <sheetPr codeName="Sheet35"/>
  <dimension ref="A1:J46"/>
  <sheetViews>
    <sheetView topLeftCell="A5" zoomScale="162" zoomScaleNormal="162" workbookViewId="0">
      <selection activeCell="C11" sqref="C11"/>
    </sheetView>
  </sheetViews>
  <sheetFormatPr defaultRowHeight="15"/>
  <cols>
    <col min="2" max="2" width="8.875" style="296"/>
    <col min="3" max="3" width="8.875" style="973"/>
    <col min="6" max="6" width="9.28125" style="977" bestFit="1" customWidth="1"/>
  </cols>
  <sheetData>
    <row r="1" spans="1:10" s="965" customFormat="1" ht="41.25">
      <c r="B1" s="961"/>
      <c r="C1" s="962" t="s">
        <v>1119</v>
      </c>
      <c r="D1" s="963" t="s">
        <v>1120</v>
      </c>
      <c r="E1" s="964" t="s">
        <v>1121</v>
      </c>
      <c r="F1" s="974" t="s">
        <v>1122</v>
      </c>
      <c r="G1" s="961" t="s">
        <v>1123</v>
      </c>
    </row>
    <row r="2" spans="1:10" s="965" customFormat="1" ht="6" customHeight="1">
      <c r="C2" s="966"/>
      <c r="D2" s="967"/>
      <c r="E2" s="968"/>
      <c r="F2" s="975"/>
    </row>
    <row r="3" spans="1:10" s="965" customFormat="1">
      <c r="A3" s="1018"/>
      <c r="B3" s="965">
        <v>2018</v>
      </c>
      <c r="C3" s="970">
        <f>Data!C16/100</f>
        <v>0.12089999999999999</v>
      </c>
      <c r="E3" s="1020">
        <v>2.4E-2</v>
      </c>
      <c r="F3" s="976">
        <v>361</v>
      </c>
    </row>
    <row r="4" spans="1:10" s="965" customFormat="1">
      <c r="A4" s="1018"/>
      <c r="B4" s="965">
        <v>2019</v>
      </c>
      <c r="C4" s="969">
        <f>Data!C17/100</f>
        <v>0.114</v>
      </c>
      <c r="E4" s="1020">
        <v>1.7999999999999999E-2</v>
      </c>
      <c r="F4" s="976">
        <v>360</v>
      </c>
      <c r="G4" s="970">
        <f>SUM(F4-F3)/F3</f>
        <v>-2.7700831024930748E-3</v>
      </c>
    </row>
    <row r="5" spans="1:10" s="965" customFormat="1">
      <c r="A5" s="1018"/>
      <c r="B5" s="965">
        <v>2020</v>
      </c>
      <c r="C5" s="970">
        <f>Data!C18/100</f>
        <v>0.13250000000000001</v>
      </c>
      <c r="D5" s="969">
        <v>-1.9E-2</v>
      </c>
      <c r="E5" s="1020">
        <v>1.2E-2</v>
      </c>
      <c r="F5" s="976">
        <v>380</v>
      </c>
      <c r="G5" s="970">
        <f t="shared" ref="G5:G23" si="0">SUM(F5-F4)/F4</f>
        <v>5.5555555555555552E-2</v>
      </c>
      <c r="J5" s="965" t="s">
        <v>2143</v>
      </c>
    </row>
    <row r="6" spans="1:10" s="965" customFormat="1">
      <c r="A6" s="1018"/>
      <c r="B6" s="965">
        <v>2021</v>
      </c>
      <c r="C6" s="969">
        <f>Data!C19/100</f>
        <v>0.16949999999999998</v>
      </c>
      <c r="D6" s="969">
        <v>3.4000000000000002E-2</v>
      </c>
      <c r="E6" s="1020">
        <v>4.7E-2</v>
      </c>
      <c r="F6" s="976">
        <v>403</v>
      </c>
      <c r="G6" s="970">
        <f t="shared" si="0"/>
        <v>6.0526315789473685E-2</v>
      </c>
    </row>
    <row r="7" spans="1:10" s="965" customFormat="1">
      <c r="A7" s="1018"/>
      <c r="B7" s="965">
        <v>2022</v>
      </c>
      <c r="C7" s="970">
        <f>Data!C20/100</f>
        <v>0.1885</v>
      </c>
      <c r="D7" s="969">
        <v>3.3000000000000002E-2</v>
      </c>
      <c r="E7" s="1020">
        <v>6.6000000000000003E-2</v>
      </c>
      <c r="F7" s="976">
        <v>424</v>
      </c>
      <c r="G7" s="970">
        <f t="shared" si="0"/>
        <v>5.2109181141439205E-2</v>
      </c>
    </row>
    <row r="8" spans="1:10">
      <c r="A8" s="1019"/>
      <c r="B8" s="296">
        <f>B7+1</f>
        <v>2023</v>
      </c>
      <c r="C8" s="970">
        <f>Data!C21/100</f>
        <v>0.24660000000000001</v>
      </c>
      <c r="D8" s="971">
        <v>2.7400000000000001E-2</v>
      </c>
      <c r="E8" s="1020">
        <v>3.1E-2</v>
      </c>
      <c r="F8" s="977">
        <v>652</v>
      </c>
      <c r="G8" s="970">
        <f t="shared" si="0"/>
        <v>0.53773584905660377</v>
      </c>
    </row>
    <row r="9" spans="1:10">
      <c r="A9" s="1019"/>
      <c r="B9" s="296">
        <f t="shared" ref="B9:B42" si="1">B8+1</f>
        <v>2024</v>
      </c>
      <c r="C9" s="972">
        <f>Data!C22/100</f>
        <v>0.2631</v>
      </c>
      <c r="D9" s="971">
        <v>3.1E-2</v>
      </c>
      <c r="E9" s="1020">
        <v>2.4E-2</v>
      </c>
      <c r="F9" s="977">
        <v>1250</v>
      </c>
      <c r="G9" s="970">
        <f t="shared" si="0"/>
        <v>0.91717791411042948</v>
      </c>
    </row>
    <row r="10" spans="1:10">
      <c r="A10" s="1019"/>
      <c r="B10" s="296">
        <f t="shared" si="1"/>
        <v>2025</v>
      </c>
      <c r="C10" s="972">
        <f>Data!C23/100</f>
        <v>0.22969999999999999</v>
      </c>
      <c r="D10" s="971">
        <v>6.5000000000000002E-2</v>
      </c>
      <c r="E10" s="1020">
        <v>2.3E-2</v>
      </c>
      <c r="F10" s="977">
        <f>F9*1.057</f>
        <v>1321.25</v>
      </c>
      <c r="G10" s="970">
        <f>SUM(F10-F9)/F9</f>
        <v>5.7000000000000002E-2</v>
      </c>
    </row>
    <row r="11" spans="1:10">
      <c r="A11" s="1019"/>
      <c r="B11" s="296">
        <f t="shared" si="1"/>
        <v>2026</v>
      </c>
      <c r="C11" s="972">
        <f>Data!C24/100</f>
        <v>0.16020000000000001</v>
      </c>
      <c r="D11" s="971">
        <v>0.06</v>
      </c>
      <c r="E11" s="1020">
        <v>2.3E-2</v>
      </c>
      <c r="F11" s="977">
        <f t="shared" ref="F11:F29" si="2">F10*1.057</f>
        <v>1396.56125</v>
      </c>
      <c r="G11" s="970">
        <f t="shared" si="0"/>
        <v>5.6999999999999981E-2</v>
      </c>
    </row>
    <row r="12" spans="1:10">
      <c r="A12" s="1019"/>
      <c r="B12" s="296">
        <f t="shared" si="1"/>
        <v>2027</v>
      </c>
      <c r="C12" s="972">
        <f>Data!C25/100</f>
        <v>0.15380000000000002</v>
      </c>
      <c r="D12" s="971">
        <v>0.13270000000000001</v>
      </c>
      <c r="E12" s="1020">
        <v>2.3E-2</v>
      </c>
      <c r="F12" s="977">
        <f t="shared" si="2"/>
        <v>1476.1652412499998</v>
      </c>
      <c r="G12" s="970">
        <f t="shared" si="0"/>
        <v>5.6999999999999863E-2</v>
      </c>
    </row>
    <row r="13" spans="1:10">
      <c r="A13" s="1019"/>
      <c r="B13" s="296">
        <f t="shared" si="1"/>
        <v>2028</v>
      </c>
      <c r="C13" s="972">
        <f>Data!C26/100</f>
        <v>0.14000000000000001</v>
      </c>
      <c r="D13" s="971">
        <v>0.13700000000000001</v>
      </c>
      <c r="E13" s="1020">
        <v>2.3E-2</v>
      </c>
      <c r="F13" s="977">
        <f t="shared" si="2"/>
        <v>1560.3066600012496</v>
      </c>
      <c r="G13" s="970">
        <f t="shared" si="0"/>
        <v>5.6999999999999891E-2</v>
      </c>
    </row>
    <row r="14" spans="1:10">
      <c r="A14" s="1019"/>
      <c r="B14" s="296">
        <f t="shared" si="1"/>
        <v>2029</v>
      </c>
      <c r="C14" s="972">
        <f>Data!C27/100</f>
        <v>0.14000000000000001</v>
      </c>
      <c r="D14" s="296"/>
      <c r="E14" s="1020">
        <v>2.3E-2</v>
      </c>
      <c r="F14" s="977">
        <f t="shared" si="2"/>
        <v>1649.2441396213208</v>
      </c>
      <c r="G14" s="970">
        <f t="shared" si="0"/>
        <v>5.6999999999999947E-2</v>
      </c>
    </row>
    <row r="15" spans="1:10">
      <c r="A15" s="1019"/>
      <c r="B15" s="296">
        <f t="shared" si="1"/>
        <v>2030</v>
      </c>
      <c r="C15" s="972">
        <v>0.12</v>
      </c>
      <c r="D15" s="296"/>
      <c r="E15" s="1020">
        <v>2.4E-2</v>
      </c>
      <c r="F15" s="977">
        <f t="shared" si="2"/>
        <v>1743.251055579736</v>
      </c>
      <c r="G15" s="970">
        <f t="shared" si="0"/>
        <v>5.699999999999996E-2</v>
      </c>
    </row>
    <row r="16" spans="1:10">
      <c r="A16" s="1019"/>
      <c r="B16" s="296">
        <f t="shared" si="1"/>
        <v>2031</v>
      </c>
      <c r="C16" s="972">
        <v>0.12</v>
      </c>
      <c r="D16" s="296"/>
      <c r="E16" s="1020">
        <v>2.4E-2</v>
      </c>
      <c r="F16" s="977">
        <f t="shared" si="2"/>
        <v>1842.6163657477807</v>
      </c>
      <c r="G16" s="970">
        <f t="shared" si="0"/>
        <v>5.6999999999999884E-2</v>
      </c>
    </row>
    <row r="17" spans="1:7">
      <c r="A17" s="1019"/>
      <c r="B17" s="296">
        <f t="shared" si="1"/>
        <v>2032</v>
      </c>
      <c r="C17" s="972">
        <v>0.12</v>
      </c>
      <c r="D17" s="296"/>
      <c r="E17" s="1020">
        <v>2.4E-2</v>
      </c>
      <c r="F17" s="977">
        <f t="shared" si="2"/>
        <v>1947.6454985954042</v>
      </c>
      <c r="G17" s="970">
        <f t="shared" si="0"/>
        <v>5.6999999999999995E-2</v>
      </c>
    </row>
    <row r="18" spans="1:7">
      <c r="B18" s="296">
        <f t="shared" si="1"/>
        <v>2033</v>
      </c>
      <c r="C18" s="972">
        <v>0.12</v>
      </c>
      <c r="D18" s="296"/>
      <c r="E18" s="1020">
        <v>2.4E-2</v>
      </c>
      <c r="F18" s="977">
        <f t="shared" si="2"/>
        <v>2058.661292015342</v>
      </c>
      <c r="G18" s="970">
        <f t="shared" si="0"/>
        <v>5.6999999999999898E-2</v>
      </c>
    </row>
    <row r="19" spans="1:7">
      <c r="B19" s="296">
        <f t="shared" si="1"/>
        <v>2034</v>
      </c>
      <c r="C19" s="972">
        <v>0.12</v>
      </c>
      <c r="D19" s="296"/>
      <c r="E19" s="1020">
        <v>2.4E-2</v>
      </c>
      <c r="F19" s="977">
        <f t="shared" si="2"/>
        <v>2176.0049856602163</v>
      </c>
      <c r="G19" s="970">
        <f t="shared" si="0"/>
        <v>5.6999999999999898E-2</v>
      </c>
    </row>
    <row r="20" spans="1:7">
      <c r="B20" s="296">
        <f t="shared" si="1"/>
        <v>2035</v>
      </c>
      <c r="C20" s="972">
        <v>0.12</v>
      </c>
      <c r="D20" s="296"/>
      <c r="E20" s="1020">
        <v>2.4E-2</v>
      </c>
      <c r="F20" s="977">
        <f t="shared" si="2"/>
        <v>2300.0372698428487</v>
      </c>
      <c r="G20" s="970">
        <f t="shared" si="0"/>
        <v>5.7000000000000002E-2</v>
      </c>
    </row>
    <row r="21" spans="1:7">
      <c r="B21" s="296">
        <f t="shared" si="1"/>
        <v>2036</v>
      </c>
      <c r="C21" s="972">
        <v>0.12</v>
      </c>
      <c r="D21" s="296"/>
      <c r="E21" s="1020">
        <v>2.4E-2</v>
      </c>
      <c r="F21" s="977">
        <f t="shared" si="2"/>
        <v>2431.139394223891</v>
      </c>
      <c r="G21" s="970">
        <f t="shared" si="0"/>
        <v>5.6999999999999995E-2</v>
      </c>
    </row>
    <row r="22" spans="1:7">
      <c r="B22" s="296">
        <f t="shared" si="1"/>
        <v>2037</v>
      </c>
      <c r="C22" s="972">
        <v>0.12</v>
      </c>
      <c r="D22" s="296"/>
      <c r="E22" s="1020">
        <v>2.4E-2</v>
      </c>
      <c r="F22" s="977">
        <f t="shared" si="2"/>
        <v>2569.7143396946526</v>
      </c>
      <c r="G22" s="970">
        <f t="shared" si="0"/>
        <v>5.6999999999999912E-2</v>
      </c>
    </row>
    <row r="23" spans="1:7">
      <c r="B23" s="296">
        <f t="shared" si="1"/>
        <v>2038</v>
      </c>
      <c r="C23" s="972">
        <v>0.12</v>
      </c>
      <c r="D23" s="296"/>
      <c r="E23" s="1020">
        <v>2.4E-2</v>
      </c>
      <c r="F23" s="977">
        <f t="shared" si="2"/>
        <v>2716.1880570572475</v>
      </c>
      <c r="G23" s="970">
        <f t="shared" si="0"/>
        <v>5.6999999999999891E-2</v>
      </c>
    </row>
    <row r="24" spans="1:7">
      <c r="B24" s="296">
        <f t="shared" si="1"/>
        <v>2039</v>
      </c>
      <c r="C24" s="972">
        <v>0.12</v>
      </c>
      <c r="D24" s="296"/>
      <c r="E24" s="1020">
        <v>2.4E-2</v>
      </c>
      <c r="F24" s="977">
        <f t="shared" si="2"/>
        <v>2871.0107763095107</v>
      </c>
      <c r="G24" s="970">
        <f t="shared" ref="G24:G29" si="3">SUM(F24-F23)/F23</f>
        <v>5.7000000000000009E-2</v>
      </c>
    </row>
    <row r="25" spans="1:7">
      <c r="B25" s="296">
        <f t="shared" si="1"/>
        <v>2040</v>
      </c>
      <c r="C25" s="972">
        <v>0.12</v>
      </c>
      <c r="D25" s="296"/>
      <c r="E25" s="1020">
        <v>2.4E-2</v>
      </c>
      <c r="F25" s="977">
        <f t="shared" si="2"/>
        <v>3034.6583905591524</v>
      </c>
      <c r="G25" s="970">
        <f t="shared" si="3"/>
        <v>5.6999999999999863E-2</v>
      </c>
    </row>
    <row r="26" spans="1:7">
      <c r="B26" s="296">
        <f t="shared" si="1"/>
        <v>2041</v>
      </c>
      <c r="C26" s="972">
        <v>0.12</v>
      </c>
      <c r="D26" s="296"/>
      <c r="E26" s="1020">
        <v>2.4E-2</v>
      </c>
      <c r="F26" s="977">
        <f t="shared" si="2"/>
        <v>3207.6339188210241</v>
      </c>
      <c r="G26" s="970">
        <f t="shared" si="3"/>
        <v>5.6999999999999988E-2</v>
      </c>
    </row>
    <row r="27" spans="1:7">
      <c r="B27" s="296">
        <f t="shared" si="1"/>
        <v>2042</v>
      </c>
      <c r="C27" s="972">
        <v>0.12</v>
      </c>
      <c r="D27" s="296"/>
      <c r="E27" s="1020">
        <v>2.4E-2</v>
      </c>
      <c r="F27" s="977">
        <f t="shared" si="2"/>
        <v>3390.4690521938223</v>
      </c>
      <c r="G27" s="970">
        <f t="shared" si="3"/>
        <v>5.6999999999999974E-2</v>
      </c>
    </row>
    <row r="28" spans="1:7">
      <c r="B28" s="296">
        <f t="shared" si="1"/>
        <v>2043</v>
      </c>
      <c r="C28" s="972">
        <v>0.12</v>
      </c>
      <c r="D28" s="296"/>
      <c r="E28" s="1020">
        <v>2.4E-2</v>
      </c>
      <c r="F28" s="977">
        <f t="shared" si="2"/>
        <v>3583.7257881688702</v>
      </c>
      <c r="G28" s="970">
        <f t="shared" si="3"/>
        <v>5.6999999999999988E-2</v>
      </c>
    </row>
    <row r="29" spans="1:7">
      <c r="B29" s="296">
        <f t="shared" si="1"/>
        <v>2044</v>
      </c>
      <c r="C29" s="972">
        <v>0.12</v>
      </c>
      <c r="D29" s="296"/>
      <c r="E29" s="1020">
        <v>2.4E-2</v>
      </c>
      <c r="F29" s="977">
        <f t="shared" si="2"/>
        <v>3787.9981580944955</v>
      </c>
      <c r="G29" s="970">
        <f t="shared" si="3"/>
        <v>5.6999999999999919E-2</v>
      </c>
    </row>
    <row r="30" spans="1:7">
      <c r="B30" s="296">
        <f t="shared" si="1"/>
        <v>2045</v>
      </c>
      <c r="C30" s="972">
        <v>0.12</v>
      </c>
      <c r="E30" s="1020">
        <v>2.4E-2</v>
      </c>
    </row>
    <row r="31" spans="1:7">
      <c r="B31" s="296">
        <f t="shared" si="1"/>
        <v>2046</v>
      </c>
      <c r="C31" s="972">
        <v>0.12</v>
      </c>
      <c r="E31" s="1020">
        <v>2.4E-2</v>
      </c>
    </row>
    <row r="32" spans="1:7">
      <c r="B32" s="296">
        <f t="shared" si="1"/>
        <v>2047</v>
      </c>
      <c r="C32" s="972">
        <v>0.12</v>
      </c>
      <c r="E32" s="1020">
        <v>2.4E-2</v>
      </c>
    </row>
    <row r="33" spans="2:5">
      <c r="B33" s="296">
        <f t="shared" si="1"/>
        <v>2048</v>
      </c>
      <c r="C33" s="972">
        <v>0.12</v>
      </c>
      <c r="E33" s="1020">
        <v>2.4E-2</v>
      </c>
    </row>
    <row r="34" spans="2:5">
      <c r="B34" s="296">
        <f t="shared" si="1"/>
        <v>2049</v>
      </c>
      <c r="C34" s="972">
        <v>0.12</v>
      </c>
      <c r="E34" s="1020">
        <v>2.4E-2</v>
      </c>
    </row>
    <row r="35" spans="2:5">
      <c r="B35" s="296">
        <f t="shared" si="1"/>
        <v>2050</v>
      </c>
      <c r="C35" s="972">
        <v>0.12</v>
      </c>
      <c r="E35" s="1020">
        <v>2.4E-2</v>
      </c>
    </row>
    <row r="36" spans="2:5">
      <c r="B36" s="296">
        <f t="shared" si="1"/>
        <v>2051</v>
      </c>
      <c r="C36" s="972">
        <v>0.12</v>
      </c>
      <c r="E36" s="1020">
        <v>2.4E-2</v>
      </c>
    </row>
    <row r="37" spans="2:5">
      <c r="B37" s="296">
        <f t="shared" si="1"/>
        <v>2052</v>
      </c>
      <c r="C37" s="972">
        <v>0.12</v>
      </c>
      <c r="E37" s="1020">
        <v>2.4E-2</v>
      </c>
    </row>
    <row r="38" spans="2:5">
      <c r="B38" s="296">
        <f t="shared" si="1"/>
        <v>2053</v>
      </c>
      <c r="C38" s="972">
        <v>0.12</v>
      </c>
      <c r="E38" s="1020">
        <v>2.4E-2</v>
      </c>
    </row>
    <row r="39" spans="2:5">
      <c r="B39" s="296">
        <f t="shared" si="1"/>
        <v>2054</v>
      </c>
      <c r="C39" s="972">
        <v>0.12</v>
      </c>
      <c r="E39" s="1020">
        <v>2.4E-2</v>
      </c>
    </row>
    <row r="40" spans="2:5">
      <c r="B40" s="296">
        <f t="shared" si="1"/>
        <v>2055</v>
      </c>
      <c r="C40" s="972">
        <v>0.12</v>
      </c>
    </row>
    <row r="41" spans="2:5">
      <c r="B41" s="296">
        <f t="shared" si="1"/>
        <v>2056</v>
      </c>
      <c r="C41" s="972">
        <v>0.12</v>
      </c>
    </row>
    <row r="42" spans="2:5">
      <c r="B42" s="296">
        <f t="shared" si="1"/>
        <v>2057</v>
      </c>
      <c r="C42" s="972">
        <v>0.12</v>
      </c>
    </row>
    <row r="43" spans="2:5">
      <c r="C43" s="972"/>
    </row>
    <row r="45" spans="2:5">
      <c r="C45" s="973" t="s">
        <v>1086</v>
      </c>
      <c r="D45" t="s">
        <v>1212</v>
      </c>
    </row>
    <row r="46" spans="2:5">
      <c r="C46" s="973" t="s">
        <v>1172</v>
      </c>
      <c r="D46" t="s">
        <v>1213</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8F484-0169-4F08-95B1-DEF3F073833B}">
  <sheetPr codeName="Sheet63"/>
  <dimension ref="A2:BH141"/>
  <sheetViews>
    <sheetView topLeftCell="A126" workbookViewId="0">
      <selection activeCell="AF142" sqref="AF142"/>
    </sheetView>
  </sheetViews>
  <sheetFormatPr defaultRowHeight="15"/>
  <cols>
    <col min="3" max="3" width="37.26171875" customWidth="1"/>
    <col min="4" max="5" width="9.01171875" bestFit="1" customWidth="1"/>
    <col min="6" max="6" width="21.92578125" bestFit="1" customWidth="1"/>
    <col min="7" max="7" width="14.9296875" bestFit="1" customWidth="1"/>
    <col min="8" max="33" width="16.27734375" bestFit="1" customWidth="1"/>
    <col min="34" max="34" width="9.01171875" bestFit="1" customWidth="1"/>
  </cols>
  <sheetData>
    <row r="2" spans="1:34">
      <c r="C2" s="987" t="s">
        <v>1281</v>
      </c>
      <c r="D2">
        <v>1</v>
      </c>
      <c r="E2">
        <v>2</v>
      </c>
      <c r="F2">
        <v>3</v>
      </c>
      <c r="G2">
        <v>4</v>
      </c>
      <c r="H2">
        <v>5</v>
      </c>
      <c r="I2">
        <v>6</v>
      </c>
      <c r="J2">
        <v>7</v>
      </c>
      <c r="K2">
        <v>8</v>
      </c>
      <c r="L2">
        <v>9</v>
      </c>
      <c r="M2">
        <v>10</v>
      </c>
      <c r="N2">
        <v>11</v>
      </c>
      <c r="O2">
        <v>12</v>
      </c>
      <c r="P2">
        <v>13</v>
      </c>
      <c r="Q2">
        <v>14</v>
      </c>
      <c r="R2">
        <v>15</v>
      </c>
      <c r="S2">
        <v>16</v>
      </c>
      <c r="T2">
        <v>17</v>
      </c>
      <c r="U2">
        <v>18</v>
      </c>
      <c r="V2">
        <v>19</v>
      </c>
      <c r="W2">
        <v>20</v>
      </c>
      <c r="X2">
        <v>21</v>
      </c>
      <c r="Y2">
        <v>22</v>
      </c>
      <c r="Z2">
        <v>23</v>
      </c>
      <c r="AA2">
        <v>24</v>
      </c>
      <c r="AB2">
        <v>25</v>
      </c>
      <c r="AC2">
        <v>26</v>
      </c>
      <c r="AD2">
        <v>27</v>
      </c>
      <c r="AE2">
        <v>28</v>
      </c>
      <c r="AF2">
        <v>29</v>
      </c>
      <c r="AG2">
        <v>30</v>
      </c>
      <c r="AH2">
        <v>42</v>
      </c>
    </row>
    <row r="3" spans="1:34" ht="15.75" thickBot="1">
      <c r="C3" s="981" t="s">
        <v>1811</v>
      </c>
      <c r="D3" s="1913">
        <f>'Assumption '!M145</f>
        <v>0</v>
      </c>
      <c r="E3" s="1913">
        <f>'Assumption '!N145</f>
        <v>975000</v>
      </c>
      <c r="F3" s="985">
        <f ca="1">'Assumption '!O145</f>
        <v>1868750</v>
      </c>
      <c r="G3" s="985">
        <f ca="1">'Assumption '!P145</f>
        <v>2237500</v>
      </c>
      <c r="H3" s="1913">
        <f ca="1">'Assumption '!Q145</f>
        <v>2375000</v>
      </c>
      <c r="I3" s="1913">
        <f ca="1">'Assumption '!R145</f>
        <v>2375000</v>
      </c>
      <c r="J3" s="1913">
        <f ca="1">'Assumption '!S145</f>
        <v>2375000</v>
      </c>
      <c r="K3" s="1913">
        <f ca="1">'Assumption '!T145</f>
        <v>2375000</v>
      </c>
      <c r="L3" s="1913">
        <f ca="1">'Assumption '!U145</f>
        <v>2375000</v>
      </c>
      <c r="M3" s="1913">
        <f ca="1">'Assumption '!V145</f>
        <v>2375000</v>
      </c>
      <c r="N3" s="1913">
        <f ca="1">'Assumption '!W145</f>
        <v>2375000</v>
      </c>
      <c r="O3" s="1913">
        <f ca="1">'Assumption '!X145</f>
        <v>2375000</v>
      </c>
      <c r="P3" s="1913">
        <f ca="1">'Assumption '!Y145</f>
        <v>2375000</v>
      </c>
      <c r="Q3" s="1913">
        <f ca="1">'Assumption '!Z145</f>
        <v>2375000</v>
      </c>
      <c r="R3" s="1913">
        <f ca="1">'Assumption '!AA145</f>
        <v>2375000</v>
      </c>
      <c r="S3" s="1913">
        <f ca="1">'Assumption '!AB145</f>
        <v>2375000</v>
      </c>
      <c r="T3" s="1913">
        <f ca="1">'Assumption '!AC145</f>
        <v>2375000</v>
      </c>
      <c r="U3" s="1913">
        <f ca="1">'Assumption '!AD145</f>
        <v>2375000</v>
      </c>
      <c r="V3" s="1913">
        <f ca="1">'Assumption '!AE145</f>
        <v>2375000</v>
      </c>
      <c r="W3" s="1913">
        <f ca="1">'Assumption '!AF145</f>
        <v>2375000</v>
      </c>
      <c r="X3" s="1913">
        <f ca="1">'Assumption '!AG145</f>
        <v>2375000</v>
      </c>
      <c r="Y3" s="1913">
        <f ca="1">'Assumption '!AH145</f>
        <v>2375000</v>
      </c>
      <c r="Z3" s="1913">
        <f ca="1">'Assumption '!AI145</f>
        <v>2375000</v>
      </c>
      <c r="AA3" s="1913">
        <f ca="1">'Assumption '!AJ145</f>
        <v>2375000</v>
      </c>
      <c r="AB3" s="1913">
        <f ca="1">'Assumption '!AK145</f>
        <v>2375000</v>
      </c>
      <c r="AC3" s="1913">
        <f ca="1">'Assumption '!AL145</f>
        <v>2375000</v>
      </c>
      <c r="AD3" s="1913">
        <f ca="1">'Assumption '!AM145</f>
        <v>2375000</v>
      </c>
      <c r="AE3" s="1913">
        <f ca="1">'Assumption '!AN145</f>
        <v>2375000</v>
      </c>
      <c r="AF3" s="1913">
        <f ca="1">'Assumption '!AO145</f>
        <v>2375000</v>
      </c>
      <c r="AG3" s="1913">
        <f ca="1">'Assumption '!AP145</f>
        <v>2375000</v>
      </c>
    </row>
    <row r="4" spans="1:34" ht="15.75" thickTop="1">
      <c r="C4" t="s">
        <v>1053</v>
      </c>
      <c r="D4" s="311">
        <f>'Assumption '!M137</f>
        <v>0</v>
      </c>
      <c r="E4" s="311">
        <f>'Assumption '!N137</f>
        <v>975000</v>
      </c>
      <c r="F4" s="311">
        <f ca="1">'Assumption '!O137</f>
        <v>1218750</v>
      </c>
      <c r="G4" s="311">
        <f ca="1">'Assumption '!P137</f>
        <v>1425000</v>
      </c>
      <c r="H4" s="311">
        <f ca="1">'Assumption '!Q137</f>
        <v>1425000</v>
      </c>
      <c r="I4" s="311">
        <f ca="1">'Assumption '!R137</f>
        <v>1425000</v>
      </c>
      <c r="J4" s="311">
        <f ca="1">'Assumption '!S137</f>
        <v>1425000</v>
      </c>
      <c r="K4" s="311">
        <f ca="1">'Assumption '!T137</f>
        <v>1425000</v>
      </c>
      <c r="L4" s="311">
        <f ca="1">'Assumption '!U137</f>
        <v>1425000</v>
      </c>
      <c r="M4" s="311">
        <f ca="1">'Assumption '!V137</f>
        <v>1425000</v>
      </c>
      <c r="N4" s="311">
        <f ca="1">'Assumption '!W137</f>
        <v>1425000</v>
      </c>
      <c r="O4" s="311">
        <f ca="1">'Assumption '!X137</f>
        <v>1425000</v>
      </c>
      <c r="P4" s="311">
        <f ca="1">'Assumption '!Y137</f>
        <v>1425000</v>
      </c>
      <c r="Q4" s="311">
        <f ca="1">'Assumption '!Z137</f>
        <v>1425000</v>
      </c>
      <c r="R4" s="311">
        <f ca="1">'Assumption '!AA137</f>
        <v>1425000</v>
      </c>
      <c r="S4" s="311">
        <f ca="1">'Assumption '!AB137</f>
        <v>1425000</v>
      </c>
      <c r="T4" s="311">
        <f ca="1">'Assumption '!AC137</f>
        <v>1425000</v>
      </c>
      <c r="U4" s="311">
        <f ca="1">'Assumption '!AD137</f>
        <v>1425000</v>
      </c>
      <c r="V4" s="311">
        <f ca="1">'Assumption '!AE137</f>
        <v>1425000</v>
      </c>
      <c r="W4" s="311">
        <f ca="1">'Assumption '!AF137</f>
        <v>1425000</v>
      </c>
      <c r="X4" s="311">
        <f ca="1">'Assumption '!AG137</f>
        <v>1425000</v>
      </c>
      <c r="Y4" s="311">
        <f ca="1">'Assumption '!AH137</f>
        <v>1425000</v>
      </c>
      <c r="Z4" s="311">
        <f ca="1">'Assumption '!AI137</f>
        <v>1425000</v>
      </c>
      <c r="AA4" s="311">
        <f ca="1">'Assumption '!AJ137</f>
        <v>1425000</v>
      </c>
      <c r="AB4" s="311">
        <f ca="1">'Assumption '!AK137</f>
        <v>1425000</v>
      </c>
      <c r="AC4" s="311">
        <f ca="1">'Assumption '!AL137</f>
        <v>1425000</v>
      </c>
      <c r="AD4" s="311">
        <f ca="1">'Assumption '!AM137</f>
        <v>1425000</v>
      </c>
      <c r="AE4" s="311">
        <f ca="1">'Assumption '!AN137</f>
        <v>1425000</v>
      </c>
      <c r="AF4" s="311">
        <f ca="1">'Assumption '!AO137</f>
        <v>1425000</v>
      </c>
      <c r="AG4" s="311">
        <f ca="1">'Assumption '!AP137</f>
        <v>1425000</v>
      </c>
      <c r="AH4" s="978">
        <f>'Assumption '!BB137</f>
        <v>0</v>
      </c>
    </row>
    <row r="5" spans="1:34">
      <c r="C5" t="s">
        <v>1005</v>
      </c>
      <c r="D5" s="311">
        <f>'Assumption '!M138</f>
        <v>0</v>
      </c>
      <c r="E5" s="311">
        <f>'Assumption '!N138</f>
        <v>0</v>
      </c>
      <c r="F5" s="311">
        <f>'Assumption '!O138</f>
        <v>650000</v>
      </c>
      <c r="G5" s="311">
        <f ca="1">'Assumption '!P138</f>
        <v>812500</v>
      </c>
      <c r="H5" s="311">
        <f ca="1">'Assumption '!Q138</f>
        <v>950000</v>
      </c>
      <c r="I5" s="311">
        <f ca="1">'Assumption '!R138</f>
        <v>950000</v>
      </c>
      <c r="J5" s="311">
        <f ca="1">'Assumption '!S138</f>
        <v>950000</v>
      </c>
      <c r="K5" s="311">
        <f ca="1">'Assumption '!T138</f>
        <v>950000</v>
      </c>
      <c r="L5" s="311">
        <f ca="1">'Assumption '!U138</f>
        <v>950000</v>
      </c>
      <c r="M5" s="311">
        <f ca="1">'Assumption '!V138</f>
        <v>950000</v>
      </c>
      <c r="N5" s="311">
        <f ca="1">'Assumption '!W138</f>
        <v>950000</v>
      </c>
      <c r="O5" s="311">
        <f ca="1">'Assumption '!X138</f>
        <v>950000</v>
      </c>
      <c r="P5" s="311">
        <f ca="1">'Assumption '!Y138</f>
        <v>950000</v>
      </c>
      <c r="Q5" s="311">
        <f ca="1">'Assumption '!Z138</f>
        <v>950000</v>
      </c>
      <c r="R5" s="311">
        <f ca="1">'Assumption '!AA138</f>
        <v>950000</v>
      </c>
      <c r="S5" s="311">
        <f ca="1">'Assumption '!AB138</f>
        <v>950000</v>
      </c>
      <c r="T5" s="311">
        <f ca="1">'Assumption '!AC138</f>
        <v>950000</v>
      </c>
      <c r="U5" s="311">
        <f ca="1">'Assumption '!AD138</f>
        <v>950000</v>
      </c>
      <c r="V5" s="311">
        <f ca="1">'Assumption '!AE138</f>
        <v>950000</v>
      </c>
      <c r="W5" s="311">
        <f ca="1">'Assumption '!AF138</f>
        <v>950000</v>
      </c>
      <c r="X5" s="311">
        <f ca="1">'Assumption '!AG138</f>
        <v>950000</v>
      </c>
      <c r="Y5" s="311">
        <f ca="1">'Assumption '!AH138</f>
        <v>950000</v>
      </c>
      <c r="Z5" s="311">
        <f ca="1">'Assumption '!AI138</f>
        <v>950000</v>
      </c>
      <c r="AA5" s="311">
        <f ca="1">'Assumption '!AJ138</f>
        <v>950000</v>
      </c>
      <c r="AB5" s="311">
        <f ca="1">'Assumption '!AK138</f>
        <v>950000</v>
      </c>
      <c r="AC5" s="311">
        <f ca="1">'Assumption '!AL138</f>
        <v>950000</v>
      </c>
      <c r="AD5" s="311">
        <f ca="1">'Assumption '!AM138</f>
        <v>950000</v>
      </c>
      <c r="AE5" s="311">
        <f ca="1">'Assumption '!AN138</f>
        <v>950000</v>
      </c>
      <c r="AF5" s="311">
        <f ca="1">'Assumption '!AO138</f>
        <v>950000</v>
      </c>
      <c r="AG5" s="311">
        <f ca="1">'Assumption '!AP138</f>
        <v>950000</v>
      </c>
      <c r="AH5" s="978">
        <f>'Assumption '!BB138</f>
        <v>0</v>
      </c>
    </row>
    <row r="6" spans="1:34" s="311" customFormat="1">
      <c r="C6" s="311" t="s">
        <v>1012</v>
      </c>
      <c r="D6" s="311">
        <f>'Assumption '!M139</f>
        <v>0</v>
      </c>
      <c r="E6" s="311">
        <f>'Assumption '!N139</f>
        <v>0</v>
      </c>
      <c r="F6" s="311">
        <f>'Assumption '!O139</f>
        <v>0</v>
      </c>
      <c r="G6" s="311">
        <f ca="1">'Assumption '!P139</f>
        <v>0</v>
      </c>
      <c r="H6" s="311">
        <f ca="1">'Assumption '!Q139</f>
        <v>0</v>
      </c>
      <c r="I6" s="311">
        <f ca="1">'Assumption '!R139</f>
        <v>0</v>
      </c>
      <c r="J6" s="311">
        <f ca="1">'Assumption '!S139</f>
        <v>0</v>
      </c>
      <c r="K6" s="311">
        <f ca="1">'Assumption '!T139</f>
        <v>0</v>
      </c>
      <c r="L6" s="311">
        <f ca="1">'Assumption '!U139</f>
        <v>0</v>
      </c>
      <c r="M6" s="311">
        <f ca="1">'Assumption '!V139</f>
        <v>0</v>
      </c>
      <c r="N6" s="311">
        <f ca="1">'Assumption '!W139</f>
        <v>0</v>
      </c>
      <c r="O6" s="311">
        <f ca="1">'Assumption '!X139</f>
        <v>0</v>
      </c>
      <c r="P6" s="311">
        <f ca="1">'Assumption '!Y139</f>
        <v>0</v>
      </c>
      <c r="Q6" s="311">
        <f ca="1">'Assumption '!Z139</f>
        <v>0</v>
      </c>
      <c r="R6" s="311">
        <f ca="1">'Assumption '!AA139</f>
        <v>0</v>
      </c>
      <c r="S6" s="311">
        <f ca="1">'Assumption '!AB139</f>
        <v>0</v>
      </c>
      <c r="T6" s="311">
        <f ca="1">'Assumption '!AC139</f>
        <v>0</v>
      </c>
      <c r="U6" s="311">
        <f ca="1">'Assumption '!AD139</f>
        <v>0</v>
      </c>
      <c r="V6" s="311">
        <f ca="1">'Assumption '!AE139</f>
        <v>0</v>
      </c>
      <c r="W6" s="311">
        <f ca="1">'Assumption '!AF139</f>
        <v>0</v>
      </c>
      <c r="X6" s="311">
        <f ca="1">'Assumption '!AG139</f>
        <v>0</v>
      </c>
      <c r="Y6" s="311">
        <f ca="1">'Assumption '!AH139</f>
        <v>0</v>
      </c>
      <c r="Z6" s="311">
        <f ca="1">'Assumption '!AI139</f>
        <v>0</v>
      </c>
      <c r="AA6" s="311">
        <f ca="1">'Assumption '!AJ139</f>
        <v>0</v>
      </c>
      <c r="AB6" s="311">
        <f ca="1">'Assumption '!AK139</f>
        <v>0</v>
      </c>
      <c r="AC6" s="311">
        <f ca="1">'Assumption '!AL139</f>
        <v>0</v>
      </c>
      <c r="AD6" s="311">
        <f ca="1">'Assumption '!AM139</f>
        <v>0</v>
      </c>
      <c r="AE6" s="311">
        <f ca="1">'Assumption '!AN139</f>
        <v>0</v>
      </c>
      <c r="AF6" s="311">
        <f ca="1">'Assumption '!AO139</f>
        <v>0</v>
      </c>
      <c r="AG6" s="311">
        <f ca="1">'Assumption '!AP139</f>
        <v>0</v>
      </c>
      <c r="AH6" s="311">
        <f>'Assumption '!BB139</f>
        <v>0</v>
      </c>
    </row>
    <row r="7" spans="1:34" s="311" customFormat="1">
      <c r="C7" s="311" t="s">
        <v>2113</v>
      </c>
      <c r="F7" s="311">
        <f ca="1">'Assumption '!O140</f>
        <v>0</v>
      </c>
      <c r="G7" s="311">
        <f ca="1">'Assumption '!P140</f>
        <v>0</v>
      </c>
      <c r="H7" s="311">
        <f ca="1">'Assumption '!Q140</f>
        <v>0</v>
      </c>
      <c r="I7" s="311">
        <f ca="1">'Assumption '!R140</f>
        <v>0</v>
      </c>
      <c r="J7" s="311">
        <f ca="1">'Assumption '!S140</f>
        <v>0</v>
      </c>
      <c r="K7" s="311">
        <f ca="1">'Assumption '!T140</f>
        <v>0</v>
      </c>
      <c r="L7" s="311">
        <f ca="1">'Assumption '!U140</f>
        <v>0</v>
      </c>
      <c r="M7" s="311">
        <f ca="1">'Assumption '!V140</f>
        <v>0</v>
      </c>
      <c r="N7" s="311">
        <f ca="1">'Assumption '!W140</f>
        <v>0</v>
      </c>
      <c r="O7" s="311">
        <f ca="1">'Assumption '!X140</f>
        <v>0</v>
      </c>
      <c r="P7" s="311">
        <f ca="1">'Assumption '!Y140</f>
        <v>0</v>
      </c>
      <c r="Q7" s="311">
        <f ca="1">'Assumption '!Z140</f>
        <v>0</v>
      </c>
      <c r="R7" s="311">
        <f ca="1">'Assumption '!AA140</f>
        <v>0</v>
      </c>
      <c r="S7" s="311">
        <f ca="1">'Assumption '!AB140</f>
        <v>0</v>
      </c>
      <c r="T7" s="311">
        <f ca="1">'Assumption '!AC140</f>
        <v>0</v>
      </c>
      <c r="U7" s="311">
        <f ca="1">'Assumption '!AD140</f>
        <v>0</v>
      </c>
      <c r="V7" s="311">
        <f ca="1">'Assumption '!AE140</f>
        <v>0</v>
      </c>
      <c r="W7" s="311">
        <f ca="1">'Assumption '!AF140</f>
        <v>0</v>
      </c>
      <c r="X7" s="311">
        <f ca="1">'Assumption '!AG140</f>
        <v>0</v>
      </c>
      <c r="Y7" s="311">
        <f ca="1">'Assumption '!AH140</f>
        <v>0</v>
      </c>
      <c r="Z7" s="311">
        <f ca="1">'Assumption '!AI140</f>
        <v>0</v>
      </c>
      <c r="AA7" s="311">
        <f ca="1">'Assumption '!AJ140</f>
        <v>0</v>
      </c>
      <c r="AB7" s="311">
        <f ca="1">'Assumption '!AK140</f>
        <v>0</v>
      </c>
      <c r="AC7" s="311">
        <f ca="1">'Assumption '!AL140</f>
        <v>0</v>
      </c>
      <c r="AD7" s="311">
        <f ca="1">'Assumption '!AM140</f>
        <v>0</v>
      </c>
      <c r="AE7" s="311">
        <f ca="1">'Assumption '!AN140</f>
        <v>0</v>
      </c>
      <c r="AF7" s="311">
        <f ca="1">'Assumption '!AO140</f>
        <v>0</v>
      </c>
      <c r="AG7" s="311">
        <f ca="1">'Assumption '!AP140</f>
        <v>0</v>
      </c>
    </row>
    <row r="8" spans="1:34">
      <c r="C8" t="s">
        <v>1812</v>
      </c>
      <c r="D8" s="311">
        <f>'Assumption '!M141</f>
        <v>0</v>
      </c>
      <c r="E8" s="311">
        <f>'Assumption '!N141</f>
        <v>650000</v>
      </c>
      <c r="F8" s="311">
        <f ca="1">'Assumption '!O141</f>
        <v>812500</v>
      </c>
      <c r="G8" s="311">
        <f ca="1">'Assumption '!P141</f>
        <v>950000</v>
      </c>
      <c r="H8" s="311">
        <f ca="1">'Assumption '!Q141</f>
        <v>950000</v>
      </c>
      <c r="I8" s="311">
        <f ca="1">'Assumption '!R141</f>
        <v>950000</v>
      </c>
      <c r="J8" s="311">
        <f ca="1">'Assumption '!S141</f>
        <v>950000</v>
      </c>
      <c r="K8" s="311">
        <f ca="1">'Assumption '!T141</f>
        <v>950000</v>
      </c>
      <c r="L8" s="311">
        <f ca="1">'Assumption '!U141</f>
        <v>950000</v>
      </c>
      <c r="M8" s="311">
        <f ca="1">'Assumption '!V141</f>
        <v>950000</v>
      </c>
      <c r="N8" s="311">
        <f ca="1">'Assumption '!W141</f>
        <v>950000</v>
      </c>
      <c r="O8" s="311">
        <f ca="1">'Assumption '!X141</f>
        <v>950000</v>
      </c>
      <c r="P8" s="311">
        <f ca="1">'Assumption '!Y141</f>
        <v>950000</v>
      </c>
      <c r="Q8" s="311">
        <f ca="1">'Assumption '!Z141</f>
        <v>950000</v>
      </c>
      <c r="R8" s="311">
        <f ca="1">'Assumption '!AA141</f>
        <v>950000</v>
      </c>
      <c r="S8" s="311">
        <f ca="1">'Assumption '!AB141</f>
        <v>950000</v>
      </c>
      <c r="T8" s="311">
        <f ca="1">'Assumption '!AC141</f>
        <v>950000</v>
      </c>
      <c r="U8" s="311">
        <f ca="1">'Assumption '!AD141</f>
        <v>950000</v>
      </c>
      <c r="V8" s="311">
        <f ca="1">'Assumption '!AE141</f>
        <v>950000</v>
      </c>
      <c r="W8" s="311">
        <f ca="1">'Assumption '!AF141</f>
        <v>950000</v>
      </c>
      <c r="X8" s="311">
        <f ca="1">'Assumption '!AG141</f>
        <v>950000</v>
      </c>
      <c r="Y8" s="311">
        <f ca="1">'Assumption '!AH141</f>
        <v>950000</v>
      </c>
      <c r="Z8" s="311">
        <f ca="1">'Assumption '!AI141</f>
        <v>950000</v>
      </c>
      <c r="AA8" s="311">
        <f ca="1">'Assumption '!AJ141</f>
        <v>950000</v>
      </c>
      <c r="AB8" s="311">
        <f ca="1">'Assumption '!AK141</f>
        <v>950000</v>
      </c>
      <c r="AC8" s="311">
        <f ca="1">'Assumption '!AL141</f>
        <v>950000</v>
      </c>
      <c r="AD8" s="311">
        <f ca="1">'Assumption '!AM141</f>
        <v>950000</v>
      </c>
      <c r="AE8" s="311">
        <f ca="1">'Assumption '!AN141</f>
        <v>950000</v>
      </c>
      <c r="AF8" s="311">
        <f ca="1">'Assumption '!AO141</f>
        <v>950000</v>
      </c>
      <c r="AG8" s="311">
        <f ca="1">'Assumption '!AP141</f>
        <v>950000</v>
      </c>
      <c r="AH8" s="978">
        <f>'Assumption '!BB141</f>
        <v>0</v>
      </c>
    </row>
    <row r="9" spans="1:34">
      <c r="D9" s="978"/>
      <c r="E9" s="978"/>
      <c r="F9" s="311"/>
      <c r="G9" s="311"/>
      <c r="H9" s="311"/>
      <c r="I9" s="311"/>
      <c r="J9" s="311"/>
      <c r="K9" s="311"/>
      <c r="L9" s="311"/>
      <c r="M9" s="311"/>
      <c r="N9" s="311"/>
      <c r="O9" s="311"/>
      <c r="P9" s="311"/>
      <c r="Q9" s="311"/>
      <c r="R9" s="311"/>
      <c r="S9" s="311"/>
      <c r="T9" s="311"/>
      <c r="U9" s="311"/>
      <c r="V9" s="311"/>
      <c r="W9" s="311"/>
      <c r="X9" s="311"/>
      <c r="Y9" s="311"/>
      <c r="Z9" s="311"/>
      <c r="AA9" s="311"/>
      <c r="AB9" s="311"/>
      <c r="AC9" s="311"/>
      <c r="AD9" s="311"/>
      <c r="AE9" s="311"/>
      <c r="AF9" s="311"/>
      <c r="AG9" s="311"/>
    </row>
    <row r="10" spans="1:34" s="983" customFormat="1" ht="15.75" thickBot="1">
      <c r="A10"/>
      <c r="B10"/>
      <c r="C10" s="983" t="s">
        <v>1281</v>
      </c>
      <c r="D10" s="985">
        <f>IS!I7</f>
        <v>0</v>
      </c>
      <c r="E10" s="985">
        <f>IS!J7</f>
        <v>0</v>
      </c>
      <c r="F10" s="985">
        <f ca="1">IS!K7</f>
        <v>1015156499.1623566</v>
      </c>
      <c r="G10" s="985">
        <f ca="1">IS!L7</f>
        <v>1551313125.5927296</v>
      </c>
      <c r="H10" s="985">
        <f ca="1">IS!M7</f>
        <v>1726545204.911016</v>
      </c>
      <c r="I10" s="985">
        <f ca="1">IS!N7</f>
        <v>1837533804.8941593</v>
      </c>
      <c r="J10" s="985">
        <f ca="1">IS!O7</f>
        <v>1946371409.5631919</v>
      </c>
      <c r="K10" s="985">
        <f ca="1">IS!P7</f>
        <v>2040679795.3536811</v>
      </c>
      <c r="L10" s="985">
        <f ca="1">IS!Q7</f>
        <v>2140144140.9091058</v>
      </c>
      <c r="M10" s="985">
        <f ca="1">IS!R7</f>
        <v>2245069848.4766393</v>
      </c>
      <c r="N10" s="985">
        <f ca="1">IS!S7</f>
        <v>2355781246.1907334</v>
      </c>
      <c r="O10" s="985">
        <f ca="1">IS!T7</f>
        <v>2472622788.3470387</v>
      </c>
      <c r="P10" s="985">
        <f ca="1">IS!U7</f>
        <v>2595960332.6575313</v>
      </c>
      <c r="Q10" s="985">
        <f ca="1">IS!V7</f>
        <v>2726182499.4504876</v>
      </c>
      <c r="R10" s="985">
        <f ca="1">IS!W7</f>
        <v>2863702118.0998259</v>
      </c>
      <c r="S10" s="985">
        <f ca="1">IS!X7</f>
        <v>2139202284.3962688</v>
      </c>
      <c r="T10" s="985">
        <f ca="1">IS!Y7</f>
        <v>2203378352.9281569</v>
      </c>
      <c r="U10" s="985">
        <f ca="1">IS!Z7</f>
        <v>2269479703.5160017</v>
      </c>
      <c r="V10" s="985">
        <f ca="1">IS!AA7</f>
        <v>2337564094.6214819</v>
      </c>
      <c r="W10" s="985">
        <f ca="1">IS!AB7</f>
        <v>2407691017.4601264</v>
      </c>
      <c r="X10" s="985">
        <f ca="1">IS!AC7</f>
        <v>2479921747.9839306</v>
      </c>
      <c r="Y10" s="985">
        <f ca="1">IS!AD7</f>
        <v>2554319400.4234486</v>
      </c>
      <c r="Z10" s="985">
        <f ca="1">IS!AE7</f>
        <v>2630948982.436152</v>
      </c>
      <c r="AA10" s="985">
        <f ca="1">IS!AF7</f>
        <v>2709877451.9092369</v>
      </c>
      <c r="AB10" s="985">
        <f ca="1">IS!AG7</f>
        <v>2791173775.4665136</v>
      </c>
      <c r="AC10" s="985">
        <f ca="1">IS!AH7</f>
        <v>2874908988.7305098</v>
      </c>
      <c r="AD10" s="985">
        <f ca="1">IS!AI7</f>
        <v>2961156258.3924251</v>
      </c>
      <c r="AE10" s="985">
        <f ca="1">IS!AJ7</f>
        <v>3049990946.1441975</v>
      </c>
      <c r="AF10" s="985">
        <f ca="1">IS!AK7</f>
        <v>3141490674.5285234</v>
      </c>
      <c r="AG10" s="985">
        <f ca="1">IS!AL7</f>
        <v>3235735394.764379</v>
      </c>
    </row>
    <row r="11" spans="1:34" ht="15.75" thickTop="1">
      <c r="C11" t="s">
        <v>867</v>
      </c>
      <c r="D11" s="978">
        <f>'Rev &amp; Receivables'!J163</f>
        <v>0</v>
      </c>
      <c r="E11" s="978">
        <f>'Rev &amp; Receivables'!K163</f>
        <v>0</v>
      </c>
      <c r="F11" s="311">
        <f ca="1">'Rev &amp; Receivables'!L163</f>
        <v>0</v>
      </c>
      <c r="G11" s="311">
        <f ca="1">'Rev &amp; Receivables'!M163</f>
        <v>0</v>
      </c>
      <c r="H11" s="311">
        <f ca="1">'Rev &amp; Receivables'!N163</f>
        <v>0</v>
      </c>
      <c r="I11" s="311">
        <f ca="1">'Rev &amp; Receivables'!O163</f>
        <v>0</v>
      </c>
      <c r="J11" s="311">
        <f ca="1">'Rev &amp; Receivables'!P163</f>
        <v>0</v>
      </c>
      <c r="K11" s="311">
        <f ca="1">'Rev &amp; Receivables'!Q163</f>
        <v>0</v>
      </c>
      <c r="L11" s="311">
        <f ca="1">'Rev &amp; Receivables'!R163</f>
        <v>0</v>
      </c>
      <c r="M11" s="311">
        <f ca="1">'Rev &amp; Receivables'!S163</f>
        <v>0</v>
      </c>
      <c r="N11" s="311">
        <f ca="1">'Rev &amp; Receivables'!T163</f>
        <v>0</v>
      </c>
      <c r="O11" s="311">
        <f ca="1">'Rev &amp; Receivables'!U163</f>
        <v>0</v>
      </c>
      <c r="P11" s="311">
        <f ca="1">'Rev &amp; Receivables'!V163</f>
        <v>0</v>
      </c>
      <c r="Q11" s="311">
        <f ca="1">'Rev &amp; Receivables'!W163</f>
        <v>0</v>
      </c>
      <c r="R11" s="311">
        <f ca="1">'Rev &amp; Receivables'!X163</f>
        <v>0</v>
      </c>
      <c r="S11" s="311">
        <f ca="1">'Rev &amp; Receivables'!Y163</f>
        <v>0</v>
      </c>
      <c r="T11" s="311">
        <f ca="1">'Rev &amp; Receivables'!Z163</f>
        <v>0</v>
      </c>
      <c r="U11" s="311">
        <f ca="1">'Rev &amp; Receivables'!AA163</f>
        <v>0</v>
      </c>
      <c r="V11" s="311">
        <f ca="1">'Rev &amp; Receivables'!AB163</f>
        <v>0</v>
      </c>
      <c r="W11" s="311">
        <f ca="1">'Rev &amp; Receivables'!AC163</f>
        <v>0</v>
      </c>
      <c r="X11" s="311">
        <f ca="1">'Rev &amp; Receivables'!AD163</f>
        <v>0</v>
      </c>
      <c r="Y11" s="311">
        <f ca="1">'Rev &amp; Receivables'!AE163</f>
        <v>0</v>
      </c>
      <c r="Z11" s="311">
        <f ca="1">'Rev &amp; Receivables'!AF163</f>
        <v>0</v>
      </c>
      <c r="AA11" s="311">
        <f ca="1">'Rev &amp; Receivables'!AG163</f>
        <v>0</v>
      </c>
      <c r="AB11" s="311">
        <f ca="1">'Rev &amp; Receivables'!AH163</f>
        <v>0</v>
      </c>
      <c r="AC11" s="311">
        <f ca="1">'Rev &amp; Receivables'!AI163</f>
        <v>0</v>
      </c>
      <c r="AD11" s="311">
        <f ca="1">'Rev &amp; Receivables'!AJ163</f>
        <v>0</v>
      </c>
      <c r="AE11" s="311">
        <f ca="1">'Rev &amp; Receivables'!AK163</f>
        <v>0</v>
      </c>
      <c r="AF11" s="311">
        <f ca="1">'Rev &amp; Receivables'!AL163</f>
        <v>0</v>
      </c>
      <c r="AG11" s="311">
        <f ca="1">'Rev &amp; Receivables'!AM163</f>
        <v>0</v>
      </c>
    </row>
    <row r="12" spans="1:34">
      <c r="C12" t="s">
        <v>863</v>
      </c>
      <c r="D12" s="978">
        <f>'Rev &amp; Receivables'!J164</f>
        <v>0</v>
      </c>
      <c r="E12" s="978">
        <f>'Rev &amp; Receivables'!K164</f>
        <v>0</v>
      </c>
      <c r="F12" s="311">
        <f>'Rev &amp; Receivables'!L164</f>
        <v>0</v>
      </c>
      <c r="G12" s="311">
        <f>'Rev &amp; Receivables'!M164</f>
        <v>0</v>
      </c>
      <c r="H12" s="311">
        <f>'Rev &amp; Receivables'!N164</f>
        <v>0</v>
      </c>
      <c r="I12" s="311">
        <f>'Rev &amp; Receivables'!O164</f>
        <v>0</v>
      </c>
      <c r="J12" s="311">
        <f>'Rev &amp; Receivables'!P164</f>
        <v>0</v>
      </c>
      <c r="K12" s="311">
        <f>'Rev &amp; Receivables'!Q164</f>
        <v>0</v>
      </c>
      <c r="L12" s="311">
        <f>'Rev &amp; Receivables'!R164</f>
        <v>0</v>
      </c>
      <c r="M12" s="311">
        <f>'Rev &amp; Receivables'!S164</f>
        <v>0</v>
      </c>
      <c r="N12" s="311">
        <f>'Rev &amp; Receivables'!T164</f>
        <v>0</v>
      </c>
      <c r="O12" s="311">
        <f>'Rev &amp; Receivables'!U164</f>
        <v>0</v>
      </c>
      <c r="P12" s="311">
        <f>'Rev &amp; Receivables'!V164</f>
        <v>0</v>
      </c>
      <c r="Q12" s="311">
        <f>'Rev &amp; Receivables'!W164</f>
        <v>0</v>
      </c>
      <c r="R12" s="311">
        <f>'Rev &amp; Receivables'!X164</f>
        <v>0</v>
      </c>
      <c r="S12" s="311">
        <f>'Rev &amp; Receivables'!Y164</f>
        <v>0</v>
      </c>
      <c r="T12" s="311">
        <f>'Rev &amp; Receivables'!Z164</f>
        <v>0</v>
      </c>
      <c r="U12" s="311">
        <f>'Rev &amp; Receivables'!AA164</f>
        <v>0</v>
      </c>
      <c r="V12" s="311">
        <f>'Rev &amp; Receivables'!AB164</f>
        <v>0</v>
      </c>
      <c r="W12" s="311">
        <f>'Rev &amp; Receivables'!AC164</f>
        <v>0</v>
      </c>
      <c r="X12" s="311">
        <f>'Rev &amp; Receivables'!AD164</f>
        <v>0</v>
      </c>
      <c r="Y12" s="311">
        <f>'Rev &amp; Receivables'!AE164</f>
        <v>0</v>
      </c>
      <c r="Z12" s="311">
        <f>'Rev &amp; Receivables'!AF164</f>
        <v>0</v>
      </c>
      <c r="AA12" s="311">
        <f>'Rev &amp; Receivables'!AG164</f>
        <v>0</v>
      </c>
      <c r="AB12" s="311">
        <f>'Rev &amp; Receivables'!AH164</f>
        <v>0</v>
      </c>
      <c r="AC12" s="311">
        <f>'Rev &amp; Receivables'!AI164</f>
        <v>0</v>
      </c>
      <c r="AD12" s="311">
        <f>'Rev &amp; Receivables'!AJ164</f>
        <v>0</v>
      </c>
      <c r="AE12" s="311">
        <f>'Rev &amp; Receivables'!AK164</f>
        <v>0</v>
      </c>
      <c r="AF12" s="311">
        <f>'Rev &amp; Receivables'!AL164</f>
        <v>0</v>
      </c>
      <c r="AG12" s="311">
        <f>'Rev &amp; Receivables'!AM164</f>
        <v>0</v>
      </c>
    </row>
    <row r="13" spans="1:34" ht="15.75" thickBot="1">
      <c r="C13" s="981" t="s">
        <v>655</v>
      </c>
      <c r="D13" s="1913"/>
      <c r="E13" s="1913"/>
      <c r="F13" s="985">
        <f t="shared" ref="F13:AG13" ca="1" si="0">SUM(F11:F12)</f>
        <v>0</v>
      </c>
      <c r="G13" s="985">
        <f t="shared" ca="1" si="0"/>
        <v>0</v>
      </c>
      <c r="H13" s="985">
        <f t="shared" ca="1" si="0"/>
        <v>0</v>
      </c>
      <c r="I13" s="985">
        <f t="shared" ca="1" si="0"/>
        <v>0</v>
      </c>
      <c r="J13" s="985">
        <f t="shared" ca="1" si="0"/>
        <v>0</v>
      </c>
      <c r="K13" s="985">
        <f t="shared" ca="1" si="0"/>
        <v>0</v>
      </c>
      <c r="L13" s="985">
        <f t="shared" ca="1" si="0"/>
        <v>0</v>
      </c>
      <c r="M13" s="985">
        <f t="shared" ca="1" si="0"/>
        <v>0</v>
      </c>
      <c r="N13" s="985">
        <f t="shared" ca="1" si="0"/>
        <v>0</v>
      </c>
      <c r="O13" s="985">
        <f t="shared" ca="1" si="0"/>
        <v>0</v>
      </c>
      <c r="P13" s="985">
        <f t="shared" ca="1" si="0"/>
        <v>0</v>
      </c>
      <c r="Q13" s="985">
        <f t="shared" ca="1" si="0"/>
        <v>0</v>
      </c>
      <c r="R13" s="985">
        <f t="shared" ca="1" si="0"/>
        <v>0</v>
      </c>
      <c r="S13" s="985">
        <f t="shared" ca="1" si="0"/>
        <v>0</v>
      </c>
      <c r="T13" s="985">
        <f t="shared" ca="1" si="0"/>
        <v>0</v>
      </c>
      <c r="U13" s="985">
        <f t="shared" ca="1" si="0"/>
        <v>0</v>
      </c>
      <c r="V13" s="985">
        <f t="shared" ca="1" si="0"/>
        <v>0</v>
      </c>
      <c r="W13" s="985">
        <f t="shared" ca="1" si="0"/>
        <v>0</v>
      </c>
      <c r="X13" s="985">
        <f t="shared" ca="1" si="0"/>
        <v>0</v>
      </c>
      <c r="Y13" s="985">
        <f t="shared" ca="1" si="0"/>
        <v>0</v>
      </c>
      <c r="Z13" s="985">
        <f t="shared" ca="1" si="0"/>
        <v>0</v>
      </c>
      <c r="AA13" s="985">
        <f t="shared" ca="1" si="0"/>
        <v>0</v>
      </c>
      <c r="AB13" s="985">
        <f t="shared" ca="1" si="0"/>
        <v>0</v>
      </c>
      <c r="AC13" s="985">
        <f t="shared" ca="1" si="0"/>
        <v>0</v>
      </c>
      <c r="AD13" s="985">
        <f t="shared" ca="1" si="0"/>
        <v>0</v>
      </c>
      <c r="AE13" s="985">
        <f t="shared" ca="1" si="0"/>
        <v>0</v>
      </c>
      <c r="AF13" s="985">
        <f t="shared" ca="1" si="0"/>
        <v>0</v>
      </c>
      <c r="AG13" s="985">
        <f t="shared" ca="1" si="0"/>
        <v>0</v>
      </c>
    </row>
    <row r="14" spans="1:34" ht="15.75" thickTop="1">
      <c r="D14" s="978"/>
      <c r="E14" s="978"/>
      <c r="F14" s="311"/>
      <c r="G14" s="311"/>
      <c r="H14" s="311"/>
      <c r="I14" s="311"/>
      <c r="J14" s="311"/>
      <c r="K14" s="311"/>
      <c r="L14" s="311"/>
      <c r="M14" s="311"/>
      <c r="N14" s="311"/>
      <c r="O14" s="311"/>
      <c r="P14" s="311"/>
      <c r="Q14" s="311"/>
      <c r="R14" s="311"/>
      <c r="S14" s="311"/>
      <c r="T14" s="311"/>
      <c r="U14" s="311"/>
      <c r="V14" s="311"/>
      <c r="W14" s="311"/>
      <c r="X14" s="311"/>
      <c r="Y14" s="311"/>
      <c r="Z14" s="311"/>
      <c r="AA14" s="311"/>
      <c r="AB14" s="311"/>
      <c r="AC14" s="311"/>
      <c r="AD14" s="311"/>
      <c r="AE14" s="311"/>
      <c r="AF14" s="311"/>
      <c r="AG14" s="311"/>
    </row>
    <row r="15" spans="1:34">
      <c r="D15" s="978"/>
      <c r="E15" s="978"/>
      <c r="F15" s="311"/>
      <c r="G15" s="311"/>
      <c r="H15" s="311"/>
      <c r="I15" s="311"/>
      <c r="J15" s="311"/>
      <c r="K15" s="311"/>
      <c r="L15" s="311"/>
      <c r="M15" s="311"/>
      <c r="N15" s="311"/>
      <c r="O15" s="311"/>
      <c r="P15" s="311"/>
      <c r="Q15" s="311"/>
      <c r="R15" s="311"/>
      <c r="S15" s="311"/>
      <c r="T15" s="311"/>
      <c r="U15" s="311"/>
      <c r="V15" s="311"/>
      <c r="W15" s="311"/>
      <c r="X15" s="311"/>
      <c r="Y15" s="311"/>
      <c r="Z15" s="311"/>
      <c r="AA15" s="311"/>
      <c r="AB15" s="311"/>
      <c r="AC15" s="311"/>
      <c r="AD15" s="311"/>
      <c r="AE15" s="311"/>
      <c r="AF15" s="311"/>
      <c r="AG15" s="311"/>
    </row>
    <row r="16" spans="1:34">
      <c r="D16" s="978"/>
      <c r="E16" s="978"/>
      <c r="F16" s="311"/>
      <c r="G16" s="311"/>
      <c r="H16" s="311"/>
      <c r="I16" s="311"/>
      <c r="J16" s="311"/>
      <c r="K16" s="311"/>
      <c r="L16" s="311"/>
      <c r="M16" s="311"/>
      <c r="N16" s="311"/>
      <c r="O16" s="311"/>
      <c r="P16" s="311"/>
      <c r="Q16" s="311"/>
      <c r="R16" s="311"/>
      <c r="S16" s="311"/>
      <c r="T16" s="311"/>
      <c r="U16" s="311"/>
      <c r="V16" s="311"/>
      <c r="W16" s="311"/>
      <c r="X16" s="311"/>
      <c r="Y16" s="311"/>
      <c r="Z16" s="311"/>
      <c r="AA16" s="311"/>
      <c r="AB16" s="311"/>
      <c r="AC16" s="311"/>
      <c r="AD16" s="311"/>
      <c r="AE16" s="311"/>
      <c r="AF16" s="311"/>
      <c r="AG16" s="311"/>
    </row>
    <row r="17" spans="2:34">
      <c r="D17" s="978"/>
      <c r="E17" s="978"/>
      <c r="F17" s="311"/>
      <c r="G17" s="311"/>
      <c r="H17" s="1915"/>
      <c r="I17" s="1914"/>
      <c r="J17" s="1914"/>
      <c r="K17" s="311"/>
      <c r="L17" s="311"/>
      <c r="M17" s="311"/>
      <c r="N17" s="311"/>
      <c r="O17" s="311"/>
      <c r="P17" s="311"/>
      <c r="Q17" s="311"/>
      <c r="R17" s="311"/>
      <c r="S17" s="311"/>
      <c r="T17" s="311"/>
      <c r="U17" s="311"/>
      <c r="V17" s="311"/>
      <c r="W17" s="311"/>
      <c r="X17" s="311"/>
      <c r="Y17" s="311"/>
      <c r="Z17" s="311"/>
      <c r="AA17" s="311"/>
      <c r="AB17" s="311"/>
      <c r="AC17" s="311"/>
      <c r="AD17" s="311"/>
      <c r="AE17" s="311"/>
      <c r="AF17" s="311"/>
      <c r="AG17" s="311"/>
    </row>
    <row r="18" spans="2:34">
      <c r="D18" s="978"/>
      <c r="E18" s="978"/>
      <c r="F18" s="311"/>
      <c r="G18" s="311"/>
      <c r="H18" s="311"/>
      <c r="I18" s="1914"/>
      <c r="J18" s="1914"/>
      <c r="K18" s="311"/>
      <c r="L18" s="311"/>
      <c r="M18" s="311"/>
      <c r="N18" s="311"/>
      <c r="O18" s="311"/>
      <c r="P18" s="311"/>
      <c r="Q18" s="311"/>
      <c r="R18" s="311"/>
      <c r="S18" s="311"/>
      <c r="T18" s="311"/>
      <c r="U18" s="311"/>
      <c r="V18" s="311"/>
      <c r="W18" s="311"/>
      <c r="X18" s="311"/>
      <c r="Y18" s="311"/>
      <c r="Z18" s="311"/>
      <c r="AA18" s="311"/>
      <c r="AB18" s="311"/>
      <c r="AC18" s="311"/>
      <c r="AD18" s="311"/>
      <c r="AE18" s="311"/>
      <c r="AF18" s="311"/>
      <c r="AG18" s="311"/>
    </row>
    <row r="19" spans="2:34">
      <c r="C19" t="s">
        <v>867</v>
      </c>
      <c r="D19" s="978"/>
      <c r="E19" s="978"/>
      <c r="F19" s="311">
        <f ca="1">F11/F3</f>
        <v>0</v>
      </c>
      <c r="G19" s="311">
        <f t="shared" ref="G19:AG19" ca="1" si="1">G11/G3</f>
        <v>0</v>
      </c>
      <c r="H19" s="311">
        <f t="shared" ca="1" si="1"/>
        <v>0</v>
      </c>
      <c r="I19" s="311">
        <f t="shared" ca="1" si="1"/>
        <v>0</v>
      </c>
      <c r="J19" s="311">
        <f t="shared" ca="1" si="1"/>
        <v>0</v>
      </c>
      <c r="K19" s="311">
        <f t="shared" ca="1" si="1"/>
        <v>0</v>
      </c>
      <c r="L19" s="311">
        <f t="shared" ca="1" si="1"/>
        <v>0</v>
      </c>
      <c r="M19" s="311">
        <f t="shared" ca="1" si="1"/>
        <v>0</v>
      </c>
      <c r="N19" s="311">
        <f t="shared" ca="1" si="1"/>
        <v>0</v>
      </c>
      <c r="O19" s="311">
        <f t="shared" ca="1" si="1"/>
        <v>0</v>
      </c>
      <c r="P19" s="311">
        <f t="shared" ca="1" si="1"/>
        <v>0</v>
      </c>
      <c r="Q19" s="311">
        <f t="shared" ca="1" si="1"/>
        <v>0</v>
      </c>
      <c r="R19" s="311">
        <f t="shared" ca="1" si="1"/>
        <v>0</v>
      </c>
      <c r="S19" s="311">
        <f t="shared" ca="1" si="1"/>
        <v>0</v>
      </c>
      <c r="T19" s="311">
        <f t="shared" ca="1" si="1"/>
        <v>0</v>
      </c>
      <c r="U19" s="311">
        <f t="shared" ca="1" si="1"/>
        <v>0</v>
      </c>
      <c r="V19" s="311">
        <f t="shared" ca="1" si="1"/>
        <v>0</v>
      </c>
      <c r="W19" s="311">
        <f t="shared" ca="1" si="1"/>
        <v>0</v>
      </c>
      <c r="X19" s="311">
        <f t="shared" ca="1" si="1"/>
        <v>0</v>
      </c>
      <c r="Y19" s="311">
        <f t="shared" ca="1" si="1"/>
        <v>0</v>
      </c>
      <c r="Z19" s="311">
        <f t="shared" ca="1" si="1"/>
        <v>0</v>
      </c>
      <c r="AA19" s="311">
        <f t="shared" ca="1" si="1"/>
        <v>0</v>
      </c>
      <c r="AB19" s="311">
        <f t="shared" ca="1" si="1"/>
        <v>0</v>
      </c>
      <c r="AC19" s="311">
        <f t="shared" ca="1" si="1"/>
        <v>0</v>
      </c>
      <c r="AD19" s="311">
        <f t="shared" ca="1" si="1"/>
        <v>0</v>
      </c>
      <c r="AE19" s="311">
        <f t="shared" ca="1" si="1"/>
        <v>0</v>
      </c>
      <c r="AF19" s="311">
        <f t="shared" ca="1" si="1"/>
        <v>0</v>
      </c>
      <c r="AG19" s="311">
        <f t="shared" ca="1" si="1"/>
        <v>0</v>
      </c>
    </row>
    <row r="20" spans="2:34">
      <c r="C20" t="s">
        <v>1812</v>
      </c>
      <c r="D20" s="978"/>
      <c r="E20" s="978"/>
      <c r="F20" s="311">
        <f ca="1">F12/F8</f>
        <v>0</v>
      </c>
      <c r="G20" s="311">
        <f t="shared" ref="G20:AG20" ca="1" si="2">G12/G8</f>
        <v>0</v>
      </c>
      <c r="H20" s="311">
        <f t="shared" ca="1" si="2"/>
        <v>0</v>
      </c>
      <c r="I20" s="311">
        <f t="shared" ca="1" si="2"/>
        <v>0</v>
      </c>
      <c r="J20" s="311">
        <f t="shared" ca="1" si="2"/>
        <v>0</v>
      </c>
      <c r="K20" s="311">
        <f t="shared" ca="1" si="2"/>
        <v>0</v>
      </c>
      <c r="L20" s="311">
        <f t="shared" ca="1" si="2"/>
        <v>0</v>
      </c>
      <c r="M20" s="311">
        <f t="shared" ca="1" si="2"/>
        <v>0</v>
      </c>
      <c r="N20" s="311">
        <f t="shared" ca="1" si="2"/>
        <v>0</v>
      </c>
      <c r="O20" s="311">
        <f t="shared" ca="1" si="2"/>
        <v>0</v>
      </c>
      <c r="P20" s="311">
        <f t="shared" ca="1" si="2"/>
        <v>0</v>
      </c>
      <c r="Q20" s="311">
        <f t="shared" ca="1" si="2"/>
        <v>0</v>
      </c>
      <c r="R20" s="311">
        <f t="shared" ca="1" si="2"/>
        <v>0</v>
      </c>
      <c r="S20" s="311">
        <f t="shared" ca="1" si="2"/>
        <v>0</v>
      </c>
      <c r="T20" s="311">
        <f t="shared" ca="1" si="2"/>
        <v>0</v>
      </c>
      <c r="U20" s="311">
        <f t="shared" ca="1" si="2"/>
        <v>0</v>
      </c>
      <c r="V20" s="311">
        <f t="shared" ca="1" si="2"/>
        <v>0</v>
      </c>
      <c r="W20" s="311">
        <f t="shared" ca="1" si="2"/>
        <v>0</v>
      </c>
      <c r="X20" s="311">
        <f t="shared" ca="1" si="2"/>
        <v>0</v>
      </c>
      <c r="Y20" s="311">
        <f t="shared" ca="1" si="2"/>
        <v>0</v>
      </c>
      <c r="Z20" s="311">
        <f t="shared" ca="1" si="2"/>
        <v>0</v>
      </c>
      <c r="AA20" s="311">
        <f t="shared" ca="1" si="2"/>
        <v>0</v>
      </c>
      <c r="AB20" s="311">
        <f t="shared" ca="1" si="2"/>
        <v>0</v>
      </c>
      <c r="AC20" s="311">
        <f t="shared" ca="1" si="2"/>
        <v>0</v>
      </c>
      <c r="AD20" s="311">
        <f t="shared" ca="1" si="2"/>
        <v>0</v>
      </c>
      <c r="AE20" s="311">
        <f t="shared" ca="1" si="2"/>
        <v>0</v>
      </c>
      <c r="AF20" s="311">
        <f t="shared" ca="1" si="2"/>
        <v>0</v>
      </c>
      <c r="AG20" s="311">
        <f t="shared" ca="1" si="2"/>
        <v>0</v>
      </c>
    </row>
    <row r="21" spans="2:34" ht="16.899999999999999" customHeight="1">
      <c r="D21" s="978"/>
      <c r="E21" s="978"/>
      <c r="F21" s="311"/>
      <c r="G21" s="311"/>
      <c r="H21" s="311"/>
      <c r="I21" s="311"/>
      <c r="J21" s="311"/>
      <c r="K21" s="311"/>
      <c r="L21" s="311"/>
      <c r="M21" s="311"/>
      <c r="N21" s="311"/>
      <c r="O21" s="311"/>
      <c r="P21" s="311"/>
      <c r="Q21" s="311"/>
      <c r="R21" s="311"/>
      <c r="S21" s="311"/>
      <c r="T21" s="311"/>
      <c r="U21" s="311"/>
      <c r="V21" s="311"/>
      <c r="W21" s="311"/>
      <c r="X21" s="311"/>
      <c r="Y21" s="311"/>
      <c r="Z21" s="311"/>
      <c r="AA21" s="311"/>
      <c r="AB21" s="311"/>
      <c r="AC21" s="311"/>
      <c r="AD21" s="311"/>
      <c r="AE21" s="311"/>
      <c r="AF21" s="311"/>
      <c r="AG21" s="311"/>
    </row>
    <row r="22" spans="2:34">
      <c r="D22" s="978"/>
      <c r="E22" s="978"/>
      <c r="F22" s="311"/>
      <c r="G22" s="311"/>
      <c r="H22" s="978"/>
      <c r="I22" s="978"/>
      <c r="J22" s="978"/>
      <c r="K22" s="978"/>
      <c r="L22" s="978"/>
      <c r="M22" s="978"/>
      <c r="N22" s="978"/>
      <c r="O22" s="978"/>
      <c r="P22" s="978"/>
      <c r="Q22" s="978"/>
      <c r="R22" s="978"/>
      <c r="S22" s="978"/>
      <c r="T22" s="978"/>
      <c r="U22" s="978"/>
      <c r="V22" s="978"/>
      <c r="W22" s="978"/>
      <c r="X22" s="978"/>
      <c r="Y22" s="978"/>
      <c r="Z22" s="978"/>
      <c r="AA22" s="978"/>
      <c r="AB22" s="978"/>
      <c r="AC22" s="978"/>
      <c r="AD22" s="978"/>
      <c r="AE22" s="978"/>
      <c r="AF22" s="978"/>
      <c r="AG22" s="978"/>
    </row>
    <row r="23" spans="2:34">
      <c r="D23" s="978">
        <f>'Assumption '!M147</f>
        <v>0</v>
      </c>
      <c r="E23" s="978">
        <f>'Assumption '!N147</f>
        <v>650000</v>
      </c>
      <c r="F23" s="311">
        <f ca="1">'Assumption '!O147</f>
        <v>812500</v>
      </c>
      <c r="G23" s="311">
        <f ca="1">'Assumption '!P147</f>
        <v>950000</v>
      </c>
      <c r="H23" s="978">
        <f ca="1">'Assumption '!Q147</f>
        <v>950000</v>
      </c>
      <c r="I23" s="978">
        <f ca="1">'Assumption '!R147</f>
        <v>950000</v>
      </c>
      <c r="J23" s="978">
        <f ca="1">'Assumption '!S147</f>
        <v>950000</v>
      </c>
      <c r="K23" s="978">
        <f ca="1">'Assumption '!T147</f>
        <v>950000</v>
      </c>
      <c r="L23" s="978">
        <f ca="1">'Assumption '!U147</f>
        <v>950000</v>
      </c>
      <c r="M23" s="978">
        <f ca="1">'Assumption '!V147</f>
        <v>950000</v>
      </c>
      <c r="N23" s="978">
        <f ca="1">'Assumption '!W147</f>
        <v>950000</v>
      </c>
      <c r="O23" s="978">
        <f ca="1">'Assumption '!X147</f>
        <v>950000</v>
      </c>
      <c r="P23" s="978">
        <f ca="1">'Assumption '!Y147</f>
        <v>950000</v>
      </c>
      <c r="Q23" s="978">
        <f ca="1">'Assumption '!Z147</f>
        <v>950000</v>
      </c>
      <c r="R23" s="978">
        <f ca="1">'Assumption '!AA147</f>
        <v>950000</v>
      </c>
      <c r="S23" s="978">
        <f ca="1">'Assumption '!AB147</f>
        <v>950000</v>
      </c>
      <c r="T23" s="978">
        <f ca="1">'Assumption '!AC147</f>
        <v>950000</v>
      </c>
      <c r="U23" s="978">
        <f ca="1">'Assumption '!AD147</f>
        <v>950000</v>
      </c>
      <c r="V23" s="978">
        <f ca="1">'Assumption '!AE147</f>
        <v>950000</v>
      </c>
      <c r="W23" s="978">
        <f ca="1">'Assumption '!AF147</f>
        <v>950000</v>
      </c>
      <c r="X23" s="978">
        <f ca="1">'Assumption '!AG147</f>
        <v>950000</v>
      </c>
      <c r="Y23" s="978">
        <f ca="1">'Assumption '!AH147</f>
        <v>950000</v>
      </c>
      <c r="Z23" s="978">
        <f ca="1">'Assumption '!AI147</f>
        <v>950000</v>
      </c>
      <c r="AA23" s="978">
        <f ca="1">'Assumption '!AJ147</f>
        <v>950000</v>
      </c>
      <c r="AB23" s="978">
        <f ca="1">'Assumption '!AK147</f>
        <v>950000</v>
      </c>
      <c r="AC23" s="978">
        <f ca="1">'Assumption '!AL147</f>
        <v>950000</v>
      </c>
      <c r="AD23" s="978">
        <f ca="1">'Assumption '!AM147</f>
        <v>950000</v>
      </c>
      <c r="AE23" s="978">
        <f ca="1">'Assumption '!AN147</f>
        <v>950000</v>
      </c>
      <c r="AF23" s="978">
        <f ca="1">'Assumption '!AO147</f>
        <v>950000</v>
      </c>
      <c r="AG23" s="978">
        <f ca="1">'Assumption '!AP147</f>
        <v>950000</v>
      </c>
    </row>
    <row r="24" spans="2:34" s="311" customFormat="1">
      <c r="C24" s="311" t="s">
        <v>655</v>
      </c>
      <c r="D24" s="311">
        <f t="shared" ref="D24:AG24" si="3">SUM(D3:D23)</f>
        <v>0</v>
      </c>
      <c r="E24" s="311">
        <f t="shared" si="3"/>
        <v>3250000</v>
      </c>
      <c r="F24" s="311">
        <f t="shared" ca="1" si="3"/>
        <v>1020518999.1623566</v>
      </c>
      <c r="G24" s="311">
        <f t="shared" ca="1" si="3"/>
        <v>1557688125.5927296</v>
      </c>
      <c r="H24" s="311">
        <f t="shared" ca="1" si="3"/>
        <v>1733195204.911016</v>
      </c>
      <c r="I24" s="311">
        <f t="shared" ca="1" si="3"/>
        <v>1844183804.8941593</v>
      </c>
      <c r="J24" s="311">
        <f t="shared" ca="1" si="3"/>
        <v>1953021409.5631919</v>
      </c>
      <c r="K24" s="311">
        <f t="shared" ca="1" si="3"/>
        <v>2047329795.3536811</v>
      </c>
      <c r="L24" s="311">
        <f t="shared" ca="1" si="3"/>
        <v>2146794140.9091058</v>
      </c>
      <c r="M24" s="311">
        <f t="shared" ca="1" si="3"/>
        <v>2251719848.4766393</v>
      </c>
      <c r="N24" s="311">
        <f t="shared" ca="1" si="3"/>
        <v>2362431246.1907334</v>
      </c>
      <c r="O24" s="311">
        <f t="shared" ca="1" si="3"/>
        <v>2479272788.3470387</v>
      </c>
      <c r="P24" s="311">
        <f t="shared" ca="1" si="3"/>
        <v>2602610332.6575313</v>
      </c>
      <c r="Q24" s="311">
        <f t="shared" ca="1" si="3"/>
        <v>2732832499.4504876</v>
      </c>
      <c r="R24" s="311">
        <f t="shared" ca="1" si="3"/>
        <v>2870352118.0998259</v>
      </c>
      <c r="S24" s="311">
        <f t="shared" ca="1" si="3"/>
        <v>2145852284.3962688</v>
      </c>
      <c r="T24" s="311">
        <f t="shared" ca="1" si="3"/>
        <v>2210028352.9281569</v>
      </c>
      <c r="U24" s="311">
        <f t="shared" ca="1" si="3"/>
        <v>2276129703.5160017</v>
      </c>
      <c r="V24" s="311">
        <f t="shared" ca="1" si="3"/>
        <v>2344214094.6214819</v>
      </c>
      <c r="W24" s="311">
        <f t="shared" ca="1" si="3"/>
        <v>2414341017.4601264</v>
      </c>
      <c r="X24" s="311">
        <f t="shared" ca="1" si="3"/>
        <v>2486571747.9839306</v>
      </c>
      <c r="Y24" s="311">
        <f t="shared" ca="1" si="3"/>
        <v>2560969400.4234486</v>
      </c>
      <c r="Z24" s="311">
        <f t="shared" ca="1" si="3"/>
        <v>2637598982.436152</v>
      </c>
      <c r="AA24" s="311">
        <f t="shared" ca="1" si="3"/>
        <v>2716527451.9092369</v>
      </c>
      <c r="AB24" s="311">
        <f t="shared" ca="1" si="3"/>
        <v>2797823775.4665136</v>
      </c>
      <c r="AC24" s="311">
        <f t="shared" ca="1" si="3"/>
        <v>2881558988.7305098</v>
      </c>
      <c r="AD24" s="311">
        <f t="shared" ca="1" si="3"/>
        <v>2967806258.3924251</v>
      </c>
      <c r="AE24" s="311">
        <f t="shared" ca="1" si="3"/>
        <v>3056640946.1441975</v>
      </c>
      <c r="AF24" s="311">
        <f t="shared" ca="1" si="3"/>
        <v>3148140674.5285234</v>
      </c>
      <c r="AG24" s="311">
        <f t="shared" ca="1" si="3"/>
        <v>3242385394.764379</v>
      </c>
    </row>
    <row r="25" spans="2:34" s="311" customFormat="1"/>
    <row r="26" spans="2:34" s="311" customFormat="1">
      <c r="B26" s="311" t="s">
        <v>1940</v>
      </c>
      <c r="C26" s="311" t="s">
        <v>1281</v>
      </c>
      <c r="D26" s="311">
        <f>IS!I7</f>
        <v>0</v>
      </c>
      <c r="E26" s="311">
        <f>IS!J7</f>
        <v>0</v>
      </c>
      <c r="F26" s="311">
        <f ca="1">IS!K7</f>
        <v>1015156499.1623566</v>
      </c>
      <c r="G26" s="311">
        <f ca="1">IS!L7</f>
        <v>1551313125.5927296</v>
      </c>
      <c r="H26" s="311">
        <f ca="1">IS!M7</f>
        <v>1726545204.911016</v>
      </c>
      <c r="I26" s="311">
        <f ca="1">IS!N7</f>
        <v>1837533804.8941593</v>
      </c>
      <c r="J26" s="311">
        <f ca="1">IS!O7</f>
        <v>1946371409.5631919</v>
      </c>
      <c r="K26" s="311">
        <f ca="1">IS!P7</f>
        <v>2040679795.3536811</v>
      </c>
      <c r="L26" s="311">
        <f ca="1">IS!Q7</f>
        <v>2140144140.9091058</v>
      </c>
      <c r="M26" s="311">
        <f ca="1">IS!R7</f>
        <v>2245069848.4766393</v>
      </c>
      <c r="N26" s="311">
        <f ca="1">IS!S7</f>
        <v>2355781246.1907334</v>
      </c>
      <c r="O26" s="311">
        <f ca="1">IS!T7</f>
        <v>2472622788.3470387</v>
      </c>
      <c r="P26" s="311">
        <f ca="1">IS!U7</f>
        <v>2595960332.6575313</v>
      </c>
      <c r="Q26" s="311">
        <f ca="1">IS!V7</f>
        <v>2726182499.4504876</v>
      </c>
      <c r="R26" s="311">
        <f ca="1">IS!W7</f>
        <v>2863702118.0998259</v>
      </c>
      <c r="S26" s="311">
        <f ca="1">IS!X7</f>
        <v>2139202284.3962688</v>
      </c>
      <c r="T26" s="311">
        <f ca="1">IS!Y7</f>
        <v>2203378352.9281569</v>
      </c>
      <c r="U26" s="311">
        <f ca="1">IS!Z7</f>
        <v>2269479703.5160017</v>
      </c>
      <c r="V26" s="311">
        <f ca="1">IS!AA7</f>
        <v>2337564094.6214819</v>
      </c>
      <c r="W26" s="311">
        <f ca="1">IS!AB7</f>
        <v>2407691017.4601264</v>
      </c>
      <c r="X26" s="311">
        <f ca="1">IS!AC7</f>
        <v>2479921747.9839306</v>
      </c>
      <c r="Y26" s="311">
        <f ca="1">IS!AD7</f>
        <v>2554319400.4234486</v>
      </c>
      <c r="Z26" s="311">
        <f ca="1">IS!AE7</f>
        <v>2630948982.436152</v>
      </c>
      <c r="AA26" s="311">
        <f ca="1">IS!AF7</f>
        <v>2709877451.9092369</v>
      </c>
      <c r="AB26" s="311">
        <f ca="1">IS!AG7</f>
        <v>2791173775.4665136</v>
      </c>
      <c r="AC26" s="311">
        <f ca="1">IS!AH7</f>
        <v>2874908988.7305098</v>
      </c>
      <c r="AD26" s="311">
        <f ca="1">IS!AI7</f>
        <v>2961156258.3924251</v>
      </c>
      <c r="AE26" s="311">
        <f ca="1">IS!AJ7</f>
        <v>3049990946.1441975</v>
      </c>
      <c r="AF26" s="311">
        <f ca="1">IS!AK7</f>
        <v>3141490674.5285234</v>
      </c>
      <c r="AG26" s="311">
        <f ca="1">IS!AL7</f>
        <v>3235735394.764379</v>
      </c>
      <c r="AH26" s="311">
        <f>IS!AX7</f>
        <v>0</v>
      </c>
    </row>
    <row r="27" spans="2:34" s="311" customFormat="1">
      <c r="C27" s="311" t="s">
        <v>867</v>
      </c>
      <c r="D27" s="311">
        <f>'Rev &amp; Receivables'!J163</f>
        <v>0</v>
      </c>
      <c r="E27" s="311">
        <f>'Rev &amp; Receivables'!K163</f>
        <v>0</v>
      </c>
      <c r="F27" s="311">
        <f ca="1">'Rev &amp; Receivables'!L163</f>
        <v>0</v>
      </c>
      <c r="G27" s="311">
        <f ca="1">'Rev &amp; Receivables'!M163</f>
        <v>0</v>
      </c>
      <c r="H27" s="311">
        <f ca="1">'Rev &amp; Receivables'!N163</f>
        <v>0</v>
      </c>
      <c r="I27" s="311">
        <f ca="1">'Rev &amp; Receivables'!O163</f>
        <v>0</v>
      </c>
      <c r="J27" s="311">
        <f ca="1">'Rev &amp; Receivables'!P163</f>
        <v>0</v>
      </c>
      <c r="K27" s="311">
        <f ca="1">'Rev &amp; Receivables'!Q163</f>
        <v>0</v>
      </c>
      <c r="L27" s="311">
        <f ca="1">'Rev &amp; Receivables'!R163</f>
        <v>0</v>
      </c>
      <c r="M27" s="311">
        <f ca="1">'Rev &amp; Receivables'!S163</f>
        <v>0</v>
      </c>
      <c r="N27" s="311">
        <f ca="1">'Rev &amp; Receivables'!T163</f>
        <v>0</v>
      </c>
      <c r="O27" s="311">
        <f ca="1">'Rev &amp; Receivables'!U163</f>
        <v>0</v>
      </c>
      <c r="P27" s="311">
        <f ca="1">'Rev &amp; Receivables'!V163</f>
        <v>0</v>
      </c>
      <c r="Q27" s="311">
        <f ca="1">'Rev &amp; Receivables'!W163</f>
        <v>0</v>
      </c>
      <c r="R27" s="311">
        <f ca="1">'Rev &amp; Receivables'!X163</f>
        <v>0</v>
      </c>
      <c r="S27" s="311">
        <f ca="1">'Rev &amp; Receivables'!Y163</f>
        <v>0</v>
      </c>
      <c r="T27" s="311">
        <f ca="1">'Rev &amp; Receivables'!Z163</f>
        <v>0</v>
      </c>
      <c r="U27" s="311">
        <f ca="1">'Rev &amp; Receivables'!AA163</f>
        <v>0</v>
      </c>
      <c r="V27" s="311">
        <f ca="1">'Rev &amp; Receivables'!AB163</f>
        <v>0</v>
      </c>
      <c r="W27" s="311">
        <f ca="1">'Rev &amp; Receivables'!AC163</f>
        <v>0</v>
      </c>
      <c r="X27" s="311">
        <f ca="1">'Rev &amp; Receivables'!AD163</f>
        <v>0</v>
      </c>
      <c r="Y27" s="311">
        <f ca="1">'Rev &amp; Receivables'!AE163</f>
        <v>0</v>
      </c>
      <c r="Z27" s="311">
        <f ca="1">'Rev &amp; Receivables'!AF163</f>
        <v>0</v>
      </c>
      <c r="AA27" s="311">
        <f ca="1">'Rev &amp; Receivables'!AG163</f>
        <v>0</v>
      </c>
      <c r="AB27" s="311">
        <f ca="1">'Rev &amp; Receivables'!AH163</f>
        <v>0</v>
      </c>
      <c r="AC27" s="311">
        <f ca="1">'Rev &amp; Receivables'!AI163</f>
        <v>0</v>
      </c>
      <c r="AD27" s="311">
        <f ca="1">'Rev &amp; Receivables'!AJ163</f>
        <v>0</v>
      </c>
      <c r="AE27" s="311">
        <f ca="1">'Rev &amp; Receivables'!AK163</f>
        <v>0</v>
      </c>
      <c r="AF27" s="311">
        <f ca="1">'Rev &amp; Receivables'!AL163</f>
        <v>0</v>
      </c>
      <c r="AG27" s="311">
        <f ca="1">'Rev &amp; Receivables'!AM163</f>
        <v>0</v>
      </c>
    </row>
    <row r="28" spans="2:34" s="311" customFormat="1">
      <c r="C28" s="311" t="s">
        <v>863</v>
      </c>
      <c r="D28" s="311">
        <f>'Rev &amp; Receivables'!J164</f>
        <v>0</v>
      </c>
      <c r="E28" s="311">
        <f>'Rev &amp; Receivables'!K164</f>
        <v>0</v>
      </c>
      <c r="F28" s="311">
        <f>'Rev &amp; Receivables'!L164</f>
        <v>0</v>
      </c>
      <c r="G28" s="311">
        <f>'Rev &amp; Receivables'!M164</f>
        <v>0</v>
      </c>
      <c r="H28" s="311">
        <f>'Rev &amp; Receivables'!N164</f>
        <v>0</v>
      </c>
      <c r="I28" s="311">
        <f>'Rev &amp; Receivables'!O164</f>
        <v>0</v>
      </c>
      <c r="J28" s="311">
        <f>'Rev &amp; Receivables'!P164</f>
        <v>0</v>
      </c>
      <c r="K28" s="311">
        <f>'Rev &amp; Receivables'!Q164</f>
        <v>0</v>
      </c>
      <c r="L28" s="311">
        <f>'Rev &amp; Receivables'!R164</f>
        <v>0</v>
      </c>
      <c r="M28" s="311">
        <f>'Rev &amp; Receivables'!S164</f>
        <v>0</v>
      </c>
      <c r="N28" s="311">
        <f>'Rev &amp; Receivables'!T164</f>
        <v>0</v>
      </c>
      <c r="O28" s="311">
        <f>'Rev &amp; Receivables'!U164</f>
        <v>0</v>
      </c>
      <c r="P28" s="311">
        <f>'Rev &amp; Receivables'!V164</f>
        <v>0</v>
      </c>
      <c r="Q28" s="311">
        <f>'Rev &amp; Receivables'!W164</f>
        <v>0</v>
      </c>
      <c r="R28" s="311">
        <f>'Rev &amp; Receivables'!X164</f>
        <v>0</v>
      </c>
      <c r="S28" s="311">
        <f>'Rev &amp; Receivables'!Y164</f>
        <v>0</v>
      </c>
      <c r="T28" s="311">
        <f>'Rev &amp; Receivables'!Z164</f>
        <v>0</v>
      </c>
      <c r="U28" s="311">
        <f>'Rev &amp; Receivables'!AA164</f>
        <v>0</v>
      </c>
      <c r="V28" s="311">
        <f>'Rev &amp; Receivables'!AB164</f>
        <v>0</v>
      </c>
      <c r="W28" s="311">
        <f>'Rev &amp; Receivables'!AC164</f>
        <v>0</v>
      </c>
      <c r="X28" s="311">
        <f>'Rev &amp; Receivables'!AD164</f>
        <v>0</v>
      </c>
      <c r="Y28" s="311">
        <f>'Rev &amp; Receivables'!AE164</f>
        <v>0</v>
      </c>
      <c r="Z28" s="311">
        <f>'Rev &amp; Receivables'!AF164</f>
        <v>0</v>
      </c>
      <c r="AA28" s="311">
        <f>'Rev &amp; Receivables'!AG164</f>
        <v>0</v>
      </c>
      <c r="AB28" s="311">
        <f>'Rev &amp; Receivables'!AH164</f>
        <v>0</v>
      </c>
      <c r="AC28" s="311">
        <f>'Rev &amp; Receivables'!AI164</f>
        <v>0</v>
      </c>
      <c r="AD28" s="311">
        <f>'Rev &amp; Receivables'!AJ164</f>
        <v>0</v>
      </c>
      <c r="AE28" s="311">
        <f>'Rev &amp; Receivables'!AK164</f>
        <v>0</v>
      </c>
      <c r="AF28" s="311">
        <f>'Rev &amp; Receivables'!AL164</f>
        <v>0</v>
      </c>
      <c r="AG28" s="311">
        <f>'Rev &amp; Receivables'!AM164</f>
        <v>0</v>
      </c>
    </row>
    <row r="30" spans="2:34" s="311" customFormat="1">
      <c r="C30" s="311" t="s">
        <v>1941</v>
      </c>
      <c r="F30" s="311">
        <f ca="1">F26/F24</f>
        <v>0.99474532075894562</v>
      </c>
      <c r="G30" s="311">
        <f ca="1">G26/G24</f>
        <v>0.99590739641956616</v>
      </c>
      <c r="H30" s="311">
        <f ca="1">H26/H24</f>
        <v>0.99616315578236247</v>
      </c>
      <c r="I30" s="311">
        <f ca="1">I26/I24</f>
        <v>0.99639406875694714</v>
      </c>
      <c r="J30" s="311">
        <f t="shared" ref="J30:AG30" ca="1" si="4">J26/J24</f>
        <v>0.99659501940560535</v>
      </c>
      <c r="K30" s="311">
        <f t="shared" ca="1" si="4"/>
        <v>0.99675186674120997</v>
      </c>
      <c r="L30" s="311">
        <f t="shared" ca="1" si="4"/>
        <v>0.99690235785850245</v>
      </c>
      <c r="M30" s="311">
        <f t="shared" ca="1" si="4"/>
        <v>0.99704670187790057</v>
      </c>
      <c r="N30" s="311">
        <f t="shared" ca="1" si="4"/>
        <v>0.99718510326566212</v>
      </c>
      <c r="O30" s="311">
        <f t="shared" ca="1" si="4"/>
        <v>0.99731776187305565</v>
      </c>
      <c r="P30" s="311">
        <f t="shared" ca="1" si="4"/>
        <v>0.99744487297366191</v>
      </c>
      <c r="Q30" s="311">
        <f t="shared" ca="1" si="4"/>
        <v>0.99756662729920798</v>
      </c>
      <c r="R30" s="311">
        <f t="shared" ca="1" si="4"/>
        <v>0.99768321107432556</v>
      </c>
      <c r="S30" s="311">
        <f t="shared" ca="1" si="4"/>
        <v>0.99690099824281664</v>
      </c>
      <c r="T30" s="311">
        <f t="shared" ca="1" si="4"/>
        <v>0.99699098882998982</v>
      </c>
      <c r="U30" s="311">
        <f t="shared" ca="1" si="4"/>
        <v>0.99707837387749587</v>
      </c>
      <c r="V30" s="311">
        <f t="shared" ca="1" si="4"/>
        <v>0.99716322838632465</v>
      </c>
      <c r="W30" s="311">
        <f t="shared" ca="1" si="4"/>
        <v>0.99724562522364979</v>
      </c>
      <c r="X30" s="311">
        <f t="shared" ca="1" si="4"/>
        <v>0.99732563518209694</v>
      </c>
      <c r="Y30" s="311">
        <f t="shared" ca="1" si="4"/>
        <v>0.99740332703744905</v>
      </c>
      <c r="Z30" s="311">
        <f t="shared" ca="1" si="4"/>
        <v>0.99747876760482446</v>
      </c>
      <c r="AA30" s="311">
        <f t="shared" ca="1" si="4"/>
        <v>0.99755202179336477</v>
      </c>
      <c r="AB30" s="311">
        <f t="shared" ca="1" si="4"/>
        <v>0.99762315265946611</v>
      </c>
      <c r="AC30" s="311">
        <f t="shared" ca="1" si="4"/>
        <v>0.99769222145858982</v>
      </c>
      <c r="AD30" s="311">
        <f t="shared" ca="1" si="4"/>
        <v>0.997759287695686</v>
      </c>
      <c r="AE30" s="311">
        <f t="shared" ca="1" si="4"/>
        <v>0.99782440917426407</v>
      </c>
      <c r="AF30" s="311">
        <f t="shared" ca="1" si="4"/>
        <v>0.99788764204414215</v>
      </c>
      <c r="AG30" s="311">
        <f t="shared" ca="1" si="4"/>
        <v>0.99794904084790848</v>
      </c>
    </row>
    <row r="31" spans="2:34" s="311" customFormat="1">
      <c r="F31" s="311">
        <f t="shared" ref="F31:AG31" ca="1" si="5">F27/F3</f>
        <v>0</v>
      </c>
      <c r="G31" s="311">
        <f t="shared" ca="1" si="5"/>
        <v>0</v>
      </c>
      <c r="H31" s="311">
        <f t="shared" ca="1" si="5"/>
        <v>0</v>
      </c>
      <c r="I31" s="311">
        <f t="shared" ca="1" si="5"/>
        <v>0</v>
      </c>
      <c r="J31" s="311">
        <f t="shared" ca="1" si="5"/>
        <v>0</v>
      </c>
      <c r="K31" s="311">
        <f t="shared" ca="1" si="5"/>
        <v>0</v>
      </c>
      <c r="L31" s="311">
        <f t="shared" ca="1" si="5"/>
        <v>0</v>
      </c>
      <c r="M31" s="311">
        <f t="shared" ca="1" si="5"/>
        <v>0</v>
      </c>
      <c r="N31" s="311">
        <f t="shared" ca="1" si="5"/>
        <v>0</v>
      </c>
      <c r="O31" s="311">
        <f t="shared" ca="1" si="5"/>
        <v>0</v>
      </c>
      <c r="P31" s="311">
        <f t="shared" ca="1" si="5"/>
        <v>0</v>
      </c>
      <c r="Q31" s="311">
        <f t="shared" ca="1" si="5"/>
        <v>0</v>
      </c>
      <c r="R31" s="311">
        <f t="shared" ca="1" si="5"/>
        <v>0</v>
      </c>
      <c r="S31" s="311">
        <f t="shared" ca="1" si="5"/>
        <v>0</v>
      </c>
      <c r="T31" s="311">
        <f t="shared" ca="1" si="5"/>
        <v>0</v>
      </c>
      <c r="U31" s="311">
        <f t="shared" ca="1" si="5"/>
        <v>0</v>
      </c>
      <c r="V31" s="311">
        <f t="shared" ca="1" si="5"/>
        <v>0</v>
      </c>
      <c r="W31" s="311">
        <f t="shared" ca="1" si="5"/>
        <v>0</v>
      </c>
      <c r="X31" s="311">
        <f t="shared" ca="1" si="5"/>
        <v>0</v>
      </c>
      <c r="Y31" s="311">
        <f t="shared" ca="1" si="5"/>
        <v>0</v>
      </c>
      <c r="Z31" s="311">
        <f t="shared" ca="1" si="5"/>
        <v>0</v>
      </c>
      <c r="AA31" s="311">
        <f t="shared" ca="1" si="5"/>
        <v>0</v>
      </c>
      <c r="AB31" s="311">
        <f t="shared" ca="1" si="5"/>
        <v>0</v>
      </c>
      <c r="AC31" s="311">
        <f t="shared" ca="1" si="5"/>
        <v>0</v>
      </c>
      <c r="AD31" s="311">
        <f t="shared" ca="1" si="5"/>
        <v>0</v>
      </c>
      <c r="AE31" s="311">
        <f t="shared" ca="1" si="5"/>
        <v>0</v>
      </c>
      <c r="AF31" s="311">
        <f t="shared" ca="1" si="5"/>
        <v>0</v>
      </c>
      <c r="AG31" s="311">
        <f t="shared" ca="1" si="5"/>
        <v>0</v>
      </c>
    </row>
    <row r="32" spans="2:34" s="311" customFormat="1">
      <c r="F32" s="311">
        <f ca="1">F28/F23</f>
        <v>0</v>
      </c>
      <c r="G32" s="311">
        <f ca="1">G28/G23</f>
        <v>0</v>
      </c>
      <c r="H32" s="311">
        <f ca="1">H28/H23</f>
        <v>0</v>
      </c>
      <c r="I32" s="311">
        <f t="shared" ref="I32:AG32" ca="1" si="6">I28/I23</f>
        <v>0</v>
      </c>
      <c r="J32" s="311">
        <f t="shared" ca="1" si="6"/>
        <v>0</v>
      </c>
      <c r="K32" s="311">
        <f t="shared" ca="1" si="6"/>
        <v>0</v>
      </c>
      <c r="L32" s="311">
        <f t="shared" ca="1" si="6"/>
        <v>0</v>
      </c>
      <c r="M32" s="311">
        <f t="shared" ca="1" si="6"/>
        <v>0</v>
      </c>
      <c r="N32" s="311">
        <f t="shared" ca="1" si="6"/>
        <v>0</v>
      </c>
      <c r="O32" s="311">
        <f t="shared" ca="1" si="6"/>
        <v>0</v>
      </c>
      <c r="P32" s="311">
        <f t="shared" ca="1" si="6"/>
        <v>0</v>
      </c>
      <c r="Q32" s="311">
        <f t="shared" ca="1" si="6"/>
        <v>0</v>
      </c>
      <c r="R32" s="311">
        <f t="shared" ca="1" si="6"/>
        <v>0</v>
      </c>
      <c r="S32" s="311">
        <f t="shared" ca="1" si="6"/>
        <v>0</v>
      </c>
      <c r="T32" s="311">
        <f t="shared" ca="1" si="6"/>
        <v>0</v>
      </c>
      <c r="U32" s="311">
        <f t="shared" ca="1" si="6"/>
        <v>0</v>
      </c>
      <c r="V32" s="311">
        <f t="shared" ca="1" si="6"/>
        <v>0</v>
      </c>
      <c r="W32" s="311">
        <f t="shared" ca="1" si="6"/>
        <v>0</v>
      </c>
      <c r="X32" s="311">
        <f t="shared" ca="1" si="6"/>
        <v>0</v>
      </c>
      <c r="Y32" s="311">
        <f t="shared" ca="1" si="6"/>
        <v>0</v>
      </c>
      <c r="Z32" s="311">
        <f t="shared" ca="1" si="6"/>
        <v>0</v>
      </c>
      <c r="AA32" s="311">
        <f t="shared" ca="1" si="6"/>
        <v>0</v>
      </c>
      <c r="AB32" s="311">
        <f t="shared" ca="1" si="6"/>
        <v>0</v>
      </c>
      <c r="AC32" s="311">
        <f t="shared" ca="1" si="6"/>
        <v>0</v>
      </c>
      <c r="AD32" s="311">
        <f t="shared" ca="1" si="6"/>
        <v>0</v>
      </c>
      <c r="AE32" s="311">
        <f t="shared" ca="1" si="6"/>
        <v>0</v>
      </c>
      <c r="AF32" s="311">
        <f t="shared" ca="1" si="6"/>
        <v>0</v>
      </c>
      <c r="AG32" s="311">
        <f t="shared" ca="1" si="6"/>
        <v>0</v>
      </c>
    </row>
    <row r="34" spans="3:33">
      <c r="F34" s="398">
        <f t="shared" ref="F34:K34" ca="1" si="7">(F31+F32)/2</f>
        <v>0</v>
      </c>
      <c r="G34" s="398">
        <f t="shared" ca="1" si="7"/>
        <v>0</v>
      </c>
      <c r="H34" s="398">
        <f t="shared" ca="1" si="7"/>
        <v>0</v>
      </c>
      <c r="I34" s="398">
        <f t="shared" ca="1" si="7"/>
        <v>0</v>
      </c>
      <c r="J34" s="398">
        <f t="shared" ca="1" si="7"/>
        <v>0</v>
      </c>
      <c r="K34" s="398">
        <f t="shared" ca="1" si="7"/>
        <v>0</v>
      </c>
    </row>
    <row r="37" spans="3:33">
      <c r="C37" s="1912" t="s">
        <v>1942</v>
      </c>
      <c r="F37" s="311"/>
    </row>
    <row r="38" spans="3:33" ht="19.149999999999999" customHeight="1">
      <c r="C38" s="311"/>
      <c r="F38" s="311"/>
    </row>
    <row r="39" spans="3:33" s="311" customFormat="1">
      <c r="C39" s="311" t="s">
        <v>1504</v>
      </c>
      <c r="D39" s="311">
        <f>'O&amp;M Costs'!I151</f>
        <v>0</v>
      </c>
      <c r="E39" s="311">
        <f>'O&amp;M Costs'!J151</f>
        <v>0</v>
      </c>
      <c r="F39" s="311">
        <f ca="1">'O&amp;M Costs'!K151</f>
        <v>669050.25973088108</v>
      </c>
      <c r="G39" s="311">
        <f ca="1">'O&amp;M Costs'!L151</f>
        <v>684438.41570469132</v>
      </c>
      <c r="H39" s="311">
        <f ca="1">'O&amp;M Costs'!M151</f>
        <v>700180.49926589918</v>
      </c>
      <c r="I39" s="311">
        <f ca="1">'O&amp;M Costs'!N151</f>
        <v>715025.85629951488</v>
      </c>
      <c r="J39" s="311">
        <f ca="1">'O&amp;M Costs'!O151</f>
        <v>736203.95340974152</v>
      </c>
      <c r="K39" s="311">
        <f ca="1">'O&amp;M Costs'!P151</f>
        <v>751813.08641099732</v>
      </c>
      <c r="L39" s="311">
        <f ca="1">'O&amp;M Costs'!Q151</f>
        <v>769856.60048486118</v>
      </c>
      <c r="M39" s="311">
        <f ca="1">'O&amp;M Costs'!R151</f>
        <v>786179.243161808</v>
      </c>
      <c r="N39" s="311">
        <f ca="1">'O&amp;M Costs'!S151</f>
        <v>809464.80718867143</v>
      </c>
      <c r="O39" s="311">
        <f ca="1">'O&amp;M Costs'!T151</f>
        <v>826627.23042305408</v>
      </c>
      <c r="P39" s="311">
        <f ca="1">'O&amp;M Costs'!U151</f>
        <v>846466.28395320743</v>
      </c>
      <c r="Q39" s="311">
        <f ca="1">'O&amp;M Costs'!V151</f>
        <v>864413.21937254316</v>
      </c>
      <c r="R39" s="311">
        <f ca="1">'O&amp;M Costs'!W151</f>
        <v>890015.96777940216</v>
      </c>
      <c r="S39" s="311">
        <f ca="1">'O&amp;M Costs'!X151</f>
        <v>908886.25168641901</v>
      </c>
      <c r="T39" s="311">
        <f ca="1">'O&amp;M Costs'!Y151</f>
        <v>930699.52172689314</v>
      </c>
      <c r="U39" s="311">
        <f ca="1">'O&amp;M Costs'!Z151</f>
        <v>950432.38590339769</v>
      </c>
      <c r="V39" s="311">
        <f ca="1">'O&amp;M Costs'!AA151</f>
        <v>978582.90547976259</v>
      </c>
      <c r="W39" s="311">
        <f ca="1">'O&amp;M Costs'!AB151</f>
        <v>999331.00205496186</v>
      </c>
      <c r="X39" s="311">
        <f ca="1">'O&amp;M Costs'!AC151</f>
        <v>1023314.946104281</v>
      </c>
      <c r="Y39" s="311">
        <f ca="1">'O&amp;M Costs'!AD151</f>
        <v>1045011.4597156723</v>
      </c>
      <c r="Z39" s="311">
        <f ca="1">'O&amp;M Costs'!AE151</f>
        <v>1075963.2833178216</v>
      </c>
      <c r="AA39" s="311">
        <f ca="1">'O&amp;M Costs'!AF151</f>
        <v>1098776.0567564727</v>
      </c>
      <c r="AB39" s="311">
        <f ca="1">'O&amp;M Costs'!AG151</f>
        <v>1125146.6821186279</v>
      </c>
      <c r="AC39" s="311">
        <f ca="1">'O&amp;M Costs'!AH151</f>
        <v>1149002.2511165529</v>
      </c>
      <c r="AD39" s="311">
        <f ca="1">'O&amp;M Costs'!AI151</f>
        <v>1183034.1410679875</v>
      </c>
      <c r="AE39" s="311">
        <f ca="1">'O&amp;M Costs'!AJ151</f>
        <v>1208117.0507256039</v>
      </c>
      <c r="AF39" s="311">
        <f ca="1">'O&amp;M Costs'!AK151</f>
        <v>1237111.8599430185</v>
      </c>
      <c r="AG39" s="311">
        <f ca="1">'O&amp;M Costs'!AL151</f>
        <v>1266802.544581651</v>
      </c>
    </row>
    <row r="40" spans="3:33" s="311" customFormat="1">
      <c r="C40" s="311" t="s">
        <v>968</v>
      </c>
      <c r="D40" s="311">
        <f>'O&amp;M Costs'!I152</f>
        <v>0</v>
      </c>
      <c r="E40" s="311">
        <f>'O&amp;M Costs'!J152</f>
        <v>0</v>
      </c>
      <c r="F40" s="311">
        <f ca="1">'O&amp;M Costs'!K152</f>
        <v>0</v>
      </c>
      <c r="G40" s="311">
        <f ca="1">'O&amp;M Costs'!L152</f>
        <v>0</v>
      </c>
      <c r="H40" s="311">
        <f ca="1">'O&amp;M Costs'!M152</f>
        <v>0</v>
      </c>
      <c r="I40" s="311">
        <f ca="1">'O&amp;M Costs'!N152</f>
        <v>0</v>
      </c>
      <c r="J40" s="311">
        <f ca="1">'O&amp;M Costs'!O152</f>
        <v>0</v>
      </c>
      <c r="K40" s="311">
        <f ca="1">'O&amp;M Costs'!P152</f>
        <v>0</v>
      </c>
      <c r="L40" s="311">
        <f ca="1">'O&amp;M Costs'!Q152</f>
        <v>0</v>
      </c>
      <c r="M40" s="311">
        <f ca="1">'O&amp;M Costs'!R152</f>
        <v>0</v>
      </c>
      <c r="N40" s="311">
        <f ca="1">'O&amp;M Costs'!S152</f>
        <v>0</v>
      </c>
      <c r="O40" s="311">
        <f ca="1">'O&amp;M Costs'!T152</f>
        <v>0</v>
      </c>
      <c r="P40" s="311">
        <f ca="1">'O&amp;M Costs'!U152</f>
        <v>0</v>
      </c>
      <c r="Q40" s="311">
        <f ca="1">'O&amp;M Costs'!V152</f>
        <v>0</v>
      </c>
      <c r="R40" s="311">
        <f ca="1">'O&amp;M Costs'!W152</f>
        <v>0</v>
      </c>
      <c r="S40" s="311">
        <f ca="1">'O&amp;M Costs'!X152</f>
        <v>0</v>
      </c>
      <c r="T40" s="311">
        <f ca="1">'O&amp;M Costs'!Y152</f>
        <v>0</v>
      </c>
      <c r="U40" s="311">
        <f ca="1">'O&amp;M Costs'!Z152</f>
        <v>0</v>
      </c>
      <c r="V40" s="311">
        <f ca="1">'O&amp;M Costs'!AA152</f>
        <v>0</v>
      </c>
      <c r="W40" s="311">
        <f ca="1">'O&amp;M Costs'!AB152</f>
        <v>0</v>
      </c>
      <c r="X40" s="311">
        <f ca="1">'O&amp;M Costs'!AC152</f>
        <v>0</v>
      </c>
      <c r="Y40" s="311">
        <f ca="1">'O&amp;M Costs'!AD152</f>
        <v>0</v>
      </c>
      <c r="Z40" s="311">
        <f ca="1">'O&amp;M Costs'!AE152</f>
        <v>0</v>
      </c>
      <c r="AA40" s="311">
        <f ca="1">'O&amp;M Costs'!AF152</f>
        <v>0</v>
      </c>
      <c r="AB40" s="311">
        <f ca="1">'O&amp;M Costs'!AG152</f>
        <v>0</v>
      </c>
      <c r="AC40" s="311">
        <f ca="1">'O&amp;M Costs'!AH152</f>
        <v>0</v>
      </c>
      <c r="AD40" s="311">
        <f ca="1">'O&amp;M Costs'!AI152</f>
        <v>0</v>
      </c>
      <c r="AE40" s="311">
        <f ca="1">'O&amp;M Costs'!AJ152</f>
        <v>0</v>
      </c>
      <c r="AF40" s="311">
        <f ca="1">'O&amp;M Costs'!AK152</f>
        <v>0</v>
      </c>
      <c r="AG40" s="311">
        <f ca="1">'O&amp;M Costs'!AL152</f>
        <v>0</v>
      </c>
    </row>
    <row r="41" spans="3:33" s="311" customFormat="1">
      <c r="C41" s="311" t="s">
        <v>969</v>
      </c>
      <c r="D41" s="311">
        <f>'O&amp;M Costs'!I153</f>
        <v>0</v>
      </c>
      <c r="E41" s="311">
        <f>'O&amp;M Costs'!J153</f>
        <v>0</v>
      </c>
      <c r="F41" s="311">
        <f ca="1">'O&amp;M Costs'!K153</f>
        <v>1710282.1692824995</v>
      </c>
      <c r="G41" s="311">
        <f ca="1">'O&amp;M Costs'!L153</f>
        <v>1749618.6591759969</v>
      </c>
      <c r="H41" s="311">
        <f ca="1">'O&amp;M Costs'!M153</f>
        <v>1789859.8883370445</v>
      </c>
      <c r="I41" s="311">
        <f ca="1">'O&amp;M Costs'!N153</f>
        <v>1827808.8302318407</v>
      </c>
      <c r="J41" s="311">
        <f ca="1">'O&amp;M Costs'!O153</f>
        <v>1881946.0513750224</v>
      </c>
      <c r="K41" s="311">
        <f ca="1">'O&amp;M Costs'!P153</f>
        <v>1921847.4212074548</v>
      </c>
      <c r="L41" s="311">
        <f ca="1">'O&amp;M Costs'!Q153</f>
        <v>1967971.7593164335</v>
      </c>
      <c r="M41" s="311">
        <f ca="1">'O&amp;M Costs'!R153</f>
        <v>2009697.0621915581</v>
      </c>
      <c r="N41" s="311">
        <f ca="1">'O&amp;M Costs'!S153</f>
        <v>2069221.5663339668</v>
      </c>
      <c r="O41" s="311">
        <f ca="1">'O&amp;M Costs'!T153</f>
        <v>2113093.5864289161</v>
      </c>
      <c r="P41" s="311">
        <f ca="1">'O&amp;M Costs'!U153</f>
        <v>2163807.8325032103</v>
      </c>
      <c r="Q41" s="311">
        <f ca="1">'O&amp;M Costs'!V153</f>
        <v>2209685.288186885</v>
      </c>
      <c r="R41" s="311">
        <f ca="1">'O&amp;M Costs'!W153</f>
        <v>2275133.1726290644</v>
      </c>
      <c r="S41" s="311">
        <f ca="1">'O&amp;M Costs'!X153</f>
        <v>2323370.9688574839</v>
      </c>
      <c r="T41" s="311">
        <f ca="1">'O&amp;M Costs'!Y153</f>
        <v>2379131.8721100637</v>
      </c>
      <c r="U41" s="311">
        <f ca="1">'O&amp;M Costs'!Z153</f>
        <v>2429574.6680870419</v>
      </c>
      <c r="V41" s="311">
        <f ca="1">'O&amp;M Costs'!AA153</f>
        <v>2501535.3780445582</v>
      </c>
      <c r="W41" s="311">
        <f ca="1">'O&amp;M Costs'!AB153</f>
        <v>2554573.3958959947</v>
      </c>
      <c r="X41" s="311">
        <f ca="1">'O&amp;M Costs'!AC153</f>
        <v>2615883.1573974984</v>
      </c>
      <c r="Y41" s="311">
        <f ca="1">'O&amp;M Costs'!AD153</f>
        <v>2671345.5981117189</v>
      </c>
      <c r="Z41" s="311">
        <f ca="1">'O&amp;M Costs'!AE153</f>
        <v>2750467.235453024</v>
      </c>
      <c r="AA41" s="311">
        <f ca="1">'O&amp;M Costs'!AF153</f>
        <v>2808783.1527948696</v>
      </c>
      <c r="AB41" s="311">
        <f ca="1">'O&amp;M Costs'!AG153</f>
        <v>2876193.9484619466</v>
      </c>
      <c r="AC41" s="311">
        <f ca="1">'O&amp;M Costs'!AH153</f>
        <v>2937175.5469320687</v>
      </c>
      <c r="AD41" s="311">
        <f ca="1">'O&amp;M Costs'!AI153</f>
        <v>3024170.7071975097</v>
      </c>
      <c r="AE41" s="311">
        <f ca="1">'O&amp;M Costs'!AJ153</f>
        <v>3088289.7363992929</v>
      </c>
      <c r="AF41" s="311">
        <f ca="1">'O&amp;M Costs'!AK153</f>
        <v>3162408.6900728759</v>
      </c>
      <c r="AG41" s="311">
        <f ca="1">'O&amp;M Costs'!AL153</f>
        <v>3238306.4986346252</v>
      </c>
    </row>
    <row r="42" spans="3:33" s="311" customFormat="1">
      <c r="C42" s="311" t="s">
        <v>970</v>
      </c>
      <c r="D42" s="311">
        <f>'O&amp;M Costs'!I154</f>
        <v>0</v>
      </c>
      <c r="E42" s="311">
        <f>'O&amp;M Costs'!J154</f>
        <v>0</v>
      </c>
      <c r="F42" s="311">
        <f ca="1">'O&amp;M Costs'!K154</f>
        <v>9064495.497197248</v>
      </c>
      <c r="G42" s="311">
        <f ca="1">'O&amp;M Costs'!L154</f>
        <v>9272978.8936327826</v>
      </c>
      <c r="H42" s="311">
        <f ca="1">'O&amp;M Costs'!M154</f>
        <v>9486257.4081863351</v>
      </c>
      <c r="I42" s="311">
        <f ca="1">'O&amp;M Costs'!N154</f>
        <v>9687386.8002287559</v>
      </c>
      <c r="J42" s="311">
        <f ca="1">'O&amp;M Costs'!O154</f>
        <v>9974314.0722876191</v>
      </c>
      <c r="K42" s="311">
        <f ca="1">'O&amp;M Costs'!P154</f>
        <v>10185791.33239951</v>
      </c>
      <c r="L42" s="311">
        <f ca="1">'O&amp;M Costs'!Q154</f>
        <v>10430250.324377097</v>
      </c>
      <c r="M42" s="311">
        <f ca="1">'O&amp;M Costs'!R154</f>
        <v>10651394.429615257</v>
      </c>
      <c r="N42" s="311">
        <f ca="1">'O&amp;M Costs'!S154</f>
        <v>10966874.301570026</v>
      </c>
      <c r="O42" s="311">
        <f ca="1">'O&amp;M Costs'!T154</f>
        <v>11199396.008073257</v>
      </c>
      <c r="P42" s="311">
        <f ca="1">'O&amp;M Costs'!U154</f>
        <v>11468181.512267016</v>
      </c>
      <c r="Q42" s="311">
        <f ca="1">'O&amp;M Costs'!V154</f>
        <v>11711332.027390489</v>
      </c>
      <c r="R42" s="311">
        <f ca="1">'O&amp;M Costs'!W154</f>
        <v>12058205.814934041</v>
      </c>
      <c r="S42" s="311">
        <f ca="1">'O&amp;M Costs'!X154</f>
        <v>12313866.134944664</v>
      </c>
      <c r="T42" s="311">
        <f ca="1">'O&amp;M Costs'!Y154</f>
        <v>12609398.922183337</v>
      </c>
      <c r="U42" s="311">
        <f ca="1">'O&amp;M Costs'!Z154</f>
        <v>12876745.740861323</v>
      </c>
      <c r="V42" s="311">
        <f ca="1">'O&amp;M Costs'!AA154</f>
        <v>13258137.503636159</v>
      </c>
      <c r="W42" s="311">
        <f ca="1">'O&amp;M Costs'!AB154</f>
        <v>13539238.998248771</v>
      </c>
      <c r="X42" s="311">
        <f ca="1">'O&amp;M Costs'!AC154</f>
        <v>13864180.734206742</v>
      </c>
      <c r="Y42" s="311">
        <f ca="1">'O&amp;M Costs'!AD154</f>
        <v>14158131.66999211</v>
      </c>
      <c r="Z42" s="311">
        <f ca="1">'O&amp;M Costs'!AE154</f>
        <v>14577476.34790103</v>
      </c>
      <c r="AA42" s="311">
        <f ca="1">'O&amp;M Costs'!AF154</f>
        <v>14886550.709812809</v>
      </c>
      <c r="AB42" s="311">
        <f ca="1">'O&amp;M Costs'!AG154</f>
        <v>15243827.926848317</v>
      </c>
      <c r="AC42" s="311">
        <f ca="1">'O&amp;M Costs'!AH154</f>
        <v>15567030.398739964</v>
      </c>
      <c r="AD42" s="311">
        <f ca="1">'O&amp;M Costs'!AI154</f>
        <v>16028104.748146802</v>
      </c>
      <c r="AE42" s="311">
        <f ca="1">'O&amp;M Costs'!AJ154</f>
        <v>16367935.602916252</v>
      </c>
      <c r="AF42" s="311">
        <f ca="1">'O&amp;M Costs'!AK154</f>
        <v>16760766.057386242</v>
      </c>
      <c r="AG42" s="311">
        <f ca="1">'O&amp;M Costs'!AL154</f>
        <v>17163024.442763515</v>
      </c>
    </row>
    <row r="43" spans="3:33" s="311" customFormat="1">
      <c r="C43" s="311" t="s">
        <v>971</v>
      </c>
      <c r="D43" s="311">
        <f>'O&amp;M Costs'!I155</f>
        <v>0</v>
      </c>
      <c r="E43" s="311">
        <f>'O&amp;M Costs'!J155</f>
        <v>0</v>
      </c>
      <c r="F43" s="311">
        <f ca="1">'O&amp;M Costs'!K155</f>
        <v>520959.97825720184</v>
      </c>
      <c r="G43" s="311">
        <f ca="1">'O&amp;M Costs'!L155</f>
        <v>532942.05775711744</v>
      </c>
      <c r="H43" s="311">
        <f ca="1">'O&amp;M Costs'!M155</f>
        <v>545199.72508553101</v>
      </c>
      <c r="I43" s="311">
        <f ca="1">'O&amp;M Costs'!N155</f>
        <v>556759.15095073241</v>
      </c>
      <c r="J43" s="311">
        <f ca="1">'O&amp;M Costs'!O155</f>
        <v>573249.60267630313</v>
      </c>
      <c r="K43" s="311">
        <f ca="1">'O&amp;M Costs'!P155</f>
        <v>585403.74725763674</v>
      </c>
      <c r="L43" s="311">
        <f ca="1">'O&amp;M Costs'!Q155</f>
        <v>599453.43719182</v>
      </c>
      <c r="M43" s="311">
        <f ca="1">'O&amp;M Costs'!R155</f>
        <v>612163.16034102358</v>
      </c>
      <c r="N43" s="311">
        <f ca="1">'O&amp;M Costs'!S155</f>
        <v>630294.60376056738</v>
      </c>
      <c r="O43" s="311">
        <f ca="1">'O&amp;M Costs'!T155</f>
        <v>643658.22705341422</v>
      </c>
      <c r="P43" s="311">
        <f ca="1">'O&amp;M Costs'!U155</f>
        <v>659106.02450269624</v>
      </c>
      <c r="Q43" s="311">
        <f ca="1">'O&amp;M Costs'!V155</f>
        <v>673080.51289105928</v>
      </c>
      <c r="R43" s="311">
        <f ca="1">'O&amp;M Costs'!W155</f>
        <v>693016.24575921032</v>
      </c>
      <c r="S43" s="311">
        <f ca="1">'O&amp;M Costs'!X155</f>
        <v>707709.70495891373</v>
      </c>
      <c r="T43" s="311">
        <f ca="1">'O&amp;M Costs'!Y155</f>
        <v>724694.73787792772</v>
      </c>
      <c r="U43" s="311">
        <f ca="1">'O&amp;M Costs'!Z155</f>
        <v>740059.85035315377</v>
      </c>
      <c r="V43" s="311">
        <f ca="1">'O&amp;M Costs'!AA155</f>
        <v>761979.42044992198</v>
      </c>
      <c r="W43" s="311">
        <f ca="1">'O&amp;M Costs'!AB155</f>
        <v>778135.04969224811</v>
      </c>
      <c r="X43" s="311">
        <f ca="1">'O&amp;M Costs'!AC155</f>
        <v>796810.29088486207</v>
      </c>
      <c r="Y43" s="311">
        <f ca="1">'O&amp;M Costs'!AD155</f>
        <v>813704.41071345913</v>
      </c>
      <c r="Z43" s="311">
        <f ca="1">'O&amp;M Costs'!AE155</f>
        <v>837805.23291070689</v>
      </c>
      <c r="AA43" s="311">
        <f ca="1">'O&amp;M Costs'!AF155</f>
        <v>855568.53511668253</v>
      </c>
      <c r="AB43" s="311">
        <f ca="1">'O&amp;M Costs'!AG155</f>
        <v>876102.17995948286</v>
      </c>
      <c r="AC43" s="311">
        <f ca="1">'O&amp;M Costs'!AH155</f>
        <v>894677.46115206648</v>
      </c>
      <c r="AD43" s="311">
        <f ca="1">'O&amp;M Costs'!AI155</f>
        <v>921176.5953969023</v>
      </c>
      <c r="AE43" s="311">
        <f ca="1">'O&amp;M Costs'!AJ155</f>
        <v>940707.55272007152</v>
      </c>
      <c r="AF43" s="311">
        <f ca="1">'O&amp;M Costs'!AK155</f>
        <v>963284.53398535331</v>
      </c>
      <c r="AG43" s="311">
        <f ca="1">'O&amp;M Costs'!AL155</f>
        <v>986403.36280100176</v>
      </c>
    </row>
    <row r="44" spans="3:33" s="311" customFormat="1">
      <c r="C44" s="311" t="s">
        <v>972</v>
      </c>
      <c r="D44" s="311">
        <f>'O&amp;M Costs'!I156</f>
        <v>0</v>
      </c>
      <c r="E44" s="311">
        <f>'O&amp;M Costs'!J156</f>
        <v>0</v>
      </c>
      <c r="F44" s="311">
        <f ca="1">'O&amp;M Costs'!K156</f>
        <v>1949950.7812037875</v>
      </c>
      <c r="G44" s="311">
        <f ca="1">'O&amp;M Costs'!L156</f>
        <v>1994799.6491714744</v>
      </c>
      <c r="H44" s="311">
        <f ca="1">'O&amp;M Costs'!M156</f>
        <v>2040680.041102418</v>
      </c>
      <c r="I44" s="311">
        <f ca="1">'O&amp;M Costs'!N156</f>
        <v>2083946.9184766111</v>
      </c>
      <c r="J44" s="311">
        <f ca="1">'O&amp;M Costs'!O156</f>
        <v>2145670.6027647052</v>
      </c>
      <c r="K44" s="311">
        <f ca="1">'O&amp;M Costs'!P156</f>
        <v>2191163.5095337057</v>
      </c>
      <c r="L44" s="311">
        <f ca="1">'O&amp;M Costs'!Q156</f>
        <v>2243751.4337625145</v>
      </c>
      <c r="M44" s="311">
        <f ca="1">'O&amp;M Costs'!R156</f>
        <v>2291323.8685329985</v>
      </c>
      <c r="N44" s="311">
        <f ca="1">'O&amp;M Costs'!S156</f>
        <v>2359189.777116932</v>
      </c>
      <c r="O44" s="311">
        <f ca="1">'O&amp;M Costs'!T156</f>
        <v>2409209.7570907772</v>
      </c>
      <c r="P44" s="311">
        <f ca="1">'O&amp;M Costs'!U156</f>
        <v>2467030.7912609559</v>
      </c>
      <c r="Q44" s="311">
        <f ca="1">'O&amp;M Costs'!V156</f>
        <v>2519337.2364527183</v>
      </c>
      <c r="R44" s="311">
        <f ca="1">'O&amp;M Costs'!W156</f>
        <v>2593956.5920703369</v>
      </c>
      <c r="S44" s="311">
        <f ca="1">'O&amp;M Costs'!X156</f>
        <v>2648954.1416727025</v>
      </c>
      <c r="T44" s="311">
        <f ca="1">'O&amp;M Costs'!Y156</f>
        <v>2712529.0410728473</v>
      </c>
      <c r="U44" s="311">
        <f ca="1">'O&amp;M Costs'!Z156</f>
        <v>2770040.5857688179</v>
      </c>
      <c r="V44" s="311">
        <f ca="1">'O&amp;M Costs'!AA156</f>
        <v>2852085.4349275422</v>
      </c>
      <c r="W44" s="311">
        <f ca="1">'O&amp;M Costs'!AB156</f>
        <v>2912555.8802145305</v>
      </c>
      <c r="X44" s="311">
        <f ca="1">'O&amp;M Costs'!AC156</f>
        <v>2982457.2213396793</v>
      </c>
      <c r="Y44" s="311">
        <f ca="1">'O&amp;M Costs'!AD156</f>
        <v>3045691.8334642584</v>
      </c>
      <c r="Z44" s="311">
        <f ca="1">'O&amp;M Costs'!AE156</f>
        <v>3135901.0991134034</v>
      </c>
      <c r="AA44" s="311">
        <f ca="1">'O&amp;M Costs'!AF156</f>
        <v>3202389.0568432393</v>
      </c>
      <c r="AB44" s="311">
        <f ca="1">'O&amp;M Costs'!AG156</f>
        <v>3279246.3942074771</v>
      </c>
      <c r="AC44" s="311">
        <f ca="1">'O&amp;M Costs'!AH156</f>
        <v>3348773.5855163569</v>
      </c>
      <c r="AD44" s="311">
        <f ca="1">'O&amp;M Costs'!AI156</f>
        <v>3447959.7220307258</v>
      </c>
      <c r="AE44" s="311">
        <f ca="1">'O&amp;M Costs'!AJ156</f>
        <v>3521064.0046617598</v>
      </c>
      <c r="AF44" s="311">
        <f ca="1">'O&amp;M Costs'!AK156</f>
        <v>3605569.5407736422</v>
      </c>
      <c r="AG44" s="311">
        <f ca="1">'O&amp;M Costs'!AL156</f>
        <v>3692103.20975221</v>
      </c>
    </row>
    <row r="45" spans="3:33" s="311" customFormat="1">
      <c r="C45" s="311" t="s">
        <v>973</v>
      </c>
      <c r="D45" s="311">
        <f>'O&amp;M Costs'!I157</f>
        <v>0</v>
      </c>
      <c r="E45" s="311">
        <f>'O&amp;M Costs'!J157</f>
        <v>0</v>
      </c>
      <c r="F45" s="311">
        <f ca="1">'O&amp;M Costs'!K157</f>
        <v>2877090.7304249541</v>
      </c>
      <c r="G45" s="311">
        <f ca="1">'O&amp;M Costs'!L157</f>
        <v>2943263.8172247279</v>
      </c>
      <c r="H45" s="311">
        <f ca="1">'O&amp;M Costs'!M157</f>
        <v>3010958.8850208963</v>
      </c>
      <c r="I45" s="311">
        <f ca="1">'O&amp;M Costs'!N157</f>
        <v>3074797.7947142352</v>
      </c>
      <c r="J45" s="311">
        <f ca="1">'O&amp;M Costs'!O157</f>
        <v>3165869.1395013696</v>
      </c>
      <c r="K45" s="311">
        <f ca="1">'O&amp;M Costs'!P157</f>
        <v>3232992.4851913434</v>
      </c>
      <c r="L45" s="311">
        <f ca="1">'O&amp;M Costs'!Q157</f>
        <v>3310584.3048359356</v>
      </c>
      <c r="M45" s="311">
        <f ca="1">'O&amp;M Costs'!R157</f>
        <v>3380775.9283483042</v>
      </c>
      <c r="N45" s="311">
        <f ca="1">'O&amp;M Costs'!S157</f>
        <v>3480909.9308989556</v>
      </c>
      <c r="O45" s="311">
        <f ca="1">'O&amp;M Costs'!T157</f>
        <v>3554712.8299803096</v>
      </c>
      <c r="P45" s="311">
        <f ca="1">'O&amp;M Costs'!U157</f>
        <v>3640025.9378998373</v>
      </c>
      <c r="Q45" s="311">
        <f ca="1">'O&amp;M Costs'!V157</f>
        <v>3717202.4441241613</v>
      </c>
      <c r="R45" s="311">
        <f ca="1">'O&amp;M Costs'!W157</f>
        <v>3827300.9442643542</v>
      </c>
      <c r="S45" s="311">
        <f ca="1">'O&amp;M Costs'!X157</f>
        <v>3908448.0899678823</v>
      </c>
      <c r="T45" s="311">
        <f ca="1">'O&amp;M Costs'!Y157</f>
        <v>4002250.8441271116</v>
      </c>
      <c r="U45" s="311">
        <f ca="1">'O&amp;M Costs'!Z157</f>
        <v>4087107.3101118831</v>
      </c>
      <c r="V45" s="311">
        <f ca="1">'O&amp;M Costs'!AA157</f>
        <v>4208161.8912167223</v>
      </c>
      <c r="W45" s="311">
        <f ca="1">'O&amp;M Costs'!AB157</f>
        <v>4297384.1214785846</v>
      </c>
      <c r="X45" s="311">
        <f ca="1">'O&amp;M Costs'!AC157</f>
        <v>4400521.3403940713</v>
      </c>
      <c r="Y45" s="311">
        <f ca="1">'O&amp;M Costs'!AD157</f>
        <v>4493822.0114363059</v>
      </c>
      <c r="Z45" s="311">
        <f ca="1">'O&amp;M Costs'!AE157</f>
        <v>4626922.93095663</v>
      </c>
      <c r="AA45" s="311">
        <f ca="1">'O&amp;M Costs'!AF157</f>
        <v>4725023.8105856553</v>
      </c>
      <c r="AB45" s="311">
        <f ca="1">'O&amp;M Costs'!AG157</f>
        <v>4838424.3820397109</v>
      </c>
      <c r="AC45" s="311">
        <f ca="1">'O&amp;M Costs'!AH157</f>
        <v>4941009.5547299525</v>
      </c>
      <c r="AD45" s="311">
        <f ca="1">'O&amp;M Costs'!AI157</f>
        <v>5087355.5634102263</v>
      </c>
      <c r="AE45" s="311">
        <f ca="1">'O&amp;M Costs'!AJ157</f>
        <v>5195218.6212573927</v>
      </c>
      <c r="AF45" s="311">
        <f ca="1">'O&amp;M Costs'!AK157</f>
        <v>5319903.8681675708</v>
      </c>
      <c r="AG45" s="311">
        <f ca="1">'O&amp;M Costs'!AL157</f>
        <v>5447581.5610035928</v>
      </c>
    </row>
    <row r="46" spans="3:33" ht="15.75" thickBot="1">
      <c r="C46" s="486"/>
      <c r="D46" s="452">
        <f>SUM(D39:D45)</f>
        <v>0</v>
      </c>
      <c r="E46" s="396"/>
      <c r="F46" s="452">
        <f t="shared" ref="F46:AG46" ca="1" si="8">SUM(F39:F45)</f>
        <v>16791829.416096572</v>
      </c>
      <c r="G46" s="452">
        <f t="shared" ca="1" si="8"/>
        <v>17178041.492666788</v>
      </c>
      <c r="H46" s="452">
        <f t="shared" ca="1" si="8"/>
        <v>17573136.446998123</v>
      </c>
      <c r="I46" s="452">
        <f t="shared" ca="1" si="8"/>
        <v>17945725.350901689</v>
      </c>
      <c r="J46" s="452">
        <f t="shared" ca="1" si="8"/>
        <v>18477253.422014758</v>
      </c>
      <c r="K46" s="452">
        <f t="shared" ca="1" si="8"/>
        <v>18869011.582000647</v>
      </c>
      <c r="L46" s="452">
        <f t="shared" ca="1" si="8"/>
        <v>19321867.859968662</v>
      </c>
      <c r="M46" s="452">
        <f t="shared" ca="1" si="8"/>
        <v>19731533.692190949</v>
      </c>
      <c r="N46" s="452">
        <f t="shared" ca="1" si="8"/>
        <v>20315954.986869119</v>
      </c>
      <c r="O46" s="452">
        <f t="shared" ca="1" si="8"/>
        <v>20746697.639049727</v>
      </c>
      <c r="P46" s="452">
        <f t="shared" ca="1" si="8"/>
        <v>21244618.382386923</v>
      </c>
      <c r="Q46" s="452">
        <f t="shared" ca="1" si="8"/>
        <v>21695050.728417858</v>
      </c>
      <c r="R46" s="452">
        <f t="shared" ca="1" si="8"/>
        <v>22337628.737436406</v>
      </c>
      <c r="S46" s="452">
        <f t="shared" ca="1" si="8"/>
        <v>22811235.292088069</v>
      </c>
      <c r="T46" s="452">
        <f t="shared" ca="1" si="8"/>
        <v>23358704.939098179</v>
      </c>
      <c r="U46" s="452">
        <f t="shared" ca="1" si="8"/>
        <v>23853960.541085619</v>
      </c>
      <c r="V46" s="452">
        <f t="shared" ca="1" si="8"/>
        <v>24560482.533754665</v>
      </c>
      <c r="W46" s="452">
        <f t="shared" ca="1" si="8"/>
        <v>25081218.447585087</v>
      </c>
      <c r="X46" s="452">
        <f t="shared" ca="1" si="8"/>
        <v>25683167.690327138</v>
      </c>
      <c r="Y46" s="452">
        <f t="shared" ca="1" si="8"/>
        <v>26227706.983433526</v>
      </c>
      <c r="Z46" s="452">
        <f t="shared" ca="1" si="8"/>
        <v>27004536.129652619</v>
      </c>
      <c r="AA46" s="452">
        <f t="shared" ca="1" si="8"/>
        <v>27577091.321909729</v>
      </c>
      <c r="AB46" s="452">
        <f t="shared" ca="1" si="8"/>
        <v>28238941.513635561</v>
      </c>
      <c r="AC46" s="452">
        <f t="shared" ca="1" si="8"/>
        <v>28837668.798186962</v>
      </c>
      <c r="AD46" s="452">
        <f t="shared" ca="1" si="8"/>
        <v>29691801.477250155</v>
      </c>
      <c r="AE46" s="452">
        <f t="shared" ca="1" si="8"/>
        <v>30321332.568680376</v>
      </c>
      <c r="AF46" s="452">
        <f t="shared" ca="1" si="8"/>
        <v>31049044.550328705</v>
      </c>
      <c r="AG46" s="452">
        <f t="shared" ca="1" si="8"/>
        <v>31794221.619536594</v>
      </c>
    </row>
    <row r="47" spans="3:33">
      <c r="C47" s="311" t="s">
        <v>1949</v>
      </c>
      <c r="F47" s="994">
        <f ca="1">F46/F10</f>
        <v>1.6541123885777352E-2</v>
      </c>
      <c r="G47" s="994">
        <f t="shared" ref="G47:AG47" ca="1" si="9">G46/G10</f>
        <v>1.1073226423004292E-2</v>
      </c>
      <c r="H47" s="994">
        <f t="shared" ca="1" si="9"/>
        <v>1.0178208133220479E-2</v>
      </c>
      <c r="I47" s="994">
        <f t="shared" ca="1" si="9"/>
        <v>9.7662014723780017E-3</v>
      </c>
      <c r="J47" s="994">
        <f t="shared" ca="1" si="9"/>
        <v>9.493179632227261E-3</v>
      </c>
      <c r="K47" s="994">
        <f t="shared" ca="1" si="9"/>
        <v>9.2464342641910453E-3</v>
      </c>
      <c r="L47" s="994">
        <f t="shared" ca="1" si="9"/>
        <v>9.0283021085490901E-3</v>
      </c>
      <c r="M47" s="994">
        <f t="shared" ca="1" si="9"/>
        <v>8.7888284213426607E-3</v>
      </c>
      <c r="N47" s="994">
        <f t="shared" ca="1" si="9"/>
        <v>8.6238716008626634E-3</v>
      </c>
      <c r="O47" s="994">
        <f t="shared" ca="1" si="9"/>
        <v>8.3905631448616558E-3</v>
      </c>
      <c r="P47" s="994">
        <f t="shared" ca="1" si="9"/>
        <v>8.1837222684517773E-3</v>
      </c>
      <c r="Q47" s="994">
        <f t="shared" ca="1" si="9"/>
        <v>7.9580331591120167E-3</v>
      </c>
      <c r="R47" s="994">
        <f t="shared" ca="1" si="9"/>
        <v>7.8002626726617307E-3</v>
      </c>
      <c r="S47" s="994">
        <f t="shared" ca="1" si="9"/>
        <v>1.0663430690251864E-2</v>
      </c>
      <c r="T47" s="994">
        <f t="shared" ca="1" si="9"/>
        <v>1.0601313618269813E-2</v>
      </c>
      <c r="U47" s="994">
        <f t="shared" ca="1" si="9"/>
        <v>1.0510761785677027E-2</v>
      </c>
      <c r="V47" s="994">
        <f t="shared" ca="1" si="9"/>
        <v>1.0506870203159801E-2</v>
      </c>
      <c r="W47" s="994">
        <f t="shared" ca="1" si="9"/>
        <v>1.0417125065343006E-2</v>
      </c>
      <c r="X47" s="994">
        <f t="shared" ca="1" si="9"/>
        <v>1.035644278340897E-2</v>
      </c>
      <c r="Y47" s="994">
        <f t="shared" ca="1" si="9"/>
        <v>1.0267982531505482E-2</v>
      </c>
      <c r="Z47" s="994">
        <f t="shared" ca="1" si="9"/>
        <v>1.0264180837382684E-2</v>
      </c>
      <c r="AA47" s="994">
        <f t="shared" ca="1" si="9"/>
        <v>1.0176508647090429E-2</v>
      </c>
      <c r="AB47" s="994">
        <f t="shared" ca="1" si="9"/>
        <v>1.0117228014194757E-2</v>
      </c>
      <c r="AC47" s="994">
        <f t="shared" ca="1" si="9"/>
        <v>1.0030811031315805E-2</v>
      </c>
      <c r="AD47" s="994">
        <f t="shared" ca="1" si="9"/>
        <v>1.0027097149330939E-2</v>
      </c>
      <c r="AE47" s="994">
        <f t="shared" ca="1" si="9"/>
        <v>9.9414500252902865E-3</v>
      </c>
      <c r="AF47" s="994">
        <f t="shared" ca="1" si="9"/>
        <v>9.8835386659196639E-3</v>
      </c>
      <c r="AG47" s="994">
        <f t="shared" ca="1" si="9"/>
        <v>9.825964654273529E-3</v>
      </c>
    </row>
    <row r="48" spans="3:33">
      <c r="C48" s="311"/>
      <c r="F48" s="442"/>
      <c r="G48" s="442"/>
      <c r="H48" s="442"/>
      <c r="I48" s="442"/>
      <c r="J48" s="442"/>
      <c r="K48" s="442"/>
      <c r="L48" s="442"/>
      <c r="M48" s="442"/>
      <c r="N48" s="442"/>
      <c r="O48" s="442"/>
      <c r="P48" s="442"/>
      <c r="Q48" s="442"/>
      <c r="R48" s="442"/>
      <c r="S48" s="442"/>
      <c r="T48" s="442"/>
      <c r="U48" s="442"/>
      <c r="V48" s="442"/>
      <c r="W48" s="442"/>
      <c r="X48" s="442"/>
      <c r="Y48" s="442"/>
      <c r="Z48" s="442"/>
      <c r="AA48" s="442"/>
      <c r="AB48" s="442"/>
      <c r="AC48" s="442"/>
      <c r="AD48" s="442"/>
      <c r="AE48" s="442"/>
      <c r="AF48" s="442"/>
      <c r="AG48" s="442"/>
    </row>
    <row r="49" spans="3:60">
      <c r="C49" s="311" t="s">
        <v>1504</v>
      </c>
      <c r="F49" s="442">
        <f t="shared" ref="F49:F55" ca="1" si="10">F39/$F$4</f>
        <v>0.54896431567662041</v>
      </c>
      <c r="G49" s="442">
        <f t="shared" ref="G49:AG55" ca="1" si="11">G39/$F$4</f>
        <v>0.5615904949371826</v>
      </c>
      <c r="H49" s="442">
        <f t="shared" ca="1" si="11"/>
        <v>0.57450707632073783</v>
      </c>
      <c r="I49" s="442">
        <f t="shared" ca="1" si="11"/>
        <v>0.5866878820919097</v>
      </c>
      <c r="J49" s="442">
        <f t="shared" ca="1" si="11"/>
        <v>0.60406478228491611</v>
      </c>
      <c r="K49" s="442">
        <f t="shared" ca="1" si="11"/>
        <v>0.61687227602953632</v>
      </c>
      <c r="L49" s="442">
        <f t="shared" ca="1" si="11"/>
        <v>0.63167721065424509</v>
      </c>
      <c r="M49" s="442">
        <f t="shared" ca="1" si="11"/>
        <v>0.6450701482353296</v>
      </c>
      <c r="N49" s="442">
        <f t="shared" ca="1" si="11"/>
        <v>0.66417625205224318</v>
      </c>
      <c r="O49" s="442">
        <f t="shared" ca="1" si="11"/>
        <v>0.67825824034712134</v>
      </c>
      <c r="P49" s="442">
        <f t="shared" ca="1" si="11"/>
        <v>0.69453643811545229</v>
      </c>
      <c r="Q49" s="442">
        <f t="shared" ca="1" si="11"/>
        <v>0.70926212871593286</v>
      </c>
      <c r="R49" s="442">
        <f t="shared" ca="1" si="11"/>
        <v>0.73026951202412482</v>
      </c>
      <c r="S49" s="442">
        <f t="shared" ca="1" si="11"/>
        <v>0.7457528218965489</v>
      </c>
      <c r="T49" s="442">
        <f t="shared" ca="1" si="11"/>
        <v>0.76365088962206618</v>
      </c>
      <c r="U49" s="442">
        <f t="shared" ca="1" si="11"/>
        <v>0.77984195766432629</v>
      </c>
      <c r="V49" s="442">
        <f t="shared" ca="1" si="11"/>
        <v>0.80293981988083085</v>
      </c>
      <c r="W49" s="442">
        <f t="shared" ca="1" si="11"/>
        <v>0.81996389912201995</v>
      </c>
      <c r="X49" s="442">
        <f t="shared" ca="1" si="11"/>
        <v>0.83964303270094853</v>
      </c>
      <c r="Y49" s="442">
        <f t="shared" ca="1" si="11"/>
        <v>0.85744530027952603</v>
      </c>
      <c r="Z49" s="442">
        <f t="shared" ca="1" si="11"/>
        <v>0.88284166836334077</v>
      </c>
      <c r="AA49" s="442">
        <f t="shared" ca="1" si="11"/>
        <v>0.90155984144120838</v>
      </c>
      <c r="AB49" s="442">
        <f t="shared" ca="1" si="11"/>
        <v>0.92319727763579729</v>
      </c>
      <c r="AC49" s="442">
        <f t="shared" ca="1" si="11"/>
        <v>0.94277107783922287</v>
      </c>
      <c r="AD49" s="442">
        <f t="shared" ca="1" si="11"/>
        <v>0.97069467985065649</v>
      </c>
      <c r="AE49" s="442">
        <f t="shared" ca="1" si="11"/>
        <v>0.99127552880049552</v>
      </c>
      <c r="AF49" s="442">
        <f t="shared" ca="1" si="11"/>
        <v>1.0150661414917075</v>
      </c>
      <c r="AG49" s="442">
        <f t="shared" ca="1" si="11"/>
        <v>1.0394277288875085</v>
      </c>
      <c r="AH49" s="413">
        <f t="shared" ref="AH49:AH55" ca="1" si="12">MAX(F49:AG49)</f>
        <v>1.0394277288875085</v>
      </c>
      <c r="AI49" s="413">
        <f t="shared" ref="AI49:AI55" ca="1" si="13">MIN(F49:AG49)</f>
        <v>0.54896431567662041</v>
      </c>
    </row>
    <row r="50" spans="3:60">
      <c r="C50" s="311" t="s">
        <v>968</v>
      </c>
      <c r="F50" s="442">
        <f t="shared" ca="1" si="10"/>
        <v>0</v>
      </c>
      <c r="G50" s="442">
        <f t="shared" ref="G50:U50" ca="1" si="14">G40/$F$4</f>
        <v>0</v>
      </c>
      <c r="H50" s="442">
        <f t="shared" ca="1" si="14"/>
        <v>0</v>
      </c>
      <c r="I50" s="442">
        <f t="shared" ca="1" si="14"/>
        <v>0</v>
      </c>
      <c r="J50" s="442">
        <f t="shared" ca="1" si="14"/>
        <v>0</v>
      </c>
      <c r="K50" s="442">
        <f t="shared" ca="1" si="14"/>
        <v>0</v>
      </c>
      <c r="L50" s="442">
        <f t="shared" ca="1" si="14"/>
        <v>0</v>
      </c>
      <c r="M50" s="442">
        <f t="shared" ca="1" si="14"/>
        <v>0</v>
      </c>
      <c r="N50" s="442">
        <f t="shared" ca="1" si="14"/>
        <v>0</v>
      </c>
      <c r="O50" s="442">
        <f t="shared" ca="1" si="14"/>
        <v>0</v>
      </c>
      <c r="P50" s="442">
        <f t="shared" ca="1" si="14"/>
        <v>0</v>
      </c>
      <c r="Q50" s="442">
        <f t="shared" ca="1" si="14"/>
        <v>0</v>
      </c>
      <c r="R50" s="442">
        <f t="shared" ca="1" si="14"/>
        <v>0</v>
      </c>
      <c r="S50" s="442">
        <f t="shared" ca="1" si="14"/>
        <v>0</v>
      </c>
      <c r="T50" s="442">
        <f t="shared" ca="1" si="14"/>
        <v>0</v>
      </c>
      <c r="U50" s="442">
        <f t="shared" ca="1" si="14"/>
        <v>0</v>
      </c>
      <c r="V50" s="442">
        <f t="shared" ca="1" si="11"/>
        <v>0</v>
      </c>
      <c r="W50" s="442">
        <f t="shared" ca="1" si="11"/>
        <v>0</v>
      </c>
      <c r="X50" s="442">
        <f t="shared" ca="1" si="11"/>
        <v>0</v>
      </c>
      <c r="Y50" s="442">
        <f t="shared" ca="1" si="11"/>
        <v>0</v>
      </c>
      <c r="Z50" s="442">
        <f t="shared" ca="1" si="11"/>
        <v>0</v>
      </c>
      <c r="AA50" s="442">
        <f t="shared" ca="1" si="11"/>
        <v>0</v>
      </c>
      <c r="AB50" s="442">
        <f t="shared" ca="1" si="11"/>
        <v>0</v>
      </c>
      <c r="AC50" s="442">
        <f t="shared" ca="1" si="11"/>
        <v>0</v>
      </c>
      <c r="AD50" s="442">
        <f t="shared" ca="1" si="11"/>
        <v>0</v>
      </c>
      <c r="AE50" s="442">
        <f t="shared" ca="1" si="11"/>
        <v>0</v>
      </c>
      <c r="AF50" s="442">
        <f t="shared" ca="1" si="11"/>
        <v>0</v>
      </c>
      <c r="AG50" s="442">
        <f t="shared" ca="1" si="11"/>
        <v>0</v>
      </c>
      <c r="AH50" s="1923">
        <f t="shared" ca="1" si="12"/>
        <v>0</v>
      </c>
      <c r="AI50" s="413">
        <f t="shared" ca="1" si="13"/>
        <v>0</v>
      </c>
    </row>
    <row r="51" spans="3:60">
      <c r="C51" s="311" t="s">
        <v>969</v>
      </c>
      <c r="F51" s="442">
        <f t="shared" ca="1" si="10"/>
        <v>1.4033084465907688</v>
      </c>
      <c r="G51" s="442">
        <f t="shared" ca="1" si="11"/>
        <v>1.4355845408623564</v>
      </c>
      <c r="H51" s="442">
        <f t="shared" ca="1" si="11"/>
        <v>1.4686029853021905</v>
      </c>
      <c r="I51" s="442">
        <f t="shared" ca="1" si="11"/>
        <v>1.4997405786517668</v>
      </c>
      <c r="J51" s="442">
        <f t="shared" ca="1" si="11"/>
        <v>1.544160862666685</v>
      </c>
      <c r="K51" s="442">
        <f t="shared" ca="1" si="11"/>
        <v>1.5769004481702193</v>
      </c>
      <c r="L51" s="442">
        <f t="shared" ca="1" si="11"/>
        <v>1.6147460589263043</v>
      </c>
      <c r="M51" s="442">
        <f t="shared" ca="1" si="11"/>
        <v>1.6489822048751246</v>
      </c>
      <c r="N51" s="442">
        <f t="shared" ca="1" si="11"/>
        <v>1.6978228236586395</v>
      </c>
      <c r="O51" s="442">
        <f t="shared" ca="1" si="11"/>
        <v>1.7338203786083415</v>
      </c>
      <c r="P51" s="442">
        <f t="shared" ca="1" si="11"/>
        <v>1.7754320676949418</v>
      </c>
      <c r="Q51" s="442">
        <f t="shared" ca="1" si="11"/>
        <v>1.8130751082559056</v>
      </c>
      <c r="R51" s="442">
        <f t="shared" ca="1" si="11"/>
        <v>1.8667759365161554</v>
      </c>
      <c r="S51" s="442">
        <f t="shared" ca="1" si="11"/>
        <v>1.9063556667548587</v>
      </c>
      <c r="T51" s="442">
        <f t="shared" ca="1" si="11"/>
        <v>1.9521082027569754</v>
      </c>
      <c r="U51" s="442">
        <f t="shared" ca="1" si="11"/>
        <v>1.9934971635585985</v>
      </c>
      <c r="V51" s="442">
        <f t="shared" ca="1" si="11"/>
        <v>2.0525418486519453</v>
      </c>
      <c r="W51" s="442">
        <f t="shared" ca="1" si="11"/>
        <v>2.0960602222736369</v>
      </c>
      <c r="X51" s="442">
        <f t="shared" ca="1" si="11"/>
        <v>2.1463656676082037</v>
      </c>
      <c r="Y51" s="442">
        <f t="shared" ca="1" si="11"/>
        <v>2.1918733112711539</v>
      </c>
      <c r="Z51" s="442">
        <f t="shared" ca="1" si="11"/>
        <v>2.2567936290896609</v>
      </c>
      <c r="AA51" s="442">
        <f t="shared" ca="1" si="11"/>
        <v>2.3046425869086109</v>
      </c>
      <c r="AB51" s="442">
        <f t="shared" ca="1" si="11"/>
        <v>2.3599540089944178</v>
      </c>
      <c r="AC51" s="442">
        <f t="shared" ca="1" si="11"/>
        <v>2.4099901923545177</v>
      </c>
      <c r="AD51" s="442">
        <f t="shared" ca="1" si="11"/>
        <v>2.4813708366748797</v>
      </c>
      <c r="AE51" s="442">
        <f t="shared" ca="1" si="11"/>
        <v>2.533981322173779</v>
      </c>
      <c r="AF51" s="442">
        <f t="shared" ca="1" si="11"/>
        <v>2.5947968739059495</v>
      </c>
      <c r="AG51" s="442">
        <f t="shared" ca="1" si="11"/>
        <v>2.6570719988796925</v>
      </c>
      <c r="AH51" s="413">
        <f t="shared" ca="1" si="12"/>
        <v>2.6570719988796925</v>
      </c>
      <c r="AI51" s="413">
        <f t="shared" ca="1" si="13"/>
        <v>1.4033084465907688</v>
      </c>
    </row>
    <row r="52" spans="3:60">
      <c r="C52" s="311" t="s">
        <v>970</v>
      </c>
      <c r="F52" s="442">
        <f t="shared" ca="1" si="10"/>
        <v>7.4375347669310754</v>
      </c>
      <c r="G52" s="442">
        <f t="shared" ca="1" si="11"/>
        <v>7.6085980665704884</v>
      </c>
      <c r="H52" s="442">
        <f t="shared" ca="1" si="11"/>
        <v>7.7835958221016082</v>
      </c>
      <c r="I52" s="442">
        <f t="shared" ca="1" si="11"/>
        <v>7.9486250668543637</v>
      </c>
      <c r="J52" s="442">
        <f t="shared" ca="1" si="11"/>
        <v>8.1840525721334316</v>
      </c>
      <c r="K52" s="442">
        <f t="shared" ca="1" si="11"/>
        <v>8.357572375302162</v>
      </c>
      <c r="L52" s="442">
        <f t="shared" ca="1" si="11"/>
        <v>8.5581541123094134</v>
      </c>
      <c r="M52" s="442">
        <f t="shared" ca="1" si="11"/>
        <v>8.7396056858381606</v>
      </c>
      <c r="N52" s="442">
        <f t="shared" ca="1" si="11"/>
        <v>8.998460965390791</v>
      </c>
      <c r="O52" s="442">
        <f t="shared" ca="1" si="11"/>
        <v>9.1892480066242115</v>
      </c>
      <c r="P52" s="442">
        <f t="shared" ca="1" si="11"/>
        <v>9.4097899587831932</v>
      </c>
      <c r="Q52" s="442">
        <f t="shared" ca="1" si="11"/>
        <v>9.6092980737562996</v>
      </c>
      <c r="R52" s="442">
        <f t="shared" ca="1" si="11"/>
        <v>9.8939124635356244</v>
      </c>
      <c r="S52" s="442">
        <f t="shared" ca="1" si="11"/>
        <v>10.103685033800749</v>
      </c>
      <c r="T52" s="442">
        <f t="shared" ca="1" si="11"/>
        <v>10.346173474611968</v>
      </c>
      <c r="U52" s="442">
        <f t="shared" ca="1" si="11"/>
        <v>10.565534966860573</v>
      </c>
      <c r="V52" s="442">
        <f t="shared" ca="1" si="11"/>
        <v>10.87847179785531</v>
      </c>
      <c r="W52" s="442">
        <f t="shared" ca="1" si="11"/>
        <v>11.109119178050273</v>
      </c>
      <c r="X52" s="442">
        <f t="shared" ca="1" si="11"/>
        <v>11.37573803832348</v>
      </c>
      <c r="Y52" s="442">
        <f t="shared" ca="1" si="11"/>
        <v>11.616928549737116</v>
      </c>
      <c r="Z52" s="442">
        <f t="shared" ca="1" si="11"/>
        <v>11.961006234175203</v>
      </c>
      <c r="AA52" s="442">
        <f t="shared" ca="1" si="11"/>
        <v>12.214605710615638</v>
      </c>
      <c r="AB52" s="442">
        <f t="shared" ca="1" si="11"/>
        <v>12.507756247670413</v>
      </c>
      <c r="AC52" s="442">
        <f t="shared" ca="1" si="11"/>
        <v>12.772948019478944</v>
      </c>
      <c r="AD52" s="442">
        <f t="shared" ca="1" si="11"/>
        <v>13.151265434376864</v>
      </c>
      <c r="AE52" s="442">
        <f t="shared" ca="1" si="11"/>
        <v>13.430101007521028</v>
      </c>
      <c r="AF52" s="442">
        <f t="shared" ca="1" si="11"/>
        <v>13.752423431701532</v>
      </c>
      <c r="AG52" s="442">
        <f t="shared" ca="1" si="11"/>
        <v>14.08248159406237</v>
      </c>
      <c r="AH52" s="413">
        <f t="shared" ca="1" si="12"/>
        <v>14.08248159406237</v>
      </c>
      <c r="AI52" s="413">
        <f t="shared" ca="1" si="13"/>
        <v>7.4375347669310754</v>
      </c>
    </row>
    <row r="53" spans="3:60">
      <c r="C53" s="311" t="s">
        <v>971</v>
      </c>
      <c r="F53" s="442">
        <f t="shared" ca="1" si="10"/>
        <v>0.42745434113411435</v>
      </c>
      <c r="G53" s="442">
        <f t="shared" ca="1" si="11"/>
        <v>0.43728579098019893</v>
      </c>
      <c r="H53" s="442">
        <f t="shared" ca="1" si="11"/>
        <v>0.4473433641727434</v>
      </c>
      <c r="I53" s="442">
        <f t="shared" ca="1" si="11"/>
        <v>0.45682802129290861</v>
      </c>
      <c r="J53" s="442">
        <f t="shared" ca="1" si="11"/>
        <v>0.47035864834978719</v>
      </c>
      <c r="K53" s="442">
        <f t="shared" ca="1" si="11"/>
        <v>0.48033127980113782</v>
      </c>
      <c r="L53" s="442">
        <f t="shared" ca="1" si="11"/>
        <v>0.49185923051636515</v>
      </c>
      <c r="M53" s="442">
        <f t="shared" ca="1" si="11"/>
        <v>0.50228772130545529</v>
      </c>
      <c r="N53" s="442">
        <f t="shared" ca="1" si="11"/>
        <v>0.51716480308559376</v>
      </c>
      <c r="O53" s="442">
        <f t="shared" ca="1" si="11"/>
        <v>0.52812982732587832</v>
      </c>
      <c r="P53" s="442">
        <f t="shared" ca="1" si="11"/>
        <v>0.54080494318169947</v>
      </c>
      <c r="Q53" s="442">
        <f t="shared" ca="1" si="11"/>
        <v>0.55227119006445891</v>
      </c>
      <c r="R53" s="442">
        <f t="shared" ca="1" si="11"/>
        <v>0.56862871446909569</v>
      </c>
      <c r="S53" s="442">
        <f t="shared" ca="1" si="11"/>
        <v>0.58068488612013436</v>
      </c>
      <c r="T53" s="442">
        <f t="shared" ca="1" si="11"/>
        <v>0.59462132338701756</v>
      </c>
      <c r="U53" s="442">
        <f t="shared" ca="1" si="11"/>
        <v>0.60722859516156202</v>
      </c>
      <c r="V53" s="442">
        <f t="shared" ca="1" si="11"/>
        <v>0.62521388344608986</v>
      </c>
      <c r="W53" s="442">
        <f t="shared" ca="1" si="11"/>
        <v>0.63846978436287027</v>
      </c>
      <c r="X53" s="442">
        <f t="shared" ca="1" si="11"/>
        <v>0.65379305918757913</v>
      </c>
      <c r="Y53" s="442">
        <f t="shared" ca="1" si="11"/>
        <v>0.6676549010982229</v>
      </c>
      <c r="Z53" s="442">
        <f t="shared" ca="1" si="11"/>
        <v>0.68742993469596458</v>
      </c>
      <c r="AA53" s="442">
        <f t="shared" ca="1" si="11"/>
        <v>0.7020049518906113</v>
      </c>
      <c r="AB53" s="442">
        <f t="shared" ca="1" si="11"/>
        <v>0.71885307073598592</v>
      </c>
      <c r="AC53" s="442">
        <f t="shared" ca="1" si="11"/>
        <v>0.73409432709913147</v>
      </c>
      <c r="AD53" s="442">
        <f t="shared" ca="1" si="11"/>
        <v>0.75583720647950958</v>
      </c>
      <c r="AE53" s="442">
        <f t="shared" ca="1" si="11"/>
        <v>0.77186260736005863</v>
      </c>
      <c r="AF53" s="442">
        <f t="shared" ca="1" si="11"/>
        <v>0.79038730993670014</v>
      </c>
      <c r="AG53" s="442">
        <f t="shared" ca="1" si="11"/>
        <v>0.80935660537518095</v>
      </c>
      <c r="AH53" s="413">
        <f t="shared" ca="1" si="12"/>
        <v>0.80935660537518095</v>
      </c>
      <c r="AI53" s="413">
        <f t="shared" ca="1" si="13"/>
        <v>0.42745434113411435</v>
      </c>
    </row>
    <row r="54" spans="3:60">
      <c r="C54" s="311" t="s">
        <v>972</v>
      </c>
      <c r="F54" s="442">
        <f t="shared" ca="1" si="10"/>
        <v>1.5999596153466975</v>
      </c>
      <c r="G54" s="442">
        <f t="shared" ca="1" si="11"/>
        <v>1.6367586864996713</v>
      </c>
      <c r="H54" s="442">
        <f t="shared" ca="1" si="11"/>
        <v>1.6744041362891635</v>
      </c>
      <c r="I54" s="442">
        <f t="shared" ca="1" si="11"/>
        <v>1.709905163878245</v>
      </c>
      <c r="J54" s="442">
        <f t="shared" ca="1" si="11"/>
        <v>1.7605502381659119</v>
      </c>
      <c r="K54" s="442">
        <f t="shared" ca="1" si="11"/>
        <v>1.7978777514122712</v>
      </c>
      <c r="L54" s="442">
        <f t="shared" ca="1" si="11"/>
        <v>1.8410268174461657</v>
      </c>
      <c r="M54" s="442">
        <f t="shared" ca="1" si="11"/>
        <v>1.8800606100783577</v>
      </c>
      <c r="N54" s="442">
        <f t="shared" ca="1" si="11"/>
        <v>1.9357454581472262</v>
      </c>
      <c r="O54" s="442">
        <f t="shared" ca="1" si="11"/>
        <v>1.9767874929975608</v>
      </c>
      <c r="P54" s="442">
        <f t="shared" ca="1" si="11"/>
        <v>2.0242303928295025</v>
      </c>
      <c r="Q54" s="442">
        <f t="shared" ca="1" si="11"/>
        <v>2.0671485017047946</v>
      </c>
      <c r="R54" s="442">
        <f t="shared" ca="1" si="11"/>
        <v>2.1283746396474559</v>
      </c>
      <c r="S54" s="442">
        <f t="shared" ca="1" si="11"/>
        <v>2.1735008341929865</v>
      </c>
      <c r="T54" s="442">
        <f t="shared" ca="1" si="11"/>
        <v>2.2256648542136181</v>
      </c>
      <c r="U54" s="442">
        <f t="shared" ca="1" si="11"/>
        <v>2.2728538139641583</v>
      </c>
      <c r="V54" s="442">
        <f t="shared" ca="1" si="11"/>
        <v>2.340172664555932</v>
      </c>
      <c r="W54" s="442">
        <f t="shared" ca="1" si="11"/>
        <v>2.3897894401760249</v>
      </c>
      <c r="X54" s="442">
        <f t="shared" ca="1" si="11"/>
        <v>2.4471443867402498</v>
      </c>
      <c r="Y54" s="442">
        <f t="shared" ca="1" si="11"/>
        <v>2.4990291966886224</v>
      </c>
      <c r="Z54" s="442">
        <f t="shared" ca="1" si="11"/>
        <v>2.5730470556827925</v>
      </c>
      <c r="AA54" s="442">
        <f t="shared" ca="1" si="11"/>
        <v>2.6276012774098376</v>
      </c>
      <c r="AB54" s="442">
        <f t="shared" ca="1" si="11"/>
        <v>2.6906637080676736</v>
      </c>
      <c r="AC54" s="442">
        <f t="shared" ca="1" si="11"/>
        <v>2.7477116599108569</v>
      </c>
      <c r="AD54" s="442">
        <f t="shared" ca="1" si="11"/>
        <v>2.8290951565380316</v>
      </c>
      <c r="AE54" s="442">
        <f t="shared" ca="1" si="11"/>
        <v>2.8890781576711877</v>
      </c>
      <c r="AF54" s="442">
        <f t="shared" ca="1" si="11"/>
        <v>2.958416033455296</v>
      </c>
      <c r="AG54" s="442">
        <f t="shared" ca="1" si="11"/>
        <v>3.0294180182582235</v>
      </c>
      <c r="AH54" s="413">
        <f t="shared" ca="1" si="12"/>
        <v>3.0294180182582235</v>
      </c>
      <c r="AI54" s="413">
        <f t="shared" ca="1" si="13"/>
        <v>1.5999596153466975</v>
      </c>
    </row>
    <row r="55" spans="3:60">
      <c r="C55" s="311" t="s">
        <v>973</v>
      </c>
      <c r="F55" s="442">
        <f t="shared" ca="1" si="10"/>
        <v>2.3606898300922698</v>
      </c>
      <c r="G55" s="442">
        <f t="shared" ca="1" si="11"/>
        <v>2.4149856961843921</v>
      </c>
      <c r="H55" s="442">
        <f t="shared" ca="1" si="11"/>
        <v>2.4705303671966328</v>
      </c>
      <c r="I55" s="442">
        <f t="shared" ca="1" si="11"/>
        <v>2.5229110110475776</v>
      </c>
      <c r="J55" s="442">
        <f t="shared" ca="1" si="11"/>
        <v>2.5976362170267646</v>
      </c>
      <c r="K55" s="442">
        <f t="shared" ca="1" si="11"/>
        <v>2.6527117827211022</v>
      </c>
      <c r="L55" s="442">
        <f t="shared" ca="1" si="11"/>
        <v>2.7163768655064087</v>
      </c>
      <c r="M55" s="442">
        <f t="shared" ca="1" si="11"/>
        <v>2.7739699924909162</v>
      </c>
      <c r="N55" s="442">
        <f t="shared" ca="1" si="11"/>
        <v>2.8561312253529891</v>
      </c>
      <c r="O55" s="442">
        <f t="shared" ca="1" si="11"/>
        <v>2.916687450240254</v>
      </c>
      <c r="P55" s="442">
        <f t="shared" ca="1" si="11"/>
        <v>2.9866879490460203</v>
      </c>
      <c r="Q55" s="442">
        <f t="shared" ca="1" si="11"/>
        <v>3.0500122618454655</v>
      </c>
      <c r="R55" s="442">
        <f t="shared" ca="1" si="11"/>
        <v>3.1403494927297264</v>
      </c>
      <c r="S55" s="442">
        <f t="shared" ca="1" si="11"/>
        <v>3.206931766127493</v>
      </c>
      <c r="T55" s="442">
        <f t="shared" ca="1" si="11"/>
        <v>3.283898128514553</v>
      </c>
      <c r="U55" s="442">
        <f t="shared" ca="1" si="11"/>
        <v>3.3535239467584681</v>
      </c>
      <c r="V55" s="442">
        <f t="shared" ca="1" si="11"/>
        <v>3.4528507825367978</v>
      </c>
      <c r="W55" s="442">
        <f t="shared" ca="1" si="11"/>
        <v>3.5260587663414027</v>
      </c>
      <c r="X55" s="442">
        <f t="shared" ca="1" si="11"/>
        <v>3.6106841767335971</v>
      </c>
      <c r="Y55" s="442">
        <f t="shared" ca="1" si="11"/>
        <v>3.6872385734861997</v>
      </c>
      <c r="Z55" s="442">
        <f t="shared" ca="1" si="11"/>
        <v>3.7964495843746708</v>
      </c>
      <c r="AA55" s="442">
        <f t="shared" ca="1" si="11"/>
        <v>3.876942613813871</v>
      </c>
      <c r="AB55" s="442">
        <f t="shared" ca="1" si="11"/>
        <v>3.9699892365454037</v>
      </c>
      <c r="AC55" s="442">
        <f t="shared" ca="1" si="11"/>
        <v>4.0541616859322689</v>
      </c>
      <c r="AD55" s="442">
        <f t="shared" ca="1" si="11"/>
        <v>4.1742404622853142</v>
      </c>
      <c r="AE55" s="442">
        <f t="shared" ca="1" si="11"/>
        <v>4.26274348410863</v>
      </c>
      <c r="AF55" s="442">
        <f t="shared" ca="1" si="11"/>
        <v>4.3650493277272373</v>
      </c>
      <c r="AG55" s="442">
        <f t="shared" ca="1" si="11"/>
        <v>4.4698105115926916</v>
      </c>
      <c r="AH55" s="413">
        <f t="shared" ca="1" si="12"/>
        <v>4.4698105115926916</v>
      </c>
      <c r="AI55" s="413">
        <f t="shared" ca="1" si="13"/>
        <v>2.3606898300922698</v>
      </c>
    </row>
    <row r="56" spans="3:60">
      <c r="C56" s="311"/>
    </row>
    <row r="57" spans="3:60">
      <c r="C57" s="311" t="s">
        <v>979</v>
      </c>
    </row>
    <row r="58" spans="3:60">
      <c r="C58" s="311" t="s">
        <v>1616</v>
      </c>
      <c r="D58" s="978">
        <f>'O&amp;M Costs'!I164</f>
        <v>0</v>
      </c>
      <c r="E58" s="978">
        <f>'O&amp;M Costs'!J164</f>
        <v>0</v>
      </c>
      <c r="F58" s="978">
        <f>'O&amp;M Costs'!K164</f>
        <v>0</v>
      </c>
      <c r="G58" s="978">
        <f ca="1">'O&amp;M Costs'!L164</f>
        <v>686750.85602586961</v>
      </c>
      <c r="H58" s="978">
        <f ca="1">'O&amp;M Costs'!M164</f>
        <v>702546.12571446446</v>
      </c>
      <c r="I58" s="978">
        <f ca="1">'O&amp;M Costs'!N164</f>
        <v>717441.63919955795</v>
      </c>
      <c r="J58" s="978">
        <f ca="1">'O&amp;M Costs'!O164</f>
        <v>738691.28852625843</v>
      </c>
      <c r="K58" s="978">
        <f ca="1">'O&amp;M Costs'!P164</f>
        <v>754353.15846878244</v>
      </c>
      <c r="L58" s="978">
        <f ca="1">'O&amp;M Costs'!Q164</f>
        <v>772457.63427203323</v>
      </c>
      <c r="M58" s="978">
        <f ca="1">'O&amp;M Costs'!R164</f>
        <v>788835.42455058778</v>
      </c>
      <c r="N58" s="978">
        <f ca="1">'O&amp;M Costs'!S164</f>
        <v>812199.66107145743</v>
      </c>
      <c r="O58" s="978">
        <f ca="1">'O&amp;M Costs'!T164</f>
        <v>829420.0691859778</v>
      </c>
      <c r="P58" s="978">
        <f ca="1">'O&amp;M Costs'!U164</f>
        <v>849326.15084644128</v>
      </c>
      <c r="Q58" s="978">
        <f ca="1">'O&amp;M Costs'!V164</f>
        <v>867333.72169498866</v>
      </c>
      <c r="R58" s="978">
        <f ca="1">'O&amp;M Costs'!W164</f>
        <v>893022.9714237937</v>
      </c>
      <c r="S58" s="978">
        <f ca="1">'O&amp;M Costs'!X164</f>
        <v>911957.01038075716</v>
      </c>
      <c r="T58" s="978">
        <f ca="1">'O&amp;M Costs'!Y164</f>
        <v>933843.97862989537</v>
      </c>
      <c r="U58" s="978">
        <f ca="1">'O&amp;M Costs'!Z164</f>
        <v>953643.51216587343</v>
      </c>
      <c r="V58" s="978">
        <f ca="1">'O&amp;M Costs'!AA164</f>
        <v>981889.1409515359</v>
      </c>
      <c r="W58" s="978">
        <f ca="1">'O&amp;M Costs'!AB164</f>
        <v>1002707.3369454809</v>
      </c>
      <c r="X58" s="978">
        <f ca="1">'O&amp;M Costs'!AC164</f>
        <v>1026772.3130321725</v>
      </c>
      <c r="Y58" s="978">
        <f ca="1">'O&amp;M Costs'!AD164</f>
        <v>1048542.1303795213</v>
      </c>
      <c r="Z58" s="978">
        <f ca="1">'O&amp;M Costs'!AE164</f>
        <v>1079598.5276632016</v>
      </c>
      <c r="AA58" s="978">
        <f ca="1">'O&amp;M Costs'!AF164</f>
        <v>1102488.3762278641</v>
      </c>
      <c r="AB58" s="978">
        <f ca="1">'O&amp;M Costs'!AG164</f>
        <v>1128948.0972573329</v>
      </c>
      <c r="AC58" s="978">
        <f ca="1">'O&amp;M Costs'!AH164</f>
        <v>1152884.2645653025</v>
      </c>
      <c r="AD58" s="978">
        <f ca="1">'O&amp;M Costs'!AI164</f>
        <v>1187031.1344955401</v>
      </c>
      <c r="AE58" s="978">
        <f ca="1">'O&amp;M Costs'!AJ164</f>
        <v>1212198.789150418</v>
      </c>
      <c r="AF58" s="978">
        <f ca="1">'O&amp;M Costs'!AK164</f>
        <v>1241291.5600900282</v>
      </c>
      <c r="AG58" s="978">
        <f ca="1">'O&amp;M Costs'!AL164</f>
        <v>1271082.5575321889</v>
      </c>
    </row>
    <row r="59" spans="3:60">
      <c r="C59" s="311" t="s">
        <v>968</v>
      </c>
      <c r="D59" s="978">
        <f>'O&amp;M Costs'!I165</f>
        <v>0</v>
      </c>
      <c r="E59" s="978">
        <f>'O&amp;M Costs'!J165</f>
        <v>0</v>
      </c>
      <c r="F59" s="978">
        <f>'O&amp;M Costs'!K165</f>
        <v>0</v>
      </c>
      <c r="G59" s="978">
        <f ca="1">'O&amp;M Costs'!L165</f>
        <v>0</v>
      </c>
      <c r="H59" s="978">
        <f ca="1">'O&amp;M Costs'!M165</f>
        <v>0</v>
      </c>
      <c r="I59" s="978">
        <f ca="1">'O&amp;M Costs'!N165</f>
        <v>0</v>
      </c>
      <c r="J59" s="978">
        <f ca="1">'O&amp;M Costs'!O165</f>
        <v>0</v>
      </c>
      <c r="K59" s="978">
        <f ca="1">'O&amp;M Costs'!P165</f>
        <v>0</v>
      </c>
      <c r="L59" s="978">
        <f ca="1">'O&amp;M Costs'!Q165</f>
        <v>0</v>
      </c>
      <c r="M59" s="978">
        <f ca="1">'O&amp;M Costs'!R165</f>
        <v>0</v>
      </c>
      <c r="N59" s="978">
        <f ca="1">'O&amp;M Costs'!S165</f>
        <v>0</v>
      </c>
      <c r="O59" s="978">
        <f ca="1">'O&amp;M Costs'!T165</f>
        <v>0</v>
      </c>
      <c r="P59" s="978">
        <f ca="1">'O&amp;M Costs'!U165</f>
        <v>0</v>
      </c>
      <c r="Q59" s="978">
        <f ca="1">'O&amp;M Costs'!V165</f>
        <v>0</v>
      </c>
      <c r="R59" s="978">
        <f ca="1">'O&amp;M Costs'!W165</f>
        <v>0</v>
      </c>
      <c r="S59" s="978">
        <f ca="1">'O&amp;M Costs'!X165</f>
        <v>0</v>
      </c>
      <c r="T59" s="978">
        <f ca="1">'O&amp;M Costs'!Y165</f>
        <v>0</v>
      </c>
      <c r="U59" s="978">
        <f ca="1">'O&amp;M Costs'!Z165</f>
        <v>0</v>
      </c>
      <c r="V59" s="978">
        <f ca="1">'O&amp;M Costs'!AA165</f>
        <v>0</v>
      </c>
      <c r="W59" s="978">
        <f ca="1">'O&amp;M Costs'!AB165</f>
        <v>0</v>
      </c>
      <c r="X59" s="978">
        <f ca="1">'O&amp;M Costs'!AC165</f>
        <v>0</v>
      </c>
      <c r="Y59" s="978">
        <f ca="1">'O&amp;M Costs'!AD165</f>
        <v>0</v>
      </c>
      <c r="Z59" s="978">
        <f ca="1">'O&amp;M Costs'!AE165</f>
        <v>0</v>
      </c>
      <c r="AA59" s="978">
        <f ca="1">'O&amp;M Costs'!AF165</f>
        <v>0</v>
      </c>
      <c r="AB59" s="978">
        <f ca="1">'O&amp;M Costs'!AG165</f>
        <v>0</v>
      </c>
      <c r="AC59" s="978">
        <f ca="1">'O&amp;M Costs'!AH165</f>
        <v>0</v>
      </c>
      <c r="AD59" s="978">
        <f ca="1">'O&amp;M Costs'!AI165</f>
        <v>0</v>
      </c>
      <c r="AE59" s="978">
        <f ca="1">'O&amp;M Costs'!AJ165</f>
        <v>0</v>
      </c>
      <c r="AF59" s="978">
        <f ca="1">'O&amp;M Costs'!AK165</f>
        <v>0</v>
      </c>
      <c r="AG59" s="978">
        <f ca="1">'O&amp;M Costs'!AL165</f>
        <v>0</v>
      </c>
    </row>
    <row r="60" spans="3:60">
      <c r="C60" s="311" t="s">
        <v>969</v>
      </c>
      <c r="D60" s="978">
        <f>'O&amp;M Costs'!I166</f>
        <v>0</v>
      </c>
      <c r="E60" s="978">
        <f>'O&amp;M Costs'!J166</f>
        <v>0</v>
      </c>
      <c r="F60" s="978">
        <f>'O&amp;M Costs'!K166</f>
        <v>0</v>
      </c>
      <c r="G60" s="978">
        <f ca="1">'O&amp;M Costs'!L166</f>
        <v>1355338.3979532369</v>
      </c>
      <c r="H60" s="978">
        <f ca="1">'O&amp;M Costs'!M166</f>
        <v>1386511.1811061613</v>
      </c>
      <c r="I60" s="978">
        <f ca="1">'O&amp;M Costs'!N166</f>
        <v>1415908.2487711443</v>
      </c>
      <c r="J60" s="978">
        <f ca="1">'O&amp;M Costs'!O166</f>
        <v>1457845.5327552992</v>
      </c>
      <c r="K60" s="978">
        <f ca="1">'O&amp;M Costs'!P166</f>
        <v>1488755.044597324</v>
      </c>
      <c r="L60" s="978">
        <f ca="1">'O&amp;M Costs'!Q166</f>
        <v>1524485.1656676598</v>
      </c>
      <c r="M60" s="978">
        <f ca="1">'O&amp;M Costs'!R166</f>
        <v>1556807.5833878268</v>
      </c>
      <c r="N60" s="978">
        <f ca="1">'O&amp;M Costs'!S166</f>
        <v>1602918.1147657491</v>
      </c>
      <c r="O60" s="978">
        <f ca="1">'O&amp;M Costs'!T166</f>
        <v>1636903.4824449352</v>
      </c>
      <c r="P60" s="978">
        <f ca="1">'O&amp;M Costs'!U166</f>
        <v>1676189.1660236137</v>
      </c>
      <c r="Q60" s="978">
        <f ca="1">'O&amp;M Costs'!V166</f>
        <v>1711728.0401447702</v>
      </c>
      <c r="R60" s="978">
        <f ca="1">'O&amp;M Costs'!W166</f>
        <v>1762427.105557726</v>
      </c>
      <c r="S60" s="978">
        <f ca="1">'O&amp;M Costs'!X166</f>
        <v>1799794.4124952338</v>
      </c>
      <c r="T60" s="978">
        <f ca="1">'O&amp;M Costs'!Y166</f>
        <v>1842989.4783951198</v>
      </c>
      <c r="U60" s="978">
        <f ca="1">'O&amp;M Costs'!Z166</f>
        <v>1882064.8837293989</v>
      </c>
      <c r="V60" s="978">
        <f ca="1">'O&amp;M Costs'!AA166</f>
        <v>1937809.0956683198</v>
      </c>
      <c r="W60" s="978">
        <f ca="1">'O&amp;M Costs'!AB166</f>
        <v>1978894.8841447846</v>
      </c>
      <c r="X60" s="978">
        <f ca="1">'O&amp;M Costs'!AC166</f>
        <v>2026388.3613642594</v>
      </c>
      <c r="Y60" s="978">
        <f ca="1">'O&amp;M Costs'!AD166</f>
        <v>2069352.22388936</v>
      </c>
      <c r="Z60" s="978">
        <f ca="1">'O&amp;M Costs'!AE166</f>
        <v>2130643.633097413</v>
      </c>
      <c r="AA60" s="978">
        <f ca="1">'O&amp;M Costs'!AF166</f>
        <v>2175817.9352636314</v>
      </c>
      <c r="AB60" s="978">
        <f ca="1">'O&amp;M Costs'!AG166</f>
        <v>2228037.5657099588</v>
      </c>
      <c r="AC60" s="978">
        <f ca="1">'O&amp;M Costs'!AH166</f>
        <v>2275276.8321304759</v>
      </c>
      <c r="AD60" s="978">
        <f ca="1">'O&amp;M Costs'!AI166</f>
        <v>2342667.4492375078</v>
      </c>
      <c r="AE60" s="978">
        <f ca="1">'O&amp;M Costs'!AJ166</f>
        <v>2392337.1197459311</v>
      </c>
      <c r="AF60" s="978">
        <f ca="1">'O&amp;M Costs'!AK166</f>
        <v>2449753.2106198333</v>
      </c>
      <c r="AG60" s="978">
        <f ca="1">'O&amp;M Costs'!AL166</f>
        <v>2508547.2876747097</v>
      </c>
    </row>
    <row r="61" spans="3:60">
      <c r="C61" s="311" t="s">
        <v>970</v>
      </c>
      <c r="D61" s="978">
        <f>'O&amp;M Costs'!I167</f>
        <v>0</v>
      </c>
      <c r="E61" s="978">
        <f>'O&amp;M Costs'!J167</f>
        <v>0</v>
      </c>
      <c r="F61" s="978">
        <f>'O&amp;M Costs'!K167</f>
        <v>0</v>
      </c>
      <c r="G61" s="978">
        <f ca="1">'O&amp;M Costs'!L167</f>
        <v>6776691.9897661852</v>
      </c>
      <c r="H61" s="978">
        <f ca="1">'O&amp;M Costs'!M167</f>
        <v>6932555.9055308057</v>
      </c>
      <c r="I61" s="978">
        <f ca="1">'O&amp;M Costs'!N167</f>
        <v>7079541.2438557213</v>
      </c>
      <c r="J61" s="978">
        <f ca="1">'O&amp;M Costs'!O167</f>
        <v>7289227.6637764955</v>
      </c>
      <c r="K61" s="978">
        <f ca="1">'O&amp;M Costs'!P167</f>
        <v>7443775.2229866199</v>
      </c>
      <c r="L61" s="978">
        <f ca="1">'O&amp;M Costs'!Q167</f>
        <v>7622425.8283382989</v>
      </c>
      <c r="M61" s="978">
        <f ca="1">'O&amp;M Costs'!R167</f>
        <v>7784037.9169391338</v>
      </c>
      <c r="N61" s="978">
        <f ca="1">'O&amp;M Costs'!S167</f>
        <v>8014590.5738287447</v>
      </c>
      <c r="O61" s="978">
        <f ca="1">'O&amp;M Costs'!T167</f>
        <v>8184517.4122246755</v>
      </c>
      <c r="P61" s="978">
        <f ca="1">'O&amp;M Costs'!U167</f>
        <v>8380945.8301180685</v>
      </c>
      <c r="Q61" s="978">
        <f ca="1">'O&amp;M Costs'!V167</f>
        <v>8558640.2007238511</v>
      </c>
      <c r="R61" s="978">
        <f ca="1">'O&amp;M Costs'!W167</f>
        <v>8812135.5277886298</v>
      </c>
      <c r="S61" s="978">
        <f ca="1">'O&amp;M Costs'!X167</f>
        <v>8998972.0624761693</v>
      </c>
      <c r="T61" s="978">
        <f ca="1">'O&amp;M Costs'!Y167</f>
        <v>9214947.3919755984</v>
      </c>
      <c r="U61" s="978">
        <f ca="1">'O&amp;M Costs'!Z167</f>
        <v>9410324.4186469931</v>
      </c>
      <c r="V61" s="978">
        <f ca="1">'O&amp;M Costs'!AA167</f>
        <v>9689045.4783415981</v>
      </c>
      <c r="W61" s="978">
        <f ca="1">'O&amp;M Costs'!AB167</f>
        <v>9894474.4207239226</v>
      </c>
      <c r="X61" s="978">
        <f ca="1">'O&amp;M Costs'!AC167</f>
        <v>10131941.806821298</v>
      </c>
      <c r="Y61" s="978">
        <f ca="1">'O&amp;M Costs'!AD167</f>
        <v>10346761.119446799</v>
      </c>
      <c r="Z61" s="978">
        <f ca="1">'O&amp;M Costs'!AE167</f>
        <v>10653218.165487066</v>
      </c>
      <c r="AA61" s="978">
        <f ca="1">'O&amp;M Costs'!AF167</f>
        <v>10879089.676318157</v>
      </c>
      <c r="AB61" s="978">
        <f ca="1">'O&amp;M Costs'!AG167</f>
        <v>11140187.828549793</v>
      </c>
      <c r="AC61" s="978">
        <f ca="1">'O&amp;M Costs'!AH167</f>
        <v>11376384.16065238</v>
      </c>
      <c r="AD61" s="978">
        <f ca="1">'O&amp;M Costs'!AI167</f>
        <v>11713337.246187538</v>
      </c>
      <c r="AE61" s="978">
        <f ca="1">'O&amp;M Costs'!AJ167</f>
        <v>11961685.598729655</v>
      </c>
      <c r="AF61" s="978">
        <f ca="1">'O&amp;M Costs'!AK167</f>
        <v>12248766.053099167</v>
      </c>
      <c r="AG61" s="978">
        <f ca="1">'O&amp;M Costs'!AL167</f>
        <v>12542736.438373549</v>
      </c>
    </row>
    <row r="62" spans="3:60">
      <c r="C62" s="311" t="s">
        <v>971</v>
      </c>
      <c r="D62" s="978">
        <f>'O&amp;M Costs'!I168</f>
        <v>0</v>
      </c>
      <c r="E62" s="978">
        <f>'O&amp;M Costs'!J168</f>
        <v>0</v>
      </c>
      <c r="F62" s="978">
        <f>'O&amp;M Costs'!K168</f>
        <v>0</v>
      </c>
      <c r="G62" s="978">
        <f ca="1">'O&amp;M Costs'!L168</f>
        <v>435282.12272108335</v>
      </c>
      <c r="H62" s="978">
        <f ca="1">'O&amp;M Costs'!M168</f>
        <v>445293.6115436682</v>
      </c>
      <c r="I62" s="978">
        <f ca="1">'O&amp;M Costs'!N168</f>
        <v>454734.80942776345</v>
      </c>
      <c r="J62" s="978">
        <f ca="1">'O&amp;M Costs'!O168</f>
        <v>468203.43838518613</v>
      </c>
      <c r="K62" s="978">
        <f ca="1">'O&amp;M Costs'!P168</f>
        <v>478130.37467444577</v>
      </c>
      <c r="L62" s="978">
        <f ca="1">'O&amp;M Costs'!Q168</f>
        <v>489605.50366663246</v>
      </c>
      <c r="M62" s="978">
        <f ca="1">'O&amp;M Costs'!R168</f>
        <v>499986.21052032942</v>
      </c>
      <c r="N62" s="978">
        <f ca="1">'O&amp;M Costs'!S168</f>
        <v>514795.12466921617</v>
      </c>
      <c r="O62" s="978">
        <f ca="1">'O&amp;M Costs'!T168</f>
        <v>525709.9065474486</v>
      </c>
      <c r="P62" s="978">
        <f ca="1">'O&amp;M Costs'!U168</f>
        <v>538326.94430458744</v>
      </c>
      <c r="Q62" s="978">
        <f ca="1">'O&amp;M Costs'!V168</f>
        <v>549740.65219476121</v>
      </c>
      <c r="R62" s="978">
        <f ca="1">'O&amp;M Costs'!W168</f>
        <v>566023.22549619875</v>
      </c>
      <c r="S62" s="978">
        <f ca="1">'O&amp;M Costs'!X168</f>
        <v>578024.15508595412</v>
      </c>
      <c r="T62" s="978">
        <f ca="1">'O&amp;M Costs'!Y168</f>
        <v>591896.73480801715</v>
      </c>
      <c r="U62" s="978">
        <f ca="1">'O&amp;M Costs'!Z168</f>
        <v>604446.23934930179</v>
      </c>
      <c r="V62" s="978">
        <f ca="1">'O&amp;M Costs'!AA168</f>
        <v>622349.11802434747</v>
      </c>
      <c r="W62" s="978">
        <f ca="1">'O&amp;M Costs'!AB168</f>
        <v>635544.2796524046</v>
      </c>
      <c r="X62" s="978">
        <f ca="1">'O&amp;M Costs'!AC168</f>
        <v>650797.34236406232</v>
      </c>
      <c r="Y62" s="978">
        <f ca="1">'O&amp;M Costs'!AD168</f>
        <v>664595.66853003262</v>
      </c>
      <c r="Z62" s="978">
        <f ca="1">'O&amp;M Costs'!AE168</f>
        <v>684280.09180390835</v>
      </c>
      <c r="AA62" s="978">
        <f ca="1">'O&amp;M Costs'!AF168</f>
        <v>698788.32544434094</v>
      </c>
      <c r="AB62" s="978">
        <f ca="1">'O&amp;M Costs'!AG168</f>
        <v>715559.24525500508</v>
      </c>
      <c r="AC62" s="978">
        <f ca="1">'O&amp;M Costs'!AH168</f>
        <v>730730.66531833529</v>
      </c>
      <c r="AD62" s="978">
        <f ca="1">'O&amp;M Costs'!AI168</f>
        <v>752373.91759402608</v>
      </c>
      <c r="AE62" s="978">
        <f ca="1">'O&amp;M Costs'!AJ168</f>
        <v>768325.88918017258</v>
      </c>
      <c r="AF62" s="978">
        <f ca="1">'O&amp;M Costs'!AK168</f>
        <v>786765.71052049682</v>
      </c>
      <c r="AG62" s="978">
        <f ca="1">'O&amp;M Costs'!AL168</f>
        <v>805648.0875729887</v>
      </c>
    </row>
    <row r="63" spans="3:60">
      <c r="C63" s="311" t="s">
        <v>972</v>
      </c>
      <c r="D63" s="978">
        <f>'O&amp;M Costs'!I169</f>
        <v>0</v>
      </c>
      <c r="E63" s="978">
        <f>'O&amp;M Costs'!J169</f>
        <v>0</v>
      </c>
      <c r="F63" s="978">
        <f>'O&amp;M Costs'!K169</f>
        <v>0</v>
      </c>
      <c r="G63" s="978">
        <f ca="1">'O&amp;M Costs'!L169</f>
        <v>1545267.5806760318</v>
      </c>
      <c r="H63" s="978">
        <f ca="1">'O&amp;M Costs'!M169</f>
        <v>1580808.7350315803</v>
      </c>
      <c r="I63" s="978">
        <f ca="1">'O&amp;M Costs'!N169</f>
        <v>1614325.335533889</v>
      </c>
      <c r="J63" s="978">
        <f ca="1">'O&amp;M Costs'!O169</f>
        <v>1662139.4648024046</v>
      </c>
      <c r="K63" s="978">
        <f ca="1">'O&amp;M Costs'!P169</f>
        <v>1697380.4545479419</v>
      </c>
      <c r="L63" s="978">
        <f ca="1">'O&amp;M Costs'!Q169</f>
        <v>1738117.5854570924</v>
      </c>
      <c r="M63" s="978">
        <f ca="1">'O&amp;M Costs'!R169</f>
        <v>1774969.4774329041</v>
      </c>
      <c r="N63" s="978">
        <f ca="1">'O&amp;M Costs'!S169</f>
        <v>1827541.6685356214</v>
      </c>
      <c r="O63" s="978">
        <f ca="1">'O&amp;M Costs'!T169</f>
        <v>1866289.5465351744</v>
      </c>
      <c r="P63" s="978">
        <f ca="1">'O&amp;M Costs'!U169</f>
        <v>1911080.4956520186</v>
      </c>
      <c r="Q63" s="978">
        <f ca="1">'O&amp;M Costs'!V169</f>
        <v>1951599.5793849682</v>
      </c>
      <c r="R63" s="978">
        <f ca="1">'O&amp;M Costs'!W169</f>
        <v>2009403.3148000683</v>
      </c>
      <c r="S63" s="978">
        <f ca="1">'O&amp;M Costs'!X169</f>
        <v>2052007.0572122226</v>
      </c>
      <c r="T63" s="978">
        <f ca="1">'O&amp;M Costs'!Y169</f>
        <v>2101255.226585316</v>
      </c>
      <c r="U63" s="978">
        <f ca="1">'O&amp;M Costs'!Z169</f>
        <v>2145806.4302965235</v>
      </c>
      <c r="V63" s="978">
        <f ca="1">'O&amp;M Costs'!AA169</f>
        <v>2209362.3095143135</v>
      </c>
      <c r="W63" s="978">
        <f ca="1">'O&amp;M Costs'!AB169</f>
        <v>2256205.6196832508</v>
      </c>
      <c r="X63" s="978">
        <f ca="1">'O&amp;M Costs'!AC169</f>
        <v>2310354.5545556489</v>
      </c>
      <c r="Y63" s="978">
        <f ca="1">'O&amp;M Costs'!AD169</f>
        <v>2359339.1210675389</v>
      </c>
      <c r="Z63" s="978">
        <f ca="1">'O&amp;M Costs'!AE169</f>
        <v>2429219.5492810262</v>
      </c>
      <c r="AA63" s="978">
        <f ca="1">'O&amp;M Costs'!AF169</f>
        <v>2480724.3134952905</v>
      </c>
      <c r="AB63" s="978">
        <f ca="1">'O&amp;M Costs'!AG169</f>
        <v>2540261.6970191775</v>
      </c>
      <c r="AC63" s="978">
        <f ca="1">'O&amp;M Costs'!AH169</f>
        <v>2594120.7974805674</v>
      </c>
      <c r="AD63" s="978">
        <f ca="1">'O&amp;M Costs'!AI169</f>
        <v>2670955.1408552625</v>
      </c>
      <c r="AE63" s="978">
        <f ca="1">'O&amp;M Costs'!AJ169</f>
        <v>2727585.2279947069</v>
      </c>
      <c r="AF63" s="978">
        <f ca="1">'O&amp;M Costs'!AK169</f>
        <v>2793047.2734665801</v>
      </c>
      <c r="AG63" s="978">
        <f ca="1">'O&amp;M Costs'!AL169</f>
        <v>2860080.4080297784</v>
      </c>
    </row>
    <row r="64" spans="3:60" s="1918" customFormat="1">
      <c r="C64" s="1919" t="s">
        <v>973</v>
      </c>
      <c r="D64" s="1920">
        <f>'O&amp;M Costs'!I170</f>
        <v>0</v>
      </c>
      <c r="E64" s="1920">
        <f>'O&amp;M Costs'!J170</f>
        <v>0</v>
      </c>
      <c r="F64" s="1920">
        <f>'O&amp;M Costs'!K170</f>
        <v>0</v>
      </c>
      <c r="G64" s="1920">
        <f ca="1">'O&amp;M Costs'!L170</f>
        <v>1849251.0907410926</v>
      </c>
      <c r="H64" s="1920">
        <f ca="1">'O&amp;M Costs'!M170</f>
        <v>1891783.8658281374</v>
      </c>
      <c r="I64" s="1920">
        <f ca="1">'O&amp;M Costs'!N170</f>
        <v>1931893.8188303951</v>
      </c>
      <c r="J64" s="1920">
        <f ca="1">'O&amp;M Costs'!O170</f>
        <v>1989113.8963162343</v>
      </c>
      <c r="K64" s="1920">
        <f ca="1">'O&amp;M Costs'!P170</f>
        <v>2031287.4587080758</v>
      </c>
      <c r="L64" s="1920">
        <f ca="1">'O&amp;M Costs'!Q170</f>
        <v>2080038.3577170696</v>
      </c>
      <c r="M64" s="1920">
        <f ca="1">'O&amp;M Costs'!R170</f>
        <v>2124139.7174326009</v>
      </c>
      <c r="N64" s="1920">
        <f ca="1">'O&amp;M Costs'!S170</f>
        <v>2187053.8579705246</v>
      </c>
      <c r="O64" s="1920">
        <f ca="1">'O&amp;M Costs'!T170</f>
        <v>2233424.1802050904</v>
      </c>
      <c r="P64" s="1920">
        <f ca="1">'O&amp;M Costs'!U170</f>
        <v>2287026.3605300128</v>
      </c>
      <c r="Q64" s="1920">
        <f ca="1">'O&amp;M Costs'!V170</f>
        <v>2335516.3183379718</v>
      </c>
      <c r="R64" s="1920">
        <f ca="1">'O&amp;M Costs'!W170</f>
        <v>2404691.1474109525</v>
      </c>
      <c r="S64" s="1920">
        <f ca="1">'O&amp;M Costs'!X170</f>
        <v>2455675.8558915779</v>
      </c>
      <c r="T64" s="1920">
        <f ca="1">'O&amp;M Costs'!Y170</f>
        <v>2514612.0764329759</v>
      </c>
      <c r="U64" s="1920">
        <f ca="1">'O&amp;M Costs'!Z170</f>
        <v>2567927.3488731943</v>
      </c>
      <c r="V64" s="1920">
        <f ca="1">'O&amp;M Costs'!AA170</f>
        <v>2643985.8777883537</v>
      </c>
      <c r="W64" s="1920">
        <f ca="1">'O&amp;M Costs'!AB170</f>
        <v>2700044.1576015712</v>
      </c>
      <c r="X64" s="1920">
        <f ca="1">'O&amp;M Costs'!AC170</f>
        <v>2764845.2173840092</v>
      </c>
      <c r="Y64" s="1920">
        <f ca="1">'O&amp;M Costs'!AD170</f>
        <v>2823465.9793700743</v>
      </c>
      <c r="Z64" s="1920">
        <f ca="1">'O&amp;M Costs'!AE170</f>
        <v>2907093.2163038296</v>
      </c>
      <c r="AA64" s="1920">
        <f ca="1">'O&amp;M Costs'!AF170</f>
        <v>2968729.9467915827</v>
      </c>
      <c r="AB64" s="1920">
        <f ca="1">'O&amp;M Costs'!AG170</f>
        <v>3039979.4655145807</v>
      </c>
      <c r="AC64" s="1920">
        <f ca="1">'O&amp;M Costs'!AH170</f>
        <v>3104433.6749473494</v>
      </c>
      <c r="AD64" s="1920">
        <f ca="1">'O&amp;M Costs'!AI170</f>
        <v>3196382.7943547913</v>
      </c>
      <c r="AE64" s="1920">
        <f ca="1">'O&amp;M Costs'!AJ170</f>
        <v>3264153.0962241716</v>
      </c>
      <c r="AF64" s="1920">
        <f ca="1">'O&amp;M Costs'!AK170</f>
        <v>3342492.7705335519</v>
      </c>
      <c r="AG64" s="1920">
        <f ca="1">'O&amp;M Costs'!AL170</f>
        <v>3422712.597026357</v>
      </c>
      <c r="AH64"/>
      <c r="AI64"/>
      <c r="AJ64"/>
      <c r="AK64"/>
      <c r="AL64"/>
      <c r="AM64"/>
      <c r="AN64"/>
      <c r="AO64"/>
      <c r="AP64"/>
      <c r="AQ64"/>
      <c r="AR64"/>
      <c r="AS64"/>
      <c r="AT64"/>
      <c r="AU64"/>
      <c r="AV64"/>
      <c r="AW64"/>
      <c r="AX64"/>
      <c r="AY64"/>
      <c r="AZ64"/>
      <c r="BA64"/>
      <c r="BB64"/>
      <c r="BC64"/>
      <c r="BD64"/>
      <c r="BE64"/>
      <c r="BF64"/>
      <c r="BG64"/>
      <c r="BH64"/>
    </row>
    <row r="65" spans="3:35" ht="15.75" thickBot="1">
      <c r="C65" s="311"/>
      <c r="D65" s="418">
        <f>SUM(D58:D64)</f>
        <v>0</v>
      </c>
      <c r="E65" s="396"/>
      <c r="F65" s="396"/>
      <c r="G65" s="418">
        <f t="shared" ref="G65:AG65" ca="1" si="15">SUM(G58:G64)</f>
        <v>12648582.0378835</v>
      </c>
      <c r="H65" s="418">
        <f t="shared" ca="1" si="15"/>
        <v>12939499.424754819</v>
      </c>
      <c r="I65" s="418">
        <f t="shared" ca="1" si="15"/>
        <v>13213845.095618472</v>
      </c>
      <c r="J65" s="418">
        <f t="shared" ca="1" si="15"/>
        <v>13605221.28456188</v>
      </c>
      <c r="K65" s="418">
        <f t="shared" ca="1" si="15"/>
        <v>13893681.713983189</v>
      </c>
      <c r="L65" s="418">
        <f t="shared" ca="1" si="15"/>
        <v>14227130.075118784</v>
      </c>
      <c r="M65" s="418">
        <f t="shared" ca="1" si="15"/>
        <v>14528776.330263384</v>
      </c>
      <c r="N65" s="418">
        <f t="shared" ca="1" si="15"/>
        <v>14959099.000841314</v>
      </c>
      <c r="O65" s="418">
        <f t="shared" ca="1" si="15"/>
        <v>15276264.597143302</v>
      </c>
      <c r="P65" s="418">
        <f t="shared" ca="1" si="15"/>
        <v>15642894.947474742</v>
      </c>
      <c r="Q65" s="418">
        <f t="shared" ca="1" si="15"/>
        <v>15974558.512481309</v>
      </c>
      <c r="R65" s="418">
        <f t="shared" ca="1" si="15"/>
        <v>16447703.292477369</v>
      </c>
      <c r="S65" s="418">
        <f t="shared" ca="1" si="15"/>
        <v>16796430.553541914</v>
      </c>
      <c r="T65" s="418">
        <f t="shared" ca="1" si="15"/>
        <v>17199544.886826921</v>
      </c>
      <c r="U65" s="418">
        <f t="shared" ca="1" si="15"/>
        <v>17564212.833061285</v>
      </c>
      <c r="V65" s="418">
        <f t="shared" ca="1" si="15"/>
        <v>18084441.020288467</v>
      </c>
      <c r="W65" s="418">
        <f t="shared" ca="1" si="15"/>
        <v>18467870.698751416</v>
      </c>
      <c r="X65" s="418">
        <f t="shared" ca="1" si="15"/>
        <v>18911099.59552145</v>
      </c>
      <c r="Y65" s="418">
        <f t="shared" ca="1" si="15"/>
        <v>19312056.242683329</v>
      </c>
      <c r="Z65" s="418">
        <f t="shared" ca="1" si="15"/>
        <v>19884053.183636446</v>
      </c>
      <c r="AA65" s="418">
        <f t="shared" ca="1" si="15"/>
        <v>20305638.573540866</v>
      </c>
      <c r="AB65" s="418">
        <f t="shared" ca="1" si="15"/>
        <v>20792973.89930585</v>
      </c>
      <c r="AC65" s="418">
        <f t="shared" ca="1" si="15"/>
        <v>21233830.39509441</v>
      </c>
      <c r="AD65" s="418">
        <f t="shared" ca="1" si="15"/>
        <v>21862747.68272467</v>
      </c>
      <c r="AE65" s="418">
        <f t="shared" ca="1" si="15"/>
        <v>22326285.721025053</v>
      </c>
      <c r="AF65" s="418">
        <f t="shared" ca="1" si="15"/>
        <v>22862116.578329656</v>
      </c>
      <c r="AG65" s="418">
        <f t="shared" ca="1" si="15"/>
        <v>23410807.376209572</v>
      </c>
    </row>
    <row r="66" spans="3:35">
      <c r="C66" s="311"/>
      <c r="D66" s="993"/>
      <c r="G66" s="2382">
        <f ca="1">G65/G10</f>
        <v>8.1534680711546851E-3</v>
      </c>
      <c r="H66" s="2382">
        <f t="shared" ref="H66:AG66" ca="1" si="16">H65/H10</f>
        <v>7.4944457799016647E-3</v>
      </c>
      <c r="I66" s="2382">
        <f t="shared" ca="1" si="16"/>
        <v>7.1910759194874132E-3</v>
      </c>
      <c r="J66" s="2382">
        <f t="shared" ca="1" si="16"/>
        <v>6.9900437386794471E-3</v>
      </c>
      <c r="K66" s="2382">
        <f t="shared" ca="1" si="16"/>
        <v>6.8083595209875647E-3</v>
      </c>
      <c r="L66" s="2382">
        <f t="shared" ca="1" si="16"/>
        <v>6.647743861343508E-3</v>
      </c>
      <c r="M66" s="2382">
        <f t="shared" ca="1" si="16"/>
        <v>6.4714139473752595E-3</v>
      </c>
      <c r="N66" s="2382">
        <f t="shared" ca="1" si="16"/>
        <v>6.3499524945408135E-3</v>
      </c>
      <c r="O66" s="2382">
        <f t="shared" ca="1" si="16"/>
        <v>6.1781621803120093E-3</v>
      </c>
      <c r="P66" s="2382">
        <f t="shared" ca="1" si="16"/>
        <v>6.0258605459740707E-3</v>
      </c>
      <c r="Q66" s="2382">
        <f t="shared" ca="1" si="16"/>
        <v>5.8596805297155552E-3</v>
      </c>
      <c r="R66" s="2382">
        <f t="shared" ca="1" si="16"/>
        <v>5.7435105378177533E-3</v>
      </c>
      <c r="S66" s="2382">
        <f t="shared" ca="1" si="16"/>
        <v>7.8517261672999029E-3</v>
      </c>
      <c r="T66" s="2382">
        <f t="shared" ca="1" si="16"/>
        <v>7.805987956616604E-3</v>
      </c>
      <c r="U66" s="2382">
        <f t="shared" ca="1" si="16"/>
        <v>7.7393125859860521E-3</v>
      </c>
      <c r="V66" s="2382">
        <f t="shared" ca="1" si="16"/>
        <v>7.7364471254067809E-3</v>
      </c>
      <c r="W66" s="2382">
        <f t="shared" ca="1" si="16"/>
        <v>7.6703657424585878E-3</v>
      </c>
      <c r="X66" s="2382">
        <f t="shared" ca="1" si="16"/>
        <v>7.6256840002695081E-3</v>
      </c>
      <c r="Y66" s="2382">
        <f t="shared" ca="1" si="16"/>
        <v>7.5605487079970597E-3</v>
      </c>
      <c r="Z66" s="2382">
        <f t="shared" ca="1" si="16"/>
        <v>7.5577494342838301E-3</v>
      </c>
      <c r="AA66" s="2382">
        <f t="shared" ca="1" si="16"/>
        <v>7.4931944096713983E-3</v>
      </c>
      <c r="AB66" s="2382">
        <f t="shared" ca="1" si="16"/>
        <v>7.4495447334985568E-3</v>
      </c>
      <c r="AC66" s="2382">
        <f t="shared" ca="1" si="16"/>
        <v>7.3859139466083603E-3</v>
      </c>
      <c r="AD66" s="2382">
        <f t="shared" ca="1" si="16"/>
        <v>7.3831793309663716E-3</v>
      </c>
      <c r="AE66" s="2382">
        <f t="shared" ca="1" si="16"/>
        <v>7.3201154086211216E-3</v>
      </c>
      <c r="AF66" s="2382">
        <f t="shared" ca="1" si="16"/>
        <v>7.2774739596388627E-3</v>
      </c>
      <c r="AG66" s="2382">
        <f t="shared" ca="1" si="16"/>
        <v>7.2350809074467936E-3</v>
      </c>
    </row>
    <row r="67" spans="3:35">
      <c r="C67" s="311" t="s">
        <v>1616</v>
      </c>
      <c r="D67" s="993"/>
      <c r="F67" s="978">
        <f>IFERROR(F58/$F$5,0)</f>
        <v>0</v>
      </c>
      <c r="G67" s="978">
        <f ca="1">G58/G5</f>
        <v>0.84523182280107034</v>
      </c>
      <c r="H67" s="978">
        <f ca="1">H58/H5</f>
        <v>0.73952223759417313</v>
      </c>
      <c r="I67" s="978">
        <f ca="1">I58/I5</f>
        <v>0.75520172547321884</v>
      </c>
      <c r="J67" s="978">
        <f ca="1">J58/J5</f>
        <v>0.77756977739606148</v>
      </c>
      <c r="K67" s="978">
        <f t="shared" ref="K67:AG67" ca="1" si="17">K58/K5</f>
        <v>0.79405595628292891</v>
      </c>
      <c r="L67" s="978">
        <f t="shared" ca="1" si="17"/>
        <v>0.81311329923371922</v>
      </c>
      <c r="M67" s="978">
        <f t="shared" ca="1" si="17"/>
        <v>0.83035307847430295</v>
      </c>
      <c r="N67" s="978">
        <f t="shared" ca="1" si="17"/>
        <v>0.85494701165416576</v>
      </c>
      <c r="O67" s="978">
        <f t="shared" ca="1" si="17"/>
        <v>0.87307375703787138</v>
      </c>
      <c r="P67" s="978">
        <f t="shared" ca="1" si="17"/>
        <v>0.89402752720678025</v>
      </c>
      <c r="Q67" s="978">
        <f t="shared" ca="1" si="17"/>
        <v>0.91298286494209335</v>
      </c>
      <c r="R67" s="978">
        <f t="shared" ca="1" si="17"/>
        <v>0.94002418044609859</v>
      </c>
      <c r="S67" s="978">
        <f t="shared" ca="1" si="17"/>
        <v>0.95995474776921808</v>
      </c>
      <c r="T67" s="978">
        <f t="shared" ca="1" si="17"/>
        <v>0.98299366171567937</v>
      </c>
      <c r="U67" s="978">
        <f t="shared" ca="1" si="17"/>
        <v>1.0038352759640774</v>
      </c>
      <c r="V67" s="978">
        <f t="shared" ca="1" si="17"/>
        <v>1.0335675167910905</v>
      </c>
      <c r="W67" s="978">
        <f t="shared" ca="1" si="17"/>
        <v>1.0554814073110326</v>
      </c>
      <c r="X67" s="978">
        <f t="shared" ca="1" si="17"/>
        <v>1.0808129610864974</v>
      </c>
      <c r="Y67" s="978">
        <f t="shared" ca="1" si="17"/>
        <v>1.1037285582942329</v>
      </c>
      <c r="Z67" s="978">
        <f t="shared" ca="1" si="17"/>
        <v>1.1364195028033701</v>
      </c>
      <c r="AA67" s="978">
        <f t="shared" ca="1" si="17"/>
        <v>1.1605140802398568</v>
      </c>
      <c r="AB67" s="978">
        <f t="shared" ca="1" si="17"/>
        <v>1.1883664181656135</v>
      </c>
      <c r="AC67" s="978">
        <f t="shared" ca="1" si="17"/>
        <v>1.2135623837529501</v>
      </c>
      <c r="AD67" s="978">
        <f t="shared" ca="1" si="17"/>
        <v>1.2495064573637265</v>
      </c>
      <c r="AE67" s="978">
        <f t="shared" ca="1" si="17"/>
        <v>1.2759987254214926</v>
      </c>
      <c r="AF67" s="978">
        <f t="shared" ca="1" si="17"/>
        <v>1.3066226948316086</v>
      </c>
      <c r="AG67" s="978">
        <f t="shared" ca="1" si="17"/>
        <v>1.3379816395075672</v>
      </c>
      <c r="AH67" s="311">
        <f t="shared" ref="AH67:AH73" ca="1" si="18">MAX(F67:AG67)</f>
        <v>1.3379816395075672</v>
      </c>
      <c r="AI67" s="311">
        <f t="shared" ref="AI67:AI73" ca="1" si="19">MIN(G67:AG67)</f>
        <v>0.73952223759417313</v>
      </c>
    </row>
    <row r="68" spans="3:35">
      <c r="C68" s="311" t="s">
        <v>968</v>
      </c>
      <c r="D68" s="993"/>
      <c r="F68" s="978">
        <f t="shared" ref="F68:F73" si="20">IFERROR(F59/$F$5,0)</f>
        <v>0</v>
      </c>
      <c r="G68" s="978">
        <f ca="1">G59/G5</f>
        <v>0</v>
      </c>
      <c r="H68" s="978">
        <f ca="1">H59/H5</f>
        <v>0</v>
      </c>
      <c r="I68" s="978">
        <f ca="1">I59/I5</f>
        <v>0</v>
      </c>
      <c r="J68" s="978">
        <f ca="1">J59/J5</f>
        <v>0</v>
      </c>
      <c r="K68" s="978">
        <f t="shared" ref="K68:AG68" ca="1" si="21">K59/K5</f>
        <v>0</v>
      </c>
      <c r="L68" s="978">
        <f t="shared" ca="1" si="21"/>
        <v>0</v>
      </c>
      <c r="M68" s="978">
        <f t="shared" ca="1" si="21"/>
        <v>0</v>
      </c>
      <c r="N68" s="978">
        <f t="shared" ca="1" si="21"/>
        <v>0</v>
      </c>
      <c r="O68" s="978">
        <f t="shared" ca="1" si="21"/>
        <v>0</v>
      </c>
      <c r="P68" s="978">
        <f t="shared" ca="1" si="21"/>
        <v>0</v>
      </c>
      <c r="Q68" s="978">
        <f t="shared" ca="1" si="21"/>
        <v>0</v>
      </c>
      <c r="R68" s="978">
        <f t="shared" ca="1" si="21"/>
        <v>0</v>
      </c>
      <c r="S68" s="978">
        <f t="shared" ca="1" si="21"/>
        <v>0</v>
      </c>
      <c r="T68" s="978">
        <f t="shared" ca="1" si="21"/>
        <v>0</v>
      </c>
      <c r="U68" s="978">
        <f t="shared" ca="1" si="21"/>
        <v>0</v>
      </c>
      <c r="V68" s="978">
        <f t="shared" ca="1" si="21"/>
        <v>0</v>
      </c>
      <c r="W68" s="978">
        <f t="shared" ca="1" si="21"/>
        <v>0</v>
      </c>
      <c r="X68" s="978">
        <f t="shared" ca="1" si="21"/>
        <v>0</v>
      </c>
      <c r="Y68" s="978">
        <f t="shared" ca="1" si="21"/>
        <v>0</v>
      </c>
      <c r="Z68" s="978">
        <f t="shared" ca="1" si="21"/>
        <v>0</v>
      </c>
      <c r="AA68" s="978">
        <f t="shared" ca="1" si="21"/>
        <v>0</v>
      </c>
      <c r="AB68" s="978">
        <f t="shared" ca="1" si="21"/>
        <v>0</v>
      </c>
      <c r="AC68" s="978">
        <f t="shared" ca="1" si="21"/>
        <v>0</v>
      </c>
      <c r="AD68" s="978">
        <f t="shared" ca="1" si="21"/>
        <v>0</v>
      </c>
      <c r="AE68" s="978">
        <f t="shared" ca="1" si="21"/>
        <v>0</v>
      </c>
      <c r="AF68" s="978">
        <f t="shared" ca="1" si="21"/>
        <v>0</v>
      </c>
      <c r="AG68" s="978">
        <f t="shared" ca="1" si="21"/>
        <v>0</v>
      </c>
      <c r="AH68" s="1922">
        <f t="shared" ca="1" si="18"/>
        <v>0</v>
      </c>
      <c r="AI68" s="311">
        <f t="shared" ca="1" si="19"/>
        <v>0</v>
      </c>
    </row>
    <row r="69" spans="3:35">
      <c r="C69" s="311" t="s">
        <v>969</v>
      </c>
      <c r="D69" s="993"/>
      <c r="F69" s="978">
        <f t="shared" si="20"/>
        <v>0</v>
      </c>
      <c r="G69" s="978">
        <f ca="1">G60/G5</f>
        <v>1.668108797480907</v>
      </c>
      <c r="H69" s="978">
        <f ca="1">H60/H5</f>
        <v>1.4594854537959594</v>
      </c>
      <c r="I69" s="978">
        <f ca="1">I60/I5</f>
        <v>1.4904297355485729</v>
      </c>
      <c r="J69" s="978">
        <f ca="1">J60/J5</f>
        <v>1.5345742450055782</v>
      </c>
      <c r="K69" s="978">
        <f t="shared" ref="K69:AG69" ca="1" si="22">K60/K5</f>
        <v>1.567110573260341</v>
      </c>
      <c r="L69" s="978">
        <f t="shared" ca="1" si="22"/>
        <v>1.6047212270185893</v>
      </c>
      <c r="M69" s="978">
        <f t="shared" ca="1" si="22"/>
        <v>1.638744824618765</v>
      </c>
      <c r="N69" s="978">
        <f t="shared" ca="1" si="22"/>
        <v>1.6872822260692095</v>
      </c>
      <c r="O69" s="978">
        <f t="shared" ca="1" si="22"/>
        <v>1.7230562973104582</v>
      </c>
      <c r="P69" s="978">
        <f t="shared" ca="1" si="22"/>
        <v>1.7644096484459091</v>
      </c>
      <c r="Q69" s="978">
        <f t="shared" ca="1" si="22"/>
        <v>1.8018189896260739</v>
      </c>
      <c r="R69" s="978">
        <f t="shared" ca="1" si="22"/>
        <v>1.8551864269028695</v>
      </c>
      <c r="S69" s="978">
        <f t="shared" ca="1" si="22"/>
        <v>1.8945204342055093</v>
      </c>
      <c r="T69" s="978">
        <f t="shared" ca="1" si="22"/>
        <v>1.9399889246264419</v>
      </c>
      <c r="U69" s="978">
        <f t="shared" ca="1" si="22"/>
        <v>1.9811209302414725</v>
      </c>
      <c r="V69" s="978">
        <f t="shared" ca="1" si="22"/>
        <v>2.0397990480719157</v>
      </c>
      <c r="W69" s="978">
        <f t="shared" ca="1" si="22"/>
        <v>2.0830472464681944</v>
      </c>
      <c r="X69" s="978">
        <f t="shared" ca="1" si="22"/>
        <v>2.1330403803834308</v>
      </c>
      <c r="Y69" s="978">
        <f t="shared" ca="1" si="22"/>
        <v>2.1782654988309051</v>
      </c>
      <c r="Z69" s="978">
        <f t="shared" ca="1" si="22"/>
        <v>2.2427827716814872</v>
      </c>
      <c r="AA69" s="978">
        <f t="shared" ca="1" si="22"/>
        <v>2.2903346686985593</v>
      </c>
      <c r="AB69" s="978">
        <f t="shared" ca="1" si="22"/>
        <v>2.3453027007473248</v>
      </c>
      <c r="AC69" s="978">
        <f t="shared" ca="1" si="22"/>
        <v>2.3950282443478694</v>
      </c>
      <c r="AD69" s="978">
        <f t="shared" ca="1" si="22"/>
        <v>2.465965736039482</v>
      </c>
      <c r="AE69" s="978">
        <f t="shared" ca="1" si="22"/>
        <v>2.5182495997325591</v>
      </c>
      <c r="AF69" s="978">
        <f t="shared" ca="1" si="22"/>
        <v>2.5786875901261403</v>
      </c>
      <c r="AG69" s="978">
        <f t="shared" ca="1" si="22"/>
        <v>2.6405760922891681</v>
      </c>
      <c r="AH69" s="311">
        <f t="shared" ca="1" si="18"/>
        <v>2.6405760922891681</v>
      </c>
      <c r="AI69" s="311">
        <f t="shared" ca="1" si="19"/>
        <v>1.4594854537959594</v>
      </c>
    </row>
    <row r="70" spans="3:35">
      <c r="C70" s="311" t="s">
        <v>970</v>
      </c>
      <c r="D70" s="993"/>
      <c r="F70" s="978">
        <f t="shared" si="20"/>
        <v>0</v>
      </c>
      <c r="G70" s="978">
        <f ca="1">G61/G5</f>
        <v>8.3405439874045353</v>
      </c>
      <c r="H70" s="978">
        <f ca="1">H61/H5</f>
        <v>7.2974272689797957</v>
      </c>
      <c r="I70" s="978">
        <f ca="1">I61/I5</f>
        <v>7.4521486777428647</v>
      </c>
      <c r="J70" s="978">
        <f ca="1">J61/J5</f>
        <v>7.6728712250278903</v>
      </c>
      <c r="K70" s="978">
        <f t="shared" ref="K70:AG70" ca="1" si="23">K61/K5</f>
        <v>7.8355528663017049</v>
      </c>
      <c r="L70" s="978">
        <f t="shared" ca="1" si="23"/>
        <v>8.0236061350929457</v>
      </c>
      <c r="M70" s="978">
        <f t="shared" ca="1" si="23"/>
        <v>8.1937241230938245</v>
      </c>
      <c r="N70" s="978">
        <f t="shared" ca="1" si="23"/>
        <v>8.4364111303460465</v>
      </c>
      <c r="O70" s="978">
        <f t="shared" ca="1" si="23"/>
        <v>8.6152814865522895</v>
      </c>
      <c r="P70" s="978">
        <f t="shared" ca="1" si="23"/>
        <v>8.8220482422295454</v>
      </c>
      <c r="Q70" s="978">
        <f t="shared" ca="1" si="23"/>
        <v>9.0090949481303699</v>
      </c>
      <c r="R70" s="978">
        <f t="shared" ca="1" si="23"/>
        <v>9.2759321345143473</v>
      </c>
      <c r="S70" s="978">
        <f t="shared" ca="1" si="23"/>
        <v>9.4726021710275461</v>
      </c>
      <c r="T70" s="978">
        <f t="shared" ca="1" si="23"/>
        <v>9.6999446231322093</v>
      </c>
      <c r="U70" s="978">
        <f t="shared" ca="1" si="23"/>
        <v>9.9056046512073603</v>
      </c>
      <c r="V70" s="978">
        <f t="shared" ca="1" si="23"/>
        <v>10.198995240359578</v>
      </c>
      <c r="W70" s="978">
        <f t="shared" ca="1" si="23"/>
        <v>10.415236232340972</v>
      </c>
      <c r="X70" s="978">
        <f t="shared" ca="1" si="23"/>
        <v>10.665201901917156</v>
      </c>
      <c r="Y70" s="978">
        <f t="shared" ca="1" si="23"/>
        <v>10.891327494154526</v>
      </c>
      <c r="Z70" s="978">
        <f t="shared" ca="1" si="23"/>
        <v>11.213913858407437</v>
      </c>
      <c r="AA70" s="978">
        <f t="shared" ca="1" si="23"/>
        <v>11.451673343492798</v>
      </c>
      <c r="AB70" s="978">
        <f t="shared" ca="1" si="23"/>
        <v>11.726513503736625</v>
      </c>
      <c r="AC70" s="978">
        <f t="shared" ca="1" si="23"/>
        <v>11.975141221739348</v>
      </c>
      <c r="AD70" s="978">
        <f t="shared" ca="1" si="23"/>
        <v>12.329828680197409</v>
      </c>
      <c r="AE70" s="978">
        <f t="shared" ca="1" si="23"/>
        <v>12.591247998662794</v>
      </c>
      <c r="AF70" s="978">
        <f t="shared" ca="1" si="23"/>
        <v>12.893437950630702</v>
      </c>
      <c r="AG70" s="978">
        <f t="shared" ca="1" si="23"/>
        <v>13.20288046144584</v>
      </c>
      <c r="AH70" s="311">
        <f t="shared" ca="1" si="18"/>
        <v>13.20288046144584</v>
      </c>
      <c r="AI70" s="311">
        <f t="shared" ca="1" si="19"/>
        <v>7.2974272689797957</v>
      </c>
    </row>
    <row r="71" spans="3:35">
      <c r="C71" s="311" t="s">
        <v>971</v>
      </c>
      <c r="D71" s="993"/>
      <c r="F71" s="978">
        <f t="shared" si="20"/>
        <v>0</v>
      </c>
      <c r="G71" s="978">
        <f ca="1">G62/G5</f>
        <v>0.53573184334902568</v>
      </c>
      <c r="H71" s="978">
        <f ca="1">H62/H5</f>
        <v>0.46873011741438758</v>
      </c>
      <c r="I71" s="978">
        <f ca="1">I62/I5</f>
        <v>0.47866822045027729</v>
      </c>
      <c r="J71" s="978">
        <f ca="1">J62/J5</f>
        <v>0.49284572461598541</v>
      </c>
      <c r="K71" s="978">
        <f t="shared" ref="K71:AG71" ca="1" si="24">K62/K5</f>
        <v>0.50329513123625869</v>
      </c>
      <c r="L71" s="978">
        <f t="shared" ca="1" si="24"/>
        <v>0.5153742143859289</v>
      </c>
      <c r="M71" s="978">
        <f t="shared" ca="1" si="24"/>
        <v>0.52630127423192574</v>
      </c>
      <c r="N71" s="978">
        <f t="shared" ca="1" si="24"/>
        <v>0.54188960491496441</v>
      </c>
      <c r="O71" s="978">
        <f t="shared" ca="1" si="24"/>
        <v>0.55337884899731427</v>
      </c>
      <c r="P71" s="978">
        <f t="shared" ca="1" si="24"/>
        <v>0.56665994137324993</v>
      </c>
      <c r="Q71" s="978">
        <f t="shared" ca="1" si="24"/>
        <v>0.57867437073132755</v>
      </c>
      <c r="R71" s="978">
        <f t="shared" ca="1" si="24"/>
        <v>0.59581392157494606</v>
      </c>
      <c r="S71" s="978">
        <f t="shared" ca="1" si="24"/>
        <v>0.60844647903784643</v>
      </c>
      <c r="T71" s="978">
        <f t="shared" ca="1" si="24"/>
        <v>0.62304919453475494</v>
      </c>
      <c r="U71" s="978">
        <f t="shared" ca="1" si="24"/>
        <v>0.63625919931505448</v>
      </c>
      <c r="V71" s="978">
        <f t="shared" ca="1" si="24"/>
        <v>0.65510433476247099</v>
      </c>
      <c r="W71" s="978">
        <f t="shared" ca="1" si="24"/>
        <v>0.66899397858147858</v>
      </c>
      <c r="X71" s="978">
        <f t="shared" ca="1" si="24"/>
        <v>0.68504983406743403</v>
      </c>
      <c r="Y71" s="978">
        <f t="shared" ca="1" si="24"/>
        <v>0.69957438792635007</v>
      </c>
      <c r="Z71" s="978">
        <f t="shared" ca="1" si="24"/>
        <v>0.72029483347779821</v>
      </c>
      <c r="AA71" s="978">
        <f t="shared" ca="1" si="24"/>
        <v>0.73556665836246415</v>
      </c>
      <c r="AB71" s="978">
        <f t="shared" ca="1" si="24"/>
        <v>0.75322025816316329</v>
      </c>
      <c r="AC71" s="978">
        <f t="shared" ca="1" si="24"/>
        <v>0.76919017401930034</v>
      </c>
      <c r="AD71" s="978">
        <f t="shared" ca="1" si="24"/>
        <v>0.79197254483581692</v>
      </c>
      <c r="AE71" s="978">
        <f t="shared" ca="1" si="24"/>
        <v>0.80876409387386583</v>
      </c>
      <c r="AF71" s="978">
        <f t="shared" ca="1" si="24"/>
        <v>0.82817443212683872</v>
      </c>
      <c r="AG71" s="978">
        <f t="shared" ca="1" si="24"/>
        <v>0.84805061849788288</v>
      </c>
      <c r="AH71" s="311">
        <f t="shared" ca="1" si="18"/>
        <v>0.84805061849788288</v>
      </c>
      <c r="AI71" s="311">
        <f t="shared" ca="1" si="19"/>
        <v>0.46873011741438758</v>
      </c>
    </row>
    <row r="72" spans="3:35">
      <c r="C72" s="311" t="s">
        <v>972</v>
      </c>
      <c r="D72" s="993"/>
      <c r="F72" s="978">
        <f t="shared" si="20"/>
        <v>0</v>
      </c>
      <c r="G72" s="978">
        <f ca="1">G63/G5</f>
        <v>1.9018677916012698</v>
      </c>
      <c r="H72" s="978">
        <f ca="1">H63/H5</f>
        <v>1.6640091947700846</v>
      </c>
      <c r="I72" s="978">
        <f ca="1">I63/I5</f>
        <v>1.6992898268777779</v>
      </c>
      <c r="J72" s="978">
        <f ca="1">J63/J5</f>
        <v>1.749620489265689</v>
      </c>
      <c r="K72" s="978">
        <f t="shared" ref="K72:AG72" ca="1" si="25">K63/K5</f>
        <v>1.786716267945202</v>
      </c>
      <c r="L72" s="978">
        <f t="shared" ca="1" si="25"/>
        <v>1.8295974583758867</v>
      </c>
      <c r="M72" s="978">
        <f t="shared" ca="1" si="25"/>
        <v>1.8683889236135833</v>
      </c>
      <c r="N72" s="978">
        <f t="shared" ca="1" si="25"/>
        <v>1.9237280721427594</v>
      </c>
      <c r="O72" s="978">
        <f t="shared" ca="1" si="25"/>
        <v>1.9645153121422887</v>
      </c>
      <c r="P72" s="978">
        <f t="shared" ca="1" si="25"/>
        <v>2.011663679633704</v>
      </c>
      <c r="Q72" s="978">
        <f t="shared" ca="1" si="25"/>
        <v>2.0543153467210189</v>
      </c>
      <c r="R72" s="978">
        <f t="shared" ca="1" si="25"/>
        <v>2.1151613840000718</v>
      </c>
      <c r="S72" s="978">
        <f t="shared" ca="1" si="25"/>
        <v>2.1600074286444451</v>
      </c>
      <c r="T72" s="978">
        <f t="shared" ca="1" si="25"/>
        <v>2.2118476069319115</v>
      </c>
      <c r="U72" s="978">
        <f t="shared" ca="1" si="25"/>
        <v>2.258743610838446</v>
      </c>
      <c r="V72" s="978">
        <f t="shared" ca="1" si="25"/>
        <v>2.3256445363308562</v>
      </c>
      <c r="W72" s="978">
        <f t="shared" ca="1" si="25"/>
        <v>2.3749532838771059</v>
      </c>
      <c r="X72" s="978">
        <f t="shared" ca="1" si="25"/>
        <v>2.4319521626901568</v>
      </c>
      <c r="Y72" s="978">
        <f t="shared" ca="1" si="25"/>
        <v>2.48351486428162</v>
      </c>
      <c r="Z72" s="978">
        <f t="shared" ca="1" si="25"/>
        <v>2.5570732097695013</v>
      </c>
      <c r="AA72" s="978">
        <f t="shared" ca="1" si="25"/>
        <v>2.6112887510476743</v>
      </c>
      <c r="AB72" s="978">
        <f t="shared" ca="1" si="25"/>
        <v>2.6739596810728186</v>
      </c>
      <c r="AC72" s="978">
        <f t="shared" ca="1" si="25"/>
        <v>2.7306534710321761</v>
      </c>
      <c r="AD72" s="978">
        <f t="shared" ca="1" si="25"/>
        <v>2.8115317272160656</v>
      </c>
      <c r="AE72" s="978">
        <f t="shared" ca="1" si="25"/>
        <v>2.8711423452575864</v>
      </c>
      <c r="AF72" s="978">
        <f t="shared" ca="1" si="25"/>
        <v>2.9400497615437686</v>
      </c>
      <c r="AG72" s="978">
        <f t="shared" ca="1" si="25"/>
        <v>3.0106109558208192</v>
      </c>
      <c r="AH72" s="311">
        <f t="shared" ca="1" si="18"/>
        <v>3.0106109558208192</v>
      </c>
      <c r="AI72" s="311">
        <f t="shared" ca="1" si="19"/>
        <v>1.6640091947700846</v>
      </c>
    </row>
    <row r="73" spans="3:35">
      <c r="C73" s="311" t="s">
        <v>973</v>
      </c>
      <c r="D73" s="993"/>
      <c r="F73" s="978">
        <f t="shared" si="20"/>
        <v>0</v>
      </c>
      <c r="G73" s="978">
        <f ca="1">G64/G5</f>
        <v>2.2760013424505754</v>
      </c>
      <c r="H73" s="978">
        <f ca="1">H64/H5</f>
        <v>1.9913514377138288</v>
      </c>
      <c r="I73" s="978">
        <f ca="1">I64/I5</f>
        <v>2.0335724408741003</v>
      </c>
      <c r="J73" s="978">
        <f ca="1">J64/J5</f>
        <v>2.0938041013855098</v>
      </c>
      <c r="K73" s="978">
        <f t="shared" ref="K73:AG73" ca="1" si="26">K64/K5</f>
        <v>2.1381973249558692</v>
      </c>
      <c r="L73" s="978">
        <f t="shared" ca="1" si="26"/>
        <v>2.18951406075481</v>
      </c>
      <c r="M73" s="978">
        <f t="shared" ca="1" si="26"/>
        <v>2.2359365446658956</v>
      </c>
      <c r="N73" s="978">
        <f t="shared" ca="1" si="26"/>
        <v>2.302161955758447</v>
      </c>
      <c r="O73" s="978">
        <f t="shared" ca="1" si="26"/>
        <v>2.3509728212685164</v>
      </c>
      <c r="P73" s="978">
        <f t="shared" ca="1" si="26"/>
        <v>2.4073961689789609</v>
      </c>
      <c r="Q73" s="978">
        <f t="shared" ca="1" si="26"/>
        <v>2.458438229829444</v>
      </c>
      <c r="R73" s="978">
        <f t="shared" ca="1" si="26"/>
        <v>2.53125383937995</v>
      </c>
      <c r="S73" s="978">
        <f t="shared" ca="1" si="26"/>
        <v>2.584921953570082</v>
      </c>
      <c r="T73" s="978">
        <f t="shared" ca="1" si="26"/>
        <v>2.6469600804557643</v>
      </c>
      <c r="U73" s="978">
        <f t="shared" ca="1" si="26"/>
        <v>2.7030814198665203</v>
      </c>
      <c r="V73" s="978">
        <f t="shared" ca="1" si="26"/>
        <v>2.7831430292508985</v>
      </c>
      <c r="W73" s="978">
        <f t="shared" ca="1" si="26"/>
        <v>2.842151744843759</v>
      </c>
      <c r="X73" s="978">
        <f t="shared" ca="1" si="26"/>
        <v>2.9103633867200096</v>
      </c>
      <c r="Y73" s="978">
        <f t="shared" ca="1" si="26"/>
        <v>2.9720694519684994</v>
      </c>
      <c r="Z73" s="978">
        <f t="shared" ca="1" si="26"/>
        <v>3.0600981224250838</v>
      </c>
      <c r="AA73" s="978">
        <f t="shared" ca="1" si="26"/>
        <v>3.1249788913595609</v>
      </c>
      <c r="AB73" s="978">
        <f t="shared" ca="1" si="26"/>
        <v>3.1999783847521903</v>
      </c>
      <c r="AC73" s="978">
        <f t="shared" ca="1" si="26"/>
        <v>3.2678249209972097</v>
      </c>
      <c r="AD73" s="978">
        <f t="shared" ca="1" si="26"/>
        <v>3.3646134677418855</v>
      </c>
      <c r="AE73" s="978">
        <f t="shared" ca="1" si="26"/>
        <v>3.4359506276043912</v>
      </c>
      <c r="AF73" s="978">
        <f t="shared" ca="1" si="26"/>
        <v>3.5184134426668967</v>
      </c>
      <c r="AG73" s="978">
        <f t="shared" ca="1" si="26"/>
        <v>3.6028553652909019</v>
      </c>
      <c r="AH73" s="311">
        <f t="shared" ca="1" si="18"/>
        <v>3.6028553652909019</v>
      </c>
      <c r="AI73" s="311">
        <f t="shared" ca="1" si="19"/>
        <v>1.9913514377138288</v>
      </c>
    </row>
    <row r="74" spans="3:35">
      <c r="C74" s="311"/>
      <c r="D74" s="993"/>
      <c r="G74" s="993"/>
      <c r="H74" s="993"/>
      <c r="I74" s="993"/>
      <c r="J74" s="993"/>
      <c r="K74" s="993"/>
      <c r="L74" s="993"/>
      <c r="M74" s="993"/>
      <c r="N74" s="993"/>
      <c r="O74" s="993"/>
      <c r="P74" s="993"/>
      <c r="Q74" s="993"/>
      <c r="R74" s="993"/>
      <c r="S74" s="993"/>
      <c r="T74" s="993"/>
      <c r="U74" s="993"/>
      <c r="V74" s="993"/>
      <c r="W74" s="993"/>
      <c r="X74" s="993"/>
      <c r="Y74" s="993"/>
      <c r="Z74" s="993"/>
      <c r="AA74" s="993"/>
      <c r="AB74" s="993"/>
      <c r="AC74" s="993"/>
      <c r="AD74" s="993"/>
      <c r="AE74" s="993"/>
      <c r="AF74" s="993"/>
      <c r="AG74" s="993"/>
    </row>
    <row r="75" spans="3:35">
      <c r="C75" s="311"/>
      <c r="D75" s="993"/>
      <c r="G75" s="993"/>
      <c r="H75" s="993"/>
      <c r="I75" s="993"/>
      <c r="J75" s="993"/>
      <c r="K75" s="993"/>
      <c r="L75" s="993"/>
      <c r="M75" s="993"/>
      <c r="N75" s="993"/>
      <c r="O75" s="993"/>
      <c r="P75" s="993"/>
      <c r="Q75" s="993"/>
      <c r="R75" s="993"/>
      <c r="S75" s="993"/>
      <c r="T75" s="993"/>
      <c r="U75" s="993"/>
      <c r="V75" s="993"/>
      <c r="W75" s="993"/>
      <c r="X75" s="993"/>
      <c r="Y75" s="993"/>
      <c r="Z75" s="993"/>
      <c r="AA75" s="993"/>
      <c r="AB75" s="993"/>
      <c r="AC75" s="993"/>
      <c r="AD75" s="993"/>
      <c r="AE75" s="993"/>
      <c r="AF75" s="993"/>
      <c r="AG75" s="993"/>
    </row>
    <row r="76" spans="3:35">
      <c r="C76" s="311"/>
      <c r="D76" s="993"/>
      <c r="G76" s="993"/>
      <c r="H76" s="993"/>
      <c r="I76" s="993"/>
      <c r="J76" s="993"/>
      <c r="K76" s="993"/>
      <c r="L76" s="993"/>
      <c r="M76" s="993"/>
      <c r="N76" s="993"/>
      <c r="O76" s="993"/>
      <c r="P76" s="993"/>
      <c r="Q76" s="993"/>
      <c r="R76" s="993"/>
      <c r="S76" s="993"/>
      <c r="T76" s="993"/>
      <c r="U76" s="993"/>
      <c r="V76" s="993"/>
      <c r="W76" s="993"/>
      <c r="X76" s="993"/>
      <c r="Y76" s="993"/>
      <c r="Z76" s="993"/>
      <c r="AA76" s="993"/>
      <c r="AB76" s="993"/>
      <c r="AC76" s="993"/>
      <c r="AD76" s="993"/>
      <c r="AE76" s="993"/>
      <c r="AF76" s="993"/>
      <c r="AG76" s="993"/>
    </row>
    <row r="77" spans="3:35">
      <c r="C77" s="311"/>
      <c r="D77" s="993"/>
      <c r="G77" s="993"/>
      <c r="H77" s="993"/>
      <c r="I77" s="993"/>
      <c r="J77" s="993"/>
      <c r="K77" s="993"/>
      <c r="L77" s="993"/>
      <c r="M77" s="993"/>
      <c r="N77" s="993"/>
      <c r="O77" s="993"/>
      <c r="P77" s="993"/>
      <c r="Q77" s="993"/>
      <c r="R77" s="993"/>
      <c r="S77" s="993"/>
      <c r="T77" s="993"/>
      <c r="U77" s="993"/>
      <c r="V77" s="993"/>
      <c r="W77" s="993"/>
      <c r="X77" s="993"/>
      <c r="Y77" s="993"/>
      <c r="Z77" s="993"/>
      <c r="AA77" s="993"/>
      <c r="AB77" s="993"/>
      <c r="AC77" s="993"/>
      <c r="AD77" s="993"/>
      <c r="AE77" s="993"/>
      <c r="AF77" s="993"/>
      <c r="AG77" s="993"/>
    </row>
    <row r="78" spans="3:35">
      <c r="C78" s="311"/>
    </row>
    <row r="79" spans="3:35" ht="17.25">
      <c r="C79" s="1921" t="s">
        <v>980</v>
      </c>
    </row>
    <row r="80" spans="3:35">
      <c r="C80" s="311" t="s">
        <v>1504</v>
      </c>
      <c r="D80" s="978">
        <f>'O&amp;M Costs'!I178</f>
        <v>0</v>
      </c>
      <c r="E80" s="978">
        <f>'O&amp;M Costs'!J178</f>
        <v>0</v>
      </c>
      <c r="F80" s="978">
        <f>'O&amp;M Costs'!K178</f>
        <v>0</v>
      </c>
      <c r="G80" s="978">
        <f ca="1">'O&amp;M Costs'!L178</f>
        <v>0</v>
      </c>
      <c r="H80" s="978">
        <f ca="1">'O&amp;M Costs'!M178</f>
        <v>0</v>
      </c>
      <c r="I80" s="978">
        <f ca="1">'O&amp;M Costs'!N178</f>
        <v>0</v>
      </c>
      <c r="J80" s="978">
        <f ca="1">'O&amp;M Costs'!O178</f>
        <v>0</v>
      </c>
      <c r="K80" s="978">
        <f ca="1">'O&amp;M Costs'!P178</f>
        <v>0</v>
      </c>
      <c r="L80" s="978">
        <f ca="1">'O&amp;M Costs'!Q178</f>
        <v>0</v>
      </c>
      <c r="M80" s="978">
        <f ca="1">'O&amp;M Costs'!R178</f>
        <v>0</v>
      </c>
      <c r="N80" s="978">
        <f ca="1">'O&amp;M Costs'!S178</f>
        <v>0</v>
      </c>
      <c r="O80" s="978">
        <f ca="1">'O&amp;M Costs'!T178</f>
        <v>0</v>
      </c>
      <c r="P80" s="978">
        <f ca="1">'O&amp;M Costs'!U178</f>
        <v>0</v>
      </c>
      <c r="Q80" s="978">
        <f ca="1">'O&amp;M Costs'!V178</f>
        <v>0</v>
      </c>
      <c r="R80" s="978">
        <f ca="1">'O&amp;M Costs'!W178</f>
        <v>0</v>
      </c>
      <c r="S80" s="978">
        <f ca="1">'O&amp;M Costs'!X178</f>
        <v>0</v>
      </c>
      <c r="T80" s="978">
        <f ca="1">'O&amp;M Costs'!Y178</f>
        <v>0</v>
      </c>
      <c r="U80" s="978">
        <f ca="1">'O&amp;M Costs'!Z178</f>
        <v>0</v>
      </c>
      <c r="V80" s="978">
        <f ca="1">'O&amp;M Costs'!AA178</f>
        <v>0</v>
      </c>
      <c r="W80" s="978">
        <f ca="1">'O&amp;M Costs'!AB178</f>
        <v>0</v>
      </c>
      <c r="X80" s="978">
        <f ca="1">'O&amp;M Costs'!AC178</f>
        <v>0</v>
      </c>
      <c r="Y80" s="978">
        <f ca="1">'O&amp;M Costs'!AD178</f>
        <v>0</v>
      </c>
      <c r="Z80" s="978">
        <f ca="1">'O&amp;M Costs'!AE178</f>
        <v>0</v>
      </c>
      <c r="AA80" s="978">
        <f ca="1">'O&amp;M Costs'!AF178</f>
        <v>0</v>
      </c>
      <c r="AB80" s="978">
        <f ca="1">'O&amp;M Costs'!AG178</f>
        <v>0</v>
      </c>
      <c r="AC80" s="978">
        <f ca="1">'O&amp;M Costs'!AH178</f>
        <v>0</v>
      </c>
      <c r="AD80" s="978">
        <f ca="1">'O&amp;M Costs'!AI178</f>
        <v>0</v>
      </c>
      <c r="AE80" s="978">
        <f ca="1">'O&amp;M Costs'!AJ178</f>
        <v>0</v>
      </c>
      <c r="AF80" s="978">
        <f ca="1">'O&amp;M Costs'!AK178</f>
        <v>0</v>
      </c>
      <c r="AG80" s="978">
        <f ca="1">'O&amp;M Costs'!AL178</f>
        <v>0</v>
      </c>
      <c r="AH80" s="978">
        <f>'O&amp;M Costs'!AX178</f>
        <v>0</v>
      </c>
      <c r="AI80" s="978">
        <f>'O&amp;M Costs'!AY178</f>
        <v>0</v>
      </c>
    </row>
    <row r="81" spans="3:35">
      <c r="C81" s="311" t="s">
        <v>968</v>
      </c>
      <c r="D81" s="978">
        <f>'O&amp;M Costs'!I179</f>
        <v>0</v>
      </c>
      <c r="E81" s="978">
        <f>'O&amp;M Costs'!J179</f>
        <v>0</v>
      </c>
      <c r="F81" s="978">
        <f>'O&amp;M Costs'!K179</f>
        <v>0</v>
      </c>
      <c r="G81" s="978">
        <f ca="1">'O&amp;M Costs'!L179</f>
        <v>0</v>
      </c>
      <c r="H81" s="978">
        <f ca="1">'O&amp;M Costs'!M179</f>
        <v>0</v>
      </c>
      <c r="I81" s="978">
        <f ca="1">'O&amp;M Costs'!N179</f>
        <v>0</v>
      </c>
      <c r="J81" s="978">
        <f ca="1">'O&amp;M Costs'!O179</f>
        <v>0</v>
      </c>
      <c r="K81" s="978">
        <f ca="1">'O&amp;M Costs'!P179</f>
        <v>0</v>
      </c>
      <c r="L81" s="978">
        <f ca="1">'O&amp;M Costs'!Q179</f>
        <v>0</v>
      </c>
      <c r="M81" s="978">
        <f ca="1">'O&amp;M Costs'!R179</f>
        <v>0</v>
      </c>
      <c r="N81" s="978">
        <f ca="1">'O&amp;M Costs'!S179</f>
        <v>0</v>
      </c>
      <c r="O81" s="978">
        <f ca="1">'O&amp;M Costs'!T179</f>
        <v>0</v>
      </c>
      <c r="P81" s="978">
        <f ca="1">'O&amp;M Costs'!U179</f>
        <v>0</v>
      </c>
      <c r="Q81" s="978">
        <f ca="1">'O&amp;M Costs'!V179</f>
        <v>0</v>
      </c>
      <c r="R81" s="978">
        <f ca="1">'O&amp;M Costs'!W179</f>
        <v>0</v>
      </c>
      <c r="S81" s="978">
        <f ca="1">'O&amp;M Costs'!X179</f>
        <v>0</v>
      </c>
      <c r="T81" s="978">
        <f ca="1">'O&amp;M Costs'!Y179</f>
        <v>0</v>
      </c>
      <c r="U81" s="978">
        <f ca="1">'O&amp;M Costs'!Z179</f>
        <v>0</v>
      </c>
      <c r="V81" s="978">
        <f ca="1">'O&amp;M Costs'!AA179</f>
        <v>0</v>
      </c>
      <c r="W81" s="978">
        <f ca="1">'O&amp;M Costs'!AB179</f>
        <v>0</v>
      </c>
      <c r="X81" s="978">
        <f ca="1">'O&amp;M Costs'!AC179</f>
        <v>0</v>
      </c>
      <c r="Y81" s="978">
        <f ca="1">'O&amp;M Costs'!AD179</f>
        <v>0</v>
      </c>
      <c r="Z81" s="978">
        <f ca="1">'O&amp;M Costs'!AE179</f>
        <v>0</v>
      </c>
      <c r="AA81" s="978">
        <f ca="1">'O&amp;M Costs'!AF179</f>
        <v>0</v>
      </c>
      <c r="AB81" s="978">
        <f ca="1">'O&amp;M Costs'!AG179</f>
        <v>0</v>
      </c>
      <c r="AC81" s="978">
        <f ca="1">'O&amp;M Costs'!AH179</f>
        <v>0</v>
      </c>
      <c r="AD81" s="978">
        <f ca="1">'O&amp;M Costs'!AI179</f>
        <v>0</v>
      </c>
      <c r="AE81" s="978">
        <f ca="1">'O&amp;M Costs'!AJ179</f>
        <v>0</v>
      </c>
      <c r="AF81" s="978">
        <f ca="1">'O&amp;M Costs'!AK179</f>
        <v>0</v>
      </c>
      <c r="AG81" s="978">
        <f ca="1">'O&amp;M Costs'!AL179</f>
        <v>0</v>
      </c>
      <c r="AH81" s="978">
        <f>'O&amp;M Costs'!AX179</f>
        <v>0</v>
      </c>
      <c r="AI81" s="978">
        <f>'O&amp;M Costs'!AY179</f>
        <v>0</v>
      </c>
    </row>
    <row r="82" spans="3:35">
      <c r="C82" s="311" t="s">
        <v>969</v>
      </c>
      <c r="D82" s="978">
        <f>'O&amp;M Costs'!I180</f>
        <v>0</v>
      </c>
      <c r="E82" s="978">
        <f>'O&amp;M Costs'!J180</f>
        <v>0</v>
      </c>
      <c r="F82" s="978">
        <f>'O&amp;M Costs'!K180</f>
        <v>0</v>
      </c>
      <c r="G82" s="978">
        <f ca="1">'O&amp;M Costs'!L180</f>
        <v>0</v>
      </c>
      <c r="H82" s="978">
        <f ca="1">'O&amp;M Costs'!M180</f>
        <v>0</v>
      </c>
      <c r="I82" s="978">
        <f ca="1">'O&amp;M Costs'!N180</f>
        <v>0</v>
      </c>
      <c r="J82" s="978">
        <f ca="1">'O&amp;M Costs'!O180</f>
        <v>0</v>
      </c>
      <c r="K82" s="978">
        <f ca="1">'O&amp;M Costs'!P180</f>
        <v>0</v>
      </c>
      <c r="L82" s="978">
        <f ca="1">'O&amp;M Costs'!Q180</f>
        <v>0</v>
      </c>
      <c r="M82" s="978">
        <f ca="1">'O&amp;M Costs'!R180</f>
        <v>0</v>
      </c>
      <c r="N82" s="978">
        <f ca="1">'O&amp;M Costs'!S180</f>
        <v>0</v>
      </c>
      <c r="O82" s="978">
        <f ca="1">'O&amp;M Costs'!T180</f>
        <v>0</v>
      </c>
      <c r="P82" s="978">
        <f ca="1">'O&amp;M Costs'!U180</f>
        <v>0</v>
      </c>
      <c r="Q82" s="978">
        <f ca="1">'O&amp;M Costs'!V180</f>
        <v>0</v>
      </c>
      <c r="R82" s="978">
        <f ca="1">'O&amp;M Costs'!W180</f>
        <v>0</v>
      </c>
      <c r="S82" s="978">
        <f ca="1">'O&amp;M Costs'!X180</f>
        <v>0</v>
      </c>
      <c r="T82" s="978">
        <f ca="1">'O&amp;M Costs'!Y180</f>
        <v>0</v>
      </c>
      <c r="U82" s="978">
        <f ca="1">'O&amp;M Costs'!Z180</f>
        <v>0</v>
      </c>
      <c r="V82" s="978">
        <f ca="1">'O&amp;M Costs'!AA180</f>
        <v>0</v>
      </c>
      <c r="W82" s="978">
        <f ca="1">'O&amp;M Costs'!AB180</f>
        <v>0</v>
      </c>
      <c r="X82" s="978">
        <f ca="1">'O&amp;M Costs'!AC180</f>
        <v>0</v>
      </c>
      <c r="Y82" s="978">
        <f ca="1">'O&amp;M Costs'!AD180</f>
        <v>0</v>
      </c>
      <c r="Z82" s="978">
        <f ca="1">'O&amp;M Costs'!AE180</f>
        <v>0</v>
      </c>
      <c r="AA82" s="978">
        <f ca="1">'O&amp;M Costs'!AF180</f>
        <v>0</v>
      </c>
      <c r="AB82" s="978">
        <f ca="1">'O&amp;M Costs'!AG180</f>
        <v>0</v>
      </c>
      <c r="AC82" s="978">
        <f ca="1">'O&amp;M Costs'!AH180</f>
        <v>0</v>
      </c>
      <c r="AD82" s="978">
        <f ca="1">'O&amp;M Costs'!AI180</f>
        <v>0</v>
      </c>
      <c r="AE82" s="978">
        <f ca="1">'O&amp;M Costs'!AJ180</f>
        <v>0</v>
      </c>
      <c r="AF82" s="978">
        <f ca="1">'O&amp;M Costs'!AK180</f>
        <v>0</v>
      </c>
      <c r="AG82" s="978">
        <f ca="1">'O&amp;M Costs'!AL180</f>
        <v>0</v>
      </c>
      <c r="AH82" s="978">
        <f>'O&amp;M Costs'!AX180</f>
        <v>0</v>
      </c>
      <c r="AI82" s="978">
        <f>'O&amp;M Costs'!AY180</f>
        <v>0</v>
      </c>
    </row>
    <row r="83" spans="3:35">
      <c r="C83" s="311" t="s">
        <v>970</v>
      </c>
      <c r="D83" s="978">
        <f>'O&amp;M Costs'!I181</f>
        <v>0</v>
      </c>
      <c r="E83" s="978">
        <f>'O&amp;M Costs'!J181</f>
        <v>0</v>
      </c>
      <c r="F83" s="978">
        <f>'O&amp;M Costs'!K181</f>
        <v>0</v>
      </c>
      <c r="G83" s="978">
        <f ca="1">'O&amp;M Costs'!L181</f>
        <v>0</v>
      </c>
      <c r="H83" s="978">
        <f ca="1">'O&amp;M Costs'!M181</f>
        <v>0</v>
      </c>
      <c r="I83" s="978">
        <f ca="1">'O&amp;M Costs'!N181</f>
        <v>0</v>
      </c>
      <c r="J83" s="978">
        <f ca="1">'O&amp;M Costs'!O181</f>
        <v>0</v>
      </c>
      <c r="K83" s="978">
        <f ca="1">'O&amp;M Costs'!P181</f>
        <v>0</v>
      </c>
      <c r="L83" s="978">
        <f ca="1">'O&amp;M Costs'!Q181</f>
        <v>0</v>
      </c>
      <c r="M83" s="978">
        <f ca="1">'O&amp;M Costs'!R181</f>
        <v>0</v>
      </c>
      <c r="N83" s="978">
        <f ca="1">'O&amp;M Costs'!S181</f>
        <v>0</v>
      </c>
      <c r="O83" s="978">
        <f ca="1">'O&amp;M Costs'!T181</f>
        <v>0</v>
      </c>
      <c r="P83" s="978">
        <f ca="1">'O&amp;M Costs'!U181</f>
        <v>0</v>
      </c>
      <c r="Q83" s="978">
        <f ca="1">'O&amp;M Costs'!V181</f>
        <v>0</v>
      </c>
      <c r="R83" s="978">
        <f ca="1">'O&amp;M Costs'!W181</f>
        <v>0</v>
      </c>
      <c r="S83" s="978">
        <f ca="1">'O&amp;M Costs'!X181</f>
        <v>0</v>
      </c>
      <c r="T83" s="978">
        <f ca="1">'O&amp;M Costs'!Y181</f>
        <v>0</v>
      </c>
      <c r="U83" s="978">
        <f ca="1">'O&amp;M Costs'!Z181</f>
        <v>0</v>
      </c>
      <c r="V83" s="978">
        <f ca="1">'O&amp;M Costs'!AA181</f>
        <v>0</v>
      </c>
      <c r="W83" s="978">
        <f ca="1">'O&amp;M Costs'!AB181</f>
        <v>0</v>
      </c>
      <c r="X83" s="978">
        <f ca="1">'O&amp;M Costs'!AC181</f>
        <v>0</v>
      </c>
      <c r="Y83" s="978">
        <f ca="1">'O&amp;M Costs'!AD181</f>
        <v>0</v>
      </c>
      <c r="Z83" s="978">
        <f ca="1">'O&amp;M Costs'!AE181</f>
        <v>0</v>
      </c>
      <c r="AA83" s="978">
        <f ca="1">'O&amp;M Costs'!AF181</f>
        <v>0</v>
      </c>
      <c r="AB83" s="978">
        <f ca="1">'O&amp;M Costs'!AG181</f>
        <v>0</v>
      </c>
      <c r="AC83" s="978">
        <f ca="1">'O&amp;M Costs'!AH181</f>
        <v>0</v>
      </c>
      <c r="AD83" s="978">
        <f ca="1">'O&amp;M Costs'!AI181</f>
        <v>0</v>
      </c>
      <c r="AE83" s="978">
        <f ca="1">'O&amp;M Costs'!AJ181</f>
        <v>0</v>
      </c>
      <c r="AF83" s="978">
        <f ca="1">'O&amp;M Costs'!AK181</f>
        <v>0</v>
      </c>
      <c r="AG83" s="978">
        <f ca="1">'O&amp;M Costs'!AL181</f>
        <v>0</v>
      </c>
      <c r="AH83" s="978">
        <f>'O&amp;M Costs'!AX181</f>
        <v>0</v>
      </c>
      <c r="AI83" s="978">
        <f>'O&amp;M Costs'!AY181</f>
        <v>0</v>
      </c>
    </row>
    <row r="84" spans="3:35">
      <c r="C84" s="311" t="s">
        <v>971</v>
      </c>
      <c r="D84" s="978">
        <f>'O&amp;M Costs'!I182</f>
        <v>0</v>
      </c>
      <c r="E84" s="978">
        <f>'O&amp;M Costs'!J182</f>
        <v>0</v>
      </c>
      <c r="F84" s="978">
        <f>'O&amp;M Costs'!K182</f>
        <v>0</v>
      </c>
      <c r="G84" s="978">
        <f ca="1">'O&amp;M Costs'!L182</f>
        <v>0</v>
      </c>
      <c r="H84" s="978">
        <f ca="1">'O&amp;M Costs'!M182</f>
        <v>0</v>
      </c>
      <c r="I84" s="978">
        <f ca="1">'O&amp;M Costs'!N182</f>
        <v>0</v>
      </c>
      <c r="J84" s="978">
        <f ca="1">'O&amp;M Costs'!O182</f>
        <v>0</v>
      </c>
      <c r="K84" s="978">
        <f ca="1">'O&amp;M Costs'!P182</f>
        <v>0</v>
      </c>
      <c r="L84" s="978">
        <f ca="1">'O&amp;M Costs'!Q182</f>
        <v>0</v>
      </c>
      <c r="M84" s="978">
        <f ca="1">'O&amp;M Costs'!R182</f>
        <v>0</v>
      </c>
      <c r="N84" s="978">
        <f ca="1">'O&amp;M Costs'!S182</f>
        <v>0</v>
      </c>
      <c r="O84" s="978">
        <f ca="1">'O&amp;M Costs'!T182</f>
        <v>0</v>
      </c>
      <c r="P84" s="978">
        <f ca="1">'O&amp;M Costs'!U182</f>
        <v>0</v>
      </c>
      <c r="Q84" s="978">
        <f ca="1">'O&amp;M Costs'!V182</f>
        <v>0</v>
      </c>
      <c r="R84" s="978">
        <f ca="1">'O&amp;M Costs'!W182</f>
        <v>0</v>
      </c>
      <c r="S84" s="978">
        <f ca="1">'O&amp;M Costs'!X182</f>
        <v>0</v>
      </c>
      <c r="T84" s="978">
        <f ca="1">'O&amp;M Costs'!Y182</f>
        <v>0</v>
      </c>
      <c r="U84" s="978">
        <f ca="1">'O&amp;M Costs'!Z182</f>
        <v>0</v>
      </c>
      <c r="V84" s="978">
        <f ca="1">'O&amp;M Costs'!AA182</f>
        <v>0</v>
      </c>
      <c r="W84" s="978">
        <f ca="1">'O&amp;M Costs'!AB182</f>
        <v>0</v>
      </c>
      <c r="X84" s="978">
        <f ca="1">'O&amp;M Costs'!AC182</f>
        <v>0</v>
      </c>
      <c r="Y84" s="978">
        <f ca="1">'O&amp;M Costs'!AD182</f>
        <v>0</v>
      </c>
      <c r="Z84" s="978">
        <f ca="1">'O&amp;M Costs'!AE182</f>
        <v>0</v>
      </c>
      <c r="AA84" s="978">
        <f ca="1">'O&amp;M Costs'!AF182</f>
        <v>0</v>
      </c>
      <c r="AB84" s="978">
        <f ca="1">'O&amp;M Costs'!AG182</f>
        <v>0</v>
      </c>
      <c r="AC84" s="978">
        <f ca="1">'O&amp;M Costs'!AH182</f>
        <v>0</v>
      </c>
      <c r="AD84" s="978">
        <f ca="1">'O&amp;M Costs'!AI182</f>
        <v>0</v>
      </c>
      <c r="AE84" s="978">
        <f ca="1">'O&amp;M Costs'!AJ182</f>
        <v>0</v>
      </c>
      <c r="AF84" s="978">
        <f ca="1">'O&amp;M Costs'!AK182</f>
        <v>0</v>
      </c>
      <c r="AG84" s="978">
        <f ca="1">'O&amp;M Costs'!AL182</f>
        <v>0</v>
      </c>
      <c r="AH84" s="978">
        <f>'O&amp;M Costs'!AX182</f>
        <v>0</v>
      </c>
      <c r="AI84" s="978">
        <f>'O&amp;M Costs'!AY182</f>
        <v>0</v>
      </c>
    </row>
    <row r="85" spans="3:35">
      <c r="C85" s="311" t="s">
        <v>972</v>
      </c>
      <c r="D85" s="978">
        <f>'O&amp;M Costs'!I183</f>
        <v>0</v>
      </c>
      <c r="E85" s="978">
        <f>'O&amp;M Costs'!J183</f>
        <v>0</v>
      </c>
      <c r="F85" s="978">
        <f>'O&amp;M Costs'!K183</f>
        <v>0</v>
      </c>
      <c r="G85" s="978">
        <f ca="1">'O&amp;M Costs'!L183</f>
        <v>0</v>
      </c>
      <c r="H85" s="978">
        <f ca="1">'O&amp;M Costs'!M183</f>
        <v>0</v>
      </c>
      <c r="I85" s="978">
        <f ca="1">'O&amp;M Costs'!N183</f>
        <v>0</v>
      </c>
      <c r="J85" s="978">
        <f ca="1">'O&amp;M Costs'!O183</f>
        <v>0</v>
      </c>
      <c r="K85" s="978">
        <f ca="1">'O&amp;M Costs'!P183</f>
        <v>0</v>
      </c>
      <c r="L85" s="978">
        <f ca="1">'O&amp;M Costs'!Q183</f>
        <v>0</v>
      </c>
      <c r="M85" s="978">
        <f ca="1">'O&amp;M Costs'!R183</f>
        <v>0</v>
      </c>
      <c r="N85" s="978">
        <f ca="1">'O&amp;M Costs'!S183</f>
        <v>0</v>
      </c>
      <c r="O85" s="978">
        <f ca="1">'O&amp;M Costs'!T183</f>
        <v>0</v>
      </c>
      <c r="P85" s="978">
        <f ca="1">'O&amp;M Costs'!U183</f>
        <v>0</v>
      </c>
      <c r="Q85" s="978">
        <f ca="1">'O&amp;M Costs'!V183</f>
        <v>0</v>
      </c>
      <c r="R85" s="978">
        <f ca="1">'O&amp;M Costs'!W183</f>
        <v>0</v>
      </c>
      <c r="S85" s="978">
        <f ca="1">'O&amp;M Costs'!X183</f>
        <v>0</v>
      </c>
      <c r="T85" s="978">
        <f ca="1">'O&amp;M Costs'!Y183</f>
        <v>0</v>
      </c>
      <c r="U85" s="978">
        <f ca="1">'O&amp;M Costs'!Z183</f>
        <v>0</v>
      </c>
      <c r="V85" s="978">
        <f ca="1">'O&amp;M Costs'!AA183</f>
        <v>0</v>
      </c>
      <c r="W85" s="978">
        <f ca="1">'O&amp;M Costs'!AB183</f>
        <v>0</v>
      </c>
      <c r="X85" s="978">
        <f ca="1">'O&amp;M Costs'!AC183</f>
        <v>0</v>
      </c>
      <c r="Y85" s="978">
        <f ca="1">'O&amp;M Costs'!AD183</f>
        <v>0</v>
      </c>
      <c r="Z85" s="978">
        <f ca="1">'O&amp;M Costs'!AE183</f>
        <v>0</v>
      </c>
      <c r="AA85" s="978">
        <f ca="1">'O&amp;M Costs'!AF183</f>
        <v>0</v>
      </c>
      <c r="AB85" s="978">
        <f ca="1">'O&amp;M Costs'!AG183</f>
        <v>0</v>
      </c>
      <c r="AC85" s="978">
        <f ca="1">'O&amp;M Costs'!AH183</f>
        <v>0</v>
      </c>
      <c r="AD85" s="978">
        <f ca="1">'O&amp;M Costs'!AI183</f>
        <v>0</v>
      </c>
      <c r="AE85" s="978">
        <f ca="1">'O&amp;M Costs'!AJ183</f>
        <v>0</v>
      </c>
      <c r="AF85" s="978">
        <f ca="1">'O&amp;M Costs'!AK183</f>
        <v>0</v>
      </c>
      <c r="AG85" s="978">
        <f ca="1">'O&amp;M Costs'!AL183</f>
        <v>0</v>
      </c>
      <c r="AH85" s="978">
        <f>'O&amp;M Costs'!AX183</f>
        <v>0</v>
      </c>
      <c r="AI85" s="978">
        <f>'O&amp;M Costs'!AY183</f>
        <v>0</v>
      </c>
    </row>
    <row r="86" spans="3:35">
      <c r="C86" s="311" t="s">
        <v>973</v>
      </c>
      <c r="D86" s="978">
        <f>'O&amp;M Costs'!I184</f>
        <v>0</v>
      </c>
      <c r="E86" s="978">
        <f>'O&amp;M Costs'!J184</f>
        <v>0</v>
      </c>
      <c r="F86" s="978">
        <f>'O&amp;M Costs'!K184</f>
        <v>0</v>
      </c>
      <c r="G86" s="978">
        <f ca="1">'O&amp;M Costs'!L184</f>
        <v>0</v>
      </c>
      <c r="H86" s="978">
        <f ca="1">'O&amp;M Costs'!M184</f>
        <v>0</v>
      </c>
      <c r="I86" s="978">
        <f ca="1">'O&amp;M Costs'!N184</f>
        <v>0</v>
      </c>
      <c r="J86" s="978">
        <f ca="1">'O&amp;M Costs'!O184</f>
        <v>0</v>
      </c>
      <c r="K86" s="978">
        <f ca="1">'O&amp;M Costs'!P184</f>
        <v>0</v>
      </c>
      <c r="L86" s="978">
        <f ca="1">'O&amp;M Costs'!Q184</f>
        <v>0</v>
      </c>
      <c r="M86" s="978">
        <f ca="1">'O&amp;M Costs'!R184</f>
        <v>0</v>
      </c>
      <c r="N86" s="978">
        <f ca="1">'O&amp;M Costs'!S184</f>
        <v>0</v>
      </c>
      <c r="O86" s="978">
        <f ca="1">'O&amp;M Costs'!T184</f>
        <v>0</v>
      </c>
      <c r="P86" s="978">
        <f ca="1">'O&amp;M Costs'!U184</f>
        <v>0</v>
      </c>
      <c r="Q86" s="978">
        <f ca="1">'O&amp;M Costs'!V184</f>
        <v>0</v>
      </c>
      <c r="R86" s="978">
        <f ca="1">'O&amp;M Costs'!W184</f>
        <v>0</v>
      </c>
      <c r="S86" s="978">
        <f ca="1">'O&amp;M Costs'!X184</f>
        <v>0</v>
      </c>
      <c r="T86" s="978">
        <f ca="1">'O&amp;M Costs'!Y184</f>
        <v>0</v>
      </c>
      <c r="U86" s="978">
        <f ca="1">'O&amp;M Costs'!Z184</f>
        <v>0</v>
      </c>
      <c r="V86" s="978">
        <f ca="1">'O&amp;M Costs'!AA184</f>
        <v>0</v>
      </c>
      <c r="W86" s="978">
        <f ca="1">'O&amp;M Costs'!AB184</f>
        <v>0</v>
      </c>
      <c r="X86" s="978">
        <f ca="1">'O&amp;M Costs'!AC184</f>
        <v>0</v>
      </c>
      <c r="Y86" s="978">
        <f ca="1">'O&amp;M Costs'!AD184</f>
        <v>0</v>
      </c>
      <c r="Z86" s="978">
        <f ca="1">'O&amp;M Costs'!AE184</f>
        <v>0</v>
      </c>
      <c r="AA86" s="978">
        <f ca="1">'O&amp;M Costs'!AF184</f>
        <v>0</v>
      </c>
      <c r="AB86" s="978">
        <f ca="1">'O&amp;M Costs'!AG184</f>
        <v>0</v>
      </c>
      <c r="AC86" s="978">
        <f ca="1">'O&amp;M Costs'!AH184</f>
        <v>0</v>
      </c>
      <c r="AD86" s="978">
        <f ca="1">'O&amp;M Costs'!AI184</f>
        <v>0</v>
      </c>
      <c r="AE86" s="978">
        <f ca="1">'O&amp;M Costs'!AJ184</f>
        <v>0</v>
      </c>
      <c r="AF86" s="978">
        <f ca="1">'O&amp;M Costs'!AK184</f>
        <v>0</v>
      </c>
      <c r="AG86" s="978">
        <f ca="1">'O&amp;M Costs'!AL184</f>
        <v>0</v>
      </c>
      <c r="AH86" s="978">
        <f>'O&amp;M Costs'!AX184</f>
        <v>0</v>
      </c>
      <c r="AI86" s="978">
        <f>'O&amp;M Costs'!AY184</f>
        <v>0</v>
      </c>
    </row>
    <row r="87" spans="3:35">
      <c r="C87" s="311"/>
      <c r="F87" s="978"/>
      <c r="G87" s="978"/>
      <c r="H87" s="978"/>
      <c r="I87" s="978"/>
      <c r="J87" s="978"/>
      <c r="K87" s="978"/>
      <c r="L87" s="978"/>
      <c r="M87" s="978"/>
      <c r="N87" s="978"/>
      <c r="O87" s="978"/>
      <c r="P87" s="978"/>
      <c r="Q87" s="978"/>
      <c r="R87" s="978"/>
      <c r="S87" s="978"/>
      <c r="T87" s="978"/>
      <c r="U87" s="978"/>
      <c r="V87" s="978"/>
      <c r="W87" s="978"/>
      <c r="X87" s="978"/>
      <c r="Y87" s="978"/>
      <c r="Z87" s="978"/>
      <c r="AA87" s="978"/>
      <c r="AB87" s="978"/>
      <c r="AC87" s="978"/>
      <c r="AD87" s="978"/>
      <c r="AE87" s="978"/>
      <c r="AF87" s="978"/>
      <c r="AG87" s="978"/>
    </row>
    <row r="88" spans="3:35">
      <c r="C88" s="311"/>
      <c r="F88" s="978"/>
      <c r="G88" s="978"/>
      <c r="H88" s="978"/>
      <c r="I88" s="978"/>
      <c r="J88" s="978"/>
      <c r="K88" s="978"/>
      <c r="L88" s="978"/>
      <c r="M88" s="978"/>
      <c r="N88" s="978"/>
      <c r="O88" s="978"/>
      <c r="P88" s="978"/>
      <c r="Q88" s="978"/>
      <c r="R88" s="978"/>
      <c r="S88" s="978"/>
      <c r="T88" s="978"/>
      <c r="U88" s="978"/>
      <c r="V88" s="978"/>
      <c r="W88" s="978"/>
      <c r="X88" s="978"/>
      <c r="Y88" s="978"/>
      <c r="Z88" s="978"/>
      <c r="AA88" s="978"/>
      <c r="AB88" s="978"/>
      <c r="AC88" s="978"/>
      <c r="AD88" s="978"/>
      <c r="AE88" s="978"/>
      <c r="AF88" s="978"/>
      <c r="AG88" s="978"/>
    </row>
    <row r="89" spans="3:35">
      <c r="C89" s="311" t="s">
        <v>1504</v>
      </c>
      <c r="F89" s="978"/>
      <c r="G89" s="978" t="e">
        <f ca="1">G80/$G$6</f>
        <v>#DIV/0!</v>
      </c>
      <c r="H89" s="978" t="e">
        <f ca="1">H80/$G$6</f>
        <v>#DIV/0!</v>
      </c>
      <c r="I89" s="978" t="e">
        <f ca="1">I80/$G$6</f>
        <v>#DIV/0!</v>
      </c>
      <c r="J89" s="978" t="e">
        <f t="shared" ref="J89:AG89" ca="1" si="27">J80/$G$6</f>
        <v>#DIV/0!</v>
      </c>
      <c r="K89" s="978" t="e">
        <f t="shared" ca="1" si="27"/>
        <v>#DIV/0!</v>
      </c>
      <c r="L89" s="978" t="e">
        <f t="shared" ca="1" si="27"/>
        <v>#DIV/0!</v>
      </c>
      <c r="M89" s="978" t="e">
        <f t="shared" ca="1" si="27"/>
        <v>#DIV/0!</v>
      </c>
      <c r="N89" s="978" t="e">
        <f t="shared" ca="1" si="27"/>
        <v>#DIV/0!</v>
      </c>
      <c r="O89" s="978" t="e">
        <f t="shared" ca="1" si="27"/>
        <v>#DIV/0!</v>
      </c>
      <c r="P89" s="978" t="e">
        <f t="shared" ca="1" si="27"/>
        <v>#DIV/0!</v>
      </c>
      <c r="Q89" s="978" t="e">
        <f t="shared" ca="1" si="27"/>
        <v>#DIV/0!</v>
      </c>
      <c r="R89" s="978" t="e">
        <f t="shared" ca="1" si="27"/>
        <v>#DIV/0!</v>
      </c>
      <c r="S89" s="978" t="e">
        <f t="shared" ca="1" si="27"/>
        <v>#DIV/0!</v>
      </c>
      <c r="T89" s="978" t="e">
        <f t="shared" ca="1" si="27"/>
        <v>#DIV/0!</v>
      </c>
      <c r="U89" s="978" t="e">
        <f t="shared" ca="1" si="27"/>
        <v>#DIV/0!</v>
      </c>
      <c r="V89" s="978" t="e">
        <f t="shared" ca="1" si="27"/>
        <v>#DIV/0!</v>
      </c>
      <c r="W89" s="978" t="e">
        <f t="shared" ca="1" si="27"/>
        <v>#DIV/0!</v>
      </c>
      <c r="X89" s="978" t="e">
        <f t="shared" ca="1" si="27"/>
        <v>#DIV/0!</v>
      </c>
      <c r="Y89" s="978" t="e">
        <f t="shared" ca="1" si="27"/>
        <v>#DIV/0!</v>
      </c>
      <c r="Z89" s="978" t="e">
        <f t="shared" ca="1" si="27"/>
        <v>#DIV/0!</v>
      </c>
      <c r="AA89" s="978" t="e">
        <f t="shared" ca="1" si="27"/>
        <v>#DIV/0!</v>
      </c>
      <c r="AB89" s="978" t="e">
        <f t="shared" ca="1" si="27"/>
        <v>#DIV/0!</v>
      </c>
      <c r="AC89" s="978" t="e">
        <f t="shared" ca="1" si="27"/>
        <v>#DIV/0!</v>
      </c>
      <c r="AD89" s="978" t="e">
        <f t="shared" ca="1" si="27"/>
        <v>#DIV/0!</v>
      </c>
      <c r="AE89" s="978" t="e">
        <f t="shared" ca="1" si="27"/>
        <v>#DIV/0!</v>
      </c>
      <c r="AF89" s="978" t="e">
        <f t="shared" ca="1" si="27"/>
        <v>#DIV/0!</v>
      </c>
      <c r="AG89" s="978" t="e">
        <f t="shared" ca="1" si="27"/>
        <v>#DIV/0!</v>
      </c>
      <c r="AH89" s="311" t="e">
        <f t="shared" ref="AH89:AH95" ca="1" si="28">MAX(F89:AG89)</f>
        <v>#DIV/0!</v>
      </c>
      <c r="AI89" s="311" t="e">
        <f t="shared" ref="AI89:AI95" ca="1" si="29">MIN(G89:AG89)</f>
        <v>#DIV/0!</v>
      </c>
    </row>
    <row r="90" spans="3:35">
      <c r="C90" s="311" t="s">
        <v>968</v>
      </c>
      <c r="F90" s="978"/>
      <c r="G90" s="978" t="e">
        <f ca="1">G81/G6</f>
        <v>#DIV/0!</v>
      </c>
      <c r="H90" s="978" t="e">
        <f ca="1">H81/H6</f>
        <v>#DIV/0!</v>
      </c>
      <c r="I90" s="978" t="e">
        <f ca="1">I81/I6</f>
        <v>#DIV/0!</v>
      </c>
      <c r="J90" s="978" t="e">
        <f t="shared" ref="J90:AG90" ca="1" si="30">J81/J6</f>
        <v>#DIV/0!</v>
      </c>
      <c r="K90" s="978" t="e">
        <f t="shared" ca="1" si="30"/>
        <v>#DIV/0!</v>
      </c>
      <c r="L90" s="978" t="e">
        <f t="shared" ca="1" si="30"/>
        <v>#DIV/0!</v>
      </c>
      <c r="M90" s="978" t="e">
        <f t="shared" ca="1" si="30"/>
        <v>#DIV/0!</v>
      </c>
      <c r="N90" s="978" t="e">
        <f t="shared" ca="1" si="30"/>
        <v>#DIV/0!</v>
      </c>
      <c r="O90" s="978" t="e">
        <f t="shared" ca="1" si="30"/>
        <v>#DIV/0!</v>
      </c>
      <c r="P90" s="978" t="e">
        <f t="shared" ca="1" si="30"/>
        <v>#DIV/0!</v>
      </c>
      <c r="Q90" s="978" t="e">
        <f t="shared" ca="1" si="30"/>
        <v>#DIV/0!</v>
      </c>
      <c r="R90" s="978" t="e">
        <f t="shared" ca="1" si="30"/>
        <v>#DIV/0!</v>
      </c>
      <c r="S90" s="978" t="e">
        <f t="shared" ca="1" si="30"/>
        <v>#DIV/0!</v>
      </c>
      <c r="T90" s="978" t="e">
        <f t="shared" ca="1" si="30"/>
        <v>#DIV/0!</v>
      </c>
      <c r="U90" s="978" t="e">
        <f t="shared" ca="1" si="30"/>
        <v>#DIV/0!</v>
      </c>
      <c r="V90" s="978" t="e">
        <f t="shared" ca="1" si="30"/>
        <v>#DIV/0!</v>
      </c>
      <c r="W90" s="978" t="e">
        <f t="shared" ca="1" si="30"/>
        <v>#DIV/0!</v>
      </c>
      <c r="X90" s="978" t="e">
        <f t="shared" ca="1" si="30"/>
        <v>#DIV/0!</v>
      </c>
      <c r="Y90" s="978" t="e">
        <f t="shared" ca="1" si="30"/>
        <v>#DIV/0!</v>
      </c>
      <c r="Z90" s="978" t="e">
        <f t="shared" ca="1" si="30"/>
        <v>#DIV/0!</v>
      </c>
      <c r="AA90" s="978" t="e">
        <f t="shared" ca="1" si="30"/>
        <v>#DIV/0!</v>
      </c>
      <c r="AB90" s="978" t="e">
        <f t="shared" ca="1" si="30"/>
        <v>#DIV/0!</v>
      </c>
      <c r="AC90" s="978" t="e">
        <f t="shared" ca="1" si="30"/>
        <v>#DIV/0!</v>
      </c>
      <c r="AD90" s="978" t="e">
        <f t="shared" ca="1" si="30"/>
        <v>#DIV/0!</v>
      </c>
      <c r="AE90" s="978" t="e">
        <f t="shared" ca="1" si="30"/>
        <v>#DIV/0!</v>
      </c>
      <c r="AF90" s="978" t="e">
        <f t="shared" ca="1" si="30"/>
        <v>#DIV/0!</v>
      </c>
      <c r="AG90" s="978" t="e">
        <f t="shared" ca="1" si="30"/>
        <v>#DIV/0!</v>
      </c>
      <c r="AH90" s="311" t="e">
        <f t="shared" ca="1" si="28"/>
        <v>#DIV/0!</v>
      </c>
      <c r="AI90" s="311" t="e">
        <f t="shared" ca="1" si="29"/>
        <v>#DIV/0!</v>
      </c>
    </row>
    <row r="91" spans="3:35">
      <c r="C91" s="311" t="s">
        <v>969</v>
      </c>
      <c r="F91" s="978"/>
      <c r="G91" s="978" t="e">
        <f ca="1">G82/G6</f>
        <v>#DIV/0!</v>
      </c>
      <c r="H91" s="978" t="e">
        <f ca="1">H82/H6</f>
        <v>#DIV/0!</v>
      </c>
      <c r="I91" s="978" t="e">
        <f ca="1">I82/I6</f>
        <v>#DIV/0!</v>
      </c>
      <c r="J91" s="978" t="e">
        <f t="shared" ref="J91:AG91" ca="1" si="31">J82/J6</f>
        <v>#DIV/0!</v>
      </c>
      <c r="K91" s="978" t="e">
        <f t="shared" ca="1" si="31"/>
        <v>#DIV/0!</v>
      </c>
      <c r="L91" s="978" t="e">
        <f t="shared" ca="1" si="31"/>
        <v>#DIV/0!</v>
      </c>
      <c r="M91" s="978" t="e">
        <f t="shared" ca="1" si="31"/>
        <v>#DIV/0!</v>
      </c>
      <c r="N91" s="978" t="e">
        <f t="shared" ca="1" si="31"/>
        <v>#DIV/0!</v>
      </c>
      <c r="O91" s="978" t="e">
        <f t="shared" ca="1" si="31"/>
        <v>#DIV/0!</v>
      </c>
      <c r="P91" s="978" t="e">
        <f t="shared" ca="1" si="31"/>
        <v>#DIV/0!</v>
      </c>
      <c r="Q91" s="978" t="e">
        <f t="shared" ca="1" si="31"/>
        <v>#DIV/0!</v>
      </c>
      <c r="R91" s="978" t="e">
        <f t="shared" ca="1" si="31"/>
        <v>#DIV/0!</v>
      </c>
      <c r="S91" s="978" t="e">
        <f t="shared" ca="1" si="31"/>
        <v>#DIV/0!</v>
      </c>
      <c r="T91" s="978" t="e">
        <f t="shared" ca="1" si="31"/>
        <v>#DIV/0!</v>
      </c>
      <c r="U91" s="978" t="e">
        <f t="shared" ca="1" si="31"/>
        <v>#DIV/0!</v>
      </c>
      <c r="V91" s="978" t="e">
        <f t="shared" ca="1" si="31"/>
        <v>#DIV/0!</v>
      </c>
      <c r="W91" s="978" t="e">
        <f t="shared" ca="1" si="31"/>
        <v>#DIV/0!</v>
      </c>
      <c r="X91" s="978" t="e">
        <f t="shared" ca="1" si="31"/>
        <v>#DIV/0!</v>
      </c>
      <c r="Y91" s="978" t="e">
        <f t="shared" ca="1" si="31"/>
        <v>#DIV/0!</v>
      </c>
      <c r="Z91" s="978" t="e">
        <f t="shared" ca="1" si="31"/>
        <v>#DIV/0!</v>
      </c>
      <c r="AA91" s="978" t="e">
        <f t="shared" ca="1" si="31"/>
        <v>#DIV/0!</v>
      </c>
      <c r="AB91" s="978" t="e">
        <f t="shared" ca="1" si="31"/>
        <v>#DIV/0!</v>
      </c>
      <c r="AC91" s="978" t="e">
        <f t="shared" ca="1" si="31"/>
        <v>#DIV/0!</v>
      </c>
      <c r="AD91" s="978" t="e">
        <f t="shared" ca="1" si="31"/>
        <v>#DIV/0!</v>
      </c>
      <c r="AE91" s="978" t="e">
        <f t="shared" ca="1" si="31"/>
        <v>#DIV/0!</v>
      </c>
      <c r="AF91" s="978" t="e">
        <f t="shared" ca="1" si="31"/>
        <v>#DIV/0!</v>
      </c>
      <c r="AG91" s="978" t="e">
        <f t="shared" ca="1" si="31"/>
        <v>#DIV/0!</v>
      </c>
      <c r="AH91" s="311" t="e">
        <f t="shared" ca="1" si="28"/>
        <v>#DIV/0!</v>
      </c>
      <c r="AI91" s="311" t="e">
        <f t="shared" ca="1" si="29"/>
        <v>#DIV/0!</v>
      </c>
    </row>
    <row r="92" spans="3:35">
      <c r="C92" s="311" t="s">
        <v>970</v>
      </c>
      <c r="F92" s="978"/>
      <c r="G92" s="978" t="e">
        <f ca="1">G83/G6</f>
        <v>#DIV/0!</v>
      </c>
      <c r="H92" s="978" t="e">
        <f ca="1">H83/H6</f>
        <v>#DIV/0!</v>
      </c>
      <c r="I92" s="978" t="e">
        <f ca="1">I83/I6</f>
        <v>#DIV/0!</v>
      </c>
      <c r="J92" s="978" t="e">
        <f t="shared" ref="J92:AG92" ca="1" si="32">J83/J6</f>
        <v>#DIV/0!</v>
      </c>
      <c r="K92" s="978" t="e">
        <f t="shared" ca="1" si="32"/>
        <v>#DIV/0!</v>
      </c>
      <c r="L92" s="978" t="e">
        <f t="shared" ca="1" si="32"/>
        <v>#DIV/0!</v>
      </c>
      <c r="M92" s="978" t="e">
        <f t="shared" ca="1" si="32"/>
        <v>#DIV/0!</v>
      </c>
      <c r="N92" s="978" t="e">
        <f t="shared" ca="1" si="32"/>
        <v>#DIV/0!</v>
      </c>
      <c r="O92" s="978" t="e">
        <f t="shared" ca="1" si="32"/>
        <v>#DIV/0!</v>
      </c>
      <c r="P92" s="978" t="e">
        <f t="shared" ca="1" si="32"/>
        <v>#DIV/0!</v>
      </c>
      <c r="Q92" s="978" t="e">
        <f t="shared" ca="1" si="32"/>
        <v>#DIV/0!</v>
      </c>
      <c r="R92" s="978" t="e">
        <f t="shared" ca="1" si="32"/>
        <v>#DIV/0!</v>
      </c>
      <c r="S92" s="978" t="e">
        <f t="shared" ca="1" si="32"/>
        <v>#DIV/0!</v>
      </c>
      <c r="T92" s="978" t="e">
        <f t="shared" ca="1" si="32"/>
        <v>#DIV/0!</v>
      </c>
      <c r="U92" s="978" t="e">
        <f t="shared" ca="1" si="32"/>
        <v>#DIV/0!</v>
      </c>
      <c r="V92" s="978" t="e">
        <f t="shared" ca="1" si="32"/>
        <v>#DIV/0!</v>
      </c>
      <c r="W92" s="978" t="e">
        <f t="shared" ca="1" si="32"/>
        <v>#DIV/0!</v>
      </c>
      <c r="X92" s="978" t="e">
        <f t="shared" ca="1" si="32"/>
        <v>#DIV/0!</v>
      </c>
      <c r="Y92" s="978" t="e">
        <f t="shared" ca="1" si="32"/>
        <v>#DIV/0!</v>
      </c>
      <c r="Z92" s="978" t="e">
        <f t="shared" ca="1" si="32"/>
        <v>#DIV/0!</v>
      </c>
      <c r="AA92" s="978" t="e">
        <f t="shared" ca="1" si="32"/>
        <v>#DIV/0!</v>
      </c>
      <c r="AB92" s="978" t="e">
        <f t="shared" ca="1" si="32"/>
        <v>#DIV/0!</v>
      </c>
      <c r="AC92" s="978" t="e">
        <f t="shared" ca="1" si="32"/>
        <v>#DIV/0!</v>
      </c>
      <c r="AD92" s="978" t="e">
        <f t="shared" ca="1" si="32"/>
        <v>#DIV/0!</v>
      </c>
      <c r="AE92" s="978" t="e">
        <f t="shared" ca="1" si="32"/>
        <v>#DIV/0!</v>
      </c>
      <c r="AF92" s="978" t="e">
        <f t="shared" ca="1" si="32"/>
        <v>#DIV/0!</v>
      </c>
      <c r="AG92" s="978" t="e">
        <f t="shared" ca="1" si="32"/>
        <v>#DIV/0!</v>
      </c>
      <c r="AH92" s="311" t="e">
        <f t="shared" ca="1" si="28"/>
        <v>#DIV/0!</v>
      </c>
      <c r="AI92" s="311" t="e">
        <f t="shared" ca="1" si="29"/>
        <v>#DIV/0!</v>
      </c>
    </row>
    <row r="93" spans="3:35">
      <c r="C93" s="311" t="s">
        <v>971</v>
      </c>
      <c r="F93" s="978"/>
      <c r="G93" s="978" t="e">
        <f ca="1">G84/G6</f>
        <v>#DIV/0!</v>
      </c>
      <c r="H93" s="978" t="e">
        <f ca="1">H84/H6</f>
        <v>#DIV/0!</v>
      </c>
      <c r="I93" s="978" t="e">
        <f ca="1">I84/I6</f>
        <v>#DIV/0!</v>
      </c>
      <c r="J93" s="978" t="e">
        <f t="shared" ref="J93:AG93" ca="1" si="33">J84/J6</f>
        <v>#DIV/0!</v>
      </c>
      <c r="K93" s="978" t="e">
        <f t="shared" ca="1" si="33"/>
        <v>#DIV/0!</v>
      </c>
      <c r="L93" s="978" t="e">
        <f t="shared" ca="1" si="33"/>
        <v>#DIV/0!</v>
      </c>
      <c r="M93" s="978" t="e">
        <f t="shared" ca="1" si="33"/>
        <v>#DIV/0!</v>
      </c>
      <c r="N93" s="978" t="e">
        <f t="shared" ca="1" si="33"/>
        <v>#DIV/0!</v>
      </c>
      <c r="O93" s="978" t="e">
        <f t="shared" ca="1" si="33"/>
        <v>#DIV/0!</v>
      </c>
      <c r="P93" s="978" t="e">
        <f t="shared" ca="1" si="33"/>
        <v>#DIV/0!</v>
      </c>
      <c r="Q93" s="978" t="e">
        <f t="shared" ca="1" si="33"/>
        <v>#DIV/0!</v>
      </c>
      <c r="R93" s="978" t="e">
        <f t="shared" ca="1" si="33"/>
        <v>#DIV/0!</v>
      </c>
      <c r="S93" s="978" t="e">
        <f t="shared" ca="1" si="33"/>
        <v>#DIV/0!</v>
      </c>
      <c r="T93" s="978" t="e">
        <f t="shared" ca="1" si="33"/>
        <v>#DIV/0!</v>
      </c>
      <c r="U93" s="978" t="e">
        <f t="shared" ca="1" si="33"/>
        <v>#DIV/0!</v>
      </c>
      <c r="V93" s="978" t="e">
        <f t="shared" ca="1" si="33"/>
        <v>#DIV/0!</v>
      </c>
      <c r="W93" s="978" t="e">
        <f t="shared" ca="1" si="33"/>
        <v>#DIV/0!</v>
      </c>
      <c r="X93" s="978" t="e">
        <f t="shared" ca="1" si="33"/>
        <v>#DIV/0!</v>
      </c>
      <c r="Y93" s="978" t="e">
        <f t="shared" ca="1" si="33"/>
        <v>#DIV/0!</v>
      </c>
      <c r="Z93" s="978" t="e">
        <f t="shared" ca="1" si="33"/>
        <v>#DIV/0!</v>
      </c>
      <c r="AA93" s="978" t="e">
        <f t="shared" ca="1" si="33"/>
        <v>#DIV/0!</v>
      </c>
      <c r="AB93" s="978" t="e">
        <f t="shared" ca="1" si="33"/>
        <v>#DIV/0!</v>
      </c>
      <c r="AC93" s="978" t="e">
        <f t="shared" ca="1" si="33"/>
        <v>#DIV/0!</v>
      </c>
      <c r="AD93" s="978" t="e">
        <f t="shared" ca="1" si="33"/>
        <v>#DIV/0!</v>
      </c>
      <c r="AE93" s="978" t="e">
        <f t="shared" ca="1" si="33"/>
        <v>#DIV/0!</v>
      </c>
      <c r="AF93" s="978" t="e">
        <f t="shared" ca="1" si="33"/>
        <v>#DIV/0!</v>
      </c>
      <c r="AG93" s="978" t="e">
        <f t="shared" ca="1" si="33"/>
        <v>#DIV/0!</v>
      </c>
      <c r="AH93" s="311" t="e">
        <f t="shared" ca="1" si="28"/>
        <v>#DIV/0!</v>
      </c>
      <c r="AI93" s="311" t="e">
        <f t="shared" ca="1" si="29"/>
        <v>#DIV/0!</v>
      </c>
    </row>
    <row r="94" spans="3:35">
      <c r="C94" s="311" t="s">
        <v>972</v>
      </c>
      <c r="F94" s="978"/>
      <c r="G94" s="978" t="e">
        <f ca="1">G85/G6</f>
        <v>#DIV/0!</v>
      </c>
      <c r="H94" s="978" t="e">
        <f ca="1">H85/H6</f>
        <v>#DIV/0!</v>
      </c>
      <c r="I94" s="978" t="e">
        <f ca="1">I85/I6</f>
        <v>#DIV/0!</v>
      </c>
      <c r="J94" s="978" t="e">
        <f t="shared" ref="J94:AG94" ca="1" si="34">J85/J6</f>
        <v>#DIV/0!</v>
      </c>
      <c r="K94" s="978" t="e">
        <f t="shared" ca="1" si="34"/>
        <v>#DIV/0!</v>
      </c>
      <c r="L94" s="978" t="e">
        <f t="shared" ca="1" si="34"/>
        <v>#DIV/0!</v>
      </c>
      <c r="M94" s="978" t="e">
        <f t="shared" ca="1" si="34"/>
        <v>#DIV/0!</v>
      </c>
      <c r="N94" s="978" t="e">
        <f t="shared" ca="1" si="34"/>
        <v>#DIV/0!</v>
      </c>
      <c r="O94" s="978" t="e">
        <f t="shared" ca="1" si="34"/>
        <v>#DIV/0!</v>
      </c>
      <c r="P94" s="978" t="e">
        <f t="shared" ca="1" si="34"/>
        <v>#DIV/0!</v>
      </c>
      <c r="Q94" s="978" t="e">
        <f t="shared" ca="1" si="34"/>
        <v>#DIV/0!</v>
      </c>
      <c r="R94" s="978" t="e">
        <f t="shared" ca="1" si="34"/>
        <v>#DIV/0!</v>
      </c>
      <c r="S94" s="978" t="e">
        <f t="shared" ca="1" si="34"/>
        <v>#DIV/0!</v>
      </c>
      <c r="T94" s="978" t="e">
        <f t="shared" ca="1" si="34"/>
        <v>#DIV/0!</v>
      </c>
      <c r="U94" s="978" t="e">
        <f t="shared" ca="1" si="34"/>
        <v>#DIV/0!</v>
      </c>
      <c r="V94" s="978" t="e">
        <f t="shared" ca="1" si="34"/>
        <v>#DIV/0!</v>
      </c>
      <c r="W94" s="978" t="e">
        <f t="shared" ca="1" si="34"/>
        <v>#DIV/0!</v>
      </c>
      <c r="X94" s="978" t="e">
        <f t="shared" ca="1" si="34"/>
        <v>#DIV/0!</v>
      </c>
      <c r="Y94" s="978" t="e">
        <f t="shared" ca="1" si="34"/>
        <v>#DIV/0!</v>
      </c>
      <c r="Z94" s="978" t="e">
        <f t="shared" ca="1" si="34"/>
        <v>#DIV/0!</v>
      </c>
      <c r="AA94" s="978" t="e">
        <f t="shared" ca="1" si="34"/>
        <v>#DIV/0!</v>
      </c>
      <c r="AB94" s="978" t="e">
        <f t="shared" ca="1" si="34"/>
        <v>#DIV/0!</v>
      </c>
      <c r="AC94" s="978" t="e">
        <f t="shared" ca="1" si="34"/>
        <v>#DIV/0!</v>
      </c>
      <c r="AD94" s="978" t="e">
        <f t="shared" ca="1" si="34"/>
        <v>#DIV/0!</v>
      </c>
      <c r="AE94" s="978" t="e">
        <f t="shared" ca="1" si="34"/>
        <v>#DIV/0!</v>
      </c>
      <c r="AF94" s="978" t="e">
        <f t="shared" ca="1" si="34"/>
        <v>#DIV/0!</v>
      </c>
      <c r="AG94" s="978" t="e">
        <f t="shared" ca="1" si="34"/>
        <v>#DIV/0!</v>
      </c>
      <c r="AH94" s="311" t="e">
        <f t="shared" ca="1" si="28"/>
        <v>#DIV/0!</v>
      </c>
      <c r="AI94" s="311" t="e">
        <f t="shared" ca="1" si="29"/>
        <v>#DIV/0!</v>
      </c>
    </row>
    <row r="95" spans="3:35">
      <c r="C95" s="311" t="s">
        <v>973</v>
      </c>
      <c r="F95" s="978"/>
      <c r="G95" s="978" t="e">
        <f ca="1">G86/G6</f>
        <v>#DIV/0!</v>
      </c>
      <c r="H95" s="978" t="e">
        <f ca="1">H86/H6</f>
        <v>#DIV/0!</v>
      </c>
      <c r="I95" s="978" t="e">
        <f ca="1">I86/I6</f>
        <v>#DIV/0!</v>
      </c>
      <c r="J95" s="978" t="e">
        <f t="shared" ref="J95:AG95" ca="1" si="35">J86/J6</f>
        <v>#DIV/0!</v>
      </c>
      <c r="K95" s="978" t="e">
        <f t="shared" ca="1" si="35"/>
        <v>#DIV/0!</v>
      </c>
      <c r="L95" s="978" t="e">
        <f t="shared" ca="1" si="35"/>
        <v>#DIV/0!</v>
      </c>
      <c r="M95" s="978" t="e">
        <f t="shared" ca="1" si="35"/>
        <v>#DIV/0!</v>
      </c>
      <c r="N95" s="978" t="e">
        <f t="shared" ca="1" si="35"/>
        <v>#DIV/0!</v>
      </c>
      <c r="O95" s="978" t="e">
        <f t="shared" ca="1" si="35"/>
        <v>#DIV/0!</v>
      </c>
      <c r="P95" s="978" t="e">
        <f t="shared" ca="1" si="35"/>
        <v>#DIV/0!</v>
      </c>
      <c r="Q95" s="978" t="e">
        <f t="shared" ca="1" si="35"/>
        <v>#DIV/0!</v>
      </c>
      <c r="R95" s="978" t="e">
        <f t="shared" ca="1" si="35"/>
        <v>#DIV/0!</v>
      </c>
      <c r="S95" s="978" t="e">
        <f t="shared" ca="1" si="35"/>
        <v>#DIV/0!</v>
      </c>
      <c r="T95" s="978" t="e">
        <f t="shared" ca="1" si="35"/>
        <v>#DIV/0!</v>
      </c>
      <c r="U95" s="978" t="e">
        <f t="shared" ca="1" si="35"/>
        <v>#DIV/0!</v>
      </c>
      <c r="V95" s="978" t="e">
        <f t="shared" ca="1" si="35"/>
        <v>#DIV/0!</v>
      </c>
      <c r="W95" s="978" t="e">
        <f t="shared" ca="1" si="35"/>
        <v>#DIV/0!</v>
      </c>
      <c r="X95" s="978" t="e">
        <f t="shared" ca="1" si="35"/>
        <v>#DIV/0!</v>
      </c>
      <c r="Y95" s="978" t="e">
        <f t="shared" ca="1" si="35"/>
        <v>#DIV/0!</v>
      </c>
      <c r="Z95" s="978" t="e">
        <f t="shared" ca="1" si="35"/>
        <v>#DIV/0!</v>
      </c>
      <c r="AA95" s="978" t="e">
        <f t="shared" ca="1" si="35"/>
        <v>#DIV/0!</v>
      </c>
      <c r="AB95" s="978" t="e">
        <f t="shared" ca="1" si="35"/>
        <v>#DIV/0!</v>
      </c>
      <c r="AC95" s="978" t="e">
        <f t="shared" ca="1" si="35"/>
        <v>#DIV/0!</v>
      </c>
      <c r="AD95" s="978" t="e">
        <f t="shared" ca="1" si="35"/>
        <v>#DIV/0!</v>
      </c>
      <c r="AE95" s="978" t="e">
        <f t="shared" ca="1" si="35"/>
        <v>#DIV/0!</v>
      </c>
      <c r="AF95" s="978" t="e">
        <f t="shared" ca="1" si="35"/>
        <v>#DIV/0!</v>
      </c>
      <c r="AG95" s="978" t="e">
        <f t="shared" ca="1" si="35"/>
        <v>#DIV/0!</v>
      </c>
      <c r="AH95" s="311" t="e">
        <f t="shared" ca="1" si="28"/>
        <v>#DIV/0!</v>
      </c>
      <c r="AI95" s="311" t="e">
        <f t="shared" ca="1" si="29"/>
        <v>#DIV/0!</v>
      </c>
    </row>
    <row r="96" spans="3:35">
      <c r="C96" s="311"/>
      <c r="F96" s="978"/>
      <c r="G96" s="978"/>
      <c r="H96" s="978"/>
      <c r="I96" s="978"/>
      <c r="J96" s="978"/>
      <c r="K96" s="978"/>
      <c r="L96" s="978"/>
      <c r="M96" s="978"/>
      <c r="N96" s="978"/>
      <c r="O96" s="978"/>
      <c r="P96" s="978"/>
      <c r="Q96" s="978"/>
      <c r="R96" s="978"/>
      <c r="S96" s="978"/>
      <c r="T96" s="978"/>
      <c r="U96" s="978"/>
      <c r="V96" s="978"/>
      <c r="W96" s="978"/>
      <c r="X96" s="978"/>
      <c r="Y96" s="978"/>
      <c r="Z96" s="978"/>
      <c r="AA96" s="978"/>
      <c r="AB96" s="978"/>
      <c r="AC96" s="978"/>
      <c r="AD96" s="978"/>
      <c r="AE96" s="978"/>
      <c r="AF96" s="978"/>
      <c r="AG96" s="978"/>
    </row>
    <row r="97" spans="3:36">
      <c r="C97" s="311"/>
      <c r="F97" s="978"/>
      <c r="G97" s="978"/>
      <c r="H97" s="978"/>
      <c r="I97" s="978"/>
      <c r="J97" s="978"/>
      <c r="K97" s="978"/>
      <c r="L97" s="978"/>
      <c r="M97" s="978"/>
      <c r="N97" s="978"/>
      <c r="O97" s="978"/>
      <c r="P97" s="978"/>
      <c r="Q97" s="978"/>
      <c r="R97" s="978"/>
      <c r="S97" s="978"/>
      <c r="T97" s="978"/>
      <c r="U97" s="978"/>
      <c r="V97" s="978"/>
      <c r="W97" s="978"/>
      <c r="X97" s="978"/>
      <c r="Y97" s="978"/>
      <c r="Z97" s="978"/>
      <c r="AA97" s="978"/>
      <c r="AB97" s="978"/>
      <c r="AC97" s="978"/>
      <c r="AD97" s="978"/>
      <c r="AE97" s="978"/>
      <c r="AF97" s="978"/>
      <c r="AG97" s="978"/>
    </row>
    <row r="98" spans="3:36">
      <c r="C98" s="311"/>
    </row>
    <row r="99" spans="3:36" ht="17.25">
      <c r="C99" s="1921" t="s">
        <v>1066</v>
      </c>
    </row>
    <row r="100" spans="3:36">
      <c r="C100" s="311" t="s">
        <v>1504</v>
      </c>
      <c r="D100" s="978">
        <f>'O&amp;M Costs'!I192</f>
        <v>0</v>
      </c>
      <c r="E100" s="978">
        <f>'O&amp;M Costs'!J192</f>
        <v>0</v>
      </c>
      <c r="F100" s="978">
        <f ca="1">'O&amp;M Costs'!K192</f>
        <v>671310.70970270736</v>
      </c>
      <c r="G100" s="978">
        <f ca="1">'O&amp;M Costs'!L192</f>
        <v>686750.85602586961</v>
      </c>
      <c r="H100" s="978">
        <f ca="1">'O&amp;M Costs'!M192</f>
        <v>702546.12571446446</v>
      </c>
      <c r="I100" s="978">
        <f ca="1">'O&amp;M Costs'!N192</f>
        <v>717441.63919955795</v>
      </c>
      <c r="J100" s="978">
        <f ca="1">'O&amp;M Costs'!O192</f>
        <v>738691.28852625843</v>
      </c>
      <c r="K100" s="978">
        <f ca="1">'O&amp;M Costs'!P192</f>
        <v>754353.15846878244</v>
      </c>
      <c r="L100" s="978">
        <f ca="1">'O&amp;M Costs'!Q192</f>
        <v>772457.63427203323</v>
      </c>
      <c r="M100" s="978">
        <f ca="1">'O&amp;M Costs'!R192</f>
        <v>788835.42455058778</v>
      </c>
      <c r="N100" s="978">
        <f ca="1">'O&amp;M Costs'!S192</f>
        <v>812199.66107145743</v>
      </c>
      <c r="O100" s="978">
        <f ca="1">'O&amp;M Costs'!T192</f>
        <v>829420.0691859778</v>
      </c>
      <c r="P100" s="978">
        <f ca="1">'O&amp;M Costs'!U192</f>
        <v>849326.15084644128</v>
      </c>
      <c r="Q100" s="978">
        <f ca="1">'O&amp;M Costs'!V192</f>
        <v>867333.72169498866</v>
      </c>
      <c r="R100" s="978">
        <f ca="1">'O&amp;M Costs'!W192</f>
        <v>893022.9714237937</v>
      </c>
      <c r="S100" s="978">
        <f ca="1">'O&amp;M Costs'!X192</f>
        <v>911957.01038075716</v>
      </c>
      <c r="T100" s="978">
        <f ca="1">'O&amp;M Costs'!Y192</f>
        <v>933843.97862989537</v>
      </c>
      <c r="U100" s="978">
        <f ca="1">'O&amp;M Costs'!Z192</f>
        <v>953643.51216587343</v>
      </c>
      <c r="V100" s="978">
        <f ca="1">'O&amp;M Costs'!AA192</f>
        <v>981889.1409515359</v>
      </c>
      <c r="W100" s="978">
        <f ca="1">'O&amp;M Costs'!AB192</f>
        <v>1002707.3369454809</v>
      </c>
      <c r="X100" s="978">
        <f ca="1">'O&amp;M Costs'!AC192</f>
        <v>1026772.3130321725</v>
      </c>
      <c r="Y100" s="978">
        <f ca="1">'O&amp;M Costs'!AD192</f>
        <v>1048542.1303795213</v>
      </c>
      <c r="Z100" s="978">
        <f ca="1">'O&amp;M Costs'!AE192</f>
        <v>1079598.5276632016</v>
      </c>
      <c r="AA100" s="978">
        <f ca="1">'O&amp;M Costs'!AF192</f>
        <v>1102488.3762278641</v>
      </c>
      <c r="AB100" s="978">
        <f ca="1">'O&amp;M Costs'!AG192</f>
        <v>1128948.0972573329</v>
      </c>
      <c r="AC100" s="978">
        <f ca="1">'O&amp;M Costs'!AH192</f>
        <v>1152884.2645653025</v>
      </c>
      <c r="AD100" s="978">
        <f ca="1">'O&amp;M Costs'!AI192</f>
        <v>1187031.1344955401</v>
      </c>
      <c r="AE100" s="978">
        <f ca="1">'O&amp;M Costs'!AJ192</f>
        <v>1212198.789150418</v>
      </c>
      <c r="AF100" s="978">
        <f ca="1">'O&amp;M Costs'!AK192</f>
        <v>1241291.5600900282</v>
      </c>
      <c r="AG100" s="978">
        <f ca="1">'O&amp;M Costs'!AL192</f>
        <v>1271082.5575321889</v>
      </c>
      <c r="AH100" s="978">
        <f>'O&amp;M Costs'!AX192</f>
        <v>0</v>
      </c>
      <c r="AI100" s="978">
        <f>'O&amp;M Costs'!AY192</f>
        <v>0</v>
      </c>
      <c r="AJ100" s="978"/>
    </row>
    <row r="101" spans="3:36">
      <c r="C101" s="1919" t="s">
        <v>968</v>
      </c>
      <c r="D101" s="978">
        <f>'O&amp;M Costs'!I193</f>
        <v>0</v>
      </c>
      <c r="E101" s="978">
        <f>'O&amp;M Costs'!J193</f>
        <v>0</v>
      </c>
      <c r="F101" s="978">
        <f ca="1">'O&amp;M Costs'!K193</f>
        <v>0</v>
      </c>
      <c r="G101" s="978">
        <f ca="1">'O&amp;M Costs'!L193</f>
        <v>0</v>
      </c>
      <c r="H101" s="978">
        <f ca="1">'O&amp;M Costs'!M193</f>
        <v>0</v>
      </c>
      <c r="I101" s="978">
        <f ca="1">'O&amp;M Costs'!N193</f>
        <v>0</v>
      </c>
      <c r="J101" s="978">
        <f ca="1">'O&amp;M Costs'!O193</f>
        <v>0</v>
      </c>
      <c r="K101" s="978">
        <f ca="1">'O&amp;M Costs'!P193</f>
        <v>0</v>
      </c>
      <c r="L101" s="978">
        <f ca="1">'O&amp;M Costs'!Q193</f>
        <v>0</v>
      </c>
      <c r="M101" s="978">
        <f ca="1">'O&amp;M Costs'!R193</f>
        <v>0</v>
      </c>
      <c r="N101" s="978">
        <f ca="1">'O&amp;M Costs'!S193</f>
        <v>0</v>
      </c>
      <c r="O101" s="978">
        <f ca="1">'O&amp;M Costs'!T193</f>
        <v>0</v>
      </c>
      <c r="P101" s="978">
        <f ca="1">'O&amp;M Costs'!U193</f>
        <v>0</v>
      </c>
      <c r="Q101" s="978">
        <f ca="1">'O&amp;M Costs'!V193</f>
        <v>0</v>
      </c>
      <c r="R101" s="978">
        <f ca="1">'O&amp;M Costs'!W193</f>
        <v>0</v>
      </c>
      <c r="S101" s="978">
        <f ca="1">'O&amp;M Costs'!X193</f>
        <v>0</v>
      </c>
      <c r="T101" s="978">
        <f ca="1">'O&amp;M Costs'!Y193</f>
        <v>0</v>
      </c>
      <c r="U101" s="978">
        <f ca="1">'O&amp;M Costs'!Z193</f>
        <v>0</v>
      </c>
      <c r="V101" s="978">
        <f ca="1">'O&amp;M Costs'!AA193</f>
        <v>0</v>
      </c>
      <c r="W101" s="978">
        <f ca="1">'O&amp;M Costs'!AB193</f>
        <v>0</v>
      </c>
      <c r="X101" s="978">
        <f ca="1">'O&amp;M Costs'!AC193</f>
        <v>0</v>
      </c>
      <c r="Y101" s="978">
        <f ca="1">'O&amp;M Costs'!AD193</f>
        <v>0</v>
      </c>
      <c r="Z101" s="978">
        <f ca="1">'O&amp;M Costs'!AE193</f>
        <v>0</v>
      </c>
      <c r="AA101" s="978">
        <f ca="1">'O&amp;M Costs'!AF193</f>
        <v>0</v>
      </c>
      <c r="AB101" s="978">
        <f ca="1">'O&amp;M Costs'!AG193</f>
        <v>0</v>
      </c>
      <c r="AC101" s="978">
        <f ca="1">'O&amp;M Costs'!AH193</f>
        <v>0</v>
      </c>
      <c r="AD101" s="978">
        <f ca="1">'O&amp;M Costs'!AI193</f>
        <v>0</v>
      </c>
      <c r="AE101" s="978">
        <f ca="1">'O&amp;M Costs'!AJ193</f>
        <v>0</v>
      </c>
      <c r="AF101" s="978">
        <f ca="1">'O&amp;M Costs'!AK193</f>
        <v>0</v>
      </c>
      <c r="AG101" s="978">
        <f ca="1">'O&amp;M Costs'!AL193</f>
        <v>0</v>
      </c>
      <c r="AH101" s="978">
        <f>'O&amp;M Costs'!AX193</f>
        <v>0</v>
      </c>
      <c r="AI101" s="978">
        <f>'O&amp;M Costs'!AY193</f>
        <v>0</v>
      </c>
      <c r="AJ101" s="978"/>
    </row>
    <row r="102" spans="3:36">
      <c r="C102" s="311" t="s">
        <v>969</v>
      </c>
      <c r="D102" s="978">
        <f>'O&amp;M Costs'!I194</f>
        <v>0</v>
      </c>
      <c r="E102" s="978">
        <f>'O&amp;M Costs'!J194</f>
        <v>0</v>
      </c>
      <c r="F102" s="978">
        <f ca="1">'O&amp;M Costs'!K194</f>
        <v>1327542.9670799996</v>
      </c>
      <c r="G102" s="978">
        <f ca="1">'O&amp;M Costs'!L194</f>
        <v>1358076.4553228396</v>
      </c>
      <c r="H102" s="978">
        <f ca="1">'O&amp;M Costs'!M194</f>
        <v>1389312.2137952645</v>
      </c>
      <c r="I102" s="978">
        <f ca="1">'O&amp;M Costs'!N194</f>
        <v>1418768.6694757326</v>
      </c>
      <c r="J102" s="978">
        <f ca="1">'O&amp;M Costs'!O194</f>
        <v>1460790.6752457139</v>
      </c>
      <c r="K102" s="978">
        <f ca="1">'O&amp;M Costs'!P194</f>
        <v>1491762.6305460054</v>
      </c>
      <c r="L102" s="978">
        <f ca="1">'O&amp;M Costs'!Q194</f>
        <v>1527564.9336791097</v>
      </c>
      <c r="M102" s="978">
        <f ca="1">'O&amp;M Costs'!R194</f>
        <v>1559952.6492128528</v>
      </c>
      <c r="N102" s="978">
        <f ca="1">'O&amp;M Costs'!S194</f>
        <v>1606156.3331794173</v>
      </c>
      <c r="O102" s="978">
        <f ca="1">'O&amp;M Costs'!T194</f>
        <v>1640210.3581670462</v>
      </c>
      <c r="P102" s="978">
        <f ca="1">'O&amp;M Costs'!U194</f>
        <v>1679575.4067630554</v>
      </c>
      <c r="Q102" s="978">
        <f ca="1">'O&amp;M Costs'!V194</f>
        <v>1715186.0765895071</v>
      </c>
      <c r="R102" s="978">
        <f ca="1">'O&amp;M Costs'!W194</f>
        <v>1765987.5643568325</v>
      </c>
      <c r="S102" s="978">
        <f ca="1">'O&amp;M Costs'!X194</f>
        <v>1803430.3608033052</v>
      </c>
      <c r="T102" s="978">
        <f ca="1">'O&amp;M Costs'!Y194</f>
        <v>1846712.6894625847</v>
      </c>
      <c r="U102" s="978">
        <f ca="1">'O&amp;M Costs'!Z194</f>
        <v>1885867.0350096603</v>
      </c>
      <c r="V102" s="978">
        <f ca="1">'O&amp;M Costs'!AA194</f>
        <v>1941723.8615181549</v>
      </c>
      <c r="W102" s="978">
        <f ca="1">'O&amp;M Costs'!AB194</f>
        <v>1982892.6515875012</v>
      </c>
      <c r="X102" s="978">
        <f ca="1">'O&amp;M Costs'!AC194</f>
        <v>2030482.0752256014</v>
      </c>
      <c r="Y102" s="978">
        <f ca="1">'O&amp;M Costs'!AD194</f>
        <v>2073532.7334325707</v>
      </c>
      <c r="Z102" s="978">
        <f ca="1">'O&amp;M Costs'!AE194</f>
        <v>2134947.9636693271</v>
      </c>
      <c r="AA102" s="978">
        <f ca="1">'O&amp;M Costs'!AF194</f>
        <v>2180213.5270520425</v>
      </c>
      <c r="AB102" s="978">
        <f ca="1">'O&amp;M Costs'!AG194</f>
        <v>2232538.651701292</v>
      </c>
      <c r="AC102" s="978">
        <f ca="1">'O&amp;M Costs'!AH194</f>
        <v>2279873.3509832649</v>
      </c>
      <c r="AD102" s="978">
        <f ca="1">'O&amp;M Costs'!AI194</f>
        <v>2347400.1107511185</v>
      </c>
      <c r="AE102" s="978">
        <f ca="1">'O&amp;M Costs'!AJ194</f>
        <v>2397170.1240282459</v>
      </c>
      <c r="AF102" s="978">
        <f ca="1">'O&amp;M Costs'!AK194</f>
        <v>2454702.2070049238</v>
      </c>
      <c r="AG102" s="978">
        <f ca="1">'O&amp;M Costs'!AL194</f>
        <v>2513615.0599730425</v>
      </c>
      <c r="AH102" s="978">
        <f>'O&amp;M Costs'!AX194</f>
        <v>0</v>
      </c>
      <c r="AI102" s="978">
        <f>'O&amp;M Costs'!AY194</f>
        <v>0</v>
      </c>
      <c r="AJ102" s="978"/>
    </row>
    <row r="103" spans="3:36">
      <c r="C103" s="311" t="s">
        <v>970</v>
      </c>
      <c r="D103" s="978">
        <f>'O&amp;M Costs'!I195</f>
        <v>0</v>
      </c>
      <c r="E103" s="978">
        <f>'O&amp;M Costs'!J195</f>
        <v>0</v>
      </c>
      <c r="F103" s="978">
        <f ca="1">'O&amp;M Costs'!K195</f>
        <v>7035977.725523998</v>
      </c>
      <c r="G103" s="978">
        <f ca="1">'O&amp;M Costs'!L195</f>
        <v>7197805.2132110493</v>
      </c>
      <c r="H103" s="978">
        <f ca="1">'O&amp;M Costs'!M195</f>
        <v>7363354.7331149019</v>
      </c>
      <c r="I103" s="978">
        <f ca="1">'O&amp;M Costs'!N195</f>
        <v>7519473.9482213827</v>
      </c>
      <c r="J103" s="978">
        <f ca="1">'O&amp;M Costs'!O195</f>
        <v>7742190.5788022839</v>
      </c>
      <c r="K103" s="978">
        <f ca="1">'O&amp;M Costs'!P195</f>
        <v>7906341.941893829</v>
      </c>
      <c r="L103" s="978">
        <f ca="1">'O&amp;M Costs'!Q195</f>
        <v>8096094.1484992811</v>
      </c>
      <c r="M103" s="978">
        <f ca="1">'O&amp;M Costs'!R195</f>
        <v>8267749.040828119</v>
      </c>
      <c r="N103" s="978">
        <f ca="1">'O&amp;M Costs'!S195</f>
        <v>8512628.5658509117</v>
      </c>
      <c r="O103" s="978">
        <f ca="1">'O&amp;M Costs'!T195</f>
        <v>8693114.8982853442</v>
      </c>
      <c r="P103" s="978">
        <f ca="1">'O&amp;M Costs'!U195</f>
        <v>8901749.655844193</v>
      </c>
      <c r="Q103" s="978">
        <f ca="1">'O&amp;M Costs'!V195</f>
        <v>9090486.205924388</v>
      </c>
      <c r="R103" s="978">
        <f ca="1">'O&amp;M Costs'!W195</f>
        <v>9359734.0910912119</v>
      </c>
      <c r="S103" s="978">
        <f ca="1">'O&amp;M Costs'!X195</f>
        <v>9558180.9122575168</v>
      </c>
      <c r="T103" s="978">
        <f ca="1">'O&amp;M Costs'!Y195</f>
        <v>9787577.2541516982</v>
      </c>
      <c r="U103" s="978">
        <f ca="1">'O&amp;M Costs'!Z195</f>
        <v>9995095.2855511997</v>
      </c>
      <c r="V103" s="978">
        <f ca="1">'O&amp;M Costs'!AA195</f>
        <v>10291136.466046222</v>
      </c>
      <c r="W103" s="978">
        <f ca="1">'O&amp;M Costs'!AB195</f>
        <v>10509331.053413756</v>
      </c>
      <c r="X103" s="978">
        <f ca="1">'O&amp;M Costs'!AC195</f>
        <v>10761554.998695686</v>
      </c>
      <c r="Y103" s="978">
        <f ca="1">'O&amp;M Costs'!AD195</f>
        <v>10989723.487192625</v>
      </c>
      <c r="Z103" s="978">
        <f ca="1">'O&amp;M Costs'!AE195</f>
        <v>11315224.207447434</v>
      </c>
      <c r="AA103" s="978">
        <f ca="1">'O&amp;M Costs'!AF195</f>
        <v>11555131.693375826</v>
      </c>
      <c r="AB103" s="978">
        <f ca="1">'O&amp;M Costs'!AG195</f>
        <v>11832454.854016846</v>
      </c>
      <c r="AC103" s="978">
        <f ca="1">'O&amp;M Costs'!AH195</f>
        <v>12083328.760211304</v>
      </c>
      <c r="AD103" s="978">
        <f ca="1">'O&amp;M Costs'!AI195</f>
        <v>12441220.58698093</v>
      </c>
      <c r="AE103" s="978">
        <f ca="1">'O&amp;M Costs'!AJ195</f>
        <v>12705001.657349704</v>
      </c>
      <c r="AF103" s="978">
        <f ca="1">'O&amp;M Costs'!AK195</f>
        <v>13009921.697126098</v>
      </c>
      <c r="AG103" s="978">
        <f ca="1">'O&amp;M Costs'!AL195</f>
        <v>13322159.817857124</v>
      </c>
      <c r="AH103" s="978">
        <f>'O&amp;M Costs'!AX195</f>
        <v>0</v>
      </c>
      <c r="AI103" s="978">
        <f>'O&amp;M Costs'!AY195</f>
        <v>0</v>
      </c>
      <c r="AJ103" s="978"/>
    </row>
    <row r="104" spans="3:36">
      <c r="C104" s="311" t="s">
        <v>971</v>
      </c>
      <c r="D104" s="978">
        <f>'O&amp;M Costs'!I196</f>
        <v>0</v>
      </c>
      <c r="E104" s="978">
        <f>'O&amp;M Costs'!J196</f>
        <v>0</v>
      </c>
      <c r="F104" s="978">
        <f ca="1">'O&amp;M Costs'!K196</f>
        <v>404376.01136756985</v>
      </c>
      <c r="G104" s="978">
        <f ca="1">'O&amp;M Costs'!L196</f>
        <v>413676.65962902398</v>
      </c>
      <c r="H104" s="978">
        <f ca="1">'O&amp;M Costs'!M196</f>
        <v>423191.22280049144</v>
      </c>
      <c r="I104" s="978">
        <f ca="1">'O&amp;M Costs'!N196</f>
        <v>432163.80173199915</v>
      </c>
      <c r="J104" s="978">
        <f ca="1">'O&amp;M Costs'!O196</f>
        <v>444963.90802182147</v>
      </c>
      <c r="K104" s="978">
        <f ca="1">'O&amp;M Costs'!P196</f>
        <v>454398.11547059013</v>
      </c>
      <c r="L104" s="978">
        <f ca="1">'O&amp;M Costs'!Q196</f>
        <v>465303.67024188425</v>
      </c>
      <c r="M104" s="978">
        <f ca="1">'O&amp;M Costs'!R196</f>
        <v>475169.12510821497</v>
      </c>
      <c r="N104" s="978">
        <f ca="1">'O&amp;M Costs'!S196</f>
        <v>489242.9908106433</v>
      </c>
      <c r="O104" s="978">
        <f ca="1">'O&amp;M Costs'!T196</f>
        <v>499616.01159941533</v>
      </c>
      <c r="P104" s="978">
        <f ca="1">'O&amp;M Costs'!U196</f>
        <v>511606.79587780131</v>
      </c>
      <c r="Q104" s="978">
        <f ca="1">'O&amp;M Costs'!V196</f>
        <v>522453.97821663122</v>
      </c>
      <c r="R104" s="978">
        <f ca="1">'O&amp;M Costs'!W196</f>
        <v>537928.35720420908</v>
      </c>
      <c r="S104" s="978">
        <f ca="1">'O&amp;M Costs'!X196</f>
        <v>549333.61417662608</v>
      </c>
      <c r="T104" s="978">
        <f ca="1">'O&amp;M Costs'!Y196</f>
        <v>562517.62091686518</v>
      </c>
      <c r="U104" s="978">
        <f ca="1">'O&amp;M Costs'!Z196</f>
        <v>574444.22402701515</v>
      </c>
      <c r="V104" s="978">
        <f ca="1">'O&amp;M Costs'!AA196</f>
        <v>591458.4836564695</v>
      </c>
      <c r="W104" s="978">
        <f ca="1">'O&amp;M Costs'!AB196</f>
        <v>603998.69631541544</v>
      </c>
      <c r="X104" s="978">
        <f ca="1">'O&amp;M Costs'!AC196</f>
        <v>618494.66502698546</v>
      </c>
      <c r="Y104" s="978">
        <f ca="1">'O&amp;M Costs'!AD196</f>
        <v>631608.10382646474</v>
      </c>
      <c r="Z104" s="978">
        <f ca="1">'O&amp;M Costs'!AE196</f>
        <v>650315.48012704961</v>
      </c>
      <c r="AA104" s="978">
        <f ca="1">'O&amp;M Costs'!AF196</f>
        <v>664103.58976034436</v>
      </c>
      <c r="AB104" s="978">
        <f ca="1">'O&amp;M Costs'!AG196</f>
        <v>680042.07591459271</v>
      </c>
      <c r="AC104" s="978">
        <f ca="1">'O&amp;M Costs'!AH196</f>
        <v>694460.45435474918</v>
      </c>
      <c r="AD104" s="978">
        <f ca="1">'O&amp;M Costs'!AI196</f>
        <v>715029.43212242343</v>
      </c>
      <c r="AE104" s="978">
        <f ca="1">'O&amp;M Costs'!AJ196</f>
        <v>730189.61898928124</v>
      </c>
      <c r="AF104" s="978">
        <f ca="1">'O&amp;M Costs'!AK196</f>
        <v>747714.16984502412</v>
      </c>
      <c r="AG104" s="978">
        <f ca="1">'O&amp;M Costs'!AL196</f>
        <v>765659.3099213047</v>
      </c>
      <c r="AH104" s="978">
        <f>'O&amp;M Costs'!AX196</f>
        <v>0</v>
      </c>
      <c r="AI104" s="978">
        <f>'O&amp;M Costs'!AY196</f>
        <v>0</v>
      </c>
      <c r="AJ104" s="978"/>
    </row>
    <row r="105" spans="3:36">
      <c r="C105" s="311" t="s">
        <v>972</v>
      </c>
      <c r="D105" s="978">
        <f>'O&amp;M Costs'!I197</f>
        <v>0</v>
      </c>
      <c r="E105" s="978">
        <f>'O&amp;M Costs'!J197</f>
        <v>0</v>
      </c>
      <c r="F105" s="978">
        <f ca="1">'O&amp;M Costs'!K197</f>
        <v>1513576.7019329215</v>
      </c>
      <c r="G105" s="978">
        <f ca="1">'O&amp;M Costs'!L197</f>
        <v>1548388.9660773787</v>
      </c>
      <c r="H105" s="978">
        <f ca="1">'O&amp;M Costs'!M197</f>
        <v>1584001.912297158</v>
      </c>
      <c r="I105" s="978">
        <f ca="1">'O&amp;M Costs'!N197</f>
        <v>1617586.2151371196</v>
      </c>
      <c r="J105" s="978">
        <f ca="1">'O&amp;M Costs'!O197</f>
        <v>1665496.9272414774</v>
      </c>
      <c r="K105" s="978">
        <f ca="1">'O&amp;M Costs'!P197</f>
        <v>1700809.1025294387</v>
      </c>
      <c r="L105" s="978">
        <f ca="1">'O&amp;M Costs'!Q197</f>
        <v>1741628.5209901452</v>
      </c>
      <c r="M105" s="978">
        <f ca="1">'O&amp;M Costs'!R197</f>
        <v>1778554.8524734338</v>
      </c>
      <c r="N105" s="978">
        <f ca="1">'O&amp;M Costs'!S197</f>
        <v>1831233.2375272033</v>
      </c>
      <c r="O105" s="978">
        <f ca="1">'O&amp;M Costs'!T197</f>
        <v>1870059.3848583808</v>
      </c>
      <c r="P105" s="978">
        <f ca="1">'O&amp;M Costs'!U197</f>
        <v>1914940.8100949819</v>
      </c>
      <c r="Q105" s="978">
        <f ca="1">'O&amp;M Costs'!V197</f>
        <v>1955541.7409319684</v>
      </c>
      <c r="R105" s="978">
        <f ca="1">'O&amp;M Costs'!W197</f>
        <v>2013462.2378310498</v>
      </c>
      <c r="S105" s="978">
        <f ca="1">'O&amp;M Costs'!X197</f>
        <v>2056152.0382834238</v>
      </c>
      <c r="T105" s="978">
        <f ca="1">'O&amp;M Costs'!Y197</f>
        <v>2105499.6872022259</v>
      </c>
      <c r="U105" s="978">
        <f ca="1">'O&amp;M Costs'!Z197</f>
        <v>2150140.8827560218</v>
      </c>
      <c r="V105" s="978">
        <f ca="1">'O&amp;M Costs'!AA197</f>
        <v>2213825.1425831257</v>
      </c>
      <c r="W105" s="978">
        <f ca="1">'O&amp;M Costs'!AB197</f>
        <v>2260763.074567948</v>
      </c>
      <c r="X105" s="978">
        <f ca="1">'O&amp;M Costs'!AC197</f>
        <v>2315021.3883575788</v>
      </c>
      <c r="Y105" s="978">
        <f ca="1">'O&amp;M Costs'!AD197</f>
        <v>2364104.9019467998</v>
      </c>
      <c r="Z105" s="978">
        <f ca="1">'O&amp;M Costs'!AE197</f>
        <v>2434126.4861330078</v>
      </c>
      <c r="AA105" s="978">
        <f ca="1">'O&amp;M Costs'!AF197</f>
        <v>2485735.2881340794</v>
      </c>
      <c r="AB105" s="978">
        <f ca="1">'O&amp;M Costs'!AG197</f>
        <v>2545392.9350492973</v>
      </c>
      <c r="AC105" s="978">
        <f ca="1">'O&amp;M Costs'!AH197</f>
        <v>2599360.8289727471</v>
      </c>
      <c r="AD105" s="978">
        <f ca="1">'O&amp;M Costs'!AI197</f>
        <v>2676350.3749807789</v>
      </c>
      <c r="AE105" s="978">
        <f ca="1">'O&amp;M Costs'!AJ197</f>
        <v>2733094.8528765463</v>
      </c>
      <c r="AF105" s="978">
        <f ca="1">'O&amp;M Costs'!AK197</f>
        <v>2798689.1293455833</v>
      </c>
      <c r="AG105" s="978">
        <f ca="1">'O&amp;M Costs'!AL197</f>
        <v>2865857.6684498778</v>
      </c>
      <c r="AH105" s="978">
        <f>'O&amp;M Costs'!AX197</f>
        <v>0</v>
      </c>
      <c r="AI105" s="978">
        <f>'O&amp;M Costs'!AY197</f>
        <v>0</v>
      </c>
      <c r="AJ105" s="978"/>
    </row>
    <row r="106" spans="3:36">
      <c r="C106" s="311" t="s">
        <v>973</v>
      </c>
      <c r="D106" s="978">
        <f>'O&amp;M Costs'!I198</f>
        <v>0</v>
      </c>
      <c r="E106" s="978">
        <f>'O&amp;M Costs'!J198</f>
        <v>0</v>
      </c>
      <c r="F106" s="978">
        <f ca="1">'O&amp;M Costs'!K198</f>
        <v>1669517.73</v>
      </c>
      <c r="G106" s="978">
        <f ca="1">'O&amp;M Costs'!L198</f>
        <v>1719603.2619</v>
      </c>
      <c r="H106" s="978">
        <f ca="1">'O&amp;M Costs'!M198</f>
        <v>1771191.3597570001</v>
      </c>
      <c r="I106" s="978">
        <f ca="1">'O&amp;M Costs'!N198</f>
        <v>1819342.600274984</v>
      </c>
      <c r="J106" s="978">
        <f ca="1">'O&amp;M Costs'!O198</f>
        <v>1884357.6094900577</v>
      </c>
      <c r="K106" s="978">
        <f ca="1">'O&amp;M Costs'!P198</f>
        <v>1935585.3641742817</v>
      </c>
      <c r="L106" s="978">
        <f ca="1">'O&amp;M Costs'!Q198</f>
        <v>1993652.9250995102</v>
      </c>
      <c r="M106" s="978">
        <f ca="1">'O&amp;M Costs'!R198</f>
        <v>2047851.959538691</v>
      </c>
      <c r="N106" s="978">
        <f ca="1">'O&amp;M Costs'!S198</f>
        <v>2121032.851362139</v>
      </c>
      <c r="O106" s="978">
        <f ca="1">'O&amp;M Costs'!T198</f>
        <v>2178694.8100262186</v>
      </c>
      <c r="P106" s="978">
        <f ca="1">'O&amp;M Costs'!U198</f>
        <v>2244055.6543270051</v>
      </c>
      <c r="Q106" s="978">
        <f ca="1">'O&amp;M Costs'!V198</f>
        <v>2305062.0853667697</v>
      </c>
      <c r="R106" s="978">
        <f ca="1">'O&amp;M Costs'!W198</f>
        <v>2387434.4943340453</v>
      </c>
      <c r="S106" s="978">
        <f ca="1">'O&amp;M Costs'!X198</f>
        <v>2452338.7927455851</v>
      </c>
      <c r="T106" s="978">
        <f ca="1">'O&amp;M Costs'!Y198</f>
        <v>2525908.9565279526</v>
      </c>
      <c r="U106" s="978">
        <f ca="1">'O&amp;M Costs'!Z198</f>
        <v>2594577.7929144371</v>
      </c>
      <c r="V106" s="978">
        <f ca="1">'O&amp;M Costs'!AA198</f>
        <v>2687296.1732184328</v>
      </c>
      <c r="W106" s="978">
        <f ca="1">'O&amp;M Costs'!AB198</f>
        <v>2760352.4489657641</v>
      </c>
      <c r="X106" s="978">
        <f ca="1">'O&amp;M Costs'!AC198</f>
        <v>2843163.0224347371</v>
      </c>
      <c r="Y106" s="978">
        <f ca="1">'O&amp;M Costs'!AD198</f>
        <v>2920456.6619790699</v>
      </c>
      <c r="Z106" s="978">
        <f ca="1">'O&amp;M Costs'!AE198</f>
        <v>3024820.4672140446</v>
      </c>
      <c r="AA106" s="978">
        <f ca="1">'O&amp;M Costs'!AF198</f>
        <v>3107052.6083309287</v>
      </c>
      <c r="AB106" s="978">
        <f ca="1">'O&amp;M Costs'!AG198</f>
        <v>3200264.1865808573</v>
      </c>
      <c r="AC106" s="978">
        <f ca="1">'O&amp;M Costs'!AH198</f>
        <v>3287265.9042215119</v>
      </c>
      <c r="AD106" s="978">
        <f ca="1">'O&amp;M Costs'!AI198</f>
        <v>3404737.7993022157</v>
      </c>
      <c r="AE106" s="978">
        <f ca="1">'O&amp;M Costs'!AJ198</f>
        <v>3497298.2941193115</v>
      </c>
      <c r="AF106" s="978">
        <f ca="1">'O&amp;M Costs'!AK198</f>
        <v>3602217.2429428906</v>
      </c>
      <c r="AG106" s="978">
        <f ca="1">'O&amp;M Costs'!AL198</f>
        <v>3710283.7602311773</v>
      </c>
      <c r="AH106" s="978">
        <f>'O&amp;M Costs'!AX198</f>
        <v>0</v>
      </c>
      <c r="AI106" s="978">
        <f>'O&amp;M Costs'!AY198</f>
        <v>0</v>
      </c>
      <c r="AJ106" s="978"/>
    </row>
    <row r="107" spans="3:36" ht="15.75" thickBot="1">
      <c r="C107" s="421" t="s">
        <v>71</v>
      </c>
      <c r="D107" s="396"/>
      <c r="E107" s="396"/>
      <c r="F107" s="421">
        <f t="shared" ref="F107:AI107" ca="1" si="36">SUM(F100:F106)</f>
        <v>12622301.845607199</v>
      </c>
      <c r="G107" s="421">
        <f t="shared" ca="1" si="36"/>
        <v>12924301.412166161</v>
      </c>
      <c r="H107" s="421">
        <f t="shared" ca="1" si="36"/>
        <v>13233597.567479281</v>
      </c>
      <c r="I107" s="421">
        <f t="shared" ca="1" si="36"/>
        <v>13524776.874040777</v>
      </c>
      <c r="J107" s="421">
        <f t="shared" ca="1" si="36"/>
        <v>13936490.987327613</v>
      </c>
      <c r="K107" s="421">
        <f t="shared" ca="1" si="36"/>
        <v>14243250.313082928</v>
      </c>
      <c r="L107" s="421">
        <f t="shared" ca="1" si="36"/>
        <v>14596701.832781963</v>
      </c>
      <c r="M107" s="421">
        <f t="shared" ca="1" si="36"/>
        <v>14918113.051711898</v>
      </c>
      <c r="N107" s="421">
        <f t="shared" ca="1" si="36"/>
        <v>15372493.639801772</v>
      </c>
      <c r="O107" s="421">
        <f t="shared" ca="1" si="36"/>
        <v>15711115.532122385</v>
      </c>
      <c r="P107" s="421">
        <f t="shared" ca="1" si="36"/>
        <v>16101254.473753478</v>
      </c>
      <c r="Q107" s="421">
        <f t="shared" ca="1" si="36"/>
        <v>16456063.808724254</v>
      </c>
      <c r="R107" s="421">
        <f t="shared" ca="1" si="36"/>
        <v>16957569.716241144</v>
      </c>
      <c r="S107" s="421">
        <f t="shared" ca="1" si="36"/>
        <v>17331392.728647213</v>
      </c>
      <c r="T107" s="421">
        <f t="shared" ca="1" si="36"/>
        <v>17762060.186891224</v>
      </c>
      <c r="U107" s="421">
        <f t="shared" ca="1" si="36"/>
        <v>18153768.732424207</v>
      </c>
      <c r="V107" s="421">
        <f t="shared" ca="1" si="36"/>
        <v>18707329.267973941</v>
      </c>
      <c r="W107" s="421">
        <f t="shared" ca="1" si="36"/>
        <v>19120045.261795867</v>
      </c>
      <c r="X107" s="421">
        <f t="shared" ca="1" si="36"/>
        <v>19595488.462772761</v>
      </c>
      <c r="Y107" s="421">
        <f t="shared" ca="1" si="36"/>
        <v>20027968.018757053</v>
      </c>
      <c r="Z107" s="421">
        <f t="shared" ca="1" si="36"/>
        <v>20639033.132254064</v>
      </c>
      <c r="AA107" s="421">
        <f t="shared" ca="1" si="36"/>
        <v>21094725.082881086</v>
      </c>
      <c r="AB107" s="421">
        <f t="shared" ca="1" si="36"/>
        <v>21619640.800520219</v>
      </c>
      <c r="AC107" s="421">
        <f t="shared" ca="1" si="36"/>
        <v>22097173.56330888</v>
      </c>
      <c r="AD107" s="421">
        <f t="shared" ca="1" si="36"/>
        <v>22771769.438633006</v>
      </c>
      <c r="AE107" s="421">
        <f t="shared" ca="1" si="36"/>
        <v>23274953.336513504</v>
      </c>
      <c r="AF107" s="421">
        <f t="shared" ca="1" si="36"/>
        <v>23854536.006354552</v>
      </c>
      <c r="AG107" s="421">
        <f t="shared" ca="1" si="36"/>
        <v>24448658.173964716</v>
      </c>
      <c r="AH107" s="421">
        <f t="shared" si="36"/>
        <v>0</v>
      </c>
      <c r="AI107" s="421">
        <f t="shared" si="36"/>
        <v>0</v>
      </c>
      <c r="AJ107" s="978"/>
    </row>
    <row r="108" spans="3:36">
      <c r="H108" s="978"/>
    </row>
    <row r="109" spans="3:36">
      <c r="C109" s="311" t="s">
        <v>1504</v>
      </c>
      <c r="D109" s="978">
        <f t="shared" ref="D109:E115" ca="1" si="37">IFERROR(D100/F8,0)</f>
        <v>0</v>
      </c>
      <c r="E109" s="978">
        <f t="shared" ca="1" si="37"/>
        <v>0</v>
      </c>
      <c r="F109" s="978">
        <f t="shared" ref="F109:AG109" ca="1" si="38">IFERROR(F100/F8,0)</f>
        <v>0.82622856578794757</v>
      </c>
      <c r="G109" s="978">
        <f t="shared" ca="1" si="38"/>
        <v>0.72289563792196798</v>
      </c>
      <c r="H109" s="978">
        <f t="shared" ca="1" si="38"/>
        <v>0.73952223759417313</v>
      </c>
      <c r="I109" s="978">
        <f t="shared" ca="1" si="38"/>
        <v>0.75520172547321884</v>
      </c>
      <c r="J109" s="978">
        <f t="shared" ca="1" si="38"/>
        <v>0.77756977739606148</v>
      </c>
      <c r="K109" s="978">
        <f t="shared" ca="1" si="38"/>
        <v>0.79405595628292891</v>
      </c>
      <c r="L109" s="978">
        <f t="shared" ca="1" si="38"/>
        <v>0.81311329923371922</v>
      </c>
      <c r="M109" s="978">
        <f t="shared" ca="1" si="38"/>
        <v>0.83035307847430295</v>
      </c>
      <c r="N109" s="978">
        <f t="shared" ca="1" si="38"/>
        <v>0.85494701165416576</v>
      </c>
      <c r="O109" s="978">
        <f t="shared" ca="1" si="38"/>
        <v>0.87307375703787138</v>
      </c>
      <c r="P109" s="978">
        <f t="shared" ca="1" si="38"/>
        <v>0.89402752720678025</v>
      </c>
      <c r="Q109" s="978">
        <f t="shared" ca="1" si="38"/>
        <v>0.91298286494209335</v>
      </c>
      <c r="R109" s="978">
        <f t="shared" ca="1" si="38"/>
        <v>0.94002418044609859</v>
      </c>
      <c r="S109" s="978">
        <f t="shared" ca="1" si="38"/>
        <v>0.95995474776921808</v>
      </c>
      <c r="T109" s="978">
        <f t="shared" ca="1" si="38"/>
        <v>0.98299366171567937</v>
      </c>
      <c r="U109" s="978">
        <f t="shared" ca="1" si="38"/>
        <v>1.0038352759640774</v>
      </c>
      <c r="V109" s="978">
        <f t="shared" ca="1" si="38"/>
        <v>1.0335675167910905</v>
      </c>
      <c r="W109" s="978">
        <f t="shared" ca="1" si="38"/>
        <v>1.0554814073110326</v>
      </c>
      <c r="X109" s="978">
        <f t="shared" ca="1" si="38"/>
        <v>1.0808129610864974</v>
      </c>
      <c r="Y109" s="978">
        <f t="shared" ca="1" si="38"/>
        <v>1.1037285582942329</v>
      </c>
      <c r="Z109" s="978">
        <f t="shared" ca="1" si="38"/>
        <v>1.1364195028033701</v>
      </c>
      <c r="AA109" s="978">
        <f t="shared" ca="1" si="38"/>
        <v>1.1605140802398568</v>
      </c>
      <c r="AB109" s="978">
        <f t="shared" ca="1" si="38"/>
        <v>1.1883664181656135</v>
      </c>
      <c r="AC109" s="978">
        <f t="shared" ca="1" si="38"/>
        <v>1.2135623837529501</v>
      </c>
      <c r="AD109" s="978">
        <f t="shared" ca="1" si="38"/>
        <v>1.2495064573637265</v>
      </c>
      <c r="AE109" s="978">
        <f t="shared" ca="1" si="38"/>
        <v>1.2759987254214926</v>
      </c>
      <c r="AF109" s="978">
        <f t="shared" ca="1" si="38"/>
        <v>1.3066226948316086</v>
      </c>
      <c r="AG109" s="978">
        <f t="shared" ca="1" si="38"/>
        <v>1.3379816395075672</v>
      </c>
      <c r="AH109" s="311">
        <f t="shared" ref="AH109:AH115" ca="1" si="39">MAX(F109:AG109)</f>
        <v>1.3379816395075672</v>
      </c>
      <c r="AI109" s="311">
        <f t="shared" ref="AI109:AI115" ca="1" si="40">MIN(F109:AG109)</f>
        <v>0.72289563792196798</v>
      </c>
    </row>
    <row r="110" spans="3:36">
      <c r="C110" s="311" t="s">
        <v>968</v>
      </c>
      <c r="D110" s="978">
        <f t="shared" si="37"/>
        <v>0</v>
      </c>
      <c r="E110" s="978">
        <f t="shared" si="37"/>
        <v>0</v>
      </c>
      <c r="F110" s="978">
        <f t="shared" ref="F110:AG110" ca="1" si="41">IFERROR(F101/F8,0)</f>
        <v>0</v>
      </c>
      <c r="G110" s="978">
        <f t="shared" ca="1" si="41"/>
        <v>0</v>
      </c>
      <c r="H110" s="978">
        <f t="shared" ca="1" si="41"/>
        <v>0</v>
      </c>
      <c r="I110" s="978">
        <f t="shared" ca="1" si="41"/>
        <v>0</v>
      </c>
      <c r="J110" s="978">
        <f t="shared" ca="1" si="41"/>
        <v>0</v>
      </c>
      <c r="K110" s="978">
        <f t="shared" ca="1" si="41"/>
        <v>0</v>
      </c>
      <c r="L110" s="978">
        <f t="shared" ca="1" si="41"/>
        <v>0</v>
      </c>
      <c r="M110" s="978">
        <f t="shared" ca="1" si="41"/>
        <v>0</v>
      </c>
      <c r="N110" s="978">
        <f t="shared" ca="1" si="41"/>
        <v>0</v>
      </c>
      <c r="O110" s="978">
        <f t="shared" ca="1" si="41"/>
        <v>0</v>
      </c>
      <c r="P110" s="978">
        <f t="shared" ca="1" si="41"/>
        <v>0</v>
      </c>
      <c r="Q110" s="978">
        <f t="shared" ca="1" si="41"/>
        <v>0</v>
      </c>
      <c r="R110" s="978">
        <f t="shared" ca="1" si="41"/>
        <v>0</v>
      </c>
      <c r="S110" s="978">
        <f t="shared" ca="1" si="41"/>
        <v>0</v>
      </c>
      <c r="T110" s="978">
        <f t="shared" ca="1" si="41"/>
        <v>0</v>
      </c>
      <c r="U110" s="978">
        <f t="shared" ca="1" si="41"/>
        <v>0</v>
      </c>
      <c r="V110" s="978">
        <f t="shared" ca="1" si="41"/>
        <v>0</v>
      </c>
      <c r="W110" s="978">
        <f t="shared" ca="1" si="41"/>
        <v>0</v>
      </c>
      <c r="X110" s="978">
        <f t="shared" ca="1" si="41"/>
        <v>0</v>
      </c>
      <c r="Y110" s="978">
        <f t="shared" ca="1" si="41"/>
        <v>0</v>
      </c>
      <c r="Z110" s="978">
        <f t="shared" ca="1" si="41"/>
        <v>0</v>
      </c>
      <c r="AA110" s="978">
        <f t="shared" ca="1" si="41"/>
        <v>0</v>
      </c>
      <c r="AB110" s="978">
        <f t="shared" ca="1" si="41"/>
        <v>0</v>
      </c>
      <c r="AC110" s="978">
        <f t="shared" ca="1" si="41"/>
        <v>0</v>
      </c>
      <c r="AD110" s="978">
        <f t="shared" ca="1" si="41"/>
        <v>0</v>
      </c>
      <c r="AE110" s="978">
        <f t="shared" ca="1" si="41"/>
        <v>0</v>
      </c>
      <c r="AF110" s="978">
        <f t="shared" ca="1" si="41"/>
        <v>0</v>
      </c>
      <c r="AG110" s="978">
        <f t="shared" ca="1" si="41"/>
        <v>0</v>
      </c>
      <c r="AH110" s="311">
        <f t="shared" ca="1" si="39"/>
        <v>0</v>
      </c>
      <c r="AI110" s="311">
        <f t="shared" ca="1" si="40"/>
        <v>0</v>
      </c>
    </row>
    <row r="111" spans="3:36">
      <c r="C111" s="311" t="s">
        <v>969</v>
      </c>
      <c r="D111" s="978">
        <f t="shared" ca="1" si="37"/>
        <v>0</v>
      </c>
      <c r="E111" s="978">
        <f t="shared" ca="1" si="37"/>
        <v>0</v>
      </c>
      <c r="F111" s="978">
        <f t="shared" ref="F111:AG111" ca="1" si="42">IFERROR(F102/F8,0)</f>
        <v>1.6338990364061534</v>
      </c>
      <c r="G111" s="978">
        <f t="shared" ca="1" si="42"/>
        <v>1.4295541634977258</v>
      </c>
      <c r="H111" s="978">
        <f t="shared" ca="1" si="42"/>
        <v>1.4624339092581731</v>
      </c>
      <c r="I111" s="978">
        <f t="shared" ca="1" si="42"/>
        <v>1.4934407047112974</v>
      </c>
      <c r="J111" s="978">
        <f t="shared" ca="1" si="42"/>
        <v>1.5376743949954883</v>
      </c>
      <c r="K111" s="978">
        <f t="shared" ca="1" si="42"/>
        <v>1.5702764532063216</v>
      </c>
      <c r="L111" s="978">
        <f t="shared" ca="1" si="42"/>
        <v>1.6079630880832734</v>
      </c>
      <c r="M111" s="978">
        <f t="shared" ca="1" si="42"/>
        <v>1.6420554202240556</v>
      </c>
      <c r="N111" s="978">
        <f t="shared" ca="1" si="42"/>
        <v>1.6906908770309657</v>
      </c>
      <c r="O111" s="978">
        <f t="shared" ca="1" si="42"/>
        <v>1.7265372191232065</v>
      </c>
      <c r="P111" s="978">
        <f t="shared" ca="1" si="42"/>
        <v>1.7679741123821635</v>
      </c>
      <c r="Q111" s="978">
        <f t="shared" ca="1" si="42"/>
        <v>1.8054590279889549</v>
      </c>
      <c r="R111" s="978">
        <f t="shared" ca="1" si="42"/>
        <v>1.85893427827035</v>
      </c>
      <c r="S111" s="978">
        <f t="shared" ca="1" si="42"/>
        <v>1.8983477482140054</v>
      </c>
      <c r="T111" s="978">
        <f t="shared" ca="1" si="42"/>
        <v>1.9439080941711417</v>
      </c>
      <c r="U111" s="978">
        <f t="shared" ca="1" si="42"/>
        <v>1.9851231947470109</v>
      </c>
      <c r="V111" s="978">
        <f t="shared" ca="1" si="42"/>
        <v>2.0439198542296366</v>
      </c>
      <c r="W111" s="978">
        <f t="shared" ca="1" si="42"/>
        <v>2.0872554227236852</v>
      </c>
      <c r="X111" s="978">
        <f t="shared" ca="1" si="42"/>
        <v>2.137349552869054</v>
      </c>
      <c r="Y111" s="978">
        <f t="shared" ca="1" si="42"/>
        <v>2.1826660351921796</v>
      </c>
      <c r="Z111" s="978">
        <f t="shared" ca="1" si="42"/>
        <v>2.2473136459677128</v>
      </c>
      <c r="AA111" s="978">
        <f t="shared" ca="1" si="42"/>
        <v>2.2949616074232027</v>
      </c>
      <c r="AB111" s="978">
        <f t="shared" ca="1" si="42"/>
        <v>2.3500406860013601</v>
      </c>
      <c r="AC111" s="978">
        <f t="shared" ca="1" si="42"/>
        <v>2.3998666852455419</v>
      </c>
      <c r="AD111" s="978">
        <f t="shared" ca="1" si="42"/>
        <v>2.4709474850011772</v>
      </c>
      <c r="AE111" s="978">
        <f t="shared" ca="1" si="42"/>
        <v>2.5233369726613115</v>
      </c>
      <c r="AF111" s="978">
        <f t="shared" ca="1" si="42"/>
        <v>2.5838970600051829</v>
      </c>
      <c r="AG111" s="978">
        <f t="shared" ca="1" si="42"/>
        <v>2.6459105894453079</v>
      </c>
      <c r="AH111" s="311">
        <f t="shared" ca="1" si="39"/>
        <v>2.6459105894453079</v>
      </c>
      <c r="AI111" s="311">
        <f t="shared" ca="1" si="40"/>
        <v>1.4295541634977258</v>
      </c>
    </row>
    <row r="112" spans="3:36">
      <c r="C112" s="311" t="s">
        <v>970</v>
      </c>
      <c r="D112" s="978">
        <f t="shared" ca="1" si="37"/>
        <v>0</v>
      </c>
      <c r="E112" s="978">
        <f t="shared" ca="1" si="37"/>
        <v>0</v>
      </c>
      <c r="F112" s="978">
        <f t="shared" ref="F112:AG112" ca="1" si="43">IFERROR(F103/F8,0)</f>
        <v>8.6596648929526125</v>
      </c>
      <c r="G112" s="978">
        <f t="shared" ca="1" si="43"/>
        <v>7.5766370665379466</v>
      </c>
      <c r="H112" s="978">
        <f t="shared" ca="1" si="43"/>
        <v>7.7508997190683182</v>
      </c>
      <c r="I112" s="978">
        <f t="shared" ca="1" si="43"/>
        <v>7.9152357349698761</v>
      </c>
      <c r="J112" s="978">
        <f t="shared" ca="1" si="43"/>
        <v>8.1496742934760888</v>
      </c>
      <c r="K112" s="978">
        <f t="shared" ca="1" si="43"/>
        <v>8.3224652019935039</v>
      </c>
      <c r="L112" s="978">
        <f t="shared" ca="1" si="43"/>
        <v>8.5222043668413487</v>
      </c>
      <c r="M112" s="978">
        <f t="shared" ca="1" si="43"/>
        <v>8.7028937271874938</v>
      </c>
      <c r="N112" s="978">
        <f t="shared" ca="1" si="43"/>
        <v>8.9606616482641179</v>
      </c>
      <c r="O112" s="978">
        <f t="shared" ca="1" si="43"/>
        <v>9.1506472613529937</v>
      </c>
      <c r="P112" s="978">
        <f t="shared" ca="1" si="43"/>
        <v>9.3702627956254663</v>
      </c>
      <c r="Q112" s="978">
        <f t="shared" ca="1" si="43"/>
        <v>9.5689328483414613</v>
      </c>
      <c r="R112" s="978">
        <f t="shared" ca="1" si="43"/>
        <v>9.852351674832855</v>
      </c>
      <c r="S112" s="978">
        <f t="shared" ca="1" si="43"/>
        <v>10.061243065534228</v>
      </c>
      <c r="T112" s="978">
        <f t="shared" ca="1" si="43"/>
        <v>10.302712899107052</v>
      </c>
      <c r="U112" s="978">
        <f t="shared" ca="1" si="43"/>
        <v>10.521152932159158</v>
      </c>
      <c r="V112" s="978">
        <f t="shared" ca="1" si="43"/>
        <v>10.832775227417075</v>
      </c>
      <c r="W112" s="978">
        <f t="shared" ca="1" si="43"/>
        <v>11.062453740435533</v>
      </c>
      <c r="X112" s="978">
        <f t="shared" ca="1" si="43"/>
        <v>11.327952630205985</v>
      </c>
      <c r="Y112" s="978">
        <f t="shared" ca="1" si="43"/>
        <v>11.568129986518553</v>
      </c>
      <c r="Z112" s="978">
        <f t="shared" ca="1" si="43"/>
        <v>11.910762323628878</v>
      </c>
      <c r="AA112" s="978">
        <f t="shared" ca="1" si="43"/>
        <v>12.163296519342975</v>
      </c>
      <c r="AB112" s="978">
        <f t="shared" ca="1" si="43"/>
        <v>12.455215635807207</v>
      </c>
      <c r="AC112" s="978">
        <f t="shared" ca="1" si="43"/>
        <v>12.719293431801372</v>
      </c>
      <c r="AD112" s="978">
        <f t="shared" ca="1" si="43"/>
        <v>13.096021670506241</v>
      </c>
      <c r="AE112" s="978">
        <f t="shared" ca="1" si="43"/>
        <v>13.373685955104952</v>
      </c>
      <c r="AF112" s="978">
        <f t="shared" ca="1" si="43"/>
        <v>13.694654418027472</v>
      </c>
      <c r="AG112" s="978">
        <f t="shared" ca="1" si="43"/>
        <v>14.02332612406013</v>
      </c>
      <c r="AH112" s="311">
        <f t="shared" ca="1" si="39"/>
        <v>14.02332612406013</v>
      </c>
      <c r="AI112" s="311">
        <f t="shared" ca="1" si="40"/>
        <v>7.5766370665379466</v>
      </c>
    </row>
    <row r="113" spans="3:35">
      <c r="C113" s="311" t="s">
        <v>971</v>
      </c>
      <c r="D113" s="978">
        <f t="shared" si="37"/>
        <v>0</v>
      </c>
      <c r="E113" s="978">
        <f t="shared" si="37"/>
        <v>0</v>
      </c>
      <c r="F113" s="978">
        <f t="shared" ref="F113:AG113" ca="1" si="44">IFERROR(F104/F8,0)</f>
        <v>0.49769355245239366</v>
      </c>
      <c r="G113" s="978">
        <f t="shared" ca="1" si="44"/>
        <v>0.43544911539897263</v>
      </c>
      <c r="H113" s="978">
        <f t="shared" ca="1" si="44"/>
        <v>0.44546444505314886</v>
      </c>
      <c r="I113" s="978">
        <f t="shared" ca="1" si="44"/>
        <v>0.45490926498105172</v>
      </c>
      <c r="J113" s="978">
        <f t="shared" ca="1" si="44"/>
        <v>0.46838306107560157</v>
      </c>
      <c r="K113" s="978">
        <f t="shared" ca="1" si="44"/>
        <v>0.4783138057585159</v>
      </c>
      <c r="L113" s="978">
        <f t="shared" ca="1" si="44"/>
        <v>0.48979333709672024</v>
      </c>
      <c r="M113" s="978">
        <f t="shared" ca="1" si="44"/>
        <v>0.5001780264297</v>
      </c>
      <c r="N113" s="978">
        <f t="shared" ca="1" si="44"/>
        <v>0.51499262190594031</v>
      </c>
      <c r="O113" s="978">
        <f t="shared" ca="1" si="44"/>
        <v>0.52591159115727926</v>
      </c>
      <c r="P113" s="978">
        <f t="shared" ca="1" si="44"/>
        <v>0.53853346934505397</v>
      </c>
      <c r="Q113" s="978">
        <f t="shared" ca="1" si="44"/>
        <v>0.54995155601750656</v>
      </c>
      <c r="R113" s="978">
        <f t="shared" ca="1" si="44"/>
        <v>0.56624037600443067</v>
      </c>
      <c r="S113" s="978">
        <f t="shared" ca="1" si="44"/>
        <v>0.57824590965960643</v>
      </c>
      <c r="T113" s="978">
        <f t="shared" ca="1" si="44"/>
        <v>0.592123811491437</v>
      </c>
      <c r="U113" s="978">
        <f t="shared" ca="1" si="44"/>
        <v>0.60467813055475284</v>
      </c>
      <c r="V113" s="978">
        <f t="shared" ca="1" si="44"/>
        <v>0.62258787753312583</v>
      </c>
      <c r="W113" s="978">
        <f t="shared" ca="1" si="44"/>
        <v>0.63578810138464781</v>
      </c>
      <c r="X113" s="978">
        <f t="shared" ca="1" si="44"/>
        <v>0.65104701581787938</v>
      </c>
      <c r="Y113" s="978">
        <f t="shared" ca="1" si="44"/>
        <v>0.66485063560680502</v>
      </c>
      <c r="Z113" s="978">
        <f t="shared" ca="1" si="44"/>
        <v>0.68454261066005218</v>
      </c>
      <c r="AA113" s="978">
        <f t="shared" ca="1" si="44"/>
        <v>0.69905641027404675</v>
      </c>
      <c r="AB113" s="978">
        <f t="shared" ca="1" si="44"/>
        <v>0.71583376412062394</v>
      </c>
      <c r="AC113" s="978">
        <f t="shared" ca="1" si="44"/>
        <v>0.73101100458394652</v>
      </c>
      <c r="AD113" s="978">
        <f t="shared" ca="1" si="44"/>
        <v>0.75266256012886679</v>
      </c>
      <c r="AE113" s="978">
        <f t="shared" ca="1" si="44"/>
        <v>0.76862065156766446</v>
      </c>
      <c r="AF113" s="978">
        <f t="shared" ca="1" si="44"/>
        <v>0.7870675472052886</v>
      </c>
      <c r="AG113" s="978">
        <f t="shared" ca="1" si="44"/>
        <v>0.80595716833821551</v>
      </c>
      <c r="AH113" s="311">
        <f t="shared" ca="1" si="39"/>
        <v>0.80595716833821551</v>
      </c>
      <c r="AI113" s="311">
        <f t="shared" ca="1" si="40"/>
        <v>0.43544911539897263</v>
      </c>
    </row>
    <row r="114" spans="3:35">
      <c r="C114" s="311" t="s">
        <v>972</v>
      </c>
      <c r="D114" s="978">
        <f t="shared" ca="1" si="37"/>
        <v>0</v>
      </c>
      <c r="E114" s="978">
        <f t="shared" ca="1" si="37"/>
        <v>0</v>
      </c>
      <c r="F114" s="978">
        <f t="shared" ref="F114:AG114" ca="1" si="45">IFERROR(F105/F8,0)</f>
        <v>1.8628636331482111</v>
      </c>
      <c r="G114" s="978">
        <f t="shared" ca="1" si="45"/>
        <v>1.6298831221867145</v>
      </c>
      <c r="H114" s="978">
        <f t="shared" ca="1" si="45"/>
        <v>1.6673704339970083</v>
      </c>
      <c r="I114" s="978">
        <f t="shared" ca="1" si="45"/>
        <v>1.7027223317232838</v>
      </c>
      <c r="J114" s="978">
        <f t="shared" ca="1" si="45"/>
        <v>1.7531546602541868</v>
      </c>
      <c r="K114" s="978">
        <f t="shared" ca="1" si="45"/>
        <v>1.7903253710836196</v>
      </c>
      <c r="L114" s="978">
        <f t="shared" ca="1" si="45"/>
        <v>1.8332931799896264</v>
      </c>
      <c r="M114" s="978">
        <f t="shared" ca="1" si="45"/>
        <v>1.8721630026036145</v>
      </c>
      <c r="N114" s="978">
        <f t="shared" ca="1" si="45"/>
        <v>1.9276139342391614</v>
      </c>
      <c r="O114" s="978">
        <f t="shared" ca="1" si="45"/>
        <v>1.9684835630088218</v>
      </c>
      <c r="P114" s="978">
        <f t="shared" ca="1" si="45"/>
        <v>2.0157271685210336</v>
      </c>
      <c r="Q114" s="978">
        <f t="shared" ca="1" si="45"/>
        <v>2.0584649904547034</v>
      </c>
      <c r="R114" s="978">
        <f t="shared" ca="1" si="45"/>
        <v>2.1194339345589999</v>
      </c>
      <c r="S114" s="978">
        <f t="shared" ca="1" si="45"/>
        <v>2.1643705666141302</v>
      </c>
      <c r="T114" s="978">
        <f t="shared" ca="1" si="45"/>
        <v>2.2163154602128694</v>
      </c>
      <c r="U114" s="978">
        <f t="shared" ca="1" si="45"/>
        <v>2.2633061923747597</v>
      </c>
      <c r="V114" s="978">
        <f t="shared" ca="1" si="45"/>
        <v>2.3303422553506588</v>
      </c>
      <c r="W114" s="978">
        <f t="shared" ca="1" si="45"/>
        <v>2.3797506048083665</v>
      </c>
      <c r="X114" s="978">
        <f t="shared" ca="1" si="45"/>
        <v>2.4368646193237673</v>
      </c>
      <c r="Y114" s="978">
        <f t="shared" ca="1" si="45"/>
        <v>2.4885314757334736</v>
      </c>
      <c r="Z114" s="978">
        <f t="shared" ca="1" si="45"/>
        <v>2.5622384064557977</v>
      </c>
      <c r="AA114" s="978">
        <f t="shared" ca="1" si="45"/>
        <v>2.6165634611937678</v>
      </c>
      <c r="AB114" s="978">
        <f t="shared" ca="1" si="45"/>
        <v>2.6793609842624182</v>
      </c>
      <c r="AC114" s="978">
        <f t="shared" ca="1" si="45"/>
        <v>2.7361692936555233</v>
      </c>
      <c r="AD114" s="978">
        <f t="shared" ca="1" si="45"/>
        <v>2.817210921032399</v>
      </c>
      <c r="AE114" s="978">
        <f t="shared" ca="1" si="45"/>
        <v>2.8769419503963647</v>
      </c>
      <c r="AF114" s="978">
        <f t="shared" ca="1" si="45"/>
        <v>2.9459885572058773</v>
      </c>
      <c r="AG114" s="978">
        <f t="shared" ca="1" si="45"/>
        <v>3.0166922825788185</v>
      </c>
      <c r="AH114" s="311">
        <f t="shared" ca="1" si="39"/>
        <v>3.0166922825788185</v>
      </c>
      <c r="AI114" s="311">
        <f t="shared" ca="1" si="40"/>
        <v>1.6298831221867145</v>
      </c>
    </row>
    <row r="115" spans="3:35">
      <c r="C115" s="311" t="s">
        <v>973</v>
      </c>
      <c r="D115" s="978">
        <f t="shared" si="37"/>
        <v>0</v>
      </c>
      <c r="E115" s="978">
        <f t="shared" si="37"/>
        <v>0</v>
      </c>
      <c r="F115" s="978">
        <f t="shared" ref="F115:AG115" ca="1" si="46">IFERROR(F106/F8,0)</f>
        <v>2.0547910523076922</v>
      </c>
      <c r="G115" s="978">
        <f t="shared" ca="1" si="46"/>
        <v>1.810108696736842</v>
      </c>
      <c r="H115" s="978">
        <f t="shared" ca="1" si="46"/>
        <v>1.8644119576389475</v>
      </c>
      <c r="I115" s="978">
        <f t="shared" ca="1" si="46"/>
        <v>1.9150974739736675</v>
      </c>
      <c r="J115" s="978">
        <f t="shared" ca="1" si="46"/>
        <v>1.9835343257790081</v>
      </c>
      <c r="K115" s="978">
        <f t="shared" ca="1" si="46"/>
        <v>2.0374582780781911</v>
      </c>
      <c r="L115" s="978">
        <f t="shared" ca="1" si="46"/>
        <v>2.0985820264205373</v>
      </c>
      <c r="M115" s="978">
        <f t="shared" ca="1" si="46"/>
        <v>2.1556336416196746</v>
      </c>
      <c r="N115" s="978">
        <f t="shared" ca="1" si="46"/>
        <v>2.2326661593285673</v>
      </c>
      <c r="O115" s="978">
        <f t="shared" ca="1" si="46"/>
        <v>2.2933629579223354</v>
      </c>
      <c r="P115" s="978">
        <f t="shared" ca="1" si="46"/>
        <v>2.3621638466600055</v>
      </c>
      <c r="Q115" s="978">
        <f t="shared" ca="1" si="46"/>
        <v>2.4263811424913366</v>
      </c>
      <c r="R115" s="978">
        <f t="shared" ca="1" si="46"/>
        <v>2.5130889414042583</v>
      </c>
      <c r="S115" s="978">
        <f t="shared" ca="1" si="46"/>
        <v>2.5814092555216686</v>
      </c>
      <c r="T115" s="978">
        <f t="shared" ca="1" si="46"/>
        <v>2.6588515331873186</v>
      </c>
      <c r="U115" s="978">
        <f t="shared" ca="1" si="46"/>
        <v>2.7311345188573024</v>
      </c>
      <c r="V115" s="978">
        <f t="shared" ca="1" si="46"/>
        <v>2.8287328139141397</v>
      </c>
      <c r="W115" s="978">
        <f t="shared" ca="1" si="46"/>
        <v>2.9056341568060677</v>
      </c>
      <c r="X115" s="978">
        <f t="shared" ca="1" si="46"/>
        <v>2.9928031815102494</v>
      </c>
      <c r="Y115" s="978">
        <f t="shared" ca="1" si="46"/>
        <v>3.0741649073463893</v>
      </c>
      <c r="Z115" s="978">
        <f t="shared" ca="1" si="46"/>
        <v>3.1840215444358364</v>
      </c>
      <c r="AA115" s="978">
        <f t="shared" ca="1" si="46"/>
        <v>3.270581692979925</v>
      </c>
      <c r="AB115" s="978">
        <f t="shared" ca="1" si="46"/>
        <v>3.3686991437693234</v>
      </c>
      <c r="AC115" s="978">
        <f t="shared" ca="1" si="46"/>
        <v>3.4602798991805388</v>
      </c>
      <c r="AD115" s="978">
        <f t="shared" ca="1" si="46"/>
        <v>3.5839345255812796</v>
      </c>
      <c r="AE115" s="978">
        <f t="shared" ca="1" si="46"/>
        <v>3.6813666253887489</v>
      </c>
      <c r="AF115" s="978">
        <f t="shared" ca="1" si="46"/>
        <v>3.7918076241504113</v>
      </c>
      <c r="AG115" s="978">
        <f t="shared" ca="1" si="46"/>
        <v>3.9055618528749236</v>
      </c>
      <c r="AH115" s="311">
        <f t="shared" ca="1" si="39"/>
        <v>3.9055618528749236</v>
      </c>
      <c r="AI115" s="311">
        <f t="shared" ca="1" si="40"/>
        <v>1.810108696736842</v>
      </c>
    </row>
    <row r="125" spans="3:35">
      <c r="C125" t="s">
        <v>1950</v>
      </c>
      <c r="D125" s="978">
        <f ca="1">-IS!I8</f>
        <v>0</v>
      </c>
      <c r="E125" s="978">
        <f ca="1">-IS!J8</f>
        <v>144780637.06971791</v>
      </c>
      <c r="F125" s="978">
        <f ca="1">-IS!K8</f>
        <v>237693732.04710868</v>
      </c>
      <c r="G125" s="978">
        <f ca="1">-IS!L8</f>
        <v>290365035.91105747</v>
      </c>
      <c r="H125" s="978">
        <f ca="1">-IS!M8</f>
        <v>310490498.42123908</v>
      </c>
      <c r="I125" s="978">
        <f ca="1">-IS!N8</f>
        <v>319701901.38475114</v>
      </c>
      <c r="J125" s="978">
        <f ca="1">-IS!O8</f>
        <v>329189646.43716848</v>
      </c>
      <c r="K125" s="978">
        <f ca="1">-IS!P8</f>
        <v>338962023.84115833</v>
      </c>
      <c r="L125" s="978">
        <f ca="1">-IS!Q8</f>
        <v>349027572.56726795</v>
      </c>
      <c r="M125" s="978">
        <f ca="1">-IS!R8</f>
        <v>359395087.75516087</v>
      </c>
      <c r="N125" s="978">
        <f ca="1">-IS!S8</f>
        <v>370073628.3986904</v>
      </c>
      <c r="O125" s="978">
        <f ca="1">-IS!T8</f>
        <v>381072525.26152593</v>
      </c>
      <c r="P125" s="978">
        <f ca="1">-IS!U8</f>
        <v>392401389.03024656</v>
      </c>
      <c r="Q125" s="978">
        <f ca="1">-IS!V8</f>
        <v>404070118.71202892</v>
      </c>
      <c r="R125" s="978">
        <f ca="1">-IS!W8</f>
        <v>416088910.28426456</v>
      </c>
      <c r="S125" s="978">
        <f ca="1">-IS!X8</f>
        <v>428468265.60366732</v>
      </c>
      <c r="T125" s="978">
        <f ca="1">-IS!Y8</f>
        <v>441219001.58265227</v>
      </c>
      <c r="U125" s="978">
        <f ca="1">-IS!Z8</f>
        <v>450909411.1784941</v>
      </c>
      <c r="V125" s="978">
        <f ca="1">-IS!AA8</f>
        <v>460887316.97079194</v>
      </c>
      <c r="W125" s="978">
        <f ca="1">-IS!AB8</f>
        <v>471164559.93685848</v>
      </c>
      <c r="X125" s="978">
        <f ca="1">-IS!AC8</f>
        <v>481750120.19190699</v>
      </c>
      <c r="Y125" s="978">
        <f ca="1">-IS!AD8</f>
        <v>492653247.25460708</v>
      </c>
      <c r="Z125" s="978">
        <f ca="1">-IS!AE8</f>
        <v>503883468.12918818</v>
      </c>
      <c r="AA125" s="978">
        <f ca="1">-IS!AF8</f>
        <v>515450595.63000667</v>
      </c>
      <c r="AB125" s="978">
        <f ca="1">-IS!AG8</f>
        <v>527364736.95584971</v>
      </c>
      <c r="AC125" s="978">
        <f ca="1">-IS!AH8</f>
        <v>539636302.52146804</v>
      </c>
      <c r="AD125" s="978">
        <f ca="1">-IS!AI8</f>
        <v>552276015.05405498</v>
      </c>
      <c r="AE125" s="978">
        <f ca="1">-IS!AJ8</f>
        <v>565294918.96261942</v>
      </c>
      <c r="AF125" s="978">
        <f ca="1">-IS!AK8</f>
        <v>578704389.98844075</v>
      </c>
      <c r="AG125" s="978">
        <f ca="1">-IS!AL8</f>
        <v>592516145.14503682</v>
      </c>
      <c r="AH125" s="978">
        <f>-IS!AX8</f>
        <v>0</v>
      </c>
      <c r="AI125" s="978">
        <f>-IS!AY8</f>
        <v>0</v>
      </c>
    </row>
    <row r="127" spans="3:35">
      <c r="C127" t="s">
        <v>1951</v>
      </c>
      <c r="D127" s="311">
        <f ca="1">'Raw Material '!I121</f>
        <v>0</v>
      </c>
      <c r="E127" s="311">
        <f ca="1">'Raw Material '!J121</f>
        <v>74453662.31968756</v>
      </c>
      <c r="F127" s="311">
        <f ca="1">'Raw Material '!K121</f>
        <v>146975159.84711674</v>
      </c>
      <c r="G127" s="311">
        <f ca="1">'Raw Material '!L121</f>
        <v>181211886.32987395</v>
      </c>
      <c r="H127" s="311">
        <f ca="1">'Raw Material '!M121</f>
        <v>198107386.69062534</v>
      </c>
      <c r="I127" s="311">
        <f ca="1">'Raw Material '!N121</f>
        <v>204041085.63681036</v>
      </c>
      <c r="J127" s="311">
        <f ca="1">'Raw Material '!O121</f>
        <v>210152567.0076721</v>
      </c>
      <c r="K127" s="311">
        <f ca="1">'Raw Material '!P121</f>
        <v>216447158.79090184</v>
      </c>
      <c r="L127" s="311">
        <f ca="1">'Raw Material '!Q121</f>
        <v>222930348.68218046</v>
      </c>
      <c r="M127" s="311">
        <f ca="1">'Raw Material '!R121</f>
        <v>229607788.87325868</v>
      </c>
      <c r="N127" s="311">
        <f ca="1">'Raw Material '!S121</f>
        <v>236485300.98360395</v>
      </c>
      <c r="O127" s="311">
        <f ca="1">'Raw Material '!T121</f>
        <v>243568881.1399191</v>
      </c>
      <c r="P127" s="311">
        <f ca="1">'Raw Material '!U121</f>
        <v>250864705.20796713</v>
      </c>
      <c r="Q127" s="311">
        <f ca="1">'Raw Material '!V121</f>
        <v>258379134.18126902</v>
      </c>
      <c r="R127" s="311">
        <f ca="1">'Raw Material '!W121</f>
        <v>266118719.73137945</v>
      </c>
      <c r="S127" s="311">
        <f ca="1">'Raw Material '!X121</f>
        <v>274090209.92458528</v>
      </c>
      <c r="T127" s="311">
        <f ca="1">'Raw Material '!Y121</f>
        <v>282300555.11001772</v>
      </c>
      <c r="U127" s="311">
        <f ca="1">'Raw Material '!Z121</f>
        <v>290756913.98431766</v>
      </c>
      <c r="V127" s="311">
        <f ca="1">'Raw Material '!AA121</f>
        <v>299466659.8381508</v>
      </c>
      <c r="W127" s="311">
        <f ca="1">'Raw Material '!AB121</f>
        <v>308437386.99002212</v>
      </c>
      <c r="X127" s="311">
        <f ca="1">'Raw Material '!AC121</f>
        <v>317676917.41301095</v>
      </c>
      <c r="Y127" s="311">
        <f ca="1">'Raw Material '!AD121</f>
        <v>327193307.56020844</v>
      </c>
      <c r="Z127" s="311">
        <f ca="1">'Raw Material '!AE121</f>
        <v>336994855.39481729</v>
      </c>
      <c r="AA127" s="311">
        <f ca="1">'Raw Material '!AF121</f>
        <v>347090107.63105154</v>
      </c>
      <c r="AB127" s="311">
        <f ca="1">'Raw Material '!AG121</f>
        <v>357487867.19215816</v>
      </c>
      <c r="AC127" s="311">
        <f ca="1">'Raw Material '!AH121</f>
        <v>368197200.89207029</v>
      </c>
      <c r="AD127" s="311">
        <f ca="1">'Raw Material '!AI121</f>
        <v>379227447.34739929</v>
      </c>
      <c r="AE127" s="311">
        <f ca="1">'Raw Material '!AJ121</f>
        <v>390588225.12667364</v>
      </c>
      <c r="AF127" s="311">
        <f ca="1">'Raw Material '!AK121</f>
        <v>402289441.14393884</v>
      </c>
      <c r="AG127" s="311">
        <f ca="1">'Raw Material '!AL121</f>
        <v>414341299.30404514</v>
      </c>
    </row>
    <row r="128" spans="3:35">
      <c r="D128" s="311"/>
      <c r="E128" s="311"/>
      <c r="F128" s="311"/>
      <c r="G128" s="311"/>
    </row>
    <row r="129" spans="3:33">
      <c r="C129" t="s">
        <v>1952</v>
      </c>
      <c r="D129" s="311">
        <f ca="1">'Raw Material '!I122</f>
        <v>0</v>
      </c>
      <c r="E129" s="311">
        <f ca="1">'Raw Material '!J122</f>
        <v>523727.91769308253</v>
      </c>
      <c r="F129" s="311">
        <f ca="1">'Raw Material '!K122</f>
        <v>670488.7896248945</v>
      </c>
      <c r="G129" s="311">
        <f ca="1">'Raw Material '!L122</f>
        <v>783813.77252365241</v>
      </c>
    </row>
    <row r="137" spans="3:33">
      <c r="F137" s="311">
        <f ca="1">-IS!K9</f>
        <v>29414131.261703771</v>
      </c>
      <c r="G137" s="311">
        <f ca="1">-IS!L9</f>
        <v>106702586.72443059</v>
      </c>
      <c r="H137" s="311">
        <f ca="1">-IS!M9</f>
        <v>109168783.44192578</v>
      </c>
      <c r="I137" s="311">
        <f ca="1">-IS!N9</f>
        <v>111493998.38342088</v>
      </c>
      <c r="J137" s="311">
        <f ca="1">-IS!O9</f>
        <v>114807428.10413587</v>
      </c>
      <c r="K137" s="311">
        <f ca="1">-IS!P9</f>
        <v>117252871.77969016</v>
      </c>
      <c r="L137" s="311">
        <f ca="1">-IS!Q9</f>
        <v>120078554.21458776</v>
      </c>
      <c r="M137" s="311">
        <f ca="1">-IS!R9</f>
        <v>122636411.26543796</v>
      </c>
      <c r="N137" s="311">
        <f ca="1">-IS!S9</f>
        <v>126281261.90439415</v>
      </c>
      <c r="O137" s="311">
        <f ca="1">-IS!T9</f>
        <v>128971392.10746129</v>
      </c>
      <c r="P137" s="311">
        <f ca="1">-IS!U9</f>
        <v>132079777.68690053</v>
      </c>
      <c r="Q137" s="311">
        <f ca="1">-IS!V9</f>
        <v>134893585.21895877</v>
      </c>
      <c r="R137" s="311">
        <f ca="1">-IS!W9</f>
        <v>138903050.04547429</v>
      </c>
      <c r="S137" s="311">
        <f ca="1">-IS!X9</f>
        <v>141862383.78835806</v>
      </c>
      <c r="T137" s="311">
        <f ca="1">-IS!Y9</f>
        <v>145281795.03203517</v>
      </c>
      <c r="U137" s="311">
        <f ca="1">-IS!Z9</f>
        <v>148377200.68794605</v>
      </c>
      <c r="V137" s="311">
        <f ca="1">-IS!AA9</f>
        <v>152787802.84469527</v>
      </c>
      <c r="W137" s="311">
        <f ca="1">-IS!AB9</f>
        <v>156043317.95041707</v>
      </c>
      <c r="X137" s="311">
        <f ca="1">-IS!AC9</f>
        <v>159804919.69592088</v>
      </c>
      <c r="Y137" s="311">
        <f ca="1">-IS!AD9</f>
        <v>163210145.66275007</v>
      </c>
      <c r="Z137" s="311">
        <f ca="1">-IS!AE9</f>
        <v>168062072.88757193</v>
      </c>
      <c r="AA137" s="311">
        <f ca="1">-IS!AF9</f>
        <v>171643455.51716417</v>
      </c>
      <c r="AB137" s="311">
        <f ca="1">-IS!AG9</f>
        <v>175781540.76522607</v>
      </c>
      <c r="AC137" s="311">
        <f ca="1">-IS!AH9</f>
        <v>179527642.77316809</v>
      </c>
      <c r="AD137" s="311">
        <f ca="1">-IS!AI9</f>
        <v>184865115.85168853</v>
      </c>
      <c r="AE137" s="311">
        <f ca="1">-IS!AJ9</f>
        <v>188805032.99592233</v>
      </c>
      <c r="AF137" s="311">
        <f ca="1">-IS!AK9</f>
        <v>193357337.57758921</v>
      </c>
      <c r="AG137" s="311">
        <f ca="1">-IS!AL9</f>
        <v>198019526.98290899</v>
      </c>
    </row>
    <row r="138" spans="3:33">
      <c r="F138" s="395">
        <f ca="1">F137/F10</f>
        <v>2.897497212102219E-2</v>
      </c>
      <c r="G138" s="395">
        <f t="shared" ref="G138:AG138" ca="1" si="47">G137/G10</f>
        <v>6.878210785695596E-2</v>
      </c>
      <c r="H138" s="395">
        <f t="shared" ca="1" si="47"/>
        <v>6.3229612020237955E-2</v>
      </c>
      <c r="I138" s="395">
        <f t="shared" ca="1" si="47"/>
        <v>6.06758896551799E-2</v>
      </c>
      <c r="J138" s="395">
        <f t="shared" ca="1" si="47"/>
        <v>5.8985365043920962E-2</v>
      </c>
      <c r="K138" s="395">
        <f t="shared" ca="1" si="47"/>
        <v>5.7457751111495883E-2</v>
      </c>
      <c r="L138" s="395">
        <f t="shared" ca="1" si="47"/>
        <v>5.6107694766568357E-2</v>
      </c>
      <c r="M138" s="395">
        <f t="shared" ca="1" si="47"/>
        <v>5.462476428011858E-2</v>
      </c>
      <c r="N138" s="395">
        <f t="shared" ca="1" si="47"/>
        <v>5.3604833686739482E-2</v>
      </c>
      <c r="O138" s="395">
        <f t="shared" ca="1" si="47"/>
        <v>5.2159752274094077E-2</v>
      </c>
      <c r="P138" s="395">
        <f t="shared" ca="1" si="47"/>
        <v>5.0878966070983099E-2</v>
      </c>
      <c r="Q138" s="395">
        <f t="shared" ca="1" si="47"/>
        <v>4.9480761191207506E-2</v>
      </c>
      <c r="R138" s="395">
        <f t="shared" ca="1" si="47"/>
        <v>4.8504713240789754E-2</v>
      </c>
      <c r="S138" s="395">
        <f t="shared" ca="1" si="47"/>
        <v>6.6315553616938486E-2</v>
      </c>
      <c r="T138" s="395">
        <f t="shared" ca="1" si="47"/>
        <v>6.593592736307155E-2</v>
      </c>
      <c r="U138" s="395">
        <f t="shared" ca="1" si="47"/>
        <v>6.5379390905356854E-2</v>
      </c>
      <c r="V138" s="395">
        <f t="shared" ca="1" si="47"/>
        <v>6.5361973687158278E-2</v>
      </c>
      <c r="W138" s="395">
        <f t="shared" ca="1" si="47"/>
        <v>6.4810358479896302E-2</v>
      </c>
      <c r="X138" s="395">
        <f t="shared" ca="1" si="47"/>
        <v>6.4439500893863036E-2</v>
      </c>
      <c r="Y138" s="395">
        <f t="shared" ca="1" si="47"/>
        <v>6.3895746802726985E-2</v>
      </c>
      <c r="Z138" s="395">
        <f t="shared" ca="1" si="47"/>
        <v>6.3878879449784418E-2</v>
      </c>
      <c r="AA138" s="395">
        <f t="shared" ca="1" si="47"/>
        <v>6.333993273246849E-2</v>
      </c>
      <c r="AB138" s="395">
        <f t="shared" ca="1" si="47"/>
        <v>6.2977641274179041E-2</v>
      </c>
      <c r="AC138" s="395">
        <f t="shared" ca="1" si="47"/>
        <v>6.2446374294597463E-2</v>
      </c>
      <c r="AD138" s="395">
        <f t="shared" ca="1" si="47"/>
        <v>6.2430044117985695E-2</v>
      </c>
      <c r="AE138" s="395">
        <f t="shared" ca="1" si="47"/>
        <v>6.1903473265915721E-2</v>
      </c>
      <c r="AF138" s="395">
        <f t="shared" ca="1" si="47"/>
        <v>6.1549550073583578E-2</v>
      </c>
      <c r="AG138" s="395">
        <f t="shared" ca="1" si="47"/>
        <v>6.1197688569750448E-2</v>
      </c>
    </row>
    <row r="140" spans="3:33">
      <c r="F140" s="311">
        <f ca="1">-(IS!K8+IS!K9)</f>
        <v>267107863.30881244</v>
      </c>
      <c r="G140" s="311">
        <f ca="1">-(IS!L8+IS!L9)</f>
        <v>397067622.63548803</v>
      </c>
      <c r="H140" s="311">
        <f ca="1">-(IS!M8+IS!M9)</f>
        <v>419659281.86316484</v>
      </c>
      <c r="I140" s="311">
        <f ca="1">-(IS!N8+IS!N9)</f>
        <v>431195899.76817203</v>
      </c>
      <c r="J140" s="311">
        <f ca="1">-(IS!O8+IS!O9)</f>
        <v>443997074.54130435</v>
      </c>
      <c r="K140" s="311">
        <f ca="1">-(IS!P8+IS!P9)</f>
        <v>456214895.62084848</v>
      </c>
      <c r="L140" s="311">
        <f ca="1">-(IS!Q8+IS!Q9)</f>
        <v>469106126.7818557</v>
      </c>
      <c r="M140" s="311">
        <f ca="1">-(IS!R8+IS!R9)</f>
        <v>482031499.02059883</v>
      </c>
      <c r="N140" s="311">
        <f ca="1">-(IS!S8+IS!S9)</f>
        <v>496354890.30308455</v>
      </c>
      <c r="O140" s="311">
        <f ca="1">-(IS!T8+IS!T9)</f>
        <v>510043917.3689872</v>
      </c>
      <c r="P140" s="311">
        <f ca="1">-(IS!U8+IS!U9)</f>
        <v>524481166.71714711</v>
      </c>
      <c r="Q140" s="311">
        <f ca="1">-(IS!V8+IS!V9)</f>
        <v>538963703.93098772</v>
      </c>
      <c r="R140" s="311">
        <f ca="1">-(IS!W8+IS!W9)</f>
        <v>554991960.32973886</v>
      </c>
      <c r="S140" s="311">
        <f ca="1">-(IS!X8+IS!X9)</f>
        <v>570330649.39202535</v>
      </c>
      <c r="T140" s="311">
        <f ca="1">-(IS!Y8+IS!Y9)</f>
        <v>586500796.61468744</v>
      </c>
      <c r="U140" s="311">
        <f ca="1">-(IS!Z8+IS!Z9)</f>
        <v>599286611.86644018</v>
      </c>
      <c r="V140" s="311">
        <f ca="1">-(IS!AA8+IS!AA9)</f>
        <v>613675119.81548715</v>
      </c>
      <c r="W140" s="311">
        <f ca="1">-(IS!AB8+IS!AB9)</f>
        <v>627207877.88727558</v>
      </c>
      <c r="X140" s="311">
        <f ca="1">-(IS!AC8+IS!AC9)</f>
        <v>641555039.88782787</v>
      </c>
      <c r="Y140" s="311">
        <f ca="1">-(IS!AD8+IS!AD9)</f>
        <v>655863392.91735721</v>
      </c>
      <c r="Z140" s="311">
        <f ca="1">-(IS!AE8+IS!AE9)</f>
        <v>671945541.01676011</v>
      </c>
      <c r="AA140" s="311">
        <f ca="1">-(IS!AF8+IS!AF9)</f>
        <v>687094051.14717078</v>
      </c>
      <c r="AB140" s="311">
        <f ca="1">-(IS!AG8+IS!AG9)</f>
        <v>703146277.72107577</v>
      </c>
      <c r="AC140" s="311">
        <f ca="1">-(IS!AH8+IS!AH9)</f>
        <v>719163945.29463613</v>
      </c>
      <c r="AD140" s="311">
        <f ca="1">-(IS!AI8+IS!AI9)</f>
        <v>737141130.90574348</v>
      </c>
      <c r="AE140" s="311">
        <f ca="1">-(IS!AJ8+IS!AJ9)</f>
        <v>754099951.95854175</v>
      </c>
      <c r="AF140" s="311">
        <f ca="1">-(IS!AK8+IS!AK9)</f>
        <v>772061727.56603003</v>
      </c>
      <c r="AG140" s="311">
        <f ca="1">-(IS!AL8+IS!AL9)</f>
        <v>790535672.12794578</v>
      </c>
    </row>
    <row r="141" spans="3:33">
      <c r="F141" s="395">
        <f ca="1">F140/F10</f>
        <v>0.26311988696246646</v>
      </c>
      <c r="G141" s="395">
        <f t="shared" ref="G141:AG141" ca="1" si="48">G140/G10</f>
        <v>0.25595581967616982</v>
      </c>
      <c r="H141" s="395">
        <f t="shared" ca="1" si="48"/>
        <v>0.24306301431869753</v>
      </c>
      <c r="I141" s="395">
        <f t="shared" ca="1" si="48"/>
        <v>0.23466011815385818</v>
      </c>
      <c r="J141" s="395">
        <f t="shared" ca="1" si="48"/>
        <v>0.2281152879454528</v>
      </c>
      <c r="K141" s="395">
        <f t="shared" ca="1" si="48"/>
        <v>0.22356025509714003</v>
      </c>
      <c r="L141" s="395">
        <f t="shared" ca="1" si="48"/>
        <v>0.21919370654286185</v>
      </c>
      <c r="M141" s="395">
        <f t="shared" ca="1" si="48"/>
        <v>0.21470668244361063</v>
      </c>
      <c r="N141" s="395">
        <f t="shared" ca="1" si="48"/>
        <v>0.21069651144633389</v>
      </c>
      <c r="O141" s="395">
        <f t="shared" ca="1" si="48"/>
        <v>0.20627647685393785</v>
      </c>
      <c r="P141" s="395">
        <f t="shared" ca="1" si="48"/>
        <v>0.20203743490187553</v>
      </c>
      <c r="Q141" s="395">
        <f t="shared" ca="1" si="48"/>
        <v>0.1976990550117704</v>
      </c>
      <c r="R141" s="395">
        <f t="shared" ca="1" si="48"/>
        <v>0.19380226624199198</v>
      </c>
      <c r="S141" s="395">
        <f t="shared" ca="1" si="48"/>
        <v>0.26660903157785543</v>
      </c>
      <c r="T141" s="395">
        <f t="shared" ca="1" si="48"/>
        <v>0.26618251733083576</v>
      </c>
      <c r="U141" s="395">
        <f t="shared" ca="1" si="48"/>
        <v>0.26406343750860284</v>
      </c>
      <c r="V141" s="395">
        <f t="shared" ca="1" si="48"/>
        <v>0.26252761206740671</v>
      </c>
      <c r="W141" s="395">
        <f t="shared" ca="1" si="48"/>
        <v>0.2605018141193704</v>
      </c>
      <c r="X141" s="395">
        <f t="shared" ca="1" si="48"/>
        <v>0.25869971115394447</v>
      </c>
      <c r="Y141" s="395">
        <f t="shared" ca="1" si="48"/>
        <v>0.25676639844203897</v>
      </c>
      <c r="Z141" s="395">
        <f t="shared" ca="1" si="48"/>
        <v>0.25540044504951437</v>
      </c>
      <c r="AA141" s="395">
        <f t="shared" ca="1" si="48"/>
        <v>0.2535517060607595</v>
      </c>
      <c r="AB141" s="395">
        <f t="shared" ca="1" si="48"/>
        <v>0.25191777162049062</v>
      </c>
      <c r="AC141" s="395">
        <f t="shared" ca="1" si="48"/>
        <v>0.25015189980403574</v>
      </c>
      <c r="AD141" s="395">
        <f t="shared" ca="1" si="48"/>
        <v>0.24893692415473145</v>
      </c>
      <c r="AE141" s="395">
        <f t="shared" ca="1" si="48"/>
        <v>0.24724661983402799</v>
      </c>
      <c r="AF141" s="395">
        <f t="shared" ca="1" si="48"/>
        <v>0.2457628583226342</v>
      </c>
      <c r="AG141" s="395">
        <f t="shared" ca="1" si="48"/>
        <v>0.24431406641194506</v>
      </c>
    </row>
  </sheetData>
  <phoneticPr fontId="47" type="noConversion"/>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6392B-E9D5-44F9-B321-CE384F6C35F4}">
  <sheetPr codeName="Sheet36"/>
  <dimension ref="B3:H27"/>
  <sheetViews>
    <sheetView workbookViewId="0">
      <selection activeCell="D6" sqref="D5:E6"/>
    </sheetView>
  </sheetViews>
  <sheetFormatPr defaultColWidth="9.14453125" defaultRowHeight="12.75"/>
  <cols>
    <col min="1" max="1" width="9.14453125" style="1010"/>
    <col min="2" max="2" width="100.62109375" style="1010" customWidth="1"/>
    <col min="3" max="3" width="5.91796875" style="1010" customWidth="1"/>
    <col min="4" max="16384" width="9.14453125" style="1010"/>
  </cols>
  <sheetData>
    <row r="3" spans="2:8">
      <c r="B3" s="1015" t="s">
        <v>1188</v>
      </c>
    </row>
    <row r="4" spans="2:8">
      <c r="B4" s="1014" t="s">
        <v>1163</v>
      </c>
    </row>
    <row r="6" spans="2:8">
      <c r="B6" s="1011" t="s">
        <v>1189</v>
      </c>
      <c r="C6" s="1016">
        <v>11.58</v>
      </c>
      <c r="D6" s="1011" t="s">
        <v>1190</v>
      </c>
    </row>
    <row r="7" spans="2:8">
      <c r="B7" s="1011" t="s">
        <v>1191</v>
      </c>
      <c r="C7" s="1016">
        <v>12.54</v>
      </c>
      <c r="D7" s="1011" t="s">
        <v>1190</v>
      </c>
    </row>
    <row r="8" spans="2:8">
      <c r="B8" s="1011" t="s">
        <v>1192</v>
      </c>
      <c r="C8" s="1016">
        <v>13.74</v>
      </c>
      <c r="D8" s="1011" t="s">
        <v>1190</v>
      </c>
    </row>
    <row r="9" spans="2:8">
      <c r="B9" s="1011" t="s">
        <v>1193</v>
      </c>
      <c r="C9" s="1016">
        <v>10.83</v>
      </c>
      <c r="D9" s="1011" t="s">
        <v>1190</v>
      </c>
    </row>
    <row r="10" spans="2:8">
      <c r="B10" s="1011" t="s">
        <v>1194</v>
      </c>
      <c r="C10" s="1016">
        <v>12.23</v>
      </c>
      <c r="D10" s="1011" t="s">
        <v>1190</v>
      </c>
    </row>
    <row r="11" spans="2:8">
      <c r="B11" s="1011" t="s">
        <v>1195</v>
      </c>
      <c r="C11" s="1016">
        <v>8.5</v>
      </c>
      <c r="D11" s="1011" t="s">
        <v>1190</v>
      </c>
    </row>
    <row r="12" spans="2:8">
      <c r="B12" s="1011" t="s">
        <v>1196</v>
      </c>
      <c r="C12" s="1016">
        <v>8.0500000000000007</v>
      </c>
      <c r="D12" s="1011" t="s">
        <v>1190</v>
      </c>
    </row>
    <row r="13" spans="2:8">
      <c r="B13" s="1011" t="s">
        <v>1197</v>
      </c>
      <c r="C13" s="1016">
        <v>9.01</v>
      </c>
      <c r="D13" s="1011" t="s">
        <v>1190</v>
      </c>
    </row>
    <row r="14" spans="2:8">
      <c r="B14" s="1011" t="s">
        <v>1198</v>
      </c>
      <c r="C14" s="1016">
        <v>15.7</v>
      </c>
      <c r="D14" s="1011" t="s">
        <v>1190</v>
      </c>
    </row>
    <row r="15" spans="2:8">
      <c r="B15" s="1011" t="s">
        <v>1199</v>
      </c>
      <c r="C15" s="1016">
        <v>16.5</v>
      </c>
      <c r="D15" s="1011" t="s">
        <v>1190</v>
      </c>
      <c r="H15" s="1010" t="s">
        <v>1338</v>
      </c>
    </row>
    <row r="16" spans="2:8">
      <c r="B16" s="1011" t="s">
        <v>1200</v>
      </c>
      <c r="C16" s="1016">
        <v>12.09</v>
      </c>
      <c r="D16" s="1011" t="s">
        <v>1190</v>
      </c>
    </row>
    <row r="17" spans="2:4">
      <c r="B17" s="1011" t="s">
        <v>1201</v>
      </c>
      <c r="C17" s="1016">
        <v>11.4</v>
      </c>
      <c r="D17" s="1011" t="s">
        <v>1190</v>
      </c>
    </row>
    <row r="18" spans="2:4">
      <c r="B18" s="1011" t="s">
        <v>1202</v>
      </c>
      <c r="C18" s="1016">
        <v>13.25</v>
      </c>
      <c r="D18" s="1011" t="s">
        <v>1190</v>
      </c>
    </row>
    <row r="19" spans="2:4">
      <c r="B19" s="1011" t="s">
        <v>1203</v>
      </c>
      <c r="C19" s="1016">
        <v>16.95</v>
      </c>
      <c r="D19" s="1011" t="s">
        <v>1190</v>
      </c>
    </row>
    <row r="20" spans="2:4">
      <c r="B20" s="1011" t="s">
        <v>1204</v>
      </c>
      <c r="C20" s="1016">
        <v>18.850000000000001</v>
      </c>
      <c r="D20" s="1011" t="s">
        <v>1190</v>
      </c>
    </row>
    <row r="21" spans="2:4">
      <c r="B21" s="1011" t="s">
        <v>1205</v>
      </c>
      <c r="C21" s="1016">
        <v>24.66</v>
      </c>
      <c r="D21" s="1011" t="s">
        <v>1190</v>
      </c>
    </row>
    <row r="22" spans="2:4">
      <c r="B22" s="1011" t="s">
        <v>1206</v>
      </c>
      <c r="C22" s="1016">
        <v>26.31</v>
      </c>
      <c r="D22" s="1011" t="s">
        <v>1190</v>
      </c>
    </row>
    <row r="23" spans="2:4">
      <c r="B23" s="1011" t="s">
        <v>1207</v>
      </c>
      <c r="C23" s="1016">
        <v>22.97</v>
      </c>
      <c r="D23" s="1011" t="s">
        <v>1190</v>
      </c>
    </row>
    <row r="24" spans="2:4">
      <c r="B24" s="1011" t="s">
        <v>1208</v>
      </c>
      <c r="C24" s="1016">
        <v>16.02</v>
      </c>
      <c r="D24" s="1011" t="s">
        <v>1190</v>
      </c>
    </row>
    <row r="25" spans="2:4">
      <c r="B25" s="1011" t="s">
        <v>1209</v>
      </c>
      <c r="C25" s="1016">
        <v>15.38</v>
      </c>
      <c r="D25" s="1011" t="s">
        <v>1190</v>
      </c>
    </row>
    <row r="26" spans="2:4">
      <c r="B26" s="1011" t="s">
        <v>1210</v>
      </c>
      <c r="C26" s="1017">
        <v>14</v>
      </c>
      <c r="D26" s="1011" t="s">
        <v>1190</v>
      </c>
    </row>
    <row r="27" spans="2:4">
      <c r="B27" s="1011" t="s">
        <v>1211</v>
      </c>
      <c r="C27" s="1017">
        <v>14</v>
      </c>
      <c r="D27" s="1011" t="s">
        <v>1190</v>
      </c>
    </row>
  </sheetData>
  <pageMargins left="0.75" right="0.75" top="1" bottom="1" header="0.5" footer="0.5"/>
  <pageSetup orientation="portrai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theme="9" tint="0.39997558519241921"/>
  </sheetPr>
  <dimension ref="A1:AX64"/>
  <sheetViews>
    <sheetView workbookViewId="0">
      <selection activeCell="C6" sqref="C6"/>
    </sheetView>
  </sheetViews>
  <sheetFormatPr defaultColWidth="9.14453125" defaultRowHeight="10.5"/>
  <cols>
    <col min="1" max="1" width="3.8984375" style="2" customWidth="1"/>
    <col min="2" max="2" width="35.37890625" style="2" customWidth="1"/>
    <col min="3" max="3" width="9.14453125" style="2"/>
    <col min="4" max="4" width="14.9296875" style="2" customWidth="1"/>
    <col min="5" max="5" width="2.82421875" style="2" customWidth="1"/>
    <col min="6" max="6" width="14.390625" style="2" customWidth="1"/>
    <col min="7" max="7" width="13.046875" style="2" customWidth="1"/>
    <col min="8" max="8" width="14.9296875" style="2" customWidth="1"/>
    <col min="9" max="9" width="12.9140625" style="2" bestFit="1" customWidth="1"/>
    <col min="10" max="11" width="10.625" style="2" bestFit="1" customWidth="1"/>
    <col min="12" max="35" width="13.85546875" style="2" customWidth="1"/>
    <col min="36" max="49" width="14.9296875" style="2" customWidth="1"/>
    <col min="50" max="50" width="2.82421875" style="135" customWidth="1"/>
    <col min="51" max="16384" width="9.14453125" style="2"/>
  </cols>
  <sheetData>
    <row r="1" spans="1:49" s="2714" customFormat="1" ht="14.25">
      <c r="A1" s="3263" t="s">
        <v>672</v>
      </c>
      <c r="B1" s="3264"/>
      <c r="C1" s="3264"/>
      <c r="D1" s="3264"/>
      <c r="E1" s="3264"/>
      <c r="F1" s="3264"/>
      <c r="G1" s="3264"/>
      <c r="H1" s="3264"/>
      <c r="I1" s="3264"/>
      <c r="J1" s="3264"/>
      <c r="K1" s="3264"/>
      <c r="L1" s="3264"/>
      <c r="M1" s="3264"/>
      <c r="N1" s="3264"/>
      <c r="O1" s="3264"/>
    </row>
    <row r="2" spans="1:49" s="135" customFormat="1" ht="11.25">
      <c r="A2" s="2711" t="s">
        <v>2399</v>
      </c>
      <c r="B2" s="2711"/>
      <c r="C2" s="2704"/>
      <c r="D2" s="2704"/>
      <c r="E2" s="2704"/>
      <c r="F2" s="2704"/>
      <c r="G2" s="2704"/>
      <c r="H2" s="2704" t="s">
        <v>0</v>
      </c>
      <c r="I2" s="2714">
        <f>'Timing &amp; Flags'!I2</f>
        <v>1</v>
      </c>
      <c r="J2" s="2714">
        <f>'Timing &amp; Flags'!J2</f>
        <v>2</v>
      </c>
      <c r="K2" s="2714">
        <f>'Timing &amp; Flags'!K2</f>
        <v>3</v>
      </c>
      <c r="L2" s="2714">
        <f>'Timing &amp; Flags'!L2</f>
        <v>4</v>
      </c>
      <c r="M2" s="2714">
        <f>'Timing &amp; Flags'!M2</f>
        <v>5</v>
      </c>
      <c r="N2" s="2714">
        <f>'Timing &amp; Flags'!N2</f>
        <v>6</v>
      </c>
      <c r="O2" s="2714">
        <f>'Timing &amp; Flags'!O2</f>
        <v>7</v>
      </c>
      <c r="P2" s="2714">
        <f>'Timing &amp; Flags'!P2</f>
        <v>8</v>
      </c>
      <c r="Q2" s="2714">
        <f>'Timing &amp; Flags'!Q2</f>
        <v>9</v>
      </c>
      <c r="R2" s="2714">
        <f>'Timing &amp; Flags'!R2</f>
        <v>10</v>
      </c>
      <c r="S2" s="2714">
        <f>'Timing &amp; Flags'!S2</f>
        <v>11</v>
      </c>
      <c r="T2" s="2714">
        <f>'Timing &amp; Flags'!T2</f>
        <v>12</v>
      </c>
      <c r="U2" s="2714">
        <f>'Timing &amp; Flags'!U2</f>
        <v>13</v>
      </c>
      <c r="V2" s="2714">
        <f>'Timing &amp; Flags'!V2</f>
        <v>14</v>
      </c>
      <c r="W2" s="2714">
        <f>'Timing &amp; Flags'!W2</f>
        <v>15</v>
      </c>
      <c r="X2" s="2714">
        <f>'Timing &amp; Flags'!X2</f>
        <v>16</v>
      </c>
      <c r="Y2" s="2714">
        <f>'Timing &amp; Flags'!Y2</f>
        <v>17</v>
      </c>
      <c r="Z2" s="2714">
        <f>'Timing &amp; Flags'!Z2</f>
        <v>18</v>
      </c>
      <c r="AA2" s="2714">
        <f>'Timing &amp; Flags'!AA2</f>
        <v>19</v>
      </c>
      <c r="AB2" s="2714">
        <f>'Timing &amp; Flags'!AB2</f>
        <v>20</v>
      </c>
      <c r="AC2" s="2714">
        <f>'Timing &amp; Flags'!AC2</f>
        <v>21</v>
      </c>
      <c r="AD2" s="2714">
        <f>'Timing &amp; Flags'!AD2</f>
        <v>22</v>
      </c>
      <c r="AE2" s="2714">
        <f>'Timing &amp; Flags'!AE2</f>
        <v>23</v>
      </c>
      <c r="AF2" s="2714">
        <f>'Timing &amp; Flags'!AF2</f>
        <v>24</v>
      </c>
      <c r="AG2" s="2714">
        <f>'Timing &amp; Flags'!AG2</f>
        <v>25</v>
      </c>
      <c r="AH2" s="2714">
        <f>'Timing &amp; Flags'!AH2</f>
        <v>26</v>
      </c>
      <c r="AI2" s="2714">
        <f>'Timing &amp; Flags'!AI2</f>
        <v>27</v>
      </c>
      <c r="AJ2" s="2714">
        <f>'Timing &amp; Flags'!AJ2</f>
        <v>28</v>
      </c>
      <c r="AK2" s="2714">
        <f>'Timing &amp; Flags'!AK2</f>
        <v>29</v>
      </c>
      <c r="AL2" s="2714">
        <f>'Timing &amp; Flags'!AL2</f>
        <v>30</v>
      </c>
      <c r="AM2" s="2714">
        <f>'Timing &amp; Flags'!AM2</f>
        <v>31</v>
      </c>
      <c r="AN2" s="2714">
        <f>'Timing &amp; Flags'!AN2</f>
        <v>32</v>
      </c>
      <c r="AO2" s="2714">
        <f>'Timing &amp; Flags'!AO2</f>
        <v>33</v>
      </c>
      <c r="AP2" s="2714">
        <f>'Timing &amp; Flags'!AP2</f>
        <v>34</v>
      </c>
      <c r="AQ2" s="2714">
        <f>'Timing &amp; Flags'!AQ2</f>
        <v>35</v>
      </c>
      <c r="AR2" s="2714">
        <f>'Timing &amp; Flags'!AR2</f>
        <v>36</v>
      </c>
      <c r="AS2" s="2714">
        <f>'Timing &amp; Flags'!AS2</f>
        <v>37</v>
      </c>
      <c r="AT2" s="2714">
        <f>'Timing &amp; Flags'!AT2</f>
        <v>38</v>
      </c>
      <c r="AU2" s="2714">
        <f>'Timing &amp; Flags'!AU2</f>
        <v>39</v>
      </c>
      <c r="AV2" s="2714">
        <f>'Timing &amp; Flags'!AV2</f>
        <v>40</v>
      </c>
      <c r="AW2" s="2714">
        <f>'Timing &amp; Flags'!AW2</f>
        <v>41</v>
      </c>
    </row>
    <row r="3" spans="1:49" s="135" customFormat="1" ht="11.25">
      <c r="A3" s="2711" t="s">
        <v>2395</v>
      </c>
      <c r="B3" s="2704"/>
      <c r="C3" s="2704"/>
      <c r="D3" s="2704"/>
      <c r="E3" s="2704"/>
      <c r="F3" s="2704"/>
      <c r="G3" s="2704"/>
      <c r="H3" s="2704" t="s">
        <v>1</v>
      </c>
      <c r="I3" s="2719">
        <f>'Timing &amp; Flags'!I3</f>
        <v>46023</v>
      </c>
      <c r="J3" s="2719">
        <f>'Timing &amp; Flags'!J3</f>
        <v>46388</v>
      </c>
      <c r="K3" s="2719">
        <f>'Timing &amp; Flags'!K3</f>
        <v>46753</v>
      </c>
      <c r="L3" s="2719">
        <f>'Timing &amp; Flags'!L3</f>
        <v>47119</v>
      </c>
      <c r="M3" s="2719">
        <f>'Timing &amp; Flags'!M3</f>
        <v>47484</v>
      </c>
      <c r="N3" s="2719">
        <f>'Timing &amp; Flags'!N3</f>
        <v>47849</v>
      </c>
      <c r="O3" s="2719">
        <f>'Timing &amp; Flags'!O3</f>
        <v>48214</v>
      </c>
      <c r="P3" s="2719">
        <f>'Timing &amp; Flags'!P3</f>
        <v>48580</v>
      </c>
      <c r="Q3" s="2719">
        <f>'Timing &amp; Flags'!Q3</f>
        <v>48945</v>
      </c>
      <c r="R3" s="2719">
        <f>'Timing &amp; Flags'!R3</f>
        <v>49310</v>
      </c>
      <c r="S3" s="2719">
        <f>'Timing &amp; Flags'!S3</f>
        <v>49675</v>
      </c>
      <c r="T3" s="2719">
        <f>'Timing &amp; Flags'!T3</f>
        <v>50041</v>
      </c>
      <c r="U3" s="2719">
        <f>'Timing &amp; Flags'!U3</f>
        <v>50406</v>
      </c>
      <c r="V3" s="2719">
        <f>'Timing &amp; Flags'!V3</f>
        <v>50771</v>
      </c>
      <c r="W3" s="2719">
        <f>'Timing &amp; Flags'!W3</f>
        <v>51136</v>
      </c>
      <c r="X3" s="2719">
        <f>'Timing &amp; Flags'!X3</f>
        <v>51502</v>
      </c>
      <c r="Y3" s="2719">
        <f>'Timing &amp; Flags'!Y3</f>
        <v>51867</v>
      </c>
      <c r="Z3" s="2719">
        <f>'Timing &amp; Flags'!Z3</f>
        <v>52232</v>
      </c>
      <c r="AA3" s="2719">
        <f>'Timing &amp; Flags'!AA3</f>
        <v>52597</v>
      </c>
      <c r="AB3" s="2719">
        <f>'Timing &amp; Flags'!AB3</f>
        <v>52963</v>
      </c>
      <c r="AC3" s="2719">
        <f>'Timing &amp; Flags'!AC3</f>
        <v>53328</v>
      </c>
      <c r="AD3" s="2719">
        <f>'Timing &amp; Flags'!AD3</f>
        <v>53693</v>
      </c>
      <c r="AE3" s="2719">
        <f>'Timing &amp; Flags'!AE3</f>
        <v>54058</v>
      </c>
      <c r="AF3" s="2719">
        <f>'Timing &amp; Flags'!AF3</f>
        <v>54424</v>
      </c>
      <c r="AG3" s="2719">
        <f>'Timing &amp; Flags'!AG3</f>
        <v>54789</v>
      </c>
      <c r="AH3" s="2719">
        <f>'Timing &amp; Flags'!AH3</f>
        <v>55154</v>
      </c>
      <c r="AI3" s="2719">
        <f>'Timing &amp; Flags'!AI3</f>
        <v>55519</v>
      </c>
      <c r="AJ3" s="2719">
        <f>'Timing &amp; Flags'!AJ3</f>
        <v>55885</v>
      </c>
      <c r="AK3" s="2719">
        <f>'Timing &amp; Flags'!AK3</f>
        <v>56250</v>
      </c>
      <c r="AL3" s="2719">
        <f>'Timing &amp; Flags'!AL3</f>
        <v>56615</v>
      </c>
      <c r="AM3" s="2719">
        <f>'Timing &amp; Flags'!AM3</f>
        <v>56980</v>
      </c>
      <c r="AN3" s="2719">
        <f>'Timing &amp; Flags'!AN3</f>
        <v>57346</v>
      </c>
      <c r="AO3" s="2719">
        <f>'Timing &amp; Flags'!AO3</f>
        <v>57711</v>
      </c>
      <c r="AP3" s="2719">
        <f>'Timing &amp; Flags'!AP3</f>
        <v>58076</v>
      </c>
      <c r="AQ3" s="2719">
        <f>'Timing &amp; Flags'!AQ3</f>
        <v>58441</v>
      </c>
      <c r="AR3" s="2719">
        <f>'Timing &amp; Flags'!AR3</f>
        <v>58807</v>
      </c>
      <c r="AS3" s="2719">
        <f>'Timing &amp; Flags'!AS3</f>
        <v>59172</v>
      </c>
      <c r="AT3" s="2719">
        <f>'Timing &amp; Flags'!AT3</f>
        <v>59537</v>
      </c>
      <c r="AU3" s="2719">
        <f>'Timing &amp; Flags'!AU3</f>
        <v>59902</v>
      </c>
      <c r="AV3" s="2719">
        <f>'Timing &amp; Flags'!AV3</f>
        <v>60268</v>
      </c>
      <c r="AW3" s="2719">
        <f>'Timing &amp; Flags'!AW3</f>
        <v>60633</v>
      </c>
    </row>
    <row r="4" spans="1:49" s="135" customFormat="1" ht="11.25">
      <c r="A4" s="2704" t="s">
        <v>849</v>
      </c>
      <c r="B4" s="2704"/>
      <c r="C4" s="2704"/>
      <c r="D4" s="2704"/>
      <c r="E4" s="2704"/>
      <c r="F4" s="2704"/>
      <c r="G4" s="2704"/>
      <c r="H4" s="2704" t="s">
        <v>2</v>
      </c>
      <c r="I4" s="2722">
        <f>'Timing &amp; Flags'!I4</f>
        <v>46387</v>
      </c>
      <c r="J4" s="2722">
        <f>'Timing &amp; Flags'!J4</f>
        <v>46752</v>
      </c>
      <c r="K4" s="2722">
        <f>'Timing &amp; Flags'!K4</f>
        <v>47118</v>
      </c>
      <c r="L4" s="2722">
        <f>'Timing &amp; Flags'!L4</f>
        <v>47483</v>
      </c>
      <c r="M4" s="2722">
        <f>'Timing &amp; Flags'!M4</f>
        <v>47848</v>
      </c>
      <c r="N4" s="2722">
        <f>'Timing &amp; Flags'!N4</f>
        <v>48213</v>
      </c>
      <c r="O4" s="2722">
        <f>'Timing &amp; Flags'!O4</f>
        <v>48579</v>
      </c>
      <c r="P4" s="2722">
        <f>'Timing &amp; Flags'!P4</f>
        <v>48944</v>
      </c>
      <c r="Q4" s="2722">
        <f>'Timing &amp; Flags'!Q4</f>
        <v>49309</v>
      </c>
      <c r="R4" s="2722">
        <f>'Timing &amp; Flags'!R4</f>
        <v>49674</v>
      </c>
      <c r="S4" s="2722">
        <f>'Timing &amp; Flags'!S4</f>
        <v>50040</v>
      </c>
      <c r="T4" s="2722">
        <f>'Timing &amp; Flags'!T4</f>
        <v>50405</v>
      </c>
      <c r="U4" s="2722">
        <f>'Timing &amp; Flags'!U4</f>
        <v>50770</v>
      </c>
      <c r="V4" s="2722">
        <f>'Timing &amp; Flags'!V4</f>
        <v>51135</v>
      </c>
      <c r="W4" s="2722">
        <f>'Timing &amp; Flags'!W4</f>
        <v>51501</v>
      </c>
      <c r="X4" s="2722">
        <f>'Timing &amp; Flags'!X4</f>
        <v>51866</v>
      </c>
      <c r="Y4" s="2722">
        <f>'Timing &amp; Flags'!Y4</f>
        <v>52231</v>
      </c>
      <c r="Z4" s="2722">
        <f>'Timing &amp; Flags'!Z4</f>
        <v>52596</v>
      </c>
      <c r="AA4" s="2722">
        <f>'Timing &amp; Flags'!AA4</f>
        <v>52962</v>
      </c>
      <c r="AB4" s="2722">
        <f>'Timing &amp; Flags'!AB4</f>
        <v>53327</v>
      </c>
      <c r="AC4" s="2722">
        <f>'Timing &amp; Flags'!AC4</f>
        <v>53692</v>
      </c>
      <c r="AD4" s="2722">
        <f>'Timing &amp; Flags'!AD4</f>
        <v>54057</v>
      </c>
      <c r="AE4" s="2722">
        <f>'Timing &amp; Flags'!AE4</f>
        <v>54423</v>
      </c>
      <c r="AF4" s="2722">
        <f>'Timing &amp; Flags'!AF4</f>
        <v>54788</v>
      </c>
      <c r="AG4" s="2722">
        <f>'Timing &amp; Flags'!AG4</f>
        <v>55153</v>
      </c>
      <c r="AH4" s="2722">
        <f>'Timing &amp; Flags'!AH4</f>
        <v>55518</v>
      </c>
      <c r="AI4" s="2722">
        <f>'Timing &amp; Flags'!AI4</f>
        <v>55884</v>
      </c>
      <c r="AJ4" s="2722">
        <f>'Timing &amp; Flags'!AJ4</f>
        <v>56249</v>
      </c>
      <c r="AK4" s="2722">
        <f>'Timing &amp; Flags'!AK4</f>
        <v>56614</v>
      </c>
      <c r="AL4" s="2722">
        <f>'Timing &amp; Flags'!AL4</f>
        <v>56979</v>
      </c>
      <c r="AM4" s="2722">
        <f>'Timing &amp; Flags'!AM4</f>
        <v>57345</v>
      </c>
      <c r="AN4" s="2722">
        <f>'Timing &amp; Flags'!AN4</f>
        <v>57710</v>
      </c>
      <c r="AO4" s="2722">
        <f>'Timing &amp; Flags'!AO4</f>
        <v>58075</v>
      </c>
      <c r="AP4" s="2722">
        <f>'Timing &amp; Flags'!AP4</f>
        <v>58440</v>
      </c>
      <c r="AQ4" s="2722">
        <f>'Timing &amp; Flags'!AQ4</f>
        <v>58806</v>
      </c>
      <c r="AR4" s="2722">
        <f>'Timing &amp; Flags'!AR4</f>
        <v>59171</v>
      </c>
      <c r="AS4" s="2722">
        <f>'Timing &amp; Flags'!AS4</f>
        <v>59536</v>
      </c>
      <c r="AT4" s="2722">
        <f>'Timing &amp; Flags'!AT4</f>
        <v>59901</v>
      </c>
      <c r="AU4" s="2722">
        <f>'Timing &amp; Flags'!AU4</f>
        <v>60267</v>
      </c>
      <c r="AV4" s="2722">
        <f>'Timing &amp; Flags'!AV4</f>
        <v>60632</v>
      </c>
      <c r="AW4" s="2722">
        <f>'Timing &amp; Flags'!AW4</f>
        <v>60997</v>
      </c>
    </row>
    <row r="5" spans="1:49" s="135" customFormat="1" ht="11.25">
      <c r="A5" s="2704" t="s">
        <v>640</v>
      </c>
      <c r="B5" s="2704"/>
      <c r="C5" s="2704"/>
      <c r="D5" s="2704"/>
      <c r="E5" s="2704"/>
      <c r="F5" s="2704"/>
      <c r="G5" s="2704"/>
      <c r="H5" s="2704" t="s">
        <v>3</v>
      </c>
      <c r="I5" s="2723">
        <f ca="1">'Timing &amp; Flags'!I5</f>
        <v>365</v>
      </c>
      <c r="J5" s="2723">
        <f ca="1">'Timing &amp; Flags'!J5</f>
        <v>366</v>
      </c>
      <c r="K5" s="2723">
        <f ca="1">'Timing &amp; Flags'!K5</f>
        <v>365</v>
      </c>
      <c r="L5" s="2723">
        <f ca="1">'Timing &amp; Flags'!L5</f>
        <v>365</v>
      </c>
      <c r="M5" s="2723">
        <f ca="1">'Timing &amp; Flags'!M5</f>
        <v>365</v>
      </c>
      <c r="N5" s="2723">
        <f ca="1">'Timing &amp; Flags'!N5</f>
        <v>366</v>
      </c>
      <c r="O5" s="2723">
        <f ca="1">'Timing &amp; Flags'!O5</f>
        <v>365</v>
      </c>
      <c r="P5" s="2723">
        <f ca="1">'Timing &amp; Flags'!P5</f>
        <v>365</v>
      </c>
      <c r="Q5" s="2723">
        <f ca="1">'Timing &amp; Flags'!Q5</f>
        <v>365</v>
      </c>
      <c r="R5" s="2723">
        <f ca="1">'Timing &amp; Flags'!R5</f>
        <v>366</v>
      </c>
      <c r="S5" s="2723">
        <f ca="1">'Timing &amp; Flags'!S5</f>
        <v>365</v>
      </c>
      <c r="T5" s="2723">
        <f ca="1">'Timing &amp; Flags'!T5</f>
        <v>365</v>
      </c>
      <c r="U5" s="2723">
        <f ca="1">'Timing &amp; Flags'!U5</f>
        <v>365</v>
      </c>
      <c r="V5" s="2723">
        <f ca="1">'Timing &amp; Flags'!V5</f>
        <v>366</v>
      </c>
      <c r="W5" s="2723">
        <f ca="1">'Timing &amp; Flags'!W5</f>
        <v>365</v>
      </c>
      <c r="X5" s="2723">
        <f ca="1">'Timing &amp; Flags'!X5</f>
        <v>365</v>
      </c>
      <c r="Y5" s="2723">
        <f ca="1">'Timing &amp; Flags'!Y5</f>
        <v>365</v>
      </c>
      <c r="Z5" s="2723">
        <f ca="1">'Timing &amp; Flags'!Z5</f>
        <v>366</v>
      </c>
      <c r="AA5" s="2723">
        <f ca="1">'Timing &amp; Flags'!AA5</f>
        <v>365</v>
      </c>
      <c r="AB5" s="2723">
        <f ca="1">'Timing &amp; Flags'!AB5</f>
        <v>365</v>
      </c>
      <c r="AC5" s="2723">
        <f ca="1">'Timing &amp; Flags'!AC5</f>
        <v>365</v>
      </c>
      <c r="AD5" s="2723">
        <f ca="1">'Timing &amp; Flags'!AD5</f>
        <v>366</v>
      </c>
      <c r="AE5" s="2723">
        <f ca="1">'Timing &amp; Flags'!AE5</f>
        <v>365</v>
      </c>
      <c r="AF5" s="2723">
        <f ca="1">'Timing &amp; Flags'!AF5</f>
        <v>365</v>
      </c>
      <c r="AG5" s="2723">
        <f ca="1">'Timing &amp; Flags'!AG5</f>
        <v>365</v>
      </c>
      <c r="AH5" s="2723">
        <f ca="1">'Timing &amp; Flags'!AH5</f>
        <v>366</v>
      </c>
      <c r="AI5" s="2723">
        <f ca="1">'Timing &amp; Flags'!AI5</f>
        <v>365</v>
      </c>
      <c r="AJ5" s="2723">
        <f ca="1">'Timing &amp; Flags'!AJ5</f>
        <v>365</v>
      </c>
      <c r="AK5" s="2723">
        <f ca="1">'Timing &amp; Flags'!AK5</f>
        <v>365</v>
      </c>
      <c r="AL5" s="2723">
        <f ca="1">'Timing &amp; Flags'!AL5</f>
        <v>365</v>
      </c>
      <c r="AM5" s="2723">
        <f ca="1">'Timing &amp; Flags'!AM5</f>
        <v>365</v>
      </c>
      <c r="AN5" s="2723">
        <f ca="1">'Timing &amp; Flags'!AN5</f>
        <v>365</v>
      </c>
      <c r="AO5" s="2723">
        <f ca="1">'Timing &amp; Flags'!AO5</f>
        <v>365</v>
      </c>
      <c r="AP5" s="2723">
        <f ca="1">'Timing &amp; Flags'!AP5</f>
        <v>365</v>
      </c>
      <c r="AQ5" s="2723">
        <f ca="1">'Timing &amp; Flags'!AQ5</f>
        <v>365</v>
      </c>
      <c r="AR5" s="2723">
        <f ca="1">'Timing &amp; Flags'!AR5</f>
        <v>365</v>
      </c>
      <c r="AS5" s="2723">
        <f ca="1">'Timing &amp; Flags'!AS5</f>
        <v>365</v>
      </c>
      <c r="AT5" s="2723">
        <f ca="1">'Timing &amp; Flags'!AT5</f>
        <v>365</v>
      </c>
      <c r="AU5" s="2723">
        <f ca="1">'Timing &amp; Flags'!AU5</f>
        <v>365</v>
      </c>
      <c r="AV5" s="2723">
        <f ca="1">'Timing &amp; Flags'!AV5</f>
        <v>365</v>
      </c>
      <c r="AW5" s="2723">
        <f ca="1">'Timing &amp; Flags'!AW5</f>
        <v>365</v>
      </c>
    </row>
    <row r="7" spans="1:49">
      <c r="B7" s="2" t="s">
        <v>613</v>
      </c>
      <c r="D7" s="119">
        <f ca="1">SUM(D14:D57)</f>
        <v>0</v>
      </c>
    </row>
    <row r="9" spans="1:49">
      <c r="A9" s="6" t="s">
        <v>614</v>
      </c>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1" spans="1:49">
      <c r="B11" s="10" t="s">
        <v>615</v>
      </c>
    </row>
    <row r="12" spans="1:49">
      <c r="B12" s="2" t="s">
        <v>616</v>
      </c>
      <c r="C12" s="15" t="str">
        <f>IF('Input '!$F$9=1,"US$","=N=")</f>
        <v>US$</v>
      </c>
      <c r="I12" s="41">
        <f ca="1">BS!I37</f>
        <v>715288869.70235205</v>
      </c>
      <c r="J12" s="41">
        <f ca="1">BS!J37</f>
        <v>1140788881.8912654</v>
      </c>
      <c r="K12" s="41">
        <f ca="1">BS!K37</f>
        <v>1874805421.0400224</v>
      </c>
      <c r="L12" s="41">
        <f ca="1">BS!L37</f>
        <v>2486256535.7176485</v>
      </c>
      <c r="M12" s="41">
        <f ca="1">BS!M37</f>
        <v>3226360798.4239931</v>
      </c>
      <c r="N12" s="41">
        <f ca="1">BS!N37</f>
        <v>3654438738.7220001</v>
      </c>
      <c r="O12" s="41">
        <f ca="1">BS!O37</f>
        <v>4106537886.0590496</v>
      </c>
      <c r="P12" s="41">
        <f ca="1">BS!P37</f>
        <v>4571666087.9314566</v>
      </c>
      <c r="Q12" s="41">
        <f ca="1">BS!Q37</f>
        <v>5045436910.5461388</v>
      </c>
      <c r="R12" s="41">
        <f ca="1">BS!R37</f>
        <v>5567052648.9122772</v>
      </c>
      <c r="S12" s="41">
        <f ca="1">BS!S37</f>
        <v>6076117076.0214691</v>
      </c>
      <c r="T12" s="41">
        <f ca="1">BS!T37</f>
        <v>6563879276.1527386</v>
      </c>
      <c r="U12" s="41">
        <f ca="1">BS!U37</f>
        <v>7034642926.5694675</v>
      </c>
      <c r="V12" s="41">
        <f ca="1">BS!V37</f>
        <v>7497406253.1514273</v>
      </c>
      <c r="W12" s="41">
        <f ca="1">BS!W37</f>
        <v>7948346670.3908043</v>
      </c>
      <c r="X12" s="41">
        <f ca="1">BS!X37</f>
        <v>7891231695.4757566</v>
      </c>
      <c r="Y12" s="41">
        <f ca="1">BS!Y37</f>
        <v>7857278325.4152994</v>
      </c>
      <c r="Z12" s="41">
        <f ca="1">BS!Z37</f>
        <v>7848180120.9184637</v>
      </c>
      <c r="AA12" s="41">
        <f ca="1">BS!AA37</f>
        <v>7851549206.1113482</v>
      </c>
      <c r="AB12" s="41">
        <f ca="1">BS!AB37</f>
        <v>7890889765.2215414</v>
      </c>
      <c r="AC12" s="41">
        <f ca="1">BS!AC37</f>
        <v>7959066399.9227915</v>
      </c>
      <c r="AD12" s="41">
        <f ca="1">BS!AD37</f>
        <v>8056603026.6607056</v>
      </c>
      <c r="AE12" s="41">
        <f ca="1">BS!AE37</f>
        <v>8170029437.0763187</v>
      </c>
      <c r="AF12" s="41">
        <f ca="1">BS!AF37</f>
        <v>8308771904.4718227</v>
      </c>
      <c r="AG12" s="41">
        <f ca="1">BS!AG37</f>
        <v>8466921524.0972853</v>
      </c>
      <c r="AH12" s="41">
        <f ca="1">BS!AH37</f>
        <v>8646697763.1288757</v>
      </c>
      <c r="AI12" s="41">
        <f ca="1">BS!AI37</f>
        <v>8834951690.1045971</v>
      </c>
      <c r="AJ12" s="41">
        <f ca="1">BS!AJ37</f>
        <v>10396356583.252193</v>
      </c>
      <c r="AK12" s="41">
        <f ca="1">BS!AK37</f>
        <v>12032540968.834167</v>
      </c>
      <c r="AL12" s="41">
        <f ca="1">BS!AL37</f>
        <v>12504018718.493343</v>
      </c>
      <c r="AM12" s="41">
        <f>BS!AM37</f>
        <v>0</v>
      </c>
      <c r="AN12" s="41">
        <f>BS!AN37</f>
        <v>0</v>
      </c>
      <c r="AO12" s="41">
        <f>BS!AO37</f>
        <v>0</v>
      </c>
      <c r="AP12" s="41">
        <f>BS!AP37</f>
        <v>0</v>
      </c>
      <c r="AQ12" s="41">
        <f>BS!AQ37</f>
        <v>0</v>
      </c>
      <c r="AR12" s="41">
        <f>BS!AR37</f>
        <v>0</v>
      </c>
      <c r="AS12" s="41">
        <f>BS!AS37</f>
        <v>0</v>
      </c>
      <c r="AT12" s="41">
        <f>BS!AT37</f>
        <v>0</v>
      </c>
      <c r="AU12" s="41">
        <f>BS!AU37</f>
        <v>0</v>
      </c>
      <c r="AV12" s="41">
        <f>BS!AV37</f>
        <v>0</v>
      </c>
      <c r="AW12" s="41">
        <f>BS!AW37</f>
        <v>0</v>
      </c>
    </row>
    <row r="13" spans="1:49">
      <c r="B13" s="2" t="s">
        <v>617</v>
      </c>
      <c r="C13" s="15" t="str">
        <f>$C$12</f>
        <v>US$</v>
      </c>
      <c r="I13" s="41">
        <f ca="1">BS!I42</f>
        <v>715288869.70235205</v>
      </c>
      <c r="J13" s="41">
        <f ca="1">BS!J42</f>
        <v>1140788881.8912654</v>
      </c>
      <c r="K13" s="41">
        <f ca="1">BS!K42</f>
        <v>1741892049.3038886</v>
      </c>
      <c r="L13" s="41">
        <f ca="1">BS!L42</f>
        <v>2353343163.9815149</v>
      </c>
      <c r="M13" s="41">
        <f ca="1">BS!M42</f>
        <v>3093447426.6878595</v>
      </c>
      <c r="N13" s="41">
        <f ca="1">BS!N42</f>
        <v>3521525366.9858656</v>
      </c>
      <c r="O13" s="41">
        <f ca="1">BS!O42</f>
        <v>3973624514.3229156</v>
      </c>
      <c r="P13" s="41">
        <f ca="1">BS!P42</f>
        <v>4438752716.195322</v>
      </c>
      <c r="Q13" s="41">
        <f ca="1">BS!Q42</f>
        <v>4912523538.8100033</v>
      </c>
      <c r="R13" s="41">
        <f ca="1">BS!R42</f>
        <v>5434139277.1761436</v>
      </c>
      <c r="S13" s="41">
        <f ca="1">BS!S42</f>
        <v>5943203704.2853346</v>
      </c>
      <c r="T13" s="41">
        <f ca="1">BS!T42</f>
        <v>6430965904.416605</v>
      </c>
      <c r="U13" s="41">
        <f ca="1">BS!U42</f>
        <v>6901729554.833334</v>
      </c>
      <c r="V13" s="41">
        <f ca="1">BS!V42</f>
        <v>7364492881.4152927</v>
      </c>
      <c r="W13" s="41">
        <f ca="1">BS!W42</f>
        <v>7815433298.6546707</v>
      </c>
      <c r="X13" s="41">
        <f ca="1">BS!X42</f>
        <v>7758318323.7396221</v>
      </c>
      <c r="Y13" s="41">
        <f ca="1">BS!Y42</f>
        <v>7724364953.6791658</v>
      </c>
      <c r="Z13" s="41">
        <f ca="1">BS!Z42</f>
        <v>7715266749.1823292</v>
      </c>
      <c r="AA13" s="41">
        <f ca="1">BS!AA42</f>
        <v>7718635834.3752136</v>
      </c>
      <c r="AB13" s="41">
        <f ca="1">BS!AB42</f>
        <v>7757976393.4854059</v>
      </c>
      <c r="AC13" s="41">
        <f ca="1">BS!AC42</f>
        <v>7826153028.1866579</v>
      </c>
      <c r="AD13" s="41">
        <f ca="1">BS!AD42</f>
        <v>7923689654.924571</v>
      </c>
      <c r="AE13" s="41">
        <f ca="1">BS!AE42</f>
        <v>8037116065.3401842</v>
      </c>
      <c r="AF13" s="41">
        <f ca="1">BS!AF42</f>
        <v>8175858532.7356882</v>
      </c>
      <c r="AG13" s="41">
        <f ca="1">BS!AG42</f>
        <v>8334008152.3611498</v>
      </c>
      <c r="AH13" s="41">
        <f ca="1">BS!AH42</f>
        <v>8513784391.3927393</v>
      </c>
      <c r="AI13" s="41">
        <f ca="1">BS!AI42</f>
        <v>8702038318.3684616</v>
      </c>
      <c r="AJ13" s="41">
        <f ca="1">BS!AJ42</f>
        <v>10263443211.51606</v>
      </c>
      <c r="AK13" s="41">
        <f ca="1">BS!AK42</f>
        <v>11899627597.098034</v>
      </c>
      <c r="AL13" s="41">
        <f ca="1">BS!AL42</f>
        <v>12371105346.75721</v>
      </c>
      <c r="AM13" s="41">
        <f>BS!AM42</f>
        <v>0</v>
      </c>
      <c r="AN13" s="41">
        <f>BS!AN42</f>
        <v>0</v>
      </c>
      <c r="AO13" s="41">
        <f>BS!AO42</f>
        <v>0</v>
      </c>
      <c r="AP13" s="41">
        <f>BS!AP42</f>
        <v>0</v>
      </c>
      <c r="AQ13" s="41">
        <f>BS!AQ42</f>
        <v>0</v>
      </c>
      <c r="AR13" s="41">
        <f>BS!AR42</f>
        <v>0</v>
      </c>
      <c r="AS13" s="41">
        <f>BS!AS42</f>
        <v>0</v>
      </c>
      <c r="AT13" s="41">
        <f>BS!AT42</f>
        <v>0</v>
      </c>
      <c r="AU13" s="41">
        <f>BS!AU42</f>
        <v>0</v>
      </c>
      <c r="AV13" s="41">
        <f>BS!AV42</f>
        <v>0</v>
      </c>
      <c r="AW13" s="41">
        <f>BS!AW42</f>
        <v>0</v>
      </c>
    </row>
    <row r="14" spans="1:49">
      <c r="B14" s="2" t="s">
        <v>612</v>
      </c>
      <c r="D14" s="119">
        <f>SUM(I14:AI14)</f>
        <v>0</v>
      </c>
      <c r="I14" s="41">
        <v>0</v>
      </c>
      <c r="J14" s="41">
        <v>0</v>
      </c>
      <c r="K14" s="41">
        <v>0</v>
      </c>
      <c r="L14" s="41">
        <v>0</v>
      </c>
      <c r="M14" s="41">
        <v>0</v>
      </c>
      <c r="N14" s="41">
        <v>0</v>
      </c>
      <c r="O14" s="41">
        <v>0</v>
      </c>
      <c r="P14" s="41">
        <v>0</v>
      </c>
      <c r="Q14" s="41">
        <v>0</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row>
    <row r="16" spans="1:49">
      <c r="B16" s="10" t="s">
        <v>618</v>
      </c>
      <c r="F16" s="239" t="s">
        <v>31</v>
      </c>
      <c r="G16" s="239" t="s">
        <v>637</v>
      </c>
    </row>
    <row r="17" spans="2:49">
      <c r="B17" s="2" t="s">
        <v>619</v>
      </c>
      <c r="C17" s="15" t="str">
        <f>$C$12</f>
        <v>US$</v>
      </c>
      <c r="F17" s="118">
        <f>Summary!M45</f>
        <v>4140451092.8002262</v>
      </c>
      <c r="G17" s="118">
        <f ca="1">Summary!O45</f>
        <v>74796225803.250153</v>
      </c>
    </row>
    <row r="18" spans="2:49">
      <c r="B18" s="2" t="s">
        <v>620</v>
      </c>
      <c r="C18" s="15" t="str">
        <f>$C$12</f>
        <v>US$</v>
      </c>
      <c r="F18" s="118">
        <f ca="1">Summary!M62</f>
        <v>4140451092.8002276</v>
      </c>
      <c r="G18" s="118">
        <f ca="1">Summary!O62</f>
        <v>74796225803.250137</v>
      </c>
    </row>
    <row r="19" spans="2:49">
      <c r="B19" s="2" t="s">
        <v>612</v>
      </c>
      <c r="D19" s="119">
        <f ca="1">SUM(F19:G19)</f>
        <v>0</v>
      </c>
      <c r="F19" s="240">
        <f ca="1">F17-F18</f>
        <v>0</v>
      </c>
      <c r="G19" s="240">
        <f ca="1">G17-G18</f>
        <v>0</v>
      </c>
    </row>
    <row r="21" spans="2:49">
      <c r="B21" s="10" t="s">
        <v>621</v>
      </c>
      <c r="F21" s="82" t="s">
        <v>638</v>
      </c>
    </row>
    <row r="22" spans="2:49">
      <c r="B22" s="2" t="s">
        <v>622</v>
      </c>
      <c r="C22" s="15" t="s">
        <v>41</v>
      </c>
      <c r="F22" s="21">
        <f>'Timing &amp; Flags'!D32</f>
        <v>47118</v>
      </c>
    </row>
    <row r="23" spans="2:49">
      <c r="B23" s="2" t="s">
        <v>623</v>
      </c>
      <c r="C23" s="15" t="s">
        <v>41</v>
      </c>
      <c r="F23" s="21">
        <f>'Timing &amp; Flags'!C33</f>
        <v>47119</v>
      </c>
    </row>
    <row r="24" spans="2:49">
      <c r="B24" s="2" t="s">
        <v>594</v>
      </c>
      <c r="D24" s="119">
        <f>(F22&gt;F23)*1</f>
        <v>0</v>
      </c>
    </row>
    <row r="26" spans="2:49">
      <c r="B26" s="10" t="s">
        <v>624</v>
      </c>
    </row>
    <row r="27" spans="2:49">
      <c r="B27" s="2" t="s">
        <v>625</v>
      </c>
      <c r="C27" s="15" t="str">
        <f>$C$12</f>
        <v>US$</v>
      </c>
      <c r="I27" s="41">
        <f>IF(I2&gt;Taxation!$D$33,IS!I20*Corporate_tax,0)</f>
        <v>0</v>
      </c>
      <c r="J27" s="41">
        <f>IF(J2&gt;Taxation!$D$33,IS!J20*Corporate_tax,0)</f>
        <v>0</v>
      </c>
      <c r="K27" s="41">
        <f>IF(K2&gt;Taxation!$D$33,IS!K20*Corporate_tax,0)</f>
        <v>0</v>
      </c>
      <c r="L27" s="41">
        <f>IF(L2&gt;Taxation!$D$33,IS!L20*Corporate_tax,0)</f>
        <v>0</v>
      </c>
      <c r="M27" s="41">
        <f>IF(M2&gt;Taxation!$D$33,IS!M20*Corporate_tax,0)</f>
        <v>0</v>
      </c>
      <c r="N27" s="41">
        <f ca="1">IF(N2&gt;Taxation!$D$33,IS!N20*Corporate_tax,0)</f>
        <v>322668459.62662768</v>
      </c>
      <c r="O27" s="41">
        <f ca="1">IF(O2&gt;Taxation!$D$33,IS!O20*Corporate_tax,0)</f>
        <v>366195712.08183795</v>
      </c>
      <c r="P27" s="41">
        <f ca="1">IF(P2&gt;Taxation!$D$33,IS!P20*Corporate_tax,0)</f>
        <v>406639263.27830559</v>
      </c>
      <c r="Q27" s="41">
        <f ca="1">IF(Q2&gt;Taxation!$D$33,IS!Q20*Corporate_tax,0)</f>
        <v>448485725.69814855</v>
      </c>
      <c r="R27" s="41">
        <f ca="1">IF(R2&gt;Taxation!$D$33,IS!R20*Corporate_tax,0)</f>
        <v>492308769.11024642</v>
      </c>
      <c r="S27" s="41">
        <f ca="1">IF(S2&gt;Taxation!$D$33,IS!S20*Corporate_tax,0)</f>
        <v>535900175.29258245</v>
      </c>
      <c r="T27" s="41">
        <f ca="1">IF(T2&gt;Taxation!$D$33,IS!T20*Corporate_tax,0)</f>
        <v>571044042.16903567</v>
      </c>
      <c r="U27" s="41">
        <f ca="1">IF(U2&gt;Taxation!$D$33,IS!U20*Corporate_tax,0)</f>
        <v>607702285.6788975</v>
      </c>
      <c r="V27" s="41">
        <f ca="1">IF(V2&gt;Taxation!$D$33,IS!V20*Corporate_tax,0)</f>
        <v>646316920.652946</v>
      </c>
      <c r="W27" s="41">
        <f ca="1">IF(W2&gt;Taxation!$D$33,IS!W20*Corporate_tax,0)</f>
        <v>686529003.40854394</v>
      </c>
      <c r="X27" s="41">
        <f ca="1">IF(X2&gt;Taxation!$D$33,IS!X20*Corporate_tax,0)</f>
        <v>468308345.99429268</v>
      </c>
      <c r="Y27" s="41">
        <f ca="1">IF(Y2&gt;Taxation!$D$33,IS!Y20*Corporate_tax,0)</f>
        <v>483655276.89283502</v>
      </c>
      <c r="Z27" s="41">
        <f ca="1">IF(Z2&gt;Taxation!$D$33,IS!Z20*Corporate_tax,0)</f>
        <v>500087123.64292586</v>
      </c>
      <c r="AA27" s="41">
        <f ca="1">IF(AA2&gt;Taxation!$D$33,IS!AA20*Corporate_tax,0)</f>
        <v>516797083.75631195</v>
      </c>
      <c r="AB27" s="41">
        <f ca="1">IF(AB2&gt;Taxation!$D$33,IS!AB20*Corporate_tax,0)</f>
        <v>534461669.7365998</v>
      </c>
      <c r="AC27" s="41">
        <f ca="1">IF(AC2&gt;Taxation!$D$33,IS!AC20*Corporate_tax,0)</f>
        <v>552760436.79064095</v>
      </c>
      <c r="AD27" s="41">
        <f ca="1">IF(AD2&gt;Taxation!$D$33,IS!AD20*Corporate_tax,0)</f>
        <v>571912056.67585111</v>
      </c>
      <c r="AE27" s="41">
        <f ca="1">IF(AE2&gt;Taxation!$D$33,IS!AE20*Corporate_tax,0)</f>
        <v>591428002.78064227</v>
      </c>
      <c r="AF27" s="41">
        <f ca="1">IF(AF2&gt;Taxation!$D$33,IS!AF20*Corporate_tax,0)</f>
        <v>611989646.69712138</v>
      </c>
      <c r="AG27" s="41">
        <f ca="1">IF(AG2&gt;Taxation!$D$33,IS!AG20*Corporate_tax,0)</f>
        <v>633175874.44389081</v>
      </c>
      <c r="AH27" s="41">
        <f ca="1">IF(AH2&gt;Taxation!$D$33,IS!AH20*Corporate_tax,0)</f>
        <v>655213284.72553837</v>
      </c>
      <c r="AI27" s="41">
        <f ca="1">IF(AI2&gt;Taxation!$D$33,IS!AI20*Corporate_tax,0)</f>
        <v>677642239.75264776</v>
      </c>
      <c r="AJ27" s="41">
        <f ca="1">IF(AJ2&gt;Taxation!$D$33,IS!AJ20*Corporate_tax,0)</f>
        <v>701122876.45389187</v>
      </c>
      <c r="AK27" s="41">
        <f ca="1">IF(AK2&gt;Taxation!$D$33,IS!AK20*Corporate_tax,0)</f>
        <v>734606231.27525485</v>
      </c>
      <c r="AL27" s="41">
        <f ca="1">IF(AL2&gt;Taxation!$D$33,IS!AL20*Corporate_tax,0)</f>
        <v>769275705.60596848</v>
      </c>
      <c r="AM27" s="41">
        <f>IF(AM2&gt;Taxation!$D$33,IS!AM20*Corporate_tax,0)</f>
        <v>0</v>
      </c>
      <c r="AN27" s="41">
        <f>IF(AN2&gt;Taxation!$D$33,IS!AN20*Corporate_tax,0)</f>
        <v>0</v>
      </c>
      <c r="AO27" s="41">
        <f>IF(AO2&gt;Taxation!$D$33,IS!AO20*Corporate_tax,0)</f>
        <v>0</v>
      </c>
      <c r="AP27" s="41">
        <f>IF(AP2&gt;Taxation!$D$33,IS!AP20*Corporate_tax,0)</f>
        <v>0</v>
      </c>
      <c r="AQ27" s="41">
        <f>IF(AQ2&gt;Taxation!$D$33,IS!AQ20*Corporate_tax,0)</f>
        <v>0</v>
      </c>
      <c r="AR27" s="41">
        <f>IF(AR2&gt;Taxation!$D$33,IS!AR20*Corporate_tax,0)</f>
        <v>0</v>
      </c>
      <c r="AS27" s="41">
        <f>IF(AS2&gt;Taxation!$D$33,IS!AS20*Corporate_tax,0)</f>
        <v>0</v>
      </c>
      <c r="AT27" s="41">
        <f>IF(AT2&gt;Taxation!$D$33,IS!AT20*Corporate_tax,0)</f>
        <v>0</v>
      </c>
      <c r="AU27" s="41">
        <f>IF(AU2&gt;Taxation!$D$33,IS!AU20*Corporate_tax,0)</f>
        <v>0</v>
      </c>
      <c r="AV27" s="41">
        <f>IF(AV2&gt;Taxation!$D$33,IS!AV20*Corporate_tax,0)</f>
        <v>0</v>
      </c>
      <c r="AW27" s="41">
        <f>IF(AW2&gt;Taxation!$D$33,IS!AW20*Corporate_tax,0)</f>
        <v>0</v>
      </c>
    </row>
    <row r="28" spans="2:49">
      <c r="B28" s="2" t="s">
        <v>626</v>
      </c>
      <c r="C28" s="15" t="str">
        <f>$C$12</f>
        <v>US$</v>
      </c>
      <c r="I28" s="41">
        <f>-IF(I2&gt;Taxation!$D$33,-Taxation!I83+IS!I23,0)</f>
        <v>0</v>
      </c>
      <c r="J28" s="41">
        <f>-IF(J2&gt;Taxation!$D$33,-Taxation!J83+IS!J23,0)</f>
        <v>0</v>
      </c>
      <c r="K28" s="41">
        <f>-IF(K2&gt;Taxation!$D$33,-Taxation!K83+IS!K23,0)</f>
        <v>0</v>
      </c>
      <c r="L28" s="41">
        <f>-IF(L2&gt;Taxation!$D$33,-Taxation!L83+IS!L23,0)</f>
        <v>0</v>
      </c>
      <c r="M28" s="41">
        <f>-IF(M2&gt;Taxation!$D$33,-Taxation!M83+IS!M23,0)</f>
        <v>0</v>
      </c>
      <c r="N28" s="41">
        <f ca="1">-IF(N2&gt;Taxation!$D$33,-Taxation!N83+IS!N23,0)</f>
        <v>322668459.62662768</v>
      </c>
      <c r="O28" s="41">
        <f ca="1">-IF(O2&gt;Taxation!$D$33,-Taxation!O83+IS!O23,0)</f>
        <v>366195712.08183789</v>
      </c>
      <c r="P28" s="41">
        <f ca="1">-IF(P2&gt;Taxation!$D$33,-Taxation!P83+IS!P23,0)</f>
        <v>406639263.27830553</v>
      </c>
      <c r="Q28" s="41">
        <f ca="1">-IF(Q2&gt;Taxation!$D$33,-Taxation!Q83+IS!Q23,0)</f>
        <v>448485725.69814861</v>
      </c>
      <c r="R28" s="41">
        <f ca="1">-IF(R2&gt;Taxation!$D$33,-Taxation!R83+IS!R23,0)</f>
        <v>492308769.11024642</v>
      </c>
      <c r="S28" s="41">
        <f ca="1">-IF(S2&gt;Taxation!$D$33,-Taxation!S83+IS!S23,0)</f>
        <v>535900175.29258239</v>
      </c>
      <c r="T28" s="41">
        <f ca="1">-IF(T2&gt;Taxation!$D$33,-Taxation!T83+IS!T23,0)</f>
        <v>571044042.16903567</v>
      </c>
      <c r="U28" s="41">
        <f ca="1">-IF(U2&gt;Taxation!$D$33,-Taxation!U83+IS!U23,0)</f>
        <v>607702285.67889738</v>
      </c>
      <c r="V28" s="41">
        <f ca="1">-IF(V2&gt;Taxation!$D$33,-Taxation!V83+IS!V23,0)</f>
        <v>646316920.652946</v>
      </c>
      <c r="W28" s="41">
        <f ca="1">-IF(W2&gt;Taxation!$D$33,-Taxation!W83+IS!W23,0)</f>
        <v>686529003.40854383</v>
      </c>
      <c r="X28" s="41">
        <f ca="1">-IF(X2&gt;Taxation!$D$33,-Taxation!X83+IS!X23,0)</f>
        <v>468308345.99429268</v>
      </c>
      <c r="Y28" s="41">
        <f ca="1">-IF(Y2&gt;Taxation!$D$33,-Taxation!Y83+IS!Y23,0)</f>
        <v>483655276.89283502</v>
      </c>
      <c r="Z28" s="41">
        <f ca="1">-IF(Z2&gt;Taxation!$D$33,-Taxation!Z83+IS!Z23,0)</f>
        <v>500087123.64292586</v>
      </c>
      <c r="AA28" s="41">
        <f ca="1">-IF(AA2&gt;Taxation!$D$33,-Taxation!AA83+IS!AA23,0)</f>
        <v>516797083.75631189</v>
      </c>
      <c r="AB28" s="41">
        <f ca="1">-IF(AB2&gt;Taxation!$D$33,-Taxation!AB83+IS!AB23,0)</f>
        <v>534461669.73659986</v>
      </c>
      <c r="AC28" s="41">
        <f ca="1">-IF(AC2&gt;Taxation!$D$33,-Taxation!AC83+IS!AC23,0)</f>
        <v>552760436.79064083</v>
      </c>
      <c r="AD28" s="41">
        <f ca="1">-IF(AD2&gt;Taxation!$D$33,-Taxation!AD83+IS!AD23,0)</f>
        <v>571912056.67585111</v>
      </c>
      <c r="AE28" s="41">
        <f ca="1">-IF(AE2&gt;Taxation!$D$33,-Taxation!AE83+IS!AE23,0)</f>
        <v>591428002.78064215</v>
      </c>
      <c r="AF28" s="41">
        <f ca="1">-IF(AF2&gt;Taxation!$D$33,-Taxation!AF83+IS!AF23,0)</f>
        <v>611989646.69712138</v>
      </c>
      <c r="AG28" s="41">
        <f ca="1">-IF(AG2&gt;Taxation!$D$33,-Taxation!AG83+IS!AG23,0)</f>
        <v>633175874.44389081</v>
      </c>
      <c r="AH28" s="41">
        <f ca="1">-IF(AH2&gt;Taxation!$D$33,-Taxation!AH83+IS!AH23,0)</f>
        <v>655213284.72553837</v>
      </c>
      <c r="AI28" s="41">
        <f ca="1">-IF(AI2&gt;Taxation!$D$33,-Taxation!AI83+IS!AI23,0)</f>
        <v>677642239.75264776</v>
      </c>
      <c r="AJ28" s="41">
        <f ca="1">-IF(AJ2&gt;Taxation!$D$33,-Taxation!AJ83+IS!AJ23,0)</f>
        <v>701122876.45389199</v>
      </c>
      <c r="AK28" s="41">
        <f ca="1">-IF(AK2&gt;Taxation!$D$33,-Taxation!AK83+IS!AK23,0)</f>
        <v>734606231.27525473</v>
      </c>
      <c r="AL28" s="41">
        <f ca="1">-IF(AL2&gt;Taxation!$D$33,-Taxation!AL83+IS!AL23,0)</f>
        <v>769275705.60596848</v>
      </c>
      <c r="AM28" s="41">
        <f ca="1">-IF(AM2&gt;Taxation!$D$33,-Taxation!AM83+IS!AM23,0)</f>
        <v>0</v>
      </c>
      <c r="AN28" s="41">
        <f ca="1">-IF(AN2&gt;Taxation!$D$33,-Taxation!AN83+IS!AN23,0)</f>
        <v>0</v>
      </c>
      <c r="AO28" s="41">
        <f ca="1">-IF(AO2&gt;Taxation!$D$33,-Taxation!AO83+IS!AO23,0)</f>
        <v>0</v>
      </c>
      <c r="AP28" s="41">
        <f ca="1">-IF(AP2&gt;Taxation!$D$33,-Taxation!AP83+IS!AP23,0)</f>
        <v>0</v>
      </c>
      <c r="AQ28" s="41">
        <f ca="1">-IF(AQ2&gt;Taxation!$D$33,-Taxation!AQ83+IS!AQ23,0)</f>
        <v>0</v>
      </c>
      <c r="AR28" s="41">
        <f ca="1">-IF(AR2&gt;Taxation!$D$33,-Taxation!AR83+IS!AR23,0)</f>
        <v>0</v>
      </c>
      <c r="AS28" s="41">
        <f ca="1">-IF(AS2&gt;Taxation!$D$33,-Taxation!AS83+IS!AS23,0)</f>
        <v>0</v>
      </c>
      <c r="AT28" s="41">
        <f ca="1">-IF(AT2&gt;Taxation!$D$33,-Taxation!AT83+IS!AT23,0)</f>
        <v>0</v>
      </c>
      <c r="AU28" s="41">
        <f ca="1">-IF(AU2&gt;Taxation!$D$33,-Taxation!AU83+IS!AU23,0)</f>
        <v>0</v>
      </c>
      <c r="AV28" s="41">
        <f ca="1">-IF(AV2&gt;Taxation!$D$33,-Taxation!AV83+IS!AV23,0)</f>
        <v>0</v>
      </c>
      <c r="AW28" s="41">
        <f ca="1">-IF(AW2&gt;Taxation!$D$33,-Taxation!AW83+IS!AW23,0)</f>
        <v>0</v>
      </c>
    </row>
    <row r="29" spans="2:49">
      <c r="B29" s="2" t="s">
        <v>627</v>
      </c>
      <c r="C29" s="15" t="str">
        <f>$C$12</f>
        <v>US$</v>
      </c>
      <c r="I29" s="41">
        <f ca="1">Taxation!I66*Corporate_tax</f>
        <v>0</v>
      </c>
      <c r="J29" s="41">
        <f ca="1">Taxation!J66*Corporate_tax</f>
        <v>0</v>
      </c>
      <c r="K29" s="41">
        <f ca="1">Taxation!K66*Corporate_tax</f>
        <v>0</v>
      </c>
      <c r="L29" s="41">
        <f ca="1">Taxation!L66*Corporate_tax</f>
        <v>0</v>
      </c>
      <c r="M29" s="41">
        <f ca="1">Taxation!M66*Corporate_tax</f>
        <v>0</v>
      </c>
      <c r="N29" s="41">
        <f ca="1">Taxation!N66*Corporate_tax</f>
        <v>0</v>
      </c>
      <c r="O29" s="41">
        <f ca="1">Taxation!O66*Corporate_tax</f>
        <v>0</v>
      </c>
      <c r="P29" s="41">
        <f ca="1">Taxation!P66*Corporate_tax</f>
        <v>0</v>
      </c>
      <c r="Q29" s="41">
        <f ca="1">Taxation!Q66*Corporate_tax</f>
        <v>0</v>
      </c>
      <c r="R29" s="41">
        <f ca="1">Taxation!R66*Corporate_tax</f>
        <v>0</v>
      </c>
      <c r="S29" s="41">
        <f ca="1">Taxation!S66*Corporate_tax</f>
        <v>0</v>
      </c>
      <c r="T29" s="41">
        <f ca="1">Taxation!T66*Corporate_tax</f>
        <v>0</v>
      </c>
      <c r="U29" s="41">
        <f ca="1">Taxation!U66*Corporate_tax</f>
        <v>0</v>
      </c>
      <c r="V29" s="41">
        <f ca="1">Taxation!V66*Corporate_tax</f>
        <v>0</v>
      </c>
      <c r="W29" s="41">
        <f ca="1">Taxation!W66*Corporate_tax</f>
        <v>0</v>
      </c>
      <c r="X29" s="41">
        <f ca="1">Taxation!X66*Corporate_tax</f>
        <v>0</v>
      </c>
      <c r="Y29" s="41">
        <f ca="1">Taxation!Y66*Corporate_tax</f>
        <v>0</v>
      </c>
      <c r="Z29" s="41">
        <f ca="1">Taxation!Z66*Corporate_tax</f>
        <v>0</v>
      </c>
      <c r="AA29" s="41">
        <f ca="1">Taxation!AA66*Corporate_tax</f>
        <v>0</v>
      </c>
      <c r="AB29" s="41">
        <f ca="1">Taxation!AB66*Corporate_tax</f>
        <v>0</v>
      </c>
      <c r="AC29" s="41">
        <f ca="1">Taxation!AC66*Corporate_tax</f>
        <v>0</v>
      </c>
      <c r="AD29" s="41">
        <f ca="1">Taxation!AD66*Corporate_tax</f>
        <v>0</v>
      </c>
      <c r="AE29" s="41">
        <f ca="1">Taxation!AE66*Corporate_tax</f>
        <v>0</v>
      </c>
      <c r="AF29" s="41">
        <f ca="1">Taxation!AF66*Corporate_tax</f>
        <v>0</v>
      </c>
      <c r="AG29" s="41">
        <f ca="1">Taxation!AG66*Corporate_tax</f>
        <v>0</v>
      </c>
      <c r="AH29" s="41">
        <f ca="1">Taxation!AH66*Corporate_tax</f>
        <v>0</v>
      </c>
      <c r="AI29" s="41">
        <f ca="1">Taxation!AI66*Corporate_tax</f>
        <v>0</v>
      </c>
      <c r="AJ29" s="41">
        <f ca="1">Taxation!AJ66*Corporate_tax</f>
        <v>0</v>
      </c>
      <c r="AK29" s="41">
        <f ca="1">Taxation!AK66*Corporate_tax</f>
        <v>0</v>
      </c>
      <c r="AL29" s="41">
        <f ca="1">Taxation!AL66*Corporate_tax</f>
        <v>0</v>
      </c>
      <c r="AM29" s="41">
        <f ca="1">Taxation!AM66*Corporate_tax</f>
        <v>0</v>
      </c>
      <c r="AN29" s="41">
        <f ca="1">Taxation!AN66*Corporate_tax</f>
        <v>0</v>
      </c>
      <c r="AO29" s="41">
        <f ca="1">Taxation!AO66*Corporate_tax</f>
        <v>0</v>
      </c>
      <c r="AP29" s="41">
        <f ca="1">Taxation!AP66*Corporate_tax</f>
        <v>0</v>
      </c>
      <c r="AQ29" s="41">
        <f ca="1">Taxation!AQ66*Corporate_tax</f>
        <v>0</v>
      </c>
      <c r="AR29" s="41">
        <f ca="1">Taxation!AR66*Corporate_tax</f>
        <v>0</v>
      </c>
      <c r="AS29" s="41">
        <f ca="1">Taxation!AS66*Corporate_tax</f>
        <v>0</v>
      </c>
      <c r="AT29" s="41">
        <f ca="1">Taxation!AT66*Corporate_tax</f>
        <v>0</v>
      </c>
      <c r="AU29" s="41">
        <f ca="1">Taxation!AU66*Corporate_tax</f>
        <v>0</v>
      </c>
      <c r="AV29" s="41">
        <f ca="1">Taxation!AV66*Corporate_tax</f>
        <v>0</v>
      </c>
      <c r="AW29" s="41">
        <f ca="1">Taxation!AW66*Corporate_tax</f>
        <v>0</v>
      </c>
    </row>
    <row r="30" spans="2:49">
      <c r="B30" s="2" t="s">
        <v>612</v>
      </c>
      <c r="D30" s="119">
        <f>SUM(I30:AI30)</f>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c r="AR30" s="188">
        <v>0</v>
      </c>
      <c r="AS30" s="188">
        <v>0</v>
      </c>
      <c r="AT30" s="188">
        <v>0</v>
      </c>
      <c r="AU30" s="188">
        <v>0</v>
      </c>
      <c r="AV30" s="188">
        <v>0</v>
      </c>
      <c r="AW30" s="188">
        <v>0</v>
      </c>
    </row>
    <row r="32" spans="2:49">
      <c r="B32" s="10" t="s">
        <v>628</v>
      </c>
    </row>
    <row r="33" spans="2:49">
      <c r="B33" s="2" t="s">
        <v>629</v>
      </c>
      <c r="C33" s="15" t="s">
        <v>41</v>
      </c>
      <c r="I33" s="35">
        <f>'Timing &amp; Flags'!I23</f>
        <v>46023</v>
      </c>
      <c r="J33" s="35">
        <f>'Timing &amp; Flags'!J23</f>
        <v>46054</v>
      </c>
      <c r="K33" s="35">
        <f>'Timing &amp; Flags'!K23</f>
        <v>46082</v>
      </c>
      <c r="L33" s="35">
        <f>'Timing &amp; Flags'!L23</f>
        <v>46113</v>
      </c>
      <c r="M33" s="35">
        <f>'Timing &amp; Flags'!M23</f>
        <v>46143</v>
      </c>
      <c r="N33" s="35">
        <f>'Timing &amp; Flags'!N23</f>
        <v>46174</v>
      </c>
      <c r="O33" s="35">
        <f>'Timing &amp; Flags'!O23</f>
        <v>46204</v>
      </c>
      <c r="P33" s="35">
        <f>'Timing &amp; Flags'!P23</f>
        <v>46235</v>
      </c>
      <c r="Q33" s="35">
        <f>'Timing &amp; Flags'!Q23</f>
        <v>46266</v>
      </c>
      <c r="R33" s="35">
        <f>'Timing &amp; Flags'!R23</f>
        <v>46296</v>
      </c>
      <c r="S33" s="35">
        <f>'Timing &amp; Flags'!S23</f>
        <v>46327</v>
      </c>
      <c r="T33" s="35">
        <f>'Timing &amp; Flags'!T23</f>
        <v>46357</v>
      </c>
      <c r="U33" s="35">
        <f>'Timing &amp; Flags'!U23</f>
        <v>46388</v>
      </c>
      <c r="V33" s="35">
        <f>'Timing &amp; Flags'!V23</f>
        <v>46419</v>
      </c>
      <c r="W33" s="35">
        <f>'Timing &amp; Flags'!W23</f>
        <v>46447</v>
      </c>
      <c r="X33" s="35">
        <f>'Timing &amp; Flags'!X23</f>
        <v>46478</v>
      </c>
      <c r="Y33" s="35">
        <f>'Timing &amp; Flags'!Y23</f>
        <v>46508</v>
      </c>
      <c r="Z33" s="35">
        <f>'Timing &amp; Flags'!Z23</f>
        <v>46539</v>
      </c>
      <c r="AA33" s="35">
        <f>'Timing &amp; Flags'!AA23</f>
        <v>46569</v>
      </c>
      <c r="AB33" s="35">
        <f>'Timing &amp; Flags'!AB23</f>
        <v>46600</v>
      </c>
      <c r="AC33" s="35">
        <f>'Timing &amp; Flags'!AC23</f>
        <v>46631</v>
      </c>
      <c r="AD33" s="35">
        <f>'Timing &amp; Flags'!AD23</f>
        <v>46661</v>
      </c>
      <c r="AE33" s="35">
        <f>'Timing &amp; Flags'!AE23</f>
        <v>46692</v>
      </c>
      <c r="AF33" s="35">
        <f>'Timing &amp; Flags'!AF23</f>
        <v>46722</v>
      </c>
      <c r="AG33" s="35">
        <f>'Timing &amp; Flags'!AG23</f>
        <v>46753</v>
      </c>
      <c r="AH33" s="35">
        <f>'Timing &amp; Flags'!AH23</f>
        <v>46784</v>
      </c>
      <c r="AI33" s="35">
        <f>'Timing &amp; Flags'!AI23</f>
        <v>46813</v>
      </c>
      <c r="AJ33" s="35">
        <f>'Timing &amp; Flags'!AJ23</f>
        <v>46844</v>
      </c>
      <c r="AK33" s="35">
        <f>'Timing &amp; Flags'!AK23</f>
        <v>46874</v>
      </c>
      <c r="AL33" s="35">
        <f>'Timing &amp; Flags'!AL23</f>
        <v>46905</v>
      </c>
      <c r="AM33" s="35">
        <f>'Timing &amp; Flags'!AM23</f>
        <v>46935</v>
      </c>
      <c r="AN33" s="35">
        <f>'Timing &amp; Flags'!AN23</f>
        <v>46966</v>
      </c>
      <c r="AO33" s="35">
        <f>'Timing &amp; Flags'!AO23</f>
        <v>46997</v>
      </c>
      <c r="AP33" s="35">
        <f>'Timing &amp; Flags'!AP23</f>
        <v>47027</v>
      </c>
      <c r="AQ33" s="35">
        <f>'Timing &amp; Flags'!AQ23</f>
        <v>47058</v>
      </c>
      <c r="AR33" s="35">
        <f>'Timing &amp; Flags'!AR23</f>
        <v>47088</v>
      </c>
      <c r="AS33" s="35">
        <f>'Timing &amp; Flags'!AS23</f>
        <v>47119</v>
      </c>
      <c r="AT33" s="35">
        <f>'Timing &amp; Flags'!AT23</f>
        <v>47150</v>
      </c>
      <c r="AU33" s="35">
        <f>'Timing &amp; Flags'!AU23</f>
        <v>47178</v>
      </c>
      <c r="AV33" s="35">
        <f>'Timing &amp; Flags'!AV23</f>
        <v>47209</v>
      </c>
      <c r="AW33" s="35">
        <f>'Timing &amp; Flags'!AW23</f>
        <v>47239</v>
      </c>
    </row>
    <row r="34" spans="2:49">
      <c r="B34" s="2" t="s">
        <v>630</v>
      </c>
      <c r="C34" s="15" t="s">
        <v>41</v>
      </c>
      <c r="I34" s="35">
        <f>'Timing &amp; Flags'!I24</f>
        <v>46053</v>
      </c>
      <c r="J34" s="35">
        <f>'Timing &amp; Flags'!J24</f>
        <v>46081</v>
      </c>
      <c r="K34" s="35">
        <f>'Timing &amp; Flags'!K24</f>
        <v>46112</v>
      </c>
      <c r="L34" s="35">
        <f>'Timing &amp; Flags'!L24</f>
        <v>46142</v>
      </c>
      <c r="M34" s="35">
        <f>'Timing &amp; Flags'!M24</f>
        <v>46173</v>
      </c>
      <c r="N34" s="35">
        <f>'Timing &amp; Flags'!N24</f>
        <v>46203</v>
      </c>
      <c r="O34" s="35">
        <f>'Timing &amp; Flags'!O24</f>
        <v>46234</v>
      </c>
      <c r="P34" s="35">
        <f>'Timing &amp; Flags'!P24</f>
        <v>46265</v>
      </c>
      <c r="Q34" s="35">
        <f>'Timing &amp; Flags'!Q24</f>
        <v>46295</v>
      </c>
      <c r="R34" s="35">
        <f>'Timing &amp; Flags'!R24</f>
        <v>46326</v>
      </c>
      <c r="S34" s="35">
        <f>'Timing &amp; Flags'!S24</f>
        <v>46356</v>
      </c>
      <c r="T34" s="35">
        <f>'Timing &amp; Flags'!T24</f>
        <v>46387</v>
      </c>
      <c r="U34" s="35">
        <f>'Timing &amp; Flags'!U24</f>
        <v>46418</v>
      </c>
      <c r="V34" s="35">
        <f>'Timing &amp; Flags'!V24</f>
        <v>46446</v>
      </c>
      <c r="W34" s="35">
        <f>'Timing &amp; Flags'!W24</f>
        <v>46477</v>
      </c>
      <c r="X34" s="35">
        <f>'Timing &amp; Flags'!X24</f>
        <v>46507</v>
      </c>
      <c r="Y34" s="35">
        <f>'Timing &amp; Flags'!Y24</f>
        <v>46538</v>
      </c>
      <c r="Z34" s="35">
        <f>'Timing &amp; Flags'!Z24</f>
        <v>46568</v>
      </c>
      <c r="AA34" s="35">
        <f>'Timing &amp; Flags'!AA24</f>
        <v>46599</v>
      </c>
      <c r="AB34" s="35">
        <f>'Timing &amp; Flags'!AB24</f>
        <v>46630</v>
      </c>
      <c r="AC34" s="35">
        <f>'Timing &amp; Flags'!AC24</f>
        <v>46660</v>
      </c>
      <c r="AD34" s="35">
        <f>'Timing &amp; Flags'!AD24</f>
        <v>46691</v>
      </c>
      <c r="AE34" s="35">
        <f>'Timing &amp; Flags'!AE24</f>
        <v>46721</v>
      </c>
      <c r="AF34" s="35">
        <f>'Timing &amp; Flags'!AF24</f>
        <v>46752</v>
      </c>
      <c r="AG34" s="35">
        <f>'Timing &amp; Flags'!AG24</f>
        <v>46783</v>
      </c>
      <c r="AH34" s="35">
        <f>'Timing &amp; Flags'!AH24</f>
        <v>46812</v>
      </c>
      <c r="AI34" s="35">
        <f>'Timing &amp; Flags'!AI24</f>
        <v>46843</v>
      </c>
      <c r="AJ34" s="35">
        <f>'Timing &amp; Flags'!AJ24</f>
        <v>46873</v>
      </c>
      <c r="AK34" s="35">
        <f>'Timing &amp; Flags'!AK24</f>
        <v>46904</v>
      </c>
      <c r="AL34" s="35">
        <f>'Timing &amp; Flags'!AL24</f>
        <v>46934</v>
      </c>
      <c r="AM34" s="35">
        <f>'Timing &amp; Flags'!AM24</f>
        <v>46965</v>
      </c>
      <c r="AN34" s="35">
        <f>'Timing &amp; Flags'!AN24</f>
        <v>46996</v>
      </c>
      <c r="AO34" s="35">
        <f>'Timing &amp; Flags'!AO24</f>
        <v>47026</v>
      </c>
      <c r="AP34" s="35">
        <f>'Timing &amp; Flags'!AP24</f>
        <v>47057</v>
      </c>
      <c r="AQ34" s="35">
        <f>'Timing &amp; Flags'!AQ24</f>
        <v>47087</v>
      </c>
      <c r="AR34" s="35">
        <f>'Timing &amp; Flags'!AR24</f>
        <v>47118</v>
      </c>
      <c r="AS34" s="35">
        <f>'Timing &amp; Flags'!AS24</f>
        <v>47149</v>
      </c>
      <c r="AT34" s="35">
        <f>'Timing &amp; Flags'!AT24</f>
        <v>47177</v>
      </c>
      <c r="AU34" s="35">
        <f>'Timing &amp; Flags'!AU24</f>
        <v>47208</v>
      </c>
      <c r="AV34" s="35">
        <f>'Timing &amp; Flags'!AV24</f>
        <v>47238</v>
      </c>
      <c r="AW34" s="35">
        <f>'Timing &amp; Flags'!AW24</f>
        <v>47269</v>
      </c>
    </row>
    <row r="36" spans="2:49">
      <c r="B36" s="2" t="s">
        <v>628</v>
      </c>
      <c r="C36" s="15" t="str">
        <f>$C$12</f>
        <v>US$</v>
      </c>
      <c r="I36" s="41">
        <f>'Project Cost Monthly'!I214</f>
        <v>66249379.436563015</v>
      </c>
      <c r="J36" s="41">
        <f>'Project Cost Monthly'!J214</f>
        <v>59003590.02416262</v>
      </c>
      <c r="K36" s="41">
        <f>'Project Cost Monthly'!K214</f>
        <v>59003590.02416262</v>
      </c>
      <c r="L36" s="41">
        <f>'Project Cost Monthly'!L214</f>
        <v>59003590.02416262</v>
      </c>
      <c r="M36" s="41">
        <f>'Project Cost Monthly'!M214</f>
        <v>59003590.02416262</v>
      </c>
      <c r="N36" s="41">
        <f>'Project Cost Monthly'!N214</f>
        <v>59003590.02416262</v>
      </c>
      <c r="O36" s="41">
        <f>'Project Cost Monthly'!O214</f>
        <v>59003590.02416262</v>
      </c>
      <c r="P36" s="41">
        <f>'Project Cost Monthly'!P214</f>
        <v>59003590.02416262</v>
      </c>
      <c r="Q36" s="41">
        <f>'Project Cost Monthly'!Q214</f>
        <v>59003590.02416262</v>
      </c>
      <c r="R36" s="41">
        <f>'Project Cost Monthly'!R214</f>
        <v>59003590.02416262</v>
      </c>
      <c r="S36" s="41">
        <f>'Project Cost Monthly'!S214</f>
        <v>59003590.02416262</v>
      </c>
      <c r="T36" s="41">
        <f>'Project Cost Monthly'!T214</f>
        <v>59003590.02416262</v>
      </c>
      <c r="U36" s="41">
        <f>'Project Cost Monthly'!U214</f>
        <v>146603251.38385651</v>
      </c>
      <c r="V36" s="41">
        <f>'Project Cost Monthly'!V214</f>
        <v>146603251.38385651</v>
      </c>
      <c r="W36" s="41">
        <f>'Project Cost Monthly'!W214</f>
        <v>146603251.38385651</v>
      </c>
      <c r="X36" s="41">
        <f>'Project Cost Monthly'!X214</f>
        <v>147106839.35200697</v>
      </c>
      <c r="Y36" s="41">
        <f>'Project Cost Monthly'!Y214</f>
        <v>148350511.13703915</v>
      </c>
      <c r="Z36" s="41">
        <f>'Project Cost Monthly'!Z214</f>
        <v>167580860.56470522</v>
      </c>
      <c r="AA36" s="41">
        <f>'Project Cost Monthly'!AA214</f>
        <v>168997623.97906303</v>
      </c>
      <c r="AB36" s="41">
        <f>'Project Cost Monthly'!AB214</f>
        <v>170426365.00569412</v>
      </c>
      <c r="AC36" s="41">
        <f>'Project Cost Monthly'!AC214</f>
        <v>171867184.90582123</v>
      </c>
      <c r="AD36" s="41">
        <f>'Project Cost Monthly'!AD214</f>
        <v>320553930.95985788</v>
      </c>
      <c r="AE36" s="41">
        <f>'Project Cost Monthly'!AE214</f>
        <v>323263960.49534386</v>
      </c>
      <c r="AF36" s="41">
        <f>'Project Cost Monthly'!AF214</f>
        <v>364431731.90770066</v>
      </c>
      <c r="AG36" s="41">
        <f>'Project Cost Monthly'!AG214</f>
        <v>61574637.513241068</v>
      </c>
      <c r="AH36" s="41">
        <f>'Project Cost Monthly'!AH214</f>
        <v>62095202.292459518</v>
      </c>
      <c r="AI36" s="41">
        <f>'Project Cost Monthly'!AI214</f>
        <v>62620168.034481928</v>
      </c>
      <c r="AJ36" s="41">
        <f>'Project Cost Monthly'!AJ214</f>
        <v>63149571.945962243</v>
      </c>
      <c r="AK36" s="41">
        <f>'Project Cost Monthly'!AK214</f>
        <v>63683451.548107207</v>
      </c>
      <c r="AL36" s="41">
        <f>'Project Cost Monthly'!AL214</f>
        <v>64221844.679335639</v>
      </c>
      <c r="AM36" s="41">
        <f>'Project Cost Monthly'!AM214</f>
        <v>64764789.49796021</v>
      </c>
      <c r="AN36" s="41">
        <f>'Project Cost Monthly'!AN214</f>
        <v>110252732.94228967</v>
      </c>
      <c r="AO36" s="41">
        <f>'Project Cost Monthly'!AO214</f>
        <v>111184832.45436543</v>
      </c>
      <c r="AP36" s="41">
        <f>'Project Cost Monthly'!AP214</f>
        <v>112124812.12938343</v>
      </c>
      <c r="AQ36" s="41">
        <f>'Project Cost Monthly'!AQ214</f>
        <v>113072738.58787848</v>
      </c>
      <c r="AR36" s="41">
        <f>'Project Cost Monthly'!AR214</f>
        <v>114028679.01360922</v>
      </c>
      <c r="AS36" s="41">
        <f>'Project Cost Monthly'!AS214</f>
        <v>0</v>
      </c>
      <c r="AT36" s="41">
        <f>'Project Cost Monthly'!AT214</f>
        <v>0</v>
      </c>
      <c r="AU36" s="41">
        <f>'Project Cost Monthly'!AU214</f>
        <v>0</v>
      </c>
      <c r="AV36" s="41">
        <f>'Project Cost Monthly'!AV214</f>
        <v>0</v>
      </c>
      <c r="AW36" s="41">
        <f>'Project Cost Monthly'!AW214</f>
        <v>0</v>
      </c>
    </row>
    <row r="37" spans="2:49">
      <c r="B37" s="2" t="s">
        <v>631</v>
      </c>
      <c r="C37" s="15" t="str">
        <f>$C$12</f>
        <v>US$</v>
      </c>
      <c r="I37" s="41">
        <f>'Project Cost Monthly'!I258</f>
        <v>66249379.436563015</v>
      </c>
      <c r="J37" s="41">
        <f>'Project Cost Monthly'!J258</f>
        <v>59003590.02416262</v>
      </c>
      <c r="K37" s="41">
        <f>'Project Cost Monthly'!K258</f>
        <v>59003590.02416262</v>
      </c>
      <c r="L37" s="41">
        <f>'Project Cost Monthly'!L258</f>
        <v>59003590.02416262</v>
      </c>
      <c r="M37" s="41">
        <f>'Project Cost Monthly'!M258</f>
        <v>59003590.02416262</v>
      </c>
      <c r="N37" s="41">
        <f>'Project Cost Monthly'!N258</f>
        <v>59003590.02416262</v>
      </c>
      <c r="O37" s="41">
        <f>'Project Cost Monthly'!O258</f>
        <v>59003590.02416262</v>
      </c>
      <c r="P37" s="41">
        <f>'Project Cost Monthly'!P258</f>
        <v>59003590.02416262</v>
      </c>
      <c r="Q37" s="41">
        <f>'Project Cost Monthly'!Q258</f>
        <v>59003590.02416262</v>
      </c>
      <c r="R37" s="41">
        <f>'Project Cost Monthly'!R258</f>
        <v>59003590.02416262</v>
      </c>
      <c r="S37" s="41">
        <f>'Project Cost Monthly'!S258</f>
        <v>59003590.02416262</v>
      </c>
      <c r="T37" s="41">
        <f>'Project Cost Monthly'!T258</f>
        <v>59003590.02416262</v>
      </c>
      <c r="U37" s="41">
        <f>'Project Cost Monthly'!U258</f>
        <v>146603251.38385651</v>
      </c>
      <c r="V37" s="41">
        <f>'Project Cost Monthly'!V258</f>
        <v>146603251.38385651</v>
      </c>
      <c r="W37" s="41">
        <f>'Project Cost Monthly'!W258</f>
        <v>146603251.38385651</v>
      </c>
      <c r="X37" s="41">
        <f>'Project Cost Monthly'!X258</f>
        <v>147106839.35200697</v>
      </c>
      <c r="Y37" s="41">
        <f>'Project Cost Monthly'!Y258</f>
        <v>148350511.13703915</v>
      </c>
      <c r="Z37" s="41">
        <f>'Project Cost Monthly'!Z258</f>
        <v>167580860.56470522</v>
      </c>
      <c r="AA37" s="41">
        <f>'Project Cost Monthly'!AA258</f>
        <v>168997623.97906303</v>
      </c>
      <c r="AB37" s="41">
        <f>'Project Cost Monthly'!AB258</f>
        <v>170426365.00569412</v>
      </c>
      <c r="AC37" s="41">
        <f>'Project Cost Monthly'!AC258</f>
        <v>171867184.90582123</v>
      </c>
      <c r="AD37" s="41">
        <f>'Project Cost Monthly'!AD258</f>
        <v>320553930.95985788</v>
      </c>
      <c r="AE37" s="41">
        <f>'Project Cost Monthly'!AE258</f>
        <v>323263960.49534386</v>
      </c>
      <c r="AF37" s="41">
        <f>'Project Cost Monthly'!AF258</f>
        <v>364431731.90770066</v>
      </c>
      <c r="AG37" s="41">
        <f>'Project Cost Monthly'!AG258</f>
        <v>61574637.513241068</v>
      </c>
      <c r="AH37" s="41">
        <f>'Project Cost Monthly'!AH258</f>
        <v>62095202.292459518</v>
      </c>
      <c r="AI37" s="41">
        <f>'Project Cost Monthly'!AI258</f>
        <v>62620168.034481928</v>
      </c>
      <c r="AJ37" s="41">
        <f>'Project Cost Monthly'!AJ258</f>
        <v>63149571.945962243</v>
      </c>
      <c r="AK37" s="41">
        <f>'Project Cost Monthly'!AK258</f>
        <v>63683451.548107207</v>
      </c>
      <c r="AL37" s="41">
        <f>'Project Cost Monthly'!AL258</f>
        <v>64221844.679335639</v>
      </c>
      <c r="AM37" s="41">
        <f>'Project Cost Monthly'!AM258</f>
        <v>64764789.49796021</v>
      </c>
      <c r="AN37" s="41">
        <f>'Project Cost Monthly'!AN258</f>
        <v>110252732.94228967</v>
      </c>
      <c r="AO37" s="41">
        <f>'Project Cost Monthly'!AO258</f>
        <v>111184832.45436543</v>
      </c>
      <c r="AP37" s="41">
        <f>'Project Cost Monthly'!AP258</f>
        <v>112124812.12938343</v>
      </c>
      <c r="AQ37" s="41">
        <f>'Project Cost Monthly'!AQ258</f>
        <v>113072738.58787848</v>
      </c>
      <c r="AR37" s="41">
        <f>'Project Cost Monthly'!AR258</f>
        <v>114028679.0136075</v>
      </c>
      <c r="AS37" s="41">
        <f>'Project Cost Monthly'!AS258</f>
        <v>0</v>
      </c>
      <c r="AT37" s="41">
        <f>'Project Cost Monthly'!AT258</f>
        <v>0</v>
      </c>
      <c r="AU37" s="41">
        <f>'Project Cost Monthly'!AU258</f>
        <v>0</v>
      </c>
      <c r="AV37" s="41">
        <f>'Project Cost Monthly'!AV258</f>
        <v>0</v>
      </c>
      <c r="AW37" s="41">
        <f>'Project Cost Monthly'!AW258</f>
        <v>0</v>
      </c>
    </row>
    <row r="38" spans="2:49">
      <c r="B38" s="2" t="s">
        <v>612</v>
      </c>
      <c r="D38" s="119">
        <f>SUM(I38:AI38)</f>
        <v>0</v>
      </c>
      <c r="I38" s="41">
        <v>0</v>
      </c>
      <c r="J38" s="41">
        <v>0</v>
      </c>
      <c r="K38" s="41">
        <v>0</v>
      </c>
      <c r="L38" s="41">
        <v>0</v>
      </c>
      <c r="M38" s="41">
        <v>0</v>
      </c>
      <c r="N38" s="41">
        <v>0</v>
      </c>
      <c r="O38" s="41">
        <v>0</v>
      </c>
      <c r="P38" s="41">
        <v>0</v>
      </c>
      <c r="Q38" s="41">
        <v>0</v>
      </c>
      <c r="R38" s="41">
        <v>0</v>
      </c>
      <c r="S38" s="41">
        <v>0</v>
      </c>
      <c r="T38" s="41">
        <v>0</v>
      </c>
      <c r="U38" s="41">
        <v>0</v>
      </c>
      <c r="V38" s="41">
        <v>0</v>
      </c>
      <c r="W38" s="41">
        <v>0</v>
      </c>
      <c r="X38" s="41">
        <v>0</v>
      </c>
      <c r="Y38" s="41">
        <v>0</v>
      </c>
      <c r="Z38" s="41">
        <v>0</v>
      </c>
      <c r="AA38" s="41">
        <v>0</v>
      </c>
      <c r="AB38" s="41">
        <v>0</v>
      </c>
      <c r="AC38" s="41">
        <v>0</v>
      </c>
      <c r="AD38" s="41">
        <v>0</v>
      </c>
      <c r="AE38" s="41">
        <v>0</v>
      </c>
      <c r="AF38" s="41">
        <v>0</v>
      </c>
      <c r="AG38" s="41">
        <v>0</v>
      </c>
      <c r="AH38" s="41">
        <v>0</v>
      </c>
      <c r="AI38" s="41">
        <v>0</v>
      </c>
    </row>
    <row r="40" spans="2:49">
      <c r="B40" s="10" t="s">
        <v>632</v>
      </c>
    </row>
    <row r="41" spans="2:49">
      <c r="B41" s="50" t="s">
        <v>108</v>
      </c>
    </row>
    <row r="42" spans="2:49">
      <c r="B42" s="2" t="s">
        <v>99</v>
      </c>
      <c r="C42" s="15" t="s">
        <v>60</v>
      </c>
      <c r="F42" s="59">
        <f>SUM(I42:AI42)</f>
        <v>1</v>
      </c>
      <c r="I42" s="41">
        <f>'Timing &amp; Flags'!I141</f>
        <v>0</v>
      </c>
      <c r="J42" s="41">
        <f>'Timing &amp; Flags'!J141</f>
        <v>0</v>
      </c>
      <c r="K42" s="41">
        <f>'Timing &amp; Flags'!K141</f>
        <v>0</v>
      </c>
      <c r="L42" s="41">
        <f>'Timing &amp; Flags'!L141</f>
        <v>0</v>
      </c>
      <c r="M42" s="41">
        <f>'Timing &amp; Flags'!M141</f>
        <v>0</v>
      </c>
      <c r="N42" s="41">
        <f>'Timing &amp; Flags'!N141</f>
        <v>0</v>
      </c>
      <c r="O42" s="41">
        <f>'Timing &amp; Flags'!O141</f>
        <v>0</v>
      </c>
      <c r="P42" s="41">
        <f>'Timing &amp; Flags'!P141</f>
        <v>0</v>
      </c>
      <c r="Q42" s="41">
        <f>'Timing &amp; Flags'!Q141</f>
        <v>0</v>
      </c>
      <c r="R42" s="41">
        <f>'Timing &amp; Flags'!R141</f>
        <v>1</v>
      </c>
      <c r="S42" s="41">
        <f>'Timing &amp; Flags'!S141</f>
        <v>0</v>
      </c>
      <c r="T42" s="41">
        <f>'Timing &amp; Flags'!T141</f>
        <v>0</v>
      </c>
      <c r="U42" s="41">
        <f>'Timing &amp; Flags'!U141</f>
        <v>0</v>
      </c>
      <c r="V42" s="41">
        <f>'Timing &amp; Flags'!V141</f>
        <v>0</v>
      </c>
      <c r="W42" s="41">
        <f>'Timing &amp; Flags'!W141</f>
        <v>0</v>
      </c>
      <c r="X42" s="41">
        <f>'Timing &amp; Flags'!X141</f>
        <v>0</v>
      </c>
      <c r="Y42" s="41">
        <f>'Timing &amp; Flags'!Y141</f>
        <v>0</v>
      </c>
      <c r="Z42" s="41">
        <f>'Timing &amp; Flags'!Z141</f>
        <v>0</v>
      </c>
      <c r="AA42" s="41">
        <f>'Timing &amp; Flags'!AA141</f>
        <v>0</v>
      </c>
      <c r="AB42" s="41">
        <f>'Timing &amp; Flags'!AB141</f>
        <v>0</v>
      </c>
      <c r="AC42" s="41">
        <f>'Timing &amp; Flags'!AC141</f>
        <v>0</v>
      </c>
      <c r="AD42" s="41">
        <f>'Timing &amp; Flags'!AD141</f>
        <v>0</v>
      </c>
      <c r="AE42" s="41">
        <f>'Timing &amp; Flags'!AE141</f>
        <v>0</v>
      </c>
      <c r="AF42" s="41">
        <f>'Timing &amp; Flags'!AF141</f>
        <v>0</v>
      </c>
      <c r="AG42" s="41">
        <f>'Timing &amp; Flags'!AG141</f>
        <v>0</v>
      </c>
      <c r="AH42" s="41">
        <f>'Timing &amp; Flags'!AH141</f>
        <v>0</v>
      </c>
      <c r="AI42" s="41">
        <f>'Timing &amp; Flags'!AI141</f>
        <v>0</v>
      </c>
    </row>
    <row r="43" spans="2:49">
      <c r="B43" s="2" t="s">
        <v>98</v>
      </c>
      <c r="C43" s="15" t="s">
        <v>60</v>
      </c>
      <c r="F43" s="59">
        <f>SUM(I43:AI43)</f>
        <v>1</v>
      </c>
      <c r="I43" s="41">
        <f>'Timing &amp; Flags'!I136</f>
        <v>0</v>
      </c>
      <c r="J43" s="41">
        <f>'Timing &amp; Flags'!J136</f>
        <v>0</v>
      </c>
      <c r="K43" s="41">
        <f>'Timing &amp; Flags'!K136</f>
        <v>0</v>
      </c>
      <c r="L43" s="41">
        <f>'Timing &amp; Flags'!L136</f>
        <v>0</v>
      </c>
      <c r="M43" s="41">
        <f>'Timing &amp; Flags'!M136</f>
        <v>0</v>
      </c>
      <c r="N43" s="41">
        <f>'Timing &amp; Flags'!N136</f>
        <v>0</v>
      </c>
      <c r="O43" s="41">
        <f>'Timing &amp; Flags'!O136</f>
        <v>0</v>
      </c>
      <c r="P43" s="41">
        <f>'Timing &amp; Flags'!P136</f>
        <v>0</v>
      </c>
      <c r="Q43" s="41">
        <f>'Timing &amp; Flags'!Q136</f>
        <v>0</v>
      </c>
      <c r="R43" s="41">
        <f>'Timing &amp; Flags'!R136</f>
        <v>1</v>
      </c>
      <c r="S43" s="41">
        <f>'Timing &amp; Flags'!S136</f>
        <v>0</v>
      </c>
      <c r="T43" s="41">
        <f>'Timing &amp; Flags'!T136</f>
        <v>0</v>
      </c>
      <c r="U43" s="41">
        <f>'Timing &amp; Flags'!U136</f>
        <v>0</v>
      </c>
      <c r="V43" s="41">
        <f>'Timing &amp; Flags'!V136</f>
        <v>0</v>
      </c>
      <c r="W43" s="41">
        <f>'Timing &amp; Flags'!W136</f>
        <v>0</v>
      </c>
      <c r="X43" s="41">
        <f>'Timing &amp; Flags'!X136</f>
        <v>0</v>
      </c>
      <c r="Y43" s="41">
        <f>'Timing &amp; Flags'!Y136</f>
        <v>0</v>
      </c>
      <c r="Z43" s="41">
        <f>'Timing &amp; Flags'!Z136</f>
        <v>0</v>
      </c>
      <c r="AA43" s="41">
        <f>'Timing &amp; Flags'!AA136</f>
        <v>0</v>
      </c>
      <c r="AB43" s="41">
        <f>'Timing &amp; Flags'!AB136</f>
        <v>0</v>
      </c>
      <c r="AC43" s="41">
        <f>'Timing &amp; Flags'!AC136</f>
        <v>0</v>
      </c>
      <c r="AD43" s="41">
        <f>'Timing &amp; Flags'!AD136</f>
        <v>0</v>
      </c>
      <c r="AE43" s="41">
        <f>'Timing &amp; Flags'!AE136</f>
        <v>0</v>
      </c>
      <c r="AF43" s="41">
        <f>'Timing &amp; Flags'!AF136</f>
        <v>0</v>
      </c>
      <c r="AG43" s="41">
        <f>'Timing &amp; Flags'!AG136</f>
        <v>0</v>
      </c>
      <c r="AH43" s="41">
        <f>'Timing &amp; Flags'!AH136</f>
        <v>0</v>
      </c>
      <c r="AI43" s="41">
        <f>'Timing &amp; Flags'!AI136</f>
        <v>0</v>
      </c>
    </row>
    <row r="45" spans="2:49">
      <c r="B45" s="50" t="s">
        <v>633</v>
      </c>
      <c r="F45" s="50" t="s">
        <v>639</v>
      </c>
    </row>
    <row r="46" spans="2:49">
      <c r="B46" s="2" t="s">
        <v>99</v>
      </c>
      <c r="C46" s="15" t="str">
        <f>$C$12</f>
        <v>US$</v>
      </c>
      <c r="D46" s="119">
        <v>0</v>
      </c>
      <c r="F46" s="240">
        <f ca="1">SUMPRODUCT(I46:AI46,I42:AI42)</f>
        <v>0</v>
      </c>
      <c r="I46" s="41">
        <f ca="1">BS!I31</f>
        <v>0</v>
      </c>
      <c r="J46" s="41">
        <f ca="1">BS!J31</f>
        <v>-1895542304.3210859</v>
      </c>
      <c r="K46" s="41">
        <f ca="1">BS!K31</f>
        <v>-2898315764.9601583</v>
      </c>
      <c r="L46" s="41">
        <f ca="1">BS!L31</f>
        <v>-2484270655.6801357</v>
      </c>
      <c r="M46" s="41">
        <f ca="1">BS!M31</f>
        <v>-2070225546.4001131</v>
      </c>
      <c r="N46" s="41">
        <f ca="1">BS!N31</f>
        <v>-1656180437.1200905</v>
      </c>
      <c r="O46" s="41">
        <f ca="1">BS!O31</f>
        <v>-1242135327.8400679</v>
      </c>
      <c r="P46" s="41">
        <f ca="1">BS!P31</f>
        <v>-828090218.56004524</v>
      </c>
      <c r="Q46" s="41">
        <f ca="1">BS!Q31</f>
        <v>-414045109.28002262</v>
      </c>
      <c r="R46" s="41">
        <f ca="1">BS!R31</f>
        <v>0</v>
      </c>
      <c r="S46" s="41">
        <f ca="1">BS!S31</f>
        <v>0</v>
      </c>
      <c r="T46" s="41">
        <f ca="1">BS!T31</f>
        <v>0</v>
      </c>
      <c r="U46" s="41">
        <f ca="1">BS!U31</f>
        <v>0</v>
      </c>
      <c r="V46" s="41">
        <f ca="1">BS!V31</f>
        <v>0</v>
      </c>
      <c r="W46" s="41">
        <f ca="1">BS!W31</f>
        <v>0</v>
      </c>
      <c r="X46" s="41">
        <f ca="1">BS!X31</f>
        <v>0</v>
      </c>
      <c r="Y46" s="41">
        <f ca="1">BS!Y31</f>
        <v>0</v>
      </c>
      <c r="Z46" s="41">
        <f ca="1">BS!Z31</f>
        <v>0</v>
      </c>
      <c r="AA46" s="41">
        <f ca="1">BS!AA31</f>
        <v>0</v>
      </c>
      <c r="AB46" s="41">
        <f ca="1">BS!AB31</f>
        <v>0</v>
      </c>
      <c r="AC46" s="41">
        <f ca="1">BS!AC31</f>
        <v>0</v>
      </c>
      <c r="AD46" s="41">
        <f ca="1">BS!AD31</f>
        <v>0</v>
      </c>
      <c r="AE46" s="41">
        <f ca="1">BS!AE31</f>
        <v>0</v>
      </c>
      <c r="AF46" s="41">
        <f ca="1">BS!AF31</f>
        <v>0</v>
      </c>
      <c r="AG46" s="41">
        <f ca="1">BS!AG31</f>
        <v>0</v>
      </c>
      <c r="AH46" s="41">
        <f ca="1">BS!AH31</f>
        <v>0</v>
      </c>
      <c r="AI46" s="41">
        <f ca="1">BS!AI31</f>
        <v>0</v>
      </c>
    </row>
    <row r="47" spans="2:49">
      <c r="B47" s="2" t="s">
        <v>98</v>
      </c>
      <c r="C47" s="15" t="str">
        <f>$C$12</f>
        <v>US$</v>
      </c>
      <c r="D47" s="119">
        <v>0</v>
      </c>
      <c r="F47" s="41">
        <f ca="1">SUMPRODUCT(I47:AI47,I43:AI43)</f>
        <v>0</v>
      </c>
      <c r="I47" s="41">
        <f ca="1">BS!I32</f>
        <v>0</v>
      </c>
      <c r="J47" s="41">
        <f ca="1">BS!J32</f>
        <v>0</v>
      </c>
      <c r="K47" s="41">
        <f ca="1">BS!K32</f>
        <v>0</v>
      </c>
      <c r="L47" s="41">
        <f ca="1">BS!L32</f>
        <v>0</v>
      </c>
      <c r="M47" s="41">
        <f ca="1">BS!M32</f>
        <v>0</v>
      </c>
      <c r="N47" s="41">
        <f ca="1">BS!N32</f>
        <v>0</v>
      </c>
      <c r="O47" s="41">
        <f ca="1">BS!O32</f>
        <v>0</v>
      </c>
      <c r="P47" s="41">
        <f ca="1">BS!P32</f>
        <v>0</v>
      </c>
      <c r="Q47" s="41">
        <f ca="1">BS!Q32</f>
        <v>0</v>
      </c>
      <c r="R47" s="41">
        <f ca="1">BS!R32</f>
        <v>0</v>
      </c>
      <c r="S47" s="41">
        <f ca="1">BS!S32</f>
        <v>0</v>
      </c>
      <c r="T47" s="41">
        <f ca="1">BS!T32</f>
        <v>0</v>
      </c>
      <c r="U47" s="41">
        <f ca="1">BS!U32</f>
        <v>0</v>
      </c>
      <c r="V47" s="41">
        <f ca="1">BS!V32</f>
        <v>0</v>
      </c>
      <c r="W47" s="41">
        <f ca="1">BS!W32</f>
        <v>0</v>
      </c>
      <c r="X47" s="41">
        <f ca="1">BS!X32</f>
        <v>0</v>
      </c>
      <c r="Y47" s="41">
        <f ca="1">BS!Y32</f>
        <v>0</v>
      </c>
      <c r="Z47" s="41">
        <f ca="1">BS!Z32</f>
        <v>0</v>
      </c>
      <c r="AA47" s="41">
        <f ca="1">BS!AA32</f>
        <v>0</v>
      </c>
      <c r="AB47" s="41">
        <f ca="1">BS!AB32</f>
        <v>0</v>
      </c>
      <c r="AC47" s="41">
        <f ca="1">BS!AC32</f>
        <v>0</v>
      </c>
      <c r="AD47" s="41">
        <f ca="1">BS!AD32</f>
        <v>0</v>
      </c>
      <c r="AE47" s="41">
        <f ca="1">BS!AE32</f>
        <v>0</v>
      </c>
      <c r="AF47" s="41">
        <f ca="1">BS!AF32</f>
        <v>0</v>
      </c>
      <c r="AG47" s="41">
        <f ca="1">BS!AG32</f>
        <v>0</v>
      </c>
      <c r="AH47" s="41">
        <f ca="1">BS!AH32</f>
        <v>0</v>
      </c>
      <c r="AI47" s="41">
        <f ca="1">BS!AI32</f>
        <v>0</v>
      </c>
    </row>
    <row r="49" spans="1:49">
      <c r="B49" s="10" t="s">
        <v>178</v>
      </c>
    </row>
    <row r="50" spans="1:49">
      <c r="B50" s="2" t="s">
        <v>279</v>
      </c>
      <c r="C50" s="15" t="str">
        <f>$C$12</f>
        <v>US$</v>
      </c>
      <c r="I50" s="41">
        <f>'Reserve Accounts'!I39</f>
        <v>0</v>
      </c>
      <c r="J50" s="41">
        <f>'Reserve Accounts'!J39</f>
        <v>0</v>
      </c>
      <c r="K50" s="41">
        <f>'Reserve Accounts'!K39</f>
        <v>0</v>
      </c>
      <c r="L50" s="41">
        <f>'Reserve Accounts'!L39</f>
        <v>0</v>
      </c>
      <c r="M50" s="41">
        <f>'Reserve Accounts'!M39</f>
        <v>0</v>
      </c>
      <c r="N50" s="41">
        <f>'Reserve Accounts'!N39</f>
        <v>0</v>
      </c>
      <c r="O50" s="41">
        <f>'Reserve Accounts'!O39</f>
        <v>0</v>
      </c>
      <c r="P50" s="41">
        <f>'Reserve Accounts'!P39</f>
        <v>0</v>
      </c>
      <c r="Q50" s="41">
        <f>'Reserve Accounts'!Q39</f>
        <v>0</v>
      </c>
      <c r="R50" s="41">
        <f>'Reserve Accounts'!R39</f>
        <v>0</v>
      </c>
      <c r="S50" s="41">
        <f>'Reserve Accounts'!S39</f>
        <v>0</v>
      </c>
      <c r="T50" s="41">
        <f>'Reserve Accounts'!T39</f>
        <v>0</v>
      </c>
      <c r="U50" s="41">
        <f>'Reserve Accounts'!U39</f>
        <v>0</v>
      </c>
      <c r="V50" s="41">
        <f>'Reserve Accounts'!V39</f>
        <v>0</v>
      </c>
      <c r="W50" s="41">
        <f>'Reserve Accounts'!W39</f>
        <v>0</v>
      </c>
      <c r="X50" s="41">
        <f>'Reserve Accounts'!X39</f>
        <v>0</v>
      </c>
      <c r="Y50" s="41">
        <f>'Reserve Accounts'!Y39</f>
        <v>0</v>
      </c>
      <c r="Z50" s="41">
        <f>'Reserve Accounts'!Z39</f>
        <v>0</v>
      </c>
      <c r="AA50" s="41">
        <f>'Reserve Accounts'!AA39</f>
        <v>0</v>
      </c>
      <c r="AB50" s="41">
        <f>'Reserve Accounts'!AB39</f>
        <v>0</v>
      </c>
      <c r="AC50" s="41">
        <f>'Reserve Accounts'!AC39</f>
        <v>0</v>
      </c>
      <c r="AD50" s="41">
        <f>'Reserve Accounts'!AD39</f>
        <v>0</v>
      </c>
      <c r="AE50" s="41">
        <f>'Reserve Accounts'!AE39</f>
        <v>0</v>
      </c>
      <c r="AF50" s="41">
        <f>'Reserve Accounts'!AF39</f>
        <v>0</v>
      </c>
      <c r="AG50" s="41">
        <f>'Reserve Accounts'!AG39</f>
        <v>0</v>
      </c>
      <c r="AH50" s="41">
        <f>'Reserve Accounts'!AH39</f>
        <v>0</v>
      </c>
      <c r="AI50" s="41">
        <f>'Reserve Accounts'!AI39</f>
        <v>0</v>
      </c>
    </row>
    <row r="51" spans="1:49">
      <c r="B51" s="2" t="s">
        <v>634</v>
      </c>
      <c r="C51" s="15" t="str">
        <f>$C$12</f>
        <v>US$</v>
      </c>
      <c r="I51" s="41">
        <f>'Reserve Accounts'!I48</f>
        <v>0</v>
      </c>
      <c r="J51" s="41">
        <f>'Reserve Accounts'!J48</f>
        <v>0</v>
      </c>
      <c r="K51" s="41">
        <f>'Reserve Accounts'!K48</f>
        <v>0</v>
      </c>
      <c r="L51" s="41">
        <f>'Reserve Accounts'!L48</f>
        <v>0</v>
      </c>
      <c r="M51" s="41">
        <f>'Reserve Accounts'!M48</f>
        <v>0</v>
      </c>
      <c r="N51" s="41">
        <f>'Reserve Accounts'!N48</f>
        <v>0</v>
      </c>
      <c r="O51" s="41">
        <f>'Reserve Accounts'!O48</f>
        <v>0</v>
      </c>
      <c r="P51" s="41">
        <f>'Reserve Accounts'!P48</f>
        <v>0</v>
      </c>
      <c r="Q51" s="41">
        <f>'Reserve Accounts'!Q48</f>
        <v>0</v>
      </c>
      <c r="R51" s="41">
        <f>'Reserve Accounts'!R48</f>
        <v>0</v>
      </c>
      <c r="S51" s="41">
        <f>'Reserve Accounts'!S48</f>
        <v>0</v>
      </c>
      <c r="T51" s="41">
        <f>'Reserve Accounts'!T48</f>
        <v>0</v>
      </c>
      <c r="U51" s="41">
        <f>'Reserve Accounts'!U48</f>
        <v>0</v>
      </c>
      <c r="V51" s="41">
        <f>'Reserve Accounts'!V48</f>
        <v>0</v>
      </c>
      <c r="W51" s="41">
        <f>'Reserve Accounts'!W48</f>
        <v>0</v>
      </c>
      <c r="X51" s="41">
        <f>'Reserve Accounts'!X48</f>
        <v>0</v>
      </c>
      <c r="Y51" s="41">
        <f>'Reserve Accounts'!Y48</f>
        <v>0</v>
      </c>
      <c r="Z51" s="41">
        <f>'Reserve Accounts'!Z48</f>
        <v>0</v>
      </c>
      <c r="AA51" s="41">
        <f>'Reserve Accounts'!AA48</f>
        <v>0</v>
      </c>
      <c r="AB51" s="41">
        <f>'Reserve Accounts'!AB48</f>
        <v>0</v>
      </c>
      <c r="AC51" s="41">
        <f>'Reserve Accounts'!AC48</f>
        <v>0</v>
      </c>
      <c r="AD51" s="41">
        <f>'Reserve Accounts'!AD48</f>
        <v>0</v>
      </c>
      <c r="AE51" s="41">
        <f>'Reserve Accounts'!AE48</f>
        <v>0</v>
      </c>
      <c r="AF51" s="41">
        <f>'Reserve Accounts'!AF48</f>
        <v>0</v>
      </c>
      <c r="AG51" s="41">
        <f>'Reserve Accounts'!AG48</f>
        <v>0</v>
      </c>
      <c r="AH51" s="41">
        <f>'Reserve Accounts'!AH48</f>
        <v>0</v>
      </c>
      <c r="AI51" s="41">
        <f>'Reserve Accounts'!AI48</f>
        <v>0</v>
      </c>
    </row>
    <row r="52" spans="1:49">
      <c r="B52" s="2" t="s">
        <v>612</v>
      </c>
      <c r="D52" s="119">
        <f>SUM(I52:AI52)</f>
        <v>0</v>
      </c>
      <c r="I52" s="41">
        <v>0</v>
      </c>
      <c r="J52" s="41">
        <v>0</v>
      </c>
      <c r="K52" s="41">
        <v>0</v>
      </c>
      <c r="L52" s="41">
        <v>0</v>
      </c>
      <c r="M52" s="41">
        <v>0</v>
      </c>
      <c r="N52" s="41">
        <v>0</v>
      </c>
      <c r="O52" s="41">
        <v>0</v>
      </c>
      <c r="P52" s="41">
        <v>0</v>
      </c>
      <c r="Q52" s="41">
        <v>0</v>
      </c>
      <c r="R52" s="41">
        <v>0</v>
      </c>
      <c r="S52" s="41">
        <v>0</v>
      </c>
      <c r="T52" s="41">
        <v>0</v>
      </c>
      <c r="U52" s="41">
        <v>0</v>
      </c>
      <c r="V52" s="41">
        <v>0</v>
      </c>
      <c r="W52" s="41">
        <v>0</v>
      </c>
      <c r="X52" s="41">
        <v>0</v>
      </c>
      <c r="Y52" s="41">
        <v>0</v>
      </c>
      <c r="Z52" s="41">
        <v>0</v>
      </c>
      <c r="AA52" s="41">
        <v>0</v>
      </c>
      <c r="AB52" s="41">
        <v>0</v>
      </c>
      <c r="AC52" s="41">
        <v>0</v>
      </c>
      <c r="AD52" s="41">
        <v>0</v>
      </c>
      <c r="AE52" s="41">
        <v>0</v>
      </c>
      <c r="AF52" s="41">
        <v>0</v>
      </c>
      <c r="AG52" s="41">
        <v>0</v>
      </c>
      <c r="AH52" s="41">
        <v>0</v>
      </c>
      <c r="AI52" s="41">
        <v>0</v>
      </c>
    </row>
    <row r="54" spans="1:49">
      <c r="B54" s="10" t="s">
        <v>635</v>
      </c>
    </row>
    <row r="55" spans="1:49">
      <c r="B55" s="2" t="s">
        <v>279</v>
      </c>
      <c r="C55" s="15" t="str">
        <f>$C$12</f>
        <v>US$</v>
      </c>
      <c r="I55" s="41">
        <f>'Reserve Accounts'!I68</f>
        <v>0</v>
      </c>
      <c r="J55" s="41">
        <f>'Reserve Accounts'!J68</f>
        <v>0</v>
      </c>
      <c r="K55" s="41">
        <f>'Reserve Accounts'!K68</f>
        <v>0</v>
      </c>
      <c r="L55" s="41">
        <f>'Reserve Accounts'!L68</f>
        <v>0</v>
      </c>
      <c r="M55" s="41">
        <f>'Reserve Accounts'!M68</f>
        <v>0</v>
      </c>
      <c r="N55" s="41">
        <f>'Reserve Accounts'!N68</f>
        <v>0</v>
      </c>
      <c r="O55" s="41">
        <f>'Reserve Accounts'!O68</f>
        <v>0</v>
      </c>
      <c r="P55" s="41">
        <f>'Reserve Accounts'!P68</f>
        <v>0</v>
      </c>
      <c r="Q55" s="41">
        <f>'Reserve Accounts'!Q68</f>
        <v>0</v>
      </c>
      <c r="R55" s="41">
        <f>'Reserve Accounts'!R68</f>
        <v>0</v>
      </c>
      <c r="S55" s="41">
        <f>'Reserve Accounts'!S68</f>
        <v>0</v>
      </c>
      <c r="T55" s="41">
        <f>'Reserve Accounts'!T68</f>
        <v>0</v>
      </c>
      <c r="U55" s="41">
        <f>'Reserve Accounts'!U68</f>
        <v>0</v>
      </c>
      <c r="V55" s="41">
        <f>'Reserve Accounts'!V68</f>
        <v>0</v>
      </c>
      <c r="W55" s="41">
        <f>'Reserve Accounts'!W68</f>
        <v>0</v>
      </c>
      <c r="X55" s="41">
        <f>'Reserve Accounts'!X68</f>
        <v>0</v>
      </c>
      <c r="Y55" s="41">
        <f>'Reserve Accounts'!Y68</f>
        <v>0</v>
      </c>
      <c r="Z55" s="41">
        <f>'Reserve Accounts'!Z68</f>
        <v>0</v>
      </c>
      <c r="AA55" s="41">
        <f>'Reserve Accounts'!AA68</f>
        <v>0</v>
      </c>
      <c r="AB55" s="41">
        <f>'Reserve Accounts'!AB68</f>
        <v>0</v>
      </c>
      <c r="AC55" s="41">
        <f>'Reserve Accounts'!AC68</f>
        <v>0</v>
      </c>
      <c r="AD55" s="41">
        <f>'Reserve Accounts'!AD68</f>
        <v>0</v>
      </c>
      <c r="AE55" s="41">
        <f>'Reserve Accounts'!AE68</f>
        <v>0</v>
      </c>
      <c r="AF55" s="41">
        <f>'Reserve Accounts'!AF68</f>
        <v>0</v>
      </c>
      <c r="AG55" s="41">
        <f>'Reserve Accounts'!AG68</f>
        <v>0</v>
      </c>
      <c r="AH55" s="41">
        <f>'Reserve Accounts'!AH68</f>
        <v>0</v>
      </c>
      <c r="AI55" s="41">
        <f>'Reserve Accounts'!AI68</f>
        <v>0</v>
      </c>
    </row>
    <row r="56" spans="1:49">
      <c r="B56" s="2" t="s">
        <v>634</v>
      </c>
      <c r="C56" s="15" t="str">
        <f>$C$12</f>
        <v>US$</v>
      </c>
      <c r="I56" s="41">
        <f ca="1">'Reserve Accounts'!I76</f>
        <v>0</v>
      </c>
      <c r="J56" s="41">
        <f ca="1">'Reserve Accounts'!J76</f>
        <v>0</v>
      </c>
      <c r="K56" s="41">
        <f ca="1">'Reserve Accounts'!K76</f>
        <v>0</v>
      </c>
      <c r="L56" s="41">
        <f ca="1">'Reserve Accounts'!L76</f>
        <v>0</v>
      </c>
      <c r="M56" s="41">
        <f ca="1">'Reserve Accounts'!M76</f>
        <v>0</v>
      </c>
      <c r="N56" s="41">
        <f ca="1">'Reserve Accounts'!N76</f>
        <v>0</v>
      </c>
      <c r="O56" s="41">
        <f ca="1">'Reserve Accounts'!O76</f>
        <v>0</v>
      </c>
      <c r="P56" s="41">
        <f ca="1">'Reserve Accounts'!P76</f>
        <v>0</v>
      </c>
      <c r="Q56" s="41">
        <f ca="1">'Reserve Accounts'!Q76</f>
        <v>0</v>
      </c>
      <c r="R56" s="41">
        <f ca="1">'Reserve Accounts'!R76</f>
        <v>0</v>
      </c>
      <c r="S56" s="41">
        <f ca="1">'Reserve Accounts'!S76</f>
        <v>0</v>
      </c>
      <c r="T56" s="41">
        <f ca="1">'Reserve Accounts'!T76</f>
        <v>0</v>
      </c>
      <c r="U56" s="41">
        <f ca="1">'Reserve Accounts'!U76</f>
        <v>0</v>
      </c>
      <c r="V56" s="41">
        <f ca="1">'Reserve Accounts'!V76</f>
        <v>0</v>
      </c>
      <c r="W56" s="41">
        <f ca="1">'Reserve Accounts'!W76</f>
        <v>0</v>
      </c>
      <c r="X56" s="41">
        <f ca="1">'Reserve Accounts'!X76</f>
        <v>0</v>
      </c>
      <c r="Y56" s="41">
        <f ca="1">'Reserve Accounts'!Y76</f>
        <v>0</v>
      </c>
      <c r="Z56" s="41">
        <f ca="1">'Reserve Accounts'!Z76</f>
        <v>0</v>
      </c>
      <c r="AA56" s="41">
        <f ca="1">'Reserve Accounts'!AA76</f>
        <v>0</v>
      </c>
      <c r="AB56" s="41">
        <f ca="1">'Reserve Accounts'!AB76</f>
        <v>0</v>
      </c>
      <c r="AC56" s="41">
        <f ca="1">'Reserve Accounts'!AC76</f>
        <v>0</v>
      </c>
      <c r="AD56" s="41">
        <f ca="1">'Reserve Accounts'!AD76</f>
        <v>0</v>
      </c>
      <c r="AE56" s="41">
        <f ca="1">'Reserve Accounts'!AE76</f>
        <v>0</v>
      </c>
      <c r="AF56" s="41">
        <f ca="1">'Reserve Accounts'!AF76</f>
        <v>0</v>
      </c>
      <c r="AG56" s="41">
        <f ca="1">'Reserve Accounts'!AG76</f>
        <v>0</v>
      </c>
      <c r="AH56" s="41">
        <f ca="1">'Reserve Accounts'!AH76</f>
        <v>0</v>
      </c>
      <c r="AI56" s="41">
        <f ca="1">'Reserve Accounts'!AI76</f>
        <v>0</v>
      </c>
    </row>
    <row r="57" spans="1:49">
      <c r="B57" s="2" t="s">
        <v>612</v>
      </c>
      <c r="D57" s="119">
        <f>SUM(I57:AI57)</f>
        <v>0</v>
      </c>
      <c r="I57" s="41">
        <v>0</v>
      </c>
      <c r="J57" s="41">
        <v>0</v>
      </c>
      <c r="K57" s="41">
        <v>0</v>
      </c>
      <c r="L57" s="41">
        <v>0</v>
      </c>
      <c r="M57" s="41">
        <v>0</v>
      </c>
      <c r="N57" s="41">
        <v>0</v>
      </c>
      <c r="O57" s="41">
        <v>0</v>
      </c>
      <c r="P57" s="41">
        <v>0</v>
      </c>
      <c r="Q57" s="41">
        <v>0</v>
      </c>
      <c r="R57" s="41">
        <v>0</v>
      </c>
      <c r="S57" s="41">
        <v>0</v>
      </c>
      <c r="T57" s="41">
        <v>0</v>
      </c>
      <c r="U57" s="41">
        <v>0</v>
      </c>
      <c r="V57" s="41">
        <v>0</v>
      </c>
      <c r="W57" s="41">
        <v>0</v>
      </c>
      <c r="X57" s="41">
        <v>0</v>
      </c>
      <c r="Y57" s="41">
        <v>0</v>
      </c>
      <c r="Z57" s="41">
        <v>0</v>
      </c>
      <c r="AA57" s="41">
        <v>0</v>
      </c>
      <c r="AB57" s="41">
        <v>0</v>
      </c>
      <c r="AC57" s="41">
        <v>0</v>
      </c>
      <c r="AD57" s="41">
        <v>0</v>
      </c>
      <c r="AE57" s="41">
        <v>0</v>
      </c>
      <c r="AF57" s="41">
        <v>0</v>
      </c>
      <c r="AG57" s="41">
        <v>0</v>
      </c>
      <c r="AH57" s="41">
        <v>0</v>
      </c>
      <c r="AI57" s="41">
        <v>0</v>
      </c>
    </row>
    <row r="59" spans="1:49">
      <c r="B59" s="10" t="s">
        <v>636</v>
      </c>
    </row>
    <row r="60" spans="1:49">
      <c r="B60" s="2" t="s">
        <v>628</v>
      </c>
      <c r="D60" s="118">
        <f>'Project Cost Monthly'!D215</f>
        <v>0</v>
      </c>
    </row>
    <row r="61" spans="1:49">
      <c r="B61" s="27" t="s">
        <v>465</v>
      </c>
      <c r="C61" s="27"/>
      <c r="D61" s="126">
        <f ca="1">'Reserve Accounts'!D42</f>
        <v>0</v>
      </c>
    </row>
    <row r="62" spans="1:49">
      <c r="B62" s="2" t="s">
        <v>230</v>
      </c>
    </row>
    <row r="64" spans="1:49">
      <c r="A64" s="40" t="s">
        <v>109</v>
      </c>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sheetData>
  <pageMargins left="0.7" right="0.7" top="0.75" bottom="0.75" header="0.3" footer="0.3"/>
  <pageSetup paperSize="9" orientation="portrait" r:id="rId1"/>
  <ignoredErrors>
    <ignoredError sqref="D30" formulaRange="1"/>
  </ignoredError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tabColor theme="9" tint="0.39997558519241921"/>
  </sheetPr>
  <dimension ref="A1:CD166"/>
  <sheetViews>
    <sheetView tabSelected="1" topLeftCell="A34" zoomScaleNormal="100" workbookViewId="0">
      <selection activeCell="I32" sqref="I32"/>
    </sheetView>
  </sheetViews>
  <sheetFormatPr defaultColWidth="9.14453125" defaultRowHeight="10.5"/>
  <cols>
    <col min="1" max="1" width="3.49609375" style="2" customWidth="1"/>
    <col min="2" max="2" width="28.65234375" style="2" bestFit="1" customWidth="1"/>
    <col min="3" max="3" width="9.14453125" style="2"/>
    <col min="4" max="4" width="14.9296875" style="2" customWidth="1"/>
    <col min="5" max="5" width="15.33203125" style="2" customWidth="1"/>
    <col min="6" max="7" width="9.14453125" style="2"/>
    <col min="8" max="8" width="12.23828125" style="2" customWidth="1"/>
    <col min="9" max="9" width="52.59765625" style="2" customWidth="1"/>
    <col min="10" max="16384" width="9.14453125" style="2"/>
  </cols>
  <sheetData>
    <row r="1" spans="1:81" s="3265" customFormat="1" ht="14.25">
      <c r="A1" s="3259" t="s">
        <v>672</v>
      </c>
      <c r="B1" s="3260"/>
      <c r="C1" s="3260"/>
      <c r="D1" s="3260"/>
      <c r="E1" s="3260"/>
      <c r="F1" s="3260"/>
      <c r="G1" s="3260"/>
      <c r="H1" s="3260"/>
      <c r="I1" s="3260"/>
      <c r="J1" s="3260"/>
      <c r="K1" s="3260"/>
      <c r="L1" s="3260"/>
      <c r="M1" s="3260"/>
      <c r="N1" s="3260"/>
      <c r="O1" s="3260"/>
      <c r="P1" s="3260"/>
      <c r="Q1" s="3260"/>
      <c r="R1" s="3260"/>
      <c r="S1" s="3260"/>
      <c r="T1" s="3260"/>
      <c r="U1" s="3260"/>
      <c r="V1" s="3260"/>
      <c r="W1" s="3260"/>
      <c r="X1" s="3260"/>
      <c r="Y1" s="3260"/>
      <c r="Z1" s="3260"/>
      <c r="AA1" s="3260"/>
      <c r="AB1" s="3260"/>
      <c r="AC1" s="3260"/>
      <c r="AD1" s="3260"/>
      <c r="AE1" s="3260"/>
      <c r="AF1" s="3260"/>
      <c r="AG1" s="3260"/>
      <c r="AH1" s="3260"/>
      <c r="AI1" s="3260"/>
      <c r="AJ1" s="3260"/>
      <c r="AK1" s="3260"/>
      <c r="AL1" s="3260"/>
      <c r="AM1" s="3260"/>
      <c r="AN1" s="3260"/>
      <c r="AO1" s="3260"/>
      <c r="AP1" s="3260"/>
      <c r="AQ1" s="3260"/>
      <c r="AR1" s="3260"/>
      <c r="AS1" s="3260"/>
      <c r="AT1" s="3260"/>
      <c r="AU1" s="3260"/>
      <c r="AV1" s="3260"/>
      <c r="AW1" s="3260"/>
      <c r="AX1" s="3260"/>
    </row>
    <row r="2" spans="1:81" s="135" customFormat="1" ht="13.15" customHeight="1">
      <c r="A2" s="2704" t="s">
        <v>2400</v>
      </c>
      <c r="B2" s="2704"/>
      <c r="C2" s="2704"/>
      <c r="D2" s="2704"/>
      <c r="E2" s="2704"/>
      <c r="F2" s="2704"/>
      <c r="G2" s="2704"/>
      <c r="H2" s="2704" t="s">
        <v>0</v>
      </c>
      <c r="I2" s="2714">
        <f>I16</f>
        <v>1</v>
      </c>
      <c r="J2" s="2714">
        <f t="shared" ref="J2:AW2" si="0">J16</f>
        <v>2</v>
      </c>
      <c r="K2" s="2714">
        <f t="shared" si="0"/>
        <v>3</v>
      </c>
      <c r="L2" s="2714">
        <f t="shared" si="0"/>
        <v>4</v>
      </c>
      <c r="M2" s="2714">
        <f t="shared" si="0"/>
        <v>5</v>
      </c>
      <c r="N2" s="2714">
        <f t="shared" si="0"/>
        <v>6</v>
      </c>
      <c r="O2" s="2714">
        <f t="shared" si="0"/>
        <v>7</v>
      </c>
      <c r="P2" s="2714">
        <f t="shared" si="0"/>
        <v>8</v>
      </c>
      <c r="Q2" s="2714">
        <f t="shared" si="0"/>
        <v>9</v>
      </c>
      <c r="R2" s="2714">
        <f t="shared" si="0"/>
        <v>10</v>
      </c>
      <c r="S2" s="2714">
        <f t="shared" si="0"/>
        <v>11</v>
      </c>
      <c r="T2" s="2714">
        <f t="shared" si="0"/>
        <v>12</v>
      </c>
      <c r="U2" s="2714">
        <f>U16</f>
        <v>13</v>
      </c>
      <c r="V2" s="2714">
        <f t="shared" si="0"/>
        <v>14</v>
      </c>
      <c r="W2" s="2714">
        <f t="shared" si="0"/>
        <v>15</v>
      </c>
      <c r="X2" s="2714">
        <f t="shared" si="0"/>
        <v>16</v>
      </c>
      <c r="Y2" s="2714">
        <f t="shared" si="0"/>
        <v>17</v>
      </c>
      <c r="Z2" s="2714">
        <f t="shared" si="0"/>
        <v>18</v>
      </c>
      <c r="AA2" s="2714">
        <f t="shared" si="0"/>
        <v>19</v>
      </c>
      <c r="AB2" s="2714">
        <f t="shared" si="0"/>
        <v>20</v>
      </c>
      <c r="AC2" s="2714">
        <f t="shared" si="0"/>
        <v>21</v>
      </c>
      <c r="AD2" s="2714">
        <f t="shared" si="0"/>
        <v>22</v>
      </c>
      <c r="AE2" s="2714">
        <f t="shared" si="0"/>
        <v>23</v>
      </c>
      <c r="AF2" s="2714">
        <f t="shared" si="0"/>
        <v>24</v>
      </c>
      <c r="AG2" s="2714">
        <f t="shared" si="0"/>
        <v>25</v>
      </c>
      <c r="AH2" s="2714">
        <f t="shared" si="0"/>
        <v>26</v>
      </c>
      <c r="AI2" s="2714">
        <f t="shared" si="0"/>
        <v>27</v>
      </c>
      <c r="AJ2" s="2714">
        <f t="shared" si="0"/>
        <v>28</v>
      </c>
      <c r="AK2" s="2714">
        <f t="shared" si="0"/>
        <v>29</v>
      </c>
      <c r="AL2" s="2714">
        <f t="shared" si="0"/>
        <v>30</v>
      </c>
      <c r="AM2" s="2714">
        <f t="shared" si="0"/>
        <v>31</v>
      </c>
      <c r="AN2" s="2714">
        <f t="shared" si="0"/>
        <v>32</v>
      </c>
      <c r="AO2" s="2714">
        <f t="shared" si="0"/>
        <v>33</v>
      </c>
      <c r="AP2" s="2714">
        <f t="shared" si="0"/>
        <v>34</v>
      </c>
      <c r="AQ2" s="2714">
        <f t="shared" si="0"/>
        <v>35</v>
      </c>
      <c r="AR2" s="2714">
        <f t="shared" si="0"/>
        <v>36</v>
      </c>
      <c r="AS2" s="2714">
        <f t="shared" si="0"/>
        <v>37</v>
      </c>
      <c r="AT2" s="2714">
        <f t="shared" si="0"/>
        <v>38</v>
      </c>
      <c r="AU2" s="2714">
        <f t="shared" si="0"/>
        <v>39</v>
      </c>
      <c r="AV2" s="2714">
        <f t="shared" si="0"/>
        <v>40</v>
      </c>
      <c r="AW2" s="2714">
        <f t="shared" si="0"/>
        <v>41</v>
      </c>
      <c r="AX2" s="2714"/>
    </row>
    <row r="3" spans="1:81" s="135" customFormat="1" ht="11.25">
      <c r="A3" s="2704" t="s">
        <v>2395</v>
      </c>
      <c r="B3" s="2704"/>
      <c r="C3" s="2704"/>
      <c r="D3" s="2704"/>
      <c r="E3" s="2704"/>
      <c r="F3" s="2704"/>
      <c r="G3" s="2704"/>
      <c r="H3" s="2704" t="s">
        <v>1</v>
      </c>
      <c r="I3" s="2719">
        <f>DATE(2026,1,1)</f>
        <v>46023</v>
      </c>
      <c r="J3" s="2719">
        <f>I4+1</f>
        <v>46388</v>
      </c>
      <c r="K3" s="2719">
        <f t="shared" ref="K3:AF3" si="1">J4+1</f>
        <v>46753</v>
      </c>
      <c r="L3" s="2719">
        <f t="shared" si="1"/>
        <v>47119</v>
      </c>
      <c r="M3" s="2719">
        <f t="shared" si="1"/>
        <v>47484</v>
      </c>
      <c r="N3" s="2719">
        <f t="shared" si="1"/>
        <v>47849</v>
      </c>
      <c r="O3" s="2719">
        <f t="shared" si="1"/>
        <v>48214</v>
      </c>
      <c r="P3" s="2719">
        <f t="shared" si="1"/>
        <v>48580</v>
      </c>
      <c r="Q3" s="2719">
        <f t="shared" si="1"/>
        <v>48945</v>
      </c>
      <c r="R3" s="2719">
        <f t="shared" si="1"/>
        <v>49310</v>
      </c>
      <c r="S3" s="2719">
        <f t="shared" si="1"/>
        <v>49675</v>
      </c>
      <c r="T3" s="2719">
        <f t="shared" si="1"/>
        <v>50041</v>
      </c>
      <c r="U3" s="2719">
        <f t="shared" si="1"/>
        <v>50406</v>
      </c>
      <c r="V3" s="2719">
        <f t="shared" si="1"/>
        <v>50771</v>
      </c>
      <c r="W3" s="2719">
        <f t="shared" si="1"/>
        <v>51136</v>
      </c>
      <c r="X3" s="2719">
        <f t="shared" si="1"/>
        <v>51502</v>
      </c>
      <c r="Y3" s="2719">
        <f t="shared" si="1"/>
        <v>51867</v>
      </c>
      <c r="Z3" s="2719">
        <f t="shared" si="1"/>
        <v>52232</v>
      </c>
      <c r="AA3" s="2719">
        <f t="shared" si="1"/>
        <v>52597</v>
      </c>
      <c r="AB3" s="2719">
        <f t="shared" si="1"/>
        <v>52963</v>
      </c>
      <c r="AC3" s="2719">
        <f t="shared" si="1"/>
        <v>53328</v>
      </c>
      <c r="AD3" s="2719">
        <f t="shared" si="1"/>
        <v>53693</v>
      </c>
      <c r="AE3" s="2719">
        <f t="shared" si="1"/>
        <v>54058</v>
      </c>
      <c r="AF3" s="2719">
        <f t="shared" si="1"/>
        <v>54424</v>
      </c>
      <c r="AG3" s="2719">
        <f t="shared" ref="AG3:AW3" si="2">AF4+1</f>
        <v>54789</v>
      </c>
      <c r="AH3" s="2719">
        <f t="shared" si="2"/>
        <v>55154</v>
      </c>
      <c r="AI3" s="2719">
        <f t="shared" si="2"/>
        <v>55519</v>
      </c>
      <c r="AJ3" s="2719">
        <f t="shared" si="2"/>
        <v>55885</v>
      </c>
      <c r="AK3" s="2719">
        <f t="shared" si="2"/>
        <v>56250</v>
      </c>
      <c r="AL3" s="2719">
        <f t="shared" si="2"/>
        <v>56615</v>
      </c>
      <c r="AM3" s="2719">
        <f t="shared" si="2"/>
        <v>56980</v>
      </c>
      <c r="AN3" s="2719">
        <f t="shared" si="2"/>
        <v>57346</v>
      </c>
      <c r="AO3" s="2719">
        <f t="shared" si="2"/>
        <v>57711</v>
      </c>
      <c r="AP3" s="2719">
        <f t="shared" si="2"/>
        <v>58076</v>
      </c>
      <c r="AQ3" s="2719">
        <f t="shared" si="2"/>
        <v>58441</v>
      </c>
      <c r="AR3" s="2719">
        <f t="shared" si="2"/>
        <v>58807</v>
      </c>
      <c r="AS3" s="2719">
        <f t="shared" si="2"/>
        <v>59172</v>
      </c>
      <c r="AT3" s="2719">
        <f t="shared" si="2"/>
        <v>59537</v>
      </c>
      <c r="AU3" s="2719">
        <f t="shared" si="2"/>
        <v>59902</v>
      </c>
      <c r="AV3" s="2719">
        <f t="shared" si="2"/>
        <v>60268</v>
      </c>
      <c r="AW3" s="2719">
        <f t="shared" si="2"/>
        <v>60633</v>
      </c>
      <c r="AX3" s="2719"/>
    </row>
    <row r="4" spans="1:81" s="135" customFormat="1" ht="11.25">
      <c r="A4" s="2704" t="s">
        <v>849</v>
      </c>
      <c r="B4" s="2704"/>
      <c r="C4" s="2704"/>
      <c r="D4" s="2704"/>
      <c r="E4" s="2704"/>
      <c r="F4" s="2704"/>
      <c r="G4" s="2704"/>
      <c r="H4" s="2704" t="s">
        <v>2</v>
      </c>
      <c r="I4" s="2722">
        <f t="shared" ref="I4:AW4" si="3">EOMONTH(I3,11)</f>
        <v>46387</v>
      </c>
      <c r="J4" s="2722">
        <f t="shared" si="3"/>
        <v>46752</v>
      </c>
      <c r="K4" s="2722">
        <f t="shared" si="3"/>
        <v>47118</v>
      </c>
      <c r="L4" s="2722">
        <f t="shared" si="3"/>
        <v>47483</v>
      </c>
      <c r="M4" s="2722">
        <f t="shared" si="3"/>
        <v>47848</v>
      </c>
      <c r="N4" s="2722">
        <f t="shared" si="3"/>
        <v>48213</v>
      </c>
      <c r="O4" s="2722">
        <f t="shared" si="3"/>
        <v>48579</v>
      </c>
      <c r="P4" s="2722">
        <f t="shared" si="3"/>
        <v>48944</v>
      </c>
      <c r="Q4" s="2722">
        <f t="shared" si="3"/>
        <v>49309</v>
      </c>
      <c r="R4" s="2722">
        <f t="shared" si="3"/>
        <v>49674</v>
      </c>
      <c r="S4" s="2722">
        <f t="shared" si="3"/>
        <v>50040</v>
      </c>
      <c r="T4" s="2722">
        <f t="shared" si="3"/>
        <v>50405</v>
      </c>
      <c r="U4" s="2722">
        <f t="shared" si="3"/>
        <v>50770</v>
      </c>
      <c r="V4" s="2722">
        <f t="shared" si="3"/>
        <v>51135</v>
      </c>
      <c r="W4" s="2722">
        <f t="shared" si="3"/>
        <v>51501</v>
      </c>
      <c r="X4" s="2722">
        <f t="shared" si="3"/>
        <v>51866</v>
      </c>
      <c r="Y4" s="2722">
        <f t="shared" si="3"/>
        <v>52231</v>
      </c>
      <c r="Z4" s="2722">
        <f t="shared" si="3"/>
        <v>52596</v>
      </c>
      <c r="AA4" s="2722">
        <f t="shared" si="3"/>
        <v>52962</v>
      </c>
      <c r="AB4" s="2722">
        <f t="shared" si="3"/>
        <v>53327</v>
      </c>
      <c r="AC4" s="2722">
        <f t="shared" si="3"/>
        <v>53692</v>
      </c>
      <c r="AD4" s="2722">
        <f t="shared" si="3"/>
        <v>54057</v>
      </c>
      <c r="AE4" s="2722">
        <f t="shared" si="3"/>
        <v>54423</v>
      </c>
      <c r="AF4" s="2722">
        <f t="shared" si="3"/>
        <v>54788</v>
      </c>
      <c r="AG4" s="2722">
        <f t="shared" si="3"/>
        <v>55153</v>
      </c>
      <c r="AH4" s="2722">
        <f t="shared" si="3"/>
        <v>55518</v>
      </c>
      <c r="AI4" s="2722">
        <f t="shared" si="3"/>
        <v>55884</v>
      </c>
      <c r="AJ4" s="2722">
        <f t="shared" si="3"/>
        <v>56249</v>
      </c>
      <c r="AK4" s="2722">
        <f t="shared" si="3"/>
        <v>56614</v>
      </c>
      <c r="AL4" s="2722">
        <f t="shared" si="3"/>
        <v>56979</v>
      </c>
      <c r="AM4" s="2722">
        <f t="shared" si="3"/>
        <v>57345</v>
      </c>
      <c r="AN4" s="2722">
        <f t="shared" si="3"/>
        <v>57710</v>
      </c>
      <c r="AO4" s="2722">
        <f t="shared" si="3"/>
        <v>58075</v>
      </c>
      <c r="AP4" s="2722">
        <f t="shared" si="3"/>
        <v>58440</v>
      </c>
      <c r="AQ4" s="2722">
        <f t="shared" si="3"/>
        <v>58806</v>
      </c>
      <c r="AR4" s="2722">
        <f t="shared" si="3"/>
        <v>59171</v>
      </c>
      <c r="AS4" s="2722">
        <f t="shared" si="3"/>
        <v>59536</v>
      </c>
      <c r="AT4" s="2722">
        <f t="shared" si="3"/>
        <v>59901</v>
      </c>
      <c r="AU4" s="2722">
        <f t="shared" si="3"/>
        <v>60267</v>
      </c>
      <c r="AV4" s="2722">
        <f t="shared" si="3"/>
        <v>60632</v>
      </c>
      <c r="AW4" s="2722">
        <f t="shared" si="3"/>
        <v>60997</v>
      </c>
      <c r="AX4" s="2722"/>
    </row>
    <row r="5" spans="1:81" s="135" customFormat="1" ht="11.25">
      <c r="A5" s="2704" t="s">
        <v>640</v>
      </c>
      <c r="B5" s="2704"/>
      <c r="C5" s="2704"/>
      <c r="D5" s="2704"/>
      <c r="E5" s="2704"/>
      <c r="F5" s="2704"/>
      <c r="G5" s="2704"/>
      <c r="H5" s="2704" t="s">
        <v>3</v>
      </c>
      <c r="I5" s="2723">
        <f ca="1">'Timing &amp; Flags'!I5</f>
        <v>365</v>
      </c>
      <c r="J5" s="2723">
        <f ca="1">'Timing &amp; Flags'!J5</f>
        <v>366</v>
      </c>
      <c r="K5" s="2723">
        <f ca="1">'Timing &amp; Flags'!K5</f>
        <v>365</v>
      </c>
      <c r="L5" s="2723">
        <f ca="1">'Timing &amp; Flags'!L5</f>
        <v>365</v>
      </c>
      <c r="M5" s="2723">
        <f ca="1">'Timing &amp; Flags'!M5</f>
        <v>365</v>
      </c>
      <c r="N5" s="2723">
        <f ca="1">'Timing &amp; Flags'!N5</f>
        <v>366</v>
      </c>
      <c r="O5" s="2723">
        <f ca="1">'Timing &amp; Flags'!O5</f>
        <v>365</v>
      </c>
      <c r="P5" s="2723">
        <f ca="1">'Timing &amp; Flags'!P5</f>
        <v>365</v>
      </c>
      <c r="Q5" s="2723">
        <f ca="1">'Timing &amp; Flags'!Q5</f>
        <v>365</v>
      </c>
      <c r="R5" s="2723">
        <f ca="1">'Timing &amp; Flags'!R5</f>
        <v>366</v>
      </c>
      <c r="S5" s="2723">
        <f ca="1">'Timing &amp; Flags'!S5</f>
        <v>365</v>
      </c>
      <c r="T5" s="2723">
        <f ca="1">'Timing &amp; Flags'!T5</f>
        <v>365</v>
      </c>
      <c r="U5" s="2723">
        <f ca="1">'Timing &amp; Flags'!U5</f>
        <v>365</v>
      </c>
      <c r="V5" s="2723">
        <f ca="1">'Timing &amp; Flags'!V5</f>
        <v>366</v>
      </c>
      <c r="W5" s="2723">
        <f ca="1">'Timing &amp; Flags'!W5</f>
        <v>365</v>
      </c>
      <c r="X5" s="2723">
        <f ca="1">'Timing &amp; Flags'!X5</f>
        <v>365</v>
      </c>
      <c r="Y5" s="2723">
        <f ca="1">'Timing &amp; Flags'!Y5</f>
        <v>365</v>
      </c>
      <c r="Z5" s="2723">
        <f ca="1">'Timing &amp; Flags'!Z5</f>
        <v>366</v>
      </c>
      <c r="AA5" s="2723">
        <f ca="1">'Timing &amp; Flags'!AA5</f>
        <v>365</v>
      </c>
      <c r="AB5" s="2723">
        <f ca="1">'Timing &amp; Flags'!AB5</f>
        <v>365</v>
      </c>
      <c r="AC5" s="2723">
        <f ca="1">'Timing &amp; Flags'!AC5</f>
        <v>365</v>
      </c>
      <c r="AD5" s="2723">
        <f ca="1">'Timing &amp; Flags'!AD5</f>
        <v>366</v>
      </c>
      <c r="AE5" s="2723">
        <f ca="1">'Timing &amp; Flags'!AE5</f>
        <v>365</v>
      </c>
      <c r="AF5" s="2723">
        <f ca="1">'Timing &amp; Flags'!AF5</f>
        <v>365</v>
      </c>
      <c r="AG5" s="2723">
        <f ca="1">'Timing &amp; Flags'!AG5</f>
        <v>365</v>
      </c>
      <c r="AH5" s="2723">
        <f ca="1">'Timing &amp; Flags'!AH5</f>
        <v>366</v>
      </c>
      <c r="AI5" s="2723">
        <f ca="1">'Timing &amp; Flags'!AI5</f>
        <v>365</v>
      </c>
      <c r="AJ5" s="2723">
        <f ca="1">'Timing &amp; Flags'!AJ5</f>
        <v>365</v>
      </c>
      <c r="AK5" s="2723">
        <f ca="1">'Timing &amp; Flags'!AK5</f>
        <v>365</v>
      </c>
      <c r="AL5" s="2723">
        <f ca="1">'Timing &amp; Flags'!AL5</f>
        <v>365</v>
      </c>
      <c r="AM5" s="2723">
        <f ca="1">'Timing &amp; Flags'!AM5</f>
        <v>365</v>
      </c>
      <c r="AN5" s="2723">
        <f ca="1">'Timing &amp; Flags'!AN5</f>
        <v>365</v>
      </c>
      <c r="AO5" s="2723">
        <f ca="1">'Timing &amp; Flags'!AO5</f>
        <v>365</v>
      </c>
      <c r="AP5" s="2723">
        <f ca="1">'Timing &amp; Flags'!AP5</f>
        <v>365</v>
      </c>
      <c r="AQ5" s="2723">
        <f ca="1">'Timing &amp; Flags'!AQ5</f>
        <v>365</v>
      </c>
      <c r="AR5" s="2723">
        <f ca="1">'Timing &amp; Flags'!AR5</f>
        <v>365</v>
      </c>
      <c r="AS5" s="2723">
        <f ca="1">'Timing &amp; Flags'!AS5</f>
        <v>365</v>
      </c>
      <c r="AT5" s="2723">
        <f ca="1">'Timing &amp; Flags'!AT5</f>
        <v>365</v>
      </c>
      <c r="AU5" s="2723">
        <f ca="1">'Timing &amp; Flags'!AU5</f>
        <v>365</v>
      </c>
      <c r="AV5" s="2723">
        <f ca="1">'Timing &amp; Flags'!AV5</f>
        <v>365</v>
      </c>
      <c r="AW5" s="2723">
        <f ca="1">'Timing &amp; Flags'!AW5</f>
        <v>365</v>
      </c>
      <c r="AX5" s="2723"/>
    </row>
    <row r="7" spans="1:81">
      <c r="A7" s="1" t="s">
        <v>22</v>
      </c>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row>
    <row r="8" spans="1:81">
      <c r="C8" s="15"/>
    </row>
    <row r="9" spans="1:81">
      <c r="B9" s="10" t="s">
        <v>46</v>
      </c>
      <c r="C9" s="15"/>
      <c r="F9" s="13"/>
      <c r="I9" s="2">
        <f t="shared" ref="I9:O9" si="4">I3-I4</f>
        <v>-364</v>
      </c>
      <c r="J9" s="2">
        <f t="shared" si="4"/>
        <v>-364</v>
      </c>
      <c r="K9" s="2">
        <f t="shared" si="4"/>
        <v>-365</v>
      </c>
      <c r="L9" s="2">
        <f t="shared" si="4"/>
        <v>-364</v>
      </c>
      <c r="M9" s="2">
        <f t="shared" si="4"/>
        <v>-364</v>
      </c>
      <c r="N9" s="2">
        <f t="shared" si="4"/>
        <v>-364</v>
      </c>
      <c r="O9" s="2">
        <f t="shared" si="4"/>
        <v>-365</v>
      </c>
    </row>
    <row r="10" spans="1:81">
      <c r="B10" s="2" t="s">
        <v>47</v>
      </c>
      <c r="C10" s="15" t="s">
        <v>41</v>
      </c>
      <c r="D10" s="21">
        <f>Proj_comm_date</f>
        <v>46023</v>
      </c>
    </row>
    <row r="11" spans="1:81">
      <c r="B11" s="2" t="s">
        <v>24</v>
      </c>
      <c r="C11" s="15" t="s">
        <v>20</v>
      </c>
      <c r="D11" s="20">
        <f>Periodicity</f>
        <v>12</v>
      </c>
    </row>
    <row r="12" spans="1:81">
      <c r="B12" s="2" t="s">
        <v>25</v>
      </c>
      <c r="C12" s="15" t="s">
        <v>48</v>
      </c>
      <c r="D12" s="7">
        <f>Model_year</f>
        <v>30</v>
      </c>
    </row>
    <row r="13" spans="1:81">
      <c r="C13" s="15"/>
      <c r="F13" s="14"/>
    </row>
    <row r="14" spans="1:81">
      <c r="C14" s="15"/>
    </row>
    <row r="15" spans="1:81">
      <c r="B15" s="10" t="s">
        <v>49</v>
      </c>
      <c r="C15" s="15"/>
    </row>
    <row r="16" spans="1:81">
      <c r="B16" s="2" t="s">
        <v>0</v>
      </c>
      <c r="C16" s="15" t="s">
        <v>48</v>
      </c>
      <c r="H16" s="2162"/>
      <c r="I16" s="2">
        <f>H16+1</f>
        <v>1</v>
      </c>
      <c r="J16" s="2">
        <f>I16+1</f>
        <v>2</v>
      </c>
      <c r="K16" s="2">
        <f t="shared" ref="K16:AI16" si="5">J16+1</f>
        <v>3</v>
      </c>
      <c r="L16" s="2">
        <f t="shared" si="5"/>
        <v>4</v>
      </c>
      <c r="M16" s="2">
        <f t="shared" si="5"/>
        <v>5</v>
      </c>
      <c r="N16" s="2">
        <f t="shared" si="5"/>
        <v>6</v>
      </c>
      <c r="O16" s="2">
        <f t="shared" si="5"/>
        <v>7</v>
      </c>
      <c r="P16" s="2">
        <f t="shared" si="5"/>
        <v>8</v>
      </c>
      <c r="Q16" s="2">
        <f t="shared" si="5"/>
        <v>9</v>
      </c>
      <c r="R16" s="2">
        <f t="shared" si="5"/>
        <v>10</v>
      </c>
      <c r="S16" s="2">
        <f t="shared" si="5"/>
        <v>11</v>
      </c>
      <c r="T16" s="2">
        <f t="shared" si="5"/>
        <v>12</v>
      </c>
      <c r="U16" s="2">
        <f t="shared" si="5"/>
        <v>13</v>
      </c>
      <c r="V16" s="2">
        <f t="shared" si="5"/>
        <v>14</v>
      </c>
      <c r="W16" s="2">
        <f t="shared" si="5"/>
        <v>15</v>
      </c>
      <c r="X16" s="2">
        <f t="shared" si="5"/>
        <v>16</v>
      </c>
      <c r="Y16" s="2">
        <f t="shared" si="5"/>
        <v>17</v>
      </c>
      <c r="Z16" s="2">
        <f t="shared" si="5"/>
        <v>18</v>
      </c>
      <c r="AA16" s="2">
        <f t="shared" si="5"/>
        <v>19</v>
      </c>
      <c r="AB16" s="2">
        <f t="shared" si="5"/>
        <v>20</v>
      </c>
      <c r="AC16" s="2">
        <f t="shared" si="5"/>
        <v>21</v>
      </c>
      <c r="AD16" s="2">
        <f t="shared" si="5"/>
        <v>22</v>
      </c>
      <c r="AE16" s="2">
        <f t="shared" si="5"/>
        <v>23</v>
      </c>
      <c r="AF16" s="2">
        <f t="shared" si="5"/>
        <v>24</v>
      </c>
      <c r="AG16" s="2">
        <f>AF16+1</f>
        <v>25</v>
      </c>
      <c r="AH16" s="2">
        <f t="shared" si="5"/>
        <v>26</v>
      </c>
      <c r="AI16" s="2">
        <f t="shared" si="5"/>
        <v>27</v>
      </c>
      <c r="AJ16" s="2">
        <f t="shared" ref="AJ16:AW16" si="6">AI16+1</f>
        <v>28</v>
      </c>
      <c r="AK16" s="2">
        <f t="shared" si="6"/>
        <v>29</v>
      </c>
      <c r="AL16" s="2">
        <f t="shared" si="6"/>
        <v>30</v>
      </c>
      <c r="AM16" s="2">
        <f t="shared" si="6"/>
        <v>31</v>
      </c>
      <c r="AN16" s="2">
        <f t="shared" si="6"/>
        <v>32</v>
      </c>
      <c r="AO16" s="2">
        <f t="shared" si="6"/>
        <v>33</v>
      </c>
      <c r="AP16" s="2">
        <f t="shared" si="6"/>
        <v>34</v>
      </c>
      <c r="AQ16" s="2">
        <f t="shared" si="6"/>
        <v>35</v>
      </c>
      <c r="AR16" s="2">
        <f t="shared" si="6"/>
        <v>36</v>
      </c>
      <c r="AS16" s="2">
        <f t="shared" si="6"/>
        <v>37</v>
      </c>
      <c r="AT16" s="2">
        <f t="shared" si="6"/>
        <v>38</v>
      </c>
      <c r="AU16" s="2">
        <f t="shared" si="6"/>
        <v>39</v>
      </c>
      <c r="AV16" s="2">
        <f t="shared" si="6"/>
        <v>40</v>
      </c>
      <c r="AW16" s="2">
        <f t="shared" si="6"/>
        <v>41</v>
      </c>
      <c r="AX16" s="2">
        <f t="shared" ref="AX16:CC16" si="7">AW16+1</f>
        <v>42</v>
      </c>
      <c r="AY16" s="2">
        <f t="shared" si="7"/>
        <v>43</v>
      </c>
      <c r="AZ16" s="2">
        <f t="shared" si="7"/>
        <v>44</v>
      </c>
      <c r="BA16" s="2">
        <f t="shared" si="7"/>
        <v>45</v>
      </c>
      <c r="BB16" s="2">
        <f t="shared" si="7"/>
        <v>46</v>
      </c>
      <c r="BC16" s="2">
        <f t="shared" si="7"/>
        <v>47</v>
      </c>
      <c r="BD16" s="2">
        <f t="shared" si="7"/>
        <v>48</v>
      </c>
      <c r="BE16" s="2">
        <f t="shared" si="7"/>
        <v>49</v>
      </c>
      <c r="BF16" s="2">
        <f t="shared" si="7"/>
        <v>50</v>
      </c>
      <c r="BG16" s="2">
        <f t="shared" si="7"/>
        <v>51</v>
      </c>
      <c r="BH16" s="2">
        <f t="shared" si="7"/>
        <v>52</v>
      </c>
      <c r="BI16" s="2">
        <f t="shared" si="7"/>
        <v>53</v>
      </c>
      <c r="BJ16" s="2">
        <f t="shared" si="7"/>
        <v>54</v>
      </c>
      <c r="BK16" s="2">
        <f t="shared" si="7"/>
        <v>55</v>
      </c>
      <c r="BL16" s="2">
        <f t="shared" si="7"/>
        <v>56</v>
      </c>
      <c r="BM16" s="2">
        <f t="shared" si="7"/>
        <v>57</v>
      </c>
      <c r="BN16" s="2">
        <f t="shared" si="7"/>
        <v>58</v>
      </c>
      <c r="BO16" s="2">
        <f t="shared" si="7"/>
        <v>59</v>
      </c>
      <c r="BP16" s="2">
        <f t="shared" si="7"/>
        <v>60</v>
      </c>
      <c r="BQ16" s="2">
        <f t="shared" si="7"/>
        <v>61</v>
      </c>
      <c r="BR16" s="2">
        <f t="shared" si="7"/>
        <v>62</v>
      </c>
      <c r="BS16" s="2">
        <f t="shared" si="7"/>
        <v>63</v>
      </c>
      <c r="BT16" s="2">
        <f t="shared" si="7"/>
        <v>64</v>
      </c>
      <c r="BU16" s="2">
        <f t="shared" si="7"/>
        <v>65</v>
      </c>
      <c r="BV16" s="2">
        <f t="shared" si="7"/>
        <v>66</v>
      </c>
      <c r="BW16" s="2">
        <f t="shared" si="7"/>
        <v>67</v>
      </c>
      <c r="BX16" s="2">
        <f t="shared" si="7"/>
        <v>68</v>
      </c>
      <c r="BY16" s="2">
        <f t="shared" si="7"/>
        <v>69</v>
      </c>
      <c r="BZ16" s="2">
        <f t="shared" si="7"/>
        <v>70</v>
      </c>
      <c r="CA16" s="2">
        <f t="shared" si="7"/>
        <v>71</v>
      </c>
      <c r="CB16" s="2">
        <f t="shared" si="7"/>
        <v>72</v>
      </c>
      <c r="CC16" s="2">
        <f t="shared" si="7"/>
        <v>73</v>
      </c>
    </row>
    <row r="17" spans="1:82">
      <c r="B17" s="2" t="s">
        <v>1</v>
      </c>
      <c r="C17" s="15" t="s">
        <v>41</v>
      </c>
      <c r="I17" s="35">
        <f>IF(I16=1,$D$10,H18+1)</f>
        <v>46023</v>
      </c>
      <c r="J17" s="35">
        <f t="shared" ref="J17:AI17" si="8">IF(J16=0,$D$10,I18+1)</f>
        <v>46388</v>
      </c>
      <c r="K17" s="35">
        <f t="shared" si="8"/>
        <v>46753</v>
      </c>
      <c r="L17" s="35">
        <f t="shared" si="8"/>
        <v>47119</v>
      </c>
      <c r="M17" s="35">
        <f t="shared" si="8"/>
        <v>47484</v>
      </c>
      <c r="N17" s="35">
        <f t="shared" si="8"/>
        <v>47849</v>
      </c>
      <c r="O17" s="35">
        <f t="shared" si="8"/>
        <v>48214</v>
      </c>
      <c r="P17" s="35">
        <f t="shared" si="8"/>
        <v>48580</v>
      </c>
      <c r="Q17" s="35">
        <f t="shared" si="8"/>
        <v>48945</v>
      </c>
      <c r="R17" s="35">
        <f t="shared" si="8"/>
        <v>49310</v>
      </c>
      <c r="S17" s="35">
        <f t="shared" si="8"/>
        <v>49675</v>
      </c>
      <c r="T17" s="35">
        <f t="shared" si="8"/>
        <v>50041</v>
      </c>
      <c r="U17" s="35">
        <f t="shared" si="8"/>
        <v>50406</v>
      </c>
      <c r="V17" s="35">
        <f t="shared" si="8"/>
        <v>50771</v>
      </c>
      <c r="W17" s="35">
        <f t="shared" si="8"/>
        <v>51136</v>
      </c>
      <c r="X17" s="35">
        <f t="shared" si="8"/>
        <v>51502</v>
      </c>
      <c r="Y17" s="35">
        <f t="shared" si="8"/>
        <v>51867</v>
      </c>
      <c r="Z17" s="35">
        <f t="shared" si="8"/>
        <v>52232</v>
      </c>
      <c r="AA17" s="35">
        <f t="shared" si="8"/>
        <v>52597</v>
      </c>
      <c r="AB17" s="35">
        <f t="shared" si="8"/>
        <v>52963</v>
      </c>
      <c r="AC17" s="35">
        <f t="shared" si="8"/>
        <v>53328</v>
      </c>
      <c r="AD17" s="35">
        <f t="shared" si="8"/>
        <v>53693</v>
      </c>
      <c r="AE17" s="35">
        <f t="shared" si="8"/>
        <v>54058</v>
      </c>
      <c r="AF17" s="35">
        <f t="shared" si="8"/>
        <v>54424</v>
      </c>
      <c r="AG17" s="35">
        <f t="shared" si="8"/>
        <v>54789</v>
      </c>
      <c r="AH17" s="35">
        <f t="shared" si="8"/>
        <v>55154</v>
      </c>
      <c r="AI17" s="35">
        <f t="shared" si="8"/>
        <v>55519</v>
      </c>
      <c r="AJ17" s="35">
        <f t="shared" ref="AJ17:AW17" si="9">IF(AJ16=0,$D$10,AI18+1)</f>
        <v>55885</v>
      </c>
      <c r="AK17" s="35">
        <f t="shared" si="9"/>
        <v>56250</v>
      </c>
      <c r="AL17" s="35">
        <f t="shared" si="9"/>
        <v>56615</v>
      </c>
      <c r="AM17" s="35">
        <f t="shared" si="9"/>
        <v>56980</v>
      </c>
      <c r="AN17" s="35">
        <f t="shared" si="9"/>
        <v>57346</v>
      </c>
      <c r="AO17" s="35">
        <f t="shared" si="9"/>
        <v>57711</v>
      </c>
      <c r="AP17" s="35">
        <f t="shared" si="9"/>
        <v>58076</v>
      </c>
      <c r="AQ17" s="35">
        <f t="shared" si="9"/>
        <v>58441</v>
      </c>
      <c r="AR17" s="35">
        <f t="shared" si="9"/>
        <v>58807</v>
      </c>
      <c r="AS17" s="35">
        <f t="shared" si="9"/>
        <v>59172</v>
      </c>
      <c r="AT17" s="35">
        <f t="shared" si="9"/>
        <v>59537</v>
      </c>
      <c r="AU17" s="35">
        <f t="shared" si="9"/>
        <v>59902</v>
      </c>
      <c r="AV17" s="35">
        <f t="shared" si="9"/>
        <v>60268</v>
      </c>
      <c r="AW17" s="35">
        <f t="shared" si="9"/>
        <v>60633</v>
      </c>
      <c r="AX17" s="35">
        <f t="shared" ref="AX17:CC17" si="10">IF(AX16=0,$D$10,AW18+1)</f>
        <v>60998</v>
      </c>
      <c r="AY17" s="35">
        <f t="shared" si="10"/>
        <v>61363</v>
      </c>
      <c r="AZ17" s="35">
        <f t="shared" si="10"/>
        <v>61729</v>
      </c>
      <c r="BA17" s="35">
        <f t="shared" si="10"/>
        <v>62094</v>
      </c>
      <c r="BB17" s="35">
        <f t="shared" si="10"/>
        <v>62459</v>
      </c>
      <c r="BC17" s="35">
        <f t="shared" si="10"/>
        <v>62824</v>
      </c>
      <c r="BD17" s="35">
        <f t="shared" si="10"/>
        <v>63190</v>
      </c>
      <c r="BE17" s="35">
        <f t="shared" si="10"/>
        <v>63555</v>
      </c>
      <c r="BF17" s="35">
        <f t="shared" si="10"/>
        <v>63920</v>
      </c>
      <c r="BG17" s="35">
        <f t="shared" si="10"/>
        <v>64285</v>
      </c>
      <c r="BH17" s="35">
        <f t="shared" si="10"/>
        <v>64651</v>
      </c>
      <c r="BI17" s="35">
        <f t="shared" si="10"/>
        <v>65016</v>
      </c>
      <c r="BJ17" s="35">
        <f t="shared" si="10"/>
        <v>65381</v>
      </c>
      <c r="BK17" s="35">
        <f t="shared" si="10"/>
        <v>65746</v>
      </c>
      <c r="BL17" s="35">
        <f t="shared" si="10"/>
        <v>66112</v>
      </c>
      <c r="BM17" s="35">
        <f t="shared" si="10"/>
        <v>66477</v>
      </c>
      <c r="BN17" s="35">
        <f t="shared" si="10"/>
        <v>66842</v>
      </c>
      <c r="BO17" s="35">
        <f t="shared" si="10"/>
        <v>67207</v>
      </c>
      <c r="BP17" s="35">
        <f t="shared" si="10"/>
        <v>67573</v>
      </c>
      <c r="BQ17" s="35">
        <f t="shared" si="10"/>
        <v>67938</v>
      </c>
      <c r="BR17" s="35">
        <f t="shared" si="10"/>
        <v>68303</v>
      </c>
      <c r="BS17" s="35">
        <f t="shared" si="10"/>
        <v>68668</v>
      </c>
      <c r="BT17" s="35">
        <f t="shared" si="10"/>
        <v>69034</v>
      </c>
      <c r="BU17" s="35">
        <f t="shared" si="10"/>
        <v>69399</v>
      </c>
      <c r="BV17" s="35">
        <f t="shared" si="10"/>
        <v>69764</v>
      </c>
      <c r="BW17" s="35">
        <f t="shared" si="10"/>
        <v>70129</v>
      </c>
      <c r="BX17" s="35">
        <f t="shared" si="10"/>
        <v>70495</v>
      </c>
      <c r="BY17" s="35">
        <f t="shared" si="10"/>
        <v>70860</v>
      </c>
      <c r="BZ17" s="35">
        <f t="shared" si="10"/>
        <v>71225</v>
      </c>
      <c r="CA17" s="35">
        <f t="shared" si="10"/>
        <v>71590</v>
      </c>
      <c r="CB17" s="35">
        <f t="shared" si="10"/>
        <v>71956</v>
      </c>
      <c r="CC17" s="35">
        <f t="shared" si="10"/>
        <v>72321</v>
      </c>
    </row>
    <row r="18" spans="1:82">
      <c r="B18" s="2" t="s">
        <v>2</v>
      </c>
      <c r="C18" s="15" t="s">
        <v>41</v>
      </c>
      <c r="H18" s="1"/>
      <c r="I18" s="35">
        <f t="shared" ref="I18:AI18" si="11">EOMONTH(I17,$D$11-1)</f>
        <v>46387</v>
      </c>
      <c r="J18" s="35">
        <f t="shared" si="11"/>
        <v>46752</v>
      </c>
      <c r="K18" s="35">
        <f t="shared" si="11"/>
        <v>47118</v>
      </c>
      <c r="L18" s="35">
        <f t="shared" si="11"/>
        <v>47483</v>
      </c>
      <c r="M18" s="35">
        <f t="shared" si="11"/>
        <v>47848</v>
      </c>
      <c r="N18" s="35">
        <f t="shared" si="11"/>
        <v>48213</v>
      </c>
      <c r="O18" s="35">
        <f t="shared" si="11"/>
        <v>48579</v>
      </c>
      <c r="P18" s="35">
        <f t="shared" si="11"/>
        <v>48944</v>
      </c>
      <c r="Q18" s="35">
        <f t="shared" si="11"/>
        <v>49309</v>
      </c>
      <c r="R18" s="35">
        <f t="shared" si="11"/>
        <v>49674</v>
      </c>
      <c r="S18" s="35">
        <f t="shared" si="11"/>
        <v>50040</v>
      </c>
      <c r="T18" s="35">
        <f t="shared" si="11"/>
        <v>50405</v>
      </c>
      <c r="U18" s="35">
        <f t="shared" si="11"/>
        <v>50770</v>
      </c>
      <c r="V18" s="35">
        <f t="shared" si="11"/>
        <v>51135</v>
      </c>
      <c r="W18" s="35">
        <f t="shared" si="11"/>
        <v>51501</v>
      </c>
      <c r="X18" s="35">
        <f t="shared" si="11"/>
        <v>51866</v>
      </c>
      <c r="Y18" s="35">
        <f t="shared" si="11"/>
        <v>52231</v>
      </c>
      <c r="Z18" s="35">
        <f t="shared" si="11"/>
        <v>52596</v>
      </c>
      <c r="AA18" s="35">
        <f t="shared" si="11"/>
        <v>52962</v>
      </c>
      <c r="AB18" s="35">
        <f t="shared" si="11"/>
        <v>53327</v>
      </c>
      <c r="AC18" s="35">
        <f t="shared" si="11"/>
        <v>53692</v>
      </c>
      <c r="AD18" s="35">
        <f t="shared" si="11"/>
        <v>54057</v>
      </c>
      <c r="AE18" s="35">
        <f t="shared" si="11"/>
        <v>54423</v>
      </c>
      <c r="AF18" s="35">
        <f t="shared" si="11"/>
        <v>54788</v>
      </c>
      <c r="AG18" s="35">
        <f t="shared" si="11"/>
        <v>55153</v>
      </c>
      <c r="AH18" s="35">
        <f t="shared" si="11"/>
        <v>55518</v>
      </c>
      <c r="AI18" s="35">
        <f t="shared" si="11"/>
        <v>55884</v>
      </c>
      <c r="AJ18" s="35">
        <f t="shared" ref="AJ18:AW18" si="12">EOMONTH(AJ17,$D$11-1)</f>
        <v>56249</v>
      </c>
      <c r="AK18" s="35">
        <f t="shared" si="12"/>
        <v>56614</v>
      </c>
      <c r="AL18" s="35">
        <f t="shared" si="12"/>
        <v>56979</v>
      </c>
      <c r="AM18" s="35">
        <f t="shared" si="12"/>
        <v>57345</v>
      </c>
      <c r="AN18" s="35">
        <f t="shared" si="12"/>
        <v>57710</v>
      </c>
      <c r="AO18" s="35">
        <f t="shared" si="12"/>
        <v>58075</v>
      </c>
      <c r="AP18" s="35">
        <f t="shared" si="12"/>
        <v>58440</v>
      </c>
      <c r="AQ18" s="35">
        <f t="shared" si="12"/>
        <v>58806</v>
      </c>
      <c r="AR18" s="35">
        <f t="shared" si="12"/>
        <v>59171</v>
      </c>
      <c r="AS18" s="35">
        <f t="shared" si="12"/>
        <v>59536</v>
      </c>
      <c r="AT18" s="35">
        <f t="shared" si="12"/>
        <v>59901</v>
      </c>
      <c r="AU18" s="35">
        <f t="shared" si="12"/>
        <v>60267</v>
      </c>
      <c r="AV18" s="35">
        <f t="shared" si="12"/>
        <v>60632</v>
      </c>
      <c r="AW18" s="35">
        <f t="shared" si="12"/>
        <v>60997</v>
      </c>
      <c r="AX18" s="35">
        <f t="shared" ref="AX18:CC18" si="13">EOMONTH(AX17,$D$11-1)</f>
        <v>61362</v>
      </c>
      <c r="AY18" s="35">
        <f t="shared" si="13"/>
        <v>61728</v>
      </c>
      <c r="AZ18" s="35">
        <f t="shared" si="13"/>
        <v>62093</v>
      </c>
      <c r="BA18" s="35">
        <f t="shared" si="13"/>
        <v>62458</v>
      </c>
      <c r="BB18" s="35">
        <f t="shared" si="13"/>
        <v>62823</v>
      </c>
      <c r="BC18" s="35">
        <f t="shared" si="13"/>
        <v>63189</v>
      </c>
      <c r="BD18" s="35">
        <f t="shared" si="13"/>
        <v>63554</v>
      </c>
      <c r="BE18" s="35">
        <f t="shared" si="13"/>
        <v>63919</v>
      </c>
      <c r="BF18" s="35">
        <f t="shared" si="13"/>
        <v>64284</v>
      </c>
      <c r="BG18" s="35">
        <f t="shared" si="13"/>
        <v>64650</v>
      </c>
      <c r="BH18" s="35">
        <f t="shared" si="13"/>
        <v>65015</v>
      </c>
      <c r="BI18" s="35">
        <f t="shared" si="13"/>
        <v>65380</v>
      </c>
      <c r="BJ18" s="35">
        <f t="shared" si="13"/>
        <v>65745</v>
      </c>
      <c r="BK18" s="35">
        <f t="shared" si="13"/>
        <v>66111</v>
      </c>
      <c r="BL18" s="35">
        <f t="shared" si="13"/>
        <v>66476</v>
      </c>
      <c r="BM18" s="35">
        <f t="shared" si="13"/>
        <v>66841</v>
      </c>
      <c r="BN18" s="35">
        <f t="shared" si="13"/>
        <v>67206</v>
      </c>
      <c r="BO18" s="35">
        <f t="shared" si="13"/>
        <v>67572</v>
      </c>
      <c r="BP18" s="35">
        <f t="shared" si="13"/>
        <v>67937</v>
      </c>
      <c r="BQ18" s="35">
        <f t="shared" si="13"/>
        <v>68302</v>
      </c>
      <c r="BR18" s="35">
        <f t="shared" si="13"/>
        <v>68667</v>
      </c>
      <c r="BS18" s="35">
        <f t="shared" si="13"/>
        <v>69033</v>
      </c>
      <c r="BT18" s="35">
        <f t="shared" si="13"/>
        <v>69398</v>
      </c>
      <c r="BU18" s="35">
        <f t="shared" si="13"/>
        <v>69763</v>
      </c>
      <c r="BV18" s="35">
        <f t="shared" si="13"/>
        <v>70128</v>
      </c>
      <c r="BW18" s="35">
        <f t="shared" si="13"/>
        <v>70494</v>
      </c>
      <c r="BX18" s="35">
        <f t="shared" si="13"/>
        <v>70859</v>
      </c>
      <c r="BY18" s="35">
        <f t="shared" si="13"/>
        <v>71224</v>
      </c>
      <c r="BZ18" s="35">
        <f t="shared" si="13"/>
        <v>71589</v>
      </c>
      <c r="CA18" s="35">
        <f t="shared" si="13"/>
        <v>71955</v>
      </c>
      <c r="CB18" s="35">
        <f t="shared" si="13"/>
        <v>72320</v>
      </c>
      <c r="CC18" s="35">
        <f t="shared" si="13"/>
        <v>72685</v>
      </c>
    </row>
    <row r="19" spans="1:82">
      <c r="B19" s="2" t="s">
        <v>50</v>
      </c>
      <c r="C19" s="15" t="s">
        <v>19</v>
      </c>
      <c r="I19" s="2">
        <f>(I18-I17)+1</f>
        <v>365</v>
      </c>
      <c r="J19" s="2">
        <f t="shared" ref="J19:AI19" si="14">(J18-J17)+1</f>
        <v>365</v>
      </c>
      <c r="K19" s="2">
        <f t="shared" si="14"/>
        <v>366</v>
      </c>
      <c r="L19" s="2">
        <f t="shared" si="14"/>
        <v>365</v>
      </c>
      <c r="M19" s="2">
        <f t="shared" si="14"/>
        <v>365</v>
      </c>
      <c r="N19" s="2">
        <f t="shared" si="14"/>
        <v>365</v>
      </c>
      <c r="O19" s="2">
        <f t="shared" si="14"/>
        <v>366</v>
      </c>
      <c r="P19" s="2">
        <f t="shared" si="14"/>
        <v>365</v>
      </c>
      <c r="Q19" s="2">
        <f t="shared" si="14"/>
        <v>365</v>
      </c>
      <c r="R19" s="2">
        <f t="shared" si="14"/>
        <v>365</v>
      </c>
      <c r="S19" s="2">
        <f t="shared" si="14"/>
        <v>366</v>
      </c>
      <c r="T19" s="2">
        <f t="shared" si="14"/>
        <v>365</v>
      </c>
      <c r="U19" s="2">
        <f t="shared" si="14"/>
        <v>365</v>
      </c>
      <c r="V19" s="2">
        <f t="shared" si="14"/>
        <v>365</v>
      </c>
      <c r="W19" s="2">
        <f t="shared" si="14"/>
        <v>366</v>
      </c>
      <c r="X19" s="2">
        <f t="shared" si="14"/>
        <v>365</v>
      </c>
      <c r="Y19" s="2">
        <f t="shared" si="14"/>
        <v>365</v>
      </c>
      <c r="Z19" s="2">
        <f t="shared" si="14"/>
        <v>365</v>
      </c>
      <c r="AA19" s="2">
        <f t="shared" si="14"/>
        <v>366</v>
      </c>
      <c r="AB19" s="2">
        <f t="shared" si="14"/>
        <v>365</v>
      </c>
      <c r="AC19" s="2">
        <f t="shared" si="14"/>
        <v>365</v>
      </c>
      <c r="AD19" s="2">
        <f t="shared" si="14"/>
        <v>365</v>
      </c>
      <c r="AE19" s="2">
        <f t="shared" si="14"/>
        <v>366</v>
      </c>
      <c r="AF19" s="2">
        <f t="shared" si="14"/>
        <v>365</v>
      </c>
      <c r="AG19" s="2">
        <f t="shared" si="14"/>
        <v>365</v>
      </c>
      <c r="AH19" s="2">
        <f t="shared" si="14"/>
        <v>365</v>
      </c>
      <c r="AI19" s="2">
        <f t="shared" si="14"/>
        <v>366</v>
      </c>
      <c r="AJ19" s="2">
        <f t="shared" ref="AJ19:AW19" si="15">(AJ18-AJ17)+1</f>
        <v>365</v>
      </c>
      <c r="AK19" s="2">
        <f t="shared" si="15"/>
        <v>365</v>
      </c>
      <c r="AL19" s="2">
        <f t="shared" si="15"/>
        <v>365</v>
      </c>
      <c r="AM19" s="2">
        <f t="shared" si="15"/>
        <v>366</v>
      </c>
      <c r="AN19" s="2">
        <f t="shared" si="15"/>
        <v>365</v>
      </c>
      <c r="AO19" s="2">
        <f t="shared" si="15"/>
        <v>365</v>
      </c>
      <c r="AP19" s="2">
        <f t="shared" si="15"/>
        <v>365</v>
      </c>
      <c r="AQ19" s="2">
        <f t="shared" si="15"/>
        <v>366</v>
      </c>
      <c r="AR19" s="2">
        <f t="shared" si="15"/>
        <v>365</v>
      </c>
      <c r="AS19" s="2">
        <f t="shared" si="15"/>
        <v>365</v>
      </c>
      <c r="AT19" s="2">
        <f t="shared" si="15"/>
        <v>365</v>
      </c>
      <c r="AU19" s="2">
        <f t="shared" si="15"/>
        <v>366</v>
      </c>
      <c r="AV19" s="2">
        <f t="shared" si="15"/>
        <v>365</v>
      </c>
      <c r="AW19" s="2">
        <f t="shared" si="15"/>
        <v>365</v>
      </c>
      <c r="AX19" s="2">
        <f t="shared" ref="AX19:CC19" si="16">(AX18-AX17)+1</f>
        <v>365</v>
      </c>
      <c r="AY19" s="2">
        <f t="shared" si="16"/>
        <v>366</v>
      </c>
      <c r="AZ19" s="2">
        <f t="shared" si="16"/>
        <v>365</v>
      </c>
      <c r="BA19" s="2">
        <f t="shared" si="16"/>
        <v>365</v>
      </c>
      <c r="BB19" s="2">
        <f t="shared" si="16"/>
        <v>365</v>
      </c>
      <c r="BC19" s="2">
        <f t="shared" si="16"/>
        <v>366</v>
      </c>
      <c r="BD19" s="2">
        <f t="shared" si="16"/>
        <v>365</v>
      </c>
      <c r="BE19" s="2">
        <f t="shared" si="16"/>
        <v>365</v>
      </c>
      <c r="BF19" s="2">
        <f t="shared" si="16"/>
        <v>365</v>
      </c>
      <c r="BG19" s="2">
        <f t="shared" si="16"/>
        <v>366</v>
      </c>
      <c r="BH19" s="2">
        <f t="shared" si="16"/>
        <v>365</v>
      </c>
      <c r="BI19" s="2">
        <f t="shared" si="16"/>
        <v>365</v>
      </c>
      <c r="BJ19" s="2">
        <f t="shared" si="16"/>
        <v>365</v>
      </c>
      <c r="BK19" s="2">
        <f t="shared" si="16"/>
        <v>366</v>
      </c>
      <c r="BL19" s="2">
        <f t="shared" si="16"/>
        <v>365</v>
      </c>
      <c r="BM19" s="2">
        <f t="shared" si="16"/>
        <v>365</v>
      </c>
      <c r="BN19" s="2">
        <f t="shared" si="16"/>
        <v>365</v>
      </c>
      <c r="BO19" s="2">
        <f t="shared" si="16"/>
        <v>366</v>
      </c>
      <c r="BP19" s="2">
        <f t="shared" si="16"/>
        <v>365</v>
      </c>
      <c r="BQ19" s="2">
        <f t="shared" si="16"/>
        <v>365</v>
      </c>
      <c r="BR19" s="2">
        <f t="shared" si="16"/>
        <v>365</v>
      </c>
      <c r="BS19" s="2">
        <f t="shared" si="16"/>
        <v>366</v>
      </c>
      <c r="BT19" s="2">
        <f t="shared" si="16"/>
        <v>365</v>
      </c>
      <c r="BU19" s="2">
        <f t="shared" si="16"/>
        <v>365</v>
      </c>
      <c r="BV19" s="2">
        <f t="shared" si="16"/>
        <v>365</v>
      </c>
      <c r="BW19" s="2">
        <f t="shared" si="16"/>
        <v>366</v>
      </c>
      <c r="BX19" s="2">
        <f t="shared" si="16"/>
        <v>365</v>
      </c>
      <c r="BY19" s="2">
        <f t="shared" si="16"/>
        <v>365</v>
      </c>
      <c r="BZ19" s="2">
        <f t="shared" si="16"/>
        <v>365</v>
      </c>
      <c r="CA19" s="2">
        <f t="shared" si="16"/>
        <v>366</v>
      </c>
      <c r="CB19" s="2">
        <f t="shared" si="16"/>
        <v>365</v>
      </c>
      <c r="CC19" s="2">
        <f t="shared" si="16"/>
        <v>365</v>
      </c>
    </row>
    <row r="20" spans="1:82">
      <c r="C20" s="15"/>
    </row>
    <row r="21" spans="1:82">
      <c r="B21" s="10" t="s">
        <v>51</v>
      </c>
      <c r="C21" s="15"/>
    </row>
    <row r="22" spans="1:82">
      <c r="B22" s="2" t="s">
        <v>0</v>
      </c>
      <c r="C22" s="15" t="s">
        <v>48</v>
      </c>
      <c r="H22" s="1"/>
      <c r="I22" s="2">
        <f>H22+1</f>
        <v>1</v>
      </c>
      <c r="J22" s="2">
        <f t="shared" ref="J22:AI22" si="17">I22+1</f>
        <v>2</v>
      </c>
      <c r="K22" s="2">
        <f t="shared" si="17"/>
        <v>3</v>
      </c>
      <c r="L22" s="2">
        <f t="shared" si="17"/>
        <v>4</v>
      </c>
      <c r="M22" s="2">
        <f t="shared" si="17"/>
        <v>5</v>
      </c>
      <c r="N22" s="2">
        <f t="shared" si="17"/>
        <v>6</v>
      </c>
      <c r="O22" s="2">
        <f t="shared" si="17"/>
        <v>7</v>
      </c>
      <c r="P22" s="2">
        <f t="shared" si="17"/>
        <v>8</v>
      </c>
      <c r="Q22" s="2">
        <f t="shared" si="17"/>
        <v>9</v>
      </c>
      <c r="R22" s="2">
        <f t="shared" si="17"/>
        <v>10</v>
      </c>
      <c r="S22" s="2">
        <f t="shared" si="17"/>
        <v>11</v>
      </c>
      <c r="T22" s="2">
        <f t="shared" si="17"/>
        <v>12</v>
      </c>
      <c r="U22" s="2">
        <f t="shared" si="17"/>
        <v>13</v>
      </c>
      <c r="V22" s="2">
        <f t="shared" si="17"/>
        <v>14</v>
      </c>
      <c r="W22" s="2">
        <f t="shared" si="17"/>
        <v>15</v>
      </c>
      <c r="X22" s="2">
        <f t="shared" si="17"/>
        <v>16</v>
      </c>
      <c r="Y22" s="2">
        <f t="shared" si="17"/>
        <v>17</v>
      </c>
      <c r="Z22" s="2">
        <f t="shared" si="17"/>
        <v>18</v>
      </c>
      <c r="AA22" s="2">
        <f t="shared" si="17"/>
        <v>19</v>
      </c>
      <c r="AB22" s="2">
        <f t="shared" si="17"/>
        <v>20</v>
      </c>
      <c r="AC22" s="2">
        <f t="shared" si="17"/>
        <v>21</v>
      </c>
      <c r="AD22" s="2">
        <f t="shared" si="17"/>
        <v>22</v>
      </c>
      <c r="AE22" s="2">
        <f t="shared" si="17"/>
        <v>23</v>
      </c>
      <c r="AF22" s="2">
        <f t="shared" si="17"/>
        <v>24</v>
      </c>
      <c r="AG22" s="2">
        <f t="shared" si="17"/>
        <v>25</v>
      </c>
      <c r="AH22" s="2">
        <f t="shared" si="17"/>
        <v>26</v>
      </c>
      <c r="AI22" s="2">
        <f t="shared" si="17"/>
        <v>27</v>
      </c>
      <c r="AJ22" s="2">
        <f t="shared" ref="AJ22:AW22" si="18">AI22+1</f>
        <v>28</v>
      </c>
      <c r="AK22" s="2">
        <f t="shared" si="18"/>
        <v>29</v>
      </c>
      <c r="AL22" s="2">
        <f t="shared" si="18"/>
        <v>30</v>
      </c>
      <c r="AM22" s="2">
        <f t="shared" si="18"/>
        <v>31</v>
      </c>
      <c r="AN22" s="2">
        <f t="shared" si="18"/>
        <v>32</v>
      </c>
      <c r="AO22" s="2">
        <f t="shared" si="18"/>
        <v>33</v>
      </c>
      <c r="AP22" s="2">
        <f t="shared" si="18"/>
        <v>34</v>
      </c>
      <c r="AQ22" s="2">
        <f t="shared" si="18"/>
        <v>35</v>
      </c>
      <c r="AR22" s="2">
        <f t="shared" si="18"/>
        <v>36</v>
      </c>
      <c r="AS22" s="2">
        <f t="shared" si="18"/>
        <v>37</v>
      </c>
      <c r="AT22" s="2">
        <f t="shared" si="18"/>
        <v>38</v>
      </c>
      <c r="AU22" s="2">
        <f t="shared" si="18"/>
        <v>39</v>
      </c>
      <c r="AV22" s="2">
        <f t="shared" si="18"/>
        <v>40</v>
      </c>
      <c r="AW22" s="2">
        <f t="shared" si="18"/>
        <v>41</v>
      </c>
      <c r="AX22" s="2">
        <f t="shared" ref="AX22:CC22" si="19">AW22+1</f>
        <v>42</v>
      </c>
      <c r="AY22" s="2">
        <f t="shared" si="19"/>
        <v>43</v>
      </c>
      <c r="AZ22" s="2">
        <f t="shared" si="19"/>
        <v>44</v>
      </c>
      <c r="BA22" s="2">
        <f t="shared" si="19"/>
        <v>45</v>
      </c>
      <c r="BB22" s="2">
        <f t="shared" si="19"/>
        <v>46</v>
      </c>
      <c r="BC22" s="2">
        <f t="shared" si="19"/>
        <v>47</v>
      </c>
      <c r="BD22" s="2">
        <f t="shared" si="19"/>
        <v>48</v>
      </c>
      <c r="BE22" s="2">
        <f t="shared" si="19"/>
        <v>49</v>
      </c>
      <c r="BF22" s="2">
        <f t="shared" si="19"/>
        <v>50</v>
      </c>
      <c r="BG22" s="2">
        <f t="shared" si="19"/>
        <v>51</v>
      </c>
      <c r="BH22" s="2">
        <f t="shared" si="19"/>
        <v>52</v>
      </c>
      <c r="BI22" s="2">
        <f t="shared" si="19"/>
        <v>53</v>
      </c>
      <c r="BJ22" s="2">
        <f t="shared" si="19"/>
        <v>54</v>
      </c>
      <c r="BK22" s="2">
        <f t="shared" si="19"/>
        <v>55</v>
      </c>
      <c r="BL22" s="2">
        <f t="shared" si="19"/>
        <v>56</v>
      </c>
      <c r="BM22" s="2">
        <f t="shared" si="19"/>
        <v>57</v>
      </c>
      <c r="BN22" s="2">
        <f t="shared" si="19"/>
        <v>58</v>
      </c>
      <c r="BO22" s="2">
        <f t="shared" si="19"/>
        <v>59</v>
      </c>
      <c r="BP22" s="2">
        <f t="shared" si="19"/>
        <v>60</v>
      </c>
      <c r="BQ22" s="2">
        <f t="shared" si="19"/>
        <v>61</v>
      </c>
      <c r="BR22" s="2">
        <f t="shared" si="19"/>
        <v>62</v>
      </c>
      <c r="BS22" s="2">
        <f t="shared" si="19"/>
        <v>63</v>
      </c>
      <c r="BT22" s="2">
        <f t="shared" si="19"/>
        <v>64</v>
      </c>
      <c r="BU22" s="2">
        <f t="shared" si="19"/>
        <v>65</v>
      </c>
      <c r="BV22" s="2">
        <f t="shared" si="19"/>
        <v>66</v>
      </c>
      <c r="BW22" s="2">
        <f t="shared" si="19"/>
        <v>67</v>
      </c>
      <c r="BX22" s="2">
        <f t="shared" si="19"/>
        <v>68</v>
      </c>
      <c r="BY22" s="2">
        <f t="shared" si="19"/>
        <v>69</v>
      </c>
      <c r="BZ22" s="2">
        <f t="shared" si="19"/>
        <v>70</v>
      </c>
      <c r="CA22" s="2">
        <f t="shared" si="19"/>
        <v>71</v>
      </c>
      <c r="CB22" s="2">
        <f t="shared" si="19"/>
        <v>72</v>
      </c>
      <c r="CC22" s="2">
        <f t="shared" si="19"/>
        <v>73</v>
      </c>
    </row>
    <row r="23" spans="1:82">
      <c r="B23" s="5" t="s">
        <v>1</v>
      </c>
      <c r="C23" s="15" t="s">
        <v>41</v>
      </c>
      <c r="I23" s="35">
        <f t="shared" ref="I23:AI23" si="20">IF(I22=1,$D$10,H24+1)</f>
        <v>46023</v>
      </c>
      <c r="J23" s="35">
        <f t="shared" si="20"/>
        <v>46054</v>
      </c>
      <c r="K23" s="35">
        <f t="shared" si="20"/>
        <v>46082</v>
      </c>
      <c r="L23" s="35">
        <f t="shared" si="20"/>
        <v>46113</v>
      </c>
      <c r="M23" s="35">
        <f t="shared" si="20"/>
        <v>46143</v>
      </c>
      <c r="N23" s="35">
        <f t="shared" si="20"/>
        <v>46174</v>
      </c>
      <c r="O23" s="35">
        <f t="shared" si="20"/>
        <v>46204</v>
      </c>
      <c r="P23" s="35">
        <f t="shared" si="20"/>
        <v>46235</v>
      </c>
      <c r="Q23" s="35">
        <f t="shared" si="20"/>
        <v>46266</v>
      </c>
      <c r="R23" s="35">
        <f t="shared" si="20"/>
        <v>46296</v>
      </c>
      <c r="S23" s="35">
        <f t="shared" si="20"/>
        <v>46327</v>
      </c>
      <c r="T23" s="35">
        <f t="shared" si="20"/>
        <v>46357</v>
      </c>
      <c r="U23" s="35">
        <f t="shared" si="20"/>
        <v>46388</v>
      </c>
      <c r="V23" s="35">
        <f t="shared" si="20"/>
        <v>46419</v>
      </c>
      <c r="W23" s="35">
        <f t="shared" si="20"/>
        <v>46447</v>
      </c>
      <c r="X23" s="35">
        <f t="shared" si="20"/>
        <v>46478</v>
      </c>
      <c r="Y23" s="35">
        <f t="shared" si="20"/>
        <v>46508</v>
      </c>
      <c r="Z23" s="35">
        <f t="shared" si="20"/>
        <v>46539</v>
      </c>
      <c r="AA23" s="35">
        <f t="shared" si="20"/>
        <v>46569</v>
      </c>
      <c r="AB23" s="35">
        <f t="shared" si="20"/>
        <v>46600</v>
      </c>
      <c r="AC23" s="35">
        <f t="shared" si="20"/>
        <v>46631</v>
      </c>
      <c r="AD23" s="35">
        <f t="shared" si="20"/>
        <v>46661</v>
      </c>
      <c r="AE23" s="35">
        <f t="shared" si="20"/>
        <v>46692</v>
      </c>
      <c r="AF23" s="35">
        <f t="shared" si="20"/>
        <v>46722</v>
      </c>
      <c r="AG23" s="35">
        <f t="shared" si="20"/>
        <v>46753</v>
      </c>
      <c r="AH23" s="35">
        <f t="shared" si="20"/>
        <v>46784</v>
      </c>
      <c r="AI23" s="35">
        <f t="shared" si="20"/>
        <v>46813</v>
      </c>
      <c r="AJ23" s="35">
        <f t="shared" ref="AJ23:AW23" si="21">IF(AJ22=1,$D$10,AI24+1)</f>
        <v>46844</v>
      </c>
      <c r="AK23" s="35">
        <f t="shared" si="21"/>
        <v>46874</v>
      </c>
      <c r="AL23" s="35">
        <f t="shared" si="21"/>
        <v>46905</v>
      </c>
      <c r="AM23" s="35">
        <f t="shared" si="21"/>
        <v>46935</v>
      </c>
      <c r="AN23" s="35">
        <f t="shared" si="21"/>
        <v>46966</v>
      </c>
      <c r="AO23" s="35">
        <f t="shared" si="21"/>
        <v>46997</v>
      </c>
      <c r="AP23" s="35">
        <f t="shared" si="21"/>
        <v>47027</v>
      </c>
      <c r="AQ23" s="35">
        <f t="shared" si="21"/>
        <v>47058</v>
      </c>
      <c r="AR23" s="35">
        <f t="shared" si="21"/>
        <v>47088</v>
      </c>
      <c r="AS23" s="35">
        <f t="shared" si="21"/>
        <v>47119</v>
      </c>
      <c r="AT23" s="35">
        <f t="shared" si="21"/>
        <v>47150</v>
      </c>
      <c r="AU23" s="35">
        <f t="shared" si="21"/>
        <v>47178</v>
      </c>
      <c r="AV23" s="35">
        <f t="shared" si="21"/>
        <v>47209</v>
      </c>
      <c r="AW23" s="35">
        <f t="shared" si="21"/>
        <v>47239</v>
      </c>
      <c r="AX23" s="35">
        <f t="shared" ref="AX23:CC23" si="22">IF(AX22=1,$D$10,AW24+1)</f>
        <v>47270</v>
      </c>
      <c r="AY23" s="35">
        <f t="shared" si="22"/>
        <v>47300</v>
      </c>
      <c r="AZ23" s="35">
        <f t="shared" si="22"/>
        <v>47331</v>
      </c>
      <c r="BA23" s="35">
        <f t="shared" si="22"/>
        <v>47362</v>
      </c>
      <c r="BB23" s="35">
        <f t="shared" si="22"/>
        <v>47392</v>
      </c>
      <c r="BC23" s="35">
        <f t="shared" si="22"/>
        <v>47423</v>
      </c>
      <c r="BD23" s="35">
        <f t="shared" si="22"/>
        <v>47453</v>
      </c>
      <c r="BE23" s="35">
        <f t="shared" si="22"/>
        <v>47484</v>
      </c>
      <c r="BF23" s="35">
        <f t="shared" si="22"/>
        <v>47515</v>
      </c>
      <c r="BG23" s="35">
        <f t="shared" si="22"/>
        <v>47543</v>
      </c>
      <c r="BH23" s="35">
        <f t="shared" si="22"/>
        <v>47574</v>
      </c>
      <c r="BI23" s="35">
        <f t="shared" si="22"/>
        <v>47604</v>
      </c>
      <c r="BJ23" s="35">
        <f t="shared" si="22"/>
        <v>47635</v>
      </c>
      <c r="BK23" s="35">
        <f t="shared" si="22"/>
        <v>47665</v>
      </c>
      <c r="BL23" s="35">
        <f t="shared" si="22"/>
        <v>47696</v>
      </c>
      <c r="BM23" s="35">
        <f t="shared" si="22"/>
        <v>47727</v>
      </c>
      <c r="BN23" s="35">
        <f t="shared" si="22"/>
        <v>47757</v>
      </c>
      <c r="BO23" s="35">
        <f t="shared" si="22"/>
        <v>47788</v>
      </c>
      <c r="BP23" s="35">
        <f t="shared" si="22"/>
        <v>47818</v>
      </c>
      <c r="BQ23" s="35">
        <f t="shared" si="22"/>
        <v>47849</v>
      </c>
      <c r="BR23" s="35">
        <f t="shared" si="22"/>
        <v>47880</v>
      </c>
      <c r="BS23" s="35">
        <f t="shared" si="22"/>
        <v>47908</v>
      </c>
      <c r="BT23" s="35">
        <f t="shared" si="22"/>
        <v>47939</v>
      </c>
      <c r="BU23" s="35">
        <f t="shared" si="22"/>
        <v>47969</v>
      </c>
      <c r="BV23" s="35">
        <f t="shared" si="22"/>
        <v>48000</v>
      </c>
      <c r="BW23" s="35">
        <f t="shared" si="22"/>
        <v>48030</v>
      </c>
      <c r="BX23" s="35">
        <f t="shared" si="22"/>
        <v>48061</v>
      </c>
      <c r="BY23" s="35">
        <f t="shared" si="22"/>
        <v>48092</v>
      </c>
      <c r="BZ23" s="35">
        <f t="shared" si="22"/>
        <v>48122</v>
      </c>
      <c r="CA23" s="35">
        <f t="shared" si="22"/>
        <v>48153</v>
      </c>
      <c r="CB23" s="35">
        <f t="shared" si="22"/>
        <v>48183</v>
      </c>
      <c r="CC23" s="35">
        <f t="shared" si="22"/>
        <v>48214</v>
      </c>
    </row>
    <row r="24" spans="1:82">
      <c r="B24" s="3" t="s">
        <v>2</v>
      </c>
      <c r="C24" s="15" t="s">
        <v>41</v>
      </c>
      <c r="H24" s="1"/>
      <c r="I24" s="35">
        <f>EOMONTH(I23,0)</f>
        <v>46053</v>
      </c>
      <c r="J24" s="35">
        <f t="shared" ref="J24:AI24" si="23">EOMONTH(J23,0)</f>
        <v>46081</v>
      </c>
      <c r="K24" s="35">
        <f t="shared" si="23"/>
        <v>46112</v>
      </c>
      <c r="L24" s="35">
        <f t="shared" si="23"/>
        <v>46142</v>
      </c>
      <c r="M24" s="35">
        <f t="shared" si="23"/>
        <v>46173</v>
      </c>
      <c r="N24" s="35">
        <f t="shared" si="23"/>
        <v>46203</v>
      </c>
      <c r="O24" s="35">
        <f t="shared" si="23"/>
        <v>46234</v>
      </c>
      <c r="P24" s="35">
        <f t="shared" si="23"/>
        <v>46265</v>
      </c>
      <c r="Q24" s="35">
        <f t="shared" si="23"/>
        <v>46295</v>
      </c>
      <c r="R24" s="35">
        <f t="shared" si="23"/>
        <v>46326</v>
      </c>
      <c r="S24" s="35">
        <f t="shared" si="23"/>
        <v>46356</v>
      </c>
      <c r="T24" s="35">
        <f t="shared" si="23"/>
        <v>46387</v>
      </c>
      <c r="U24" s="35">
        <f t="shared" si="23"/>
        <v>46418</v>
      </c>
      <c r="V24" s="35">
        <f t="shared" si="23"/>
        <v>46446</v>
      </c>
      <c r="W24" s="35">
        <f t="shared" si="23"/>
        <v>46477</v>
      </c>
      <c r="X24" s="35">
        <f t="shared" si="23"/>
        <v>46507</v>
      </c>
      <c r="Y24" s="35">
        <f t="shared" si="23"/>
        <v>46538</v>
      </c>
      <c r="Z24" s="35">
        <f t="shared" si="23"/>
        <v>46568</v>
      </c>
      <c r="AA24" s="35">
        <f t="shared" si="23"/>
        <v>46599</v>
      </c>
      <c r="AB24" s="35">
        <f t="shared" si="23"/>
        <v>46630</v>
      </c>
      <c r="AC24" s="35">
        <f t="shared" si="23"/>
        <v>46660</v>
      </c>
      <c r="AD24" s="35">
        <f t="shared" si="23"/>
        <v>46691</v>
      </c>
      <c r="AE24" s="35">
        <f t="shared" si="23"/>
        <v>46721</v>
      </c>
      <c r="AF24" s="35">
        <f t="shared" si="23"/>
        <v>46752</v>
      </c>
      <c r="AG24" s="35">
        <f t="shared" si="23"/>
        <v>46783</v>
      </c>
      <c r="AH24" s="35">
        <f t="shared" si="23"/>
        <v>46812</v>
      </c>
      <c r="AI24" s="35">
        <f t="shared" si="23"/>
        <v>46843</v>
      </c>
      <c r="AJ24" s="35">
        <f>EOMONTH(AJ23,0)</f>
        <v>46873</v>
      </c>
      <c r="AK24" s="35">
        <f>EOMONTH(AK23,0)</f>
        <v>46904</v>
      </c>
      <c r="AL24" s="35">
        <f>EOMONTH(AL23,0)</f>
        <v>46934</v>
      </c>
      <c r="AM24" s="35">
        <f>EOMONTH(AM23,0)</f>
        <v>46965</v>
      </c>
      <c r="AN24" s="35">
        <f t="shared" ref="AN24:AW24" si="24">EOMONTH(AN23,0)</f>
        <v>46996</v>
      </c>
      <c r="AO24" s="35">
        <f t="shared" si="24"/>
        <v>47026</v>
      </c>
      <c r="AP24" s="35">
        <f t="shared" si="24"/>
        <v>47057</v>
      </c>
      <c r="AQ24" s="35">
        <f t="shared" si="24"/>
        <v>47087</v>
      </c>
      <c r="AR24" s="35">
        <f t="shared" si="24"/>
        <v>47118</v>
      </c>
      <c r="AS24" s="35">
        <f t="shared" si="24"/>
        <v>47149</v>
      </c>
      <c r="AT24" s="35">
        <f t="shared" si="24"/>
        <v>47177</v>
      </c>
      <c r="AU24" s="35">
        <f t="shared" si="24"/>
        <v>47208</v>
      </c>
      <c r="AV24" s="35">
        <f t="shared" si="24"/>
        <v>47238</v>
      </c>
      <c r="AW24" s="35">
        <f t="shared" si="24"/>
        <v>47269</v>
      </c>
      <c r="AX24" s="35">
        <f>EOMONTH(AX23,0)</f>
        <v>47299</v>
      </c>
      <c r="AY24" s="35">
        <f t="shared" ref="AY24:CB24" si="25">EOMONTH(AY23,0)</f>
        <v>47330</v>
      </c>
      <c r="AZ24" s="35">
        <f t="shared" si="25"/>
        <v>47361</v>
      </c>
      <c r="BA24" s="35">
        <f t="shared" si="25"/>
        <v>47391</v>
      </c>
      <c r="BB24" s="35">
        <f t="shared" si="25"/>
        <v>47422</v>
      </c>
      <c r="BC24" s="35">
        <f t="shared" si="25"/>
        <v>47452</v>
      </c>
      <c r="BD24" s="35">
        <f t="shared" si="25"/>
        <v>47483</v>
      </c>
      <c r="BE24" s="35">
        <f t="shared" si="25"/>
        <v>47514</v>
      </c>
      <c r="BF24" s="35">
        <f t="shared" si="25"/>
        <v>47542</v>
      </c>
      <c r="BG24" s="35">
        <f t="shared" si="25"/>
        <v>47573</v>
      </c>
      <c r="BH24" s="35">
        <f t="shared" si="25"/>
        <v>47603</v>
      </c>
      <c r="BI24" s="35">
        <f t="shared" si="25"/>
        <v>47634</v>
      </c>
      <c r="BJ24" s="35">
        <f t="shared" si="25"/>
        <v>47664</v>
      </c>
      <c r="BK24" s="35">
        <f t="shared" si="25"/>
        <v>47695</v>
      </c>
      <c r="BL24" s="35">
        <f t="shared" si="25"/>
        <v>47726</v>
      </c>
      <c r="BM24" s="35">
        <f t="shared" si="25"/>
        <v>47756</v>
      </c>
      <c r="BN24" s="35">
        <f t="shared" si="25"/>
        <v>47787</v>
      </c>
      <c r="BO24" s="35">
        <f t="shared" si="25"/>
        <v>47817</v>
      </c>
      <c r="BP24" s="35">
        <f t="shared" si="25"/>
        <v>47848</v>
      </c>
      <c r="BQ24" s="35">
        <f t="shared" si="25"/>
        <v>47879</v>
      </c>
      <c r="BR24" s="35">
        <f t="shared" si="25"/>
        <v>47907</v>
      </c>
      <c r="BS24" s="35">
        <f t="shared" si="25"/>
        <v>47938</v>
      </c>
      <c r="BT24" s="35">
        <f t="shared" si="25"/>
        <v>47968</v>
      </c>
      <c r="BU24" s="35">
        <f t="shared" si="25"/>
        <v>47999</v>
      </c>
      <c r="BV24" s="35">
        <f t="shared" si="25"/>
        <v>48029</v>
      </c>
      <c r="BW24" s="35">
        <f t="shared" si="25"/>
        <v>48060</v>
      </c>
      <c r="BX24" s="35">
        <f t="shared" si="25"/>
        <v>48091</v>
      </c>
      <c r="BY24" s="35">
        <f t="shared" si="25"/>
        <v>48121</v>
      </c>
      <c r="BZ24" s="35">
        <f t="shared" si="25"/>
        <v>48152</v>
      </c>
      <c r="CA24" s="35">
        <f t="shared" si="25"/>
        <v>48182</v>
      </c>
      <c r="CB24" s="35">
        <f t="shared" si="25"/>
        <v>48213</v>
      </c>
      <c r="CC24" s="35">
        <f>EOMONTH(CC23,0)</f>
        <v>48244</v>
      </c>
    </row>
    <row r="25" spans="1:82">
      <c r="B25" s="5" t="s">
        <v>50</v>
      </c>
      <c r="C25" s="15" t="s">
        <v>19</v>
      </c>
      <c r="I25" s="2">
        <f>(I24-I23)+1</f>
        <v>31</v>
      </c>
      <c r="J25" s="2">
        <f t="shared" ref="J25:AI25" si="26">(J24-J23)+1</f>
        <v>28</v>
      </c>
      <c r="K25" s="2">
        <f t="shared" si="26"/>
        <v>31</v>
      </c>
      <c r="L25" s="2">
        <f t="shared" si="26"/>
        <v>30</v>
      </c>
      <c r="M25" s="2">
        <f t="shared" si="26"/>
        <v>31</v>
      </c>
      <c r="N25" s="2">
        <f t="shared" si="26"/>
        <v>30</v>
      </c>
      <c r="O25" s="2">
        <f t="shared" si="26"/>
        <v>31</v>
      </c>
      <c r="P25" s="2">
        <f t="shared" si="26"/>
        <v>31</v>
      </c>
      <c r="Q25" s="2">
        <f t="shared" si="26"/>
        <v>30</v>
      </c>
      <c r="R25" s="2">
        <f t="shared" si="26"/>
        <v>31</v>
      </c>
      <c r="S25" s="2">
        <f t="shared" si="26"/>
        <v>30</v>
      </c>
      <c r="T25" s="2">
        <f t="shared" si="26"/>
        <v>31</v>
      </c>
      <c r="U25" s="2">
        <f t="shared" si="26"/>
        <v>31</v>
      </c>
      <c r="V25" s="2">
        <f t="shared" si="26"/>
        <v>28</v>
      </c>
      <c r="W25" s="2">
        <f t="shared" si="26"/>
        <v>31</v>
      </c>
      <c r="X25" s="2">
        <f t="shared" si="26"/>
        <v>30</v>
      </c>
      <c r="Y25" s="2">
        <f t="shared" si="26"/>
        <v>31</v>
      </c>
      <c r="Z25" s="2">
        <f t="shared" si="26"/>
        <v>30</v>
      </c>
      <c r="AA25" s="2">
        <f t="shared" si="26"/>
        <v>31</v>
      </c>
      <c r="AB25" s="2">
        <f t="shared" si="26"/>
        <v>31</v>
      </c>
      <c r="AC25" s="2">
        <f t="shared" si="26"/>
        <v>30</v>
      </c>
      <c r="AD25" s="2">
        <f t="shared" si="26"/>
        <v>31</v>
      </c>
      <c r="AE25" s="2">
        <f t="shared" si="26"/>
        <v>30</v>
      </c>
      <c r="AF25" s="2">
        <f t="shared" si="26"/>
        <v>31</v>
      </c>
      <c r="AG25" s="2">
        <f t="shared" si="26"/>
        <v>31</v>
      </c>
      <c r="AH25" s="2">
        <f t="shared" si="26"/>
        <v>29</v>
      </c>
      <c r="AI25" s="2">
        <f t="shared" si="26"/>
        <v>31</v>
      </c>
      <c r="AJ25" s="2">
        <f>(AJ24-AJ23)+1</f>
        <v>30</v>
      </c>
      <c r="AK25" s="2">
        <f>(AK24-AK23)+1</f>
        <v>31</v>
      </c>
      <c r="AL25" s="2">
        <f>(AL24-AL23)+1</f>
        <v>30</v>
      </c>
      <c r="AM25" s="2">
        <f>(AM24-AM23)+1</f>
        <v>31</v>
      </c>
      <c r="AN25" s="2">
        <f t="shared" ref="AN25:AW25" si="27">(AN24-AN23)+1</f>
        <v>31</v>
      </c>
      <c r="AO25" s="2">
        <f t="shared" si="27"/>
        <v>30</v>
      </c>
      <c r="AP25" s="2">
        <f t="shared" si="27"/>
        <v>31</v>
      </c>
      <c r="AQ25" s="2">
        <f t="shared" si="27"/>
        <v>30</v>
      </c>
      <c r="AR25" s="2">
        <f t="shared" si="27"/>
        <v>31</v>
      </c>
      <c r="AS25" s="2">
        <f t="shared" si="27"/>
        <v>31</v>
      </c>
      <c r="AT25" s="2">
        <f t="shared" si="27"/>
        <v>28</v>
      </c>
      <c r="AU25" s="2">
        <f t="shared" si="27"/>
        <v>31</v>
      </c>
      <c r="AV25" s="2">
        <f t="shared" si="27"/>
        <v>30</v>
      </c>
      <c r="AW25" s="2">
        <f t="shared" si="27"/>
        <v>31</v>
      </c>
      <c r="AX25" s="2">
        <f>(AX24-AX23)+1</f>
        <v>30</v>
      </c>
      <c r="AY25" s="2">
        <f t="shared" ref="AY25:CB25" si="28">(AY24-AY23)+1</f>
        <v>31</v>
      </c>
      <c r="AZ25" s="2">
        <f t="shared" si="28"/>
        <v>31</v>
      </c>
      <c r="BA25" s="2">
        <f t="shared" si="28"/>
        <v>30</v>
      </c>
      <c r="BB25" s="2">
        <f t="shared" si="28"/>
        <v>31</v>
      </c>
      <c r="BC25" s="2">
        <f t="shared" si="28"/>
        <v>30</v>
      </c>
      <c r="BD25" s="2">
        <f t="shared" si="28"/>
        <v>31</v>
      </c>
      <c r="BE25" s="2">
        <f t="shared" si="28"/>
        <v>31</v>
      </c>
      <c r="BF25" s="2">
        <f t="shared" si="28"/>
        <v>28</v>
      </c>
      <c r="BG25" s="2">
        <f t="shared" si="28"/>
        <v>31</v>
      </c>
      <c r="BH25" s="2">
        <f t="shared" si="28"/>
        <v>30</v>
      </c>
      <c r="BI25" s="2">
        <f t="shared" si="28"/>
        <v>31</v>
      </c>
      <c r="BJ25" s="2">
        <f t="shared" si="28"/>
        <v>30</v>
      </c>
      <c r="BK25" s="2">
        <f t="shared" si="28"/>
        <v>31</v>
      </c>
      <c r="BL25" s="2">
        <f t="shared" si="28"/>
        <v>31</v>
      </c>
      <c r="BM25" s="2">
        <f t="shared" si="28"/>
        <v>30</v>
      </c>
      <c r="BN25" s="2">
        <f t="shared" si="28"/>
        <v>31</v>
      </c>
      <c r="BO25" s="2">
        <f t="shared" si="28"/>
        <v>30</v>
      </c>
      <c r="BP25" s="2">
        <f t="shared" si="28"/>
        <v>31</v>
      </c>
      <c r="BQ25" s="2">
        <f t="shared" si="28"/>
        <v>31</v>
      </c>
      <c r="BR25" s="2">
        <f t="shared" si="28"/>
        <v>28</v>
      </c>
      <c r="BS25" s="2">
        <f t="shared" si="28"/>
        <v>31</v>
      </c>
      <c r="BT25" s="2">
        <f t="shared" si="28"/>
        <v>30</v>
      </c>
      <c r="BU25" s="2">
        <f t="shared" si="28"/>
        <v>31</v>
      </c>
      <c r="BV25" s="2">
        <f t="shared" si="28"/>
        <v>30</v>
      </c>
      <c r="BW25" s="2">
        <f t="shared" si="28"/>
        <v>31</v>
      </c>
      <c r="BX25" s="2">
        <f t="shared" si="28"/>
        <v>31</v>
      </c>
      <c r="BY25" s="2">
        <f t="shared" si="28"/>
        <v>30</v>
      </c>
      <c r="BZ25" s="2">
        <f t="shared" si="28"/>
        <v>31</v>
      </c>
      <c r="CA25" s="2">
        <f t="shared" si="28"/>
        <v>30</v>
      </c>
      <c r="CB25" s="2">
        <f t="shared" si="28"/>
        <v>31</v>
      </c>
      <c r="CC25" s="2">
        <f>(CC24-CC23)+1</f>
        <v>31</v>
      </c>
    </row>
    <row r="26" spans="1:82">
      <c r="B26" s="5" t="s">
        <v>52</v>
      </c>
      <c r="C26" s="15" t="s">
        <v>48</v>
      </c>
      <c r="H26" s="1"/>
      <c r="I26" s="2">
        <v>1</v>
      </c>
      <c r="J26" s="2">
        <f>IF(MONTH(J23)=13,I26+1,I26)</f>
        <v>1</v>
      </c>
      <c r="K26" s="2">
        <f>IF(MONTH(K23)=1,J26+1,J26)</f>
        <v>1</v>
      </c>
      <c r="L26" s="2">
        <f t="shared" ref="L26:AW26" si="29">IF(MONTH(L23)=1,K26+1,K26)</f>
        <v>1</v>
      </c>
      <c r="M26" s="2">
        <f t="shared" si="29"/>
        <v>1</v>
      </c>
      <c r="N26" s="2">
        <f t="shared" si="29"/>
        <v>1</v>
      </c>
      <c r="O26" s="2">
        <f t="shared" si="29"/>
        <v>1</v>
      </c>
      <c r="P26" s="2">
        <f t="shared" si="29"/>
        <v>1</v>
      </c>
      <c r="Q26" s="2">
        <f t="shared" si="29"/>
        <v>1</v>
      </c>
      <c r="R26" s="2">
        <f t="shared" si="29"/>
        <v>1</v>
      </c>
      <c r="S26" s="2">
        <f t="shared" si="29"/>
        <v>1</v>
      </c>
      <c r="T26" s="2">
        <f t="shared" si="29"/>
        <v>1</v>
      </c>
      <c r="U26" s="2">
        <f t="shared" si="29"/>
        <v>2</v>
      </c>
      <c r="V26" s="2">
        <f t="shared" si="29"/>
        <v>2</v>
      </c>
      <c r="W26" s="2">
        <f t="shared" si="29"/>
        <v>2</v>
      </c>
      <c r="X26" s="2">
        <f t="shared" si="29"/>
        <v>2</v>
      </c>
      <c r="Y26" s="2">
        <f t="shared" si="29"/>
        <v>2</v>
      </c>
      <c r="Z26" s="2">
        <f t="shared" si="29"/>
        <v>2</v>
      </c>
      <c r="AA26" s="2">
        <f t="shared" si="29"/>
        <v>2</v>
      </c>
      <c r="AB26" s="2">
        <f t="shared" si="29"/>
        <v>2</v>
      </c>
      <c r="AC26" s="2">
        <f t="shared" si="29"/>
        <v>2</v>
      </c>
      <c r="AD26" s="2">
        <f t="shared" si="29"/>
        <v>2</v>
      </c>
      <c r="AE26" s="2">
        <f t="shared" si="29"/>
        <v>2</v>
      </c>
      <c r="AF26" s="2">
        <f t="shared" si="29"/>
        <v>2</v>
      </c>
      <c r="AG26" s="2">
        <f t="shared" si="29"/>
        <v>3</v>
      </c>
      <c r="AH26" s="2">
        <f t="shared" si="29"/>
        <v>3</v>
      </c>
      <c r="AI26" s="2">
        <f t="shared" si="29"/>
        <v>3</v>
      </c>
      <c r="AJ26" s="2">
        <f t="shared" si="29"/>
        <v>3</v>
      </c>
      <c r="AK26" s="2">
        <f t="shared" si="29"/>
        <v>3</v>
      </c>
      <c r="AL26" s="2">
        <f t="shared" si="29"/>
        <v>3</v>
      </c>
      <c r="AM26" s="2">
        <f t="shared" si="29"/>
        <v>3</v>
      </c>
      <c r="AN26" s="2">
        <f t="shared" si="29"/>
        <v>3</v>
      </c>
      <c r="AO26" s="2">
        <f t="shared" si="29"/>
        <v>3</v>
      </c>
      <c r="AP26" s="2">
        <f t="shared" si="29"/>
        <v>3</v>
      </c>
      <c r="AQ26" s="2">
        <f t="shared" si="29"/>
        <v>3</v>
      </c>
      <c r="AR26" s="2">
        <f t="shared" si="29"/>
        <v>3</v>
      </c>
      <c r="AS26" s="2">
        <f t="shared" si="29"/>
        <v>4</v>
      </c>
      <c r="AT26" s="2">
        <f t="shared" si="29"/>
        <v>4</v>
      </c>
      <c r="AU26" s="2">
        <f t="shared" si="29"/>
        <v>4</v>
      </c>
      <c r="AV26" s="2">
        <f t="shared" si="29"/>
        <v>4</v>
      </c>
      <c r="AW26" s="2">
        <f t="shared" si="29"/>
        <v>4</v>
      </c>
      <c r="AX26" s="2">
        <f t="shared" ref="AX26:CC26" si="30">IF(MONTH(AX23)=1,AW26+1,AW26)</f>
        <v>4</v>
      </c>
      <c r="AY26" s="2">
        <f t="shared" si="30"/>
        <v>4</v>
      </c>
      <c r="AZ26" s="2">
        <f t="shared" si="30"/>
        <v>4</v>
      </c>
      <c r="BA26" s="2">
        <f t="shared" si="30"/>
        <v>4</v>
      </c>
      <c r="BB26" s="2">
        <f t="shared" si="30"/>
        <v>4</v>
      </c>
      <c r="BC26" s="2">
        <f t="shared" si="30"/>
        <v>4</v>
      </c>
      <c r="BD26" s="2">
        <f t="shared" si="30"/>
        <v>4</v>
      </c>
      <c r="BE26" s="2">
        <f t="shared" si="30"/>
        <v>5</v>
      </c>
      <c r="BF26" s="2">
        <f t="shared" si="30"/>
        <v>5</v>
      </c>
      <c r="BG26" s="2">
        <f t="shared" si="30"/>
        <v>5</v>
      </c>
      <c r="BH26" s="2">
        <f t="shared" si="30"/>
        <v>5</v>
      </c>
      <c r="BI26" s="2">
        <f t="shared" si="30"/>
        <v>5</v>
      </c>
      <c r="BJ26" s="2">
        <f t="shared" si="30"/>
        <v>5</v>
      </c>
      <c r="BK26" s="2">
        <f t="shared" si="30"/>
        <v>5</v>
      </c>
      <c r="BL26" s="2">
        <f t="shared" si="30"/>
        <v>5</v>
      </c>
      <c r="BM26" s="2">
        <f t="shared" si="30"/>
        <v>5</v>
      </c>
      <c r="BN26" s="2">
        <f t="shared" si="30"/>
        <v>5</v>
      </c>
      <c r="BO26" s="2">
        <f t="shared" si="30"/>
        <v>5</v>
      </c>
      <c r="BP26" s="2">
        <f t="shared" si="30"/>
        <v>5</v>
      </c>
      <c r="BQ26" s="2">
        <f t="shared" si="30"/>
        <v>6</v>
      </c>
      <c r="BR26" s="2">
        <f t="shared" si="30"/>
        <v>6</v>
      </c>
      <c r="BS26" s="2">
        <f t="shared" si="30"/>
        <v>6</v>
      </c>
      <c r="BT26" s="2">
        <f t="shared" si="30"/>
        <v>6</v>
      </c>
      <c r="BU26" s="2">
        <f t="shared" si="30"/>
        <v>6</v>
      </c>
      <c r="BV26" s="2">
        <f t="shared" si="30"/>
        <v>6</v>
      </c>
      <c r="BW26" s="2">
        <f t="shared" si="30"/>
        <v>6</v>
      </c>
      <c r="BX26" s="2">
        <f t="shared" si="30"/>
        <v>6</v>
      </c>
      <c r="BY26" s="2">
        <f t="shared" si="30"/>
        <v>6</v>
      </c>
      <c r="BZ26" s="2">
        <f t="shared" si="30"/>
        <v>6</v>
      </c>
      <c r="CA26" s="2">
        <f t="shared" si="30"/>
        <v>6</v>
      </c>
      <c r="CB26" s="2">
        <f t="shared" si="30"/>
        <v>6</v>
      </c>
      <c r="CC26" s="2">
        <f t="shared" si="30"/>
        <v>7</v>
      </c>
    </row>
    <row r="27" spans="1:82">
      <c r="B27" s="8"/>
      <c r="C27" s="15"/>
    </row>
    <row r="28" spans="1:82">
      <c r="A28" s="6" t="s">
        <v>53</v>
      </c>
      <c r="B28" s="9"/>
      <c r="C28" s="9"/>
      <c r="D28" s="1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row>
    <row r="29" spans="1:82">
      <c r="B29" s="5"/>
      <c r="C29" s="15"/>
    </row>
    <row r="30" spans="1:82">
      <c r="B30" s="5"/>
      <c r="C30" s="15"/>
    </row>
    <row r="31" spans="1:82">
      <c r="B31" s="5"/>
      <c r="C31" s="22" t="s">
        <v>54</v>
      </c>
      <c r="D31" s="23" t="s">
        <v>55</v>
      </c>
    </row>
    <row r="32" spans="1:82">
      <c r="B32" s="5" t="s">
        <v>56</v>
      </c>
      <c r="C32" s="25">
        <f>Const_start</f>
        <v>46023</v>
      </c>
      <c r="D32" s="25">
        <f>Const_end</f>
        <v>47118</v>
      </c>
    </row>
    <row r="33" spans="1:82">
      <c r="B33" s="5" t="s">
        <v>57</v>
      </c>
      <c r="C33" s="21">
        <f>Ops_start</f>
        <v>47119</v>
      </c>
      <c r="D33" s="21">
        <f>Ops_end</f>
        <v>56979</v>
      </c>
    </row>
    <row r="34" spans="1:82">
      <c r="B34" s="5"/>
      <c r="C34" s="15"/>
    </row>
    <row r="35" spans="1:82">
      <c r="B35" s="26" t="s">
        <v>58</v>
      </c>
      <c r="C35" s="15"/>
    </row>
    <row r="36" spans="1:82">
      <c r="B36" s="5" t="s">
        <v>59</v>
      </c>
      <c r="C36" s="15" t="s">
        <v>60</v>
      </c>
      <c r="D36" s="37">
        <f>SUM(I36:AI36)</f>
        <v>1</v>
      </c>
      <c r="I36" s="36">
        <f t="shared" ref="I36:BT36" si="31">(I$3&lt;=$C$32)*(I$4&gt;=$C$32)*1</f>
        <v>1</v>
      </c>
      <c r="J36" s="36">
        <f t="shared" si="31"/>
        <v>0</v>
      </c>
      <c r="K36" s="36">
        <f t="shared" si="31"/>
        <v>0</v>
      </c>
      <c r="L36" s="36">
        <f t="shared" si="31"/>
        <v>0</v>
      </c>
      <c r="M36" s="36">
        <f t="shared" si="31"/>
        <v>0</v>
      </c>
      <c r="N36" s="36">
        <f t="shared" si="31"/>
        <v>0</v>
      </c>
      <c r="O36" s="36">
        <f t="shared" si="31"/>
        <v>0</v>
      </c>
      <c r="P36" s="36">
        <f t="shared" si="31"/>
        <v>0</v>
      </c>
      <c r="Q36" s="36">
        <f t="shared" si="31"/>
        <v>0</v>
      </c>
      <c r="R36" s="36">
        <f t="shared" si="31"/>
        <v>0</v>
      </c>
      <c r="S36" s="36">
        <f t="shared" si="31"/>
        <v>0</v>
      </c>
      <c r="T36" s="36">
        <f t="shared" si="31"/>
        <v>0</v>
      </c>
      <c r="U36" s="36">
        <f t="shared" si="31"/>
        <v>0</v>
      </c>
      <c r="V36" s="36">
        <f t="shared" si="31"/>
        <v>0</v>
      </c>
      <c r="W36" s="36">
        <f t="shared" si="31"/>
        <v>0</v>
      </c>
      <c r="X36" s="36">
        <f t="shared" si="31"/>
        <v>0</v>
      </c>
      <c r="Y36" s="36">
        <f t="shared" si="31"/>
        <v>0</v>
      </c>
      <c r="Z36" s="36">
        <f t="shared" si="31"/>
        <v>0</v>
      </c>
      <c r="AA36" s="36">
        <f t="shared" si="31"/>
        <v>0</v>
      </c>
      <c r="AB36" s="36">
        <f t="shared" si="31"/>
        <v>0</v>
      </c>
      <c r="AC36" s="36">
        <f t="shared" si="31"/>
        <v>0</v>
      </c>
      <c r="AD36" s="36">
        <f t="shared" si="31"/>
        <v>0</v>
      </c>
      <c r="AE36" s="36">
        <f t="shared" si="31"/>
        <v>0</v>
      </c>
      <c r="AF36" s="36">
        <f t="shared" si="31"/>
        <v>0</v>
      </c>
      <c r="AG36" s="36">
        <f t="shared" si="31"/>
        <v>0</v>
      </c>
      <c r="AH36" s="36">
        <f t="shared" si="31"/>
        <v>0</v>
      </c>
      <c r="AI36" s="36">
        <f t="shared" si="31"/>
        <v>0</v>
      </c>
      <c r="AJ36" s="36">
        <f t="shared" si="31"/>
        <v>0</v>
      </c>
      <c r="AK36" s="36">
        <f t="shared" si="31"/>
        <v>0</v>
      </c>
      <c r="AL36" s="36">
        <f t="shared" si="31"/>
        <v>0</v>
      </c>
      <c r="AM36" s="36">
        <f t="shared" si="31"/>
        <v>0</v>
      </c>
      <c r="AN36" s="36">
        <f t="shared" si="31"/>
        <v>0</v>
      </c>
      <c r="AO36" s="36">
        <f t="shared" si="31"/>
        <v>0</v>
      </c>
      <c r="AP36" s="36">
        <f t="shared" si="31"/>
        <v>0</v>
      </c>
      <c r="AQ36" s="36">
        <f t="shared" si="31"/>
        <v>0</v>
      </c>
      <c r="AR36" s="36">
        <f t="shared" si="31"/>
        <v>0</v>
      </c>
      <c r="AS36" s="36">
        <f t="shared" si="31"/>
        <v>0</v>
      </c>
      <c r="AT36" s="36">
        <f t="shared" si="31"/>
        <v>0</v>
      </c>
      <c r="AU36" s="36">
        <f t="shared" si="31"/>
        <v>0</v>
      </c>
      <c r="AV36" s="36">
        <f t="shared" si="31"/>
        <v>0</v>
      </c>
      <c r="AW36" s="36">
        <f t="shared" si="31"/>
        <v>0</v>
      </c>
      <c r="AX36" s="36">
        <f t="shared" si="31"/>
        <v>0</v>
      </c>
      <c r="AY36" s="36">
        <f t="shared" si="31"/>
        <v>0</v>
      </c>
      <c r="AZ36" s="36">
        <f t="shared" si="31"/>
        <v>0</v>
      </c>
      <c r="BA36" s="36">
        <f t="shared" si="31"/>
        <v>0</v>
      </c>
      <c r="BB36" s="36">
        <f t="shared" si="31"/>
        <v>0</v>
      </c>
      <c r="BC36" s="36">
        <f t="shared" si="31"/>
        <v>0</v>
      </c>
      <c r="BD36" s="36">
        <f t="shared" si="31"/>
        <v>0</v>
      </c>
      <c r="BE36" s="36">
        <f t="shared" si="31"/>
        <v>0</v>
      </c>
      <c r="BF36" s="36">
        <f t="shared" si="31"/>
        <v>0</v>
      </c>
      <c r="BG36" s="36">
        <f t="shared" si="31"/>
        <v>0</v>
      </c>
      <c r="BH36" s="36">
        <f t="shared" si="31"/>
        <v>0</v>
      </c>
      <c r="BI36" s="36">
        <f t="shared" si="31"/>
        <v>0</v>
      </c>
      <c r="BJ36" s="36">
        <f t="shared" si="31"/>
        <v>0</v>
      </c>
      <c r="BK36" s="36">
        <f t="shared" si="31"/>
        <v>0</v>
      </c>
      <c r="BL36" s="36">
        <f t="shared" si="31"/>
        <v>0</v>
      </c>
      <c r="BM36" s="36">
        <f t="shared" si="31"/>
        <v>0</v>
      </c>
      <c r="BN36" s="36">
        <f t="shared" si="31"/>
        <v>0</v>
      </c>
      <c r="BO36" s="36">
        <f t="shared" si="31"/>
        <v>0</v>
      </c>
      <c r="BP36" s="36">
        <f t="shared" si="31"/>
        <v>0</v>
      </c>
      <c r="BQ36" s="36">
        <f t="shared" si="31"/>
        <v>0</v>
      </c>
      <c r="BR36" s="36">
        <f t="shared" si="31"/>
        <v>0</v>
      </c>
      <c r="BS36" s="36">
        <f t="shared" si="31"/>
        <v>0</v>
      </c>
      <c r="BT36" s="36">
        <f t="shared" si="31"/>
        <v>0</v>
      </c>
      <c r="BU36" s="36">
        <f t="shared" ref="BU36:CD36" si="32">(BU$3&lt;=$C$32)*(BU$4&gt;=$C$32)*1</f>
        <v>0</v>
      </c>
      <c r="BV36" s="36">
        <f t="shared" si="32"/>
        <v>0</v>
      </c>
      <c r="BW36" s="36">
        <f t="shared" si="32"/>
        <v>0</v>
      </c>
      <c r="BX36" s="36">
        <f t="shared" si="32"/>
        <v>0</v>
      </c>
      <c r="BY36" s="36">
        <f t="shared" si="32"/>
        <v>0</v>
      </c>
      <c r="BZ36" s="36">
        <f t="shared" si="32"/>
        <v>0</v>
      </c>
      <c r="CA36" s="36">
        <f t="shared" si="32"/>
        <v>0</v>
      </c>
      <c r="CB36" s="36">
        <f t="shared" si="32"/>
        <v>0</v>
      </c>
      <c r="CC36" s="36">
        <f t="shared" si="32"/>
        <v>0</v>
      </c>
      <c r="CD36" s="36">
        <f t="shared" si="32"/>
        <v>0</v>
      </c>
    </row>
    <row r="37" spans="1:82">
      <c r="B37" s="5" t="s">
        <v>61</v>
      </c>
      <c r="C37" s="15" t="s">
        <v>60</v>
      </c>
      <c r="D37" s="37">
        <f>SUM(I37:AI37)</f>
        <v>3</v>
      </c>
      <c r="I37" s="36">
        <f>($C$32&lt;=I$4)*($D$32&gt;=I$3)*1</f>
        <v>1</v>
      </c>
      <c r="J37" s="36">
        <f t="shared" ref="J37:BU37" si="33">($C$32&lt;=J$4)*($D$32&gt;=J$3)*1</f>
        <v>1</v>
      </c>
      <c r="K37" s="36">
        <f t="shared" si="33"/>
        <v>1</v>
      </c>
      <c r="L37" s="36">
        <f t="shared" si="33"/>
        <v>0</v>
      </c>
      <c r="M37" s="36">
        <f t="shared" si="33"/>
        <v>0</v>
      </c>
      <c r="N37" s="36">
        <f t="shared" si="33"/>
        <v>0</v>
      </c>
      <c r="O37" s="36">
        <f t="shared" si="33"/>
        <v>0</v>
      </c>
      <c r="P37" s="36">
        <f t="shared" si="33"/>
        <v>0</v>
      </c>
      <c r="Q37" s="36">
        <f t="shared" si="33"/>
        <v>0</v>
      </c>
      <c r="R37" s="36">
        <f t="shared" si="33"/>
        <v>0</v>
      </c>
      <c r="S37" s="36">
        <f t="shared" si="33"/>
        <v>0</v>
      </c>
      <c r="T37" s="36">
        <f t="shared" si="33"/>
        <v>0</v>
      </c>
      <c r="U37" s="36">
        <f t="shared" si="33"/>
        <v>0</v>
      </c>
      <c r="V37" s="36">
        <f t="shared" si="33"/>
        <v>0</v>
      </c>
      <c r="W37" s="36">
        <f t="shared" si="33"/>
        <v>0</v>
      </c>
      <c r="X37" s="36">
        <f t="shared" si="33"/>
        <v>0</v>
      </c>
      <c r="Y37" s="36">
        <f t="shared" si="33"/>
        <v>0</v>
      </c>
      <c r="Z37" s="36">
        <f t="shared" si="33"/>
        <v>0</v>
      </c>
      <c r="AA37" s="36">
        <f t="shared" si="33"/>
        <v>0</v>
      </c>
      <c r="AB37" s="36">
        <f t="shared" si="33"/>
        <v>0</v>
      </c>
      <c r="AC37" s="36">
        <f t="shared" si="33"/>
        <v>0</v>
      </c>
      <c r="AD37" s="36">
        <f t="shared" si="33"/>
        <v>0</v>
      </c>
      <c r="AE37" s="36">
        <f t="shared" si="33"/>
        <v>0</v>
      </c>
      <c r="AF37" s="36">
        <f t="shared" si="33"/>
        <v>0</v>
      </c>
      <c r="AG37" s="36">
        <f t="shared" si="33"/>
        <v>0</v>
      </c>
      <c r="AH37" s="36">
        <f t="shared" si="33"/>
        <v>0</v>
      </c>
      <c r="AI37" s="36">
        <f t="shared" si="33"/>
        <v>0</v>
      </c>
      <c r="AJ37" s="36">
        <f t="shared" si="33"/>
        <v>0</v>
      </c>
      <c r="AK37" s="36">
        <f t="shared" si="33"/>
        <v>0</v>
      </c>
      <c r="AL37" s="36">
        <f t="shared" si="33"/>
        <v>0</v>
      </c>
      <c r="AM37" s="36">
        <f t="shared" si="33"/>
        <v>0</v>
      </c>
      <c r="AN37" s="36">
        <f t="shared" si="33"/>
        <v>0</v>
      </c>
      <c r="AO37" s="36">
        <f t="shared" si="33"/>
        <v>0</v>
      </c>
      <c r="AP37" s="36">
        <f t="shared" si="33"/>
        <v>0</v>
      </c>
      <c r="AQ37" s="36">
        <f t="shared" si="33"/>
        <v>0</v>
      </c>
      <c r="AR37" s="36">
        <f t="shared" si="33"/>
        <v>0</v>
      </c>
      <c r="AS37" s="36">
        <f t="shared" si="33"/>
        <v>0</v>
      </c>
      <c r="AT37" s="36">
        <f t="shared" si="33"/>
        <v>0</v>
      </c>
      <c r="AU37" s="36">
        <f t="shared" si="33"/>
        <v>0</v>
      </c>
      <c r="AV37" s="36">
        <f t="shared" si="33"/>
        <v>0</v>
      </c>
      <c r="AW37" s="36">
        <f t="shared" si="33"/>
        <v>0</v>
      </c>
      <c r="AX37" s="36">
        <f t="shared" si="33"/>
        <v>0</v>
      </c>
      <c r="AY37" s="36">
        <f t="shared" si="33"/>
        <v>0</v>
      </c>
      <c r="AZ37" s="36">
        <f t="shared" si="33"/>
        <v>0</v>
      </c>
      <c r="BA37" s="36">
        <f t="shared" si="33"/>
        <v>0</v>
      </c>
      <c r="BB37" s="36">
        <f t="shared" si="33"/>
        <v>0</v>
      </c>
      <c r="BC37" s="36">
        <f t="shared" si="33"/>
        <v>0</v>
      </c>
      <c r="BD37" s="36">
        <f t="shared" si="33"/>
        <v>0</v>
      </c>
      <c r="BE37" s="36">
        <f t="shared" si="33"/>
        <v>0</v>
      </c>
      <c r="BF37" s="36">
        <f t="shared" si="33"/>
        <v>0</v>
      </c>
      <c r="BG37" s="36">
        <f t="shared" si="33"/>
        <v>0</v>
      </c>
      <c r="BH37" s="36">
        <f t="shared" si="33"/>
        <v>0</v>
      </c>
      <c r="BI37" s="36">
        <f t="shared" si="33"/>
        <v>0</v>
      </c>
      <c r="BJ37" s="36">
        <f t="shared" si="33"/>
        <v>0</v>
      </c>
      <c r="BK37" s="36">
        <f t="shared" si="33"/>
        <v>0</v>
      </c>
      <c r="BL37" s="36">
        <f t="shared" si="33"/>
        <v>0</v>
      </c>
      <c r="BM37" s="36">
        <f t="shared" si="33"/>
        <v>0</v>
      </c>
      <c r="BN37" s="36">
        <f t="shared" si="33"/>
        <v>0</v>
      </c>
      <c r="BO37" s="36">
        <f t="shared" si="33"/>
        <v>0</v>
      </c>
      <c r="BP37" s="36">
        <f t="shared" si="33"/>
        <v>0</v>
      </c>
      <c r="BQ37" s="36">
        <f t="shared" si="33"/>
        <v>0</v>
      </c>
      <c r="BR37" s="36">
        <f t="shared" si="33"/>
        <v>0</v>
      </c>
      <c r="BS37" s="36">
        <f t="shared" si="33"/>
        <v>0</v>
      </c>
      <c r="BT37" s="36">
        <f t="shared" si="33"/>
        <v>0</v>
      </c>
      <c r="BU37" s="36">
        <f t="shared" si="33"/>
        <v>0</v>
      </c>
      <c r="BV37" s="36">
        <f t="shared" ref="BV37:CD37" si="34">($C$32&lt;=BV$4)*($D$32&gt;=BV$3)*1</f>
        <v>0</v>
      </c>
      <c r="BW37" s="36">
        <f t="shared" si="34"/>
        <v>0</v>
      </c>
      <c r="BX37" s="36">
        <f t="shared" si="34"/>
        <v>0</v>
      </c>
      <c r="BY37" s="36">
        <f t="shared" si="34"/>
        <v>0</v>
      </c>
      <c r="BZ37" s="36">
        <f t="shared" si="34"/>
        <v>0</v>
      </c>
      <c r="CA37" s="36">
        <f t="shared" si="34"/>
        <v>0</v>
      </c>
      <c r="CB37" s="36">
        <f t="shared" si="34"/>
        <v>0</v>
      </c>
      <c r="CC37" s="36">
        <f t="shared" si="34"/>
        <v>0</v>
      </c>
      <c r="CD37" s="36">
        <f t="shared" si="34"/>
        <v>0</v>
      </c>
    </row>
    <row r="38" spans="1:82">
      <c r="B38" s="5" t="s">
        <v>62</v>
      </c>
      <c r="C38" s="15" t="s">
        <v>60</v>
      </c>
      <c r="D38" s="37">
        <f>SUM(I38:AI38)</f>
        <v>1</v>
      </c>
      <c r="I38" s="36">
        <f>(I$3&lt;=$D$32)*(I$4&gt;=$D$32)*1</f>
        <v>0</v>
      </c>
      <c r="J38" s="36">
        <f t="shared" ref="J38:BU38" si="35">(J$3&lt;=$D$32)*(J$4&gt;=$D$32)*1</f>
        <v>0</v>
      </c>
      <c r="K38" s="36">
        <f t="shared" si="35"/>
        <v>1</v>
      </c>
      <c r="L38" s="36">
        <f t="shared" si="35"/>
        <v>0</v>
      </c>
      <c r="M38" s="36">
        <f t="shared" si="35"/>
        <v>0</v>
      </c>
      <c r="N38" s="36">
        <f t="shared" si="35"/>
        <v>0</v>
      </c>
      <c r="O38" s="36">
        <f t="shared" si="35"/>
        <v>0</v>
      </c>
      <c r="P38" s="36">
        <f t="shared" si="35"/>
        <v>0</v>
      </c>
      <c r="Q38" s="36">
        <f t="shared" si="35"/>
        <v>0</v>
      </c>
      <c r="R38" s="36">
        <f t="shared" si="35"/>
        <v>0</v>
      </c>
      <c r="S38" s="36">
        <f t="shared" si="35"/>
        <v>0</v>
      </c>
      <c r="T38" s="36">
        <f t="shared" si="35"/>
        <v>0</v>
      </c>
      <c r="U38" s="36">
        <f t="shared" si="35"/>
        <v>0</v>
      </c>
      <c r="V38" s="36">
        <f t="shared" si="35"/>
        <v>0</v>
      </c>
      <c r="W38" s="36">
        <f t="shared" si="35"/>
        <v>0</v>
      </c>
      <c r="X38" s="36">
        <f t="shared" si="35"/>
        <v>0</v>
      </c>
      <c r="Y38" s="36">
        <f t="shared" si="35"/>
        <v>0</v>
      </c>
      <c r="Z38" s="36">
        <f t="shared" si="35"/>
        <v>0</v>
      </c>
      <c r="AA38" s="36">
        <f t="shared" si="35"/>
        <v>0</v>
      </c>
      <c r="AB38" s="36">
        <f t="shared" si="35"/>
        <v>0</v>
      </c>
      <c r="AC38" s="36">
        <f t="shared" si="35"/>
        <v>0</v>
      </c>
      <c r="AD38" s="36">
        <f t="shared" si="35"/>
        <v>0</v>
      </c>
      <c r="AE38" s="36">
        <f t="shared" si="35"/>
        <v>0</v>
      </c>
      <c r="AF38" s="36">
        <f t="shared" si="35"/>
        <v>0</v>
      </c>
      <c r="AG38" s="36">
        <f t="shared" si="35"/>
        <v>0</v>
      </c>
      <c r="AH38" s="36">
        <f t="shared" si="35"/>
        <v>0</v>
      </c>
      <c r="AI38" s="36">
        <f t="shared" si="35"/>
        <v>0</v>
      </c>
      <c r="AJ38" s="36">
        <f t="shared" si="35"/>
        <v>0</v>
      </c>
      <c r="AK38" s="36">
        <f t="shared" si="35"/>
        <v>0</v>
      </c>
      <c r="AL38" s="36">
        <f t="shared" si="35"/>
        <v>0</v>
      </c>
      <c r="AM38" s="36">
        <f t="shared" si="35"/>
        <v>0</v>
      </c>
      <c r="AN38" s="36">
        <f t="shared" si="35"/>
        <v>0</v>
      </c>
      <c r="AO38" s="36">
        <f t="shared" si="35"/>
        <v>0</v>
      </c>
      <c r="AP38" s="36">
        <f t="shared" si="35"/>
        <v>0</v>
      </c>
      <c r="AQ38" s="36">
        <f t="shared" si="35"/>
        <v>0</v>
      </c>
      <c r="AR38" s="36">
        <f t="shared" si="35"/>
        <v>0</v>
      </c>
      <c r="AS38" s="36">
        <f t="shared" si="35"/>
        <v>0</v>
      </c>
      <c r="AT38" s="36">
        <f t="shared" si="35"/>
        <v>0</v>
      </c>
      <c r="AU38" s="36">
        <f t="shared" si="35"/>
        <v>0</v>
      </c>
      <c r="AV38" s="36">
        <f t="shared" si="35"/>
        <v>0</v>
      </c>
      <c r="AW38" s="36">
        <f t="shared" si="35"/>
        <v>0</v>
      </c>
      <c r="AX38" s="36">
        <f t="shared" si="35"/>
        <v>0</v>
      </c>
      <c r="AY38" s="36">
        <f t="shared" si="35"/>
        <v>0</v>
      </c>
      <c r="AZ38" s="36">
        <f t="shared" si="35"/>
        <v>0</v>
      </c>
      <c r="BA38" s="36">
        <f t="shared" si="35"/>
        <v>0</v>
      </c>
      <c r="BB38" s="36">
        <f t="shared" si="35"/>
        <v>0</v>
      </c>
      <c r="BC38" s="36">
        <f t="shared" si="35"/>
        <v>0</v>
      </c>
      <c r="BD38" s="36">
        <f t="shared" si="35"/>
        <v>0</v>
      </c>
      <c r="BE38" s="36">
        <f t="shared" si="35"/>
        <v>0</v>
      </c>
      <c r="BF38" s="36">
        <f t="shared" si="35"/>
        <v>0</v>
      </c>
      <c r="BG38" s="36">
        <f t="shared" si="35"/>
        <v>0</v>
      </c>
      <c r="BH38" s="36">
        <f t="shared" si="35"/>
        <v>0</v>
      </c>
      <c r="BI38" s="36">
        <f t="shared" si="35"/>
        <v>0</v>
      </c>
      <c r="BJ38" s="36">
        <f t="shared" si="35"/>
        <v>0</v>
      </c>
      <c r="BK38" s="36">
        <f t="shared" si="35"/>
        <v>0</v>
      </c>
      <c r="BL38" s="36">
        <f t="shared" si="35"/>
        <v>0</v>
      </c>
      <c r="BM38" s="36">
        <f t="shared" si="35"/>
        <v>0</v>
      </c>
      <c r="BN38" s="36">
        <f t="shared" si="35"/>
        <v>0</v>
      </c>
      <c r="BO38" s="36">
        <f t="shared" si="35"/>
        <v>0</v>
      </c>
      <c r="BP38" s="36">
        <f t="shared" si="35"/>
        <v>0</v>
      </c>
      <c r="BQ38" s="36">
        <f t="shared" si="35"/>
        <v>0</v>
      </c>
      <c r="BR38" s="36">
        <f t="shared" si="35"/>
        <v>0</v>
      </c>
      <c r="BS38" s="36">
        <f t="shared" si="35"/>
        <v>0</v>
      </c>
      <c r="BT38" s="36">
        <f t="shared" si="35"/>
        <v>0</v>
      </c>
      <c r="BU38" s="36">
        <f t="shared" si="35"/>
        <v>0</v>
      </c>
      <c r="BV38" s="36">
        <f t="shared" ref="BV38:CD38" si="36">(BV$3&lt;=$D$32)*(BV$4&gt;=$D$32)*1</f>
        <v>0</v>
      </c>
      <c r="BW38" s="36">
        <f t="shared" si="36"/>
        <v>0</v>
      </c>
      <c r="BX38" s="36">
        <f t="shared" si="36"/>
        <v>0</v>
      </c>
      <c r="BY38" s="36">
        <f t="shared" si="36"/>
        <v>0</v>
      </c>
      <c r="BZ38" s="36">
        <f t="shared" si="36"/>
        <v>0</v>
      </c>
      <c r="CA38" s="36">
        <f t="shared" si="36"/>
        <v>0</v>
      </c>
      <c r="CB38" s="36">
        <f t="shared" si="36"/>
        <v>0</v>
      </c>
      <c r="CC38" s="36">
        <f t="shared" si="36"/>
        <v>0</v>
      </c>
      <c r="CD38" s="36">
        <f t="shared" si="36"/>
        <v>0</v>
      </c>
    </row>
    <row r="39" spans="1:82">
      <c r="B39" s="5" t="s">
        <v>63</v>
      </c>
      <c r="C39" s="15" t="s">
        <v>60</v>
      </c>
      <c r="D39" s="37">
        <f>SUM(I39:AI39)</f>
        <v>6</v>
      </c>
      <c r="I39" s="36">
        <f>SUM($I$37:I37)*I37</f>
        <v>1</v>
      </c>
      <c r="J39" s="36">
        <f>SUM($I$37:J37)*J37</f>
        <v>2</v>
      </c>
      <c r="K39" s="36">
        <f>SUM($I$37:K37)*K37</f>
        <v>3</v>
      </c>
      <c r="L39" s="36">
        <f>SUM($I$37:L37)*L37</f>
        <v>0</v>
      </c>
      <c r="M39" s="36">
        <f>SUM($I$37:M37)*M37</f>
        <v>0</v>
      </c>
      <c r="N39" s="36">
        <f>SUM($I$37:N37)*N37</f>
        <v>0</v>
      </c>
      <c r="O39" s="36">
        <f>SUM($I$37:O37)*O37</f>
        <v>0</v>
      </c>
      <c r="P39" s="36">
        <f>SUM($I$37:P37)*P37</f>
        <v>0</v>
      </c>
      <c r="Q39" s="36">
        <f>SUM($I$37:Q37)*Q37</f>
        <v>0</v>
      </c>
      <c r="R39" s="36">
        <f>SUM($I$37:R37)*R37</f>
        <v>0</v>
      </c>
      <c r="S39" s="36">
        <f>SUM($I$37:S37)*S37</f>
        <v>0</v>
      </c>
      <c r="T39" s="36">
        <f>SUM($I$37:T37)*T37</f>
        <v>0</v>
      </c>
      <c r="U39" s="36">
        <f>SUM($I$37:U37)*U37</f>
        <v>0</v>
      </c>
      <c r="V39" s="36">
        <f>SUM($I$37:V37)*V37</f>
        <v>0</v>
      </c>
      <c r="W39" s="36">
        <f>SUM($I$37:W37)*W37</f>
        <v>0</v>
      </c>
      <c r="X39" s="36">
        <f>SUM($I$37:X37)*X37</f>
        <v>0</v>
      </c>
      <c r="Y39" s="36">
        <f>SUM($I$37:Y37)*Y37</f>
        <v>0</v>
      </c>
      <c r="Z39" s="36">
        <f>SUM($I$37:Z37)*Z37</f>
        <v>0</v>
      </c>
      <c r="AA39" s="36">
        <f>SUM($I$37:AA37)*AA37</f>
        <v>0</v>
      </c>
      <c r="AB39" s="36">
        <f>SUM($I$37:AB37)*AB37</f>
        <v>0</v>
      </c>
      <c r="AC39" s="36">
        <f>SUM($I$37:AC37)*AC37</f>
        <v>0</v>
      </c>
      <c r="AD39" s="36">
        <f>SUM($I$37:AD37)*AD37</f>
        <v>0</v>
      </c>
      <c r="AE39" s="36">
        <f>SUM($I$37:AE37)*AE37</f>
        <v>0</v>
      </c>
      <c r="AF39" s="36">
        <f>SUM($I$37:AF37)*AF37</f>
        <v>0</v>
      </c>
      <c r="AG39" s="36">
        <f>SUM($I$37:AG37)*AG37</f>
        <v>0</v>
      </c>
      <c r="AH39" s="36">
        <f>SUM($I$37:AH37)*AH37</f>
        <v>0</v>
      </c>
      <c r="AI39" s="36">
        <f>SUM($I$37:AI37)*AI37</f>
        <v>0</v>
      </c>
      <c r="AJ39" s="36">
        <f>SUM($I$37:AJ37)*AJ37</f>
        <v>0</v>
      </c>
      <c r="AK39" s="36">
        <f>SUM($I$37:AK37)*AK37</f>
        <v>0</v>
      </c>
      <c r="AL39" s="36">
        <f>SUM($I$37:AL37)*AL37</f>
        <v>0</v>
      </c>
      <c r="AM39" s="36">
        <f>SUM($I$37:AM37)*AM37</f>
        <v>0</v>
      </c>
      <c r="AN39" s="36">
        <f>SUM($I$37:AN37)*AN37</f>
        <v>0</v>
      </c>
      <c r="AO39" s="36">
        <f>SUM($I$37:AO37)*AO37</f>
        <v>0</v>
      </c>
      <c r="AP39" s="36">
        <f>SUM($I$37:AP37)*AP37</f>
        <v>0</v>
      </c>
      <c r="AQ39" s="36">
        <f>SUM($I$37:AQ37)*AQ37</f>
        <v>0</v>
      </c>
      <c r="AR39" s="36">
        <f>SUM($I$37:AR37)*AR37</f>
        <v>0</v>
      </c>
      <c r="AS39" s="36">
        <f>SUM($I$37:AS37)*AS37</f>
        <v>0</v>
      </c>
      <c r="AT39" s="36">
        <f>SUM($I$37:AT37)*AT37</f>
        <v>0</v>
      </c>
      <c r="AU39" s="36">
        <f>SUM($I$37:AU37)*AU37</f>
        <v>0</v>
      </c>
      <c r="AV39" s="36">
        <f>SUM($I$37:AV37)*AV37</f>
        <v>0</v>
      </c>
      <c r="AW39" s="36">
        <f>SUM($I$37:AW37)*AW37</f>
        <v>0</v>
      </c>
      <c r="AX39" s="36">
        <f>SUM($I$37:AX37)*AX37</f>
        <v>0</v>
      </c>
      <c r="AY39" s="36">
        <f>SUM($I$37:AY37)*AY37</f>
        <v>0</v>
      </c>
      <c r="AZ39" s="36">
        <f>SUM($I$37:AZ37)*AZ37</f>
        <v>0</v>
      </c>
      <c r="BA39" s="36">
        <f>SUM($I$37:BA37)*BA37</f>
        <v>0</v>
      </c>
      <c r="BB39" s="36">
        <f>SUM($I$37:BB37)*BB37</f>
        <v>0</v>
      </c>
      <c r="BC39" s="36">
        <f>SUM($I$37:BC37)*BC37</f>
        <v>0</v>
      </c>
      <c r="BD39" s="36">
        <f>SUM($I$37:BD37)*BD37</f>
        <v>0</v>
      </c>
      <c r="BE39" s="36">
        <f>SUM($I$37:BE37)*BE37</f>
        <v>0</v>
      </c>
      <c r="BF39" s="36">
        <f>SUM($I$37:BF37)*BF37</f>
        <v>0</v>
      </c>
      <c r="BG39" s="36">
        <f>SUM($I$37:BG37)*BG37</f>
        <v>0</v>
      </c>
      <c r="BH39" s="36">
        <f>SUM($I$37:BH37)*BH37</f>
        <v>0</v>
      </c>
      <c r="BI39" s="36">
        <f>SUM($I$37:BI37)*BI37</f>
        <v>0</v>
      </c>
      <c r="BJ39" s="36">
        <f>SUM($I$37:BJ37)*BJ37</f>
        <v>0</v>
      </c>
      <c r="BK39" s="36">
        <f>SUM($I$37:BK37)*BK37</f>
        <v>0</v>
      </c>
      <c r="BL39" s="36">
        <f>SUM($I$37:BL37)*BL37</f>
        <v>0</v>
      </c>
      <c r="BM39" s="36">
        <f>SUM($I$37:BM37)*BM37</f>
        <v>0</v>
      </c>
      <c r="BN39" s="36">
        <f>SUM($I$37:BN37)*BN37</f>
        <v>0</v>
      </c>
      <c r="BO39" s="36">
        <f>SUM($I$37:BO37)*BO37</f>
        <v>0</v>
      </c>
      <c r="BP39" s="36">
        <f>SUM($I$37:BP37)*BP37</f>
        <v>0</v>
      </c>
      <c r="BQ39" s="36">
        <f>SUM($I$37:BQ37)*BQ37</f>
        <v>0</v>
      </c>
      <c r="BR39" s="36">
        <f>SUM($I$37:BR37)*BR37</f>
        <v>0</v>
      </c>
      <c r="BS39" s="36">
        <f>SUM($I$37:BS37)*BS37</f>
        <v>0</v>
      </c>
      <c r="BT39" s="36">
        <f>SUM($I$37:BT37)*BT37</f>
        <v>0</v>
      </c>
      <c r="BU39" s="36">
        <f>SUM($I$37:BU37)*BU37</f>
        <v>0</v>
      </c>
      <c r="BV39" s="36">
        <f>SUM($I$37:BV37)*BV37</f>
        <v>0</v>
      </c>
      <c r="BW39" s="36">
        <f>SUM($I$37:BW37)*BW37</f>
        <v>0</v>
      </c>
      <c r="BX39" s="36">
        <f>SUM($I$37:BX37)*BX37</f>
        <v>0</v>
      </c>
      <c r="BY39" s="36">
        <f>SUM($I$37:BY37)*BY37</f>
        <v>0</v>
      </c>
      <c r="BZ39" s="36">
        <f>SUM($I$37:BZ37)*BZ37</f>
        <v>0</v>
      </c>
      <c r="CA39" s="36">
        <f>SUM($I$37:CA37)*CA37</f>
        <v>0</v>
      </c>
      <c r="CB39" s="36">
        <f>SUM($I$37:CB37)*CB37</f>
        <v>0</v>
      </c>
      <c r="CC39" s="36">
        <f>SUM($I$37:CC37)*CC37</f>
        <v>0</v>
      </c>
      <c r="CD39" s="36">
        <f>SUM($I$37:CD37)*CD37</f>
        <v>0</v>
      </c>
    </row>
    <row r="40" spans="1:82">
      <c r="B40" s="5"/>
      <c r="C40" s="15"/>
      <c r="D40" s="37"/>
    </row>
    <row r="41" spans="1:82">
      <c r="B41" s="26" t="s">
        <v>64</v>
      </c>
      <c r="C41" s="15"/>
      <c r="D41" s="37"/>
    </row>
    <row r="42" spans="1:82">
      <c r="B42" s="3" t="s">
        <v>65</v>
      </c>
      <c r="C42" s="15" t="s">
        <v>60</v>
      </c>
      <c r="D42" s="37">
        <f>SUM(I42:AI42)</f>
        <v>1</v>
      </c>
      <c r="I42" s="36">
        <f>(I$3&lt;=$C$33)*(I$4&gt;=$C$33)*1</f>
        <v>0</v>
      </c>
      <c r="J42" s="36">
        <f t="shared" ref="J42:AW42" si="37">(J$3&lt;=$C$33)*(J$4&gt;=$C$33)*1</f>
        <v>0</v>
      </c>
      <c r="K42" s="36">
        <f t="shared" si="37"/>
        <v>0</v>
      </c>
      <c r="L42" s="36">
        <f t="shared" si="37"/>
        <v>1</v>
      </c>
      <c r="M42" s="36">
        <f t="shared" si="37"/>
        <v>0</v>
      </c>
      <c r="N42" s="36">
        <f t="shared" si="37"/>
        <v>0</v>
      </c>
      <c r="O42" s="36">
        <f t="shared" si="37"/>
        <v>0</v>
      </c>
      <c r="P42" s="36">
        <f t="shared" si="37"/>
        <v>0</v>
      </c>
      <c r="Q42" s="36">
        <f t="shared" si="37"/>
        <v>0</v>
      </c>
      <c r="R42" s="36">
        <f t="shared" si="37"/>
        <v>0</v>
      </c>
      <c r="S42" s="36">
        <f t="shared" si="37"/>
        <v>0</v>
      </c>
      <c r="T42" s="36">
        <f t="shared" si="37"/>
        <v>0</v>
      </c>
      <c r="U42" s="36">
        <f t="shared" si="37"/>
        <v>0</v>
      </c>
      <c r="V42" s="36">
        <f t="shared" si="37"/>
        <v>0</v>
      </c>
      <c r="W42" s="36">
        <f t="shared" si="37"/>
        <v>0</v>
      </c>
      <c r="X42" s="36">
        <f t="shared" si="37"/>
        <v>0</v>
      </c>
      <c r="Y42" s="36">
        <f t="shared" si="37"/>
        <v>0</v>
      </c>
      <c r="Z42" s="36">
        <f t="shared" si="37"/>
        <v>0</v>
      </c>
      <c r="AA42" s="36">
        <f t="shared" si="37"/>
        <v>0</v>
      </c>
      <c r="AB42" s="36">
        <f t="shared" si="37"/>
        <v>0</v>
      </c>
      <c r="AC42" s="36">
        <f t="shared" si="37"/>
        <v>0</v>
      </c>
      <c r="AD42" s="36">
        <f t="shared" si="37"/>
        <v>0</v>
      </c>
      <c r="AE42" s="36">
        <f t="shared" si="37"/>
        <v>0</v>
      </c>
      <c r="AF42" s="36">
        <f t="shared" si="37"/>
        <v>0</v>
      </c>
      <c r="AG42" s="36">
        <f t="shared" si="37"/>
        <v>0</v>
      </c>
      <c r="AH42" s="36">
        <f t="shared" si="37"/>
        <v>0</v>
      </c>
      <c r="AI42" s="36">
        <f t="shared" si="37"/>
        <v>0</v>
      </c>
      <c r="AJ42" s="36">
        <f t="shared" si="37"/>
        <v>0</v>
      </c>
      <c r="AK42" s="36">
        <f t="shared" si="37"/>
        <v>0</v>
      </c>
      <c r="AL42" s="36">
        <f t="shared" si="37"/>
        <v>0</v>
      </c>
      <c r="AM42" s="36">
        <f t="shared" si="37"/>
        <v>0</v>
      </c>
      <c r="AN42" s="36">
        <f t="shared" si="37"/>
        <v>0</v>
      </c>
      <c r="AO42" s="36">
        <f t="shared" si="37"/>
        <v>0</v>
      </c>
      <c r="AP42" s="36">
        <f t="shared" si="37"/>
        <v>0</v>
      </c>
      <c r="AQ42" s="36">
        <f t="shared" si="37"/>
        <v>0</v>
      </c>
      <c r="AR42" s="36">
        <f t="shared" si="37"/>
        <v>0</v>
      </c>
      <c r="AS42" s="36">
        <f t="shared" si="37"/>
        <v>0</v>
      </c>
      <c r="AT42" s="36">
        <f t="shared" si="37"/>
        <v>0</v>
      </c>
      <c r="AU42" s="36">
        <f t="shared" si="37"/>
        <v>0</v>
      </c>
      <c r="AV42" s="36">
        <f t="shared" si="37"/>
        <v>0</v>
      </c>
      <c r="AW42" s="36">
        <f t="shared" si="37"/>
        <v>0</v>
      </c>
    </row>
    <row r="43" spans="1:82">
      <c r="B43" s="5" t="s">
        <v>66</v>
      </c>
      <c r="C43" s="15" t="s">
        <v>60</v>
      </c>
      <c r="D43" s="37">
        <f>SUM(I43:AW43)</f>
        <v>27</v>
      </c>
      <c r="I43" s="36">
        <f>($C$33&lt;=I$4)*($D$33&gt;=I$3)*1</f>
        <v>0</v>
      </c>
      <c r="J43" s="36">
        <f t="shared" ref="J43:AW43" si="38">($C$33&lt;=J$4)*($D$33&gt;=J$3)*1</f>
        <v>0</v>
      </c>
      <c r="K43" s="36">
        <f>($C$33&lt;=K$4)*($D$33&gt;=K$3)*1</f>
        <v>0</v>
      </c>
      <c r="L43" s="1061">
        <f t="shared" si="38"/>
        <v>1</v>
      </c>
      <c r="M43" s="1061">
        <f t="shared" si="38"/>
        <v>1</v>
      </c>
      <c r="N43" s="1061">
        <f t="shared" si="38"/>
        <v>1</v>
      </c>
      <c r="O43" s="1061">
        <f t="shared" si="38"/>
        <v>1</v>
      </c>
      <c r="P43" s="1061">
        <f t="shared" si="38"/>
        <v>1</v>
      </c>
      <c r="Q43" s="36">
        <f t="shared" si="38"/>
        <v>1</v>
      </c>
      <c r="R43" s="36">
        <f t="shared" si="38"/>
        <v>1</v>
      </c>
      <c r="S43" s="36">
        <f t="shared" si="38"/>
        <v>1</v>
      </c>
      <c r="T43" s="36">
        <f t="shared" si="38"/>
        <v>1</v>
      </c>
      <c r="U43" s="36">
        <f t="shared" si="38"/>
        <v>1</v>
      </c>
      <c r="V43" s="36">
        <f t="shared" si="38"/>
        <v>1</v>
      </c>
      <c r="W43" s="36">
        <f t="shared" si="38"/>
        <v>1</v>
      </c>
      <c r="X43" s="36">
        <f t="shared" si="38"/>
        <v>1</v>
      </c>
      <c r="Y43" s="36">
        <f t="shared" si="38"/>
        <v>1</v>
      </c>
      <c r="Z43" s="36">
        <f t="shared" si="38"/>
        <v>1</v>
      </c>
      <c r="AA43" s="36">
        <f t="shared" si="38"/>
        <v>1</v>
      </c>
      <c r="AB43" s="36">
        <f t="shared" si="38"/>
        <v>1</v>
      </c>
      <c r="AC43" s="36">
        <f t="shared" si="38"/>
        <v>1</v>
      </c>
      <c r="AD43" s="36">
        <f t="shared" si="38"/>
        <v>1</v>
      </c>
      <c r="AE43" s="36">
        <f t="shared" si="38"/>
        <v>1</v>
      </c>
      <c r="AF43" s="36">
        <f t="shared" si="38"/>
        <v>1</v>
      </c>
      <c r="AG43" s="36">
        <f t="shared" si="38"/>
        <v>1</v>
      </c>
      <c r="AH43" s="36">
        <f t="shared" si="38"/>
        <v>1</v>
      </c>
      <c r="AI43" s="36">
        <f t="shared" si="38"/>
        <v>1</v>
      </c>
      <c r="AJ43" s="36">
        <f t="shared" si="38"/>
        <v>1</v>
      </c>
      <c r="AK43" s="36">
        <f t="shared" si="38"/>
        <v>1</v>
      </c>
      <c r="AL43" s="36">
        <f t="shared" si="38"/>
        <v>1</v>
      </c>
      <c r="AM43" s="36">
        <f t="shared" si="38"/>
        <v>0</v>
      </c>
      <c r="AN43" s="36">
        <f t="shared" si="38"/>
        <v>0</v>
      </c>
      <c r="AO43" s="36">
        <f t="shared" si="38"/>
        <v>0</v>
      </c>
      <c r="AP43" s="36">
        <f t="shared" si="38"/>
        <v>0</v>
      </c>
      <c r="AQ43" s="36">
        <f t="shared" si="38"/>
        <v>0</v>
      </c>
      <c r="AR43" s="36">
        <f t="shared" si="38"/>
        <v>0</v>
      </c>
      <c r="AS43" s="36">
        <f t="shared" si="38"/>
        <v>0</v>
      </c>
      <c r="AT43" s="36">
        <f t="shared" si="38"/>
        <v>0</v>
      </c>
      <c r="AU43" s="36">
        <f t="shared" si="38"/>
        <v>0</v>
      </c>
      <c r="AV43" s="36">
        <f t="shared" si="38"/>
        <v>0</v>
      </c>
      <c r="AW43" s="36">
        <f t="shared" si="38"/>
        <v>0</v>
      </c>
    </row>
    <row r="44" spans="1:82">
      <c r="A44" s="12"/>
      <c r="B44" s="2" t="s">
        <v>67</v>
      </c>
      <c r="C44" s="15" t="s">
        <v>60</v>
      </c>
      <c r="D44" s="37">
        <f>SUM(I44:AI44)</f>
        <v>0</v>
      </c>
      <c r="I44" s="36">
        <f>(I$3&lt;=$D$33)*(I$4&gt;=$D$33)*1</f>
        <v>0</v>
      </c>
      <c r="J44" s="36">
        <f t="shared" ref="J44:AW44" si="39">(J$3&lt;=$D$33)*(J$4&gt;=$D$33)*1</f>
        <v>0</v>
      </c>
      <c r="K44" s="36">
        <f t="shared" si="39"/>
        <v>0</v>
      </c>
      <c r="L44" s="36">
        <f t="shared" si="39"/>
        <v>0</v>
      </c>
      <c r="M44" s="36">
        <f t="shared" si="39"/>
        <v>0</v>
      </c>
      <c r="N44" s="36">
        <f t="shared" si="39"/>
        <v>0</v>
      </c>
      <c r="O44" s="36">
        <f t="shared" si="39"/>
        <v>0</v>
      </c>
      <c r="P44" s="36">
        <f t="shared" si="39"/>
        <v>0</v>
      </c>
      <c r="Q44" s="36">
        <f t="shared" si="39"/>
        <v>0</v>
      </c>
      <c r="R44" s="36">
        <f t="shared" si="39"/>
        <v>0</v>
      </c>
      <c r="S44" s="36">
        <f t="shared" si="39"/>
        <v>0</v>
      </c>
      <c r="T44" s="36">
        <f t="shared" si="39"/>
        <v>0</v>
      </c>
      <c r="U44" s="36">
        <f t="shared" si="39"/>
        <v>0</v>
      </c>
      <c r="V44" s="36">
        <f t="shared" si="39"/>
        <v>0</v>
      </c>
      <c r="W44" s="36">
        <f t="shared" si="39"/>
        <v>0</v>
      </c>
      <c r="X44" s="36">
        <f t="shared" si="39"/>
        <v>0</v>
      </c>
      <c r="Y44" s="36">
        <f t="shared" si="39"/>
        <v>0</v>
      </c>
      <c r="Z44" s="36">
        <f t="shared" si="39"/>
        <v>0</v>
      </c>
      <c r="AA44" s="36">
        <f t="shared" si="39"/>
        <v>0</v>
      </c>
      <c r="AB44" s="36">
        <f t="shared" si="39"/>
        <v>0</v>
      </c>
      <c r="AC44" s="36">
        <f t="shared" si="39"/>
        <v>0</v>
      </c>
      <c r="AD44" s="36">
        <f t="shared" si="39"/>
        <v>0</v>
      </c>
      <c r="AE44" s="36">
        <f t="shared" si="39"/>
        <v>0</v>
      </c>
      <c r="AF44" s="36">
        <f t="shared" si="39"/>
        <v>0</v>
      </c>
      <c r="AG44" s="36">
        <f t="shared" si="39"/>
        <v>0</v>
      </c>
      <c r="AH44" s="36">
        <f t="shared" si="39"/>
        <v>0</v>
      </c>
      <c r="AI44" s="36">
        <f t="shared" si="39"/>
        <v>0</v>
      </c>
      <c r="AJ44" s="36">
        <f t="shared" si="39"/>
        <v>0</v>
      </c>
      <c r="AK44" s="36">
        <f t="shared" si="39"/>
        <v>0</v>
      </c>
      <c r="AL44" s="36">
        <f t="shared" si="39"/>
        <v>1</v>
      </c>
      <c r="AM44" s="36">
        <f t="shared" si="39"/>
        <v>0</v>
      </c>
      <c r="AN44" s="36">
        <f t="shared" si="39"/>
        <v>0</v>
      </c>
      <c r="AO44" s="36">
        <f t="shared" si="39"/>
        <v>0</v>
      </c>
      <c r="AP44" s="36">
        <f t="shared" si="39"/>
        <v>0</v>
      </c>
      <c r="AQ44" s="36">
        <f t="shared" si="39"/>
        <v>0</v>
      </c>
      <c r="AR44" s="36">
        <f t="shared" si="39"/>
        <v>0</v>
      </c>
      <c r="AS44" s="36">
        <f t="shared" si="39"/>
        <v>0</v>
      </c>
      <c r="AT44" s="36">
        <f t="shared" si="39"/>
        <v>0</v>
      </c>
      <c r="AU44" s="36">
        <f t="shared" si="39"/>
        <v>0</v>
      </c>
      <c r="AV44" s="36">
        <f t="shared" si="39"/>
        <v>0</v>
      </c>
      <c r="AW44" s="36">
        <f t="shared" si="39"/>
        <v>0</v>
      </c>
    </row>
    <row r="45" spans="1:82">
      <c r="B45" s="2" t="s">
        <v>68</v>
      </c>
      <c r="C45" s="15" t="s">
        <v>60</v>
      </c>
      <c r="D45" s="37">
        <f>MAX(I45:AW45)</f>
        <v>27</v>
      </c>
      <c r="I45" s="36">
        <f>SUM($I$43:I43)*I43</f>
        <v>0</v>
      </c>
      <c r="J45" s="36">
        <f>SUM($I$43:J43)*J43</f>
        <v>0</v>
      </c>
      <c r="K45" s="36">
        <f>SUM($I$43:K43)*K43</f>
        <v>0</v>
      </c>
      <c r="L45" s="36">
        <f>SUM($I$43:L43)*L43</f>
        <v>1</v>
      </c>
      <c r="M45" s="36">
        <f>SUM($I$43:M43)*M43</f>
        <v>2</v>
      </c>
      <c r="N45" s="36">
        <f>SUM($I$43:N43)*N43</f>
        <v>3</v>
      </c>
      <c r="O45" s="36">
        <f>SUM($I$43:O43)*O43</f>
        <v>4</v>
      </c>
      <c r="P45" s="36">
        <f>SUM($I$43:P43)*P43</f>
        <v>5</v>
      </c>
      <c r="Q45" s="36">
        <f>SUM($I$43:Q43)*Q43</f>
        <v>6</v>
      </c>
      <c r="R45" s="36">
        <f>SUM($I$43:R43)*R43</f>
        <v>7</v>
      </c>
      <c r="S45" s="36">
        <f>SUM($I$43:S43)*S43</f>
        <v>8</v>
      </c>
      <c r="T45" s="36">
        <f>SUM($I$43:T43)*T43</f>
        <v>9</v>
      </c>
      <c r="U45" s="36">
        <f>SUM($I$43:U43)*U43</f>
        <v>10</v>
      </c>
      <c r="V45" s="36">
        <f>SUM($I$43:V43)*V43</f>
        <v>11</v>
      </c>
      <c r="W45" s="36">
        <f>SUM($I$43:W43)*W43</f>
        <v>12</v>
      </c>
      <c r="X45" s="36">
        <f>SUM($I$43:X43)*X43</f>
        <v>13</v>
      </c>
      <c r="Y45" s="36">
        <f>SUM($I$43:Y43)*Y43</f>
        <v>14</v>
      </c>
      <c r="Z45" s="36">
        <f>SUM($I$43:Z43)*Z43</f>
        <v>15</v>
      </c>
      <c r="AA45" s="36">
        <f>SUM($I$43:AA43)*AA43</f>
        <v>16</v>
      </c>
      <c r="AB45" s="36">
        <f>SUM($I$43:AB43)*AB43</f>
        <v>17</v>
      </c>
      <c r="AC45" s="36">
        <f>SUM($I$43:AC43)*AC43</f>
        <v>18</v>
      </c>
      <c r="AD45" s="36">
        <f>SUM($I$43:AD43)*AD43</f>
        <v>19</v>
      </c>
      <c r="AE45" s="36">
        <f>SUM($I$43:AE43)*AE43</f>
        <v>20</v>
      </c>
      <c r="AF45" s="36">
        <f>SUM($I$43:AF43)*AF43</f>
        <v>21</v>
      </c>
      <c r="AG45" s="36">
        <f>SUM($I$43:AG43)*AG43</f>
        <v>22</v>
      </c>
      <c r="AH45" s="36">
        <f>SUM($I$43:AH43)*AH43</f>
        <v>23</v>
      </c>
      <c r="AI45" s="36">
        <f>SUM($I$43:AI43)*AI43</f>
        <v>24</v>
      </c>
      <c r="AJ45" s="36">
        <f>SUM($I$43:AJ43)*AJ43</f>
        <v>25</v>
      </c>
      <c r="AK45" s="36">
        <f>SUM($I$43:AK43)*AK43</f>
        <v>26</v>
      </c>
      <c r="AL45" s="36">
        <f>SUM($I$43:AL43)*AL43</f>
        <v>27</v>
      </c>
      <c r="AM45" s="36">
        <f>SUM($I$43:AM43)*AM43</f>
        <v>0</v>
      </c>
      <c r="AN45" s="36">
        <f>SUM($I$43:AN43)*AN43</f>
        <v>0</v>
      </c>
      <c r="AO45" s="36">
        <f>SUM($I$43:AO43)*AO43</f>
        <v>0</v>
      </c>
      <c r="AP45" s="36">
        <f>SUM($I$43:AP43)*AP43</f>
        <v>0</v>
      </c>
      <c r="AQ45" s="36">
        <f>SUM($I$43:AQ43)*AQ43</f>
        <v>0</v>
      </c>
      <c r="AR45" s="36">
        <f>SUM($I$43:AR43)*AR43</f>
        <v>0</v>
      </c>
      <c r="AS45" s="36">
        <f>SUM($I$43:AS43)*AS43</f>
        <v>0</v>
      </c>
      <c r="AT45" s="36">
        <f>SUM($I$43:AT43)*AT43</f>
        <v>0</v>
      </c>
      <c r="AU45" s="36">
        <f>SUM($I$43:AU43)*AU43</f>
        <v>0</v>
      </c>
      <c r="AV45" s="36">
        <f>SUM($I$43:AV43)*AV43</f>
        <v>0</v>
      </c>
      <c r="AW45" s="36">
        <f>SUM($I$43:AW43)*AW43</f>
        <v>0</v>
      </c>
    </row>
    <row r="46" spans="1:82">
      <c r="B46" s="10"/>
      <c r="C46" s="15"/>
    </row>
    <row r="47" spans="1:82">
      <c r="B47" s="10" t="s">
        <v>533</v>
      </c>
      <c r="C47" s="15"/>
    </row>
    <row r="48" spans="1:82">
      <c r="B48" s="2" t="s">
        <v>534</v>
      </c>
      <c r="C48" s="15" t="s">
        <v>60</v>
      </c>
      <c r="D48" s="37">
        <f>SUM(I48:AI48)</f>
        <v>1</v>
      </c>
      <c r="I48" s="53">
        <f>(I$3&lt;=$C$32)*(I$4&gt;=$C$32)*1</f>
        <v>1</v>
      </c>
      <c r="J48" s="53">
        <f t="shared" ref="J48:AW48" si="40">(J$3&lt;=$C$32)*(J$4&gt;=$C$32)*1</f>
        <v>0</v>
      </c>
      <c r="K48" s="53">
        <f t="shared" si="40"/>
        <v>0</v>
      </c>
      <c r="L48" s="53">
        <f t="shared" si="40"/>
        <v>0</v>
      </c>
      <c r="M48" s="53">
        <f t="shared" si="40"/>
        <v>0</v>
      </c>
      <c r="N48" s="53">
        <f t="shared" si="40"/>
        <v>0</v>
      </c>
      <c r="O48" s="53">
        <f t="shared" si="40"/>
        <v>0</v>
      </c>
      <c r="P48" s="53">
        <f t="shared" si="40"/>
        <v>0</v>
      </c>
      <c r="Q48" s="53">
        <f t="shared" si="40"/>
        <v>0</v>
      </c>
      <c r="R48" s="53">
        <f t="shared" si="40"/>
        <v>0</v>
      </c>
      <c r="S48" s="53">
        <f t="shared" si="40"/>
        <v>0</v>
      </c>
      <c r="T48" s="53">
        <f t="shared" si="40"/>
        <v>0</v>
      </c>
      <c r="U48" s="53">
        <f t="shared" si="40"/>
        <v>0</v>
      </c>
      <c r="V48" s="53">
        <f t="shared" si="40"/>
        <v>0</v>
      </c>
      <c r="W48" s="53">
        <f t="shared" si="40"/>
        <v>0</v>
      </c>
      <c r="X48" s="53">
        <f t="shared" si="40"/>
        <v>0</v>
      </c>
      <c r="Y48" s="53">
        <f t="shared" si="40"/>
        <v>0</v>
      </c>
      <c r="Z48" s="53">
        <f t="shared" si="40"/>
        <v>0</v>
      </c>
      <c r="AA48" s="53">
        <f t="shared" si="40"/>
        <v>0</v>
      </c>
      <c r="AB48" s="53">
        <f t="shared" si="40"/>
        <v>0</v>
      </c>
      <c r="AC48" s="53">
        <f t="shared" si="40"/>
        <v>0</v>
      </c>
      <c r="AD48" s="53">
        <f t="shared" si="40"/>
        <v>0</v>
      </c>
      <c r="AE48" s="53">
        <f t="shared" si="40"/>
        <v>0</v>
      </c>
      <c r="AF48" s="53">
        <f t="shared" si="40"/>
        <v>0</v>
      </c>
      <c r="AG48" s="53">
        <f t="shared" si="40"/>
        <v>0</v>
      </c>
      <c r="AH48" s="53">
        <f t="shared" si="40"/>
        <v>0</v>
      </c>
      <c r="AI48" s="53">
        <f t="shared" si="40"/>
        <v>0</v>
      </c>
      <c r="AJ48" s="53">
        <f t="shared" si="40"/>
        <v>0</v>
      </c>
      <c r="AK48" s="53">
        <f t="shared" si="40"/>
        <v>0</v>
      </c>
      <c r="AL48" s="53">
        <f t="shared" si="40"/>
        <v>0</v>
      </c>
      <c r="AM48" s="53">
        <f t="shared" si="40"/>
        <v>0</v>
      </c>
      <c r="AN48" s="53">
        <f t="shared" si="40"/>
        <v>0</v>
      </c>
      <c r="AO48" s="53">
        <f t="shared" si="40"/>
        <v>0</v>
      </c>
      <c r="AP48" s="53">
        <f t="shared" si="40"/>
        <v>0</v>
      </c>
      <c r="AQ48" s="53">
        <f t="shared" si="40"/>
        <v>0</v>
      </c>
      <c r="AR48" s="53">
        <f t="shared" si="40"/>
        <v>0</v>
      </c>
      <c r="AS48" s="53">
        <f t="shared" si="40"/>
        <v>0</v>
      </c>
      <c r="AT48" s="53">
        <f t="shared" si="40"/>
        <v>0</v>
      </c>
      <c r="AU48" s="53">
        <f t="shared" si="40"/>
        <v>0</v>
      </c>
      <c r="AV48" s="53">
        <f t="shared" si="40"/>
        <v>0</v>
      </c>
      <c r="AW48" s="53">
        <f t="shared" si="40"/>
        <v>0</v>
      </c>
    </row>
    <row r="49" spans="1:82">
      <c r="B49" s="2" t="s">
        <v>535</v>
      </c>
      <c r="C49" s="15" t="s">
        <v>60</v>
      </c>
      <c r="D49" s="37">
        <f>SUM(I49:AW49)</f>
        <v>30</v>
      </c>
      <c r="I49" s="53">
        <f>($C$32&lt;=I$4)*($D$33&gt;=I$3)*1</f>
        <v>1</v>
      </c>
      <c r="J49" s="53">
        <f t="shared" ref="J49:AW49" si="41">($C$32&lt;=J$4)*($D$33&gt;=J$3)*1</f>
        <v>1</v>
      </c>
      <c r="K49" s="53">
        <f t="shared" si="41"/>
        <v>1</v>
      </c>
      <c r="L49" s="53">
        <f t="shared" si="41"/>
        <v>1</v>
      </c>
      <c r="M49" s="53">
        <f t="shared" si="41"/>
        <v>1</v>
      </c>
      <c r="N49" s="53">
        <f t="shared" si="41"/>
        <v>1</v>
      </c>
      <c r="O49" s="53">
        <f t="shared" si="41"/>
        <v>1</v>
      </c>
      <c r="P49" s="53">
        <f t="shared" si="41"/>
        <v>1</v>
      </c>
      <c r="Q49" s="53">
        <f t="shared" si="41"/>
        <v>1</v>
      </c>
      <c r="R49" s="53">
        <f t="shared" si="41"/>
        <v>1</v>
      </c>
      <c r="S49" s="53">
        <f t="shared" si="41"/>
        <v>1</v>
      </c>
      <c r="T49" s="53">
        <f t="shared" si="41"/>
        <v>1</v>
      </c>
      <c r="U49" s="53">
        <f t="shared" si="41"/>
        <v>1</v>
      </c>
      <c r="V49" s="53">
        <f t="shared" si="41"/>
        <v>1</v>
      </c>
      <c r="W49" s="53">
        <f t="shared" si="41"/>
        <v>1</v>
      </c>
      <c r="X49" s="53">
        <f t="shared" si="41"/>
        <v>1</v>
      </c>
      <c r="Y49" s="53">
        <f t="shared" si="41"/>
        <v>1</v>
      </c>
      <c r="Z49" s="53">
        <f t="shared" si="41"/>
        <v>1</v>
      </c>
      <c r="AA49" s="53">
        <f t="shared" si="41"/>
        <v>1</v>
      </c>
      <c r="AB49" s="53">
        <f t="shared" si="41"/>
        <v>1</v>
      </c>
      <c r="AC49" s="53">
        <f t="shared" si="41"/>
        <v>1</v>
      </c>
      <c r="AD49" s="53">
        <f t="shared" si="41"/>
        <v>1</v>
      </c>
      <c r="AE49" s="53">
        <f t="shared" si="41"/>
        <v>1</v>
      </c>
      <c r="AF49" s="53">
        <f t="shared" si="41"/>
        <v>1</v>
      </c>
      <c r="AG49" s="53">
        <f t="shared" si="41"/>
        <v>1</v>
      </c>
      <c r="AH49" s="53">
        <f t="shared" si="41"/>
        <v>1</v>
      </c>
      <c r="AI49" s="53">
        <f t="shared" si="41"/>
        <v>1</v>
      </c>
      <c r="AJ49" s="53">
        <f t="shared" si="41"/>
        <v>1</v>
      </c>
      <c r="AK49" s="53">
        <f t="shared" si="41"/>
        <v>1</v>
      </c>
      <c r="AL49" s="53">
        <f t="shared" si="41"/>
        <v>1</v>
      </c>
      <c r="AM49" s="53">
        <f t="shared" si="41"/>
        <v>0</v>
      </c>
      <c r="AN49" s="53">
        <f t="shared" si="41"/>
        <v>0</v>
      </c>
      <c r="AO49" s="53">
        <f t="shared" si="41"/>
        <v>0</v>
      </c>
      <c r="AP49" s="53">
        <f t="shared" si="41"/>
        <v>0</v>
      </c>
      <c r="AQ49" s="53">
        <f t="shared" si="41"/>
        <v>0</v>
      </c>
      <c r="AR49" s="53">
        <f t="shared" si="41"/>
        <v>0</v>
      </c>
      <c r="AS49" s="53">
        <f t="shared" si="41"/>
        <v>0</v>
      </c>
      <c r="AT49" s="53">
        <f t="shared" si="41"/>
        <v>0</v>
      </c>
      <c r="AU49" s="53">
        <f t="shared" si="41"/>
        <v>0</v>
      </c>
      <c r="AV49" s="53">
        <f t="shared" si="41"/>
        <v>0</v>
      </c>
      <c r="AW49" s="53">
        <f t="shared" si="41"/>
        <v>0</v>
      </c>
    </row>
    <row r="50" spans="1:82">
      <c r="B50" s="2" t="s">
        <v>536</v>
      </c>
      <c r="C50" s="15" t="s">
        <v>60</v>
      </c>
      <c r="D50" s="37">
        <f>SUM(I50:AI50)</f>
        <v>0</v>
      </c>
      <c r="I50" s="53">
        <f>(I$3&lt;=$D$33)*(I$4&gt;=$D$33)*1</f>
        <v>0</v>
      </c>
      <c r="J50" s="53">
        <f t="shared" ref="J50:AW50" si="42">(J$3&lt;=$D$33)*(J$4&gt;=$D$33)*1</f>
        <v>0</v>
      </c>
      <c r="K50" s="53">
        <f t="shared" si="42"/>
        <v>0</v>
      </c>
      <c r="L50" s="53">
        <f t="shared" si="42"/>
        <v>0</v>
      </c>
      <c r="M50" s="53">
        <f t="shared" si="42"/>
        <v>0</v>
      </c>
      <c r="N50" s="53">
        <f t="shared" si="42"/>
        <v>0</v>
      </c>
      <c r="O50" s="53">
        <f t="shared" si="42"/>
        <v>0</v>
      </c>
      <c r="P50" s="53">
        <f t="shared" si="42"/>
        <v>0</v>
      </c>
      <c r="Q50" s="53">
        <f t="shared" si="42"/>
        <v>0</v>
      </c>
      <c r="R50" s="53">
        <f t="shared" si="42"/>
        <v>0</v>
      </c>
      <c r="S50" s="53">
        <f t="shared" si="42"/>
        <v>0</v>
      </c>
      <c r="T50" s="53">
        <f t="shared" si="42"/>
        <v>0</v>
      </c>
      <c r="U50" s="53">
        <f t="shared" si="42"/>
        <v>0</v>
      </c>
      <c r="V50" s="53">
        <f t="shared" si="42"/>
        <v>0</v>
      </c>
      <c r="W50" s="53">
        <f t="shared" si="42"/>
        <v>0</v>
      </c>
      <c r="X50" s="53">
        <f t="shared" si="42"/>
        <v>0</v>
      </c>
      <c r="Y50" s="53">
        <f t="shared" si="42"/>
        <v>0</v>
      </c>
      <c r="Z50" s="53">
        <f t="shared" si="42"/>
        <v>0</v>
      </c>
      <c r="AA50" s="53">
        <f t="shared" si="42"/>
        <v>0</v>
      </c>
      <c r="AB50" s="53">
        <f t="shared" si="42"/>
        <v>0</v>
      </c>
      <c r="AC50" s="53">
        <f t="shared" si="42"/>
        <v>0</v>
      </c>
      <c r="AD50" s="53">
        <f t="shared" si="42"/>
        <v>0</v>
      </c>
      <c r="AE50" s="53">
        <f t="shared" si="42"/>
        <v>0</v>
      </c>
      <c r="AF50" s="53">
        <f t="shared" si="42"/>
        <v>0</v>
      </c>
      <c r="AG50" s="53">
        <f t="shared" si="42"/>
        <v>0</v>
      </c>
      <c r="AH50" s="53">
        <f t="shared" si="42"/>
        <v>0</v>
      </c>
      <c r="AI50" s="53">
        <f t="shared" si="42"/>
        <v>0</v>
      </c>
      <c r="AJ50" s="53">
        <f>(AJ$3&lt;=$D$33)*(AJ$4&gt;=$D$33)*1</f>
        <v>0</v>
      </c>
      <c r="AK50" s="53">
        <f t="shared" si="42"/>
        <v>0</v>
      </c>
      <c r="AL50" s="53">
        <f t="shared" si="42"/>
        <v>1</v>
      </c>
      <c r="AM50" s="53">
        <f t="shared" si="42"/>
        <v>0</v>
      </c>
      <c r="AN50" s="53">
        <f t="shared" si="42"/>
        <v>0</v>
      </c>
      <c r="AO50" s="53">
        <f t="shared" si="42"/>
        <v>0</v>
      </c>
      <c r="AP50" s="53">
        <f t="shared" si="42"/>
        <v>0</v>
      </c>
      <c r="AQ50" s="53">
        <f t="shared" si="42"/>
        <v>0</v>
      </c>
      <c r="AR50" s="53">
        <f t="shared" si="42"/>
        <v>0</v>
      </c>
      <c r="AS50" s="53">
        <f t="shared" si="42"/>
        <v>0</v>
      </c>
      <c r="AT50" s="53">
        <f t="shared" si="42"/>
        <v>0</v>
      </c>
      <c r="AU50" s="53">
        <f t="shared" si="42"/>
        <v>0</v>
      </c>
      <c r="AV50" s="53">
        <f t="shared" si="42"/>
        <v>0</v>
      </c>
      <c r="AW50" s="53">
        <f t="shared" si="42"/>
        <v>0</v>
      </c>
    </row>
    <row r="51" spans="1:82">
      <c r="B51" s="2" t="s">
        <v>537</v>
      </c>
      <c r="C51" s="15" t="s">
        <v>60</v>
      </c>
      <c r="D51" s="37">
        <f>MAX(I51:AI51)</f>
        <v>27</v>
      </c>
      <c r="I51" s="53">
        <f>SUM($I$49:I49)*I49</f>
        <v>1</v>
      </c>
      <c r="J51" s="53">
        <f>SUM($I$49:J49)*J49</f>
        <v>2</v>
      </c>
      <c r="K51" s="53">
        <f>SUM($I$49:K49)*K49</f>
        <v>3</v>
      </c>
      <c r="L51" s="53">
        <f>SUM($I$49:L49)*L49</f>
        <v>4</v>
      </c>
      <c r="M51" s="53">
        <f>SUM($I$49:M49)*M49</f>
        <v>5</v>
      </c>
      <c r="N51" s="53">
        <f>SUM($I$49:N49)*N49</f>
        <v>6</v>
      </c>
      <c r="O51" s="53">
        <f>SUM($I$49:O49)*O49</f>
        <v>7</v>
      </c>
      <c r="P51" s="53">
        <f>SUM($I$49:P49)*P49</f>
        <v>8</v>
      </c>
      <c r="Q51" s="53">
        <f>SUM($I$49:Q49)*Q49</f>
        <v>9</v>
      </c>
      <c r="R51" s="53">
        <f>SUM($I$49:R49)*R49</f>
        <v>10</v>
      </c>
      <c r="S51" s="53">
        <f>SUM($I$49:S49)*S49</f>
        <v>11</v>
      </c>
      <c r="T51" s="53">
        <f>SUM($I$49:T49)*T49</f>
        <v>12</v>
      </c>
      <c r="U51" s="53">
        <f>SUM($I$49:U49)*U49</f>
        <v>13</v>
      </c>
      <c r="V51" s="53">
        <f>SUM($I$49:V49)*V49</f>
        <v>14</v>
      </c>
      <c r="W51" s="53">
        <f>SUM($I$49:W49)*W49</f>
        <v>15</v>
      </c>
      <c r="X51" s="53">
        <f>SUM($I$49:X49)*X49</f>
        <v>16</v>
      </c>
      <c r="Y51" s="53">
        <f>SUM($I$49:Y49)*Y49</f>
        <v>17</v>
      </c>
      <c r="Z51" s="53">
        <f>SUM($I$49:Z49)*Z49</f>
        <v>18</v>
      </c>
      <c r="AA51" s="53">
        <f>SUM($I$49:AA49)*AA49</f>
        <v>19</v>
      </c>
      <c r="AB51" s="53">
        <f>SUM($I$49:AB49)*AB49</f>
        <v>20</v>
      </c>
      <c r="AC51" s="53">
        <f>SUM($I$49:AC49)*AC49</f>
        <v>21</v>
      </c>
      <c r="AD51" s="53">
        <f>SUM($I$49:AD49)*AD49</f>
        <v>22</v>
      </c>
      <c r="AE51" s="53">
        <f>SUM($I$49:AE49)*AE49</f>
        <v>23</v>
      </c>
      <c r="AF51" s="53">
        <f>SUM($I$49:AF49)*AF49</f>
        <v>24</v>
      </c>
      <c r="AG51" s="53">
        <f>SUM($I$49:AG49)*AG49</f>
        <v>25</v>
      </c>
      <c r="AH51" s="53">
        <f>SUM($I$49:AH49)*AH49</f>
        <v>26</v>
      </c>
      <c r="AI51" s="53">
        <f>SUM($I$49:AI49)*AI49</f>
        <v>27</v>
      </c>
      <c r="AJ51" s="53">
        <f>SUM($I$49:AJ49)*AJ49</f>
        <v>28</v>
      </c>
      <c r="AK51" s="53">
        <f>SUM($I$49:AK49)*AK49</f>
        <v>29</v>
      </c>
      <c r="AL51" s="53">
        <f>SUM($I$49:AL49)*AL49</f>
        <v>30</v>
      </c>
      <c r="AM51" s="53">
        <f>SUM($I$49:AM49)*AM49</f>
        <v>0</v>
      </c>
      <c r="AN51" s="53">
        <f>SUM($I$49:AN49)*AN49</f>
        <v>0</v>
      </c>
      <c r="AO51" s="53">
        <f>SUM($I$49:AO49)*AO49</f>
        <v>0</v>
      </c>
      <c r="AP51" s="53">
        <f>SUM($I$49:AP49)*AP49</f>
        <v>0</v>
      </c>
      <c r="AQ51" s="53">
        <f>SUM($I$49:AQ49)*AQ49</f>
        <v>0</v>
      </c>
      <c r="AR51" s="53">
        <f>SUM($I$49:AR49)*AR49</f>
        <v>0</v>
      </c>
      <c r="AS51" s="53">
        <f>SUM($I$49:AS49)*AS49</f>
        <v>0</v>
      </c>
      <c r="AT51" s="53">
        <f>SUM($I$49:AT49)*AT49</f>
        <v>0</v>
      </c>
      <c r="AU51" s="53">
        <f>SUM($I$49:AU49)*AU49</f>
        <v>0</v>
      </c>
      <c r="AV51" s="53">
        <f>SUM($I$49:AV49)*AV49</f>
        <v>0</v>
      </c>
      <c r="AW51" s="53">
        <f>SUM($I$49:AW49)*AW49</f>
        <v>0</v>
      </c>
    </row>
    <row r="52" spans="1:82">
      <c r="C52" s="15"/>
    </row>
    <row r="53" spans="1:82">
      <c r="B53" s="10" t="s">
        <v>69</v>
      </c>
      <c r="C53" s="15"/>
    </row>
    <row r="54" spans="1:82" ht="11.45" customHeight="1">
      <c r="B54" s="2" t="s">
        <v>56</v>
      </c>
      <c r="C54" s="15" t="s">
        <v>70</v>
      </c>
      <c r="D54" s="37">
        <f ca="1">SUM(I54:AI54)</f>
        <v>3.0000074855902388</v>
      </c>
      <c r="I54" s="38">
        <f ca="1">IF(I37=1,(MIN($D$32,I4)-MAX($C$32,I3)+1)/I5,0)</f>
        <v>1</v>
      </c>
      <c r="J54" s="38">
        <f t="shared" ref="J54:AH54" ca="1" si="43">IF(J37=1,(MIN($D$32,J4)-MAX($C$32,J3)+1)/J5,0)</f>
        <v>0.99726775956284153</v>
      </c>
      <c r="K54" s="38">
        <f t="shared" ca="1" si="43"/>
        <v>1.0027397260273974</v>
      </c>
      <c r="L54" s="38">
        <f t="shared" si="43"/>
        <v>0</v>
      </c>
      <c r="M54" s="38">
        <f t="shared" si="43"/>
        <v>0</v>
      </c>
      <c r="N54" s="38">
        <f t="shared" si="43"/>
        <v>0</v>
      </c>
      <c r="O54" s="38">
        <f t="shared" si="43"/>
        <v>0</v>
      </c>
      <c r="P54" s="38">
        <f t="shared" si="43"/>
        <v>0</v>
      </c>
      <c r="Q54" s="38">
        <f t="shared" si="43"/>
        <v>0</v>
      </c>
      <c r="R54" s="38">
        <f t="shared" si="43"/>
        <v>0</v>
      </c>
      <c r="S54" s="38">
        <f t="shared" si="43"/>
        <v>0</v>
      </c>
      <c r="T54" s="38">
        <f t="shared" si="43"/>
        <v>0</v>
      </c>
      <c r="U54" s="38">
        <f t="shared" si="43"/>
        <v>0</v>
      </c>
      <c r="V54" s="38">
        <f t="shared" si="43"/>
        <v>0</v>
      </c>
      <c r="W54" s="38">
        <f t="shared" si="43"/>
        <v>0</v>
      </c>
      <c r="X54" s="38">
        <f t="shared" si="43"/>
        <v>0</v>
      </c>
      <c r="Y54" s="38">
        <f t="shared" si="43"/>
        <v>0</v>
      </c>
      <c r="Z54" s="38">
        <f t="shared" si="43"/>
        <v>0</v>
      </c>
      <c r="AA54" s="38">
        <f t="shared" si="43"/>
        <v>0</v>
      </c>
      <c r="AB54" s="38">
        <f t="shared" si="43"/>
        <v>0</v>
      </c>
      <c r="AC54" s="38">
        <f t="shared" si="43"/>
        <v>0</v>
      </c>
      <c r="AD54" s="38">
        <f t="shared" si="43"/>
        <v>0</v>
      </c>
      <c r="AE54" s="38">
        <f t="shared" si="43"/>
        <v>0</v>
      </c>
      <c r="AF54" s="38">
        <f t="shared" si="43"/>
        <v>0</v>
      </c>
      <c r="AG54" s="38">
        <f t="shared" si="43"/>
        <v>0</v>
      </c>
      <c r="AH54" s="38">
        <f t="shared" si="43"/>
        <v>0</v>
      </c>
      <c r="AI54" s="38">
        <f>IF(AI37=1,(MIN($D$32,AI4)-MAX($C$32,AI3)+1)/AI5,0)</f>
        <v>0</v>
      </c>
      <c r="AJ54" s="38">
        <f t="shared" ref="AJ54:AW54" si="44">IF(AJ37=1,(MIN($D$32,AJ4)-MAX($C$32,AJ3)+1)/AJ5,0)</f>
        <v>0</v>
      </c>
      <c r="AK54" s="38">
        <f t="shared" si="44"/>
        <v>0</v>
      </c>
      <c r="AL54" s="38">
        <f t="shared" si="44"/>
        <v>0</v>
      </c>
      <c r="AM54" s="38">
        <f t="shared" si="44"/>
        <v>0</v>
      </c>
      <c r="AN54" s="38">
        <f t="shared" si="44"/>
        <v>0</v>
      </c>
      <c r="AO54" s="38">
        <f t="shared" si="44"/>
        <v>0</v>
      </c>
      <c r="AP54" s="38">
        <f t="shared" si="44"/>
        <v>0</v>
      </c>
      <c r="AQ54" s="38">
        <f t="shared" si="44"/>
        <v>0</v>
      </c>
      <c r="AR54" s="38">
        <f t="shared" si="44"/>
        <v>0</v>
      </c>
      <c r="AS54" s="38">
        <f t="shared" si="44"/>
        <v>0</v>
      </c>
      <c r="AT54" s="38">
        <f t="shared" si="44"/>
        <v>0</v>
      </c>
      <c r="AU54" s="38">
        <f t="shared" si="44"/>
        <v>0</v>
      </c>
      <c r="AV54" s="38">
        <f t="shared" si="44"/>
        <v>0</v>
      </c>
      <c r="AW54" s="38">
        <f t="shared" si="44"/>
        <v>0</v>
      </c>
    </row>
    <row r="55" spans="1:82" s="953" customFormat="1">
      <c r="B55" s="954" t="s">
        <v>57</v>
      </c>
      <c r="C55" s="955" t="s">
        <v>70</v>
      </c>
      <c r="D55" s="954">
        <f ca="1">SUM(I55:AW55)</f>
        <v>27.00004491354143</v>
      </c>
      <c r="E55" s="954"/>
      <c r="F55" s="954"/>
      <c r="G55" s="954"/>
      <c r="H55" s="954"/>
      <c r="I55" s="956">
        <f>IF(I43=1,(MIN($D$33,I4)-MAX($C$33,I3)+1)/I5,0)</f>
        <v>0</v>
      </c>
      <c r="J55" s="956">
        <f>IF(J43=1,(MIN($D$33,J4)-MAX($C$33,J3)+1)/J5,0)</f>
        <v>0</v>
      </c>
      <c r="K55" s="956">
        <f t="shared" ref="K55:AH55" si="45">IF(K43=1,(MIN($D$33,K4)-MAX($C$33,K3)+1)/K5,0)</f>
        <v>0</v>
      </c>
      <c r="L55" s="956">
        <f ca="1">IF(L43=1,(MIN($D$33,L4)-MAX($C$33,L3)+1)/L5,0)</f>
        <v>1</v>
      </c>
      <c r="M55" s="956">
        <f ca="1">IF(M43=1,(MIN($D$33,M4)-MAX($C$33,M3)+1)/M5,0)</f>
        <v>1</v>
      </c>
      <c r="N55" s="956">
        <f ca="1">IF(N43=1,(MIN($D$33,N4)-MAX($C$33,N3)+1)/N5,0)</f>
        <v>0.99726775956284153</v>
      </c>
      <c r="O55" s="956">
        <f ca="1">IF(O43=1,(MIN($D$33,O4)-MAX($C$33,O3)+1)/O5,0)</f>
        <v>1.0027397260273974</v>
      </c>
      <c r="P55" s="956">
        <f t="shared" ca="1" si="45"/>
        <v>1</v>
      </c>
      <c r="Q55" s="956">
        <f t="shared" ca="1" si="45"/>
        <v>1</v>
      </c>
      <c r="R55" s="956">
        <f ca="1">IF(R43=1,(MIN($D$33,R4)-MAX($C$33,R3)+1)/R5,0)</f>
        <v>0.99726775956284153</v>
      </c>
      <c r="S55" s="956">
        <f t="shared" ca="1" si="45"/>
        <v>1.0027397260273974</v>
      </c>
      <c r="T55" s="956">
        <f t="shared" ca="1" si="45"/>
        <v>1</v>
      </c>
      <c r="U55" s="956">
        <f t="shared" ca="1" si="45"/>
        <v>1</v>
      </c>
      <c r="V55" s="956">
        <f t="shared" ca="1" si="45"/>
        <v>0.99726775956284153</v>
      </c>
      <c r="W55" s="956">
        <f t="shared" ca="1" si="45"/>
        <v>1.0027397260273974</v>
      </c>
      <c r="X55" s="956">
        <f t="shared" ca="1" si="45"/>
        <v>1</v>
      </c>
      <c r="Y55" s="956">
        <f t="shared" ca="1" si="45"/>
        <v>1</v>
      </c>
      <c r="Z55" s="956">
        <f t="shared" ca="1" si="45"/>
        <v>0.99726775956284153</v>
      </c>
      <c r="AA55" s="956">
        <f t="shared" ca="1" si="45"/>
        <v>1.0027397260273974</v>
      </c>
      <c r="AB55" s="956">
        <f t="shared" ca="1" si="45"/>
        <v>1</v>
      </c>
      <c r="AC55" s="956">
        <f t="shared" ca="1" si="45"/>
        <v>1</v>
      </c>
      <c r="AD55" s="956">
        <f t="shared" ca="1" si="45"/>
        <v>0.99726775956284153</v>
      </c>
      <c r="AE55" s="956">
        <f t="shared" ca="1" si="45"/>
        <v>1.0027397260273974</v>
      </c>
      <c r="AF55" s="956">
        <f t="shared" ca="1" si="45"/>
        <v>1</v>
      </c>
      <c r="AG55" s="956">
        <f t="shared" ca="1" si="45"/>
        <v>1</v>
      </c>
      <c r="AH55" s="956">
        <f t="shared" ca="1" si="45"/>
        <v>0.99726775956284153</v>
      </c>
      <c r="AI55" s="956">
        <f ca="1">IF(AI43=1,(MIN($D$33,AI4)-MAX($C$33,AI3)+1)/AI5,0)</f>
        <v>1.0027397260273974</v>
      </c>
      <c r="AJ55" s="956">
        <f t="shared" ref="AJ55:AW55" ca="1" si="46">IF(AJ43=1,(MIN($D$33,AJ4)-MAX($C$33,AJ3)+1)/AJ5,0)</f>
        <v>1</v>
      </c>
      <c r="AK55" s="956">
        <f t="shared" ca="1" si="46"/>
        <v>1</v>
      </c>
      <c r="AL55" s="956">
        <f t="shared" ca="1" si="46"/>
        <v>1</v>
      </c>
      <c r="AM55" s="956">
        <f t="shared" si="46"/>
        <v>0</v>
      </c>
      <c r="AN55" s="956">
        <f t="shared" si="46"/>
        <v>0</v>
      </c>
      <c r="AO55" s="956">
        <f t="shared" si="46"/>
        <v>0</v>
      </c>
      <c r="AP55" s="956">
        <f t="shared" si="46"/>
        <v>0</v>
      </c>
      <c r="AQ55" s="956">
        <f t="shared" si="46"/>
        <v>0</v>
      </c>
      <c r="AR55" s="956">
        <f t="shared" si="46"/>
        <v>0</v>
      </c>
      <c r="AS55" s="956">
        <f t="shared" si="46"/>
        <v>0</v>
      </c>
      <c r="AT55" s="956">
        <f t="shared" si="46"/>
        <v>0</v>
      </c>
      <c r="AU55" s="956">
        <f t="shared" si="46"/>
        <v>0</v>
      </c>
      <c r="AV55" s="956">
        <f t="shared" si="46"/>
        <v>0</v>
      </c>
      <c r="AW55" s="956">
        <f t="shared" si="46"/>
        <v>0</v>
      </c>
    </row>
    <row r="56" spans="1:82">
      <c r="A56" s="12"/>
      <c r="B56" s="2" t="s">
        <v>71</v>
      </c>
      <c r="C56" s="15" t="s">
        <v>70</v>
      </c>
      <c r="D56" s="37">
        <f ca="1">SUM(I56:AI56)</f>
        <v>27.000052399131668</v>
      </c>
      <c r="I56" s="17">
        <f ca="1">SUM(I54:I55)</f>
        <v>1</v>
      </c>
      <c r="J56" s="17">
        <f t="shared" ref="J56:AH56" ca="1" si="47">SUM(J54:J55)</f>
        <v>0.99726775956284153</v>
      </c>
      <c r="K56" s="17">
        <f t="shared" ca="1" si="47"/>
        <v>1.0027397260273974</v>
      </c>
      <c r="L56" s="17">
        <f t="shared" ca="1" si="47"/>
        <v>1</v>
      </c>
      <c r="M56" s="17">
        <f t="shared" ca="1" si="47"/>
        <v>1</v>
      </c>
      <c r="N56" s="17">
        <f t="shared" ca="1" si="47"/>
        <v>0.99726775956284153</v>
      </c>
      <c r="O56" s="17">
        <f t="shared" ca="1" si="47"/>
        <v>1.0027397260273974</v>
      </c>
      <c r="P56" s="17">
        <f t="shared" ca="1" si="47"/>
        <v>1</v>
      </c>
      <c r="Q56" s="17">
        <f t="shared" ca="1" si="47"/>
        <v>1</v>
      </c>
      <c r="R56" s="17">
        <f t="shared" ca="1" si="47"/>
        <v>0.99726775956284153</v>
      </c>
      <c r="S56" s="17">
        <f t="shared" ca="1" si="47"/>
        <v>1.0027397260273974</v>
      </c>
      <c r="T56" s="17">
        <f t="shared" ca="1" si="47"/>
        <v>1</v>
      </c>
      <c r="U56" s="17">
        <f t="shared" ca="1" si="47"/>
        <v>1</v>
      </c>
      <c r="V56" s="17">
        <f t="shared" ca="1" si="47"/>
        <v>0.99726775956284153</v>
      </c>
      <c r="W56" s="17">
        <f t="shared" ca="1" si="47"/>
        <v>1.0027397260273974</v>
      </c>
      <c r="X56" s="17">
        <f t="shared" ca="1" si="47"/>
        <v>1</v>
      </c>
      <c r="Y56" s="17">
        <f t="shared" ca="1" si="47"/>
        <v>1</v>
      </c>
      <c r="Z56" s="17">
        <f t="shared" ca="1" si="47"/>
        <v>0.99726775956284153</v>
      </c>
      <c r="AA56" s="17">
        <f t="shared" ca="1" si="47"/>
        <v>1.0027397260273974</v>
      </c>
      <c r="AB56" s="17">
        <f t="shared" ca="1" si="47"/>
        <v>1</v>
      </c>
      <c r="AC56" s="17">
        <f t="shared" ca="1" si="47"/>
        <v>1</v>
      </c>
      <c r="AD56" s="17">
        <f t="shared" ca="1" si="47"/>
        <v>0.99726775956284153</v>
      </c>
      <c r="AE56" s="17">
        <f t="shared" ca="1" si="47"/>
        <v>1.0027397260273974</v>
      </c>
      <c r="AF56" s="17">
        <f t="shared" ca="1" si="47"/>
        <v>1</v>
      </c>
      <c r="AG56" s="17">
        <f t="shared" ca="1" si="47"/>
        <v>1</v>
      </c>
      <c r="AH56" s="17">
        <f t="shared" ca="1" si="47"/>
        <v>0.99726775956284153</v>
      </c>
      <c r="AI56" s="17">
        <f ca="1">SUM(AI54:AI55)</f>
        <v>1.0027397260273974</v>
      </c>
      <c r="AJ56" s="17">
        <f t="shared" ref="AJ56:AW56" ca="1" si="48">SUM(AJ54:AJ55)</f>
        <v>1</v>
      </c>
      <c r="AK56" s="17">
        <f t="shared" ca="1" si="48"/>
        <v>1</v>
      </c>
      <c r="AL56" s="17">
        <f t="shared" ca="1" si="48"/>
        <v>1</v>
      </c>
      <c r="AM56" s="17">
        <f t="shared" si="48"/>
        <v>0</v>
      </c>
      <c r="AN56" s="17">
        <f t="shared" si="48"/>
        <v>0</v>
      </c>
      <c r="AO56" s="17">
        <f t="shared" si="48"/>
        <v>0</v>
      </c>
      <c r="AP56" s="17">
        <f t="shared" si="48"/>
        <v>0</v>
      </c>
      <c r="AQ56" s="17">
        <f t="shared" si="48"/>
        <v>0</v>
      </c>
      <c r="AR56" s="17">
        <f t="shared" si="48"/>
        <v>0</v>
      </c>
      <c r="AS56" s="17">
        <f t="shared" si="48"/>
        <v>0</v>
      </c>
      <c r="AT56" s="17">
        <f t="shared" si="48"/>
        <v>0</v>
      </c>
      <c r="AU56" s="17">
        <f t="shared" si="48"/>
        <v>0</v>
      </c>
      <c r="AV56" s="17">
        <f t="shared" si="48"/>
        <v>0</v>
      </c>
      <c r="AW56" s="17">
        <f t="shared" si="48"/>
        <v>0</v>
      </c>
    </row>
    <row r="57" spans="1:82">
      <c r="A57" s="12"/>
      <c r="C57" s="15"/>
      <c r="D57" s="3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row>
    <row r="58" spans="1:82">
      <c r="A58" s="12"/>
      <c r="B58" s="10" t="s">
        <v>914</v>
      </c>
      <c r="C58" s="15"/>
      <c r="D58" s="37"/>
      <c r="I58" s="41">
        <f>MOD(I22,'Assumption '!$J$154)</f>
        <v>1</v>
      </c>
      <c r="J58" s="41">
        <f>MOD(J22,'Assumption '!$J$154)</f>
        <v>2</v>
      </c>
      <c r="K58" s="41">
        <f>MOD(K22,'Assumption '!$J$154)</f>
        <v>0</v>
      </c>
      <c r="L58" s="41">
        <f>MOD(L22,'Assumption '!$J$154)</f>
        <v>1</v>
      </c>
      <c r="M58" s="41">
        <f>MOD(M22,'Assumption '!$J$154)</f>
        <v>2</v>
      </c>
      <c r="N58" s="41">
        <f>MOD(N22,'Assumption '!$J$154)</f>
        <v>0</v>
      </c>
      <c r="O58" s="41">
        <f>MOD(O22,'Assumption '!$J$154)</f>
        <v>1</v>
      </c>
      <c r="P58" s="41">
        <f>MOD(P22,'Assumption '!$J$154)</f>
        <v>2</v>
      </c>
      <c r="Q58" s="41">
        <f>MOD(Q22,'Assumption '!$J$154)</f>
        <v>0</v>
      </c>
      <c r="R58" s="41">
        <f>MOD(R22,'Assumption '!$J$154)</f>
        <v>1</v>
      </c>
      <c r="S58" s="41">
        <f>MOD(S22,'Assumption '!$J$154)</f>
        <v>2</v>
      </c>
      <c r="T58" s="41">
        <f>MOD(T22,'Assumption '!$J$154)</f>
        <v>0</v>
      </c>
      <c r="U58" s="41">
        <f>MOD(U22,'Assumption '!$J$154)</f>
        <v>1</v>
      </c>
      <c r="V58" s="41">
        <f>MOD(V22,'Assumption '!$J$154)</f>
        <v>2</v>
      </c>
      <c r="W58" s="41">
        <f>MOD(W22,'Assumption '!$J$154)</f>
        <v>0</v>
      </c>
      <c r="X58" s="41">
        <f>MOD(X22,'Assumption '!$J$154)</f>
        <v>1</v>
      </c>
      <c r="Y58" s="41">
        <f>MOD(Y22,'Assumption '!$J$154)</f>
        <v>2</v>
      </c>
      <c r="Z58" s="41">
        <f>MOD(Z22,'Assumption '!$J$154)</f>
        <v>0</v>
      </c>
      <c r="AA58" s="41">
        <f>MOD(AA22,'Assumption '!$J$154)</f>
        <v>1</v>
      </c>
      <c r="AB58" s="41">
        <f>MOD(AB22,'Assumption '!$J$154)</f>
        <v>2</v>
      </c>
      <c r="AC58" s="41">
        <f>MOD(AC22,'Assumption '!$J$154)</f>
        <v>0</v>
      </c>
      <c r="AD58" s="41">
        <f>MOD(AD22,'Assumption '!$J$154)</f>
        <v>1</v>
      </c>
      <c r="AE58" s="41">
        <f>MOD(AE22,'Assumption '!$J$154)</f>
        <v>2</v>
      </c>
      <c r="AF58" s="41">
        <f>MOD(AF22,'Assumption '!$J$154)</f>
        <v>0</v>
      </c>
      <c r="AG58" s="41">
        <f>MOD(AG22,'Assumption '!$J$154)</f>
        <v>1</v>
      </c>
      <c r="AH58" s="41">
        <f>MOD(AH22,'Assumption '!$J$154)</f>
        <v>2</v>
      </c>
      <c r="AI58" s="41">
        <f>MOD(AI22,'Assumption '!$J$154)</f>
        <v>0</v>
      </c>
      <c r="AJ58" s="41">
        <f>MOD(AJ22,'Assumption '!$J$154)</f>
        <v>1</v>
      </c>
      <c r="AK58" s="41">
        <f>MOD(AK22,'Assumption '!$J$154)</f>
        <v>2</v>
      </c>
      <c r="AL58" s="41">
        <f>MOD(AL22,'Assumption '!$J$154)</f>
        <v>0</v>
      </c>
      <c r="AM58" s="41">
        <f>MOD(AM22,'Assumption '!$J$154)</f>
        <v>1</v>
      </c>
      <c r="AN58" s="41">
        <f>MOD(AN22,'Assumption '!$J$154)</f>
        <v>2</v>
      </c>
      <c r="AO58" s="41">
        <f>MOD(AO22,'Assumption '!$J$154)</f>
        <v>0</v>
      </c>
      <c r="AP58" s="41">
        <f>MOD(AP22,'Assumption '!$J$154)</f>
        <v>1</v>
      </c>
      <c r="AQ58" s="41">
        <f>MOD(AQ22,'Assumption '!$J$154)</f>
        <v>2</v>
      </c>
      <c r="AR58" s="41">
        <f>MOD(AR22,'Assumption '!$J$154)</f>
        <v>0</v>
      </c>
      <c r="AS58" s="41">
        <f>MOD(AS22,'Assumption '!$J$154)</f>
        <v>1</v>
      </c>
      <c r="AT58" s="41">
        <f>MOD(AT22,'Assumption '!$J$154)</f>
        <v>2</v>
      </c>
      <c r="AU58" s="41">
        <f>MOD(AU22,'Assumption '!$J$154)</f>
        <v>0</v>
      </c>
      <c r="AV58" s="41">
        <f>MOD(AV22,'Assumption '!$J$154)</f>
        <v>1</v>
      </c>
      <c r="AW58" s="41">
        <f>MOD(AW22,'Assumption '!$J$154)</f>
        <v>2</v>
      </c>
    </row>
    <row r="59" spans="1:82" s="41" customFormat="1">
      <c r="A59" s="476"/>
      <c r="C59" s="59"/>
      <c r="I59" s="41">
        <f>IF(I58=0,1,0)</f>
        <v>0</v>
      </c>
      <c r="J59" s="41">
        <f t="shared" ref="J59:AI59" si="49">IF(J58=0,1,0)</f>
        <v>0</v>
      </c>
      <c r="K59" s="41">
        <f>IF(K58=0,1,0)</f>
        <v>1</v>
      </c>
      <c r="L59" s="41">
        <f t="shared" si="49"/>
        <v>0</v>
      </c>
      <c r="M59" s="41">
        <f t="shared" si="49"/>
        <v>0</v>
      </c>
      <c r="N59" s="41">
        <f t="shared" si="49"/>
        <v>1</v>
      </c>
      <c r="O59" s="41">
        <f t="shared" si="49"/>
        <v>0</v>
      </c>
      <c r="P59" s="41">
        <f t="shared" si="49"/>
        <v>0</v>
      </c>
      <c r="Q59" s="41">
        <f t="shared" si="49"/>
        <v>1</v>
      </c>
      <c r="R59" s="41">
        <f t="shared" si="49"/>
        <v>0</v>
      </c>
      <c r="S59" s="41">
        <f t="shared" si="49"/>
        <v>0</v>
      </c>
      <c r="T59" s="41">
        <f t="shared" si="49"/>
        <v>1</v>
      </c>
      <c r="U59" s="41">
        <f t="shared" si="49"/>
        <v>0</v>
      </c>
      <c r="V59" s="41">
        <f t="shared" si="49"/>
        <v>0</v>
      </c>
      <c r="W59" s="41">
        <f t="shared" si="49"/>
        <v>1</v>
      </c>
      <c r="X59" s="41">
        <f t="shared" si="49"/>
        <v>0</v>
      </c>
      <c r="Y59" s="41">
        <f t="shared" si="49"/>
        <v>0</v>
      </c>
      <c r="Z59" s="41">
        <f t="shared" si="49"/>
        <v>1</v>
      </c>
      <c r="AA59" s="41">
        <f t="shared" si="49"/>
        <v>0</v>
      </c>
      <c r="AB59" s="41">
        <f t="shared" si="49"/>
        <v>0</v>
      </c>
      <c r="AC59" s="41">
        <f t="shared" si="49"/>
        <v>1</v>
      </c>
      <c r="AD59" s="41">
        <f t="shared" si="49"/>
        <v>0</v>
      </c>
      <c r="AE59" s="41">
        <f t="shared" si="49"/>
        <v>0</v>
      </c>
      <c r="AF59" s="41">
        <f t="shared" si="49"/>
        <v>1</v>
      </c>
      <c r="AG59" s="41">
        <f t="shared" si="49"/>
        <v>0</v>
      </c>
      <c r="AH59" s="41">
        <f t="shared" si="49"/>
        <v>0</v>
      </c>
      <c r="AI59" s="41">
        <f t="shared" si="49"/>
        <v>1</v>
      </c>
      <c r="AJ59" s="41">
        <f t="shared" ref="AJ59:AW59" si="50">IF(AJ58=0,1,0)</f>
        <v>0</v>
      </c>
      <c r="AK59" s="41">
        <f t="shared" si="50"/>
        <v>0</v>
      </c>
      <c r="AL59" s="41">
        <f t="shared" si="50"/>
        <v>1</v>
      </c>
      <c r="AM59" s="41">
        <f t="shared" si="50"/>
        <v>0</v>
      </c>
      <c r="AN59" s="41">
        <f t="shared" si="50"/>
        <v>0</v>
      </c>
      <c r="AO59" s="41">
        <f t="shared" si="50"/>
        <v>1</v>
      </c>
      <c r="AP59" s="41">
        <f t="shared" si="50"/>
        <v>0</v>
      </c>
      <c r="AQ59" s="41">
        <f t="shared" si="50"/>
        <v>0</v>
      </c>
      <c r="AR59" s="41">
        <f t="shared" si="50"/>
        <v>1</v>
      </c>
      <c r="AS59" s="41">
        <f t="shared" si="50"/>
        <v>0</v>
      </c>
      <c r="AT59" s="41">
        <f t="shared" si="50"/>
        <v>0</v>
      </c>
      <c r="AU59" s="41">
        <f t="shared" si="50"/>
        <v>1</v>
      </c>
      <c r="AV59" s="41">
        <f t="shared" si="50"/>
        <v>0</v>
      </c>
      <c r="AW59" s="41">
        <f t="shared" si="50"/>
        <v>0</v>
      </c>
    </row>
    <row r="60" spans="1:82">
      <c r="C60" s="15"/>
    </row>
    <row r="61" spans="1:82">
      <c r="A61" s="6" t="s">
        <v>110</v>
      </c>
      <c r="B61" s="9"/>
      <c r="C61" s="9"/>
      <c r="D61" s="1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row>
    <row r="62" spans="1:82">
      <c r="C62" s="15"/>
    </row>
    <row r="63" spans="1:82">
      <c r="B63" s="2" t="s">
        <v>59</v>
      </c>
      <c r="C63" s="15" t="s">
        <v>60</v>
      </c>
      <c r="D63" s="37">
        <f>SUM(I63:AI63)</f>
        <v>1</v>
      </c>
      <c r="I63" s="36">
        <f>(I$23&lt;=$C$32)*(I$24&gt;=$C$32)*1</f>
        <v>1</v>
      </c>
      <c r="J63" s="36">
        <f t="shared" ref="J63:BU63" si="51">(J$23&lt;=$C$32)*(J$24&gt;=$C$32)*1</f>
        <v>0</v>
      </c>
      <c r="K63" s="36">
        <f t="shared" si="51"/>
        <v>0</v>
      </c>
      <c r="L63" s="36">
        <f t="shared" si="51"/>
        <v>0</v>
      </c>
      <c r="M63" s="36">
        <f t="shared" si="51"/>
        <v>0</v>
      </c>
      <c r="N63" s="36">
        <f t="shared" si="51"/>
        <v>0</v>
      </c>
      <c r="O63" s="36">
        <f t="shared" si="51"/>
        <v>0</v>
      </c>
      <c r="P63" s="36">
        <f t="shared" si="51"/>
        <v>0</v>
      </c>
      <c r="Q63" s="36">
        <f t="shared" si="51"/>
        <v>0</v>
      </c>
      <c r="R63" s="36">
        <f t="shared" si="51"/>
        <v>0</v>
      </c>
      <c r="S63" s="36">
        <f t="shared" si="51"/>
        <v>0</v>
      </c>
      <c r="T63" s="36">
        <f t="shared" si="51"/>
        <v>0</v>
      </c>
      <c r="U63" s="36">
        <f t="shared" si="51"/>
        <v>0</v>
      </c>
      <c r="V63" s="36">
        <f t="shared" si="51"/>
        <v>0</v>
      </c>
      <c r="W63" s="36">
        <f t="shared" si="51"/>
        <v>0</v>
      </c>
      <c r="X63" s="36">
        <f t="shared" si="51"/>
        <v>0</v>
      </c>
      <c r="Y63" s="36">
        <f t="shared" si="51"/>
        <v>0</v>
      </c>
      <c r="Z63" s="36">
        <f t="shared" si="51"/>
        <v>0</v>
      </c>
      <c r="AA63" s="36">
        <f t="shared" si="51"/>
        <v>0</v>
      </c>
      <c r="AB63" s="36">
        <f t="shared" si="51"/>
        <v>0</v>
      </c>
      <c r="AC63" s="36">
        <f t="shared" si="51"/>
        <v>0</v>
      </c>
      <c r="AD63" s="36">
        <f t="shared" si="51"/>
        <v>0</v>
      </c>
      <c r="AE63" s="36">
        <f t="shared" si="51"/>
        <v>0</v>
      </c>
      <c r="AF63" s="36">
        <f t="shared" si="51"/>
        <v>0</v>
      </c>
      <c r="AG63" s="36">
        <f t="shared" si="51"/>
        <v>0</v>
      </c>
      <c r="AH63" s="36">
        <f t="shared" si="51"/>
        <v>0</v>
      </c>
      <c r="AI63" s="36">
        <f t="shared" si="51"/>
        <v>0</v>
      </c>
      <c r="AJ63" s="36">
        <f t="shared" si="51"/>
        <v>0</v>
      </c>
      <c r="AK63" s="36">
        <f t="shared" si="51"/>
        <v>0</v>
      </c>
      <c r="AL63" s="36">
        <f t="shared" si="51"/>
        <v>0</v>
      </c>
      <c r="AM63" s="36">
        <f t="shared" si="51"/>
        <v>0</v>
      </c>
      <c r="AN63" s="36">
        <f t="shared" si="51"/>
        <v>0</v>
      </c>
      <c r="AO63" s="36">
        <f t="shared" si="51"/>
        <v>0</v>
      </c>
      <c r="AP63" s="36">
        <f t="shared" si="51"/>
        <v>0</v>
      </c>
      <c r="AQ63" s="36">
        <f t="shared" si="51"/>
        <v>0</v>
      </c>
      <c r="AR63" s="36">
        <f t="shared" si="51"/>
        <v>0</v>
      </c>
      <c r="AS63" s="36">
        <f t="shared" si="51"/>
        <v>0</v>
      </c>
      <c r="AT63" s="36">
        <f t="shared" si="51"/>
        <v>0</v>
      </c>
      <c r="AU63" s="36">
        <f t="shared" si="51"/>
        <v>0</v>
      </c>
      <c r="AV63" s="36">
        <f t="shared" si="51"/>
        <v>0</v>
      </c>
      <c r="AW63" s="36">
        <f t="shared" si="51"/>
        <v>0</v>
      </c>
      <c r="AX63" s="36">
        <f t="shared" si="51"/>
        <v>0</v>
      </c>
      <c r="AY63" s="36">
        <f t="shared" si="51"/>
        <v>0</v>
      </c>
      <c r="AZ63" s="36">
        <f t="shared" si="51"/>
        <v>0</v>
      </c>
      <c r="BA63" s="36">
        <f t="shared" si="51"/>
        <v>0</v>
      </c>
      <c r="BB63" s="36">
        <f t="shared" si="51"/>
        <v>0</v>
      </c>
      <c r="BC63" s="36">
        <f t="shared" si="51"/>
        <v>0</v>
      </c>
      <c r="BD63" s="36">
        <f t="shared" si="51"/>
        <v>0</v>
      </c>
      <c r="BE63" s="36">
        <f t="shared" si="51"/>
        <v>0</v>
      </c>
      <c r="BF63" s="36">
        <f t="shared" si="51"/>
        <v>0</v>
      </c>
      <c r="BG63" s="36">
        <f t="shared" si="51"/>
        <v>0</v>
      </c>
      <c r="BH63" s="36">
        <f t="shared" si="51"/>
        <v>0</v>
      </c>
      <c r="BI63" s="36">
        <f t="shared" si="51"/>
        <v>0</v>
      </c>
      <c r="BJ63" s="36">
        <f t="shared" si="51"/>
        <v>0</v>
      </c>
      <c r="BK63" s="36">
        <f t="shared" si="51"/>
        <v>0</v>
      </c>
      <c r="BL63" s="36">
        <f t="shared" si="51"/>
        <v>0</v>
      </c>
      <c r="BM63" s="36">
        <f t="shared" si="51"/>
        <v>0</v>
      </c>
      <c r="BN63" s="36">
        <f t="shared" si="51"/>
        <v>0</v>
      </c>
      <c r="BO63" s="36">
        <f t="shared" si="51"/>
        <v>0</v>
      </c>
      <c r="BP63" s="36">
        <f t="shared" si="51"/>
        <v>0</v>
      </c>
      <c r="BQ63" s="36">
        <f t="shared" si="51"/>
        <v>0</v>
      </c>
      <c r="BR63" s="36">
        <f t="shared" si="51"/>
        <v>0</v>
      </c>
      <c r="BS63" s="36">
        <f t="shared" si="51"/>
        <v>0</v>
      </c>
      <c r="BT63" s="36">
        <f t="shared" si="51"/>
        <v>0</v>
      </c>
      <c r="BU63" s="36">
        <f t="shared" si="51"/>
        <v>0</v>
      </c>
      <c r="BV63" s="36">
        <f t="shared" ref="BV63:CD63" si="52">(BV$23&lt;=$C$32)*(BV$24&gt;=$C$32)*1</f>
        <v>0</v>
      </c>
      <c r="BW63" s="36">
        <f t="shared" si="52"/>
        <v>0</v>
      </c>
      <c r="BX63" s="36">
        <f t="shared" si="52"/>
        <v>0</v>
      </c>
      <c r="BY63" s="36">
        <f t="shared" si="52"/>
        <v>0</v>
      </c>
      <c r="BZ63" s="36">
        <f t="shared" si="52"/>
        <v>0</v>
      </c>
      <c r="CA63" s="36">
        <f t="shared" si="52"/>
        <v>0</v>
      </c>
      <c r="CB63" s="36">
        <f t="shared" si="52"/>
        <v>0</v>
      </c>
      <c r="CC63" s="36">
        <f t="shared" si="52"/>
        <v>0</v>
      </c>
      <c r="CD63" s="36">
        <f t="shared" si="52"/>
        <v>0</v>
      </c>
    </row>
    <row r="64" spans="1:82">
      <c r="B64" s="2" t="s">
        <v>61</v>
      </c>
      <c r="C64" s="15" t="s">
        <v>60</v>
      </c>
      <c r="D64" s="37">
        <f>SUM(I64:AW64)</f>
        <v>36</v>
      </c>
      <c r="I64" s="36">
        <f>($C$32&lt;=I$24)*($D$32&gt;=I$23)*1</f>
        <v>1</v>
      </c>
      <c r="J64" s="36">
        <f t="shared" ref="J64:BU64" si="53">($C$32&lt;=J$24)*($D$32&gt;=J$23)*1</f>
        <v>1</v>
      </c>
      <c r="K64" s="36">
        <f t="shared" si="53"/>
        <v>1</v>
      </c>
      <c r="L64" s="36">
        <f t="shared" si="53"/>
        <v>1</v>
      </c>
      <c r="M64" s="36">
        <f t="shared" si="53"/>
        <v>1</v>
      </c>
      <c r="N64" s="36">
        <f t="shared" si="53"/>
        <v>1</v>
      </c>
      <c r="O64" s="36">
        <f t="shared" si="53"/>
        <v>1</v>
      </c>
      <c r="P64" s="36">
        <f t="shared" si="53"/>
        <v>1</v>
      </c>
      <c r="Q64" s="36">
        <f t="shared" si="53"/>
        <v>1</v>
      </c>
      <c r="R64" s="36">
        <f t="shared" si="53"/>
        <v>1</v>
      </c>
      <c r="S64" s="36">
        <f t="shared" si="53"/>
        <v>1</v>
      </c>
      <c r="T64" s="36">
        <f t="shared" si="53"/>
        <v>1</v>
      </c>
      <c r="U64" s="36">
        <f t="shared" si="53"/>
        <v>1</v>
      </c>
      <c r="V64" s="36">
        <f t="shared" si="53"/>
        <v>1</v>
      </c>
      <c r="W64" s="36">
        <f t="shared" si="53"/>
        <v>1</v>
      </c>
      <c r="X64" s="36">
        <f t="shared" si="53"/>
        <v>1</v>
      </c>
      <c r="Y64" s="36">
        <f t="shared" si="53"/>
        <v>1</v>
      </c>
      <c r="Z64" s="36">
        <f t="shared" si="53"/>
        <v>1</v>
      </c>
      <c r="AA64" s="36">
        <f t="shared" si="53"/>
        <v>1</v>
      </c>
      <c r="AB64" s="36">
        <f t="shared" si="53"/>
        <v>1</v>
      </c>
      <c r="AC64" s="36">
        <f t="shared" si="53"/>
        <v>1</v>
      </c>
      <c r="AD64" s="36">
        <f t="shared" si="53"/>
        <v>1</v>
      </c>
      <c r="AE64" s="36">
        <f t="shared" si="53"/>
        <v>1</v>
      </c>
      <c r="AF64" s="36">
        <f t="shared" si="53"/>
        <v>1</v>
      </c>
      <c r="AG64" s="36">
        <f t="shared" si="53"/>
        <v>1</v>
      </c>
      <c r="AH64" s="36">
        <f t="shared" si="53"/>
        <v>1</v>
      </c>
      <c r="AI64" s="36">
        <f t="shared" si="53"/>
        <v>1</v>
      </c>
      <c r="AJ64" s="36">
        <f t="shared" si="53"/>
        <v>1</v>
      </c>
      <c r="AK64" s="36">
        <f t="shared" si="53"/>
        <v>1</v>
      </c>
      <c r="AL64" s="36">
        <f t="shared" si="53"/>
        <v>1</v>
      </c>
      <c r="AM64" s="36">
        <f t="shared" si="53"/>
        <v>1</v>
      </c>
      <c r="AN64" s="36">
        <f t="shared" si="53"/>
        <v>1</v>
      </c>
      <c r="AO64" s="36">
        <f t="shared" si="53"/>
        <v>1</v>
      </c>
      <c r="AP64" s="36">
        <f t="shared" si="53"/>
        <v>1</v>
      </c>
      <c r="AQ64" s="36">
        <f t="shared" si="53"/>
        <v>1</v>
      </c>
      <c r="AR64" s="36">
        <f t="shared" si="53"/>
        <v>1</v>
      </c>
      <c r="AS64" s="36">
        <f t="shared" si="53"/>
        <v>0</v>
      </c>
      <c r="AT64" s="36">
        <f t="shared" si="53"/>
        <v>0</v>
      </c>
      <c r="AU64" s="36">
        <f t="shared" si="53"/>
        <v>0</v>
      </c>
      <c r="AV64" s="36">
        <f t="shared" si="53"/>
        <v>0</v>
      </c>
      <c r="AW64" s="36">
        <f t="shared" si="53"/>
        <v>0</v>
      </c>
      <c r="AX64" s="36">
        <f t="shared" si="53"/>
        <v>0</v>
      </c>
      <c r="AY64" s="36">
        <f t="shared" si="53"/>
        <v>0</v>
      </c>
      <c r="AZ64" s="36">
        <f t="shared" si="53"/>
        <v>0</v>
      </c>
      <c r="BA64" s="36">
        <f t="shared" si="53"/>
        <v>0</v>
      </c>
      <c r="BB64" s="36">
        <f t="shared" si="53"/>
        <v>0</v>
      </c>
      <c r="BC64" s="36">
        <f t="shared" si="53"/>
        <v>0</v>
      </c>
      <c r="BD64" s="36">
        <f t="shared" si="53"/>
        <v>0</v>
      </c>
      <c r="BE64" s="36">
        <f t="shared" si="53"/>
        <v>0</v>
      </c>
      <c r="BF64" s="36">
        <f t="shared" si="53"/>
        <v>0</v>
      </c>
      <c r="BG64" s="36">
        <f t="shared" si="53"/>
        <v>0</v>
      </c>
      <c r="BH64" s="36">
        <f t="shared" si="53"/>
        <v>0</v>
      </c>
      <c r="BI64" s="36">
        <f t="shared" si="53"/>
        <v>0</v>
      </c>
      <c r="BJ64" s="36">
        <f t="shared" si="53"/>
        <v>0</v>
      </c>
      <c r="BK64" s="36">
        <f t="shared" si="53"/>
        <v>0</v>
      </c>
      <c r="BL64" s="36">
        <f t="shared" si="53"/>
        <v>0</v>
      </c>
      <c r="BM64" s="36">
        <f t="shared" si="53"/>
        <v>0</v>
      </c>
      <c r="BN64" s="36">
        <f t="shared" si="53"/>
        <v>0</v>
      </c>
      <c r="BO64" s="36">
        <f t="shared" si="53"/>
        <v>0</v>
      </c>
      <c r="BP64" s="36">
        <f t="shared" si="53"/>
        <v>0</v>
      </c>
      <c r="BQ64" s="36">
        <f t="shared" si="53"/>
        <v>0</v>
      </c>
      <c r="BR64" s="36">
        <f t="shared" si="53"/>
        <v>0</v>
      </c>
      <c r="BS64" s="36">
        <f t="shared" si="53"/>
        <v>0</v>
      </c>
      <c r="BT64" s="36">
        <f t="shared" si="53"/>
        <v>0</v>
      </c>
      <c r="BU64" s="36">
        <f t="shared" si="53"/>
        <v>0</v>
      </c>
      <c r="BV64" s="36">
        <f t="shared" ref="BV64:CD64" si="54">($C$32&lt;=BV$24)*($D$32&gt;=BV$23)*1</f>
        <v>0</v>
      </c>
      <c r="BW64" s="36">
        <f t="shared" si="54"/>
        <v>0</v>
      </c>
      <c r="BX64" s="36">
        <f t="shared" si="54"/>
        <v>0</v>
      </c>
      <c r="BY64" s="36">
        <f t="shared" si="54"/>
        <v>0</v>
      </c>
      <c r="BZ64" s="36">
        <f t="shared" si="54"/>
        <v>0</v>
      </c>
      <c r="CA64" s="36">
        <f t="shared" si="54"/>
        <v>0</v>
      </c>
      <c r="CB64" s="36">
        <f t="shared" si="54"/>
        <v>0</v>
      </c>
      <c r="CC64" s="36">
        <f t="shared" si="54"/>
        <v>0</v>
      </c>
      <c r="CD64" s="36">
        <f t="shared" si="54"/>
        <v>0</v>
      </c>
    </row>
    <row r="65" spans="1:82">
      <c r="B65" s="2" t="s">
        <v>62</v>
      </c>
      <c r="C65" s="15" t="s">
        <v>60</v>
      </c>
      <c r="D65" s="37">
        <f>SUM(I65:AI65)</f>
        <v>0</v>
      </c>
      <c r="I65" s="36">
        <f>(I$23&lt;=$D$32)*(I$24&gt;=$D$32)*1</f>
        <v>0</v>
      </c>
      <c r="J65" s="36">
        <f t="shared" ref="J65:BU65" si="55">(J$23&lt;=$D$32)*(J$24&gt;=$D$32)*1</f>
        <v>0</v>
      </c>
      <c r="K65" s="36">
        <f t="shared" si="55"/>
        <v>0</v>
      </c>
      <c r="L65" s="36">
        <f t="shared" si="55"/>
        <v>0</v>
      </c>
      <c r="M65" s="36">
        <f t="shared" si="55"/>
        <v>0</v>
      </c>
      <c r="N65" s="36">
        <f t="shared" si="55"/>
        <v>0</v>
      </c>
      <c r="O65" s="36">
        <f t="shared" si="55"/>
        <v>0</v>
      </c>
      <c r="P65" s="36">
        <f t="shared" si="55"/>
        <v>0</v>
      </c>
      <c r="Q65" s="36">
        <f t="shared" si="55"/>
        <v>0</v>
      </c>
      <c r="R65" s="36">
        <f t="shared" si="55"/>
        <v>0</v>
      </c>
      <c r="S65" s="36">
        <f t="shared" si="55"/>
        <v>0</v>
      </c>
      <c r="T65" s="36">
        <f t="shared" si="55"/>
        <v>0</v>
      </c>
      <c r="U65" s="36">
        <f t="shared" si="55"/>
        <v>0</v>
      </c>
      <c r="V65" s="36">
        <f t="shared" si="55"/>
        <v>0</v>
      </c>
      <c r="W65" s="36">
        <f t="shared" si="55"/>
        <v>0</v>
      </c>
      <c r="X65" s="36">
        <f t="shared" si="55"/>
        <v>0</v>
      </c>
      <c r="Y65" s="36">
        <f t="shared" si="55"/>
        <v>0</v>
      </c>
      <c r="Z65" s="36">
        <f t="shared" si="55"/>
        <v>0</v>
      </c>
      <c r="AA65" s="36">
        <f t="shared" si="55"/>
        <v>0</v>
      </c>
      <c r="AB65" s="36">
        <f t="shared" si="55"/>
        <v>0</v>
      </c>
      <c r="AC65" s="36">
        <f t="shared" si="55"/>
        <v>0</v>
      </c>
      <c r="AD65" s="36">
        <f t="shared" si="55"/>
        <v>0</v>
      </c>
      <c r="AE65" s="36">
        <f t="shared" si="55"/>
        <v>0</v>
      </c>
      <c r="AF65" s="36">
        <f t="shared" si="55"/>
        <v>0</v>
      </c>
      <c r="AG65" s="36">
        <f t="shared" si="55"/>
        <v>0</v>
      </c>
      <c r="AH65" s="36">
        <f t="shared" si="55"/>
        <v>0</v>
      </c>
      <c r="AI65" s="36">
        <f t="shared" si="55"/>
        <v>0</v>
      </c>
      <c r="AJ65" s="36">
        <f t="shared" si="55"/>
        <v>0</v>
      </c>
      <c r="AK65" s="36">
        <f t="shared" si="55"/>
        <v>0</v>
      </c>
      <c r="AL65" s="36">
        <f t="shared" si="55"/>
        <v>0</v>
      </c>
      <c r="AM65" s="36">
        <f t="shared" si="55"/>
        <v>0</v>
      </c>
      <c r="AN65" s="36">
        <f t="shared" si="55"/>
        <v>0</v>
      </c>
      <c r="AO65" s="36">
        <f t="shared" si="55"/>
        <v>0</v>
      </c>
      <c r="AP65" s="36">
        <f t="shared" si="55"/>
        <v>0</v>
      </c>
      <c r="AQ65" s="36">
        <f t="shared" si="55"/>
        <v>0</v>
      </c>
      <c r="AR65" s="36">
        <f t="shared" si="55"/>
        <v>1</v>
      </c>
      <c r="AS65" s="36">
        <f t="shared" si="55"/>
        <v>0</v>
      </c>
      <c r="AT65" s="36">
        <f t="shared" si="55"/>
        <v>0</v>
      </c>
      <c r="AU65" s="36">
        <f t="shared" si="55"/>
        <v>0</v>
      </c>
      <c r="AV65" s="36">
        <f t="shared" si="55"/>
        <v>0</v>
      </c>
      <c r="AW65" s="36">
        <f t="shared" si="55"/>
        <v>0</v>
      </c>
      <c r="AX65" s="36">
        <f t="shared" si="55"/>
        <v>0</v>
      </c>
      <c r="AY65" s="36">
        <f t="shared" si="55"/>
        <v>0</v>
      </c>
      <c r="AZ65" s="36">
        <f t="shared" si="55"/>
        <v>0</v>
      </c>
      <c r="BA65" s="36">
        <f t="shared" si="55"/>
        <v>0</v>
      </c>
      <c r="BB65" s="36">
        <f t="shared" si="55"/>
        <v>0</v>
      </c>
      <c r="BC65" s="36">
        <f t="shared" si="55"/>
        <v>0</v>
      </c>
      <c r="BD65" s="36">
        <f t="shared" si="55"/>
        <v>0</v>
      </c>
      <c r="BE65" s="36">
        <f t="shared" si="55"/>
        <v>0</v>
      </c>
      <c r="BF65" s="36">
        <f t="shared" si="55"/>
        <v>0</v>
      </c>
      <c r="BG65" s="36">
        <f t="shared" si="55"/>
        <v>0</v>
      </c>
      <c r="BH65" s="36">
        <f t="shared" si="55"/>
        <v>0</v>
      </c>
      <c r="BI65" s="36">
        <f t="shared" si="55"/>
        <v>0</v>
      </c>
      <c r="BJ65" s="36">
        <f t="shared" si="55"/>
        <v>0</v>
      </c>
      <c r="BK65" s="36">
        <f t="shared" si="55"/>
        <v>0</v>
      </c>
      <c r="BL65" s="36">
        <f t="shared" si="55"/>
        <v>0</v>
      </c>
      <c r="BM65" s="36">
        <f t="shared" si="55"/>
        <v>0</v>
      </c>
      <c r="BN65" s="36">
        <f t="shared" si="55"/>
        <v>0</v>
      </c>
      <c r="BO65" s="36">
        <f t="shared" si="55"/>
        <v>0</v>
      </c>
      <c r="BP65" s="36">
        <f t="shared" si="55"/>
        <v>0</v>
      </c>
      <c r="BQ65" s="36">
        <f t="shared" si="55"/>
        <v>0</v>
      </c>
      <c r="BR65" s="36">
        <f t="shared" si="55"/>
        <v>0</v>
      </c>
      <c r="BS65" s="36">
        <f t="shared" si="55"/>
        <v>0</v>
      </c>
      <c r="BT65" s="36">
        <f t="shared" si="55"/>
        <v>0</v>
      </c>
      <c r="BU65" s="36">
        <f t="shared" si="55"/>
        <v>0</v>
      </c>
      <c r="BV65" s="36">
        <f t="shared" ref="BV65:CD65" si="56">(BV$23&lt;=$D$32)*(BV$24&gt;=$D$32)*1</f>
        <v>0</v>
      </c>
      <c r="BW65" s="36">
        <f t="shared" si="56"/>
        <v>0</v>
      </c>
      <c r="BX65" s="36">
        <f t="shared" si="56"/>
        <v>0</v>
      </c>
      <c r="BY65" s="36">
        <f t="shared" si="56"/>
        <v>0</v>
      </c>
      <c r="BZ65" s="36">
        <f t="shared" si="56"/>
        <v>0</v>
      </c>
      <c r="CA65" s="36">
        <f t="shared" si="56"/>
        <v>0</v>
      </c>
      <c r="CB65" s="36">
        <f t="shared" si="56"/>
        <v>0</v>
      </c>
      <c r="CC65" s="36">
        <f t="shared" si="56"/>
        <v>0</v>
      </c>
      <c r="CD65" s="36">
        <f t="shared" si="56"/>
        <v>0</v>
      </c>
    </row>
    <row r="66" spans="1:82">
      <c r="A66" s="12"/>
      <c r="B66" s="2" t="s">
        <v>63</v>
      </c>
      <c r="C66" s="15" t="s">
        <v>60</v>
      </c>
      <c r="D66" s="37">
        <f>MAX(I66:AI66)</f>
        <v>27</v>
      </c>
      <c r="I66" s="36">
        <f>SUM($I$64:I64)*I64</f>
        <v>1</v>
      </c>
      <c r="J66" s="36">
        <f>SUM($I$64:J64)*J64</f>
        <v>2</v>
      </c>
      <c r="K66" s="36">
        <f>SUM($I$64:K64)*K64</f>
        <v>3</v>
      </c>
      <c r="L66" s="36">
        <f>SUM($I$64:L64)*L64</f>
        <v>4</v>
      </c>
      <c r="M66" s="36">
        <f>SUM($I$64:M64)*M64</f>
        <v>5</v>
      </c>
      <c r="N66" s="36">
        <f>SUM($I$64:N64)*N64</f>
        <v>6</v>
      </c>
      <c r="O66" s="36">
        <f>SUM($I$64:O64)*O64</f>
        <v>7</v>
      </c>
      <c r="P66" s="36">
        <f>SUM($I$64:P64)*P64</f>
        <v>8</v>
      </c>
      <c r="Q66" s="36">
        <f>SUM($I$64:Q64)*Q64</f>
        <v>9</v>
      </c>
      <c r="R66" s="36">
        <f>SUM($I$64:R64)*R64</f>
        <v>10</v>
      </c>
      <c r="S66" s="36">
        <f>SUM($I$64:S64)*S64</f>
        <v>11</v>
      </c>
      <c r="T66" s="36">
        <f>SUM($I$64:T64)*T64</f>
        <v>12</v>
      </c>
      <c r="U66" s="36">
        <f>SUM($I$64:U64)*U64</f>
        <v>13</v>
      </c>
      <c r="V66" s="36">
        <f>SUM($I$64:V64)*V64</f>
        <v>14</v>
      </c>
      <c r="W66" s="36">
        <f>SUM($I$64:W64)*W64</f>
        <v>15</v>
      </c>
      <c r="X66" s="36">
        <f>SUM($I$64:X64)*X64</f>
        <v>16</v>
      </c>
      <c r="Y66" s="36">
        <f>SUM($I$64:Y64)*Y64</f>
        <v>17</v>
      </c>
      <c r="Z66" s="36">
        <f>SUM($I$64:Z64)*Z64</f>
        <v>18</v>
      </c>
      <c r="AA66" s="36">
        <f>SUM($I$64:AA64)*AA64</f>
        <v>19</v>
      </c>
      <c r="AB66" s="36">
        <f>SUM($I$64:AB64)*AB64</f>
        <v>20</v>
      </c>
      <c r="AC66" s="36">
        <f>SUM($I$64:AC64)*AC64</f>
        <v>21</v>
      </c>
      <c r="AD66" s="36">
        <f>SUM($I$64:AD64)*AD64</f>
        <v>22</v>
      </c>
      <c r="AE66" s="36">
        <f>SUM($I$64:AE64)*AE64</f>
        <v>23</v>
      </c>
      <c r="AF66" s="36">
        <f>SUM($I$64:AF64)*AF64</f>
        <v>24</v>
      </c>
      <c r="AG66" s="36">
        <f>SUM($I$64:AG64)*AG64</f>
        <v>25</v>
      </c>
      <c r="AH66" s="36">
        <f>SUM($I$64:AH64)*AH64</f>
        <v>26</v>
      </c>
      <c r="AI66" s="36">
        <f>SUM($I$64:AI64)*AI64</f>
        <v>27</v>
      </c>
      <c r="AJ66" s="36">
        <f>SUM($I$64:AJ64)*AJ64</f>
        <v>28</v>
      </c>
      <c r="AK66" s="36">
        <f>SUM($I$64:AK64)*AK64</f>
        <v>29</v>
      </c>
      <c r="AL66" s="36">
        <f>SUM($I$64:AL64)*AL64</f>
        <v>30</v>
      </c>
      <c r="AM66" s="36">
        <f>SUM($I$64:AM64)*AM64</f>
        <v>31</v>
      </c>
      <c r="AN66" s="36">
        <f>SUM($I$64:AN64)*AN64</f>
        <v>32</v>
      </c>
      <c r="AO66" s="36">
        <f>SUM($I$64:AO64)*AO64</f>
        <v>33</v>
      </c>
      <c r="AP66" s="36">
        <f>SUM($I$64:AP64)*AP64</f>
        <v>34</v>
      </c>
      <c r="AQ66" s="36">
        <f>SUM($I$64:AQ64)*AQ64</f>
        <v>35</v>
      </c>
      <c r="AR66" s="36">
        <f>SUM($I$64:AR64)*AR64</f>
        <v>36</v>
      </c>
      <c r="AS66" s="36">
        <f>SUM($I$64:AS64)*AS64</f>
        <v>0</v>
      </c>
      <c r="AT66" s="36">
        <f>SUM($I$64:AT64)*AT64</f>
        <v>0</v>
      </c>
      <c r="AU66" s="36">
        <f>SUM($I$64:AU64)*AU64</f>
        <v>0</v>
      </c>
      <c r="AV66" s="36">
        <f>SUM($I$64:AV64)*AV64</f>
        <v>0</v>
      </c>
      <c r="AW66" s="36">
        <f>SUM($I$64:AW64)*AW64</f>
        <v>0</v>
      </c>
      <c r="AX66" s="36">
        <f>SUM($I$64:AX64)*AX64</f>
        <v>0</v>
      </c>
      <c r="AY66" s="36">
        <f>SUM($I$64:AY64)*AY64</f>
        <v>0</v>
      </c>
      <c r="AZ66" s="36">
        <f>SUM($I$64:AZ64)*AZ64</f>
        <v>0</v>
      </c>
      <c r="BA66" s="36">
        <f>SUM($I$64:BA64)*BA64</f>
        <v>0</v>
      </c>
      <c r="BB66" s="36">
        <f>SUM($I$64:BB64)*BB64</f>
        <v>0</v>
      </c>
      <c r="BC66" s="36">
        <f>SUM($I$64:BC64)*BC64</f>
        <v>0</v>
      </c>
      <c r="BD66" s="36">
        <f>SUM($I$64:BD64)*BD64</f>
        <v>0</v>
      </c>
      <c r="BE66" s="36">
        <f>SUM($I$64:BE64)*BE64</f>
        <v>0</v>
      </c>
      <c r="BF66" s="36">
        <f>SUM($I$64:BF64)*BF64</f>
        <v>0</v>
      </c>
      <c r="BG66" s="36">
        <f>SUM($I$64:BG64)*BG64</f>
        <v>0</v>
      </c>
      <c r="BH66" s="36">
        <f>SUM($I$64:BH64)*BH64</f>
        <v>0</v>
      </c>
      <c r="BI66" s="36">
        <f>SUM($I$64:BI64)*BI64</f>
        <v>0</v>
      </c>
      <c r="BJ66" s="36">
        <f>SUM($I$64:BJ64)*BJ64</f>
        <v>0</v>
      </c>
      <c r="BK66" s="36">
        <f>SUM($I$64:BK64)*BK64</f>
        <v>0</v>
      </c>
      <c r="BL66" s="36">
        <f>SUM($I$64:BL64)*BL64</f>
        <v>0</v>
      </c>
      <c r="BM66" s="36">
        <f>SUM($I$64:BM64)*BM64</f>
        <v>0</v>
      </c>
      <c r="BN66" s="36">
        <f>SUM($I$64:BN64)*BN64</f>
        <v>0</v>
      </c>
      <c r="BO66" s="36">
        <f>SUM($I$64:BO64)*BO64</f>
        <v>0</v>
      </c>
      <c r="BP66" s="36">
        <f>SUM($I$64:BP64)*BP64</f>
        <v>0</v>
      </c>
      <c r="BQ66" s="36">
        <f>SUM($I$64:BQ64)*BQ64</f>
        <v>0</v>
      </c>
      <c r="BR66" s="36">
        <f>SUM($I$64:BR64)*BR64</f>
        <v>0</v>
      </c>
      <c r="BS66" s="36">
        <f>SUM($I$64:BS64)*BS64</f>
        <v>0</v>
      </c>
      <c r="BT66" s="36">
        <f>SUM($I$64:BT64)*BT64</f>
        <v>0</v>
      </c>
      <c r="BU66" s="36">
        <f>SUM($I$64:BU64)*BU64</f>
        <v>0</v>
      </c>
      <c r="BV66" s="36">
        <f>SUM($I$64:BV64)*BV64</f>
        <v>0</v>
      </c>
      <c r="BW66" s="36">
        <f>SUM($I$64:BW64)*BW64</f>
        <v>0</v>
      </c>
      <c r="BX66" s="36">
        <f>SUM($I$64:BX64)*BX64</f>
        <v>0</v>
      </c>
      <c r="BY66" s="36">
        <f>SUM($I$64:BY64)*BY64</f>
        <v>0</v>
      </c>
      <c r="BZ66" s="36">
        <f>SUM($I$64:BZ64)*BZ64</f>
        <v>0</v>
      </c>
      <c r="CA66" s="36">
        <f>SUM($I$64:CA64)*CA64</f>
        <v>0</v>
      </c>
      <c r="CB66" s="36">
        <f>SUM($I$64:CB64)*CB64</f>
        <v>0</v>
      </c>
      <c r="CC66" s="36">
        <f>SUM($I$64:CC64)*CC64</f>
        <v>0</v>
      </c>
      <c r="CD66" s="36">
        <f>SUM($I$64:CD64)*CD64</f>
        <v>0</v>
      </c>
    </row>
    <row r="67" spans="1:82">
      <c r="B67" s="2" t="s">
        <v>69</v>
      </c>
      <c r="C67" s="15" t="s">
        <v>72</v>
      </c>
      <c r="I67" s="38">
        <f>IF(I64=1,(MIN($D$32,I24)-MAX($C$32,I23)+1)/I25,0)</f>
        <v>1</v>
      </c>
      <c r="J67" s="38">
        <f t="shared" ref="J67:AH67" si="57">IF(J64=1,(MIN($D$32,J24)-MAX($C$32,J23)+1)/J25,0)</f>
        <v>1</v>
      </c>
      <c r="K67" s="38">
        <f t="shared" si="57"/>
        <v>1</v>
      </c>
      <c r="L67" s="38">
        <f t="shared" si="57"/>
        <v>1</v>
      </c>
      <c r="M67" s="38">
        <f t="shared" si="57"/>
        <v>1</v>
      </c>
      <c r="N67" s="38">
        <f t="shared" si="57"/>
        <v>1</v>
      </c>
      <c r="O67" s="38">
        <f t="shared" si="57"/>
        <v>1</v>
      </c>
      <c r="P67" s="38">
        <f t="shared" si="57"/>
        <v>1</v>
      </c>
      <c r="Q67" s="38">
        <f t="shared" si="57"/>
        <v>1</v>
      </c>
      <c r="R67" s="38">
        <f t="shared" si="57"/>
        <v>1</v>
      </c>
      <c r="S67" s="38">
        <f t="shared" si="57"/>
        <v>1</v>
      </c>
      <c r="T67" s="38">
        <f t="shared" si="57"/>
        <v>1</v>
      </c>
      <c r="U67" s="38">
        <f t="shared" si="57"/>
        <v>1</v>
      </c>
      <c r="V67" s="38">
        <f t="shared" si="57"/>
        <v>1</v>
      </c>
      <c r="W67" s="38">
        <f t="shared" si="57"/>
        <v>1</v>
      </c>
      <c r="X67" s="38">
        <f t="shared" si="57"/>
        <v>1</v>
      </c>
      <c r="Y67" s="38">
        <f t="shared" si="57"/>
        <v>1</v>
      </c>
      <c r="Z67" s="38">
        <f t="shared" si="57"/>
        <v>1</v>
      </c>
      <c r="AA67" s="38">
        <f t="shared" si="57"/>
        <v>1</v>
      </c>
      <c r="AB67" s="38">
        <f t="shared" si="57"/>
        <v>1</v>
      </c>
      <c r="AC67" s="38">
        <f t="shared" si="57"/>
        <v>1</v>
      </c>
      <c r="AD67" s="38">
        <f t="shared" si="57"/>
        <v>1</v>
      </c>
      <c r="AE67" s="38">
        <f t="shared" si="57"/>
        <v>1</v>
      </c>
      <c r="AF67" s="38">
        <f t="shared" si="57"/>
        <v>1</v>
      </c>
      <c r="AG67" s="38">
        <f t="shared" si="57"/>
        <v>1</v>
      </c>
      <c r="AH67" s="38">
        <f t="shared" si="57"/>
        <v>1</v>
      </c>
      <c r="AI67" s="38">
        <f>IF(AI64=1,(MIN($D$32,AI24)-MAX($C$32,AI23)+1)/AI25,0)</f>
        <v>1</v>
      </c>
      <c r="AJ67" s="38">
        <f t="shared" ref="AJ67:AW67" si="58">IF(AJ64=1,(MIN($D$32,AJ24)-MAX($C$32,AJ23)+1)/AJ25,0)</f>
        <v>1</v>
      </c>
      <c r="AK67" s="38">
        <f t="shared" si="58"/>
        <v>1</v>
      </c>
      <c r="AL67" s="38">
        <f t="shared" si="58"/>
        <v>1</v>
      </c>
      <c r="AM67" s="38">
        <f t="shared" si="58"/>
        <v>1</v>
      </c>
      <c r="AN67" s="38">
        <f t="shared" si="58"/>
        <v>1</v>
      </c>
      <c r="AO67" s="38">
        <f t="shared" si="58"/>
        <v>1</v>
      </c>
      <c r="AP67" s="38">
        <f t="shared" si="58"/>
        <v>1</v>
      </c>
      <c r="AQ67" s="38">
        <f t="shared" si="58"/>
        <v>1</v>
      </c>
      <c r="AR67" s="38">
        <f t="shared" si="58"/>
        <v>1</v>
      </c>
      <c r="AS67" s="38">
        <f t="shared" si="58"/>
        <v>0</v>
      </c>
      <c r="AT67" s="38">
        <f t="shared" si="58"/>
        <v>0</v>
      </c>
      <c r="AU67" s="38">
        <f t="shared" si="58"/>
        <v>0</v>
      </c>
      <c r="AV67" s="38">
        <f t="shared" si="58"/>
        <v>0</v>
      </c>
      <c r="AW67" s="38">
        <f t="shared" si="58"/>
        <v>0</v>
      </c>
      <c r="AX67" s="38">
        <f t="shared" ref="AX67:BO67" si="59">IF(AX64=1,(MIN($D$32,AX24)-MAX($C$32,AX23)+1)/AX25,0)</f>
        <v>0</v>
      </c>
      <c r="AY67" s="38">
        <f t="shared" si="59"/>
        <v>0</v>
      </c>
      <c r="AZ67" s="38">
        <f t="shared" si="59"/>
        <v>0</v>
      </c>
      <c r="BA67" s="38">
        <f t="shared" si="59"/>
        <v>0</v>
      </c>
      <c r="BB67" s="38">
        <f t="shared" si="59"/>
        <v>0</v>
      </c>
      <c r="BC67" s="38">
        <f t="shared" si="59"/>
        <v>0</v>
      </c>
      <c r="BD67" s="38">
        <f t="shared" si="59"/>
        <v>0</v>
      </c>
      <c r="BE67" s="38">
        <f t="shared" si="59"/>
        <v>0</v>
      </c>
      <c r="BF67" s="38">
        <f t="shared" si="59"/>
        <v>0</v>
      </c>
      <c r="BG67" s="38">
        <f t="shared" si="59"/>
        <v>0</v>
      </c>
      <c r="BH67" s="38">
        <f t="shared" si="59"/>
        <v>0</v>
      </c>
      <c r="BI67" s="38">
        <f t="shared" si="59"/>
        <v>0</v>
      </c>
      <c r="BJ67" s="38">
        <f t="shared" si="59"/>
        <v>0</v>
      </c>
      <c r="BK67" s="38">
        <f t="shared" si="59"/>
        <v>0</v>
      </c>
      <c r="BL67" s="38">
        <f t="shared" si="59"/>
        <v>0</v>
      </c>
      <c r="BM67" s="38">
        <f t="shared" si="59"/>
        <v>0</v>
      </c>
      <c r="BN67" s="38">
        <f t="shared" si="59"/>
        <v>0</v>
      </c>
      <c r="BO67" s="38">
        <f t="shared" si="59"/>
        <v>0</v>
      </c>
      <c r="BP67" s="38">
        <f t="shared" ref="BP67:CD67" si="60">IF(BP64=1,(MIN($D$32,BP24)-MAX($C$32,BP23)+1)/BP25,0)</f>
        <v>0</v>
      </c>
      <c r="BQ67" s="38">
        <f t="shared" si="60"/>
        <v>0</v>
      </c>
      <c r="BR67" s="38">
        <f t="shared" si="60"/>
        <v>0</v>
      </c>
      <c r="BS67" s="38">
        <f t="shared" si="60"/>
        <v>0</v>
      </c>
      <c r="BT67" s="38">
        <f t="shared" si="60"/>
        <v>0</v>
      </c>
      <c r="BU67" s="38">
        <f t="shared" si="60"/>
        <v>0</v>
      </c>
      <c r="BV67" s="38">
        <f t="shared" si="60"/>
        <v>0</v>
      </c>
      <c r="BW67" s="38">
        <f t="shared" si="60"/>
        <v>0</v>
      </c>
      <c r="BX67" s="38">
        <f t="shared" si="60"/>
        <v>0</v>
      </c>
      <c r="BY67" s="38">
        <f t="shared" si="60"/>
        <v>0</v>
      </c>
      <c r="BZ67" s="38">
        <f t="shared" si="60"/>
        <v>0</v>
      </c>
      <c r="CA67" s="38">
        <f t="shared" si="60"/>
        <v>0</v>
      </c>
      <c r="CB67" s="38">
        <f t="shared" si="60"/>
        <v>0</v>
      </c>
      <c r="CC67" s="38">
        <f t="shared" si="60"/>
        <v>0</v>
      </c>
      <c r="CD67" s="38">
        <f t="shared" si="60"/>
        <v>0</v>
      </c>
    </row>
    <row r="68" spans="1:82">
      <c r="C68" s="15"/>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row>
    <row r="69" spans="1:82">
      <c r="B69" s="2" t="s">
        <v>73</v>
      </c>
      <c r="C69" s="15" t="s">
        <v>60</v>
      </c>
      <c r="D69" s="37">
        <f>SUM(I69:AI69)</f>
        <v>0</v>
      </c>
      <c r="I69" s="36">
        <f>(I$23&lt;=$C$33)*(I$24&gt;=$C$33)*1</f>
        <v>0</v>
      </c>
      <c r="J69" s="36">
        <f t="shared" ref="J69:BU69" si="61">(J$23&lt;=$C$33)*(J$24&gt;=$C$33)*1</f>
        <v>0</v>
      </c>
      <c r="K69" s="36">
        <f t="shared" si="61"/>
        <v>0</v>
      </c>
      <c r="L69" s="36">
        <f t="shared" si="61"/>
        <v>0</v>
      </c>
      <c r="M69" s="36">
        <f t="shared" si="61"/>
        <v>0</v>
      </c>
      <c r="N69" s="36">
        <f t="shared" si="61"/>
        <v>0</v>
      </c>
      <c r="O69" s="36">
        <f t="shared" si="61"/>
        <v>0</v>
      </c>
      <c r="P69" s="36">
        <f t="shared" si="61"/>
        <v>0</v>
      </c>
      <c r="Q69" s="36">
        <f t="shared" si="61"/>
        <v>0</v>
      </c>
      <c r="R69" s="36">
        <f t="shared" si="61"/>
        <v>0</v>
      </c>
      <c r="S69" s="36">
        <f t="shared" si="61"/>
        <v>0</v>
      </c>
      <c r="T69" s="36">
        <f t="shared" si="61"/>
        <v>0</v>
      </c>
      <c r="U69" s="36">
        <f t="shared" si="61"/>
        <v>0</v>
      </c>
      <c r="V69" s="36">
        <f t="shared" si="61"/>
        <v>0</v>
      </c>
      <c r="W69" s="36">
        <f t="shared" si="61"/>
        <v>0</v>
      </c>
      <c r="X69" s="36">
        <f t="shared" si="61"/>
        <v>0</v>
      </c>
      <c r="Y69" s="36">
        <f t="shared" si="61"/>
        <v>0</v>
      </c>
      <c r="Z69" s="36">
        <f t="shared" si="61"/>
        <v>0</v>
      </c>
      <c r="AA69" s="36">
        <f t="shared" si="61"/>
        <v>0</v>
      </c>
      <c r="AB69" s="36">
        <f t="shared" si="61"/>
        <v>0</v>
      </c>
      <c r="AC69" s="36">
        <f t="shared" si="61"/>
        <v>0</v>
      </c>
      <c r="AD69" s="36">
        <f t="shared" si="61"/>
        <v>0</v>
      </c>
      <c r="AE69" s="36">
        <f t="shared" si="61"/>
        <v>0</v>
      </c>
      <c r="AF69" s="36">
        <f t="shared" si="61"/>
        <v>0</v>
      </c>
      <c r="AG69" s="36">
        <f t="shared" si="61"/>
        <v>0</v>
      </c>
      <c r="AH69" s="36">
        <f t="shared" si="61"/>
        <v>0</v>
      </c>
      <c r="AI69" s="36">
        <f t="shared" si="61"/>
        <v>0</v>
      </c>
      <c r="AJ69" s="36">
        <f t="shared" si="61"/>
        <v>0</v>
      </c>
      <c r="AK69" s="36">
        <f t="shared" si="61"/>
        <v>0</v>
      </c>
      <c r="AL69" s="36">
        <f t="shared" si="61"/>
        <v>0</v>
      </c>
      <c r="AM69" s="36">
        <f t="shared" si="61"/>
        <v>0</v>
      </c>
      <c r="AN69" s="36">
        <f t="shared" si="61"/>
        <v>0</v>
      </c>
      <c r="AO69" s="36">
        <f t="shared" si="61"/>
        <v>0</v>
      </c>
      <c r="AP69" s="36">
        <f t="shared" si="61"/>
        <v>0</v>
      </c>
      <c r="AQ69" s="36">
        <f t="shared" si="61"/>
        <v>0</v>
      </c>
      <c r="AR69" s="36">
        <f t="shared" si="61"/>
        <v>0</v>
      </c>
      <c r="AS69" s="36">
        <f t="shared" si="61"/>
        <v>1</v>
      </c>
      <c r="AT69" s="36">
        <f t="shared" si="61"/>
        <v>0</v>
      </c>
      <c r="AU69" s="36">
        <f t="shared" si="61"/>
        <v>0</v>
      </c>
      <c r="AV69" s="36">
        <f t="shared" si="61"/>
        <v>0</v>
      </c>
      <c r="AW69" s="36">
        <f t="shared" si="61"/>
        <v>0</v>
      </c>
      <c r="AX69" s="36">
        <f t="shared" si="61"/>
        <v>0</v>
      </c>
      <c r="AY69" s="36">
        <f t="shared" si="61"/>
        <v>0</v>
      </c>
      <c r="AZ69" s="36">
        <f t="shared" si="61"/>
        <v>0</v>
      </c>
      <c r="BA69" s="36">
        <f t="shared" si="61"/>
        <v>0</v>
      </c>
      <c r="BB69" s="36">
        <f t="shared" si="61"/>
        <v>0</v>
      </c>
      <c r="BC69" s="36">
        <f t="shared" si="61"/>
        <v>0</v>
      </c>
      <c r="BD69" s="36">
        <f t="shared" si="61"/>
        <v>0</v>
      </c>
      <c r="BE69" s="36">
        <f t="shared" si="61"/>
        <v>0</v>
      </c>
      <c r="BF69" s="36">
        <f t="shared" si="61"/>
        <v>0</v>
      </c>
      <c r="BG69" s="36">
        <f t="shared" si="61"/>
        <v>0</v>
      </c>
      <c r="BH69" s="36">
        <f t="shared" si="61"/>
        <v>0</v>
      </c>
      <c r="BI69" s="36">
        <f t="shared" si="61"/>
        <v>0</v>
      </c>
      <c r="BJ69" s="36">
        <f t="shared" si="61"/>
        <v>0</v>
      </c>
      <c r="BK69" s="36">
        <f t="shared" si="61"/>
        <v>0</v>
      </c>
      <c r="BL69" s="36">
        <f t="shared" si="61"/>
        <v>0</v>
      </c>
      <c r="BM69" s="36">
        <f t="shared" si="61"/>
        <v>0</v>
      </c>
      <c r="BN69" s="36">
        <f t="shared" si="61"/>
        <v>0</v>
      </c>
      <c r="BO69" s="36">
        <f t="shared" si="61"/>
        <v>0</v>
      </c>
      <c r="BP69" s="36">
        <f t="shared" si="61"/>
        <v>0</v>
      </c>
      <c r="BQ69" s="36">
        <f t="shared" si="61"/>
        <v>0</v>
      </c>
      <c r="BR69" s="36">
        <f t="shared" si="61"/>
        <v>0</v>
      </c>
      <c r="BS69" s="36">
        <f t="shared" si="61"/>
        <v>0</v>
      </c>
      <c r="BT69" s="36">
        <f t="shared" si="61"/>
        <v>0</v>
      </c>
      <c r="BU69" s="36">
        <f t="shared" si="61"/>
        <v>0</v>
      </c>
      <c r="BV69" s="36">
        <f t="shared" ref="BV69:CD69" si="62">(BV$23&lt;=$C$33)*(BV$24&gt;=$C$33)*1</f>
        <v>0</v>
      </c>
      <c r="BW69" s="36">
        <f t="shared" si="62"/>
        <v>0</v>
      </c>
      <c r="BX69" s="36">
        <f t="shared" si="62"/>
        <v>0</v>
      </c>
      <c r="BY69" s="36">
        <f t="shared" si="62"/>
        <v>0</v>
      </c>
      <c r="BZ69" s="36">
        <f t="shared" si="62"/>
        <v>0</v>
      </c>
      <c r="CA69" s="36">
        <f t="shared" si="62"/>
        <v>0</v>
      </c>
      <c r="CB69" s="36">
        <f t="shared" si="62"/>
        <v>0</v>
      </c>
      <c r="CC69" s="36">
        <f t="shared" si="62"/>
        <v>0</v>
      </c>
      <c r="CD69" s="36">
        <f t="shared" si="62"/>
        <v>0</v>
      </c>
    </row>
    <row r="70" spans="1:82">
      <c r="B70" s="2" t="s">
        <v>74</v>
      </c>
      <c r="C70" s="15" t="s">
        <v>60</v>
      </c>
      <c r="D70" s="37">
        <f>SUM(I70:AI70)</f>
        <v>0</v>
      </c>
      <c r="I70" s="36">
        <f>($C$33&lt;=I$24)*($D$33&gt;=I$23)*1</f>
        <v>0</v>
      </c>
      <c r="J70" s="36">
        <f t="shared" ref="J70:BU70" si="63">($C$33&lt;=J$24)*($D$33&gt;=J$23)*1</f>
        <v>0</v>
      </c>
      <c r="K70" s="36">
        <f t="shared" si="63"/>
        <v>0</v>
      </c>
      <c r="L70" s="36">
        <f t="shared" si="63"/>
        <v>0</v>
      </c>
      <c r="M70" s="36">
        <f t="shared" si="63"/>
        <v>0</v>
      </c>
      <c r="N70" s="36">
        <f t="shared" si="63"/>
        <v>0</v>
      </c>
      <c r="O70" s="36">
        <f t="shared" si="63"/>
        <v>0</v>
      </c>
      <c r="P70" s="36">
        <f t="shared" si="63"/>
        <v>0</v>
      </c>
      <c r="Q70" s="36">
        <f t="shared" si="63"/>
        <v>0</v>
      </c>
      <c r="R70" s="36">
        <f t="shared" si="63"/>
        <v>0</v>
      </c>
      <c r="S70" s="36">
        <f t="shared" si="63"/>
        <v>0</v>
      </c>
      <c r="T70" s="36">
        <f t="shared" si="63"/>
        <v>0</v>
      </c>
      <c r="U70" s="36">
        <f t="shared" si="63"/>
        <v>0</v>
      </c>
      <c r="V70" s="36">
        <f t="shared" si="63"/>
        <v>0</v>
      </c>
      <c r="W70" s="36">
        <f t="shared" si="63"/>
        <v>0</v>
      </c>
      <c r="X70" s="36">
        <f t="shared" si="63"/>
        <v>0</v>
      </c>
      <c r="Y70" s="36">
        <f t="shared" si="63"/>
        <v>0</v>
      </c>
      <c r="Z70" s="36">
        <f t="shared" si="63"/>
        <v>0</v>
      </c>
      <c r="AA70" s="36">
        <f t="shared" si="63"/>
        <v>0</v>
      </c>
      <c r="AB70" s="36">
        <f t="shared" si="63"/>
        <v>0</v>
      </c>
      <c r="AC70" s="36">
        <f t="shared" si="63"/>
        <v>0</v>
      </c>
      <c r="AD70" s="36">
        <f t="shared" si="63"/>
        <v>0</v>
      </c>
      <c r="AE70" s="36">
        <f t="shared" si="63"/>
        <v>0</v>
      </c>
      <c r="AF70" s="36">
        <f t="shared" si="63"/>
        <v>0</v>
      </c>
      <c r="AG70" s="36">
        <f t="shared" si="63"/>
        <v>0</v>
      </c>
      <c r="AH70" s="36">
        <f t="shared" si="63"/>
        <v>0</v>
      </c>
      <c r="AI70" s="36">
        <f t="shared" si="63"/>
        <v>0</v>
      </c>
      <c r="AJ70" s="36">
        <f t="shared" si="63"/>
        <v>0</v>
      </c>
      <c r="AK70" s="36">
        <f t="shared" si="63"/>
        <v>0</v>
      </c>
      <c r="AL70" s="36">
        <f t="shared" si="63"/>
        <v>0</v>
      </c>
      <c r="AM70" s="36">
        <f t="shared" si="63"/>
        <v>0</v>
      </c>
      <c r="AN70" s="36">
        <f t="shared" si="63"/>
        <v>0</v>
      </c>
      <c r="AO70" s="36">
        <f t="shared" si="63"/>
        <v>0</v>
      </c>
      <c r="AP70" s="36">
        <f t="shared" si="63"/>
        <v>0</v>
      </c>
      <c r="AQ70" s="36">
        <f t="shared" si="63"/>
        <v>0</v>
      </c>
      <c r="AR70" s="36">
        <f t="shared" si="63"/>
        <v>0</v>
      </c>
      <c r="AS70" s="36">
        <f t="shared" si="63"/>
        <v>1</v>
      </c>
      <c r="AT70" s="36">
        <f t="shared" si="63"/>
        <v>1</v>
      </c>
      <c r="AU70" s="36">
        <f t="shared" si="63"/>
        <v>1</v>
      </c>
      <c r="AV70" s="36">
        <f t="shared" si="63"/>
        <v>1</v>
      </c>
      <c r="AW70" s="36">
        <f t="shared" si="63"/>
        <v>1</v>
      </c>
      <c r="AX70" s="36">
        <f t="shared" si="63"/>
        <v>1</v>
      </c>
      <c r="AY70" s="36">
        <f t="shared" si="63"/>
        <v>1</v>
      </c>
      <c r="AZ70" s="36">
        <f t="shared" si="63"/>
        <v>1</v>
      </c>
      <c r="BA70" s="36">
        <f t="shared" si="63"/>
        <v>1</v>
      </c>
      <c r="BB70" s="36">
        <f t="shared" si="63"/>
        <v>1</v>
      </c>
      <c r="BC70" s="36">
        <f t="shared" si="63"/>
        <v>1</v>
      </c>
      <c r="BD70" s="36">
        <f t="shared" si="63"/>
        <v>1</v>
      </c>
      <c r="BE70" s="36">
        <f t="shared" si="63"/>
        <v>1</v>
      </c>
      <c r="BF70" s="36">
        <f t="shared" si="63"/>
        <v>1</v>
      </c>
      <c r="BG70" s="36">
        <f t="shared" si="63"/>
        <v>1</v>
      </c>
      <c r="BH70" s="36">
        <f t="shared" si="63"/>
        <v>1</v>
      </c>
      <c r="BI70" s="36">
        <f t="shared" si="63"/>
        <v>1</v>
      </c>
      <c r="BJ70" s="36">
        <f t="shared" si="63"/>
        <v>1</v>
      </c>
      <c r="BK70" s="36">
        <f t="shared" si="63"/>
        <v>1</v>
      </c>
      <c r="BL70" s="36">
        <f t="shared" si="63"/>
        <v>1</v>
      </c>
      <c r="BM70" s="36">
        <f t="shared" si="63"/>
        <v>1</v>
      </c>
      <c r="BN70" s="36">
        <f t="shared" si="63"/>
        <v>1</v>
      </c>
      <c r="BO70" s="36">
        <f t="shared" si="63"/>
        <v>1</v>
      </c>
      <c r="BP70" s="36">
        <f t="shared" si="63"/>
        <v>1</v>
      </c>
      <c r="BQ70" s="36">
        <f t="shared" si="63"/>
        <v>1</v>
      </c>
      <c r="BR70" s="36">
        <f t="shared" si="63"/>
        <v>1</v>
      </c>
      <c r="BS70" s="36">
        <f t="shared" si="63"/>
        <v>1</v>
      </c>
      <c r="BT70" s="36">
        <f t="shared" si="63"/>
        <v>1</v>
      </c>
      <c r="BU70" s="36">
        <f t="shared" si="63"/>
        <v>1</v>
      </c>
      <c r="BV70" s="36">
        <f t="shared" ref="BV70:CD70" si="64">($C$33&lt;=BV$24)*($D$33&gt;=BV$23)*1</f>
        <v>1</v>
      </c>
      <c r="BW70" s="36">
        <f t="shared" si="64"/>
        <v>1</v>
      </c>
      <c r="BX70" s="36">
        <f t="shared" si="64"/>
        <v>1</v>
      </c>
      <c r="BY70" s="36">
        <f t="shared" si="64"/>
        <v>1</v>
      </c>
      <c r="BZ70" s="36">
        <f t="shared" si="64"/>
        <v>1</v>
      </c>
      <c r="CA70" s="36">
        <f t="shared" si="64"/>
        <v>1</v>
      </c>
      <c r="CB70" s="36">
        <f t="shared" si="64"/>
        <v>1</v>
      </c>
      <c r="CC70" s="36">
        <f t="shared" si="64"/>
        <v>1</v>
      </c>
      <c r="CD70" s="36">
        <f t="shared" si="64"/>
        <v>0</v>
      </c>
    </row>
    <row r="71" spans="1:82">
      <c r="B71" s="2" t="s">
        <v>75</v>
      </c>
      <c r="C71" s="15" t="s">
        <v>60</v>
      </c>
      <c r="D71" s="37">
        <f>SUM(I71:AI71)</f>
        <v>0</v>
      </c>
      <c r="I71" s="36">
        <f>(I$23&lt;=$D$33)*(I$24&gt;=$D$33)*1</f>
        <v>0</v>
      </c>
      <c r="J71" s="36">
        <f t="shared" ref="J71:BU71" si="65">(J$23&lt;=$D$33)*(J$24&gt;=$D$33)*1</f>
        <v>0</v>
      </c>
      <c r="K71" s="36">
        <f t="shared" si="65"/>
        <v>0</v>
      </c>
      <c r="L71" s="36">
        <f t="shared" si="65"/>
        <v>0</v>
      </c>
      <c r="M71" s="36">
        <f t="shared" si="65"/>
        <v>0</v>
      </c>
      <c r="N71" s="36">
        <f t="shared" si="65"/>
        <v>0</v>
      </c>
      <c r="O71" s="36">
        <f t="shared" si="65"/>
        <v>0</v>
      </c>
      <c r="P71" s="36">
        <f t="shared" si="65"/>
        <v>0</v>
      </c>
      <c r="Q71" s="36">
        <f t="shared" si="65"/>
        <v>0</v>
      </c>
      <c r="R71" s="36">
        <f t="shared" si="65"/>
        <v>0</v>
      </c>
      <c r="S71" s="36">
        <f t="shared" si="65"/>
        <v>0</v>
      </c>
      <c r="T71" s="36">
        <f t="shared" si="65"/>
        <v>0</v>
      </c>
      <c r="U71" s="36">
        <f t="shared" si="65"/>
        <v>0</v>
      </c>
      <c r="V71" s="36">
        <f t="shared" si="65"/>
        <v>0</v>
      </c>
      <c r="W71" s="36">
        <f t="shared" si="65"/>
        <v>0</v>
      </c>
      <c r="X71" s="36">
        <f t="shared" si="65"/>
        <v>0</v>
      </c>
      <c r="Y71" s="36">
        <f t="shared" si="65"/>
        <v>0</v>
      </c>
      <c r="Z71" s="36">
        <f t="shared" si="65"/>
        <v>0</v>
      </c>
      <c r="AA71" s="36">
        <f t="shared" si="65"/>
        <v>0</v>
      </c>
      <c r="AB71" s="36">
        <f t="shared" si="65"/>
        <v>0</v>
      </c>
      <c r="AC71" s="36">
        <f t="shared" si="65"/>
        <v>0</v>
      </c>
      <c r="AD71" s="36">
        <f t="shared" si="65"/>
        <v>0</v>
      </c>
      <c r="AE71" s="36">
        <f t="shared" si="65"/>
        <v>0</v>
      </c>
      <c r="AF71" s="36">
        <f t="shared" si="65"/>
        <v>0</v>
      </c>
      <c r="AG71" s="36">
        <f t="shared" si="65"/>
        <v>0</v>
      </c>
      <c r="AH71" s="36">
        <f t="shared" si="65"/>
        <v>0</v>
      </c>
      <c r="AI71" s="36">
        <f t="shared" si="65"/>
        <v>0</v>
      </c>
      <c r="AJ71" s="36">
        <f t="shared" si="65"/>
        <v>0</v>
      </c>
      <c r="AK71" s="36">
        <f t="shared" si="65"/>
        <v>0</v>
      </c>
      <c r="AL71" s="36">
        <f t="shared" si="65"/>
        <v>0</v>
      </c>
      <c r="AM71" s="36">
        <f t="shared" si="65"/>
        <v>0</v>
      </c>
      <c r="AN71" s="36">
        <f t="shared" si="65"/>
        <v>0</v>
      </c>
      <c r="AO71" s="36">
        <f t="shared" si="65"/>
        <v>0</v>
      </c>
      <c r="AP71" s="36">
        <f t="shared" si="65"/>
        <v>0</v>
      </c>
      <c r="AQ71" s="36">
        <f t="shared" si="65"/>
        <v>0</v>
      </c>
      <c r="AR71" s="36">
        <f t="shared" si="65"/>
        <v>0</v>
      </c>
      <c r="AS71" s="36">
        <f t="shared" si="65"/>
        <v>0</v>
      </c>
      <c r="AT71" s="36">
        <f t="shared" si="65"/>
        <v>0</v>
      </c>
      <c r="AU71" s="36">
        <f t="shared" si="65"/>
        <v>0</v>
      </c>
      <c r="AV71" s="36">
        <f t="shared" si="65"/>
        <v>0</v>
      </c>
      <c r="AW71" s="36">
        <f t="shared" si="65"/>
        <v>0</v>
      </c>
      <c r="AX71" s="36">
        <f t="shared" si="65"/>
        <v>0</v>
      </c>
      <c r="AY71" s="36">
        <f t="shared" si="65"/>
        <v>0</v>
      </c>
      <c r="AZ71" s="36">
        <f t="shared" si="65"/>
        <v>0</v>
      </c>
      <c r="BA71" s="36">
        <f t="shared" si="65"/>
        <v>0</v>
      </c>
      <c r="BB71" s="36">
        <f t="shared" si="65"/>
        <v>0</v>
      </c>
      <c r="BC71" s="36">
        <f t="shared" si="65"/>
        <v>0</v>
      </c>
      <c r="BD71" s="36">
        <f t="shared" si="65"/>
        <v>0</v>
      </c>
      <c r="BE71" s="36">
        <f t="shared" si="65"/>
        <v>0</v>
      </c>
      <c r="BF71" s="36">
        <f t="shared" si="65"/>
        <v>0</v>
      </c>
      <c r="BG71" s="36">
        <f t="shared" si="65"/>
        <v>0</v>
      </c>
      <c r="BH71" s="36">
        <f t="shared" si="65"/>
        <v>0</v>
      </c>
      <c r="BI71" s="36">
        <f t="shared" si="65"/>
        <v>0</v>
      </c>
      <c r="BJ71" s="36">
        <f t="shared" si="65"/>
        <v>0</v>
      </c>
      <c r="BK71" s="36">
        <f t="shared" si="65"/>
        <v>0</v>
      </c>
      <c r="BL71" s="36">
        <f t="shared" si="65"/>
        <v>0</v>
      </c>
      <c r="BM71" s="36">
        <f t="shared" si="65"/>
        <v>0</v>
      </c>
      <c r="BN71" s="36">
        <f t="shared" si="65"/>
        <v>0</v>
      </c>
      <c r="BO71" s="36">
        <f t="shared" si="65"/>
        <v>0</v>
      </c>
      <c r="BP71" s="36">
        <f t="shared" si="65"/>
        <v>0</v>
      </c>
      <c r="BQ71" s="36">
        <f t="shared" si="65"/>
        <v>0</v>
      </c>
      <c r="BR71" s="36">
        <f t="shared" si="65"/>
        <v>0</v>
      </c>
      <c r="BS71" s="36">
        <f t="shared" si="65"/>
        <v>0</v>
      </c>
      <c r="BT71" s="36">
        <f t="shared" si="65"/>
        <v>0</v>
      </c>
      <c r="BU71" s="36">
        <f t="shared" si="65"/>
        <v>0</v>
      </c>
      <c r="BV71" s="36">
        <f t="shared" ref="BV71:CD71" si="66">(BV$23&lt;=$D$33)*(BV$24&gt;=$D$33)*1</f>
        <v>0</v>
      </c>
      <c r="BW71" s="36">
        <f t="shared" si="66"/>
        <v>0</v>
      </c>
      <c r="BX71" s="36">
        <f t="shared" si="66"/>
        <v>0</v>
      </c>
      <c r="BY71" s="36">
        <f t="shared" si="66"/>
        <v>0</v>
      </c>
      <c r="BZ71" s="36">
        <f t="shared" si="66"/>
        <v>0</v>
      </c>
      <c r="CA71" s="36">
        <f t="shared" si="66"/>
        <v>0</v>
      </c>
      <c r="CB71" s="36">
        <f t="shared" si="66"/>
        <v>0</v>
      </c>
      <c r="CC71" s="36">
        <f t="shared" si="66"/>
        <v>0</v>
      </c>
      <c r="CD71" s="36">
        <f t="shared" si="66"/>
        <v>0</v>
      </c>
    </row>
    <row r="72" spans="1:82">
      <c r="B72" s="2" t="s">
        <v>76</v>
      </c>
      <c r="C72" s="15" t="s">
        <v>60</v>
      </c>
      <c r="D72" s="37">
        <f>MAX(I72:AI72)</f>
        <v>0</v>
      </c>
      <c r="I72" s="36">
        <f>SUM($I$70:I70)*I70</f>
        <v>0</v>
      </c>
      <c r="J72" s="36">
        <f>SUM($I$70:J70)*J70</f>
        <v>0</v>
      </c>
      <c r="K72" s="36">
        <f>SUM($I$70:K70)*K70</f>
        <v>0</v>
      </c>
      <c r="L72" s="36">
        <f>SUM($I$70:L70)*L70</f>
        <v>0</v>
      </c>
      <c r="M72" s="36">
        <f>SUM($I$70:M70)*M70</f>
        <v>0</v>
      </c>
      <c r="N72" s="36">
        <f>SUM($I$70:N70)*N70</f>
        <v>0</v>
      </c>
      <c r="O72" s="36">
        <f>SUM($I$70:O70)*O70</f>
        <v>0</v>
      </c>
      <c r="P72" s="36">
        <f>SUM($I$70:P70)*P70</f>
        <v>0</v>
      </c>
      <c r="Q72" s="36">
        <f>SUM($I$70:Q70)*Q70</f>
        <v>0</v>
      </c>
      <c r="R72" s="36">
        <f>SUM($I$70:R70)*R70</f>
        <v>0</v>
      </c>
      <c r="S72" s="36">
        <f>SUM($I$70:S70)*S70</f>
        <v>0</v>
      </c>
      <c r="T72" s="36">
        <f>SUM($I$70:T70)*T70</f>
        <v>0</v>
      </c>
      <c r="U72" s="36">
        <f>SUM($I$70:U70)*U70</f>
        <v>0</v>
      </c>
      <c r="V72" s="36">
        <f>SUM($I$70:V70)*V70</f>
        <v>0</v>
      </c>
      <c r="W72" s="36">
        <f>SUM($I$70:W70)*W70</f>
        <v>0</v>
      </c>
      <c r="X72" s="36">
        <f>SUM($I$70:X70)*X70</f>
        <v>0</v>
      </c>
      <c r="Y72" s="36">
        <f>SUM($I$70:Y70)*Y70</f>
        <v>0</v>
      </c>
      <c r="Z72" s="36">
        <f>SUM($I$70:Z70)*Z70</f>
        <v>0</v>
      </c>
      <c r="AA72" s="36">
        <f>SUM($I$70:AA70)*AA70</f>
        <v>0</v>
      </c>
      <c r="AB72" s="36">
        <f>SUM($I$70:AB70)*AB70</f>
        <v>0</v>
      </c>
      <c r="AC72" s="36">
        <f>SUM($I$70:AC70)*AC70</f>
        <v>0</v>
      </c>
      <c r="AD72" s="36">
        <f>SUM($I$70:AD70)*AD70</f>
        <v>0</v>
      </c>
      <c r="AE72" s="36">
        <f>SUM($I$70:AE70)*AE70</f>
        <v>0</v>
      </c>
      <c r="AF72" s="36">
        <f>SUM($I$70:AF70)*AF70</f>
        <v>0</v>
      </c>
      <c r="AG72" s="36">
        <f>SUM($I$70:AG70)*AG70</f>
        <v>0</v>
      </c>
      <c r="AH72" s="36">
        <f>SUM($I$70:AH70)*AH70</f>
        <v>0</v>
      </c>
      <c r="AI72" s="36">
        <f>SUM($I$70:AI70)*AI70</f>
        <v>0</v>
      </c>
      <c r="AJ72" s="36">
        <f>SUM($I$70:AJ70)*AJ70</f>
        <v>0</v>
      </c>
      <c r="AK72" s="36">
        <f>SUM($I$70:AK70)*AK70</f>
        <v>0</v>
      </c>
      <c r="AL72" s="36">
        <f>SUM($I$70:AL70)*AL70</f>
        <v>0</v>
      </c>
      <c r="AM72" s="36">
        <f>SUM($I$70:AM70)*AM70</f>
        <v>0</v>
      </c>
      <c r="AN72" s="36">
        <f>SUM($I$70:AN70)*AN70</f>
        <v>0</v>
      </c>
      <c r="AO72" s="36">
        <f>SUM($I$70:AO70)*AO70</f>
        <v>0</v>
      </c>
      <c r="AP72" s="36">
        <f>SUM($I$70:AP70)*AP70</f>
        <v>0</v>
      </c>
      <c r="AQ72" s="36">
        <f>SUM($I$70:AQ70)*AQ70</f>
        <v>0</v>
      </c>
      <c r="AR72" s="36">
        <f>SUM($I$70:AR70)*AR70</f>
        <v>0</v>
      </c>
      <c r="AS72" s="36">
        <f>SUM($I$70:AS70)*AS70</f>
        <v>1</v>
      </c>
      <c r="AT72" s="36">
        <f>SUM($I$70:AT70)*AT70</f>
        <v>2</v>
      </c>
      <c r="AU72" s="36">
        <f>SUM($I$70:AU70)*AU70</f>
        <v>3</v>
      </c>
      <c r="AV72" s="36">
        <f>SUM($I$70:AV70)*AV70</f>
        <v>4</v>
      </c>
      <c r="AW72" s="36">
        <f>SUM($I$70:AW70)*AW70</f>
        <v>5</v>
      </c>
      <c r="AX72" s="36">
        <f>SUM($I$70:AX70)*AX70</f>
        <v>6</v>
      </c>
      <c r="AY72" s="36">
        <f>SUM($I$70:AY70)*AY70</f>
        <v>7</v>
      </c>
      <c r="AZ72" s="36">
        <f>SUM($I$70:AZ70)*AZ70</f>
        <v>8</v>
      </c>
      <c r="BA72" s="36">
        <f>SUM($I$70:BA70)*BA70</f>
        <v>9</v>
      </c>
      <c r="BB72" s="36">
        <f>SUM($I$70:BB70)*BB70</f>
        <v>10</v>
      </c>
      <c r="BC72" s="36">
        <f>SUM($I$70:BC70)*BC70</f>
        <v>11</v>
      </c>
      <c r="BD72" s="36">
        <f>SUM($I$70:BD70)*BD70</f>
        <v>12</v>
      </c>
      <c r="BE72" s="36">
        <f>SUM($I$70:BE70)*BE70</f>
        <v>13</v>
      </c>
      <c r="BF72" s="36">
        <f>SUM($I$70:BF70)*BF70</f>
        <v>14</v>
      </c>
      <c r="BG72" s="36">
        <f>SUM($I$70:BG70)*BG70</f>
        <v>15</v>
      </c>
      <c r="BH72" s="36">
        <f>SUM($I$70:BH70)*BH70</f>
        <v>16</v>
      </c>
      <c r="BI72" s="36">
        <f>SUM($I$70:BI70)*BI70</f>
        <v>17</v>
      </c>
      <c r="BJ72" s="36">
        <f>SUM($I$70:BJ70)*BJ70</f>
        <v>18</v>
      </c>
      <c r="BK72" s="36">
        <f>SUM($I$70:BK70)*BK70</f>
        <v>19</v>
      </c>
      <c r="BL72" s="36">
        <f>SUM($I$70:BL70)*BL70</f>
        <v>20</v>
      </c>
      <c r="BM72" s="36">
        <f>SUM($I$70:BM70)*BM70</f>
        <v>21</v>
      </c>
      <c r="BN72" s="36">
        <f>SUM($I$70:BN70)*BN70</f>
        <v>22</v>
      </c>
      <c r="BO72" s="36">
        <f>SUM($I$70:BO70)*BO70</f>
        <v>23</v>
      </c>
      <c r="BP72" s="36">
        <f>SUM($I$70:BP70)*BP70</f>
        <v>24</v>
      </c>
      <c r="BQ72" s="36">
        <f>SUM($I$70:BQ70)*BQ70</f>
        <v>25</v>
      </c>
      <c r="BR72" s="36">
        <f>SUM($I$70:BR70)*BR70</f>
        <v>26</v>
      </c>
      <c r="BS72" s="36">
        <f>SUM($I$70:BS70)*BS70</f>
        <v>27</v>
      </c>
      <c r="BT72" s="36">
        <f>SUM($I$70:BT70)*BT70</f>
        <v>28</v>
      </c>
      <c r="BU72" s="36">
        <f>SUM($I$70:BU70)*BU70</f>
        <v>29</v>
      </c>
      <c r="BV72" s="36">
        <f>SUM($I$70:BV70)*BV70</f>
        <v>30</v>
      </c>
      <c r="BW72" s="36">
        <f>SUM($I$70:BW70)*BW70</f>
        <v>31</v>
      </c>
      <c r="BX72" s="36">
        <f>SUM($I$70:BX70)*BX70</f>
        <v>32</v>
      </c>
      <c r="BY72" s="36">
        <f>SUM($I$70:BY70)*BY70</f>
        <v>33</v>
      </c>
      <c r="BZ72" s="36">
        <f>SUM($I$70:BZ70)*BZ70</f>
        <v>34</v>
      </c>
      <c r="CA72" s="36">
        <f>SUM($I$70:CA70)*CA70</f>
        <v>35</v>
      </c>
      <c r="CB72" s="36">
        <f>SUM($I$70:CB70)*CB70</f>
        <v>36</v>
      </c>
      <c r="CC72" s="36">
        <f>SUM($I$70:CC70)*CC70</f>
        <v>37</v>
      </c>
      <c r="CD72" s="36">
        <f>SUM($I$70:CD70)*CD70</f>
        <v>0</v>
      </c>
    </row>
    <row r="73" spans="1:82">
      <c r="B73" s="2" t="s">
        <v>69</v>
      </c>
      <c r="C73" s="15" t="s">
        <v>72</v>
      </c>
      <c r="I73" s="38">
        <f>IF(I70=1,(MIN($D$33,I24)-MAX($C$33,I23)+1)/I25,0)</f>
        <v>0</v>
      </c>
      <c r="J73" s="38">
        <f t="shared" ref="J73:AH73" si="67">IF(J70=1,(MIN($D$33,J24)-MAX($C$33,J23)+1)/J25,0)</f>
        <v>0</v>
      </c>
      <c r="K73" s="38">
        <f t="shared" si="67"/>
        <v>0</v>
      </c>
      <c r="L73" s="38">
        <f t="shared" si="67"/>
        <v>0</v>
      </c>
      <c r="M73" s="38">
        <f t="shared" si="67"/>
        <v>0</v>
      </c>
      <c r="N73" s="38">
        <f t="shared" si="67"/>
        <v>0</v>
      </c>
      <c r="O73" s="38">
        <f t="shared" si="67"/>
        <v>0</v>
      </c>
      <c r="P73" s="38">
        <f t="shared" si="67"/>
        <v>0</v>
      </c>
      <c r="Q73" s="38">
        <f t="shared" si="67"/>
        <v>0</v>
      </c>
      <c r="R73" s="38">
        <f t="shared" si="67"/>
        <v>0</v>
      </c>
      <c r="S73" s="38">
        <f t="shared" si="67"/>
        <v>0</v>
      </c>
      <c r="T73" s="38">
        <f t="shared" si="67"/>
        <v>0</v>
      </c>
      <c r="U73" s="38">
        <f t="shared" si="67"/>
        <v>0</v>
      </c>
      <c r="V73" s="38">
        <f t="shared" si="67"/>
        <v>0</v>
      </c>
      <c r="W73" s="38">
        <f t="shared" si="67"/>
        <v>0</v>
      </c>
      <c r="X73" s="38">
        <f t="shared" si="67"/>
        <v>0</v>
      </c>
      <c r="Y73" s="38">
        <f t="shared" si="67"/>
        <v>0</v>
      </c>
      <c r="Z73" s="38">
        <f t="shared" si="67"/>
        <v>0</v>
      </c>
      <c r="AA73" s="38">
        <f t="shared" si="67"/>
        <v>0</v>
      </c>
      <c r="AB73" s="38">
        <f t="shared" si="67"/>
        <v>0</v>
      </c>
      <c r="AC73" s="38">
        <f t="shared" si="67"/>
        <v>0</v>
      </c>
      <c r="AD73" s="38">
        <f t="shared" si="67"/>
        <v>0</v>
      </c>
      <c r="AE73" s="38">
        <f t="shared" si="67"/>
        <v>0</v>
      </c>
      <c r="AF73" s="38">
        <f t="shared" si="67"/>
        <v>0</v>
      </c>
      <c r="AG73" s="38">
        <f t="shared" si="67"/>
        <v>0</v>
      </c>
      <c r="AH73" s="38">
        <f t="shared" si="67"/>
        <v>0</v>
      </c>
      <c r="AI73" s="38">
        <f>IF(AI70=1,(MIN($D$33,AI24)-MAX($C$33,AI23)+1)/AI25,0)</f>
        <v>0</v>
      </c>
      <c r="AJ73" s="38">
        <f t="shared" ref="AJ73:AW73" si="68">IF(AJ70=1,(MIN($D$33,AJ24)-MAX($C$33,AJ23)+1)/AJ25,0)</f>
        <v>0</v>
      </c>
      <c r="AK73" s="38">
        <f t="shared" si="68"/>
        <v>0</v>
      </c>
      <c r="AL73" s="38">
        <f t="shared" si="68"/>
        <v>0</v>
      </c>
      <c r="AM73" s="38">
        <f t="shared" si="68"/>
        <v>0</v>
      </c>
      <c r="AN73" s="38">
        <f t="shared" si="68"/>
        <v>0</v>
      </c>
      <c r="AO73" s="38">
        <f t="shared" si="68"/>
        <v>0</v>
      </c>
      <c r="AP73" s="38">
        <f t="shared" si="68"/>
        <v>0</v>
      </c>
      <c r="AQ73" s="38">
        <f t="shared" si="68"/>
        <v>0</v>
      </c>
      <c r="AR73" s="38">
        <f t="shared" si="68"/>
        <v>0</v>
      </c>
      <c r="AS73" s="38">
        <f t="shared" si="68"/>
        <v>1</v>
      </c>
      <c r="AT73" s="38">
        <f t="shared" si="68"/>
        <v>1</v>
      </c>
      <c r="AU73" s="38">
        <f t="shared" si="68"/>
        <v>1</v>
      </c>
      <c r="AV73" s="38">
        <f t="shared" si="68"/>
        <v>1</v>
      </c>
      <c r="AW73" s="38">
        <f t="shared" si="68"/>
        <v>1</v>
      </c>
      <c r="AX73" s="38">
        <f t="shared" ref="AX73:BP73" si="69">IF(AX70=1,(MIN($D$33,AX24)-MAX($C$33,AX23)+1)/AX25,0)</f>
        <v>1</v>
      </c>
      <c r="AY73" s="38">
        <f t="shared" si="69"/>
        <v>1</v>
      </c>
      <c r="AZ73" s="38">
        <f t="shared" si="69"/>
        <v>1</v>
      </c>
      <c r="BA73" s="38">
        <f t="shared" si="69"/>
        <v>1</v>
      </c>
      <c r="BB73" s="38">
        <f t="shared" si="69"/>
        <v>1</v>
      </c>
      <c r="BC73" s="38">
        <f t="shared" si="69"/>
        <v>1</v>
      </c>
      <c r="BD73" s="38">
        <f t="shared" si="69"/>
        <v>1</v>
      </c>
      <c r="BE73" s="38">
        <f t="shared" si="69"/>
        <v>1</v>
      </c>
      <c r="BF73" s="38">
        <f t="shared" si="69"/>
        <v>1</v>
      </c>
      <c r="BG73" s="38">
        <f t="shared" si="69"/>
        <v>1</v>
      </c>
      <c r="BH73" s="38">
        <f t="shared" si="69"/>
        <v>1</v>
      </c>
      <c r="BI73" s="38">
        <f t="shared" si="69"/>
        <v>1</v>
      </c>
      <c r="BJ73" s="38">
        <f t="shared" si="69"/>
        <v>1</v>
      </c>
      <c r="BK73" s="38">
        <f t="shared" si="69"/>
        <v>1</v>
      </c>
      <c r="BL73" s="38">
        <f t="shared" si="69"/>
        <v>1</v>
      </c>
      <c r="BM73" s="38">
        <f t="shared" si="69"/>
        <v>1</v>
      </c>
      <c r="BN73" s="38">
        <f t="shared" si="69"/>
        <v>1</v>
      </c>
      <c r="BO73" s="38">
        <f t="shared" si="69"/>
        <v>1</v>
      </c>
      <c r="BP73" s="38">
        <f t="shared" si="69"/>
        <v>1</v>
      </c>
      <c r="BQ73" s="38">
        <f t="shared" ref="BQ73:CD73" si="70">IF(BQ70=1,(MIN($D$33,BQ24)-MAX($C$33,BQ23)+1)/BQ25,0)</f>
        <v>1</v>
      </c>
      <c r="BR73" s="38">
        <f t="shared" si="70"/>
        <v>1</v>
      </c>
      <c r="BS73" s="38">
        <f t="shared" si="70"/>
        <v>1</v>
      </c>
      <c r="BT73" s="38">
        <f t="shared" si="70"/>
        <v>1</v>
      </c>
      <c r="BU73" s="38">
        <f t="shared" si="70"/>
        <v>1</v>
      </c>
      <c r="BV73" s="38">
        <f t="shared" si="70"/>
        <v>1</v>
      </c>
      <c r="BW73" s="38">
        <f t="shared" si="70"/>
        <v>1</v>
      </c>
      <c r="BX73" s="38">
        <f t="shared" si="70"/>
        <v>1</v>
      </c>
      <c r="BY73" s="38">
        <f t="shared" si="70"/>
        <v>1</v>
      </c>
      <c r="BZ73" s="38">
        <f t="shared" si="70"/>
        <v>1</v>
      </c>
      <c r="CA73" s="38">
        <f t="shared" si="70"/>
        <v>1</v>
      </c>
      <c r="CB73" s="38">
        <f t="shared" si="70"/>
        <v>1</v>
      </c>
      <c r="CC73" s="38">
        <f t="shared" si="70"/>
        <v>1</v>
      </c>
      <c r="CD73" s="38">
        <f t="shared" si="70"/>
        <v>0</v>
      </c>
    </row>
    <row r="74" spans="1:82">
      <c r="C74" s="15"/>
    </row>
    <row r="75" spans="1:82">
      <c r="A75" s="6" t="s">
        <v>37</v>
      </c>
      <c r="B75" s="9"/>
      <c r="C75" s="9"/>
      <c r="D75" s="1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row>
    <row r="76" spans="1:82">
      <c r="C76" s="15"/>
    </row>
    <row r="77" spans="1:82">
      <c r="C77" s="15"/>
    </row>
    <row r="78" spans="1:82">
      <c r="B78" s="2" t="s">
        <v>77</v>
      </c>
      <c r="C78" s="15" t="s">
        <v>78</v>
      </c>
    </row>
    <row r="79" spans="1:82">
      <c r="B79" s="2" t="s">
        <v>79</v>
      </c>
      <c r="C79" s="21">
        <v>46753</v>
      </c>
    </row>
    <row r="80" spans="1:82">
      <c r="B80" s="2" t="s">
        <v>38</v>
      </c>
      <c r="C80" s="21">
        <v>46753</v>
      </c>
    </row>
    <row r="81" spans="1:68">
      <c r="B81" s="2" t="s">
        <v>39</v>
      </c>
      <c r="C81" s="21">
        <v>46753</v>
      </c>
    </row>
    <row r="82" spans="1:68">
      <c r="C82" s="15"/>
    </row>
    <row r="83" spans="1:68">
      <c r="B83" s="2" t="s">
        <v>80</v>
      </c>
      <c r="C83" s="15"/>
    </row>
    <row r="84" spans="1:68">
      <c r="B84" s="2" t="s">
        <v>81</v>
      </c>
      <c r="C84" s="15"/>
      <c r="I84" s="146">
        <f>IF('Input '!$F$9=1,'Input '!I62,'Input '!I61)</f>
        <v>2.3E-2</v>
      </c>
      <c r="J84" s="146">
        <f>IF('Input '!$F$9=1,'Input '!J62,'Input '!J61)</f>
        <v>2.3E-2</v>
      </c>
      <c r="K84" s="146">
        <f>IF('Input '!$F$9=1,'Input '!K62,'Input '!K61)</f>
        <v>2.3E-2</v>
      </c>
      <c r="L84" s="146">
        <f>IF('Input '!$F$9=1,'Input '!L62,'Input '!L61)</f>
        <v>2.3E-2</v>
      </c>
      <c r="M84" s="146">
        <f>IF('Input '!$F$9=1,'Input '!M62,'Input '!M61)</f>
        <v>2.3E-2</v>
      </c>
      <c r="N84" s="146">
        <f>IF('Input '!$F$9=1,'Input '!N62,'Input '!N61)</f>
        <v>2.4E-2</v>
      </c>
      <c r="O84" s="146">
        <f>IF('Input '!$F$9=1,'Input '!O62,'Input '!O61)</f>
        <v>2.4E-2</v>
      </c>
      <c r="P84" s="146">
        <f>IF('Input '!$F$9=1,'Input '!P62,'Input '!P61)</f>
        <v>2.4E-2</v>
      </c>
      <c r="Q84" s="146">
        <f>IF('Input '!$F$9=1,'Input '!Q62,'Input '!Q61)</f>
        <v>2.4E-2</v>
      </c>
      <c r="R84" s="146">
        <f>IF('Input '!$F$9=1,'Input '!R62,'Input '!R61)</f>
        <v>2.4E-2</v>
      </c>
      <c r="S84" s="146">
        <f>IF('Input '!$F$9=1,'Input '!S62,'Input '!S61)</f>
        <v>2.4E-2</v>
      </c>
      <c r="T84" s="146">
        <f>IF('Input '!$F$9=1,'Input '!T62,'Input '!T61)</f>
        <v>2.4E-2</v>
      </c>
      <c r="U84" s="146">
        <f>IF('Input '!$F$9=1,'Input '!U62,'Input '!U61)</f>
        <v>2.4E-2</v>
      </c>
      <c r="V84" s="146">
        <f>IF('Input '!$F$9=1,'Input '!V62,'Input '!V61)</f>
        <v>2.4E-2</v>
      </c>
      <c r="W84" s="146">
        <f>IF('Input '!$F$9=1,'Input '!W62,'Input '!W61)</f>
        <v>2.4E-2</v>
      </c>
      <c r="X84" s="146">
        <f>IF('Input '!$F$9=1,'Input '!X62,'Input '!X61)</f>
        <v>2.4E-2</v>
      </c>
      <c r="Y84" s="146">
        <f>IF('Input '!$F$9=1,'Input '!Y62,'Input '!Y61)</f>
        <v>2.4E-2</v>
      </c>
      <c r="Z84" s="146">
        <f>IF('Input '!$F$9=1,'Input '!Z62,'Input '!Z61)</f>
        <v>2.4E-2</v>
      </c>
      <c r="AA84" s="146">
        <f>IF('Input '!$F$9=1,'Input '!AA62,'Input '!AA61)</f>
        <v>2.4E-2</v>
      </c>
      <c r="AB84" s="146">
        <f>IF('Input '!$F$9=1,'Input '!AB62,'Input '!AB61)</f>
        <v>2.4E-2</v>
      </c>
      <c r="AC84" s="146">
        <f>IF('Input '!$F$9=1,'Input '!AC62,'Input '!AC61)</f>
        <v>2.4E-2</v>
      </c>
      <c r="AD84" s="146">
        <f>IF('Input '!$F$9=1,'Input '!AD62,'Input '!AD61)</f>
        <v>2.4E-2</v>
      </c>
      <c r="AE84" s="146">
        <f>IF('Input '!$F$9=1,'Input '!AE62,'Input '!AE61)</f>
        <v>2.4E-2</v>
      </c>
      <c r="AF84" s="146">
        <f>IF('Input '!$F$9=1,'Input '!AF62,'Input '!AF61)</f>
        <v>2.4E-2</v>
      </c>
      <c r="AG84" s="146">
        <f>IF('Input '!$F$9=1,'Input '!AG62,'Input '!AG61)</f>
        <v>2.4E-2</v>
      </c>
      <c r="AH84" s="146">
        <f>IF('Input '!$F$9=1,'Input '!AH62,'Input '!AH61)</f>
        <v>2.4E-2</v>
      </c>
      <c r="AI84" s="146">
        <f>IF('Input '!$F$9=1,'Input '!AI62,'Input '!AI61)</f>
        <v>2.4E-2</v>
      </c>
      <c r="AJ84" s="146">
        <f>IF('Input '!$F$9=1,'Input '!AJ62,'Input '!AJ61)</f>
        <v>2.4E-2</v>
      </c>
      <c r="AK84" s="146">
        <f>IF('Input '!$F$9=1,'Input '!AK62,'Input '!AK61)</f>
        <v>2.4E-2</v>
      </c>
      <c r="AL84" s="146">
        <f>IF('Input '!$F$9=1,'Input '!AL62,'Input '!AL61)</f>
        <v>2.4E-2</v>
      </c>
      <c r="AM84" s="146">
        <f>IF('Input '!$F$9=1,'Input '!AM62,'Input '!AM61)</f>
        <v>0</v>
      </c>
      <c r="AN84" s="146">
        <f>IF('Input '!$F$9=1,'Input '!AN62,'Input '!AN61)</f>
        <v>0</v>
      </c>
      <c r="AO84" s="146">
        <f>IF('Input '!$F$9=1,'Input '!AO62,'Input '!AO61)</f>
        <v>0</v>
      </c>
      <c r="AP84" s="146">
        <f>IF('Input '!$F$9=1,'Input '!AP62,'Input '!AP61)</f>
        <v>0</v>
      </c>
      <c r="AQ84" s="146">
        <f>IF('Input '!$F$9=1,'Input '!AQ62,'Input '!AQ61)</f>
        <v>0</v>
      </c>
      <c r="AR84" s="146">
        <f>IF('Input '!$F$9=1,'Input '!AR62,'Input '!AR61)</f>
        <v>0</v>
      </c>
      <c r="AS84" s="146">
        <f>IF('Input '!$F$9=1,'Input '!AS62,'Input '!AS61)</f>
        <v>0</v>
      </c>
      <c r="AT84" s="146">
        <f>IF('Input '!$F$9=1,'Input '!AT62,'Input '!AT61)</f>
        <v>0</v>
      </c>
      <c r="AU84" s="146">
        <f>IF('Input '!$F$9=1,'Input '!AU62,'Input '!AU61)</f>
        <v>0</v>
      </c>
      <c r="AV84" s="146">
        <f>IF('Input '!$F$9=1,'Input '!AV62,'Input '!AV61)</f>
        <v>0</v>
      </c>
      <c r="AW84" s="146">
        <f>IF('Input '!$F$9=1,'Input '!AW62,'Input '!AW61)</f>
        <v>0</v>
      </c>
      <c r="AX84" s="146">
        <f>IF('Input '!$F$9=1,'Input '!AX62,'Input '!AX61)</f>
        <v>0</v>
      </c>
      <c r="AY84" s="146">
        <f>IF('Input '!$F$9=1,'Input '!AY62,'Input '!AY61)</f>
        <v>0</v>
      </c>
      <c r="AZ84" s="146">
        <f>IF('Input '!$F$9=1,'Input '!AZ62,'Input '!AZ61)</f>
        <v>0</v>
      </c>
      <c r="BA84" s="146">
        <f>IF('Input '!$F$9=1,'Input '!BA62,'Input '!BA61)</f>
        <v>0</v>
      </c>
      <c r="BB84" s="146">
        <f>IF('Input '!$F$9=1,'Input '!BB62,'Input '!BB61)</f>
        <v>0</v>
      </c>
      <c r="BC84" s="146">
        <f>IF('Input '!$F$9=1,'Input '!BC62,'Input '!BC61)</f>
        <v>0</v>
      </c>
      <c r="BD84" s="146">
        <f>IF('Input '!$F$9=1,'Input '!BD62,'Input '!BD61)</f>
        <v>0</v>
      </c>
      <c r="BE84" s="146">
        <f>IF('Input '!$F$9=1,'Input '!BE62,'Input '!BE61)</f>
        <v>0</v>
      </c>
      <c r="BF84" s="146">
        <f>IF('Input '!$F$9=1,'Input '!BF62,'Input '!BF61)</f>
        <v>0</v>
      </c>
      <c r="BG84" s="146">
        <f>IF('Input '!$F$9=1,'Input '!BG62,'Input '!BG61)</f>
        <v>0</v>
      </c>
      <c r="BH84" s="146">
        <f>IF('Input '!$F$9=1,'Input '!BH62,'Input '!BH61)</f>
        <v>0</v>
      </c>
      <c r="BI84" s="146">
        <f>IF('Input '!$F$9=1,'Input '!BI62,'Input '!BI61)</f>
        <v>0</v>
      </c>
      <c r="BJ84" s="146">
        <f>IF('Input '!$F$9=1,'Input '!BJ62,'Input '!BJ61)</f>
        <v>0</v>
      </c>
      <c r="BK84" s="146">
        <f>IF('Input '!$F$9=1,'Input '!BK62,'Input '!BK61)</f>
        <v>0</v>
      </c>
      <c r="BL84" s="146">
        <f>IF('Input '!$F$9=1,'Input '!BL62,'Input '!BL61)</f>
        <v>0</v>
      </c>
      <c r="BM84" s="146">
        <f>IF('Input '!$F$9=1,'Input '!BM62,'Input '!BM61)</f>
        <v>0</v>
      </c>
      <c r="BN84" s="146">
        <f>IF('Input '!$F$9=1,'Input '!BN62,'Input '!BN61)</f>
        <v>0</v>
      </c>
      <c r="BO84" s="146">
        <f>IF('Input '!$F$9=1,'Input '!BO62,'Input '!BO61)</f>
        <v>0</v>
      </c>
      <c r="BP84" s="146">
        <f>IF('Input '!$F$9=1,'Input '!BP62,'Input '!BP61)</f>
        <v>0</v>
      </c>
    </row>
    <row r="85" spans="1:68">
      <c r="B85" s="2" t="s">
        <v>82</v>
      </c>
      <c r="C85" s="15"/>
      <c r="I85" s="147">
        <f>1+I84</f>
        <v>1.0229999999999999</v>
      </c>
      <c r="J85" s="147">
        <f t="shared" ref="J85:AI85" si="71">1+J84</f>
        <v>1.0229999999999999</v>
      </c>
      <c r="K85" s="147">
        <f t="shared" si="71"/>
        <v>1.0229999999999999</v>
      </c>
      <c r="L85" s="147">
        <f t="shared" si="71"/>
        <v>1.0229999999999999</v>
      </c>
      <c r="M85" s="147">
        <f t="shared" si="71"/>
        <v>1.0229999999999999</v>
      </c>
      <c r="N85" s="147">
        <f t="shared" si="71"/>
        <v>1.024</v>
      </c>
      <c r="O85" s="147">
        <f t="shared" si="71"/>
        <v>1.024</v>
      </c>
      <c r="P85" s="147">
        <f t="shared" si="71"/>
        <v>1.024</v>
      </c>
      <c r="Q85" s="147">
        <f t="shared" si="71"/>
        <v>1.024</v>
      </c>
      <c r="R85" s="147">
        <f t="shared" si="71"/>
        <v>1.024</v>
      </c>
      <c r="S85" s="147">
        <f t="shared" si="71"/>
        <v>1.024</v>
      </c>
      <c r="T85" s="147">
        <f t="shared" si="71"/>
        <v>1.024</v>
      </c>
      <c r="U85" s="147">
        <f t="shared" si="71"/>
        <v>1.024</v>
      </c>
      <c r="V85" s="147">
        <f t="shared" si="71"/>
        <v>1.024</v>
      </c>
      <c r="W85" s="147">
        <f t="shared" si="71"/>
        <v>1.024</v>
      </c>
      <c r="X85" s="147">
        <f t="shared" si="71"/>
        <v>1.024</v>
      </c>
      <c r="Y85" s="147">
        <f t="shared" si="71"/>
        <v>1.024</v>
      </c>
      <c r="Z85" s="147">
        <f t="shared" si="71"/>
        <v>1.024</v>
      </c>
      <c r="AA85" s="147">
        <f t="shared" si="71"/>
        <v>1.024</v>
      </c>
      <c r="AB85" s="147">
        <f t="shared" si="71"/>
        <v>1.024</v>
      </c>
      <c r="AC85" s="147">
        <f t="shared" si="71"/>
        <v>1.024</v>
      </c>
      <c r="AD85" s="147">
        <f t="shared" si="71"/>
        <v>1.024</v>
      </c>
      <c r="AE85" s="147">
        <f t="shared" si="71"/>
        <v>1.024</v>
      </c>
      <c r="AF85" s="147">
        <f t="shared" si="71"/>
        <v>1.024</v>
      </c>
      <c r="AG85" s="147">
        <f t="shared" si="71"/>
        <v>1.024</v>
      </c>
      <c r="AH85" s="147">
        <f t="shared" si="71"/>
        <v>1.024</v>
      </c>
      <c r="AI85" s="147">
        <f t="shared" si="71"/>
        <v>1.024</v>
      </c>
      <c r="AJ85" s="147">
        <f t="shared" ref="AJ85:AW85" si="72">1+AJ84</f>
        <v>1.024</v>
      </c>
      <c r="AK85" s="147">
        <f t="shared" si="72"/>
        <v>1.024</v>
      </c>
      <c r="AL85" s="147">
        <f t="shared" si="72"/>
        <v>1.024</v>
      </c>
      <c r="AM85" s="147">
        <f t="shared" si="72"/>
        <v>1</v>
      </c>
      <c r="AN85" s="147">
        <f t="shared" si="72"/>
        <v>1</v>
      </c>
      <c r="AO85" s="147">
        <f t="shared" si="72"/>
        <v>1</v>
      </c>
      <c r="AP85" s="147">
        <f t="shared" si="72"/>
        <v>1</v>
      </c>
      <c r="AQ85" s="147">
        <f t="shared" si="72"/>
        <v>1</v>
      </c>
      <c r="AR85" s="147">
        <f t="shared" si="72"/>
        <v>1</v>
      </c>
      <c r="AS85" s="147">
        <f t="shared" si="72"/>
        <v>1</v>
      </c>
      <c r="AT85" s="147">
        <f t="shared" si="72"/>
        <v>1</v>
      </c>
      <c r="AU85" s="147">
        <f t="shared" si="72"/>
        <v>1</v>
      </c>
      <c r="AV85" s="147">
        <f t="shared" si="72"/>
        <v>1</v>
      </c>
      <c r="AW85" s="147">
        <f t="shared" si="72"/>
        <v>1</v>
      </c>
      <c r="AX85" s="147">
        <f t="shared" ref="AX85:BP85" si="73">1+AX84</f>
        <v>1</v>
      </c>
      <c r="AY85" s="147">
        <f t="shared" si="73"/>
        <v>1</v>
      </c>
      <c r="AZ85" s="147">
        <f t="shared" si="73"/>
        <v>1</v>
      </c>
      <c r="BA85" s="147">
        <f t="shared" si="73"/>
        <v>1</v>
      </c>
      <c r="BB85" s="147">
        <f t="shared" si="73"/>
        <v>1</v>
      </c>
      <c r="BC85" s="147">
        <f t="shared" si="73"/>
        <v>1</v>
      </c>
      <c r="BD85" s="147">
        <f t="shared" si="73"/>
        <v>1</v>
      </c>
      <c r="BE85" s="147">
        <f t="shared" si="73"/>
        <v>1</v>
      </c>
      <c r="BF85" s="147">
        <f t="shared" si="73"/>
        <v>1</v>
      </c>
      <c r="BG85" s="147">
        <f t="shared" si="73"/>
        <v>1</v>
      </c>
      <c r="BH85" s="147">
        <f t="shared" si="73"/>
        <v>1</v>
      </c>
      <c r="BI85" s="147">
        <f t="shared" si="73"/>
        <v>1</v>
      </c>
      <c r="BJ85" s="147">
        <f t="shared" si="73"/>
        <v>1</v>
      </c>
      <c r="BK85" s="147">
        <f t="shared" si="73"/>
        <v>1</v>
      </c>
      <c r="BL85" s="147">
        <f t="shared" si="73"/>
        <v>1</v>
      </c>
      <c r="BM85" s="147">
        <f t="shared" si="73"/>
        <v>1</v>
      </c>
      <c r="BN85" s="147">
        <f t="shared" si="73"/>
        <v>1</v>
      </c>
      <c r="BO85" s="147">
        <f t="shared" si="73"/>
        <v>1</v>
      </c>
      <c r="BP85" s="147">
        <f t="shared" si="73"/>
        <v>1</v>
      </c>
    </row>
    <row r="86" spans="1:68">
      <c r="B86" s="2" t="s">
        <v>83</v>
      </c>
      <c r="C86" s="15"/>
      <c r="D86" s="104">
        <f>'Input '!F64</f>
        <v>0.03</v>
      </c>
    </row>
    <row r="87" spans="1:68">
      <c r="B87" s="2" t="s">
        <v>84</v>
      </c>
      <c r="C87" s="15"/>
      <c r="D87" s="104">
        <f>'Input '!F65</f>
        <v>0.03</v>
      </c>
    </row>
    <row r="88" spans="1:68">
      <c r="C88" s="15"/>
    </row>
    <row r="89" spans="1:68" ht="11.45" customHeight="1">
      <c r="B89" s="2" t="s">
        <v>79</v>
      </c>
      <c r="C89" s="15" t="s">
        <v>85</v>
      </c>
      <c r="I89" s="148">
        <f>IF(I4&lt;=$C$79,1,PRODUCT($I$85:I85))</f>
        <v>1</v>
      </c>
      <c r="J89" s="148">
        <f>IF(J4&lt;=$C$79,1,PRODUCT($I$85:J85))</f>
        <v>1</v>
      </c>
      <c r="K89" s="148">
        <f>IF(K4&lt;=$C$79,1,PRODUCT($I$85:K85))</f>
        <v>1.0705991669999997</v>
      </c>
      <c r="L89" s="148">
        <f>IF(L4&lt;=$C$79,1,PRODUCT($I$85:L85))</f>
        <v>1.0952229478409996</v>
      </c>
      <c r="M89" s="148">
        <f>IF(M4&lt;=$C$79,1,PRODUCT($I$85:M85))</f>
        <v>1.1204130756413424</v>
      </c>
      <c r="N89" s="148">
        <f>IF(N4&lt;=$C$79,1,PRODUCT($I$85:N85))</f>
        <v>1.1473029894567346</v>
      </c>
      <c r="O89" s="148">
        <f>IF(O4&lt;=$C$79,1,PRODUCT($I$85:O85))</f>
        <v>1.1748382612036963</v>
      </c>
      <c r="P89" s="148">
        <f>IF(P4&lt;=$C$79,1,PRODUCT($I$85:P85))</f>
        <v>1.2030343794725851</v>
      </c>
      <c r="Q89" s="148">
        <f>IF(Q4&lt;=$C$79,1,PRODUCT($I$85:Q85))</f>
        <v>1.2319072045799271</v>
      </c>
      <c r="R89" s="148">
        <f>IF(R4&lt;=$C$79,1,PRODUCT($I$85:R85))</f>
        <v>1.2614729774898454</v>
      </c>
      <c r="S89" s="148">
        <f>IF(S4&lt;=$C$79,1,PRODUCT($I$85:S85))</f>
        <v>1.2917483289496017</v>
      </c>
      <c r="T89" s="148">
        <f>IF(T4&lt;=$C$79,1,PRODUCT($I$85:T85))</f>
        <v>1.3227502888443921</v>
      </c>
      <c r="U89" s="148">
        <f>IF(U4&lt;=$C$79,1,PRODUCT($I$85:U85))</f>
        <v>1.3544962957766575</v>
      </c>
      <c r="V89" s="148">
        <f>IF(V4&lt;=$C$79,1,PRODUCT($I$85:V85))</f>
        <v>1.3870042068752972</v>
      </c>
      <c r="W89" s="148">
        <f>IF(W4&lt;=$C$79,1,PRODUCT($I$85:W85))</f>
        <v>1.4202923078403045</v>
      </c>
      <c r="X89" s="148">
        <f>IF(X4&lt;=$C$79,1,PRODUCT($I$85:X85))</f>
        <v>1.4543793232284719</v>
      </c>
      <c r="Y89" s="148">
        <f>IF(Y4&lt;=$C$79,1,PRODUCT($I$85:Y85))</f>
        <v>1.4892844269859553</v>
      </c>
      <c r="Z89" s="148">
        <f>IF(Z4&lt;=$C$79,1,PRODUCT($I$85:Z85))</f>
        <v>1.5250272532336182</v>
      </c>
      <c r="AA89" s="148">
        <f>IF(AA4&lt;=$C$79,1,PRODUCT($I$85:AA85))</f>
        <v>1.5616279073112251</v>
      </c>
      <c r="AB89" s="148">
        <f>IF(AB4&lt;=$C$79,1,PRODUCT($I$85:AB85))</f>
        <v>1.5991069770866946</v>
      </c>
      <c r="AC89" s="148">
        <f>IF(AC4&lt;=$C$79,1,PRODUCT($I$85:AC85))</f>
        <v>1.6374855445367753</v>
      </c>
      <c r="AD89" s="148">
        <f>IF(AD4&lt;=$C$79,1,PRODUCT($I$85:AD85))</f>
        <v>1.676785197605658</v>
      </c>
      <c r="AE89" s="148">
        <f>IF(AE4&lt;=$C$79,1,PRODUCT($I$85:AE85))</f>
        <v>1.7170280423481938</v>
      </c>
      <c r="AF89" s="148">
        <f>IF(AF4&lt;=$C$79,1,PRODUCT($I$85:AF85))</f>
        <v>1.7582367153645506</v>
      </c>
      <c r="AG89" s="148">
        <f>IF(AG4&lt;=$C$79,1,PRODUCT($I$85:AG85))</f>
        <v>1.8004343965332998</v>
      </c>
      <c r="AH89" s="148">
        <f>IF(AH4&lt;=$C$79,1,PRODUCT($I$85:AH85))</f>
        <v>1.8436448220500992</v>
      </c>
      <c r="AI89" s="148">
        <f>IF(AI4&lt;=$C$79,1,PRODUCT($I$85:AI85))</f>
        <v>1.8878922977793016</v>
      </c>
      <c r="AJ89" s="148">
        <f>IF(AJ4&lt;=$C$79,1,PRODUCT($I$85:AJ85))</f>
        <v>1.9332017129260048</v>
      </c>
      <c r="AK89" s="148">
        <f>IF(AK4&lt;=$C$79,1,PRODUCT($I$85:AK85))</f>
        <v>1.9795985540362291</v>
      </c>
      <c r="AL89" s="148">
        <f>IF(AL4&lt;=$C$79,1,PRODUCT($I$85:AL85))</f>
        <v>2.0271089193330987</v>
      </c>
      <c r="AM89" s="148">
        <f>IF(AM4&lt;=$C$79,1,PRODUCT($I$85:AM85))</f>
        <v>2.0271089193330987</v>
      </c>
      <c r="AN89" s="148">
        <f>IF(AN4&lt;=$C$79,1,PRODUCT($I$85:AN85))</f>
        <v>2.0271089193330987</v>
      </c>
      <c r="AO89" s="148">
        <f>IF(AO4&lt;=$C$79,1,PRODUCT($I$85:AO85))</f>
        <v>2.0271089193330987</v>
      </c>
      <c r="AP89" s="148">
        <f>IF(AP4&lt;=$C$79,1,PRODUCT($I$85:AP85))</f>
        <v>2.0271089193330987</v>
      </c>
      <c r="AQ89" s="148">
        <f>IF(AQ4&lt;=$C$79,1,PRODUCT($I$85:AQ85))</f>
        <v>2.0271089193330987</v>
      </c>
      <c r="AR89" s="148">
        <f>IF(AR4&lt;=$C$79,1,PRODUCT($I$85:AR85))</f>
        <v>2.0271089193330987</v>
      </c>
      <c r="AS89" s="148">
        <f>IF(AS4&lt;=$C$79,1,PRODUCT($I$85:AS85))</f>
        <v>2.0271089193330987</v>
      </c>
      <c r="AT89" s="148">
        <f>IF(AT4&lt;=$C$79,1,PRODUCT($I$85:AT85))</f>
        <v>2.0271089193330987</v>
      </c>
      <c r="AU89" s="148">
        <f>IF(AU4&lt;=$C$79,1,PRODUCT($I$85:AU85))</f>
        <v>2.0271089193330987</v>
      </c>
      <c r="AV89" s="148">
        <f>IF(AV4&lt;=$C$79,1,PRODUCT($I$85:AV85))</f>
        <v>2.0271089193330987</v>
      </c>
      <c r="AW89" s="148">
        <f>IF(AW4&lt;=$C$79,1,PRODUCT($I$85:AW85))</f>
        <v>2.0271089193330987</v>
      </c>
      <c r="AX89" s="148">
        <f>IF(AX4&lt;=$C$79,1,PRODUCT($I$85:AX85))</f>
        <v>1</v>
      </c>
      <c r="AY89" s="148">
        <f>IF(AY4&lt;=$C$79,1,PRODUCT($I$85:AY85))</f>
        <v>1</v>
      </c>
      <c r="AZ89" s="148">
        <f>IF(AZ4&lt;=$C$79,1,PRODUCT($I$85:AZ85))</f>
        <v>1</v>
      </c>
      <c r="BA89" s="148">
        <f>IF(BA4&lt;=$C$79,1,PRODUCT($I$85:BA85))</f>
        <v>1</v>
      </c>
      <c r="BB89" s="148">
        <f>IF(BB4&lt;=$C$79,1,PRODUCT($I$85:BB85))</f>
        <v>1</v>
      </c>
      <c r="BC89" s="148">
        <f>IF(BC4&lt;=$C$79,1,PRODUCT($I$85:BC85))</f>
        <v>1</v>
      </c>
      <c r="BD89" s="148">
        <f>IF(BD4&lt;=$C$79,1,PRODUCT($I$85:BD85))</f>
        <v>1</v>
      </c>
      <c r="BE89" s="148">
        <f>IF(BE4&lt;=$C$79,1,PRODUCT($I$85:BE85))</f>
        <v>1</v>
      </c>
      <c r="BF89" s="148">
        <f>IF(BF4&lt;=$C$79,1,PRODUCT($I$85:BF85))</f>
        <v>1</v>
      </c>
      <c r="BG89" s="148">
        <f>IF(BG4&lt;=$C$79,1,PRODUCT($I$85:BG85))</f>
        <v>1</v>
      </c>
      <c r="BH89" s="148">
        <f>IF(BH4&lt;=$C$79,1,PRODUCT($I$85:BH85))</f>
        <v>1</v>
      </c>
      <c r="BI89" s="148">
        <f>IF(BI4&lt;=$C$79,1,PRODUCT($I$85:BI85))</f>
        <v>1</v>
      </c>
      <c r="BJ89" s="148">
        <f>IF(BJ4&lt;=$C$79,1,PRODUCT($I$85:BJ85))</f>
        <v>1</v>
      </c>
      <c r="BK89" s="148">
        <f>IF(BK4&lt;=$C$79,1,PRODUCT($I$85:BK85))</f>
        <v>1</v>
      </c>
      <c r="BL89" s="148">
        <f>IF(BL4&lt;=$C$79,1,PRODUCT($I$85:BL85))</f>
        <v>1</v>
      </c>
      <c r="BM89" s="148">
        <f>IF(BM4&lt;=$C$79,1,PRODUCT($I$85:BM85))</f>
        <v>1</v>
      </c>
      <c r="BN89" s="148">
        <f>IF(BN4&lt;=$C$79,1,PRODUCT($I$85:BN85))</f>
        <v>1</v>
      </c>
      <c r="BO89" s="148">
        <f>IF(BO4&lt;=$C$79,1,PRODUCT($I$85:BO85))</f>
        <v>1</v>
      </c>
      <c r="BP89" s="148">
        <f>IF(BP4&lt;=$C$79,1,PRODUCT($I$85:BP85))</f>
        <v>1</v>
      </c>
    </row>
    <row r="90" spans="1:68">
      <c r="B90" s="2" t="s">
        <v>38</v>
      </c>
      <c r="C90" s="15" t="s">
        <v>85</v>
      </c>
      <c r="I90" s="148">
        <f t="shared" ref="I90:AI90" si="74">IF(I4&lt;=$C$80,1,(1+$D$86)^((I4-$C$80)/Days_Year))</f>
        <v>1</v>
      </c>
      <c r="J90" s="148">
        <f t="shared" si="74"/>
        <v>1</v>
      </c>
      <c r="K90" s="148">
        <f t="shared" si="74"/>
        <v>1.03</v>
      </c>
      <c r="L90" s="148">
        <f t="shared" si="74"/>
        <v>1.0609</v>
      </c>
      <c r="M90" s="148">
        <f t="shared" si="74"/>
        <v>1.092727</v>
      </c>
      <c r="N90" s="148">
        <f t="shared" si="74"/>
        <v>1.1255088099999999</v>
      </c>
      <c r="O90" s="148">
        <f t="shared" si="74"/>
        <v>1.159367959616866</v>
      </c>
      <c r="P90" s="148">
        <f t="shared" si="74"/>
        <v>1.1941489984053719</v>
      </c>
      <c r="Q90" s="148">
        <f t="shared" si="74"/>
        <v>1.2299734683575332</v>
      </c>
      <c r="R90" s="148">
        <f t="shared" si="74"/>
        <v>1.2668726724082591</v>
      </c>
      <c r="S90" s="148">
        <f t="shared" si="74"/>
        <v>1.3049845298894902</v>
      </c>
      <c r="T90" s="148">
        <f t="shared" si="74"/>
        <v>1.3441340657861749</v>
      </c>
      <c r="U90" s="148">
        <f t="shared" si="74"/>
        <v>1.3844580877597601</v>
      </c>
      <c r="V90" s="148">
        <f t="shared" si="74"/>
        <v>1.425991830392553</v>
      </c>
      <c r="W90" s="148">
        <f t="shared" si="74"/>
        <v>1.4688905356791779</v>
      </c>
      <c r="X90" s="148">
        <f t="shared" si="74"/>
        <v>1.5129572517495531</v>
      </c>
      <c r="Y90" s="148">
        <f t="shared" si="74"/>
        <v>1.5583459693020398</v>
      </c>
      <c r="Z90" s="148">
        <f t="shared" si="74"/>
        <v>1.6050963483811012</v>
      </c>
      <c r="AA90" s="148">
        <f t="shared" si="74"/>
        <v>1.6533831293697996</v>
      </c>
      <c r="AB90" s="148">
        <f t="shared" si="74"/>
        <v>1.7029846232508936</v>
      </c>
      <c r="AC90" s="148">
        <f t="shared" si="74"/>
        <v>1.7540741619484204</v>
      </c>
      <c r="AD90" s="148">
        <f t="shared" si="74"/>
        <v>1.8066963868068733</v>
      </c>
      <c r="AE90" s="148">
        <f t="shared" si="74"/>
        <v>1.8610479855945758</v>
      </c>
      <c r="AF90" s="148">
        <f t="shared" si="74"/>
        <v>1.9168794251624131</v>
      </c>
      <c r="AG90" s="148">
        <f t="shared" si="74"/>
        <v>1.9743858079172858</v>
      </c>
      <c r="AH90" s="148">
        <f t="shared" si="74"/>
        <v>2.0336173821548043</v>
      </c>
      <c r="AI90" s="148">
        <f t="shared" si="74"/>
        <v>2.0947955396192834</v>
      </c>
      <c r="AJ90" s="148">
        <f t="shared" ref="AJ90:AW90" si="75">IF(AJ4&lt;=$C$80,1,(1+$D$86)^((AJ4-$C$80)/Days_Year))</f>
        <v>2.1576394058078621</v>
      </c>
      <c r="AK90" s="148">
        <f t="shared" si="75"/>
        <v>2.222368587982098</v>
      </c>
      <c r="AL90" s="148">
        <f t="shared" si="75"/>
        <v>2.2890396456215609</v>
      </c>
      <c r="AM90" s="148">
        <f t="shared" si="75"/>
        <v>2.3579017772649711</v>
      </c>
      <c r="AN90" s="148">
        <f t="shared" si="75"/>
        <v>2.4286388305829205</v>
      </c>
      <c r="AO90" s="148">
        <f t="shared" si="75"/>
        <v>2.501497995500408</v>
      </c>
      <c r="AP90" s="148">
        <f t="shared" si="75"/>
        <v>2.5765429353654201</v>
      </c>
      <c r="AQ90" s="148">
        <f t="shared" si="75"/>
        <v>2.6540541480433704</v>
      </c>
      <c r="AR90" s="148">
        <f t="shared" si="75"/>
        <v>2.7336757724846716</v>
      </c>
      <c r="AS90" s="148">
        <f t="shared" si="75"/>
        <v>2.8156860456592114</v>
      </c>
      <c r="AT90" s="148">
        <f t="shared" si="75"/>
        <v>2.9001566270289882</v>
      </c>
      <c r="AU90" s="148">
        <f t="shared" si="75"/>
        <v>2.9874032449803116</v>
      </c>
      <c r="AV90" s="148">
        <f t="shared" si="75"/>
        <v>3.0770253423297214</v>
      </c>
      <c r="AW90" s="148">
        <f t="shared" si="75"/>
        <v>3.1693361025996127</v>
      </c>
      <c r="AX90" s="148">
        <f t="shared" ref="AX90:BP90" si="76">IF(AX4&lt;=$C$80,1,(1+$D$86)^((AX4-$C$80)/Days_Year))</f>
        <v>1</v>
      </c>
      <c r="AY90" s="148">
        <f t="shared" si="76"/>
        <v>1</v>
      </c>
      <c r="AZ90" s="148">
        <f t="shared" si="76"/>
        <v>1</v>
      </c>
      <c r="BA90" s="148">
        <f t="shared" si="76"/>
        <v>1</v>
      </c>
      <c r="BB90" s="148">
        <f t="shared" si="76"/>
        <v>1</v>
      </c>
      <c r="BC90" s="148">
        <f t="shared" si="76"/>
        <v>1</v>
      </c>
      <c r="BD90" s="148">
        <f t="shared" si="76"/>
        <v>1</v>
      </c>
      <c r="BE90" s="148">
        <f t="shared" si="76"/>
        <v>1</v>
      </c>
      <c r="BF90" s="148">
        <f t="shared" si="76"/>
        <v>1</v>
      </c>
      <c r="BG90" s="148">
        <f t="shared" si="76"/>
        <v>1</v>
      </c>
      <c r="BH90" s="148">
        <f t="shared" si="76"/>
        <v>1</v>
      </c>
      <c r="BI90" s="148">
        <f t="shared" si="76"/>
        <v>1</v>
      </c>
      <c r="BJ90" s="148">
        <f t="shared" si="76"/>
        <v>1</v>
      </c>
      <c r="BK90" s="148">
        <f t="shared" si="76"/>
        <v>1</v>
      </c>
      <c r="BL90" s="148">
        <f t="shared" si="76"/>
        <v>1</v>
      </c>
      <c r="BM90" s="148">
        <f t="shared" si="76"/>
        <v>1</v>
      </c>
      <c r="BN90" s="148">
        <f t="shared" si="76"/>
        <v>1</v>
      </c>
      <c r="BO90" s="148">
        <f t="shared" si="76"/>
        <v>1</v>
      </c>
      <c r="BP90" s="148">
        <f t="shared" si="76"/>
        <v>1</v>
      </c>
    </row>
    <row r="91" spans="1:68">
      <c r="B91" s="2" t="s">
        <v>39</v>
      </c>
      <c r="C91" s="15" t="s">
        <v>85</v>
      </c>
      <c r="I91" s="148">
        <f t="shared" ref="I91:AI91" si="77">IF(I4&lt;=$C$81,1,(1+$D$87)^((I4-$C$81)/Days_Year))</f>
        <v>1</v>
      </c>
      <c r="J91" s="148">
        <f>IF(J4&lt;=$C$81,1,(1+$D$87)^((J4-$C$81)/Days_Year))</f>
        <v>1</v>
      </c>
      <c r="K91" s="148">
        <f t="shared" si="77"/>
        <v>1.03</v>
      </c>
      <c r="L91" s="148">
        <f t="shared" si="77"/>
        <v>1.0609</v>
      </c>
      <c r="M91" s="148">
        <f t="shared" si="77"/>
        <v>1.092727</v>
      </c>
      <c r="N91" s="148">
        <f t="shared" si="77"/>
        <v>1.1255088099999999</v>
      </c>
      <c r="O91" s="148">
        <f t="shared" si="77"/>
        <v>1.159367959616866</v>
      </c>
      <c r="P91" s="148">
        <f t="shared" si="77"/>
        <v>1.1941489984053719</v>
      </c>
      <c r="Q91" s="148">
        <f t="shared" si="77"/>
        <v>1.2299734683575332</v>
      </c>
      <c r="R91" s="148">
        <f t="shared" si="77"/>
        <v>1.2668726724082591</v>
      </c>
      <c r="S91" s="148">
        <f t="shared" si="77"/>
        <v>1.3049845298894902</v>
      </c>
      <c r="T91" s="148">
        <f t="shared" si="77"/>
        <v>1.3441340657861749</v>
      </c>
      <c r="U91" s="148">
        <f t="shared" si="77"/>
        <v>1.3844580877597601</v>
      </c>
      <c r="V91" s="148">
        <f t="shared" si="77"/>
        <v>1.425991830392553</v>
      </c>
      <c r="W91" s="148">
        <f t="shared" si="77"/>
        <v>1.4688905356791779</v>
      </c>
      <c r="X91" s="148">
        <f t="shared" si="77"/>
        <v>1.5129572517495531</v>
      </c>
      <c r="Y91" s="148">
        <f t="shared" si="77"/>
        <v>1.5583459693020398</v>
      </c>
      <c r="Z91" s="148">
        <f t="shared" si="77"/>
        <v>1.6050963483811012</v>
      </c>
      <c r="AA91" s="148">
        <f t="shared" si="77"/>
        <v>1.6533831293697996</v>
      </c>
      <c r="AB91" s="148">
        <f t="shared" si="77"/>
        <v>1.7029846232508936</v>
      </c>
      <c r="AC91" s="148">
        <f t="shared" si="77"/>
        <v>1.7540741619484204</v>
      </c>
      <c r="AD91" s="148">
        <f t="shared" si="77"/>
        <v>1.8066963868068733</v>
      </c>
      <c r="AE91" s="148">
        <f t="shared" si="77"/>
        <v>1.8610479855945758</v>
      </c>
      <c r="AF91" s="148">
        <f t="shared" si="77"/>
        <v>1.9168794251624131</v>
      </c>
      <c r="AG91" s="148">
        <f t="shared" si="77"/>
        <v>1.9743858079172858</v>
      </c>
      <c r="AH91" s="148">
        <f t="shared" si="77"/>
        <v>2.0336173821548043</v>
      </c>
      <c r="AI91" s="148">
        <f t="shared" si="77"/>
        <v>2.0947955396192834</v>
      </c>
      <c r="AJ91" s="148">
        <f t="shared" ref="AJ91:AW91" si="78">IF(AJ4&lt;=$C$81,1,(1+$D$87)^((AJ4-$C$81)/Days_Year))</f>
        <v>2.1576394058078621</v>
      </c>
      <c r="AK91" s="148">
        <f t="shared" si="78"/>
        <v>2.222368587982098</v>
      </c>
      <c r="AL91" s="148">
        <f t="shared" si="78"/>
        <v>2.2890396456215609</v>
      </c>
      <c r="AM91" s="148">
        <f t="shared" si="78"/>
        <v>2.3579017772649711</v>
      </c>
      <c r="AN91" s="148">
        <f t="shared" si="78"/>
        <v>2.4286388305829205</v>
      </c>
      <c r="AO91" s="148">
        <f t="shared" si="78"/>
        <v>2.501497995500408</v>
      </c>
      <c r="AP91" s="148">
        <f t="shared" si="78"/>
        <v>2.5765429353654201</v>
      </c>
      <c r="AQ91" s="148">
        <f t="shared" si="78"/>
        <v>2.6540541480433704</v>
      </c>
      <c r="AR91" s="148">
        <f t="shared" si="78"/>
        <v>2.7336757724846716</v>
      </c>
      <c r="AS91" s="148">
        <f t="shared" si="78"/>
        <v>2.8156860456592114</v>
      </c>
      <c r="AT91" s="148">
        <f t="shared" si="78"/>
        <v>2.9001566270289882</v>
      </c>
      <c r="AU91" s="148">
        <f t="shared" si="78"/>
        <v>2.9874032449803116</v>
      </c>
      <c r="AV91" s="148">
        <f t="shared" si="78"/>
        <v>3.0770253423297214</v>
      </c>
      <c r="AW91" s="148">
        <f t="shared" si="78"/>
        <v>3.1693361025996127</v>
      </c>
      <c r="AX91" s="148">
        <f t="shared" ref="AX91:BP91" si="79">IF(AX4&lt;=$C$81,1,(1+$D$87)^((AX4-$C$81)/Days_Year))</f>
        <v>1</v>
      </c>
      <c r="AY91" s="148">
        <f t="shared" si="79"/>
        <v>1</v>
      </c>
      <c r="AZ91" s="148">
        <f t="shared" si="79"/>
        <v>1</v>
      </c>
      <c r="BA91" s="148">
        <f t="shared" si="79"/>
        <v>1</v>
      </c>
      <c r="BB91" s="148">
        <f t="shared" si="79"/>
        <v>1</v>
      </c>
      <c r="BC91" s="148">
        <f t="shared" si="79"/>
        <v>1</v>
      </c>
      <c r="BD91" s="148">
        <f t="shared" si="79"/>
        <v>1</v>
      </c>
      <c r="BE91" s="148">
        <f t="shared" si="79"/>
        <v>1</v>
      </c>
      <c r="BF91" s="148">
        <f t="shared" si="79"/>
        <v>1</v>
      </c>
      <c r="BG91" s="148">
        <f t="shared" si="79"/>
        <v>1</v>
      </c>
      <c r="BH91" s="148">
        <f t="shared" si="79"/>
        <v>1</v>
      </c>
      <c r="BI91" s="148">
        <f t="shared" si="79"/>
        <v>1</v>
      </c>
      <c r="BJ91" s="148">
        <f t="shared" si="79"/>
        <v>1</v>
      </c>
      <c r="BK91" s="148">
        <f t="shared" si="79"/>
        <v>1</v>
      </c>
      <c r="BL91" s="148">
        <f t="shared" si="79"/>
        <v>1</v>
      </c>
      <c r="BM91" s="148">
        <f t="shared" si="79"/>
        <v>1</v>
      </c>
      <c r="BN91" s="148">
        <f t="shared" si="79"/>
        <v>1</v>
      </c>
      <c r="BO91" s="148">
        <f t="shared" si="79"/>
        <v>1</v>
      </c>
      <c r="BP91" s="148">
        <f t="shared" si="79"/>
        <v>1</v>
      </c>
    </row>
    <row r="92" spans="1:68" ht="10.15" customHeight="1">
      <c r="B92" s="2" t="s">
        <v>936</v>
      </c>
      <c r="C92" s="15" t="s">
        <v>937</v>
      </c>
      <c r="I92" s="148">
        <f>'Assumption '!M58</f>
        <v>1.03</v>
      </c>
      <c r="J92" s="148">
        <f>'Assumption '!N58</f>
        <v>1.0609</v>
      </c>
      <c r="K92" s="148">
        <f>'Assumption '!O58</f>
        <v>1.092727</v>
      </c>
      <c r="L92" s="148">
        <f>'Assumption '!P58</f>
        <v>1.1255088100000001</v>
      </c>
      <c r="M92" s="148">
        <f>'Assumption '!Q58</f>
        <v>1.1592740743000001</v>
      </c>
      <c r="N92" s="148">
        <f>'Assumption '!R58</f>
        <v>1.1940522965290001</v>
      </c>
      <c r="O92" s="148">
        <f>'Assumption '!S58</f>
        <v>1.2298738654248702</v>
      </c>
      <c r="P92" s="148">
        <f>'Assumption '!T58</f>
        <v>1.2667700813876164</v>
      </c>
      <c r="Q92" s="148">
        <f>'Assumption '!U58</f>
        <v>1.3047731838292449</v>
      </c>
      <c r="R92" s="148">
        <f>'Assumption '!V58</f>
        <v>1.3439163793441222</v>
      </c>
      <c r="S92" s="148">
        <f>'Assumption '!W58</f>
        <v>1.3842338707244459</v>
      </c>
      <c r="T92" s="148">
        <f>'Assumption '!X58</f>
        <v>1.4257608868461793</v>
      </c>
      <c r="U92" s="148">
        <f>'Assumption '!Y58</f>
        <v>1.4685337134515648</v>
      </c>
      <c r="V92" s="148">
        <f>'Assumption '!Z58</f>
        <v>1.5125897248551119</v>
      </c>
      <c r="W92" s="148">
        <f>'Assumption '!AA58</f>
        <v>1.5579674166007653</v>
      </c>
      <c r="X92" s="148">
        <f>'Assumption '!AB58</f>
        <v>1.6047064390987884</v>
      </c>
      <c r="Y92" s="148">
        <f>'Assumption '!AC58</f>
        <v>1.652847632271752</v>
      </c>
      <c r="Z92" s="148">
        <f>'Assumption '!AD58</f>
        <v>1.7024330612399046</v>
      </c>
      <c r="AA92" s="148">
        <f>'Assumption '!AE58</f>
        <v>1.7535060530771018</v>
      </c>
      <c r="AB92" s="148">
        <f>'Assumption '!AF58</f>
        <v>1.806111234669415</v>
      </c>
      <c r="AC92" s="148">
        <f>'Assumption '!AG58</f>
        <v>1.8602945717094976</v>
      </c>
      <c r="AD92" s="148">
        <f>'Assumption '!AH58</f>
        <v>1.9161034088607827</v>
      </c>
      <c r="AE92" s="148">
        <f>'Assumption '!AI58</f>
        <v>1.9735865111266062</v>
      </c>
      <c r="AF92" s="148">
        <f>'Assumption '!AJ58</f>
        <v>2.0327941064604045</v>
      </c>
      <c r="AG92" s="148">
        <f>'Assumption '!AK58</f>
        <v>2.0937779296542165</v>
      </c>
      <c r="AH92" s="148">
        <f>'Assumption '!AL58</f>
        <v>2.1565912675438432</v>
      </c>
      <c r="AI92" s="148">
        <f>'Assumption '!AM58</f>
        <v>2.2212890055701586</v>
      </c>
      <c r="AJ92" s="148">
        <f>'Assumption '!AN58</f>
        <v>2.2879276757372633</v>
      </c>
      <c r="AK92" s="148">
        <f>'Assumption '!AO58</f>
        <v>2.3565655060093813</v>
      </c>
      <c r="AL92" s="148">
        <f>'Assumption '!AP58</f>
        <v>2.4272624711896627</v>
      </c>
      <c r="AM92" s="148">
        <f>'Assumption '!AQ58</f>
        <v>0</v>
      </c>
      <c r="AN92" s="148">
        <f>'Assumption '!AR58</f>
        <v>0</v>
      </c>
      <c r="AO92" s="148">
        <f>'Assumption '!AS58</f>
        <v>0</v>
      </c>
      <c r="AP92" s="148">
        <f>'Assumption '!AT58</f>
        <v>0</v>
      </c>
      <c r="AQ92" s="148">
        <f>'Assumption '!AU58</f>
        <v>0</v>
      </c>
      <c r="AR92" s="148">
        <f>'Assumption '!AV58</f>
        <v>0</v>
      </c>
      <c r="AS92" s="148">
        <f>'Assumption '!AW58</f>
        <v>0</v>
      </c>
      <c r="AT92" s="148">
        <f>'Assumption '!AX58</f>
        <v>0</v>
      </c>
      <c r="AU92" s="148">
        <f>'Assumption '!AY58</f>
        <v>0</v>
      </c>
      <c r="AV92" s="148">
        <f>'Assumption '!AZ58</f>
        <v>0</v>
      </c>
      <c r="AW92" s="148">
        <f>'Assumption '!BA58</f>
        <v>0</v>
      </c>
      <c r="AX92" s="148">
        <f>'Assumption '!BB58</f>
        <v>0</v>
      </c>
      <c r="AY92" s="148">
        <f>'Assumption '!BC58</f>
        <v>0</v>
      </c>
      <c r="AZ92" s="148">
        <f>'Assumption '!BD58</f>
        <v>0</v>
      </c>
      <c r="BA92" s="148">
        <f>'Assumption '!BE58</f>
        <v>0</v>
      </c>
      <c r="BB92" s="148">
        <f>'Assumption '!BF58</f>
        <v>0</v>
      </c>
      <c r="BC92" s="148">
        <f>'Assumption '!BG58</f>
        <v>0</v>
      </c>
      <c r="BD92" s="148">
        <f>'Assumption '!BH58</f>
        <v>0</v>
      </c>
      <c r="BE92" s="148">
        <f>'Assumption '!BI58</f>
        <v>0</v>
      </c>
      <c r="BF92" s="148">
        <f>'Assumption '!BJ58</f>
        <v>0</v>
      </c>
      <c r="BG92" s="148">
        <f>'Assumption '!BK58</f>
        <v>0</v>
      </c>
      <c r="BH92" s="148">
        <f>'Assumption '!BL58</f>
        <v>0</v>
      </c>
      <c r="BI92" s="148">
        <f>'Assumption '!BM58</f>
        <v>0</v>
      </c>
      <c r="BJ92" s="148">
        <f>'Assumption '!BN58</f>
        <v>0</v>
      </c>
      <c r="BK92" s="148">
        <f>'Assumption '!BO58</f>
        <v>0</v>
      </c>
      <c r="BL92" s="148">
        <f>'Assumption '!BP58</f>
        <v>0</v>
      </c>
      <c r="BM92" s="148">
        <f>'Assumption '!BQ58</f>
        <v>0</v>
      </c>
      <c r="BN92" s="148">
        <f>'Assumption '!BR58</f>
        <v>0</v>
      </c>
      <c r="BO92" s="148">
        <f>'Assumption '!BS58</f>
        <v>0</v>
      </c>
      <c r="BP92" s="148">
        <f>'Assumption '!BT58</f>
        <v>0</v>
      </c>
    </row>
    <row r="93" spans="1:68">
      <c r="B93" s="2" t="s">
        <v>1274</v>
      </c>
      <c r="C93" s="15" t="s">
        <v>937</v>
      </c>
      <c r="I93" s="148">
        <f>'Assumption '!M59</f>
        <v>1.03</v>
      </c>
      <c r="J93" s="148">
        <f>'Assumption '!N59</f>
        <v>1.0609</v>
      </c>
      <c r="K93" s="148">
        <f>'Assumption '!O59</f>
        <v>1.092727</v>
      </c>
      <c r="L93" s="148">
        <f>'Assumption '!P59</f>
        <v>1.1255088100000001</v>
      </c>
      <c r="M93" s="148">
        <f>'Assumption '!Q59</f>
        <v>1.1592740743000001</v>
      </c>
      <c r="N93" s="148">
        <f>'Assumption '!R59</f>
        <v>1.1940522965290001</v>
      </c>
      <c r="O93" s="148">
        <f>'Assumption '!S59</f>
        <v>1.2298738654248702</v>
      </c>
      <c r="P93" s="148">
        <f>'Assumption '!T59</f>
        <v>1.2667700813876164</v>
      </c>
      <c r="Q93" s="148">
        <f>'Assumption '!U59</f>
        <v>1.3047731838292449</v>
      </c>
      <c r="R93" s="148">
        <f>'Assumption '!V59</f>
        <v>1.3439163793441222</v>
      </c>
      <c r="S93" s="148">
        <f>'Assumption '!W59</f>
        <v>1.3842338707244459</v>
      </c>
      <c r="T93" s="148">
        <f>'Assumption '!X59</f>
        <v>1.4257608868461793</v>
      </c>
      <c r="U93" s="148">
        <f>'Assumption '!Y59</f>
        <v>1.4685337134515648</v>
      </c>
      <c r="V93" s="148">
        <f>'Assumption '!Z59</f>
        <v>1.5125897248551119</v>
      </c>
      <c r="W93" s="148">
        <f>'Assumption '!AA59</f>
        <v>1.5579674166007653</v>
      </c>
      <c r="X93" s="148">
        <f>'Assumption '!AB59</f>
        <v>1.6047064390987884</v>
      </c>
      <c r="Y93" s="148">
        <f>'Assumption '!AC59</f>
        <v>1.652847632271752</v>
      </c>
      <c r="Z93" s="148">
        <f>'Assumption '!AD59</f>
        <v>1.7024330612399046</v>
      </c>
      <c r="AA93" s="148">
        <f>'Assumption '!AE59</f>
        <v>1.7535060530771018</v>
      </c>
      <c r="AB93" s="148">
        <f>'Assumption '!AF59</f>
        <v>1.806111234669415</v>
      </c>
      <c r="AC93" s="148">
        <f>'Assumption '!AG59</f>
        <v>1.8602945717094976</v>
      </c>
      <c r="AD93" s="148">
        <f>'Assumption '!AH59</f>
        <v>1.9161034088607827</v>
      </c>
      <c r="AE93" s="148">
        <f>'Assumption '!AI59</f>
        <v>1.9735865111266062</v>
      </c>
      <c r="AF93" s="148">
        <f>'Assumption '!AJ59</f>
        <v>2.0327941064604045</v>
      </c>
      <c r="AG93" s="148">
        <f>'Assumption '!AK59</f>
        <v>2.0937779296542165</v>
      </c>
      <c r="AH93" s="148">
        <f>'Assumption '!AL59</f>
        <v>2.1565912675438432</v>
      </c>
      <c r="AI93" s="148">
        <f>'Assumption '!AM59</f>
        <v>2.2212890055701586</v>
      </c>
      <c r="AJ93" s="148">
        <f>'Assumption '!AN59</f>
        <v>2.2879276757372633</v>
      </c>
      <c r="AK93" s="148">
        <f>'Assumption '!AO59</f>
        <v>2.3565655060093813</v>
      </c>
      <c r="AL93" s="148">
        <f>'Assumption '!AP59</f>
        <v>2.4272624711896627</v>
      </c>
      <c r="AM93" s="148">
        <f>'Assumption '!AQ59</f>
        <v>0</v>
      </c>
      <c r="AN93" s="148">
        <f>'Assumption '!AR59</f>
        <v>0</v>
      </c>
      <c r="AO93" s="148">
        <f>'Assumption '!AS59</f>
        <v>0</v>
      </c>
      <c r="AP93" s="148">
        <f>'Assumption '!AT59</f>
        <v>0</v>
      </c>
      <c r="AQ93" s="148">
        <f>'Assumption '!AU59</f>
        <v>0</v>
      </c>
      <c r="AR93" s="148">
        <f>'Assumption '!AV59</f>
        <v>0</v>
      </c>
      <c r="AS93" s="148">
        <f>'Assumption '!AW59</f>
        <v>0</v>
      </c>
      <c r="AT93" s="148">
        <f>'Assumption '!AX59</f>
        <v>0</v>
      </c>
      <c r="AU93" s="148">
        <f>'Assumption '!AY59</f>
        <v>0</v>
      </c>
      <c r="AV93" s="148">
        <f>'Assumption '!AZ59</f>
        <v>0</v>
      </c>
      <c r="AW93" s="148">
        <f>'Assumption '!BA59</f>
        <v>0</v>
      </c>
      <c r="AX93" s="148">
        <f>'Assumption '!BB59</f>
        <v>0</v>
      </c>
      <c r="AY93" s="148">
        <f>'Assumption '!BC59</f>
        <v>0</v>
      </c>
      <c r="AZ93" s="148">
        <f>'Assumption '!BD59</f>
        <v>0</v>
      </c>
      <c r="BA93" s="148">
        <f>'Assumption '!BE59</f>
        <v>0</v>
      </c>
      <c r="BB93" s="148">
        <f>'Assumption '!BF59</f>
        <v>0</v>
      </c>
      <c r="BC93" s="148">
        <f>'Assumption '!BG59</f>
        <v>0</v>
      </c>
      <c r="BD93" s="148">
        <f>'Assumption '!BH59</f>
        <v>0</v>
      </c>
      <c r="BE93" s="148">
        <f>'Assumption '!BI59</f>
        <v>0</v>
      </c>
      <c r="BF93" s="148">
        <f>'Assumption '!BJ59</f>
        <v>0</v>
      </c>
      <c r="BG93" s="148">
        <f>'Assumption '!BK59</f>
        <v>0</v>
      </c>
      <c r="BH93" s="148">
        <f>'Assumption '!BL59</f>
        <v>0</v>
      </c>
      <c r="BI93" s="148">
        <f>'Assumption '!BM59</f>
        <v>0</v>
      </c>
      <c r="BJ93" s="148">
        <f>'Assumption '!BN59</f>
        <v>0</v>
      </c>
      <c r="BK93" s="148">
        <f>'Assumption '!BO59</f>
        <v>0</v>
      </c>
      <c r="BL93" s="148">
        <f>'Assumption '!BP59</f>
        <v>0</v>
      </c>
      <c r="BM93" s="148">
        <f>'Assumption '!BQ59</f>
        <v>0</v>
      </c>
      <c r="BN93" s="148">
        <f>'Assumption '!BR59</f>
        <v>0</v>
      </c>
      <c r="BO93" s="148">
        <f>'Assumption '!BS59</f>
        <v>0</v>
      </c>
      <c r="BP93" s="148">
        <f>'Assumption '!BT59</f>
        <v>0</v>
      </c>
    </row>
    <row r="94" spans="1:68">
      <c r="C94" s="15"/>
      <c r="I94" s="148"/>
      <c r="J94" s="148"/>
      <c r="K94" s="148"/>
      <c r="L94" s="148"/>
      <c r="M94" s="148"/>
      <c r="N94" s="148"/>
      <c r="O94" s="148"/>
      <c r="P94" s="148"/>
      <c r="Q94" s="148"/>
      <c r="R94" s="148"/>
      <c r="S94" s="148"/>
      <c r="T94" s="148"/>
      <c r="U94" s="148"/>
      <c r="V94" s="148"/>
      <c r="W94" s="148"/>
      <c r="X94" s="148"/>
      <c r="Y94" s="148"/>
      <c r="Z94" s="148"/>
      <c r="AA94" s="148"/>
      <c r="AB94" s="148"/>
      <c r="AC94" s="148"/>
      <c r="AD94" s="148"/>
      <c r="AE94" s="148"/>
      <c r="AF94" s="148"/>
      <c r="AG94" s="148"/>
      <c r="AH94" s="148"/>
      <c r="AI94" s="148"/>
      <c r="AJ94" s="148"/>
      <c r="AK94" s="148"/>
      <c r="AL94" s="148"/>
      <c r="AM94" s="148"/>
      <c r="AN94" s="148"/>
      <c r="AO94" s="148"/>
      <c r="AP94" s="148"/>
      <c r="AQ94" s="148"/>
      <c r="AR94" s="148"/>
      <c r="AS94" s="148"/>
      <c r="AT94" s="148"/>
      <c r="AU94" s="148"/>
      <c r="AV94" s="148"/>
      <c r="AW94" s="148"/>
      <c r="AX94" s="148"/>
      <c r="AY94" s="148"/>
    </row>
    <row r="95" spans="1:68">
      <c r="C95" s="15"/>
    </row>
    <row r="96" spans="1:68">
      <c r="A96" s="6" t="s">
        <v>86</v>
      </c>
      <c r="B96" s="9"/>
      <c r="C96" s="9"/>
      <c r="D96" s="1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row>
    <row r="97" spans="1:82">
      <c r="C97" s="15"/>
    </row>
    <row r="98" spans="1:82">
      <c r="C98" s="15"/>
      <c r="D98" s="15" t="s">
        <v>87</v>
      </c>
    </row>
    <row r="99" spans="1:82">
      <c r="B99" s="7" t="s">
        <v>88</v>
      </c>
      <c r="C99" s="15" t="s">
        <v>60</v>
      </c>
      <c r="D99" s="24">
        <f>'Input '!F203</f>
        <v>2</v>
      </c>
      <c r="I99" s="2">
        <f t="shared" ref="I99:AI99" si="80">IF($D$99=0,0,(MOD(I45,$D$99)=0)*I43)</f>
        <v>0</v>
      </c>
      <c r="J99" s="2">
        <f t="shared" si="80"/>
        <v>0</v>
      </c>
      <c r="K99" s="2">
        <f t="shared" si="80"/>
        <v>0</v>
      </c>
      <c r="L99" s="2">
        <f t="shared" si="80"/>
        <v>0</v>
      </c>
      <c r="M99" s="2">
        <f t="shared" si="80"/>
        <v>1</v>
      </c>
      <c r="N99" s="2">
        <f t="shared" si="80"/>
        <v>0</v>
      </c>
      <c r="O99" s="2">
        <f t="shared" si="80"/>
        <v>1</v>
      </c>
      <c r="P99" s="2">
        <f t="shared" si="80"/>
        <v>0</v>
      </c>
      <c r="Q99" s="2">
        <f t="shared" si="80"/>
        <v>1</v>
      </c>
      <c r="R99" s="2">
        <f t="shared" si="80"/>
        <v>0</v>
      </c>
      <c r="S99" s="2">
        <f t="shared" si="80"/>
        <v>1</v>
      </c>
      <c r="T99" s="2">
        <f t="shared" si="80"/>
        <v>0</v>
      </c>
      <c r="U99" s="2">
        <f t="shared" si="80"/>
        <v>1</v>
      </c>
      <c r="V99" s="2">
        <f t="shared" si="80"/>
        <v>0</v>
      </c>
      <c r="W99" s="2">
        <f t="shared" si="80"/>
        <v>1</v>
      </c>
      <c r="X99" s="2">
        <f t="shared" si="80"/>
        <v>0</v>
      </c>
      <c r="Y99" s="2">
        <f t="shared" si="80"/>
        <v>1</v>
      </c>
      <c r="Z99" s="2">
        <f t="shared" si="80"/>
        <v>0</v>
      </c>
      <c r="AA99" s="2">
        <f t="shared" si="80"/>
        <v>1</v>
      </c>
      <c r="AB99" s="2">
        <f t="shared" si="80"/>
        <v>0</v>
      </c>
      <c r="AC99" s="2">
        <f t="shared" si="80"/>
        <v>1</v>
      </c>
      <c r="AD99" s="2">
        <f t="shared" si="80"/>
        <v>0</v>
      </c>
      <c r="AE99" s="2">
        <f t="shared" si="80"/>
        <v>1</v>
      </c>
      <c r="AF99" s="2">
        <f t="shared" si="80"/>
        <v>0</v>
      </c>
      <c r="AG99" s="2">
        <f t="shared" si="80"/>
        <v>1</v>
      </c>
      <c r="AH99" s="2">
        <f t="shared" si="80"/>
        <v>0</v>
      </c>
      <c r="AI99" s="2">
        <f t="shared" si="80"/>
        <v>1</v>
      </c>
      <c r="AJ99" s="2">
        <f t="shared" ref="AJ99:AW99" si="81">IF($D$99=0,0,(MOD(AJ45,$D$99)=0)*AJ43)</f>
        <v>0</v>
      </c>
      <c r="AK99" s="2">
        <f t="shared" si="81"/>
        <v>1</v>
      </c>
      <c r="AL99" s="2">
        <f t="shared" si="81"/>
        <v>0</v>
      </c>
      <c r="AM99" s="2">
        <f t="shared" si="81"/>
        <v>0</v>
      </c>
      <c r="AN99" s="2">
        <f t="shared" si="81"/>
        <v>0</v>
      </c>
      <c r="AO99" s="2">
        <f t="shared" si="81"/>
        <v>0</v>
      </c>
      <c r="AP99" s="2">
        <f t="shared" si="81"/>
        <v>0</v>
      </c>
      <c r="AQ99" s="2">
        <f t="shared" si="81"/>
        <v>0</v>
      </c>
      <c r="AR99" s="2">
        <f t="shared" si="81"/>
        <v>0</v>
      </c>
      <c r="AS99" s="2">
        <f t="shared" si="81"/>
        <v>0</v>
      </c>
      <c r="AT99" s="2">
        <f t="shared" si="81"/>
        <v>0</v>
      </c>
      <c r="AU99" s="2">
        <f t="shared" si="81"/>
        <v>0</v>
      </c>
      <c r="AV99" s="2">
        <f t="shared" si="81"/>
        <v>0</v>
      </c>
      <c r="AW99" s="2">
        <f t="shared" si="81"/>
        <v>0</v>
      </c>
    </row>
    <row r="100" spans="1:82">
      <c r="B100" s="7" t="s">
        <v>89</v>
      </c>
      <c r="C100" s="15" t="s">
        <v>60</v>
      </c>
      <c r="D100" s="24">
        <f>'Input '!F196</f>
        <v>1</v>
      </c>
      <c r="I100" s="2">
        <f t="shared" ref="I100:AI100" si="82">IF($D$100=0,0,(MOD(I45,$D$100)=0)*I43)</f>
        <v>0</v>
      </c>
      <c r="J100" s="2">
        <f t="shared" si="82"/>
        <v>0</v>
      </c>
      <c r="K100" s="2">
        <f t="shared" si="82"/>
        <v>0</v>
      </c>
      <c r="L100" s="2">
        <f t="shared" si="82"/>
        <v>1</v>
      </c>
      <c r="M100" s="2">
        <f t="shared" si="82"/>
        <v>1</v>
      </c>
      <c r="N100" s="2">
        <f t="shared" si="82"/>
        <v>1</v>
      </c>
      <c r="O100" s="2">
        <f t="shared" si="82"/>
        <v>1</v>
      </c>
      <c r="P100" s="2">
        <f t="shared" si="82"/>
        <v>1</v>
      </c>
      <c r="Q100" s="2">
        <f t="shared" si="82"/>
        <v>1</v>
      </c>
      <c r="R100" s="2">
        <f t="shared" si="82"/>
        <v>1</v>
      </c>
      <c r="S100" s="2">
        <f t="shared" si="82"/>
        <v>1</v>
      </c>
      <c r="T100" s="2">
        <f t="shared" si="82"/>
        <v>1</v>
      </c>
      <c r="U100" s="2">
        <f t="shared" si="82"/>
        <v>1</v>
      </c>
      <c r="V100" s="2">
        <f t="shared" si="82"/>
        <v>1</v>
      </c>
      <c r="W100" s="2">
        <f t="shared" si="82"/>
        <v>1</v>
      </c>
      <c r="X100" s="2">
        <f t="shared" si="82"/>
        <v>1</v>
      </c>
      <c r="Y100" s="2">
        <f t="shared" si="82"/>
        <v>1</v>
      </c>
      <c r="Z100" s="2">
        <f t="shared" si="82"/>
        <v>1</v>
      </c>
      <c r="AA100" s="2">
        <f t="shared" si="82"/>
        <v>1</v>
      </c>
      <c r="AB100" s="2">
        <f t="shared" si="82"/>
        <v>1</v>
      </c>
      <c r="AC100" s="2">
        <f t="shared" si="82"/>
        <v>1</v>
      </c>
      <c r="AD100" s="2">
        <f t="shared" si="82"/>
        <v>1</v>
      </c>
      <c r="AE100" s="2">
        <f t="shared" si="82"/>
        <v>1</v>
      </c>
      <c r="AF100" s="2">
        <f t="shared" si="82"/>
        <v>1</v>
      </c>
      <c r="AG100" s="2">
        <f t="shared" si="82"/>
        <v>1</v>
      </c>
      <c r="AH100" s="2">
        <f t="shared" si="82"/>
        <v>1</v>
      </c>
      <c r="AI100" s="2">
        <f t="shared" si="82"/>
        <v>1</v>
      </c>
      <c r="AJ100" s="2">
        <f t="shared" ref="AJ100:AW100" si="83">IF($D$100=0,0,(MOD(AJ45,$D$100)=0)*AJ43)</f>
        <v>1</v>
      </c>
      <c r="AK100" s="2">
        <f t="shared" si="83"/>
        <v>1</v>
      </c>
      <c r="AL100" s="2">
        <f t="shared" si="83"/>
        <v>1</v>
      </c>
      <c r="AM100" s="2">
        <f t="shared" si="83"/>
        <v>0</v>
      </c>
      <c r="AN100" s="2">
        <f t="shared" si="83"/>
        <v>0</v>
      </c>
      <c r="AO100" s="2">
        <f t="shared" si="83"/>
        <v>0</v>
      </c>
      <c r="AP100" s="2">
        <f t="shared" si="83"/>
        <v>0</v>
      </c>
      <c r="AQ100" s="2">
        <f t="shared" si="83"/>
        <v>0</v>
      </c>
      <c r="AR100" s="2">
        <f t="shared" si="83"/>
        <v>0</v>
      </c>
      <c r="AS100" s="2">
        <f t="shared" si="83"/>
        <v>0</v>
      </c>
      <c r="AT100" s="2">
        <f t="shared" si="83"/>
        <v>0</v>
      </c>
      <c r="AU100" s="2">
        <f t="shared" si="83"/>
        <v>0</v>
      </c>
      <c r="AV100" s="2">
        <f t="shared" si="83"/>
        <v>0</v>
      </c>
      <c r="AW100" s="2">
        <f t="shared" si="83"/>
        <v>0</v>
      </c>
    </row>
    <row r="101" spans="1:82">
      <c r="B101" s="7" t="s">
        <v>90</v>
      </c>
      <c r="C101" s="15" t="s">
        <v>60</v>
      </c>
      <c r="D101" s="24">
        <f>'Input '!F216</f>
        <v>1</v>
      </c>
      <c r="I101" s="2">
        <f t="shared" ref="I101:AI101" si="84">IF($D$101=0,0,(MOD(I45,$D$101)=0)*I43)</f>
        <v>0</v>
      </c>
      <c r="J101" s="2">
        <f t="shared" si="84"/>
        <v>0</v>
      </c>
      <c r="K101" s="2">
        <f t="shared" si="84"/>
        <v>0</v>
      </c>
      <c r="L101" s="2">
        <f t="shared" si="84"/>
        <v>1</v>
      </c>
      <c r="M101" s="2">
        <f t="shared" si="84"/>
        <v>1</v>
      </c>
      <c r="N101" s="2">
        <f t="shared" si="84"/>
        <v>1</v>
      </c>
      <c r="O101" s="2">
        <f t="shared" si="84"/>
        <v>1</v>
      </c>
      <c r="P101" s="2">
        <f t="shared" si="84"/>
        <v>1</v>
      </c>
      <c r="Q101" s="2">
        <f t="shared" si="84"/>
        <v>1</v>
      </c>
      <c r="R101" s="2">
        <f t="shared" si="84"/>
        <v>1</v>
      </c>
      <c r="S101" s="2">
        <f t="shared" si="84"/>
        <v>1</v>
      </c>
      <c r="T101" s="2">
        <f t="shared" si="84"/>
        <v>1</v>
      </c>
      <c r="U101" s="2">
        <f t="shared" si="84"/>
        <v>1</v>
      </c>
      <c r="V101" s="2">
        <f t="shared" si="84"/>
        <v>1</v>
      </c>
      <c r="W101" s="2">
        <f t="shared" si="84"/>
        <v>1</v>
      </c>
      <c r="X101" s="2">
        <f t="shared" si="84"/>
        <v>1</v>
      </c>
      <c r="Y101" s="2">
        <f t="shared" si="84"/>
        <v>1</v>
      </c>
      <c r="Z101" s="2">
        <f t="shared" si="84"/>
        <v>1</v>
      </c>
      <c r="AA101" s="2">
        <f t="shared" si="84"/>
        <v>1</v>
      </c>
      <c r="AB101" s="2">
        <f t="shared" si="84"/>
        <v>1</v>
      </c>
      <c r="AC101" s="2">
        <f t="shared" si="84"/>
        <v>1</v>
      </c>
      <c r="AD101" s="2">
        <f t="shared" si="84"/>
        <v>1</v>
      </c>
      <c r="AE101" s="2">
        <f t="shared" si="84"/>
        <v>1</v>
      </c>
      <c r="AF101" s="2">
        <f t="shared" si="84"/>
        <v>1</v>
      </c>
      <c r="AG101" s="2">
        <f t="shared" si="84"/>
        <v>1</v>
      </c>
      <c r="AH101" s="2">
        <f t="shared" si="84"/>
        <v>1</v>
      </c>
      <c r="AI101" s="2">
        <f t="shared" si="84"/>
        <v>1</v>
      </c>
      <c r="AJ101" s="2">
        <f t="shared" ref="AJ101:AW101" si="85">IF($D$101=0,0,(MOD(AJ45,$D$101)=0)*AJ43)</f>
        <v>1</v>
      </c>
      <c r="AK101" s="2">
        <f t="shared" si="85"/>
        <v>1</v>
      </c>
      <c r="AL101" s="2">
        <f t="shared" si="85"/>
        <v>1</v>
      </c>
      <c r="AM101" s="2">
        <f t="shared" si="85"/>
        <v>0</v>
      </c>
      <c r="AN101" s="2">
        <f t="shared" si="85"/>
        <v>0</v>
      </c>
      <c r="AO101" s="2">
        <f t="shared" si="85"/>
        <v>0</v>
      </c>
      <c r="AP101" s="2">
        <f t="shared" si="85"/>
        <v>0</v>
      </c>
      <c r="AQ101" s="2">
        <f t="shared" si="85"/>
        <v>0</v>
      </c>
      <c r="AR101" s="2">
        <f t="shared" si="85"/>
        <v>0</v>
      </c>
      <c r="AS101" s="2">
        <f t="shared" si="85"/>
        <v>0</v>
      </c>
      <c r="AT101" s="2">
        <f t="shared" si="85"/>
        <v>0</v>
      </c>
      <c r="AU101" s="2">
        <f t="shared" si="85"/>
        <v>0</v>
      </c>
      <c r="AV101" s="2">
        <f t="shared" si="85"/>
        <v>0</v>
      </c>
      <c r="AW101" s="2">
        <f t="shared" si="85"/>
        <v>0</v>
      </c>
    </row>
    <row r="102" spans="1:82">
      <c r="B102" s="7" t="s">
        <v>91</v>
      </c>
      <c r="C102" s="15" t="s">
        <v>60</v>
      </c>
      <c r="D102" s="24">
        <f>'Input '!F217</f>
        <v>1</v>
      </c>
      <c r="I102" s="2">
        <f t="shared" ref="I102:AI102" si="86">IF($D$102=0,0,(MOD(I45,$D$102)=0)*I43)</f>
        <v>0</v>
      </c>
      <c r="J102" s="2">
        <f t="shared" si="86"/>
        <v>0</v>
      </c>
      <c r="K102" s="2">
        <f t="shared" si="86"/>
        <v>0</v>
      </c>
      <c r="L102" s="2">
        <f t="shared" si="86"/>
        <v>1</v>
      </c>
      <c r="M102" s="2">
        <f t="shared" si="86"/>
        <v>1</v>
      </c>
      <c r="N102" s="2">
        <f t="shared" si="86"/>
        <v>1</v>
      </c>
      <c r="O102" s="2">
        <f t="shared" si="86"/>
        <v>1</v>
      </c>
      <c r="P102" s="2">
        <f t="shared" si="86"/>
        <v>1</v>
      </c>
      <c r="Q102" s="2">
        <f t="shared" si="86"/>
        <v>1</v>
      </c>
      <c r="R102" s="2">
        <f t="shared" si="86"/>
        <v>1</v>
      </c>
      <c r="S102" s="2">
        <f t="shared" si="86"/>
        <v>1</v>
      </c>
      <c r="T102" s="2">
        <f t="shared" si="86"/>
        <v>1</v>
      </c>
      <c r="U102" s="2">
        <f t="shared" si="86"/>
        <v>1</v>
      </c>
      <c r="V102" s="2">
        <f t="shared" si="86"/>
        <v>1</v>
      </c>
      <c r="W102" s="2">
        <f t="shared" si="86"/>
        <v>1</v>
      </c>
      <c r="X102" s="2">
        <f t="shared" si="86"/>
        <v>1</v>
      </c>
      <c r="Y102" s="2">
        <f t="shared" si="86"/>
        <v>1</v>
      </c>
      <c r="Z102" s="2">
        <f t="shared" si="86"/>
        <v>1</v>
      </c>
      <c r="AA102" s="2">
        <f t="shared" si="86"/>
        <v>1</v>
      </c>
      <c r="AB102" s="2">
        <f t="shared" si="86"/>
        <v>1</v>
      </c>
      <c r="AC102" s="2">
        <f t="shared" si="86"/>
        <v>1</v>
      </c>
      <c r="AD102" s="2">
        <f t="shared" si="86"/>
        <v>1</v>
      </c>
      <c r="AE102" s="2">
        <f t="shared" si="86"/>
        <v>1</v>
      </c>
      <c r="AF102" s="2">
        <f t="shared" si="86"/>
        <v>1</v>
      </c>
      <c r="AG102" s="2">
        <f t="shared" si="86"/>
        <v>1</v>
      </c>
      <c r="AH102" s="2">
        <f t="shared" si="86"/>
        <v>1</v>
      </c>
      <c r="AI102" s="2">
        <f t="shared" si="86"/>
        <v>1</v>
      </c>
      <c r="AJ102" s="2">
        <f t="shared" ref="AJ102:AW102" si="87">IF($D$102=0,0,(MOD(AJ45,$D$102)=0)*AJ43)</f>
        <v>1</v>
      </c>
      <c r="AK102" s="2">
        <f t="shared" si="87"/>
        <v>1</v>
      </c>
      <c r="AL102" s="2">
        <f t="shared" si="87"/>
        <v>1</v>
      </c>
      <c r="AM102" s="2">
        <f t="shared" si="87"/>
        <v>0</v>
      </c>
      <c r="AN102" s="2">
        <f t="shared" si="87"/>
        <v>0</v>
      </c>
      <c r="AO102" s="2">
        <f t="shared" si="87"/>
        <v>0</v>
      </c>
      <c r="AP102" s="2">
        <f t="shared" si="87"/>
        <v>0</v>
      </c>
      <c r="AQ102" s="2">
        <f t="shared" si="87"/>
        <v>0</v>
      </c>
      <c r="AR102" s="2">
        <f t="shared" si="87"/>
        <v>0</v>
      </c>
      <c r="AS102" s="2">
        <f t="shared" si="87"/>
        <v>0</v>
      </c>
      <c r="AT102" s="2">
        <f t="shared" si="87"/>
        <v>0</v>
      </c>
      <c r="AU102" s="2">
        <f t="shared" si="87"/>
        <v>0</v>
      </c>
      <c r="AV102" s="2">
        <f t="shared" si="87"/>
        <v>0</v>
      </c>
      <c r="AW102" s="2">
        <f t="shared" si="87"/>
        <v>0</v>
      </c>
    </row>
    <row r="103" spans="1:82">
      <c r="B103" s="7" t="s">
        <v>92</v>
      </c>
      <c r="C103" s="15" t="s">
        <v>60</v>
      </c>
      <c r="D103" s="24">
        <f>'Input '!F218</f>
        <v>1</v>
      </c>
      <c r="I103" s="2">
        <f t="shared" ref="I103:AI103" si="88">IF($D$103=0,0,(MOD(I45,$D$103)=0)*I43)</f>
        <v>0</v>
      </c>
      <c r="J103" s="2">
        <f t="shared" si="88"/>
        <v>0</v>
      </c>
      <c r="K103" s="2">
        <f t="shared" si="88"/>
        <v>0</v>
      </c>
      <c r="L103" s="2">
        <f t="shared" si="88"/>
        <v>1</v>
      </c>
      <c r="M103" s="2">
        <f t="shared" si="88"/>
        <v>1</v>
      </c>
      <c r="N103" s="2">
        <f t="shared" si="88"/>
        <v>1</v>
      </c>
      <c r="O103" s="2">
        <f t="shared" si="88"/>
        <v>1</v>
      </c>
      <c r="P103" s="2">
        <f t="shared" si="88"/>
        <v>1</v>
      </c>
      <c r="Q103" s="2">
        <f t="shared" si="88"/>
        <v>1</v>
      </c>
      <c r="R103" s="2">
        <f t="shared" si="88"/>
        <v>1</v>
      </c>
      <c r="S103" s="2">
        <f t="shared" si="88"/>
        <v>1</v>
      </c>
      <c r="T103" s="2">
        <f t="shared" si="88"/>
        <v>1</v>
      </c>
      <c r="U103" s="2">
        <f t="shared" si="88"/>
        <v>1</v>
      </c>
      <c r="V103" s="2">
        <f t="shared" si="88"/>
        <v>1</v>
      </c>
      <c r="W103" s="2">
        <f t="shared" si="88"/>
        <v>1</v>
      </c>
      <c r="X103" s="2">
        <f t="shared" si="88"/>
        <v>1</v>
      </c>
      <c r="Y103" s="2">
        <f t="shared" si="88"/>
        <v>1</v>
      </c>
      <c r="Z103" s="2">
        <f t="shared" si="88"/>
        <v>1</v>
      </c>
      <c r="AA103" s="2">
        <f t="shared" si="88"/>
        <v>1</v>
      </c>
      <c r="AB103" s="2">
        <f t="shared" si="88"/>
        <v>1</v>
      </c>
      <c r="AC103" s="2">
        <f t="shared" si="88"/>
        <v>1</v>
      </c>
      <c r="AD103" s="2">
        <f t="shared" si="88"/>
        <v>1</v>
      </c>
      <c r="AE103" s="2">
        <f t="shared" si="88"/>
        <v>1</v>
      </c>
      <c r="AF103" s="2">
        <f t="shared" si="88"/>
        <v>1</v>
      </c>
      <c r="AG103" s="2">
        <f t="shared" si="88"/>
        <v>1</v>
      </c>
      <c r="AH103" s="2">
        <f t="shared" si="88"/>
        <v>1</v>
      </c>
      <c r="AI103" s="2">
        <f t="shared" si="88"/>
        <v>1</v>
      </c>
      <c r="AJ103" s="2">
        <f t="shared" ref="AJ103:AW103" si="89">IF($D$103=0,0,(MOD(AJ45,$D$103)=0)*AJ43)</f>
        <v>1</v>
      </c>
      <c r="AK103" s="2">
        <f t="shared" si="89"/>
        <v>1</v>
      </c>
      <c r="AL103" s="2">
        <f t="shared" si="89"/>
        <v>1</v>
      </c>
      <c r="AM103" s="2">
        <f t="shared" si="89"/>
        <v>0</v>
      </c>
      <c r="AN103" s="2">
        <f t="shared" si="89"/>
        <v>0</v>
      </c>
      <c r="AO103" s="2">
        <f t="shared" si="89"/>
        <v>0</v>
      </c>
      <c r="AP103" s="2">
        <f t="shared" si="89"/>
        <v>0</v>
      </c>
      <c r="AQ103" s="2">
        <f t="shared" si="89"/>
        <v>0</v>
      </c>
      <c r="AR103" s="2">
        <f t="shared" si="89"/>
        <v>0</v>
      </c>
      <c r="AS103" s="2">
        <f t="shared" si="89"/>
        <v>0</v>
      </c>
      <c r="AT103" s="2">
        <f t="shared" si="89"/>
        <v>0</v>
      </c>
      <c r="AU103" s="2">
        <f t="shared" si="89"/>
        <v>0</v>
      </c>
      <c r="AV103" s="2">
        <f t="shared" si="89"/>
        <v>0</v>
      </c>
      <c r="AW103" s="2">
        <f t="shared" si="89"/>
        <v>0</v>
      </c>
    </row>
    <row r="104" spans="1:82">
      <c r="B104" s="7" t="s">
        <v>93</v>
      </c>
      <c r="C104" s="15" t="s">
        <v>60</v>
      </c>
      <c r="D104" s="24">
        <f>'Input '!F219</f>
        <v>3</v>
      </c>
      <c r="I104" s="2">
        <f t="shared" ref="I104:AI104" si="90">IF($D$104=0,0,(MOD(I45,$D$104)=0)*I43)</f>
        <v>0</v>
      </c>
      <c r="J104" s="2">
        <f t="shared" si="90"/>
        <v>0</v>
      </c>
      <c r="K104" s="2">
        <f t="shared" si="90"/>
        <v>0</v>
      </c>
      <c r="L104" s="2">
        <f t="shared" si="90"/>
        <v>0</v>
      </c>
      <c r="M104" s="2">
        <f t="shared" si="90"/>
        <v>0</v>
      </c>
      <c r="N104" s="2">
        <f t="shared" si="90"/>
        <v>1</v>
      </c>
      <c r="O104" s="2">
        <f t="shared" si="90"/>
        <v>0</v>
      </c>
      <c r="P104" s="2">
        <f t="shared" si="90"/>
        <v>0</v>
      </c>
      <c r="Q104" s="2">
        <f t="shared" si="90"/>
        <v>1</v>
      </c>
      <c r="R104" s="2">
        <f t="shared" si="90"/>
        <v>0</v>
      </c>
      <c r="S104" s="2">
        <f t="shared" si="90"/>
        <v>0</v>
      </c>
      <c r="T104" s="2">
        <f t="shared" si="90"/>
        <v>1</v>
      </c>
      <c r="U104" s="2">
        <f t="shared" si="90"/>
        <v>0</v>
      </c>
      <c r="V104" s="2">
        <f t="shared" si="90"/>
        <v>0</v>
      </c>
      <c r="W104" s="2">
        <f t="shared" si="90"/>
        <v>1</v>
      </c>
      <c r="X104" s="2">
        <f t="shared" si="90"/>
        <v>0</v>
      </c>
      <c r="Y104" s="2">
        <f t="shared" si="90"/>
        <v>0</v>
      </c>
      <c r="Z104" s="2">
        <f t="shared" si="90"/>
        <v>1</v>
      </c>
      <c r="AA104" s="2">
        <f t="shared" si="90"/>
        <v>0</v>
      </c>
      <c r="AB104" s="2">
        <f t="shared" si="90"/>
        <v>0</v>
      </c>
      <c r="AC104" s="2">
        <f t="shared" si="90"/>
        <v>1</v>
      </c>
      <c r="AD104" s="2">
        <f t="shared" si="90"/>
        <v>0</v>
      </c>
      <c r="AE104" s="2">
        <f t="shared" si="90"/>
        <v>0</v>
      </c>
      <c r="AF104" s="2">
        <f t="shared" si="90"/>
        <v>1</v>
      </c>
      <c r="AG104" s="2">
        <f t="shared" si="90"/>
        <v>0</v>
      </c>
      <c r="AH104" s="2">
        <f t="shared" si="90"/>
        <v>0</v>
      </c>
      <c r="AI104" s="2">
        <f t="shared" si="90"/>
        <v>1</v>
      </c>
      <c r="AJ104" s="2">
        <f t="shared" ref="AJ104:AW104" si="91">IF($D$104=0,0,(MOD(AJ45,$D$104)=0)*AJ43)</f>
        <v>0</v>
      </c>
      <c r="AK104" s="2">
        <f t="shared" si="91"/>
        <v>0</v>
      </c>
      <c r="AL104" s="2">
        <f t="shared" si="91"/>
        <v>1</v>
      </c>
      <c r="AM104" s="2">
        <f t="shared" si="91"/>
        <v>0</v>
      </c>
      <c r="AN104" s="2">
        <f t="shared" si="91"/>
        <v>0</v>
      </c>
      <c r="AO104" s="2">
        <f t="shared" si="91"/>
        <v>0</v>
      </c>
      <c r="AP104" s="2">
        <f t="shared" si="91"/>
        <v>0</v>
      </c>
      <c r="AQ104" s="2">
        <f t="shared" si="91"/>
        <v>0</v>
      </c>
      <c r="AR104" s="2">
        <f t="shared" si="91"/>
        <v>0</v>
      </c>
      <c r="AS104" s="2">
        <f t="shared" si="91"/>
        <v>0</v>
      </c>
      <c r="AT104" s="2">
        <f t="shared" si="91"/>
        <v>0</v>
      </c>
      <c r="AU104" s="2">
        <f t="shared" si="91"/>
        <v>0</v>
      </c>
      <c r="AV104" s="2">
        <f t="shared" si="91"/>
        <v>0</v>
      </c>
      <c r="AW104" s="2">
        <f t="shared" si="91"/>
        <v>0</v>
      </c>
    </row>
    <row r="105" spans="1:82">
      <c r="C105" s="15"/>
    </row>
    <row r="106" spans="1:82">
      <c r="A106" s="6" t="s">
        <v>94</v>
      </c>
      <c r="B106" s="9"/>
      <c r="C106" s="9"/>
      <c r="D106" s="1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c r="CC106" s="9"/>
      <c r="CD106" s="9"/>
    </row>
    <row r="107" spans="1:82">
      <c r="C107" s="15"/>
    </row>
    <row r="108" spans="1:82">
      <c r="B108" s="10" t="s">
        <v>95</v>
      </c>
      <c r="C108" s="15"/>
    </row>
    <row r="109" spans="1:82">
      <c r="C109" s="15"/>
    </row>
    <row r="110" spans="1:82">
      <c r="B110" s="30" t="s">
        <v>96</v>
      </c>
      <c r="C110" s="15"/>
      <c r="D110" s="30" t="s">
        <v>97</v>
      </c>
    </row>
    <row r="111" spans="1:82">
      <c r="B111" s="20" t="s">
        <v>98</v>
      </c>
      <c r="C111" s="15" t="s">
        <v>41</v>
      </c>
      <c r="D111" s="21">
        <f>'Input '!F309</f>
        <v>46023</v>
      </c>
    </row>
    <row r="112" spans="1:82">
      <c r="B112" s="7" t="s">
        <v>99</v>
      </c>
      <c r="C112" s="15" t="s">
        <v>41</v>
      </c>
      <c r="D112" s="21">
        <f>'Input '!F310</f>
        <v>46023</v>
      </c>
    </row>
    <row r="113" spans="2:82">
      <c r="C113" s="15"/>
    </row>
    <row r="114" spans="2:82">
      <c r="B114" s="29" t="s">
        <v>100</v>
      </c>
      <c r="C114" s="15"/>
    </row>
    <row r="115" spans="2:82">
      <c r="B115" s="2" t="s">
        <v>1</v>
      </c>
      <c r="C115" s="15" t="s">
        <v>41</v>
      </c>
      <c r="I115" s="35">
        <f t="shared" ref="I115:AI115" si="92">I23</f>
        <v>46023</v>
      </c>
      <c r="J115" s="35">
        <f t="shared" si="92"/>
        <v>46054</v>
      </c>
      <c r="K115" s="35">
        <f t="shared" si="92"/>
        <v>46082</v>
      </c>
      <c r="L115" s="35">
        <f t="shared" si="92"/>
        <v>46113</v>
      </c>
      <c r="M115" s="35">
        <f t="shared" si="92"/>
        <v>46143</v>
      </c>
      <c r="N115" s="35">
        <f t="shared" si="92"/>
        <v>46174</v>
      </c>
      <c r="O115" s="35">
        <f t="shared" si="92"/>
        <v>46204</v>
      </c>
      <c r="P115" s="35">
        <f t="shared" si="92"/>
        <v>46235</v>
      </c>
      <c r="Q115" s="35">
        <f t="shared" si="92"/>
        <v>46266</v>
      </c>
      <c r="R115" s="35">
        <f t="shared" si="92"/>
        <v>46296</v>
      </c>
      <c r="S115" s="35">
        <f t="shared" si="92"/>
        <v>46327</v>
      </c>
      <c r="T115" s="35">
        <f t="shared" si="92"/>
        <v>46357</v>
      </c>
      <c r="U115" s="35">
        <f t="shared" si="92"/>
        <v>46388</v>
      </c>
      <c r="V115" s="35">
        <f t="shared" si="92"/>
        <v>46419</v>
      </c>
      <c r="W115" s="35">
        <f t="shared" si="92"/>
        <v>46447</v>
      </c>
      <c r="X115" s="35">
        <f t="shared" si="92"/>
        <v>46478</v>
      </c>
      <c r="Y115" s="35">
        <f t="shared" si="92"/>
        <v>46508</v>
      </c>
      <c r="Z115" s="35">
        <f t="shared" si="92"/>
        <v>46539</v>
      </c>
      <c r="AA115" s="35">
        <f t="shared" si="92"/>
        <v>46569</v>
      </c>
      <c r="AB115" s="35">
        <f t="shared" si="92"/>
        <v>46600</v>
      </c>
      <c r="AC115" s="35">
        <f t="shared" si="92"/>
        <v>46631</v>
      </c>
      <c r="AD115" s="35">
        <f t="shared" si="92"/>
        <v>46661</v>
      </c>
      <c r="AE115" s="35">
        <f t="shared" si="92"/>
        <v>46692</v>
      </c>
      <c r="AF115" s="35">
        <f t="shared" si="92"/>
        <v>46722</v>
      </c>
      <c r="AG115" s="35">
        <f t="shared" si="92"/>
        <v>46753</v>
      </c>
      <c r="AH115" s="35">
        <f t="shared" si="92"/>
        <v>46784</v>
      </c>
      <c r="AI115" s="35">
        <f t="shared" si="92"/>
        <v>46813</v>
      </c>
      <c r="AJ115" s="35">
        <f t="shared" ref="AJ115:AW115" si="93">AJ23</f>
        <v>46844</v>
      </c>
      <c r="AK115" s="35">
        <f t="shared" si="93"/>
        <v>46874</v>
      </c>
      <c r="AL115" s="35">
        <f t="shared" si="93"/>
        <v>46905</v>
      </c>
      <c r="AM115" s="35">
        <f t="shared" si="93"/>
        <v>46935</v>
      </c>
      <c r="AN115" s="35">
        <f t="shared" si="93"/>
        <v>46966</v>
      </c>
      <c r="AO115" s="35">
        <f t="shared" si="93"/>
        <v>46997</v>
      </c>
      <c r="AP115" s="35">
        <f t="shared" si="93"/>
        <v>47027</v>
      </c>
      <c r="AQ115" s="35">
        <f t="shared" si="93"/>
        <v>47058</v>
      </c>
      <c r="AR115" s="35">
        <f t="shared" si="93"/>
        <v>47088</v>
      </c>
      <c r="AS115" s="35">
        <f t="shared" si="93"/>
        <v>47119</v>
      </c>
      <c r="AT115" s="35">
        <f t="shared" si="93"/>
        <v>47150</v>
      </c>
      <c r="AU115" s="35">
        <f t="shared" si="93"/>
        <v>47178</v>
      </c>
      <c r="AV115" s="35">
        <f t="shared" si="93"/>
        <v>47209</v>
      </c>
      <c r="AW115" s="35">
        <f t="shared" si="93"/>
        <v>47239</v>
      </c>
      <c r="AX115" s="35">
        <f t="shared" ref="AX115:BC115" si="94">AX23</f>
        <v>47270</v>
      </c>
      <c r="AY115" s="35">
        <f t="shared" si="94"/>
        <v>47300</v>
      </c>
      <c r="AZ115" s="35">
        <f t="shared" si="94"/>
        <v>47331</v>
      </c>
      <c r="BA115" s="35">
        <f t="shared" si="94"/>
        <v>47362</v>
      </c>
      <c r="BB115" s="35">
        <f t="shared" si="94"/>
        <v>47392</v>
      </c>
      <c r="BC115" s="35">
        <f t="shared" si="94"/>
        <v>47423</v>
      </c>
      <c r="BD115" s="35">
        <f t="shared" ref="BD115:BP115" si="95">BD23</f>
        <v>47453</v>
      </c>
      <c r="BE115" s="35">
        <f t="shared" si="95"/>
        <v>47484</v>
      </c>
      <c r="BF115" s="35">
        <f t="shared" si="95"/>
        <v>47515</v>
      </c>
      <c r="BG115" s="35">
        <f t="shared" si="95"/>
        <v>47543</v>
      </c>
      <c r="BH115" s="35">
        <f t="shared" si="95"/>
        <v>47574</v>
      </c>
      <c r="BI115" s="35">
        <f t="shared" si="95"/>
        <v>47604</v>
      </c>
      <c r="BJ115" s="35">
        <f t="shared" si="95"/>
        <v>47635</v>
      </c>
      <c r="BK115" s="35">
        <f t="shared" si="95"/>
        <v>47665</v>
      </c>
      <c r="BL115" s="35">
        <f t="shared" si="95"/>
        <v>47696</v>
      </c>
      <c r="BM115" s="35">
        <f t="shared" si="95"/>
        <v>47727</v>
      </c>
      <c r="BN115" s="35">
        <f t="shared" si="95"/>
        <v>47757</v>
      </c>
      <c r="BO115" s="35">
        <f t="shared" si="95"/>
        <v>47788</v>
      </c>
      <c r="BP115" s="35">
        <f t="shared" si="95"/>
        <v>47818</v>
      </c>
      <c r="BQ115" s="35">
        <f>BQ23</f>
        <v>47849</v>
      </c>
      <c r="BR115" s="35">
        <f t="shared" ref="BR115:CD115" si="96">BR23</f>
        <v>47880</v>
      </c>
      <c r="BS115" s="35">
        <f t="shared" si="96"/>
        <v>47908</v>
      </c>
      <c r="BT115" s="35">
        <f t="shared" si="96"/>
        <v>47939</v>
      </c>
      <c r="BU115" s="35">
        <f t="shared" si="96"/>
        <v>47969</v>
      </c>
      <c r="BV115" s="35">
        <f t="shared" si="96"/>
        <v>48000</v>
      </c>
      <c r="BW115" s="35">
        <f t="shared" si="96"/>
        <v>48030</v>
      </c>
      <c r="BX115" s="35">
        <f t="shared" si="96"/>
        <v>48061</v>
      </c>
      <c r="BY115" s="35">
        <f t="shared" si="96"/>
        <v>48092</v>
      </c>
      <c r="BZ115" s="35">
        <f t="shared" si="96"/>
        <v>48122</v>
      </c>
      <c r="CA115" s="35">
        <f t="shared" si="96"/>
        <v>48153</v>
      </c>
      <c r="CB115" s="35">
        <f t="shared" si="96"/>
        <v>48183</v>
      </c>
      <c r="CC115" s="35">
        <f t="shared" si="96"/>
        <v>48214</v>
      </c>
      <c r="CD115" s="35">
        <f t="shared" si="96"/>
        <v>0</v>
      </c>
    </row>
    <row r="116" spans="2:82">
      <c r="B116" s="2" t="s">
        <v>2</v>
      </c>
      <c r="C116" s="15" t="s">
        <v>41</v>
      </c>
      <c r="I116" s="35">
        <f t="shared" ref="I116:AI116" si="97">I24</f>
        <v>46053</v>
      </c>
      <c r="J116" s="35">
        <f t="shared" si="97"/>
        <v>46081</v>
      </c>
      <c r="K116" s="35">
        <f t="shared" si="97"/>
        <v>46112</v>
      </c>
      <c r="L116" s="35">
        <f t="shared" si="97"/>
        <v>46142</v>
      </c>
      <c r="M116" s="35">
        <f t="shared" si="97"/>
        <v>46173</v>
      </c>
      <c r="N116" s="35">
        <f t="shared" si="97"/>
        <v>46203</v>
      </c>
      <c r="O116" s="35">
        <f t="shared" si="97"/>
        <v>46234</v>
      </c>
      <c r="P116" s="35">
        <f t="shared" si="97"/>
        <v>46265</v>
      </c>
      <c r="Q116" s="35">
        <f t="shared" si="97"/>
        <v>46295</v>
      </c>
      <c r="R116" s="35">
        <f t="shared" si="97"/>
        <v>46326</v>
      </c>
      <c r="S116" s="35">
        <f t="shared" si="97"/>
        <v>46356</v>
      </c>
      <c r="T116" s="35">
        <f t="shared" si="97"/>
        <v>46387</v>
      </c>
      <c r="U116" s="35">
        <f t="shared" si="97"/>
        <v>46418</v>
      </c>
      <c r="V116" s="35">
        <f t="shared" si="97"/>
        <v>46446</v>
      </c>
      <c r="W116" s="35">
        <f t="shared" si="97"/>
        <v>46477</v>
      </c>
      <c r="X116" s="35">
        <f t="shared" si="97"/>
        <v>46507</v>
      </c>
      <c r="Y116" s="35">
        <f t="shared" si="97"/>
        <v>46538</v>
      </c>
      <c r="Z116" s="35">
        <f t="shared" si="97"/>
        <v>46568</v>
      </c>
      <c r="AA116" s="35">
        <f t="shared" si="97"/>
        <v>46599</v>
      </c>
      <c r="AB116" s="35">
        <f t="shared" si="97"/>
        <v>46630</v>
      </c>
      <c r="AC116" s="35">
        <f t="shared" si="97"/>
        <v>46660</v>
      </c>
      <c r="AD116" s="35">
        <f t="shared" si="97"/>
        <v>46691</v>
      </c>
      <c r="AE116" s="35">
        <f t="shared" si="97"/>
        <v>46721</v>
      </c>
      <c r="AF116" s="35">
        <f t="shared" si="97"/>
        <v>46752</v>
      </c>
      <c r="AG116" s="35">
        <f t="shared" si="97"/>
        <v>46783</v>
      </c>
      <c r="AH116" s="35">
        <f t="shared" si="97"/>
        <v>46812</v>
      </c>
      <c r="AI116" s="35">
        <f t="shared" si="97"/>
        <v>46843</v>
      </c>
      <c r="AJ116" s="35">
        <f t="shared" ref="AJ116:AW116" si="98">AJ24</f>
        <v>46873</v>
      </c>
      <c r="AK116" s="35">
        <f t="shared" si="98"/>
        <v>46904</v>
      </c>
      <c r="AL116" s="35">
        <f t="shared" si="98"/>
        <v>46934</v>
      </c>
      <c r="AM116" s="35">
        <f t="shared" si="98"/>
        <v>46965</v>
      </c>
      <c r="AN116" s="35">
        <f t="shared" si="98"/>
        <v>46996</v>
      </c>
      <c r="AO116" s="35">
        <f t="shared" si="98"/>
        <v>47026</v>
      </c>
      <c r="AP116" s="35">
        <f t="shared" si="98"/>
        <v>47057</v>
      </c>
      <c r="AQ116" s="35">
        <f t="shared" si="98"/>
        <v>47087</v>
      </c>
      <c r="AR116" s="35">
        <f t="shared" si="98"/>
        <v>47118</v>
      </c>
      <c r="AS116" s="35">
        <f t="shared" si="98"/>
        <v>47149</v>
      </c>
      <c r="AT116" s="35">
        <f t="shared" si="98"/>
        <v>47177</v>
      </c>
      <c r="AU116" s="35">
        <f t="shared" si="98"/>
        <v>47208</v>
      </c>
      <c r="AV116" s="35">
        <f t="shared" si="98"/>
        <v>47238</v>
      </c>
      <c r="AW116" s="35">
        <f t="shared" si="98"/>
        <v>47269</v>
      </c>
      <c r="AX116" s="35">
        <f t="shared" ref="AX116:BC116" si="99">AX24</f>
        <v>47299</v>
      </c>
      <c r="AY116" s="35">
        <f t="shared" si="99"/>
        <v>47330</v>
      </c>
      <c r="AZ116" s="35">
        <f t="shared" si="99"/>
        <v>47361</v>
      </c>
      <c r="BA116" s="35">
        <f t="shared" si="99"/>
        <v>47391</v>
      </c>
      <c r="BB116" s="35">
        <f t="shared" si="99"/>
        <v>47422</v>
      </c>
      <c r="BC116" s="35">
        <f t="shared" si="99"/>
        <v>47452</v>
      </c>
      <c r="BD116" s="35">
        <f t="shared" ref="BD116:BQ116" si="100">BD24</f>
        <v>47483</v>
      </c>
      <c r="BE116" s="35">
        <f t="shared" si="100"/>
        <v>47514</v>
      </c>
      <c r="BF116" s="35">
        <f t="shared" si="100"/>
        <v>47542</v>
      </c>
      <c r="BG116" s="35">
        <f t="shared" si="100"/>
        <v>47573</v>
      </c>
      <c r="BH116" s="35">
        <f t="shared" si="100"/>
        <v>47603</v>
      </c>
      <c r="BI116" s="35">
        <f t="shared" si="100"/>
        <v>47634</v>
      </c>
      <c r="BJ116" s="35">
        <f t="shared" si="100"/>
        <v>47664</v>
      </c>
      <c r="BK116" s="35">
        <f t="shared" si="100"/>
        <v>47695</v>
      </c>
      <c r="BL116" s="35">
        <f t="shared" si="100"/>
        <v>47726</v>
      </c>
      <c r="BM116" s="35">
        <f t="shared" si="100"/>
        <v>47756</v>
      </c>
      <c r="BN116" s="35">
        <f t="shared" si="100"/>
        <v>47787</v>
      </c>
      <c r="BO116" s="35">
        <f t="shared" si="100"/>
        <v>47817</v>
      </c>
      <c r="BP116" s="35">
        <f>BP24</f>
        <v>47848</v>
      </c>
      <c r="BQ116" s="35">
        <f t="shared" si="100"/>
        <v>47879</v>
      </c>
      <c r="BR116" s="35">
        <f t="shared" ref="BR116:CD116" si="101">BR24</f>
        <v>47907</v>
      </c>
      <c r="BS116" s="35">
        <f t="shared" si="101"/>
        <v>47938</v>
      </c>
      <c r="BT116" s="35">
        <f t="shared" si="101"/>
        <v>47968</v>
      </c>
      <c r="BU116" s="35">
        <f t="shared" si="101"/>
        <v>47999</v>
      </c>
      <c r="BV116" s="35">
        <f t="shared" si="101"/>
        <v>48029</v>
      </c>
      <c r="BW116" s="35">
        <f t="shared" si="101"/>
        <v>48060</v>
      </c>
      <c r="BX116" s="35">
        <f t="shared" si="101"/>
        <v>48091</v>
      </c>
      <c r="BY116" s="35">
        <f t="shared" si="101"/>
        <v>48121</v>
      </c>
      <c r="BZ116" s="35">
        <f t="shared" si="101"/>
        <v>48152</v>
      </c>
      <c r="CA116" s="35">
        <f t="shared" si="101"/>
        <v>48182</v>
      </c>
      <c r="CB116" s="35">
        <f t="shared" si="101"/>
        <v>48213</v>
      </c>
      <c r="CC116" s="35">
        <f t="shared" si="101"/>
        <v>48244</v>
      </c>
      <c r="CD116" s="35">
        <f t="shared" si="101"/>
        <v>0</v>
      </c>
    </row>
    <row r="117" spans="2:82">
      <c r="C117" s="15"/>
    </row>
    <row r="118" spans="2:82">
      <c r="B118" s="29" t="s">
        <v>101</v>
      </c>
      <c r="C118" s="15"/>
    </row>
    <row r="119" spans="2:82">
      <c r="B119" s="2" t="s">
        <v>98</v>
      </c>
      <c r="C119" s="15" t="s">
        <v>102</v>
      </c>
      <c r="D119" s="37">
        <f>SUM(I119:AI119)</f>
        <v>1</v>
      </c>
      <c r="I119" s="37">
        <f t="shared" ref="I119:AI119" si="102">($D$111&lt;=I116)*($D$111&gt;=I115)*I64</f>
        <v>1</v>
      </c>
      <c r="J119" s="37">
        <f t="shared" si="102"/>
        <v>0</v>
      </c>
      <c r="K119" s="37">
        <f t="shared" si="102"/>
        <v>0</v>
      </c>
      <c r="L119" s="37">
        <f t="shared" si="102"/>
        <v>0</v>
      </c>
      <c r="M119" s="37">
        <f t="shared" si="102"/>
        <v>0</v>
      </c>
      <c r="N119" s="37">
        <f t="shared" si="102"/>
        <v>0</v>
      </c>
      <c r="O119" s="37">
        <f t="shared" si="102"/>
        <v>0</v>
      </c>
      <c r="P119" s="37">
        <f t="shared" si="102"/>
        <v>0</v>
      </c>
      <c r="Q119" s="37">
        <f t="shared" si="102"/>
        <v>0</v>
      </c>
      <c r="R119" s="37">
        <f t="shared" si="102"/>
        <v>0</v>
      </c>
      <c r="S119" s="37">
        <f t="shared" si="102"/>
        <v>0</v>
      </c>
      <c r="T119" s="37">
        <f t="shared" si="102"/>
        <v>0</v>
      </c>
      <c r="U119" s="37">
        <f t="shared" si="102"/>
        <v>0</v>
      </c>
      <c r="V119" s="37">
        <f t="shared" si="102"/>
        <v>0</v>
      </c>
      <c r="W119" s="37">
        <f t="shared" si="102"/>
        <v>0</v>
      </c>
      <c r="X119" s="37">
        <f t="shared" si="102"/>
        <v>0</v>
      </c>
      <c r="Y119" s="37">
        <f t="shared" si="102"/>
        <v>0</v>
      </c>
      <c r="Z119" s="37">
        <f t="shared" si="102"/>
        <v>0</v>
      </c>
      <c r="AA119" s="37">
        <f t="shared" si="102"/>
        <v>0</v>
      </c>
      <c r="AB119" s="37">
        <f t="shared" si="102"/>
        <v>0</v>
      </c>
      <c r="AC119" s="37">
        <f t="shared" si="102"/>
        <v>0</v>
      </c>
      <c r="AD119" s="37">
        <f t="shared" si="102"/>
        <v>0</v>
      </c>
      <c r="AE119" s="37">
        <f t="shared" si="102"/>
        <v>0</v>
      </c>
      <c r="AF119" s="37">
        <f t="shared" si="102"/>
        <v>0</v>
      </c>
      <c r="AG119" s="37">
        <f t="shared" si="102"/>
        <v>0</v>
      </c>
      <c r="AH119" s="37">
        <f t="shared" si="102"/>
        <v>0</v>
      </c>
      <c r="AI119" s="37">
        <f t="shared" si="102"/>
        <v>0</v>
      </c>
      <c r="AJ119" s="37">
        <f t="shared" ref="AJ119:AW119" si="103">($D$111&lt;=AJ116)*($D$111&gt;=AJ115)*AJ64</f>
        <v>0</v>
      </c>
      <c r="AK119" s="37">
        <f t="shared" si="103"/>
        <v>0</v>
      </c>
      <c r="AL119" s="37">
        <f t="shared" si="103"/>
        <v>0</v>
      </c>
      <c r="AM119" s="37">
        <f t="shared" si="103"/>
        <v>0</v>
      </c>
      <c r="AN119" s="37">
        <f t="shared" si="103"/>
        <v>0</v>
      </c>
      <c r="AO119" s="37">
        <f t="shared" si="103"/>
        <v>0</v>
      </c>
      <c r="AP119" s="37">
        <f t="shared" si="103"/>
        <v>0</v>
      </c>
      <c r="AQ119" s="37">
        <f t="shared" si="103"/>
        <v>0</v>
      </c>
      <c r="AR119" s="37">
        <f t="shared" si="103"/>
        <v>0</v>
      </c>
      <c r="AS119" s="37">
        <f t="shared" si="103"/>
        <v>0</v>
      </c>
      <c r="AT119" s="37">
        <f t="shared" si="103"/>
        <v>0</v>
      </c>
      <c r="AU119" s="37">
        <f t="shared" si="103"/>
        <v>0</v>
      </c>
      <c r="AV119" s="37">
        <f t="shared" si="103"/>
        <v>0</v>
      </c>
      <c r="AW119" s="37">
        <f t="shared" si="103"/>
        <v>0</v>
      </c>
      <c r="AX119" s="37">
        <f t="shared" ref="AX119:BQ119" si="104">($D$111&lt;=AX116)*($D$111&gt;=AX115)*AX64</f>
        <v>0</v>
      </c>
      <c r="AY119" s="37">
        <f t="shared" si="104"/>
        <v>0</v>
      </c>
      <c r="AZ119" s="37">
        <f t="shared" si="104"/>
        <v>0</v>
      </c>
      <c r="BA119" s="37">
        <f t="shared" si="104"/>
        <v>0</v>
      </c>
      <c r="BB119" s="37">
        <f t="shared" si="104"/>
        <v>0</v>
      </c>
      <c r="BC119" s="37">
        <f t="shared" si="104"/>
        <v>0</v>
      </c>
      <c r="BD119" s="37">
        <f t="shared" si="104"/>
        <v>0</v>
      </c>
      <c r="BE119" s="37">
        <f t="shared" si="104"/>
        <v>0</v>
      </c>
      <c r="BF119" s="37">
        <f t="shared" si="104"/>
        <v>0</v>
      </c>
      <c r="BG119" s="37">
        <f t="shared" si="104"/>
        <v>0</v>
      </c>
      <c r="BH119" s="37">
        <f t="shared" si="104"/>
        <v>0</v>
      </c>
      <c r="BI119" s="37">
        <f t="shared" si="104"/>
        <v>0</v>
      </c>
      <c r="BJ119" s="37">
        <f t="shared" si="104"/>
        <v>0</v>
      </c>
      <c r="BK119" s="37">
        <f t="shared" si="104"/>
        <v>0</v>
      </c>
      <c r="BL119" s="37">
        <f t="shared" si="104"/>
        <v>0</v>
      </c>
      <c r="BM119" s="37">
        <f t="shared" si="104"/>
        <v>0</v>
      </c>
      <c r="BN119" s="37">
        <f t="shared" si="104"/>
        <v>0</v>
      </c>
      <c r="BO119" s="37">
        <f t="shared" si="104"/>
        <v>0</v>
      </c>
      <c r="BP119" s="37">
        <f t="shared" si="104"/>
        <v>0</v>
      </c>
      <c r="BQ119" s="37">
        <f t="shared" si="104"/>
        <v>0</v>
      </c>
      <c r="BR119" s="37">
        <f t="shared" ref="BR119:CD119" si="105">($D$111&lt;=BR116)*($D$111&gt;=BR115)*BR64</f>
        <v>0</v>
      </c>
      <c r="BS119" s="37">
        <f t="shared" si="105"/>
        <v>0</v>
      </c>
      <c r="BT119" s="37">
        <f t="shared" si="105"/>
        <v>0</v>
      </c>
      <c r="BU119" s="37">
        <f t="shared" si="105"/>
        <v>0</v>
      </c>
      <c r="BV119" s="37">
        <f t="shared" si="105"/>
        <v>0</v>
      </c>
      <c r="BW119" s="37">
        <f t="shared" si="105"/>
        <v>0</v>
      </c>
      <c r="BX119" s="37">
        <f t="shared" si="105"/>
        <v>0</v>
      </c>
      <c r="BY119" s="37">
        <f t="shared" si="105"/>
        <v>0</v>
      </c>
      <c r="BZ119" s="37">
        <f t="shared" si="105"/>
        <v>0</v>
      </c>
      <c r="CA119" s="37">
        <f t="shared" si="105"/>
        <v>0</v>
      </c>
      <c r="CB119" s="37">
        <f t="shared" si="105"/>
        <v>0</v>
      </c>
      <c r="CC119" s="37">
        <f t="shared" si="105"/>
        <v>0</v>
      </c>
      <c r="CD119" s="37">
        <f t="shared" si="105"/>
        <v>0</v>
      </c>
    </row>
    <row r="120" spans="2:82">
      <c r="B120" s="2" t="s">
        <v>99</v>
      </c>
      <c r="C120" s="15" t="s">
        <v>102</v>
      </c>
      <c r="D120" s="37">
        <f>SUM(I120:AI120)</f>
        <v>1</v>
      </c>
      <c r="I120" s="37">
        <f t="shared" ref="I120:AI120" si="106">($D$112&lt;=I116)*($D$112&gt;=I115)*I64</f>
        <v>1</v>
      </c>
      <c r="J120" s="37">
        <f t="shared" si="106"/>
        <v>0</v>
      </c>
      <c r="K120" s="37">
        <f t="shared" si="106"/>
        <v>0</v>
      </c>
      <c r="L120" s="37">
        <f t="shared" si="106"/>
        <v>0</v>
      </c>
      <c r="M120" s="37">
        <f t="shared" si="106"/>
        <v>0</v>
      </c>
      <c r="N120" s="37">
        <f t="shared" si="106"/>
        <v>0</v>
      </c>
      <c r="O120" s="37">
        <f t="shared" si="106"/>
        <v>0</v>
      </c>
      <c r="P120" s="37">
        <f t="shared" si="106"/>
        <v>0</v>
      </c>
      <c r="Q120" s="37">
        <f t="shared" si="106"/>
        <v>0</v>
      </c>
      <c r="R120" s="37">
        <f t="shared" si="106"/>
        <v>0</v>
      </c>
      <c r="S120" s="37">
        <f t="shared" si="106"/>
        <v>0</v>
      </c>
      <c r="T120" s="37">
        <f t="shared" si="106"/>
        <v>0</v>
      </c>
      <c r="U120" s="37">
        <f t="shared" si="106"/>
        <v>0</v>
      </c>
      <c r="V120" s="37">
        <f t="shared" si="106"/>
        <v>0</v>
      </c>
      <c r="W120" s="37">
        <f t="shared" si="106"/>
        <v>0</v>
      </c>
      <c r="X120" s="37">
        <f t="shared" si="106"/>
        <v>0</v>
      </c>
      <c r="Y120" s="37">
        <f t="shared" si="106"/>
        <v>0</v>
      </c>
      <c r="Z120" s="37">
        <f t="shared" si="106"/>
        <v>0</v>
      </c>
      <c r="AA120" s="37">
        <f t="shared" si="106"/>
        <v>0</v>
      </c>
      <c r="AB120" s="37">
        <f t="shared" si="106"/>
        <v>0</v>
      </c>
      <c r="AC120" s="37">
        <f t="shared" si="106"/>
        <v>0</v>
      </c>
      <c r="AD120" s="37">
        <f t="shared" si="106"/>
        <v>0</v>
      </c>
      <c r="AE120" s="37">
        <f t="shared" si="106"/>
        <v>0</v>
      </c>
      <c r="AF120" s="37">
        <f t="shared" si="106"/>
        <v>0</v>
      </c>
      <c r="AG120" s="37">
        <f t="shared" si="106"/>
        <v>0</v>
      </c>
      <c r="AH120" s="37">
        <f t="shared" si="106"/>
        <v>0</v>
      </c>
      <c r="AI120" s="37">
        <f t="shared" si="106"/>
        <v>0</v>
      </c>
      <c r="AJ120" s="37">
        <f t="shared" ref="AJ120:AW120" si="107">($D$112&lt;=AJ116)*($D$112&gt;=AJ115)*AJ64</f>
        <v>0</v>
      </c>
      <c r="AK120" s="37">
        <f t="shared" si="107"/>
        <v>0</v>
      </c>
      <c r="AL120" s="37">
        <f t="shared" si="107"/>
        <v>0</v>
      </c>
      <c r="AM120" s="37">
        <f t="shared" si="107"/>
        <v>0</v>
      </c>
      <c r="AN120" s="37">
        <f t="shared" si="107"/>
        <v>0</v>
      </c>
      <c r="AO120" s="37">
        <f t="shared" si="107"/>
        <v>0</v>
      </c>
      <c r="AP120" s="37">
        <f t="shared" si="107"/>
        <v>0</v>
      </c>
      <c r="AQ120" s="37">
        <f t="shared" si="107"/>
        <v>0</v>
      </c>
      <c r="AR120" s="37">
        <f t="shared" si="107"/>
        <v>0</v>
      </c>
      <c r="AS120" s="37">
        <f t="shared" si="107"/>
        <v>0</v>
      </c>
      <c r="AT120" s="37">
        <f t="shared" si="107"/>
        <v>0</v>
      </c>
      <c r="AU120" s="37">
        <f t="shared" si="107"/>
        <v>0</v>
      </c>
      <c r="AV120" s="37">
        <f t="shared" si="107"/>
        <v>0</v>
      </c>
      <c r="AW120" s="37">
        <f t="shared" si="107"/>
        <v>0</v>
      </c>
      <c r="AX120" s="37">
        <f t="shared" ref="AX120:BQ120" si="108">($D$112&lt;=AX116)*($D$112&gt;=AX115)*AX64</f>
        <v>0</v>
      </c>
      <c r="AY120" s="37">
        <f t="shared" si="108"/>
        <v>0</v>
      </c>
      <c r="AZ120" s="37">
        <f t="shared" si="108"/>
        <v>0</v>
      </c>
      <c r="BA120" s="37">
        <f t="shared" si="108"/>
        <v>0</v>
      </c>
      <c r="BB120" s="37">
        <f t="shared" si="108"/>
        <v>0</v>
      </c>
      <c r="BC120" s="37">
        <f t="shared" si="108"/>
        <v>0</v>
      </c>
      <c r="BD120" s="37">
        <f t="shared" si="108"/>
        <v>0</v>
      </c>
      <c r="BE120" s="37">
        <f t="shared" si="108"/>
        <v>0</v>
      </c>
      <c r="BF120" s="37">
        <f t="shared" si="108"/>
        <v>0</v>
      </c>
      <c r="BG120" s="37">
        <f t="shared" si="108"/>
        <v>0</v>
      </c>
      <c r="BH120" s="37">
        <f t="shared" si="108"/>
        <v>0</v>
      </c>
      <c r="BI120" s="37">
        <f t="shared" si="108"/>
        <v>0</v>
      </c>
      <c r="BJ120" s="37">
        <f t="shared" si="108"/>
        <v>0</v>
      </c>
      <c r="BK120" s="37">
        <f t="shared" si="108"/>
        <v>0</v>
      </c>
      <c r="BL120" s="37">
        <f t="shared" si="108"/>
        <v>0</v>
      </c>
      <c r="BM120" s="37">
        <f t="shared" si="108"/>
        <v>0</v>
      </c>
      <c r="BN120" s="37">
        <f t="shared" si="108"/>
        <v>0</v>
      </c>
      <c r="BO120" s="37">
        <f t="shared" si="108"/>
        <v>0</v>
      </c>
      <c r="BP120" s="37">
        <f t="shared" si="108"/>
        <v>0</v>
      </c>
      <c r="BQ120" s="37">
        <f t="shared" si="108"/>
        <v>0</v>
      </c>
      <c r="BR120" s="37">
        <f t="shared" ref="BR120:CD120" si="109">($D$112&lt;=BR116)*($D$112&gt;=BR115)*BR64</f>
        <v>0</v>
      </c>
      <c r="BS120" s="37">
        <f t="shared" si="109"/>
        <v>0</v>
      </c>
      <c r="BT120" s="37">
        <f t="shared" si="109"/>
        <v>0</v>
      </c>
      <c r="BU120" s="37">
        <f t="shared" si="109"/>
        <v>0</v>
      </c>
      <c r="BV120" s="37">
        <f t="shared" si="109"/>
        <v>0</v>
      </c>
      <c r="BW120" s="37">
        <f t="shared" si="109"/>
        <v>0</v>
      </c>
      <c r="BX120" s="37">
        <f t="shared" si="109"/>
        <v>0</v>
      </c>
      <c r="BY120" s="37">
        <f t="shared" si="109"/>
        <v>0</v>
      </c>
      <c r="BZ120" s="37">
        <f t="shared" si="109"/>
        <v>0</v>
      </c>
      <c r="CA120" s="37">
        <f t="shared" si="109"/>
        <v>0</v>
      </c>
      <c r="CB120" s="37">
        <f t="shared" si="109"/>
        <v>0</v>
      </c>
      <c r="CC120" s="37">
        <f t="shared" si="109"/>
        <v>0</v>
      </c>
      <c r="CD120" s="37">
        <f t="shared" si="109"/>
        <v>0</v>
      </c>
    </row>
    <row r="121" spans="2:82">
      <c r="C121" s="15"/>
    </row>
    <row r="122" spans="2:82">
      <c r="B122" s="29" t="s">
        <v>103</v>
      </c>
      <c r="C122" s="15"/>
    </row>
    <row r="123" spans="2:82">
      <c r="B123" s="2" t="s">
        <v>98</v>
      </c>
      <c r="C123" s="15" t="s">
        <v>102</v>
      </c>
      <c r="D123" s="2">
        <v>10</v>
      </c>
      <c r="I123" s="37">
        <f>(I116&gt;$D$111)*I64</f>
        <v>1</v>
      </c>
      <c r="J123" s="37">
        <f>(J116&gt;$D$111)*J64</f>
        <v>1</v>
      </c>
      <c r="K123" s="37">
        <f t="shared" ref="K123:AI123" si="110">(K116&gt;$D$111)*K64</f>
        <v>1</v>
      </c>
      <c r="L123" s="37">
        <f t="shared" si="110"/>
        <v>1</v>
      </c>
      <c r="M123" s="37">
        <f t="shared" si="110"/>
        <v>1</v>
      </c>
      <c r="N123" s="37">
        <f t="shared" si="110"/>
        <v>1</v>
      </c>
      <c r="O123" s="37">
        <f t="shared" si="110"/>
        <v>1</v>
      </c>
      <c r="P123" s="37">
        <f t="shared" si="110"/>
        <v>1</v>
      </c>
      <c r="Q123" s="37">
        <f t="shared" si="110"/>
        <v>1</v>
      </c>
      <c r="R123" s="37">
        <f t="shared" si="110"/>
        <v>1</v>
      </c>
      <c r="S123" s="37">
        <f t="shared" si="110"/>
        <v>1</v>
      </c>
      <c r="T123" s="37">
        <f t="shared" si="110"/>
        <v>1</v>
      </c>
      <c r="U123" s="37">
        <f t="shared" si="110"/>
        <v>1</v>
      </c>
      <c r="V123" s="37">
        <f t="shared" si="110"/>
        <v>1</v>
      </c>
      <c r="W123" s="37">
        <f t="shared" si="110"/>
        <v>1</v>
      </c>
      <c r="X123" s="37">
        <f t="shared" si="110"/>
        <v>1</v>
      </c>
      <c r="Y123" s="37">
        <f t="shared" si="110"/>
        <v>1</v>
      </c>
      <c r="Z123" s="37">
        <f t="shared" si="110"/>
        <v>1</v>
      </c>
      <c r="AA123" s="37">
        <f t="shared" si="110"/>
        <v>1</v>
      </c>
      <c r="AB123" s="37">
        <f t="shared" si="110"/>
        <v>1</v>
      </c>
      <c r="AC123" s="37">
        <f t="shared" si="110"/>
        <v>1</v>
      </c>
      <c r="AD123" s="37">
        <f t="shared" si="110"/>
        <v>1</v>
      </c>
      <c r="AE123" s="37">
        <f t="shared" si="110"/>
        <v>1</v>
      </c>
      <c r="AF123" s="37">
        <f t="shared" si="110"/>
        <v>1</v>
      </c>
      <c r="AG123" s="37">
        <f t="shared" si="110"/>
        <v>1</v>
      </c>
      <c r="AH123" s="37">
        <f t="shared" si="110"/>
        <v>1</v>
      </c>
      <c r="AI123" s="37">
        <f t="shared" si="110"/>
        <v>1</v>
      </c>
      <c r="AJ123" s="37">
        <f t="shared" ref="AJ123:AW123" si="111">(AJ116&gt;$D$111)*AJ64</f>
        <v>1</v>
      </c>
      <c r="AK123" s="37">
        <f t="shared" si="111"/>
        <v>1</v>
      </c>
      <c r="AL123" s="37">
        <f t="shared" si="111"/>
        <v>1</v>
      </c>
      <c r="AM123" s="37">
        <f t="shared" si="111"/>
        <v>1</v>
      </c>
      <c r="AN123" s="37">
        <f t="shared" si="111"/>
        <v>1</v>
      </c>
      <c r="AO123" s="37">
        <f t="shared" si="111"/>
        <v>1</v>
      </c>
      <c r="AP123" s="37">
        <f t="shared" si="111"/>
        <v>1</v>
      </c>
      <c r="AQ123" s="37">
        <f t="shared" si="111"/>
        <v>1</v>
      </c>
      <c r="AR123" s="37">
        <f t="shared" si="111"/>
        <v>1</v>
      </c>
      <c r="AS123" s="37">
        <f t="shared" si="111"/>
        <v>0</v>
      </c>
      <c r="AT123" s="37">
        <f t="shared" si="111"/>
        <v>0</v>
      </c>
      <c r="AU123" s="37">
        <f t="shared" si="111"/>
        <v>0</v>
      </c>
      <c r="AV123" s="37">
        <f t="shared" si="111"/>
        <v>0</v>
      </c>
      <c r="AW123" s="37">
        <f t="shared" si="111"/>
        <v>0</v>
      </c>
      <c r="AX123" s="37">
        <f t="shared" ref="AX123:BD123" si="112">(AX116&gt;$D$111)*AX64</f>
        <v>0</v>
      </c>
      <c r="AY123" s="37">
        <f t="shared" si="112"/>
        <v>0</v>
      </c>
      <c r="AZ123" s="37">
        <f t="shared" si="112"/>
        <v>0</v>
      </c>
      <c r="BA123" s="37">
        <f t="shared" si="112"/>
        <v>0</v>
      </c>
      <c r="BB123" s="37">
        <f t="shared" si="112"/>
        <v>0</v>
      </c>
      <c r="BC123" s="37">
        <f t="shared" si="112"/>
        <v>0</v>
      </c>
      <c r="BD123" s="37">
        <f t="shared" si="112"/>
        <v>0</v>
      </c>
      <c r="BE123" s="37">
        <f t="shared" ref="BE123:BO123" si="113">(BE116&gt;$D$111)*BE64</f>
        <v>0</v>
      </c>
      <c r="BF123" s="37">
        <f t="shared" si="113"/>
        <v>0</v>
      </c>
      <c r="BG123" s="37">
        <f t="shared" si="113"/>
        <v>0</v>
      </c>
      <c r="BH123" s="37">
        <f t="shared" si="113"/>
        <v>0</v>
      </c>
      <c r="BI123" s="37">
        <f t="shared" si="113"/>
        <v>0</v>
      </c>
      <c r="BJ123" s="37">
        <f t="shared" si="113"/>
        <v>0</v>
      </c>
      <c r="BK123" s="37">
        <f t="shared" si="113"/>
        <v>0</v>
      </c>
      <c r="BL123" s="37">
        <f t="shared" si="113"/>
        <v>0</v>
      </c>
      <c r="BM123" s="37">
        <f t="shared" si="113"/>
        <v>0</v>
      </c>
      <c r="BN123" s="37">
        <f t="shared" si="113"/>
        <v>0</v>
      </c>
      <c r="BO123" s="37">
        <f t="shared" si="113"/>
        <v>0</v>
      </c>
      <c r="BP123" s="37">
        <f>(BP116&gt;$D$111)*BP64</f>
        <v>0</v>
      </c>
      <c r="BQ123" s="37">
        <f>(BQ116&gt;$D$111)*BQ64</f>
        <v>0</v>
      </c>
      <c r="BR123" s="37">
        <f t="shared" ref="BR123:CD123" si="114">(BR116&gt;$D$111)*BR64</f>
        <v>0</v>
      </c>
      <c r="BS123" s="37">
        <f t="shared" si="114"/>
        <v>0</v>
      </c>
      <c r="BT123" s="37">
        <f t="shared" si="114"/>
        <v>0</v>
      </c>
      <c r="BU123" s="37">
        <f t="shared" si="114"/>
        <v>0</v>
      </c>
      <c r="BV123" s="37">
        <f t="shared" si="114"/>
        <v>0</v>
      </c>
      <c r="BW123" s="37">
        <f t="shared" si="114"/>
        <v>0</v>
      </c>
      <c r="BX123" s="37">
        <f t="shared" si="114"/>
        <v>0</v>
      </c>
      <c r="BY123" s="37">
        <f t="shared" si="114"/>
        <v>0</v>
      </c>
      <c r="BZ123" s="37">
        <f t="shared" si="114"/>
        <v>0</v>
      </c>
      <c r="CA123" s="37">
        <f t="shared" si="114"/>
        <v>0</v>
      </c>
      <c r="CB123" s="37">
        <f t="shared" si="114"/>
        <v>0</v>
      </c>
      <c r="CC123" s="37">
        <f t="shared" si="114"/>
        <v>0</v>
      </c>
      <c r="CD123" s="37">
        <f t="shared" si="114"/>
        <v>0</v>
      </c>
    </row>
    <row r="124" spans="2:82" s="2504" customFormat="1">
      <c r="B124" s="2504" t="s">
        <v>99</v>
      </c>
      <c r="C124" s="2505" t="s">
        <v>102</v>
      </c>
      <c r="D124" s="2504">
        <v>12</v>
      </c>
      <c r="I124" s="2506">
        <f>(I116&gt;$D$112)*I64</f>
        <v>1</v>
      </c>
      <c r="J124" s="2506">
        <f t="shared" ref="J124:AI124" si="115">(J116&gt;$D$112)*J64</f>
        <v>1</v>
      </c>
      <c r="K124" s="2506">
        <f t="shared" si="115"/>
        <v>1</v>
      </c>
      <c r="L124" s="2506">
        <f t="shared" si="115"/>
        <v>1</v>
      </c>
      <c r="M124" s="2506">
        <f t="shared" si="115"/>
        <v>1</v>
      </c>
      <c r="N124" s="2506">
        <f t="shared" si="115"/>
        <v>1</v>
      </c>
      <c r="O124" s="2506">
        <f t="shared" si="115"/>
        <v>1</v>
      </c>
      <c r="P124" s="2506">
        <f t="shared" si="115"/>
        <v>1</v>
      </c>
      <c r="Q124" s="2506">
        <f t="shared" si="115"/>
        <v>1</v>
      </c>
      <c r="R124" s="2506">
        <f t="shared" si="115"/>
        <v>1</v>
      </c>
      <c r="S124" s="2506">
        <f t="shared" si="115"/>
        <v>1</v>
      </c>
      <c r="T124" s="2506">
        <f t="shared" si="115"/>
        <v>1</v>
      </c>
      <c r="U124" s="2506">
        <f t="shared" si="115"/>
        <v>1</v>
      </c>
      <c r="V124" s="2506">
        <f t="shared" si="115"/>
        <v>1</v>
      </c>
      <c r="W124" s="2506">
        <f t="shared" si="115"/>
        <v>1</v>
      </c>
      <c r="X124" s="2506">
        <f t="shared" si="115"/>
        <v>1</v>
      </c>
      <c r="Y124" s="2506">
        <f t="shared" si="115"/>
        <v>1</v>
      </c>
      <c r="Z124" s="2506">
        <f t="shared" si="115"/>
        <v>1</v>
      </c>
      <c r="AA124" s="2506">
        <f t="shared" si="115"/>
        <v>1</v>
      </c>
      <c r="AB124" s="2506">
        <f t="shared" si="115"/>
        <v>1</v>
      </c>
      <c r="AC124" s="2506">
        <f t="shared" si="115"/>
        <v>1</v>
      </c>
      <c r="AD124" s="2506">
        <f t="shared" si="115"/>
        <v>1</v>
      </c>
      <c r="AE124" s="2506">
        <f t="shared" si="115"/>
        <v>1</v>
      </c>
      <c r="AF124" s="2506">
        <f t="shared" si="115"/>
        <v>1</v>
      </c>
      <c r="AG124" s="2506">
        <f t="shared" si="115"/>
        <v>1</v>
      </c>
      <c r="AH124" s="2506">
        <f t="shared" si="115"/>
        <v>1</v>
      </c>
      <c r="AI124" s="2506">
        <f t="shared" si="115"/>
        <v>1</v>
      </c>
      <c r="AJ124" s="2506">
        <f t="shared" ref="AJ124:AW124" si="116">(AJ116&gt;$D$112)*AJ64</f>
        <v>1</v>
      </c>
      <c r="AK124" s="2506">
        <f t="shared" si="116"/>
        <v>1</v>
      </c>
      <c r="AL124" s="2506">
        <f t="shared" si="116"/>
        <v>1</v>
      </c>
      <c r="AM124" s="2506">
        <f t="shared" si="116"/>
        <v>1</v>
      </c>
      <c r="AN124" s="2506">
        <f t="shared" si="116"/>
        <v>1</v>
      </c>
      <c r="AO124" s="2506">
        <f t="shared" si="116"/>
        <v>1</v>
      </c>
      <c r="AP124" s="2506">
        <f t="shared" si="116"/>
        <v>1</v>
      </c>
      <c r="AQ124" s="2506">
        <f t="shared" si="116"/>
        <v>1</v>
      </c>
      <c r="AR124" s="2506">
        <f t="shared" si="116"/>
        <v>1</v>
      </c>
      <c r="AS124" s="2506">
        <f t="shared" si="116"/>
        <v>0</v>
      </c>
      <c r="AT124" s="2506">
        <f t="shared" si="116"/>
        <v>0</v>
      </c>
      <c r="AU124" s="2506">
        <f t="shared" si="116"/>
        <v>0</v>
      </c>
      <c r="AV124" s="2506">
        <f t="shared" si="116"/>
        <v>0</v>
      </c>
      <c r="AW124" s="2506">
        <f t="shared" si="116"/>
        <v>0</v>
      </c>
      <c r="AX124" s="2506">
        <f t="shared" ref="AX124:BD124" si="117">(AX116&gt;$D$112)*AX64</f>
        <v>0</v>
      </c>
      <c r="AY124" s="2506">
        <f t="shared" si="117"/>
        <v>0</v>
      </c>
      <c r="AZ124" s="2506">
        <f t="shared" si="117"/>
        <v>0</v>
      </c>
      <c r="BA124" s="2506">
        <f t="shared" si="117"/>
        <v>0</v>
      </c>
      <c r="BB124" s="2506">
        <f t="shared" si="117"/>
        <v>0</v>
      </c>
      <c r="BC124" s="2506">
        <f t="shared" si="117"/>
        <v>0</v>
      </c>
      <c r="BD124" s="2506">
        <f t="shared" si="117"/>
        <v>0</v>
      </c>
      <c r="BE124" s="2506">
        <f t="shared" ref="BE124:BP124" si="118">(BE116&gt;$D$112)*BE64</f>
        <v>0</v>
      </c>
      <c r="BF124" s="2506">
        <f t="shared" si="118"/>
        <v>0</v>
      </c>
      <c r="BG124" s="2506">
        <f t="shared" si="118"/>
        <v>0</v>
      </c>
      <c r="BH124" s="2506">
        <f t="shared" si="118"/>
        <v>0</v>
      </c>
      <c r="BI124" s="2506">
        <f t="shared" si="118"/>
        <v>0</v>
      </c>
      <c r="BJ124" s="2506">
        <f t="shared" si="118"/>
        <v>0</v>
      </c>
      <c r="BK124" s="2506">
        <f t="shared" si="118"/>
        <v>0</v>
      </c>
      <c r="BL124" s="2506">
        <f t="shared" si="118"/>
        <v>0</v>
      </c>
      <c r="BM124" s="2506">
        <f t="shared" si="118"/>
        <v>0</v>
      </c>
      <c r="BN124" s="2506">
        <f t="shared" si="118"/>
        <v>0</v>
      </c>
      <c r="BO124" s="2506">
        <f t="shared" si="118"/>
        <v>0</v>
      </c>
      <c r="BP124" s="2506">
        <f t="shared" si="118"/>
        <v>0</v>
      </c>
      <c r="BQ124" s="2506">
        <f>(BQ116&gt;$D$112)*BQ64</f>
        <v>0</v>
      </c>
      <c r="BR124" s="2506">
        <f t="shared" ref="BR124:CD124" si="119">(BR116&gt;$D$112)*BR64</f>
        <v>0</v>
      </c>
      <c r="BS124" s="2506">
        <f t="shared" si="119"/>
        <v>0</v>
      </c>
      <c r="BT124" s="2506">
        <f t="shared" si="119"/>
        <v>0</v>
      </c>
      <c r="BU124" s="2506">
        <f t="shared" si="119"/>
        <v>0</v>
      </c>
      <c r="BV124" s="2506">
        <f t="shared" si="119"/>
        <v>0</v>
      </c>
      <c r="BW124" s="2506">
        <f t="shared" si="119"/>
        <v>0</v>
      </c>
      <c r="BX124" s="2506">
        <f t="shared" si="119"/>
        <v>0</v>
      </c>
      <c r="BY124" s="2506">
        <f t="shared" si="119"/>
        <v>0</v>
      </c>
      <c r="BZ124" s="2506">
        <f t="shared" si="119"/>
        <v>0</v>
      </c>
      <c r="CA124" s="2506">
        <f t="shared" si="119"/>
        <v>0</v>
      </c>
      <c r="CB124" s="2506">
        <f t="shared" si="119"/>
        <v>0</v>
      </c>
      <c r="CC124" s="2506">
        <f t="shared" si="119"/>
        <v>0</v>
      </c>
      <c r="CD124" s="2506">
        <f t="shared" si="119"/>
        <v>0</v>
      </c>
    </row>
    <row r="125" spans="2:82">
      <c r="C125" s="15"/>
    </row>
    <row r="126" spans="2:82">
      <c r="C126" s="15"/>
    </row>
    <row r="127" spans="2:82">
      <c r="B127" s="10" t="s">
        <v>104</v>
      </c>
      <c r="C127" s="15"/>
    </row>
    <row r="128" spans="2:82">
      <c r="C128" s="15"/>
    </row>
    <row r="129" spans="2:53" ht="19.5">
      <c r="B129" s="31" t="s">
        <v>96</v>
      </c>
      <c r="C129" s="32" t="s">
        <v>1</v>
      </c>
      <c r="D129" s="34" t="s">
        <v>105</v>
      </c>
      <c r="E129" s="33" t="s">
        <v>2</v>
      </c>
    </row>
    <row r="130" spans="2:53">
      <c r="B130" s="20" t="s">
        <v>98</v>
      </c>
      <c r="C130" s="122">
        <f>'Input '!E318</f>
        <v>46753</v>
      </c>
      <c r="D130" s="20">
        <f>'Input '!F318-'Input '!F313</f>
        <v>8</v>
      </c>
      <c r="E130" s="25">
        <f>EDATE(C130,D130*Months_year)-1</f>
        <v>49674</v>
      </c>
    </row>
    <row r="131" spans="2:53">
      <c r="B131" s="7" t="s">
        <v>99</v>
      </c>
      <c r="C131" s="122">
        <f>'Input '!E319</f>
        <v>46753</v>
      </c>
      <c r="D131" s="7">
        <f>'Input '!F319-'Input '!F314</f>
        <v>8</v>
      </c>
      <c r="E131" s="25">
        <f>EDATE(C131,D131*Months_year)-1</f>
        <v>49674</v>
      </c>
    </row>
    <row r="132" spans="2:53">
      <c r="C132" s="15"/>
    </row>
    <row r="133" spans="2:53">
      <c r="B133" s="29" t="s">
        <v>98</v>
      </c>
      <c r="C133" s="15"/>
    </row>
    <row r="134" spans="2:53">
      <c r="B134" s="2" t="s">
        <v>106</v>
      </c>
      <c r="C134" s="15" t="s">
        <v>102</v>
      </c>
      <c r="I134" s="37">
        <f t="shared" ref="I134:AI134" si="120">($C$130&lt;=I4)*($E$130&gt;=I3)*I43</f>
        <v>0</v>
      </c>
      <c r="J134" s="37">
        <f t="shared" si="120"/>
        <v>0</v>
      </c>
      <c r="K134" s="37">
        <f t="shared" si="120"/>
        <v>0</v>
      </c>
      <c r="L134" s="37">
        <f t="shared" si="120"/>
        <v>1</v>
      </c>
      <c r="M134" s="37">
        <f t="shared" si="120"/>
        <v>1</v>
      </c>
      <c r="N134" s="37">
        <f t="shared" si="120"/>
        <v>1</v>
      </c>
      <c r="O134" s="37">
        <f t="shared" si="120"/>
        <v>1</v>
      </c>
      <c r="P134" s="37">
        <f t="shared" si="120"/>
        <v>1</v>
      </c>
      <c r="Q134" s="37">
        <f t="shared" si="120"/>
        <v>1</v>
      </c>
      <c r="R134" s="37">
        <f t="shared" si="120"/>
        <v>1</v>
      </c>
      <c r="S134" s="37">
        <f t="shared" si="120"/>
        <v>0</v>
      </c>
      <c r="T134" s="37">
        <f t="shared" si="120"/>
        <v>0</v>
      </c>
      <c r="U134" s="37">
        <f t="shared" si="120"/>
        <v>0</v>
      </c>
      <c r="V134" s="37">
        <f t="shared" si="120"/>
        <v>0</v>
      </c>
      <c r="W134" s="37">
        <f t="shared" si="120"/>
        <v>0</v>
      </c>
      <c r="X134" s="37">
        <f t="shared" si="120"/>
        <v>0</v>
      </c>
      <c r="Y134" s="37">
        <f t="shared" si="120"/>
        <v>0</v>
      </c>
      <c r="Z134" s="37">
        <f t="shared" si="120"/>
        <v>0</v>
      </c>
      <c r="AA134" s="37">
        <f t="shared" si="120"/>
        <v>0</v>
      </c>
      <c r="AB134" s="37">
        <f t="shared" si="120"/>
        <v>0</v>
      </c>
      <c r="AC134" s="37">
        <f t="shared" si="120"/>
        <v>0</v>
      </c>
      <c r="AD134" s="37">
        <f t="shared" si="120"/>
        <v>0</v>
      </c>
      <c r="AE134" s="37">
        <f t="shared" si="120"/>
        <v>0</v>
      </c>
      <c r="AF134" s="37">
        <f t="shared" si="120"/>
        <v>0</v>
      </c>
      <c r="AG134" s="37">
        <f t="shared" si="120"/>
        <v>0</v>
      </c>
      <c r="AH134" s="37">
        <f t="shared" si="120"/>
        <v>0</v>
      </c>
      <c r="AI134" s="37">
        <f t="shared" si="120"/>
        <v>0</v>
      </c>
    </row>
    <row r="135" spans="2:53">
      <c r="B135" s="2" t="s">
        <v>107</v>
      </c>
      <c r="C135" s="15" t="s">
        <v>102</v>
      </c>
      <c r="I135" s="37">
        <f>SUM($I$134:I134)*I134</f>
        <v>0</v>
      </c>
      <c r="J135" s="37">
        <f>SUM($I$134:J134)*J134</f>
        <v>0</v>
      </c>
      <c r="K135" s="37">
        <f>SUM($I$134:K134)*K134</f>
        <v>0</v>
      </c>
      <c r="L135" s="37">
        <f>SUM($I$134:L134)*L134</f>
        <v>1</v>
      </c>
      <c r="M135" s="37">
        <f>SUM($I$134:M134)*M134</f>
        <v>2</v>
      </c>
      <c r="N135" s="37">
        <f>SUM($I$134:N134)*N134</f>
        <v>3</v>
      </c>
      <c r="O135" s="37">
        <f>SUM($I$134:O134)*O134</f>
        <v>4</v>
      </c>
      <c r="P135" s="37">
        <f>SUM($I$134:P134)*P134</f>
        <v>5</v>
      </c>
      <c r="Q135" s="37">
        <f>SUM($I$134:Q134)*Q134</f>
        <v>6</v>
      </c>
      <c r="R135" s="37">
        <f>SUM($I$134:R134)*R134</f>
        <v>7</v>
      </c>
      <c r="S135" s="37">
        <f>SUM($I$134:S134)*S134</f>
        <v>0</v>
      </c>
      <c r="T135" s="37">
        <f>SUM($I$134:T134)*T134</f>
        <v>0</v>
      </c>
      <c r="U135" s="37">
        <f>SUM($I$134:U134)*U134</f>
        <v>0</v>
      </c>
      <c r="V135" s="37">
        <f>SUM($I$134:V134)*V134</f>
        <v>0</v>
      </c>
      <c r="W135" s="37">
        <f>SUM($I$134:W134)*W134</f>
        <v>0</v>
      </c>
      <c r="X135" s="37">
        <f>SUM($I$134:X134)*X134</f>
        <v>0</v>
      </c>
      <c r="Y135" s="37">
        <f>SUM($I$134:Y134)*Y134</f>
        <v>0</v>
      </c>
      <c r="Z135" s="37">
        <f>SUM($I$134:Z134)*Z134</f>
        <v>0</v>
      </c>
      <c r="AA135" s="37">
        <f>SUM($I$134:AA134)*AA134</f>
        <v>0</v>
      </c>
      <c r="AB135" s="37">
        <f>SUM($I$134:AB134)*AB134</f>
        <v>0</v>
      </c>
      <c r="AC135" s="37">
        <f>SUM($I$134:AC134)*AC134</f>
        <v>0</v>
      </c>
      <c r="AD135" s="37">
        <f>SUM($I$134:AD134)*AD134</f>
        <v>0</v>
      </c>
      <c r="AE135" s="37">
        <f>SUM($I$134:AE134)*AE134</f>
        <v>0</v>
      </c>
      <c r="AF135" s="37">
        <f>SUM($I$134:AF134)*AF134</f>
        <v>0</v>
      </c>
      <c r="AG135" s="37">
        <f>SUM($I$134:AG134)*AG134</f>
        <v>0</v>
      </c>
      <c r="AH135" s="37">
        <f>SUM($I$134:AH134)*AH134</f>
        <v>0</v>
      </c>
      <c r="AI135" s="37">
        <f>SUM($I$134:AI134)*AI134</f>
        <v>0</v>
      </c>
      <c r="AJ135" s="37">
        <f>SUM($I$134:AJ134)*AJ134</f>
        <v>0</v>
      </c>
      <c r="AK135" s="37">
        <f>SUM($I$134:AK134)*AK134</f>
        <v>0</v>
      </c>
      <c r="AL135" s="37">
        <f>SUM($I$134:AL134)*AL134</f>
        <v>0</v>
      </c>
      <c r="AM135" s="37">
        <f>SUM($I$134:AM134)*AM134</f>
        <v>0</v>
      </c>
      <c r="AN135" s="37">
        <f>SUM($I$134:AN134)*AN134</f>
        <v>0</v>
      </c>
      <c r="AO135" s="37">
        <f>SUM($I$134:AO134)*AO134</f>
        <v>0</v>
      </c>
      <c r="AP135" s="37">
        <f>SUM($I$134:AP134)*AP134</f>
        <v>0</v>
      </c>
      <c r="AQ135" s="37">
        <f>SUM($I$134:AQ134)*AQ134</f>
        <v>0</v>
      </c>
      <c r="AR135" s="37">
        <f>SUM($I$134:AR134)*AR134</f>
        <v>0</v>
      </c>
      <c r="AS135" s="37">
        <f>SUM($I$134:AS134)*AS134</f>
        <v>0</v>
      </c>
      <c r="AT135" s="37">
        <f>SUM($I$134:AT134)*AT134</f>
        <v>0</v>
      </c>
      <c r="AU135" s="37">
        <f>SUM($I$134:AU134)*AU134</f>
        <v>0</v>
      </c>
      <c r="AV135" s="37">
        <f>SUM($I$134:AV134)*AV134</f>
        <v>0</v>
      </c>
      <c r="AW135" s="37">
        <f>SUM($I$134:AW134)*AW134</f>
        <v>0</v>
      </c>
      <c r="AX135" s="37"/>
      <c r="AY135" s="37"/>
      <c r="AZ135" s="37">
        <f>SUM($I$134:AZ134)*AZ134</f>
        <v>0</v>
      </c>
      <c r="BA135" s="37">
        <f>SUM($I$134:BA134)*BA134</f>
        <v>0</v>
      </c>
    </row>
    <row r="136" spans="2:53">
      <c r="B136" s="2" t="s">
        <v>108</v>
      </c>
      <c r="C136" s="15" t="s">
        <v>102</v>
      </c>
      <c r="I136" s="37">
        <f t="shared" ref="I136:AI136" si="121">($E$130&lt;=I4)*($E$130&gt;=I3)*I43</f>
        <v>0</v>
      </c>
      <c r="J136" s="37">
        <f t="shared" si="121"/>
        <v>0</v>
      </c>
      <c r="K136" s="37">
        <f t="shared" si="121"/>
        <v>0</v>
      </c>
      <c r="L136" s="37">
        <f t="shared" si="121"/>
        <v>0</v>
      </c>
      <c r="M136" s="37">
        <f t="shared" si="121"/>
        <v>0</v>
      </c>
      <c r="N136" s="37">
        <f t="shared" si="121"/>
        <v>0</v>
      </c>
      <c r="O136" s="37">
        <f t="shared" si="121"/>
        <v>0</v>
      </c>
      <c r="P136" s="37">
        <f t="shared" si="121"/>
        <v>0</v>
      </c>
      <c r="Q136" s="37">
        <f t="shared" si="121"/>
        <v>0</v>
      </c>
      <c r="R136" s="37">
        <f t="shared" si="121"/>
        <v>1</v>
      </c>
      <c r="S136" s="37">
        <f t="shared" si="121"/>
        <v>0</v>
      </c>
      <c r="T136" s="37">
        <f t="shared" si="121"/>
        <v>0</v>
      </c>
      <c r="U136" s="37">
        <f t="shared" si="121"/>
        <v>0</v>
      </c>
      <c r="V136" s="37">
        <f t="shared" si="121"/>
        <v>0</v>
      </c>
      <c r="W136" s="37">
        <f t="shared" si="121"/>
        <v>0</v>
      </c>
      <c r="X136" s="37">
        <f t="shared" si="121"/>
        <v>0</v>
      </c>
      <c r="Y136" s="37">
        <f t="shared" si="121"/>
        <v>0</v>
      </c>
      <c r="Z136" s="37">
        <f t="shared" si="121"/>
        <v>0</v>
      </c>
      <c r="AA136" s="37">
        <f t="shared" si="121"/>
        <v>0</v>
      </c>
      <c r="AB136" s="37">
        <f t="shared" si="121"/>
        <v>0</v>
      </c>
      <c r="AC136" s="37">
        <f t="shared" si="121"/>
        <v>0</v>
      </c>
      <c r="AD136" s="37">
        <f t="shared" si="121"/>
        <v>0</v>
      </c>
      <c r="AE136" s="37">
        <f t="shared" si="121"/>
        <v>0</v>
      </c>
      <c r="AF136" s="37">
        <f t="shared" si="121"/>
        <v>0</v>
      </c>
      <c r="AG136" s="37">
        <f t="shared" si="121"/>
        <v>0</v>
      </c>
      <c r="AH136" s="37">
        <f t="shared" si="121"/>
        <v>0</v>
      </c>
      <c r="AI136" s="37">
        <f t="shared" si="121"/>
        <v>0</v>
      </c>
      <c r="AJ136" s="37">
        <f t="shared" ref="AJ136:BA136" si="122">($E$130&lt;=AJ4)*($E$130&gt;=AJ3)*AJ43</f>
        <v>0</v>
      </c>
      <c r="AK136" s="37">
        <f t="shared" si="122"/>
        <v>0</v>
      </c>
      <c r="AL136" s="37">
        <f t="shared" si="122"/>
        <v>0</v>
      </c>
      <c r="AM136" s="37">
        <f t="shared" si="122"/>
        <v>0</v>
      </c>
      <c r="AN136" s="37">
        <f t="shared" si="122"/>
        <v>0</v>
      </c>
      <c r="AO136" s="37">
        <f t="shared" si="122"/>
        <v>0</v>
      </c>
      <c r="AP136" s="37">
        <f t="shared" si="122"/>
        <v>0</v>
      </c>
      <c r="AQ136" s="37">
        <f t="shared" si="122"/>
        <v>0</v>
      </c>
      <c r="AR136" s="37">
        <f t="shared" si="122"/>
        <v>0</v>
      </c>
      <c r="AS136" s="37">
        <f t="shared" si="122"/>
        <v>0</v>
      </c>
      <c r="AT136" s="37">
        <f t="shared" si="122"/>
        <v>0</v>
      </c>
      <c r="AU136" s="37">
        <f t="shared" si="122"/>
        <v>0</v>
      </c>
      <c r="AV136" s="37">
        <f t="shared" si="122"/>
        <v>0</v>
      </c>
      <c r="AW136" s="37">
        <f t="shared" si="122"/>
        <v>0</v>
      </c>
      <c r="AX136" s="37"/>
      <c r="AY136" s="37"/>
      <c r="AZ136" s="37">
        <f t="shared" si="122"/>
        <v>0</v>
      </c>
      <c r="BA136" s="37">
        <f t="shared" si="122"/>
        <v>0</v>
      </c>
    </row>
    <row r="137" spans="2:53">
      <c r="C137" s="15"/>
    </row>
    <row r="138" spans="2:53">
      <c r="B138" s="29" t="s">
        <v>99</v>
      </c>
      <c r="C138" s="15"/>
    </row>
    <row r="139" spans="2:53">
      <c r="B139" s="2" t="s">
        <v>106</v>
      </c>
      <c r="C139" s="15" t="s">
        <v>102</v>
      </c>
      <c r="I139" s="37">
        <f t="shared" ref="I139:AI139" si="123">($C$131&lt;=I4)*($E$131&gt;=I3)*I43</f>
        <v>0</v>
      </c>
      <c r="J139" s="37">
        <f t="shared" si="123"/>
        <v>0</v>
      </c>
      <c r="K139" s="37">
        <f t="shared" si="123"/>
        <v>0</v>
      </c>
      <c r="L139" s="37">
        <f>($C$131&lt;=L4)*($E$131&gt;=L3)*L43</f>
        <v>1</v>
      </c>
      <c r="M139" s="37">
        <f t="shared" si="123"/>
        <v>1</v>
      </c>
      <c r="N139" s="37">
        <f t="shared" si="123"/>
        <v>1</v>
      </c>
      <c r="O139" s="37">
        <f t="shared" si="123"/>
        <v>1</v>
      </c>
      <c r="P139" s="37">
        <f t="shared" si="123"/>
        <v>1</v>
      </c>
      <c r="Q139" s="37">
        <f t="shared" si="123"/>
        <v>1</v>
      </c>
      <c r="R139" s="37">
        <f t="shared" si="123"/>
        <v>1</v>
      </c>
      <c r="S139" s="37">
        <f t="shared" si="123"/>
        <v>0</v>
      </c>
      <c r="T139" s="37">
        <f t="shared" si="123"/>
        <v>0</v>
      </c>
      <c r="U139" s="37">
        <f t="shared" si="123"/>
        <v>0</v>
      </c>
      <c r="V139" s="37">
        <f t="shared" si="123"/>
        <v>0</v>
      </c>
      <c r="W139" s="37">
        <f t="shared" si="123"/>
        <v>0</v>
      </c>
      <c r="X139" s="37">
        <f t="shared" si="123"/>
        <v>0</v>
      </c>
      <c r="Y139" s="37">
        <f t="shared" si="123"/>
        <v>0</v>
      </c>
      <c r="Z139" s="37">
        <f t="shared" si="123"/>
        <v>0</v>
      </c>
      <c r="AA139" s="37">
        <f t="shared" si="123"/>
        <v>0</v>
      </c>
      <c r="AB139" s="37">
        <f t="shared" si="123"/>
        <v>0</v>
      </c>
      <c r="AC139" s="37">
        <f t="shared" si="123"/>
        <v>0</v>
      </c>
      <c r="AD139" s="37">
        <f t="shared" si="123"/>
        <v>0</v>
      </c>
      <c r="AE139" s="37">
        <f t="shared" si="123"/>
        <v>0</v>
      </c>
      <c r="AF139" s="37">
        <f t="shared" si="123"/>
        <v>0</v>
      </c>
      <c r="AG139" s="37">
        <f t="shared" si="123"/>
        <v>0</v>
      </c>
      <c r="AH139" s="37">
        <f t="shared" si="123"/>
        <v>0</v>
      </c>
      <c r="AI139" s="37">
        <f t="shared" si="123"/>
        <v>0</v>
      </c>
      <c r="AJ139" s="37">
        <f t="shared" ref="AJ139:BA139" si="124">($C$131&lt;=AJ4)*($E$131&gt;=AJ3)*AJ43</f>
        <v>0</v>
      </c>
      <c r="AK139" s="37">
        <f t="shared" si="124"/>
        <v>0</v>
      </c>
      <c r="AL139" s="37">
        <f t="shared" si="124"/>
        <v>0</v>
      </c>
      <c r="AM139" s="37">
        <f t="shared" si="124"/>
        <v>0</v>
      </c>
      <c r="AN139" s="37">
        <f t="shared" si="124"/>
        <v>0</v>
      </c>
      <c r="AO139" s="37">
        <f t="shared" si="124"/>
        <v>0</v>
      </c>
      <c r="AP139" s="37">
        <f t="shared" si="124"/>
        <v>0</v>
      </c>
      <c r="AQ139" s="37">
        <f t="shared" si="124"/>
        <v>0</v>
      </c>
      <c r="AR139" s="37">
        <f t="shared" si="124"/>
        <v>0</v>
      </c>
      <c r="AS139" s="37">
        <f t="shared" si="124"/>
        <v>0</v>
      </c>
      <c r="AT139" s="37">
        <f t="shared" si="124"/>
        <v>0</v>
      </c>
      <c r="AU139" s="37">
        <f t="shared" si="124"/>
        <v>0</v>
      </c>
      <c r="AV139" s="37">
        <f t="shared" si="124"/>
        <v>0</v>
      </c>
      <c r="AW139" s="37">
        <f t="shared" si="124"/>
        <v>0</v>
      </c>
      <c r="AX139" s="37">
        <f>($C$131&lt;=AX4)*($E$131&gt;=AX3)*AX43</f>
        <v>0</v>
      </c>
      <c r="AY139" s="37">
        <f>($C$131&lt;=AY4)*($E$131&gt;=AY3)*AY43</f>
        <v>0</v>
      </c>
      <c r="AZ139" s="37">
        <f>($C$131&lt;=AZ4)*($E$131&gt;=AZ3)*AZ43</f>
        <v>0</v>
      </c>
      <c r="BA139" s="37">
        <f t="shared" si="124"/>
        <v>0</v>
      </c>
    </row>
    <row r="140" spans="2:53">
      <c r="B140" s="2" t="s">
        <v>107</v>
      </c>
      <c r="C140" s="15" t="s">
        <v>102</v>
      </c>
      <c r="I140" s="123">
        <f>SUM($I$139:I139)*I139</f>
        <v>0</v>
      </c>
      <c r="J140" s="123">
        <f>SUM($I$139:J139)*J139</f>
        <v>0</v>
      </c>
      <c r="K140" s="123">
        <f>SUM($I$139:K139)*K139</f>
        <v>0</v>
      </c>
      <c r="L140" s="123">
        <f>SUM($I$139:L139)*L139</f>
        <v>1</v>
      </c>
      <c r="M140" s="123">
        <f>SUM($I$139:M139)*M139</f>
        <v>2</v>
      </c>
      <c r="N140" s="123">
        <f>SUM($I$139:N139)*N139</f>
        <v>3</v>
      </c>
      <c r="O140" s="123">
        <f>SUM($I$139:O139)*O139</f>
        <v>4</v>
      </c>
      <c r="P140" s="123">
        <f>SUM($I$139:P139)*P139</f>
        <v>5</v>
      </c>
      <c r="Q140" s="123">
        <f>SUM($I$139:Q139)*Q139</f>
        <v>6</v>
      </c>
      <c r="R140" s="123">
        <f>SUM($I$139:R139)*R139</f>
        <v>7</v>
      </c>
      <c r="S140" s="123">
        <f>SUM($I$139:S139)*S139</f>
        <v>0</v>
      </c>
      <c r="T140" s="123">
        <f>SUM($I$139:T139)*T139</f>
        <v>0</v>
      </c>
      <c r="U140" s="123">
        <f>SUM($I$139:U139)*U139</f>
        <v>0</v>
      </c>
      <c r="V140" s="123">
        <f>SUM($I$139:V139)*V139</f>
        <v>0</v>
      </c>
      <c r="W140" s="123">
        <f>SUM($I$139:W139)*W139</f>
        <v>0</v>
      </c>
      <c r="X140" s="123">
        <f>SUM($I$139:X139)*X139</f>
        <v>0</v>
      </c>
      <c r="Y140" s="123">
        <f>SUM($I$139:Y139)*Y139</f>
        <v>0</v>
      </c>
      <c r="Z140" s="123">
        <f>SUM($I$139:Z139)*Z139</f>
        <v>0</v>
      </c>
      <c r="AA140" s="123">
        <f>SUM($I$139:AA139)*AA139</f>
        <v>0</v>
      </c>
      <c r="AB140" s="123">
        <f>SUM($I$139:AB139)*AB139</f>
        <v>0</v>
      </c>
      <c r="AC140" s="123">
        <f>SUM($I$139:AC139)*AC139</f>
        <v>0</v>
      </c>
      <c r="AD140" s="123">
        <f>SUM($I$139:AD139)*AD139</f>
        <v>0</v>
      </c>
      <c r="AE140" s="123">
        <f>SUM($I$139:AE139)*AE139</f>
        <v>0</v>
      </c>
      <c r="AF140" s="123">
        <f>SUM($I$139:AF139)*AF139</f>
        <v>0</v>
      </c>
      <c r="AG140" s="123">
        <f>SUM($I$139:AG139)*AG139</f>
        <v>0</v>
      </c>
      <c r="AH140" s="123">
        <f>SUM($I$139:AH139)*AH139</f>
        <v>0</v>
      </c>
      <c r="AI140" s="123">
        <f>SUM($I$139:AI139)*AI139</f>
        <v>0</v>
      </c>
      <c r="AJ140" s="123">
        <f>SUM($I$139:AJ139)*AJ139</f>
        <v>0</v>
      </c>
      <c r="AK140" s="123">
        <f>SUM($I$139:AK139)*AK139</f>
        <v>0</v>
      </c>
      <c r="AL140" s="123">
        <f>SUM($I$139:AL139)*AL139</f>
        <v>0</v>
      </c>
      <c r="AM140" s="123">
        <f>SUM($I$139:AM139)*AM139</f>
        <v>0</v>
      </c>
      <c r="AN140" s="123">
        <f>SUM($I$139:AN139)*AN139</f>
        <v>0</v>
      </c>
      <c r="AO140" s="123">
        <f>SUM($I$139:AO139)*AO139</f>
        <v>0</v>
      </c>
      <c r="AP140" s="123">
        <f>SUM($I$139:AP139)*AP139</f>
        <v>0</v>
      </c>
      <c r="AQ140" s="123">
        <f>SUM($I$139:AQ139)*AQ139</f>
        <v>0</v>
      </c>
      <c r="AR140" s="123">
        <f>SUM($I$139:AR139)*AR139</f>
        <v>0</v>
      </c>
      <c r="AS140" s="123">
        <f>SUM($I$139:AS139)*AS139</f>
        <v>0</v>
      </c>
      <c r="AT140" s="123">
        <f>SUM($I$139:AT139)*AT139</f>
        <v>0</v>
      </c>
      <c r="AU140" s="123">
        <f>SUM($I$139:AU139)*AU139</f>
        <v>0</v>
      </c>
      <c r="AV140" s="123">
        <f>SUM($I$139:AV139)*AV139</f>
        <v>0</v>
      </c>
      <c r="AW140" s="123">
        <f>SUM($I$139:AW139)*AW139</f>
        <v>0</v>
      </c>
      <c r="AX140" s="123">
        <f>SUM($I$139:AX139)*AX139</f>
        <v>0</v>
      </c>
      <c r="AY140" s="123">
        <f>SUM($I$139:AY139)*AY139</f>
        <v>0</v>
      </c>
      <c r="AZ140" s="123">
        <f>SUM($I$139:AZ139)*AZ139</f>
        <v>0</v>
      </c>
      <c r="BA140" s="123">
        <f>SUM($I$139:BA139)*BA139</f>
        <v>0</v>
      </c>
    </row>
    <row r="141" spans="2:53">
      <c r="B141" s="2" t="s">
        <v>108</v>
      </c>
      <c r="C141" s="15" t="s">
        <v>102</v>
      </c>
      <c r="I141" s="37">
        <f t="shared" ref="I141:AI141" si="125">($E$131&lt;=I4)*($E$131&gt;=I3)*I43</f>
        <v>0</v>
      </c>
      <c r="J141" s="37">
        <f t="shared" si="125"/>
        <v>0</v>
      </c>
      <c r="K141" s="37">
        <f t="shared" si="125"/>
        <v>0</v>
      </c>
      <c r="L141" s="37">
        <f t="shared" si="125"/>
        <v>0</v>
      </c>
      <c r="M141" s="37">
        <f t="shared" si="125"/>
        <v>0</v>
      </c>
      <c r="N141" s="37">
        <f t="shared" si="125"/>
        <v>0</v>
      </c>
      <c r="O141" s="37">
        <f t="shared" si="125"/>
        <v>0</v>
      </c>
      <c r="P141" s="37">
        <f t="shared" si="125"/>
        <v>0</v>
      </c>
      <c r="Q141" s="37">
        <f t="shared" si="125"/>
        <v>0</v>
      </c>
      <c r="R141" s="37">
        <f t="shared" si="125"/>
        <v>1</v>
      </c>
      <c r="S141" s="37">
        <f t="shared" si="125"/>
        <v>0</v>
      </c>
      <c r="T141" s="37">
        <f t="shared" si="125"/>
        <v>0</v>
      </c>
      <c r="U141" s="37">
        <f t="shared" si="125"/>
        <v>0</v>
      </c>
      <c r="V141" s="37">
        <f t="shared" si="125"/>
        <v>0</v>
      </c>
      <c r="W141" s="37">
        <f t="shared" si="125"/>
        <v>0</v>
      </c>
      <c r="X141" s="37">
        <f t="shared" si="125"/>
        <v>0</v>
      </c>
      <c r="Y141" s="37">
        <f t="shared" si="125"/>
        <v>0</v>
      </c>
      <c r="Z141" s="37">
        <f t="shared" si="125"/>
        <v>0</v>
      </c>
      <c r="AA141" s="37">
        <f t="shared" si="125"/>
        <v>0</v>
      </c>
      <c r="AB141" s="37">
        <f t="shared" si="125"/>
        <v>0</v>
      </c>
      <c r="AC141" s="37">
        <f t="shared" si="125"/>
        <v>0</v>
      </c>
      <c r="AD141" s="37">
        <f t="shared" si="125"/>
        <v>0</v>
      </c>
      <c r="AE141" s="37">
        <f t="shared" si="125"/>
        <v>0</v>
      </c>
      <c r="AF141" s="37">
        <f t="shared" si="125"/>
        <v>0</v>
      </c>
      <c r="AG141" s="37">
        <f t="shared" si="125"/>
        <v>0</v>
      </c>
      <c r="AH141" s="37">
        <f t="shared" si="125"/>
        <v>0</v>
      </c>
      <c r="AI141" s="37">
        <f t="shared" si="125"/>
        <v>0</v>
      </c>
      <c r="AJ141" s="37">
        <f t="shared" ref="AJ141:BA141" si="126">($E$131&lt;=AJ4)*($E$131&gt;=AJ3)*AJ43</f>
        <v>0</v>
      </c>
      <c r="AK141" s="37">
        <f t="shared" si="126"/>
        <v>0</v>
      </c>
      <c r="AL141" s="37">
        <f t="shared" si="126"/>
        <v>0</v>
      </c>
      <c r="AM141" s="37">
        <f t="shared" si="126"/>
        <v>0</v>
      </c>
      <c r="AN141" s="37">
        <f t="shared" si="126"/>
        <v>0</v>
      </c>
      <c r="AO141" s="37">
        <f t="shared" si="126"/>
        <v>0</v>
      </c>
      <c r="AP141" s="37">
        <f t="shared" si="126"/>
        <v>0</v>
      </c>
      <c r="AQ141" s="37">
        <f t="shared" si="126"/>
        <v>0</v>
      </c>
      <c r="AR141" s="37">
        <f t="shared" si="126"/>
        <v>0</v>
      </c>
      <c r="AS141" s="37">
        <f t="shared" si="126"/>
        <v>0</v>
      </c>
      <c r="AT141" s="37">
        <f t="shared" si="126"/>
        <v>0</v>
      </c>
      <c r="AU141" s="37">
        <f t="shared" si="126"/>
        <v>0</v>
      </c>
      <c r="AV141" s="37">
        <f t="shared" si="126"/>
        <v>0</v>
      </c>
      <c r="AW141" s="37">
        <f t="shared" si="126"/>
        <v>0</v>
      </c>
      <c r="AX141" s="37">
        <f>($E$131&lt;=AX4)*($E$131&gt;=AX3)*AX43</f>
        <v>0</v>
      </c>
      <c r="AY141" s="37">
        <f>($E$131&lt;=AY4)*($E$131&gt;=AY3)*AY43</f>
        <v>0</v>
      </c>
      <c r="AZ141" s="37">
        <f>($E$131&lt;=AZ4)*($E$131&gt;=AZ3)*AZ43</f>
        <v>0</v>
      </c>
      <c r="BA141" s="37">
        <f t="shared" si="126"/>
        <v>0</v>
      </c>
    </row>
    <row r="142" spans="2:53">
      <c r="C142" s="15"/>
    </row>
    <row r="143" spans="2:53">
      <c r="C143" s="15"/>
      <c r="I143" s="38">
        <f t="shared" ref="I143:AI143" si="127">IF(I139=1,(MIN($E$131,I4)-MAX($C$131,I3)+1)/I5,0)</f>
        <v>0</v>
      </c>
      <c r="J143" s="38">
        <f t="shared" si="127"/>
        <v>0</v>
      </c>
      <c r="K143" s="38">
        <f t="shared" si="127"/>
        <v>0</v>
      </c>
      <c r="L143" s="38">
        <f t="shared" ca="1" si="127"/>
        <v>1</v>
      </c>
      <c r="M143" s="38">
        <f t="shared" ca="1" si="127"/>
        <v>1</v>
      </c>
      <c r="N143" s="38">
        <f t="shared" ca="1" si="127"/>
        <v>0.99726775956284153</v>
      </c>
      <c r="O143" s="38">
        <f t="shared" ca="1" si="127"/>
        <v>1.0027397260273974</v>
      </c>
      <c r="P143" s="38">
        <f t="shared" ca="1" si="127"/>
        <v>1</v>
      </c>
      <c r="Q143" s="38">
        <f t="shared" ca="1" si="127"/>
        <v>1</v>
      </c>
      <c r="R143" s="38">
        <f t="shared" ca="1" si="127"/>
        <v>0.99726775956284153</v>
      </c>
      <c r="S143" s="38">
        <f t="shared" si="127"/>
        <v>0</v>
      </c>
      <c r="T143" s="38">
        <f t="shared" si="127"/>
        <v>0</v>
      </c>
      <c r="U143" s="38">
        <f t="shared" si="127"/>
        <v>0</v>
      </c>
      <c r="V143" s="38">
        <f t="shared" si="127"/>
        <v>0</v>
      </c>
      <c r="W143" s="38">
        <f t="shared" si="127"/>
        <v>0</v>
      </c>
      <c r="X143" s="38">
        <f t="shared" si="127"/>
        <v>0</v>
      </c>
      <c r="Y143" s="38">
        <f t="shared" si="127"/>
        <v>0</v>
      </c>
      <c r="Z143" s="38">
        <f t="shared" si="127"/>
        <v>0</v>
      </c>
      <c r="AA143" s="38">
        <f t="shared" si="127"/>
        <v>0</v>
      </c>
      <c r="AB143" s="38">
        <f t="shared" si="127"/>
        <v>0</v>
      </c>
      <c r="AC143" s="38">
        <f t="shared" si="127"/>
        <v>0</v>
      </c>
      <c r="AD143" s="38">
        <f t="shared" si="127"/>
        <v>0</v>
      </c>
      <c r="AE143" s="38">
        <f t="shared" si="127"/>
        <v>0</v>
      </c>
      <c r="AF143" s="38">
        <f t="shared" si="127"/>
        <v>0</v>
      </c>
      <c r="AG143" s="38">
        <f t="shared" si="127"/>
        <v>0</v>
      </c>
      <c r="AH143" s="38">
        <f t="shared" si="127"/>
        <v>0</v>
      </c>
      <c r="AI143" s="38">
        <f t="shared" si="127"/>
        <v>0</v>
      </c>
      <c r="AJ143" s="38">
        <f t="shared" ref="AJ143:BA143" si="128">IF(AJ139=1,(MIN($E$131,AJ4)-MAX($C$131,AJ3)+1)/AJ5,0)</f>
        <v>0</v>
      </c>
      <c r="AK143" s="38">
        <f t="shared" si="128"/>
        <v>0</v>
      </c>
      <c r="AL143" s="38">
        <f t="shared" si="128"/>
        <v>0</v>
      </c>
      <c r="AM143" s="38">
        <f t="shared" si="128"/>
        <v>0</v>
      </c>
      <c r="AN143" s="38">
        <f t="shared" si="128"/>
        <v>0</v>
      </c>
      <c r="AO143" s="38">
        <f t="shared" si="128"/>
        <v>0</v>
      </c>
      <c r="AP143" s="38">
        <f t="shared" si="128"/>
        <v>0</v>
      </c>
      <c r="AQ143" s="38">
        <f t="shared" si="128"/>
        <v>0</v>
      </c>
      <c r="AR143" s="38">
        <f t="shared" si="128"/>
        <v>0</v>
      </c>
      <c r="AS143" s="38">
        <f t="shared" si="128"/>
        <v>0</v>
      </c>
      <c r="AT143" s="38">
        <f t="shared" si="128"/>
        <v>0</v>
      </c>
      <c r="AU143" s="38">
        <f t="shared" si="128"/>
        <v>0</v>
      </c>
      <c r="AV143" s="38">
        <f t="shared" si="128"/>
        <v>0</v>
      </c>
      <c r="AW143" s="38">
        <f t="shared" si="128"/>
        <v>0</v>
      </c>
      <c r="AX143" s="38">
        <f t="shared" si="128"/>
        <v>0</v>
      </c>
      <c r="AY143" s="38">
        <f t="shared" si="128"/>
        <v>0</v>
      </c>
      <c r="AZ143" s="38">
        <f t="shared" si="128"/>
        <v>0</v>
      </c>
      <c r="BA143" s="38">
        <f t="shared" si="128"/>
        <v>0</v>
      </c>
    </row>
    <row r="144" spans="2:53">
      <c r="B144" s="586" t="s">
        <v>1810</v>
      </c>
      <c r="C144" s="15"/>
      <c r="I144" s="38"/>
      <c r="J144" s="38"/>
      <c r="K144" s="38"/>
      <c r="L144" s="38"/>
      <c r="M144" s="38"/>
      <c r="N144" s="38"/>
      <c r="O144" s="38"/>
      <c r="P144" s="38"/>
      <c r="Q144" s="38"/>
      <c r="R144" s="38"/>
      <c r="S144" s="38"/>
      <c r="T144" s="38"/>
      <c r="U144" s="38"/>
      <c r="V144" s="38"/>
      <c r="W144" s="38"/>
      <c r="X144" s="38"/>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row>
    <row r="145" spans="2:58">
      <c r="C145" s="22" t="s">
        <v>54</v>
      </c>
      <c r="D145" s="23" t="s">
        <v>55</v>
      </c>
      <c r="I145" s="38"/>
      <c r="J145" s="38"/>
      <c r="K145" s="38"/>
      <c r="L145" s="38"/>
      <c r="M145" s="38"/>
      <c r="N145" s="38"/>
      <c r="O145" s="38"/>
      <c r="P145" s="38"/>
      <c r="Q145" s="38"/>
      <c r="R145" s="38"/>
      <c r="S145" s="38"/>
      <c r="T145" s="38"/>
      <c r="U145" s="38"/>
      <c r="V145" s="38"/>
      <c r="W145" s="38"/>
      <c r="X145" s="38"/>
      <c r="Y145" s="38"/>
      <c r="Z145" s="38"/>
      <c r="AA145" s="38"/>
      <c r="AB145" s="38"/>
      <c r="AC145" s="38"/>
      <c r="AD145" s="38"/>
      <c r="AE145" s="38"/>
      <c r="AF145" s="38"/>
      <c r="AG145" s="38"/>
      <c r="AH145" s="38"/>
      <c r="AI145" s="38"/>
      <c r="AJ145" s="38"/>
      <c r="AK145" s="38"/>
      <c r="AL145" s="38"/>
      <c r="AM145" s="38"/>
      <c r="AN145" s="38"/>
      <c r="AO145" s="38"/>
      <c r="AP145" s="38"/>
      <c r="AQ145" s="38"/>
      <c r="AR145" s="38"/>
      <c r="AS145" s="38"/>
      <c r="AT145" s="38"/>
      <c r="AU145" s="38"/>
      <c r="AV145" s="38"/>
      <c r="AW145" s="38"/>
      <c r="AX145" s="38"/>
      <c r="AY145" s="38"/>
      <c r="AZ145" s="38"/>
      <c r="BA145" s="38"/>
    </row>
    <row r="146" spans="2:58">
      <c r="B146" s="5" t="s">
        <v>56</v>
      </c>
      <c r="C146" s="25">
        <f>Const_start</f>
        <v>46023</v>
      </c>
      <c r="D146" s="25">
        <f>Const_end-366</f>
        <v>46752</v>
      </c>
      <c r="I146" s="38"/>
      <c r="J146" s="38"/>
      <c r="K146" s="38"/>
      <c r="L146" s="38"/>
      <c r="M146" s="38"/>
      <c r="N146" s="38"/>
      <c r="O146" s="38"/>
      <c r="P146" s="38"/>
      <c r="Q146" s="38"/>
      <c r="R146" s="38"/>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row>
    <row r="147" spans="2:58">
      <c r="B147" s="5" t="s">
        <v>57</v>
      </c>
      <c r="C147" s="21">
        <f>Ops_start-(366)</f>
        <v>46753</v>
      </c>
      <c r="D147" s="21">
        <f>Ops_end</f>
        <v>56979</v>
      </c>
      <c r="I147" s="38">
        <f>($C$147&lt;=I$4)*($D$147&gt;=I$3)*1</f>
        <v>0</v>
      </c>
      <c r="J147" s="38">
        <f t="shared" ref="J147:BF147" si="129">($C$147&lt;=J$4)*($D$147&gt;=J$3)*1</f>
        <v>0</v>
      </c>
      <c r="K147" s="1734">
        <f t="shared" si="129"/>
        <v>1</v>
      </c>
      <c r="L147" s="38">
        <f t="shared" si="129"/>
        <v>1</v>
      </c>
      <c r="M147" s="38">
        <f t="shared" si="129"/>
        <v>1</v>
      </c>
      <c r="N147" s="38">
        <f t="shared" si="129"/>
        <v>1</v>
      </c>
      <c r="O147" s="38">
        <f t="shared" si="129"/>
        <v>1</v>
      </c>
      <c r="P147" s="38">
        <f t="shared" si="129"/>
        <v>1</v>
      </c>
      <c r="Q147" s="38">
        <f t="shared" si="129"/>
        <v>1</v>
      </c>
      <c r="R147" s="38">
        <f t="shared" si="129"/>
        <v>1</v>
      </c>
      <c r="S147" s="38">
        <f t="shared" si="129"/>
        <v>1</v>
      </c>
      <c r="T147" s="38">
        <f t="shared" si="129"/>
        <v>1</v>
      </c>
      <c r="U147" s="38">
        <f t="shared" si="129"/>
        <v>1</v>
      </c>
      <c r="V147" s="38">
        <f t="shared" si="129"/>
        <v>1</v>
      </c>
      <c r="W147" s="38">
        <f t="shared" si="129"/>
        <v>1</v>
      </c>
      <c r="X147" s="38">
        <f t="shared" si="129"/>
        <v>1</v>
      </c>
      <c r="Y147" s="38">
        <f t="shared" si="129"/>
        <v>1</v>
      </c>
      <c r="Z147" s="38">
        <f t="shared" si="129"/>
        <v>1</v>
      </c>
      <c r="AA147" s="38">
        <f t="shared" si="129"/>
        <v>1</v>
      </c>
      <c r="AB147" s="38">
        <f t="shared" si="129"/>
        <v>1</v>
      </c>
      <c r="AC147" s="38">
        <f t="shared" si="129"/>
        <v>1</v>
      </c>
      <c r="AD147" s="38">
        <f t="shared" si="129"/>
        <v>1</v>
      </c>
      <c r="AE147" s="38">
        <f t="shared" si="129"/>
        <v>1</v>
      </c>
      <c r="AF147" s="38">
        <f t="shared" si="129"/>
        <v>1</v>
      </c>
      <c r="AG147" s="38">
        <f t="shared" si="129"/>
        <v>1</v>
      </c>
      <c r="AH147" s="38">
        <f t="shared" si="129"/>
        <v>1</v>
      </c>
      <c r="AI147" s="38">
        <f t="shared" si="129"/>
        <v>1</v>
      </c>
      <c r="AJ147" s="38">
        <f t="shared" si="129"/>
        <v>1</v>
      </c>
      <c r="AK147" s="38">
        <f t="shared" si="129"/>
        <v>1</v>
      </c>
      <c r="AL147" s="38">
        <f t="shared" si="129"/>
        <v>1</v>
      </c>
      <c r="AM147" s="38">
        <f t="shared" si="129"/>
        <v>0</v>
      </c>
      <c r="AN147" s="38">
        <f t="shared" si="129"/>
        <v>0</v>
      </c>
      <c r="AO147" s="38">
        <f t="shared" si="129"/>
        <v>0</v>
      </c>
      <c r="AP147" s="38">
        <f t="shared" si="129"/>
        <v>0</v>
      </c>
      <c r="AQ147" s="38">
        <f t="shared" si="129"/>
        <v>0</v>
      </c>
      <c r="AR147" s="38">
        <f t="shared" si="129"/>
        <v>0</v>
      </c>
      <c r="AS147" s="38">
        <f t="shared" si="129"/>
        <v>0</v>
      </c>
      <c r="AT147" s="38">
        <f t="shared" si="129"/>
        <v>0</v>
      </c>
      <c r="AU147" s="38">
        <f t="shared" si="129"/>
        <v>0</v>
      </c>
      <c r="AV147" s="38">
        <f t="shared" si="129"/>
        <v>0</v>
      </c>
      <c r="AW147" s="38">
        <f t="shared" si="129"/>
        <v>0</v>
      </c>
      <c r="AX147" s="38">
        <f t="shared" si="129"/>
        <v>0</v>
      </c>
      <c r="AY147" s="38">
        <f t="shared" si="129"/>
        <v>0</v>
      </c>
      <c r="AZ147" s="38">
        <f t="shared" si="129"/>
        <v>0</v>
      </c>
      <c r="BA147" s="38">
        <f t="shared" si="129"/>
        <v>0</v>
      </c>
      <c r="BB147" s="38">
        <f t="shared" si="129"/>
        <v>0</v>
      </c>
      <c r="BC147" s="38">
        <f t="shared" si="129"/>
        <v>0</v>
      </c>
      <c r="BD147" s="38">
        <f t="shared" si="129"/>
        <v>0</v>
      </c>
      <c r="BE147" s="38">
        <f t="shared" si="129"/>
        <v>0</v>
      </c>
      <c r="BF147" s="38">
        <f t="shared" si="129"/>
        <v>0</v>
      </c>
    </row>
    <row r="148" spans="2:58">
      <c r="B148" s="2" t="s">
        <v>2217</v>
      </c>
      <c r="I148" s="38"/>
      <c r="J148" s="38"/>
      <c r="K148" s="38"/>
      <c r="L148" s="38"/>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row>
    <row r="149" spans="2:58">
      <c r="C149" s="2379">
        <f>C146+365</f>
        <v>46388</v>
      </c>
      <c r="D149" s="2379">
        <f>D146+366</f>
        <v>47118</v>
      </c>
      <c r="I149" s="38"/>
      <c r="J149" s="38"/>
      <c r="K149" s="38"/>
      <c r="L149" s="38"/>
      <c r="M149" s="38"/>
      <c r="N149" s="38"/>
      <c r="O149" s="38"/>
      <c r="P149" s="38"/>
      <c r="Q149" s="38"/>
      <c r="R149" s="38"/>
      <c r="S149" s="38"/>
      <c r="T149" s="38"/>
      <c r="U149" s="38"/>
      <c r="V149" s="38"/>
      <c r="W149" s="38"/>
      <c r="X149" s="38"/>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row>
    <row r="150" spans="2:58">
      <c r="B150" s="586" t="s">
        <v>1805</v>
      </c>
      <c r="I150" s="38"/>
      <c r="J150" s="38"/>
      <c r="K150" s="38"/>
      <c r="L150" s="38"/>
      <c r="M150" s="38"/>
      <c r="N150" s="38"/>
      <c r="O150" s="38"/>
      <c r="P150" s="38"/>
      <c r="Q150" s="38"/>
      <c r="R150" s="38"/>
      <c r="S150" s="38"/>
      <c r="T150" s="38"/>
      <c r="U150" s="38"/>
      <c r="V150" s="38"/>
      <c r="W150" s="38"/>
      <c r="X150" s="38"/>
      <c r="Y150" s="38"/>
      <c r="Z150" s="38"/>
      <c r="AA150" s="38"/>
      <c r="AB150" s="38"/>
      <c r="AC150" s="38"/>
      <c r="AD150" s="38"/>
      <c r="AE150" s="38"/>
      <c r="AF150" s="38"/>
      <c r="AG150" s="38"/>
      <c r="AH150" s="38"/>
      <c r="AI150" s="38"/>
      <c r="AJ150" s="38"/>
      <c r="AK150" s="38"/>
      <c r="AL150" s="38"/>
      <c r="AM150" s="38"/>
      <c r="AN150" s="38"/>
      <c r="AO150" s="38"/>
      <c r="AP150" s="38"/>
      <c r="AQ150" s="38"/>
      <c r="AR150" s="38"/>
      <c r="AS150" s="38"/>
      <c r="AT150" s="38"/>
      <c r="AU150" s="38"/>
      <c r="AV150" s="38"/>
      <c r="AW150" s="38"/>
      <c r="AX150" s="38"/>
      <c r="AY150" s="38"/>
      <c r="AZ150" s="38"/>
      <c r="BA150" s="38"/>
    </row>
    <row r="151" spans="2:58">
      <c r="B151" s="2" t="s">
        <v>961</v>
      </c>
      <c r="C151" s="15"/>
      <c r="I151" s="1737">
        <f>($C$146&lt;=I$4)*($D$146&gt;=I$3)*1</f>
        <v>1</v>
      </c>
      <c r="J151" s="1737">
        <f t="shared" ref="J151:Q151" si="130">($C$146&lt;=J$4)*($D$146&gt;=J$3)*1</f>
        <v>1</v>
      </c>
      <c r="K151" s="1737">
        <f t="shared" si="130"/>
        <v>0</v>
      </c>
      <c r="L151" s="1737">
        <f t="shared" si="130"/>
        <v>0</v>
      </c>
      <c r="M151" s="52">
        <f t="shared" si="130"/>
        <v>0</v>
      </c>
      <c r="N151" s="52">
        <f t="shared" si="130"/>
        <v>0</v>
      </c>
      <c r="O151" s="52">
        <f>($C$146&lt;=O$4)*($D$146&gt;=O$3)*1</f>
        <v>0</v>
      </c>
      <c r="P151" s="52">
        <f t="shared" si="130"/>
        <v>0</v>
      </c>
      <c r="Q151" s="52">
        <f t="shared" si="130"/>
        <v>0</v>
      </c>
      <c r="R151" s="38"/>
      <c r="S151" s="38"/>
      <c r="T151" s="38"/>
      <c r="U151" s="38"/>
      <c r="V151" s="38"/>
      <c r="W151" s="38"/>
      <c r="X151" s="38"/>
      <c r="Y151" s="38"/>
      <c r="Z151" s="38"/>
      <c r="AA151" s="38"/>
      <c r="AB151" s="38"/>
      <c r="AC151" s="38"/>
      <c r="AD151" s="38"/>
      <c r="AE151" s="38"/>
      <c r="AF151" s="38"/>
      <c r="AG151" s="38"/>
      <c r="AH151" s="38"/>
      <c r="AI151" s="38"/>
      <c r="AJ151" s="38"/>
      <c r="AK151" s="38"/>
      <c r="AL151" s="38"/>
      <c r="AM151" s="38"/>
      <c r="AN151" s="38"/>
      <c r="AO151" s="38"/>
      <c r="AP151" s="38"/>
      <c r="AQ151" s="38"/>
      <c r="AR151" s="38"/>
      <c r="AS151" s="38"/>
      <c r="AT151" s="38"/>
      <c r="AU151" s="38"/>
      <c r="AV151" s="38"/>
      <c r="AW151" s="38"/>
      <c r="AX151" s="38"/>
      <c r="AY151" s="38"/>
      <c r="AZ151" s="38"/>
      <c r="BA151" s="38"/>
    </row>
    <row r="152" spans="2:58">
      <c r="B152" s="2" t="s">
        <v>981</v>
      </c>
      <c r="C152" s="15"/>
      <c r="I152" s="1737">
        <f>($C$149&lt;=I$4)*($D$149&gt;=I$3)*1</f>
        <v>0</v>
      </c>
      <c r="J152" s="1737">
        <f>($C$149&lt;=J$4)*($D$149&gt;=J$3)*1</f>
        <v>1</v>
      </c>
      <c r="K152" s="1737">
        <f>($C$149&lt;=K$4)*($D$149&gt;=K$3)*1</f>
        <v>1</v>
      </c>
      <c r="L152" s="1737">
        <f>($C$149&lt;=L$4)*($D$149&gt;=L$3)*1</f>
        <v>0</v>
      </c>
      <c r="M152" s="52">
        <f>($C$146&lt;=M$4+12)*($D$146&gt;=M$3+12)*1</f>
        <v>0</v>
      </c>
      <c r="N152" s="38"/>
      <c r="O152" s="38"/>
      <c r="P152" s="38"/>
      <c r="Q152" s="38"/>
      <c r="R152" s="38"/>
      <c r="S152" s="38"/>
      <c r="T152" s="38"/>
      <c r="U152" s="38"/>
      <c r="V152" s="38"/>
      <c r="W152" s="38"/>
      <c r="X152" s="38"/>
      <c r="Y152" s="38"/>
      <c r="Z152" s="38"/>
      <c r="AA152" s="38"/>
      <c r="AB152" s="38"/>
      <c r="AC152" s="38"/>
      <c r="AD152" s="38"/>
      <c r="AE152" s="38"/>
      <c r="AF152" s="38"/>
      <c r="AG152" s="38"/>
      <c r="AH152" s="38"/>
      <c r="AI152" s="38"/>
      <c r="AJ152" s="38"/>
      <c r="AK152" s="38"/>
      <c r="AL152" s="38"/>
      <c r="AM152" s="38"/>
      <c r="AN152" s="38"/>
      <c r="AO152" s="38"/>
      <c r="AP152" s="38"/>
      <c r="AQ152" s="38"/>
      <c r="AR152" s="38"/>
      <c r="AS152" s="38"/>
      <c r="AT152" s="38"/>
      <c r="AU152" s="38"/>
      <c r="AV152" s="38"/>
      <c r="AW152" s="38"/>
      <c r="AX152" s="38"/>
      <c r="AY152" s="38"/>
      <c r="AZ152" s="38"/>
      <c r="BA152" s="38"/>
    </row>
    <row r="153" spans="2:58">
      <c r="B153" s="2" t="s">
        <v>1804</v>
      </c>
      <c r="C153" s="15"/>
      <c r="I153" s="1736">
        <f>I152</f>
        <v>0</v>
      </c>
      <c r="J153" s="1736">
        <f>J152</f>
        <v>1</v>
      </c>
      <c r="K153" s="1736">
        <f>K152</f>
        <v>1</v>
      </c>
      <c r="L153" s="1736">
        <f>L152</f>
        <v>0</v>
      </c>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row>
    <row r="154" spans="2:58">
      <c r="B154" s="2" t="s">
        <v>863</v>
      </c>
      <c r="C154" s="15"/>
      <c r="I154" s="1736">
        <f>I151</f>
        <v>1</v>
      </c>
      <c r="J154" s="1736">
        <f>J151</f>
        <v>1</v>
      </c>
      <c r="K154" s="1736">
        <f>K151</f>
        <v>0</v>
      </c>
      <c r="L154" s="1736">
        <f>L151</f>
        <v>0</v>
      </c>
      <c r="M154" s="1736">
        <f>M151</f>
        <v>0</v>
      </c>
      <c r="N154" s="38"/>
      <c r="O154" s="38"/>
      <c r="P154" s="38"/>
      <c r="Q154" s="38"/>
      <c r="R154" s="38"/>
      <c r="S154" s="38"/>
      <c r="T154" s="38"/>
      <c r="U154" s="38"/>
      <c r="V154" s="38"/>
      <c r="W154" s="38"/>
      <c r="X154" s="38"/>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row>
    <row r="155" spans="2:58">
      <c r="C155" s="15"/>
      <c r="I155" s="38"/>
      <c r="J155" s="38"/>
      <c r="K155" s="38"/>
      <c r="L155" s="38"/>
      <c r="M155" s="38"/>
      <c r="N155" s="38"/>
      <c r="O155" s="38"/>
      <c r="P155" s="38"/>
      <c r="Q155" s="38"/>
      <c r="R155" s="38"/>
      <c r="S155" s="38"/>
      <c r="T155" s="38"/>
      <c r="U155" s="38"/>
      <c r="V155" s="38"/>
      <c r="W155" s="38"/>
      <c r="X155" s="38"/>
      <c r="Y155" s="38"/>
      <c r="Z155" s="38"/>
      <c r="AA155" s="38"/>
      <c r="AB155" s="38"/>
      <c r="AC155" s="38"/>
      <c r="AD155" s="38"/>
      <c r="AE155" s="38"/>
      <c r="AF155" s="38"/>
      <c r="AG155" s="38"/>
      <c r="AH155" s="38"/>
      <c r="AI155" s="38"/>
      <c r="AJ155" s="38"/>
      <c r="AK155" s="38"/>
      <c r="AL155" s="38"/>
      <c r="AM155" s="38"/>
      <c r="AN155" s="38"/>
      <c r="AO155" s="38"/>
      <c r="AP155" s="38"/>
      <c r="AQ155" s="38"/>
      <c r="AR155" s="38"/>
      <c r="AS155" s="38"/>
      <c r="AT155" s="38"/>
      <c r="AU155" s="38"/>
      <c r="AV155" s="38"/>
      <c r="AW155" s="38"/>
      <c r="AX155" s="38"/>
      <c r="AY155" s="38"/>
      <c r="AZ155" s="38"/>
      <c r="BA155" s="38"/>
    </row>
    <row r="156" spans="2:58">
      <c r="C156" s="15"/>
      <c r="I156" s="38"/>
      <c r="J156" s="38"/>
      <c r="K156" s="38"/>
      <c r="L156" s="38"/>
      <c r="M156" s="38"/>
      <c r="N156" s="38"/>
      <c r="O156" s="38"/>
      <c r="P156" s="38"/>
      <c r="Q156" s="38"/>
      <c r="R156" s="38"/>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row>
    <row r="157" spans="2:58">
      <c r="B157" s="1732" t="s">
        <v>64</v>
      </c>
      <c r="C157" s="15"/>
      <c r="I157" s="38"/>
      <c r="J157" s="38"/>
      <c r="K157" s="38"/>
      <c r="L157" s="38"/>
      <c r="M157" s="38"/>
      <c r="N157" s="38"/>
      <c r="O157" s="38"/>
      <c r="P157" s="38"/>
      <c r="Q157" s="38"/>
      <c r="R157" s="38"/>
      <c r="S157" s="38"/>
      <c r="T157" s="38"/>
      <c r="U157" s="38"/>
      <c r="V157" s="38"/>
      <c r="W157" s="38"/>
      <c r="X157" s="38"/>
      <c r="Y157" s="38"/>
      <c r="Z157" s="38"/>
      <c r="AA157" s="38"/>
      <c r="AB157" s="38"/>
      <c r="AC157" s="38"/>
      <c r="AD157" s="38"/>
      <c r="AE157" s="38"/>
      <c r="AF157" s="38"/>
      <c r="AG157" s="38"/>
      <c r="AH157" s="38"/>
      <c r="AI157" s="38"/>
      <c r="AJ157" s="38"/>
      <c r="AK157" s="38"/>
      <c r="AL157" s="38"/>
      <c r="AM157" s="38"/>
      <c r="AN157" s="38"/>
      <c r="AO157" s="38"/>
      <c r="AP157" s="38"/>
      <c r="AQ157" s="38"/>
      <c r="AR157" s="38"/>
      <c r="AS157" s="38"/>
      <c r="AT157" s="38"/>
      <c r="AU157" s="38"/>
      <c r="AV157" s="38"/>
      <c r="AW157" s="38"/>
      <c r="AX157" s="38"/>
      <c r="AY157" s="38"/>
      <c r="AZ157" s="38"/>
      <c r="BA157" s="38"/>
    </row>
    <row r="158" spans="2:58">
      <c r="B158" s="2" t="s">
        <v>1815</v>
      </c>
      <c r="C158" s="15"/>
      <c r="I158" s="52">
        <f>IF(I147=1,(MIN($D$33,I4)-MAX($C$33,I3)+1)/I5,0)</f>
        <v>0</v>
      </c>
      <c r="J158" s="1737">
        <f>IF(J147=1,(MIN($D$33,J4)-MAX($C$33,J3)+1)/J5,0)</f>
        <v>0</v>
      </c>
      <c r="K158" s="53">
        <f ca="1">IF(K147=1,(MIN($D$147,K4)-MAX($C$147,K3))/K5,0)</f>
        <v>1</v>
      </c>
      <c r="L158" s="1741">
        <f ca="1">IF(L147=1,(MIN($D$147,L4)-MAX($C$147,L3)+1)/L5,0)</f>
        <v>1</v>
      </c>
      <c r="M158" s="1735">
        <f t="shared" ref="M158:BD158" ca="1" si="131">IF(M147=1,(MIN($D$147,M4)-MAX($C$147,M3)+1)/M5,0)</f>
        <v>1</v>
      </c>
      <c r="N158" s="1735">
        <f t="shared" ca="1" si="131"/>
        <v>0.99726775956284153</v>
      </c>
      <c r="O158" s="1735">
        <f t="shared" ca="1" si="131"/>
        <v>1.0027397260273974</v>
      </c>
      <c r="P158" s="1735">
        <f t="shared" ca="1" si="131"/>
        <v>1</v>
      </c>
      <c r="Q158" s="1735">
        <f t="shared" ca="1" si="131"/>
        <v>1</v>
      </c>
      <c r="R158" s="1735">
        <f t="shared" ca="1" si="131"/>
        <v>0.99726775956284153</v>
      </c>
      <c r="S158" s="1735">
        <f t="shared" ca="1" si="131"/>
        <v>1.0027397260273974</v>
      </c>
      <c r="T158" s="1735">
        <f t="shared" ca="1" si="131"/>
        <v>1</v>
      </c>
      <c r="U158" s="1735">
        <f t="shared" ca="1" si="131"/>
        <v>1</v>
      </c>
      <c r="V158" s="1735">
        <f t="shared" ca="1" si="131"/>
        <v>0.99726775956284153</v>
      </c>
      <c r="W158" s="1735">
        <f t="shared" ca="1" si="131"/>
        <v>1.0027397260273974</v>
      </c>
      <c r="X158" s="1735">
        <f t="shared" ca="1" si="131"/>
        <v>1</v>
      </c>
      <c r="Y158" s="1735">
        <f t="shared" ca="1" si="131"/>
        <v>1</v>
      </c>
      <c r="Z158" s="1735">
        <f t="shared" ca="1" si="131"/>
        <v>0.99726775956284153</v>
      </c>
      <c r="AA158" s="1735">
        <f t="shared" ca="1" si="131"/>
        <v>1.0027397260273974</v>
      </c>
      <c r="AB158" s="1735">
        <f t="shared" ca="1" si="131"/>
        <v>1</v>
      </c>
      <c r="AC158" s="1735">
        <f t="shared" ca="1" si="131"/>
        <v>1</v>
      </c>
      <c r="AD158" s="1735">
        <f t="shared" ca="1" si="131"/>
        <v>0.99726775956284153</v>
      </c>
      <c r="AE158" s="1735">
        <f t="shared" ca="1" si="131"/>
        <v>1.0027397260273974</v>
      </c>
      <c r="AF158" s="1735">
        <f t="shared" ca="1" si="131"/>
        <v>1</v>
      </c>
      <c r="AG158" s="1735">
        <f t="shared" ca="1" si="131"/>
        <v>1</v>
      </c>
      <c r="AH158" s="1735">
        <f t="shared" ca="1" si="131"/>
        <v>0.99726775956284153</v>
      </c>
      <c r="AI158" s="1735">
        <f t="shared" ca="1" si="131"/>
        <v>1.0027397260273974</v>
      </c>
      <c r="AJ158" s="1735">
        <f t="shared" ca="1" si="131"/>
        <v>1</v>
      </c>
      <c r="AK158" s="1735">
        <f t="shared" ca="1" si="131"/>
        <v>1</v>
      </c>
      <c r="AL158" s="1735">
        <f t="shared" ca="1" si="131"/>
        <v>1</v>
      </c>
      <c r="AM158" s="1735">
        <f t="shared" si="131"/>
        <v>0</v>
      </c>
      <c r="AN158" s="1735">
        <f t="shared" si="131"/>
        <v>0</v>
      </c>
      <c r="AO158" s="1735">
        <f t="shared" si="131"/>
        <v>0</v>
      </c>
      <c r="AP158" s="1735">
        <f t="shared" si="131"/>
        <v>0</v>
      </c>
      <c r="AQ158" s="1735">
        <f t="shared" si="131"/>
        <v>0</v>
      </c>
      <c r="AR158" s="1735">
        <f t="shared" si="131"/>
        <v>0</v>
      </c>
      <c r="AS158" s="1735">
        <f t="shared" si="131"/>
        <v>0</v>
      </c>
      <c r="AT158" s="1735">
        <f t="shared" si="131"/>
        <v>0</v>
      </c>
      <c r="AU158" s="1735">
        <f t="shared" si="131"/>
        <v>0</v>
      </c>
      <c r="AV158" s="1735">
        <f t="shared" si="131"/>
        <v>0</v>
      </c>
      <c r="AW158" s="1735">
        <f t="shared" si="131"/>
        <v>0</v>
      </c>
      <c r="AX158" s="1735">
        <f t="shared" si="131"/>
        <v>0</v>
      </c>
      <c r="AY158" s="1735">
        <f t="shared" si="131"/>
        <v>0</v>
      </c>
      <c r="AZ158" s="1735">
        <f t="shared" si="131"/>
        <v>0</v>
      </c>
      <c r="BA158" s="1735">
        <f t="shared" si="131"/>
        <v>0</v>
      </c>
      <c r="BB158" s="1735">
        <f t="shared" si="131"/>
        <v>0</v>
      </c>
      <c r="BC158" s="1735">
        <f t="shared" si="131"/>
        <v>0</v>
      </c>
      <c r="BD158" s="1735">
        <f t="shared" si="131"/>
        <v>0</v>
      </c>
    </row>
    <row r="159" spans="2:58">
      <c r="B159" s="2" t="s">
        <v>981</v>
      </c>
      <c r="C159" s="15"/>
      <c r="I159" s="1736">
        <f>I55</f>
        <v>0</v>
      </c>
      <c r="J159" s="1736">
        <f t="shared" ref="J159:BD159" si="132">J55</f>
        <v>0</v>
      </c>
      <c r="K159" s="1736">
        <f t="shared" si="132"/>
        <v>0</v>
      </c>
      <c r="L159" s="1736">
        <f ca="1">L55</f>
        <v>1</v>
      </c>
      <c r="M159" s="1736">
        <f ca="1">M55</f>
        <v>1</v>
      </c>
      <c r="N159" s="1736">
        <f t="shared" ca="1" si="132"/>
        <v>0.99726775956284153</v>
      </c>
      <c r="O159" s="1736">
        <f ca="1">O55</f>
        <v>1.0027397260273974</v>
      </c>
      <c r="P159" s="1736">
        <f t="shared" ca="1" si="132"/>
        <v>1</v>
      </c>
      <c r="Q159" s="1736">
        <f t="shared" ca="1" si="132"/>
        <v>1</v>
      </c>
      <c r="R159" s="1736">
        <f t="shared" ca="1" si="132"/>
        <v>0.99726775956284153</v>
      </c>
      <c r="S159" s="1736">
        <f t="shared" ca="1" si="132"/>
        <v>1.0027397260273974</v>
      </c>
      <c r="T159" s="1736">
        <f t="shared" ca="1" si="132"/>
        <v>1</v>
      </c>
      <c r="U159" s="1736">
        <f t="shared" ca="1" si="132"/>
        <v>1</v>
      </c>
      <c r="V159" s="1736">
        <f t="shared" ca="1" si="132"/>
        <v>0.99726775956284153</v>
      </c>
      <c r="W159" s="1736">
        <f t="shared" ca="1" si="132"/>
        <v>1.0027397260273974</v>
      </c>
      <c r="X159" s="1736">
        <f t="shared" ca="1" si="132"/>
        <v>1</v>
      </c>
      <c r="Y159" s="1736">
        <f t="shared" ca="1" si="132"/>
        <v>1</v>
      </c>
      <c r="Z159" s="1736">
        <f t="shared" ca="1" si="132"/>
        <v>0.99726775956284153</v>
      </c>
      <c r="AA159" s="1736">
        <f t="shared" ca="1" si="132"/>
        <v>1.0027397260273974</v>
      </c>
      <c r="AB159" s="1736">
        <f t="shared" ca="1" si="132"/>
        <v>1</v>
      </c>
      <c r="AC159" s="1736">
        <f t="shared" ca="1" si="132"/>
        <v>1</v>
      </c>
      <c r="AD159" s="1736">
        <f t="shared" ca="1" si="132"/>
        <v>0.99726775956284153</v>
      </c>
      <c r="AE159" s="1736">
        <f t="shared" ca="1" si="132"/>
        <v>1.0027397260273974</v>
      </c>
      <c r="AF159" s="1736">
        <f t="shared" ca="1" si="132"/>
        <v>1</v>
      </c>
      <c r="AG159" s="1736">
        <f t="shared" ca="1" si="132"/>
        <v>1</v>
      </c>
      <c r="AH159" s="1736">
        <f t="shared" ca="1" si="132"/>
        <v>0.99726775956284153</v>
      </c>
      <c r="AI159" s="1736">
        <f t="shared" ca="1" si="132"/>
        <v>1.0027397260273974</v>
      </c>
      <c r="AJ159" s="1736">
        <f t="shared" ca="1" si="132"/>
        <v>1</v>
      </c>
      <c r="AK159" s="1736">
        <f t="shared" ca="1" si="132"/>
        <v>1</v>
      </c>
      <c r="AL159" s="1736">
        <f t="shared" ca="1" si="132"/>
        <v>1</v>
      </c>
      <c r="AM159" s="1736">
        <f t="shared" si="132"/>
        <v>0</v>
      </c>
      <c r="AN159" s="1736">
        <f t="shared" si="132"/>
        <v>0</v>
      </c>
      <c r="AO159" s="1736">
        <f t="shared" si="132"/>
        <v>0</v>
      </c>
      <c r="AP159" s="1736">
        <f t="shared" si="132"/>
        <v>0</v>
      </c>
      <c r="AQ159" s="1736">
        <f t="shared" si="132"/>
        <v>0</v>
      </c>
      <c r="AR159" s="1736">
        <f t="shared" si="132"/>
        <v>0</v>
      </c>
      <c r="AS159" s="1736">
        <f t="shared" si="132"/>
        <v>0</v>
      </c>
      <c r="AT159" s="1736">
        <f t="shared" si="132"/>
        <v>0</v>
      </c>
      <c r="AU159" s="1736">
        <f t="shared" si="132"/>
        <v>0</v>
      </c>
      <c r="AV159" s="1736">
        <f t="shared" si="132"/>
        <v>0</v>
      </c>
      <c r="AW159" s="1736">
        <f t="shared" si="132"/>
        <v>0</v>
      </c>
      <c r="AX159" s="1736">
        <f t="shared" si="132"/>
        <v>0</v>
      </c>
      <c r="AY159" s="1736">
        <f t="shared" si="132"/>
        <v>0</v>
      </c>
      <c r="AZ159" s="1736">
        <f t="shared" si="132"/>
        <v>0</v>
      </c>
      <c r="BA159" s="1736">
        <f t="shared" si="132"/>
        <v>0</v>
      </c>
      <c r="BB159" s="1736">
        <f t="shared" si="132"/>
        <v>0</v>
      </c>
      <c r="BC159" s="1736">
        <f t="shared" si="132"/>
        <v>0</v>
      </c>
      <c r="BD159" s="1736">
        <f t="shared" si="132"/>
        <v>0</v>
      </c>
    </row>
    <row r="160" spans="2:58">
      <c r="B160" s="2" t="s">
        <v>1804</v>
      </c>
      <c r="C160" s="15"/>
      <c r="I160" s="52">
        <f>I55</f>
        <v>0</v>
      </c>
      <c r="J160" s="52">
        <f t="shared" ref="J160:BD160" si="133">J55</f>
        <v>0</v>
      </c>
      <c r="K160" s="1736">
        <f t="shared" si="133"/>
        <v>0</v>
      </c>
      <c r="L160" s="1736">
        <f t="shared" ca="1" si="133"/>
        <v>1</v>
      </c>
      <c r="M160" s="1736">
        <f t="shared" ca="1" si="133"/>
        <v>1</v>
      </c>
      <c r="N160" s="1736">
        <f t="shared" ca="1" si="133"/>
        <v>0.99726775956284153</v>
      </c>
      <c r="O160" s="1736">
        <f t="shared" ca="1" si="133"/>
        <v>1.0027397260273974</v>
      </c>
      <c r="P160" s="1736">
        <f t="shared" ca="1" si="133"/>
        <v>1</v>
      </c>
      <c r="Q160" s="1736">
        <f t="shared" ca="1" si="133"/>
        <v>1</v>
      </c>
      <c r="R160" s="1736">
        <f t="shared" ca="1" si="133"/>
        <v>0.99726775956284153</v>
      </c>
      <c r="S160" s="1736">
        <f t="shared" ca="1" si="133"/>
        <v>1.0027397260273974</v>
      </c>
      <c r="T160" s="1736">
        <f t="shared" ca="1" si="133"/>
        <v>1</v>
      </c>
      <c r="U160" s="1736">
        <f t="shared" ca="1" si="133"/>
        <v>1</v>
      </c>
      <c r="V160" s="1736">
        <f t="shared" ca="1" si="133"/>
        <v>0.99726775956284153</v>
      </c>
      <c r="W160" s="1736">
        <f t="shared" ca="1" si="133"/>
        <v>1.0027397260273974</v>
      </c>
      <c r="X160" s="1736">
        <f t="shared" ca="1" si="133"/>
        <v>1</v>
      </c>
      <c r="Y160" s="1736">
        <f t="shared" ca="1" si="133"/>
        <v>1</v>
      </c>
      <c r="Z160" s="1736">
        <f t="shared" ca="1" si="133"/>
        <v>0.99726775956284153</v>
      </c>
      <c r="AA160" s="1736">
        <f t="shared" ca="1" si="133"/>
        <v>1.0027397260273974</v>
      </c>
      <c r="AB160" s="1736">
        <f t="shared" ca="1" si="133"/>
        <v>1</v>
      </c>
      <c r="AC160" s="1736">
        <f t="shared" ca="1" si="133"/>
        <v>1</v>
      </c>
      <c r="AD160" s="1736">
        <f t="shared" ca="1" si="133"/>
        <v>0.99726775956284153</v>
      </c>
      <c r="AE160" s="1736">
        <f t="shared" ca="1" si="133"/>
        <v>1.0027397260273974</v>
      </c>
      <c r="AF160" s="1736">
        <f t="shared" ca="1" si="133"/>
        <v>1</v>
      </c>
      <c r="AG160" s="1736">
        <f t="shared" ca="1" si="133"/>
        <v>1</v>
      </c>
      <c r="AH160" s="1736">
        <f t="shared" ca="1" si="133"/>
        <v>0.99726775956284153</v>
      </c>
      <c r="AI160" s="1736">
        <f t="shared" ca="1" si="133"/>
        <v>1.0027397260273974</v>
      </c>
      <c r="AJ160" s="1736">
        <f t="shared" ca="1" si="133"/>
        <v>1</v>
      </c>
      <c r="AK160" s="1736">
        <f t="shared" ca="1" si="133"/>
        <v>1</v>
      </c>
      <c r="AL160" s="1736">
        <f t="shared" ca="1" si="133"/>
        <v>1</v>
      </c>
      <c r="AM160" s="1736">
        <f t="shared" si="133"/>
        <v>0</v>
      </c>
      <c r="AN160" s="1736">
        <f t="shared" si="133"/>
        <v>0</v>
      </c>
      <c r="AO160" s="1736">
        <f t="shared" si="133"/>
        <v>0</v>
      </c>
      <c r="AP160" s="1736">
        <f t="shared" si="133"/>
        <v>0</v>
      </c>
      <c r="AQ160" s="1736">
        <f t="shared" si="133"/>
        <v>0</v>
      </c>
      <c r="AR160" s="1736">
        <f t="shared" si="133"/>
        <v>0</v>
      </c>
      <c r="AS160" s="1736">
        <f t="shared" si="133"/>
        <v>0</v>
      </c>
      <c r="AT160" s="1736">
        <f t="shared" si="133"/>
        <v>0</v>
      </c>
      <c r="AU160" s="1736">
        <f t="shared" si="133"/>
        <v>0</v>
      </c>
      <c r="AV160" s="1736">
        <f t="shared" si="133"/>
        <v>0</v>
      </c>
      <c r="AW160" s="1736">
        <f t="shared" si="133"/>
        <v>0</v>
      </c>
      <c r="AX160" s="1736">
        <f t="shared" si="133"/>
        <v>0</v>
      </c>
      <c r="AY160" s="1736">
        <f t="shared" si="133"/>
        <v>0</v>
      </c>
      <c r="AZ160" s="1736">
        <f t="shared" si="133"/>
        <v>0</v>
      </c>
      <c r="BA160" s="1736">
        <f t="shared" si="133"/>
        <v>0</v>
      </c>
      <c r="BB160" s="1736">
        <f t="shared" si="133"/>
        <v>0</v>
      </c>
      <c r="BC160" s="1736">
        <f t="shared" si="133"/>
        <v>0</v>
      </c>
      <c r="BD160" s="1736">
        <f t="shared" si="133"/>
        <v>0</v>
      </c>
    </row>
    <row r="161" spans="1:56">
      <c r="B161" s="2" t="s">
        <v>863</v>
      </c>
      <c r="C161" s="15"/>
      <c r="I161" s="52">
        <f>I158</f>
        <v>0</v>
      </c>
      <c r="J161" s="52">
        <f t="shared" ref="J161:BD161" si="134">J158</f>
        <v>0</v>
      </c>
      <c r="K161" s="38">
        <f t="shared" ca="1" si="134"/>
        <v>1</v>
      </c>
      <c r="L161" s="38">
        <f t="shared" ca="1" si="134"/>
        <v>1</v>
      </c>
      <c r="M161" s="38">
        <f t="shared" ca="1" si="134"/>
        <v>1</v>
      </c>
      <c r="N161" s="38">
        <f t="shared" ca="1" si="134"/>
        <v>0.99726775956284153</v>
      </c>
      <c r="O161" s="38">
        <f t="shared" ca="1" si="134"/>
        <v>1.0027397260273974</v>
      </c>
      <c r="P161" s="38">
        <f t="shared" ca="1" si="134"/>
        <v>1</v>
      </c>
      <c r="Q161" s="38">
        <f t="shared" ca="1" si="134"/>
        <v>1</v>
      </c>
      <c r="R161" s="38">
        <f t="shared" ca="1" si="134"/>
        <v>0.99726775956284153</v>
      </c>
      <c r="S161" s="38">
        <f t="shared" ca="1" si="134"/>
        <v>1.0027397260273974</v>
      </c>
      <c r="T161" s="38">
        <f t="shared" ca="1" si="134"/>
        <v>1</v>
      </c>
      <c r="U161" s="38">
        <f t="shared" ca="1" si="134"/>
        <v>1</v>
      </c>
      <c r="V161" s="38">
        <f t="shared" ca="1" si="134"/>
        <v>0.99726775956284153</v>
      </c>
      <c r="W161" s="38">
        <f t="shared" ca="1" si="134"/>
        <v>1.0027397260273974</v>
      </c>
      <c r="X161" s="38">
        <f t="shared" ca="1" si="134"/>
        <v>1</v>
      </c>
      <c r="Y161" s="38">
        <f t="shared" ca="1" si="134"/>
        <v>1</v>
      </c>
      <c r="Z161" s="38">
        <f t="shared" ca="1" si="134"/>
        <v>0.99726775956284153</v>
      </c>
      <c r="AA161" s="38">
        <f t="shared" ca="1" si="134"/>
        <v>1.0027397260273974</v>
      </c>
      <c r="AB161" s="38">
        <f t="shared" ca="1" si="134"/>
        <v>1</v>
      </c>
      <c r="AC161" s="38">
        <f t="shared" ca="1" si="134"/>
        <v>1</v>
      </c>
      <c r="AD161" s="38">
        <f t="shared" ca="1" si="134"/>
        <v>0.99726775956284153</v>
      </c>
      <c r="AE161" s="38">
        <f t="shared" ca="1" si="134"/>
        <v>1.0027397260273974</v>
      </c>
      <c r="AF161" s="38">
        <f t="shared" ca="1" si="134"/>
        <v>1</v>
      </c>
      <c r="AG161" s="38">
        <f t="shared" ca="1" si="134"/>
        <v>1</v>
      </c>
      <c r="AH161" s="38">
        <f t="shared" ca="1" si="134"/>
        <v>0.99726775956284153</v>
      </c>
      <c r="AI161" s="38">
        <f t="shared" ca="1" si="134"/>
        <v>1.0027397260273974</v>
      </c>
      <c r="AJ161" s="38">
        <f t="shared" ca="1" si="134"/>
        <v>1</v>
      </c>
      <c r="AK161" s="38">
        <f t="shared" ca="1" si="134"/>
        <v>1</v>
      </c>
      <c r="AL161" s="38">
        <f t="shared" ca="1" si="134"/>
        <v>1</v>
      </c>
      <c r="AM161" s="38">
        <f t="shared" si="134"/>
        <v>0</v>
      </c>
      <c r="AN161" s="38">
        <f t="shared" si="134"/>
        <v>0</v>
      </c>
      <c r="AO161" s="38">
        <f t="shared" si="134"/>
        <v>0</v>
      </c>
      <c r="AP161" s="38">
        <f t="shared" si="134"/>
        <v>0</v>
      </c>
      <c r="AQ161" s="38">
        <f t="shared" si="134"/>
        <v>0</v>
      </c>
      <c r="AR161" s="38">
        <f t="shared" si="134"/>
        <v>0</v>
      </c>
      <c r="AS161" s="38">
        <f t="shared" si="134"/>
        <v>0</v>
      </c>
      <c r="AT161" s="38">
        <f t="shared" si="134"/>
        <v>0</v>
      </c>
      <c r="AU161" s="38">
        <f t="shared" si="134"/>
        <v>0</v>
      </c>
      <c r="AV161" s="38">
        <f t="shared" si="134"/>
        <v>0</v>
      </c>
      <c r="AW161" s="38">
        <f t="shared" si="134"/>
        <v>0</v>
      </c>
      <c r="AX161" s="38">
        <f t="shared" si="134"/>
        <v>0</v>
      </c>
      <c r="AY161" s="38">
        <f t="shared" si="134"/>
        <v>0</v>
      </c>
      <c r="AZ161" s="38">
        <f t="shared" si="134"/>
        <v>0</v>
      </c>
      <c r="BA161" s="38">
        <f t="shared" si="134"/>
        <v>0</v>
      </c>
      <c r="BB161" s="38">
        <f t="shared" si="134"/>
        <v>0</v>
      </c>
      <c r="BC161" s="38">
        <f t="shared" si="134"/>
        <v>0</v>
      </c>
      <c r="BD161" s="38">
        <f t="shared" si="134"/>
        <v>0</v>
      </c>
    </row>
    <row r="162" spans="1:56">
      <c r="C162" s="15"/>
      <c r="I162" s="38"/>
      <c r="J162" s="38"/>
      <c r="K162" s="38"/>
      <c r="L162" s="38"/>
      <c r="M162" s="38"/>
      <c r="N162" s="38"/>
      <c r="O162" s="38"/>
      <c r="P162" s="38"/>
      <c r="Q162" s="38"/>
      <c r="R162" s="38"/>
      <c r="S162" s="38"/>
      <c r="T162" s="38"/>
      <c r="U162" s="38"/>
      <c r="V162" s="38"/>
      <c r="W162" s="38"/>
      <c r="X162" s="38"/>
      <c r="Y162" s="38"/>
      <c r="Z162" s="38"/>
      <c r="AA162" s="38"/>
      <c r="AB162" s="38"/>
      <c r="AC162" s="38"/>
      <c r="AD162" s="38"/>
      <c r="AE162" s="38"/>
      <c r="AF162" s="38"/>
      <c r="AG162" s="38"/>
      <c r="AH162" s="38"/>
      <c r="AI162" s="38"/>
      <c r="AJ162" s="38"/>
      <c r="AK162" s="38"/>
      <c r="AL162" s="38"/>
      <c r="AM162" s="38"/>
      <c r="AN162" s="38"/>
      <c r="AO162" s="38"/>
      <c r="AP162" s="38"/>
      <c r="AQ162" s="38"/>
      <c r="AR162" s="38"/>
      <c r="AS162" s="38"/>
      <c r="AT162" s="38"/>
      <c r="AU162" s="38"/>
      <c r="AV162" s="38"/>
      <c r="AW162" s="38"/>
      <c r="AX162" s="38"/>
      <c r="AY162" s="38"/>
      <c r="AZ162" s="38"/>
      <c r="BA162" s="38"/>
    </row>
    <row r="163" spans="1:56">
      <c r="C163" s="15"/>
      <c r="I163" s="38"/>
      <c r="J163" s="38"/>
      <c r="K163" s="38"/>
      <c r="L163" s="38"/>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row>
    <row r="164" spans="1:56">
      <c r="C164" s="15"/>
    </row>
    <row r="165" spans="1:56">
      <c r="C165" s="15"/>
    </row>
    <row r="166" spans="1:56">
      <c r="A166" s="40" t="s">
        <v>109</v>
      </c>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row>
  </sheetData>
  <sheetProtection formatCells="0" formatColumns="0" formatRows="0" insertColumns="0" insertRows="0" insertHyperlinks="0" deleteColumns="0" deleteRows="0" sort="0" autoFilter="0" pivotTables="0"/>
  <dataConsolidate link="1"/>
  <pageMargins left="0.7" right="0.7" top="0.75" bottom="0.75" header="0.3" footer="0.3"/>
  <pageSetup paperSize="9"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60833-9292-4E7A-AA7B-6C4A9DBC3AF8}">
  <sheetPr codeName="Sheet46"/>
  <dimension ref="A1:AZ103"/>
  <sheetViews>
    <sheetView zoomScaleNormal="100" workbookViewId="0">
      <selection activeCell="I27" sqref="I27"/>
    </sheetView>
  </sheetViews>
  <sheetFormatPr defaultColWidth="9.14453125" defaultRowHeight="10.5"/>
  <cols>
    <col min="1" max="1" width="3.49609375" style="2" customWidth="1"/>
    <col min="2" max="2" width="32.1484375" style="2" customWidth="1"/>
    <col min="3" max="3" width="9.14453125" style="2"/>
    <col min="4" max="4" width="13.98828125" style="2" bestFit="1" customWidth="1"/>
    <col min="5" max="5" width="13.44921875" style="2" customWidth="1"/>
    <col min="6" max="6" width="11.97265625" style="2" bestFit="1" customWidth="1"/>
    <col min="7" max="7" width="2.41796875" style="2" customWidth="1"/>
    <col min="8" max="8" width="3.359375" style="2" customWidth="1"/>
    <col min="9" max="9" width="12.9140625" style="2" bestFit="1" customWidth="1"/>
    <col min="10" max="17" width="11.97265625" style="2" bestFit="1" customWidth="1"/>
    <col min="18" max="18" width="13.31640625" style="2" customWidth="1"/>
    <col min="19" max="31" width="15.6015625" style="2" customWidth="1"/>
    <col min="32" max="35" width="18.4296875" style="2" customWidth="1"/>
    <col min="36" max="45" width="12.9140625" style="2" customWidth="1"/>
    <col min="46" max="46" width="16.6796875" style="2" customWidth="1"/>
    <col min="47" max="49" width="15.19921875" style="2" customWidth="1"/>
    <col min="50" max="16384" width="9.14453125" style="2"/>
  </cols>
  <sheetData>
    <row r="1" spans="1:52" s="315" customFormat="1" ht="14.25">
      <c r="A1" s="314" t="s">
        <v>672</v>
      </c>
      <c r="H1" s="316"/>
      <c r="I1" s="317"/>
    </row>
    <row r="2" spans="1:52" ht="11.25">
      <c r="A2" s="318" t="s">
        <v>4</v>
      </c>
      <c r="B2" s="319"/>
      <c r="C2" s="319"/>
      <c r="D2" s="318"/>
      <c r="E2" s="319"/>
      <c r="F2" s="319"/>
      <c r="G2" s="318"/>
      <c r="H2" s="319" t="s">
        <v>0</v>
      </c>
      <c r="I2" s="388">
        <f>'Timing &amp; Flags'!I2</f>
        <v>1</v>
      </c>
      <c r="J2" s="388">
        <f>'Timing &amp; Flags'!J2</f>
        <v>2</v>
      </c>
      <c r="K2" s="388">
        <f>'Timing &amp; Flags'!K2</f>
        <v>3</v>
      </c>
      <c r="L2" s="388">
        <f>'Timing &amp; Flags'!L2</f>
        <v>4</v>
      </c>
      <c r="M2" s="388">
        <f>'Timing &amp; Flags'!M2</f>
        <v>5</v>
      </c>
      <c r="N2" s="388">
        <f>'Timing &amp; Flags'!N2</f>
        <v>6</v>
      </c>
      <c r="O2" s="388">
        <f>'Timing &amp; Flags'!O2</f>
        <v>7</v>
      </c>
      <c r="P2" s="388">
        <f>'Timing &amp; Flags'!P2</f>
        <v>8</v>
      </c>
      <c r="Q2" s="388">
        <f>'Timing &amp; Flags'!Q2</f>
        <v>9</v>
      </c>
      <c r="R2" s="388">
        <f>'Timing &amp; Flags'!R2</f>
        <v>10</v>
      </c>
      <c r="S2" s="388">
        <f>'Timing &amp; Flags'!S2</f>
        <v>11</v>
      </c>
      <c r="T2" s="388">
        <f>'Timing &amp; Flags'!T2</f>
        <v>12</v>
      </c>
      <c r="U2" s="388">
        <f>'Timing &amp; Flags'!U2</f>
        <v>13</v>
      </c>
      <c r="V2" s="388">
        <f>'Timing &amp; Flags'!V2</f>
        <v>14</v>
      </c>
      <c r="W2" s="388">
        <f>'Timing &amp; Flags'!W2</f>
        <v>15</v>
      </c>
      <c r="X2" s="388">
        <f>'Timing &amp; Flags'!X2</f>
        <v>16</v>
      </c>
      <c r="Y2" s="388">
        <f>'Timing &amp; Flags'!Y2</f>
        <v>17</v>
      </c>
      <c r="Z2" s="388">
        <f>'Timing &amp; Flags'!Z2</f>
        <v>18</v>
      </c>
      <c r="AA2" s="388">
        <f>'Timing &amp; Flags'!AA2</f>
        <v>19</v>
      </c>
      <c r="AB2" s="388">
        <f>'Timing &amp; Flags'!AB2</f>
        <v>20</v>
      </c>
      <c r="AC2" s="388">
        <f>'Timing &amp; Flags'!AC2</f>
        <v>21</v>
      </c>
      <c r="AD2" s="388">
        <f>'Timing &amp; Flags'!AD2</f>
        <v>22</v>
      </c>
      <c r="AE2" s="388">
        <f>'Timing &amp; Flags'!AE2</f>
        <v>23</v>
      </c>
      <c r="AF2" s="388">
        <f>'Timing &amp; Flags'!AF2</f>
        <v>24</v>
      </c>
      <c r="AG2" s="388">
        <f>'Timing &amp; Flags'!AG2</f>
        <v>25</v>
      </c>
      <c r="AH2" s="388">
        <f>'Timing &amp; Flags'!AH2</f>
        <v>26</v>
      </c>
      <c r="AI2" s="388">
        <f>'Timing &amp; Flags'!AI2</f>
        <v>27</v>
      </c>
      <c r="AJ2" s="388">
        <f>'Timing &amp; Flags'!AJ2</f>
        <v>28</v>
      </c>
      <c r="AK2" s="388">
        <f>'Timing &amp; Flags'!AK2</f>
        <v>29</v>
      </c>
      <c r="AL2" s="388">
        <f>'Timing &amp; Flags'!AL2</f>
        <v>30</v>
      </c>
      <c r="AM2" s="388">
        <f>'Timing &amp; Flags'!AM2</f>
        <v>31</v>
      </c>
      <c r="AN2" s="388">
        <f>'Timing &amp; Flags'!AN2</f>
        <v>32</v>
      </c>
      <c r="AO2" s="388">
        <f>'Timing &amp; Flags'!AO2</f>
        <v>33</v>
      </c>
      <c r="AP2" s="388">
        <f>'Timing &amp; Flags'!AP2</f>
        <v>34</v>
      </c>
      <c r="AQ2" s="388">
        <f>'Timing &amp; Flags'!AQ2</f>
        <v>35</v>
      </c>
      <c r="AR2" s="388">
        <f>'Timing &amp; Flags'!AR2</f>
        <v>36</v>
      </c>
      <c r="AS2" s="388">
        <f>'Timing &amp; Flags'!AS2</f>
        <v>37</v>
      </c>
      <c r="AT2" s="388">
        <f>'Timing &amp; Flags'!AT2</f>
        <v>38</v>
      </c>
      <c r="AU2" s="388">
        <f>'Timing &amp; Flags'!AU2</f>
        <v>39</v>
      </c>
      <c r="AV2" s="388">
        <f>'Timing &amp; Flags'!AV2</f>
        <v>40</v>
      </c>
      <c r="AW2" s="388">
        <f>'Timing &amp; Flags'!AW2</f>
        <v>41</v>
      </c>
      <c r="AX2" s="388"/>
    </row>
    <row r="3" spans="1:52" ht="11.25">
      <c r="A3" s="318" t="s">
        <v>823</v>
      </c>
      <c r="B3" s="319"/>
      <c r="C3" s="319"/>
      <c r="D3" s="318"/>
      <c r="E3" s="319"/>
      <c r="F3" s="319"/>
      <c r="G3" s="318"/>
      <c r="H3" s="319" t="s">
        <v>1</v>
      </c>
      <c r="I3" s="389">
        <f>'Timing &amp; Flags'!I3</f>
        <v>46023</v>
      </c>
      <c r="J3" s="389">
        <f>'Timing &amp; Flags'!J3</f>
        <v>46388</v>
      </c>
      <c r="K3" s="389">
        <f>'Timing &amp; Flags'!K3</f>
        <v>46753</v>
      </c>
      <c r="L3" s="389">
        <f>'Timing &amp; Flags'!L3</f>
        <v>47119</v>
      </c>
      <c r="M3" s="389">
        <f>'Timing &amp; Flags'!M3</f>
        <v>47484</v>
      </c>
      <c r="N3" s="389">
        <f>'Timing &amp; Flags'!N3</f>
        <v>47849</v>
      </c>
      <c r="O3" s="389">
        <f>'Timing &amp; Flags'!O3</f>
        <v>48214</v>
      </c>
      <c r="P3" s="389">
        <f>'Timing &amp; Flags'!P3</f>
        <v>48580</v>
      </c>
      <c r="Q3" s="389">
        <f>'Timing &amp; Flags'!Q3</f>
        <v>48945</v>
      </c>
      <c r="R3" s="389">
        <f>'Timing &amp; Flags'!R3</f>
        <v>49310</v>
      </c>
      <c r="S3" s="389">
        <f>'Timing &amp; Flags'!S3</f>
        <v>49675</v>
      </c>
      <c r="T3" s="389">
        <f>'Timing &amp; Flags'!T3</f>
        <v>50041</v>
      </c>
      <c r="U3" s="389">
        <f>'Timing &amp; Flags'!U3</f>
        <v>50406</v>
      </c>
      <c r="V3" s="389">
        <f>'Timing &amp; Flags'!V3</f>
        <v>50771</v>
      </c>
      <c r="W3" s="389">
        <f>'Timing &amp; Flags'!W3</f>
        <v>51136</v>
      </c>
      <c r="X3" s="389">
        <f>'Timing &amp; Flags'!X3</f>
        <v>51502</v>
      </c>
      <c r="Y3" s="389">
        <f>'Timing &amp; Flags'!Y3</f>
        <v>51867</v>
      </c>
      <c r="Z3" s="389">
        <f>'Timing &amp; Flags'!Z3</f>
        <v>52232</v>
      </c>
      <c r="AA3" s="389">
        <f>'Timing &amp; Flags'!AA3</f>
        <v>52597</v>
      </c>
      <c r="AB3" s="389">
        <f>'Timing &amp; Flags'!AB3</f>
        <v>52963</v>
      </c>
      <c r="AC3" s="389">
        <f>'Timing &amp; Flags'!AC3</f>
        <v>53328</v>
      </c>
      <c r="AD3" s="389">
        <f>'Timing &amp; Flags'!AD3</f>
        <v>53693</v>
      </c>
      <c r="AE3" s="389">
        <f>'Timing &amp; Flags'!AE3</f>
        <v>54058</v>
      </c>
      <c r="AF3" s="389">
        <f>'Timing &amp; Flags'!AF3</f>
        <v>54424</v>
      </c>
      <c r="AG3" s="389">
        <f>'Timing &amp; Flags'!AG3</f>
        <v>54789</v>
      </c>
      <c r="AH3" s="389">
        <f>'Timing &amp; Flags'!AH3</f>
        <v>55154</v>
      </c>
      <c r="AI3" s="389">
        <f>'Timing &amp; Flags'!AI3</f>
        <v>55519</v>
      </c>
      <c r="AJ3" s="389">
        <f>'Timing &amp; Flags'!AJ3</f>
        <v>55885</v>
      </c>
      <c r="AK3" s="389">
        <f>'Timing &amp; Flags'!AK3</f>
        <v>56250</v>
      </c>
      <c r="AL3" s="389">
        <f>'Timing &amp; Flags'!AL3</f>
        <v>56615</v>
      </c>
      <c r="AM3" s="389">
        <f>'Timing &amp; Flags'!AM3</f>
        <v>56980</v>
      </c>
      <c r="AN3" s="389">
        <f>'Timing &amp; Flags'!AN3</f>
        <v>57346</v>
      </c>
      <c r="AO3" s="389">
        <f>'Timing &amp; Flags'!AO3</f>
        <v>57711</v>
      </c>
      <c r="AP3" s="389">
        <f>'Timing &amp; Flags'!AP3</f>
        <v>58076</v>
      </c>
      <c r="AQ3" s="389">
        <f>'Timing &amp; Flags'!AQ3</f>
        <v>58441</v>
      </c>
      <c r="AR3" s="389">
        <f>'Timing &amp; Flags'!AR3</f>
        <v>58807</v>
      </c>
      <c r="AS3" s="389">
        <f>'Timing &amp; Flags'!AS3</f>
        <v>59172</v>
      </c>
      <c r="AT3" s="389">
        <f>'Timing &amp; Flags'!AT3</f>
        <v>59537</v>
      </c>
      <c r="AU3" s="389">
        <f>'Timing &amp; Flags'!AU3</f>
        <v>59902</v>
      </c>
      <c r="AV3" s="389">
        <f>'Timing &amp; Flags'!AV3</f>
        <v>60268</v>
      </c>
      <c r="AW3" s="389">
        <f>'Timing &amp; Flags'!AW3</f>
        <v>60633</v>
      </c>
      <c r="AX3" s="389"/>
    </row>
    <row r="4" spans="1:52" ht="11.25">
      <c r="A4" s="318" t="str">
        <f>Checks!A4</f>
        <v>Model is ok</v>
      </c>
      <c r="B4" s="319"/>
      <c r="C4" s="319"/>
      <c r="D4" s="318"/>
      <c r="E4" s="319"/>
      <c r="F4" s="319"/>
      <c r="G4" s="318"/>
      <c r="H4" s="319" t="s">
        <v>2</v>
      </c>
      <c r="I4" s="390">
        <f>'Timing &amp; Flags'!I4</f>
        <v>46387</v>
      </c>
      <c r="J4" s="390">
        <f>'Timing &amp; Flags'!J4</f>
        <v>46752</v>
      </c>
      <c r="K4" s="390">
        <f>'Timing &amp; Flags'!K4</f>
        <v>47118</v>
      </c>
      <c r="L4" s="390">
        <f>'Timing &amp; Flags'!L4</f>
        <v>47483</v>
      </c>
      <c r="M4" s="390">
        <f>'Timing &amp; Flags'!M4</f>
        <v>47848</v>
      </c>
      <c r="N4" s="390">
        <f>'Timing &amp; Flags'!N4</f>
        <v>48213</v>
      </c>
      <c r="O4" s="390">
        <f>'Timing &amp; Flags'!O4</f>
        <v>48579</v>
      </c>
      <c r="P4" s="390">
        <f>'Timing &amp; Flags'!P4</f>
        <v>48944</v>
      </c>
      <c r="Q4" s="390">
        <f>'Timing &amp; Flags'!Q4</f>
        <v>49309</v>
      </c>
      <c r="R4" s="390">
        <f>'Timing &amp; Flags'!R4</f>
        <v>49674</v>
      </c>
      <c r="S4" s="390">
        <f>'Timing &amp; Flags'!S4</f>
        <v>50040</v>
      </c>
      <c r="T4" s="390">
        <f>'Timing &amp; Flags'!T4</f>
        <v>50405</v>
      </c>
      <c r="U4" s="390">
        <f>'Timing &amp; Flags'!U4</f>
        <v>50770</v>
      </c>
      <c r="V4" s="390">
        <f>'Timing &amp; Flags'!V4</f>
        <v>51135</v>
      </c>
      <c r="W4" s="390">
        <f>'Timing &amp; Flags'!W4</f>
        <v>51501</v>
      </c>
      <c r="X4" s="390">
        <f>'Timing &amp; Flags'!X4</f>
        <v>51866</v>
      </c>
      <c r="Y4" s="390">
        <f>'Timing &amp; Flags'!Y4</f>
        <v>52231</v>
      </c>
      <c r="Z4" s="390">
        <f>'Timing &amp; Flags'!Z4</f>
        <v>52596</v>
      </c>
      <c r="AA4" s="390">
        <f>'Timing &amp; Flags'!AA4</f>
        <v>52962</v>
      </c>
      <c r="AB4" s="390">
        <f>'Timing &amp; Flags'!AB4</f>
        <v>53327</v>
      </c>
      <c r="AC4" s="390">
        <f>'Timing &amp; Flags'!AC4</f>
        <v>53692</v>
      </c>
      <c r="AD4" s="390">
        <f>'Timing &amp; Flags'!AD4</f>
        <v>54057</v>
      </c>
      <c r="AE4" s="390">
        <f>'Timing &amp; Flags'!AE4</f>
        <v>54423</v>
      </c>
      <c r="AF4" s="390">
        <f>'Timing &amp; Flags'!AF4</f>
        <v>54788</v>
      </c>
      <c r="AG4" s="390">
        <f>'Timing &amp; Flags'!AG4</f>
        <v>55153</v>
      </c>
      <c r="AH4" s="390">
        <f>'Timing &amp; Flags'!AH4</f>
        <v>55518</v>
      </c>
      <c r="AI4" s="390">
        <f>'Timing &amp; Flags'!AI4</f>
        <v>55884</v>
      </c>
      <c r="AJ4" s="390">
        <f>'Timing &amp; Flags'!AJ4</f>
        <v>56249</v>
      </c>
      <c r="AK4" s="390">
        <f>'Timing &amp; Flags'!AK4</f>
        <v>56614</v>
      </c>
      <c r="AL4" s="390">
        <f>'Timing &amp; Flags'!AL4</f>
        <v>56979</v>
      </c>
      <c r="AM4" s="390">
        <f>'Timing &amp; Flags'!AM4</f>
        <v>57345</v>
      </c>
      <c r="AN4" s="390">
        <f>'Timing &amp; Flags'!AN4</f>
        <v>57710</v>
      </c>
      <c r="AO4" s="390">
        <f>'Timing &amp; Flags'!AO4</f>
        <v>58075</v>
      </c>
      <c r="AP4" s="390">
        <f>'Timing &amp; Flags'!AP4</f>
        <v>58440</v>
      </c>
      <c r="AQ4" s="390">
        <f>'Timing &amp; Flags'!AQ4</f>
        <v>58806</v>
      </c>
      <c r="AR4" s="390">
        <f>'Timing &amp; Flags'!AR4</f>
        <v>59171</v>
      </c>
      <c r="AS4" s="390">
        <f>'Timing &amp; Flags'!AS4</f>
        <v>59536</v>
      </c>
      <c r="AT4" s="390">
        <f>'Timing &amp; Flags'!AT4</f>
        <v>59901</v>
      </c>
      <c r="AU4" s="390">
        <f>'Timing &amp; Flags'!AU4</f>
        <v>60267</v>
      </c>
      <c r="AV4" s="390">
        <f>'Timing &amp; Flags'!AV4</f>
        <v>60632</v>
      </c>
      <c r="AW4" s="390">
        <f>'Timing &amp; Flags'!AW4</f>
        <v>60997</v>
      </c>
      <c r="AX4" s="390"/>
    </row>
    <row r="5" spans="1:52" ht="11.25">
      <c r="A5" s="318" t="str">
        <f>Checks!A5</f>
        <v>Funding Macro ok</v>
      </c>
      <c r="B5" s="319"/>
      <c r="C5" s="319"/>
      <c r="D5" s="318"/>
      <c r="E5" s="319"/>
      <c r="F5" s="319"/>
      <c r="G5" s="318"/>
      <c r="H5" s="319" t="s">
        <v>3</v>
      </c>
      <c r="I5" s="391">
        <f ca="1">'Timing &amp; Flags'!I5</f>
        <v>365</v>
      </c>
      <c r="J5" s="391">
        <f ca="1">'Timing &amp; Flags'!J5</f>
        <v>366</v>
      </c>
      <c r="K5" s="391">
        <f ca="1">'Timing &amp; Flags'!K5</f>
        <v>365</v>
      </c>
      <c r="L5" s="391">
        <f ca="1">'Timing &amp; Flags'!L5</f>
        <v>365</v>
      </c>
      <c r="M5" s="391">
        <f ca="1">'Timing &amp; Flags'!M5</f>
        <v>365</v>
      </c>
      <c r="N5" s="391">
        <f ca="1">'Timing &amp; Flags'!N5</f>
        <v>366</v>
      </c>
      <c r="O5" s="391">
        <f ca="1">'Timing &amp; Flags'!O5</f>
        <v>365</v>
      </c>
      <c r="P5" s="391">
        <f ca="1">'Timing &amp; Flags'!P5</f>
        <v>365</v>
      </c>
      <c r="Q5" s="391">
        <f ca="1">'Timing &amp; Flags'!Q5</f>
        <v>365</v>
      </c>
      <c r="R5" s="391">
        <f ca="1">'Timing &amp; Flags'!R5</f>
        <v>366</v>
      </c>
      <c r="S5" s="391">
        <f ca="1">'Timing &amp; Flags'!S5</f>
        <v>365</v>
      </c>
      <c r="T5" s="391">
        <f ca="1">'Timing &amp; Flags'!T5</f>
        <v>365</v>
      </c>
      <c r="U5" s="391">
        <f ca="1">'Timing &amp; Flags'!U5</f>
        <v>365</v>
      </c>
      <c r="V5" s="391">
        <f ca="1">'Timing &amp; Flags'!V5</f>
        <v>366</v>
      </c>
      <c r="W5" s="391">
        <f ca="1">'Timing &amp; Flags'!W5</f>
        <v>365</v>
      </c>
      <c r="X5" s="391">
        <f ca="1">'Timing &amp; Flags'!X5</f>
        <v>365</v>
      </c>
      <c r="Y5" s="391">
        <f ca="1">'Timing &amp; Flags'!Y5</f>
        <v>365</v>
      </c>
      <c r="Z5" s="391">
        <f ca="1">'Timing &amp; Flags'!Z5</f>
        <v>366</v>
      </c>
      <c r="AA5" s="391">
        <f ca="1">'Timing &amp; Flags'!AA5</f>
        <v>365</v>
      </c>
      <c r="AB5" s="391">
        <f ca="1">'Timing &amp; Flags'!AB5</f>
        <v>365</v>
      </c>
      <c r="AC5" s="391">
        <f ca="1">'Timing &amp; Flags'!AC5</f>
        <v>365</v>
      </c>
      <c r="AD5" s="391">
        <f ca="1">'Timing &amp; Flags'!AD5</f>
        <v>366</v>
      </c>
      <c r="AE5" s="391">
        <f ca="1">'Timing &amp; Flags'!AE5</f>
        <v>365</v>
      </c>
      <c r="AF5" s="391">
        <f ca="1">'Timing &amp; Flags'!AF5</f>
        <v>365</v>
      </c>
      <c r="AG5" s="391">
        <f ca="1">'Timing &amp; Flags'!AG5</f>
        <v>365</v>
      </c>
      <c r="AH5" s="391">
        <f ca="1">'Timing &amp; Flags'!AH5</f>
        <v>366</v>
      </c>
      <c r="AI5" s="391">
        <f ca="1">'Timing &amp; Flags'!AI5</f>
        <v>365</v>
      </c>
      <c r="AJ5" s="391">
        <f ca="1">'Timing &amp; Flags'!AJ5</f>
        <v>365</v>
      </c>
      <c r="AK5" s="391">
        <f ca="1">'Timing &amp; Flags'!AK5</f>
        <v>365</v>
      </c>
      <c r="AL5" s="391">
        <f ca="1">'Timing &amp; Flags'!AL5</f>
        <v>365</v>
      </c>
      <c r="AM5" s="391">
        <f ca="1">'Timing &amp; Flags'!AM5</f>
        <v>365</v>
      </c>
      <c r="AN5" s="391">
        <f ca="1">'Timing &amp; Flags'!AN5</f>
        <v>365</v>
      </c>
      <c r="AO5" s="391">
        <f ca="1">'Timing &amp; Flags'!AO5</f>
        <v>365</v>
      </c>
      <c r="AP5" s="391">
        <f ca="1">'Timing &amp; Flags'!AP5</f>
        <v>365</v>
      </c>
      <c r="AQ5" s="391">
        <f ca="1">'Timing &amp; Flags'!AQ5</f>
        <v>365</v>
      </c>
      <c r="AR5" s="391">
        <f ca="1">'Timing &amp; Flags'!AR5</f>
        <v>365</v>
      </c>
      <c r="AS5" s="391">
        <f ca="1">'Timing &amp; Flags'!AS5</f>
        <v>365</v>
      </c>
      <c r="AT5" s="391">
        <f ca="1">'Timing &amp; Flags'!AT5</f>
        <v>365</v>
      </c>
      <c r="AU5" s="391">
        <f ca="1">'Timing &amp; Flags'!AU5</f>
        <v>365</v>
      </c>
      <c r="AV5" s="391">
        <f ca="1">'Timing &amp; Flags'!AV5</f>
        <v>365</v>
      </c>
      <c r="AW5" s="391">
        <f ca="1">'Timing &amp; Flags'!AW5</f>
        <v>365</v>
      </c>
      <c r="AX5" s="391"/>
    </row>
    <row r="7" spans="1:52">
      <c r="A7" s="6" t="s">
        <v>539</v>
      </c>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row>
    <row r="9" spans="1:52">
      <c r="B9" s="29" t="s">
        <v>540</v>
      </c>
      <c r="F9" s="13"/>
    </row>
    <row r="10" spans="1:52">
      <c r="B10" s="2" t="s">
        <v>441</v>
      </c>
      <c r="C10" s="15" t="str">
        <f>IF('Input '!$F$9=1,"US$","=N=")</f>
        <v>US$</v>
      </c>
      <c r="D10" s="53">
        <f ca="1">SUM(I10:AW10)</f>
        <v>67303901887.30986</v>
      </c>
      <c r="I10" s="53">
        <f ca="1">CF!I7</f>
        <v>0</v>
      </c>
      <c r="J10" s="53">
        <f ca="1">CF!J7</f>
        <v>0</v>
      </c>
      <c r="K10" s="53">
        <f ca="1">CF!K7</f>
        <v>890000218.44370985</v>
      </c>
      <c r="L10" s="53">
        <f ca="1">CF!L7</f>
        <v>1485211623.7040534</v>
      </c>
      <c r="M10" s="53">
        <f ca="1">CF!M7</f>
        <v>1704941249.9265699</v>
      </c>
      <c r="N10" s="53">
        <f ca="1">CF!N7</f>
        <v>1824469254.9989414</v>
      </c>
      <c r="O10" s="53">
        <f ca="1">CF!O7</f>
        <v>1932334098.6108809</v>
      </c>
      <c r="P10" s="53">
        <f ca="1">CF!P7</f>
        <v>2029052734.09184</v>
      </c>
      <c r="Q10" s="53">
        <f ca="1">CF!Q7</f>
        <v>2127881413.3748755</v>
      </c>
      <c r="R10" s="53">
        <f ca="1">CF!R7</f>
        <v>2232890057.6206183</v>
      </c>
      <c r="S10" s="53">
        <f ca="1">CF!S7</f>
        <v>2341375640.5051837</v>
      </c>
      <c r="T10" s="53">
        <f ca="1">CF!T7</f>
        <v>2458217666.7113299</v>
      </c>
      <c r="U10" s="53">
        <f ca="1">CF!U7</f>
        <v>2580754334.0439091</v>
      </c>
      <c r="V10" s="53">
        <f ca="1">CF!V7</f>
        <v>2711046030.593502</v>
      </c>
      <c r="W10" s="53">
        <f ca="1">CF!W7</f>
        <v>2845829325.7378988</v>
      </c>
      <c r="X10" s="53">
        <f ca="1">CF!X7</f>
        <v>2228524181.7021866</v>
      </c>
      <c r="Y10" s="53">
        <f ca="1">CF!Y7</f>
        <v>2195466234.8899789</v>
      </c>
      <c r="Z10" s="53">
        <f ca="1">CF!Z7</f>
        <v>2262094699.7168884</v>
      </c>
      <c r="AA10" s="53">
        <f ca="1">CF!AA7</f>
        <v>2328405650.814569</v>
      </c>
      <c r="AB10" s="53">
        <f ca="1">CF!AB7</f>
        <v>2399045232.4526224</v>
      </c>
      <c r="AC10" s="53">
        <f ca="1">CF!AC7</f>
        <v>2471016589.4262013</v>
      </c>
      <c r="AD10" s="53">
        <f ca="1">CF!AD7</f>
        <v>2546007513.5856624</v>
      </c>
      <c r="AE10" s="53">
        <f ca="1">CF!AE7</f>
        <v>2620641073.2455821</v>
      </c>
      <c r="AF10" s="53">
        <f ca="1">CF!AF7</f>
        <v>2700146544.7139249</v>
      </c>
      <c r="AG10" s="53">
        <f ca="1">CF!AG7</f>
        <v>2781150941.0553427</v>
      </c>
      <c r="AH10" s="53">
        <f ca="1">CF!AH7</f>
        <v>2865553886.8668585</v>
      </c>
      <c r="AI10" s="53">
        <f ca="1">CF!AI7</f>
        <v>2949554615.7857585</v>
      </c>
      <c r="AJ10" s="53">
        <f ca="1">CF!AJ7</f>
        <v>3039038724.3665814</v>
      </c>
      <c r="AK10" s="53">
        <f ca="1">CF!AK7</f>
        <v>3130209886.097579</v>
      </c>
      <c r="AL10" s="53">
        <f ca="1">CF!AL7</f>
        <v>3623042464.2268</v>
      </c>
      <c r="AM10" s="53">
        <f>CF!AM7</f>
        <v>0</v>
      </c>
      <c r="AN10" s="53">
        <f>CF!AN7</f>
        <v>0</v>
      </c>
      <c r="AO10" s="53">
        <f>CF!AO7</f>
        <v>0</v>
      </c>
      <c r="AP10" s="53">
        <f>CF!AP7</f>
        <v>0</v>
      </c>
      <c r="AQ10" s="53">
        <f>CF!AQ7</f>
        <v>0</v>
      </c>
      <c r="AR10" s="53">
        <f>CF!AR7</f>
        <v>0</v>
      </c>
      <c r="AS10" s="53">
        <f>CF!AS7</f>
        <v>0</v>
      </c>
      <c r="AT10" s="53">
        <f>CF!AT7</f>
        <v>0</v>
      </c>
      <c r="AU10" s="53">
        <f>CF!AU7</f>
        <v>0</v>
      </c>
      <c r="AV10" s="53">
        <f>CF!AV7</f>
        <v>0</v>
      </c>
      <c r="AW10" s="53">
        <f>CF!AW7</f>
        <v>0</v>
      </c>
      <c r="AX10" s="53">
        <f>CF!AX7</f>
        <v>0</v>
      </c>
    </row>
    <row r="11" spans="1:52">
      <c r="B11" s="2" t="s">
        <v>1478</v>
      </c>
      <c r="C11" s="15" t="str">
        <f>IF('Input '!$F$9=1,"US$","=N=")</f>
        <v>US$</v>
      </c>
      <c r="D11" s="53">
        <f ca="1">SUM(I11:AW11)</f>
        <v>-12245491202.227028</v>
      </c>
      <c r="I11" s="53">
        <f ca="1">CF!I8</f>
        <v>0</v>
      </c>
      <c r="J11" s="53">
        <f ca="1">CF!J8</f>
        <v>-132913371.73613448</v>
      </c>
      <c r="K11" s="1531">
        <f ca="1">CF!K8</f>
        <v>-230024526.2535325</v>
      </c>
      <c r="L11" s="1531">
        <f ca="1">CF!L8</f>
        <v>-286035887.64826715</v>
      </c>
      <c r="M11" s="1531">
        <f ca="1">CF!M8</f>
        <v>-308836350.81766248</v>
      </c>
      <c r="N11" s="1531">
        <f ca="1">CF!N8</f>
        <v>-319016594.49428165</v>
      </c>
      <c r="O11" s="1531">
        <f ca="1">CF!O8</f>
        <v>-328338037.05235612</v>
      </c>
      <c r="P11" s="1531">
        <f ca="1">CF!P8</f>
        <v>-338158814.73946053</v>
      </c>
      <c r="Q11" s="1531">
        <f ca="1">CF!Q8</f>
        <v>-348200267.19251925</v>
      </c>
      <c r="R11" s="1531">
        <f ca="1">CF!R8</f>
        <v>-358623671.74999273</v>
      </c>
      <c r="S11" s="1531">
        <f ca="1">CF!S8</f>
        <v>-369115231.59579641</v>
      </c>
      <c r="T11" s="1531">
        <f ca="1">CF!T8</f>
        <v>-380168506.34129286</v>
      </c>
      <c r="U11" s="1531">
        <f ca="1">CF!U8</f>
        <v>-391470249.5424065</v>
      </c>
      <c r="V11" s="1531">
        <f ca="1">CF!V8</f>
        <v>-403201786.13964617</v>
      </c>
      <c r="W11" s="1531">
        <f ca="1">CF!W8</f>
        <v>-415010323.30152255</v>
      </c>
      <c r="X11" s="1531">
        <f ca="1">CF!X8</f>
        <v>-427450784.34453833</v>
      </c>
      <c r="Y11" s="1531">
        <f ca="1">CF!Y8</f>
        <v>-440170995.8857494</v>
      </c>
      <c r="Z11" s="1531">
        <f ca="1">CF!Z8</f>
        <v>-450214198.84952497</v>
      </c>
      <c r="AA11" s="1531">
        <f ca="1">CF!AA8</f>
        <v>-459965955.43224275</v>
      </c>
      <c r="AB11" s="1531">
        <f ca="1">CF!AB8</f>
        <v>-470319855.0355379</v>
      </c>
      <c r="AC11" s="1531">
        <f ca="1">CF!AC8</f>
        <v>-480880074.14354682</v>
      </c>
      <c r="AD11" s="1531">
        <f ca="1">CF!AD8</f>
        <v>-491867733.83495885</v>
      </c>
      <c r="AE11" s="1531">
        <f ca="1">CF!AE8</f>
        <v>-502849802.26632011</v>
      </c>
      <c r="AF11" s="1531">
        <f ca="1">CF!AF8</f>
        <v>-514499872.82172024</v>
      </c>
      <c r="AG11" s="1531">
        <f ca="1">CF!AG8</f>
        <v>-526385492.46331471</v>
      </c>
      <c r="AH11" s="1531">
        <f ca="1">CF!AH8</f>
        <v>-538748865.58131659</v>
      </c>
      <c r="AI11" s="1531">
        <f ca="1">CF!AI8</f>
        <v>-551115949.68476498</v>
      </c>
      <c r="AJ11" s="1531">
        <f ca="1">CF!AJ8</f>
        <v>-564224872.06602502</v>
      </c>
      <c r="AK11" s="1531">
        <f ca="1">CF!AK8</f>
        <v>-577602241.68494868</v>
      </c>
      <c r="AL11" s="1531">
        <f ca="1">CF!AL8</f>
        <v>-640080889.52764833</v>
      </c>
      <c r="AM11" s="1531">
        <f>CF!AM8</f>
        <v>0</v>
      </c>
      <c r="AN11" s="1531">
        <f>CF!AN8</f>
        <v>0</v>
      </c>
      <c r="AO11" s="1531">
        <f>CF!AO8</f>
        <v>0</v>
      </c>
      <c r="AP11" s="1531">
        <f>CF!AP8</f>
        <v>0</v>
      </c>
      <c r="AQ11" s="1531">
        <f>CF!AQ8</f>
        <v>0</v>
      </c>
      <c r="AR11" s="1531">
        <f>CF!AR8</f>
        <v>0</v>
      </c>
      <c r="AS11" s="1531">
        <f>CF!AS8</f>
        <v>0</v>
      </c>
      <c r="AT11" s="1531">
        <f>CF!AT8</f>
        <v>0</v>
      </c>
      <c r="AU11" s="1531">
        <f>CF!AU8</f>
        <v>0</v>
      </c>
      <c r="AV11" s="1531">
        <f>CF!AV8</f>
        <v>0</v>
      </c>
      <c r="AW11" s="1531">
        <f>CF!AW8</f>
        <v>0</v>
      </c>
      <c r="AX11" s="1531"/>
      <c r="AY11" s="1531"/>
    </row>
    <row r="12" spans="1:52">
      <c r="B12" s="2" t="s">
        <v>329</v>
      </c>
      <c r="C12" s="15" t="str">
        <f>$C$10</f>
        <v>US$</v>
      </c>
      <c r="D12" s="53">
        <f ca="1">SUM(I12:AW12)</f>
        <v>-4020113123.1518836</v>
      </c>
      <c r="I12" s="53">
        <f ca="1">CF!I9</f>
        <v>0</v>
      </c>
      <c r="J12" s="53">
        <f ca="1">CF!J9</f>
        <v>0</v>
      </c>
      <c r="K12" s="1531">
        <f ca="1">CF!K9</f>
        <v>-26996531.431974694</v>
      </c>
      <c r="L12" s="1531">
        <f ca="1">CF!L9</f>
        <v>-100350110.93297359</v>
      </c>
      <c r="M12" s="1531">
        <f ca="1">CF!M9</f>
        <v>-108966082.34185769</v>
      </c>
      <c r="N12" s="1531">
        <f ca="1">CF!N9</f>
        <v>-111327922.77816515</v>
      </c>
      <c r="O12" s="1531">
        <f ca="1">CF!O9</f>
        <v>-114510053.46318255</v>
      </c>
      <c r="P12" s="1531">
        <f ca="1">CF!P9</f>
        <v>-117051876.40909666</v>
      </c>
      <c r="Q12" s="1531">
        <f ca="1">CF!Q9</f>
        <v>-119846306.34322631</v>
      </c>
      <c r="R12" s="1531">
        <f ca="1">CF!R9</f>
        <v>-122453716.61703336</v>
      </c>
      <c r="S12" s="1531">
        <f ca="1">CF!S9</f>
        <v>-125954144.96185577</v>
      </c>
      <c r="T12" s="1531">
        <f ca="1">CF!T9</f>
        <v>-128750285.51542838</v>
      </c>
      <c r="U12" s="1531">
        <f ca="1">CF!U9</f>
        <v>-131824293.94064523</v>
      </c>
      <c r="V12" s="1531">
        <f ca="1">CF!V9</f>
        <v>-134692606.11015248</v>
      </c>
      <c r="W12" s="1531">
        <f ca="1">CF!W9</f>
        <v>-138543212.24809641</v>
      </c>
      <c r="X12" s="1531">
        <f ca="1">CF!X9</f>
        <v>-141619150.87798405</v>
      </c>
      <c r="Y12" s="1531">
        <f ca="1">CF!Y9</f>
        <v>-145000747.53255486</v>
      </c>
      <c r="Z12" s="1531">
        <f ca="1">CF!Z9</f>
        <v>-148156104.51247436</v>
      </c>
      <c r="AA12" s="1531">
        <f ca="1">CF!AA9</f>
        <v>-152391966.87118122</v>
      </c>
      <c r="AB12" s="1531">
        <f ca="1">CF!AB9</f>
        <v>-155775741.36638513</v>
      </c>
      <c r="AC12" s="1531">
        <f ca="1">CF!AC9</f>
        <v>-159495746.94971511</v>
      </c>
      <c r="AD12" s="1531">
        <f ca="1">CF!AD9</f>
        <v>-162966915.80463266</v>
      </c>
      <c r="AE12" s="1531">
        <f ca="1">CF!AE9</f>
        <v>-167626632.62034813</v>
      </c>
      <c r="AF12" s="1531">
        <f ca="1">CF!AF9</f>
        <v>-171349095.30103332</v>
      </c>
      <c r="AG12" s="1531">
        <f ca="1">CF!AG9</f>
        <v>-175441424.16949496</v>
      </c>
      <c r="AH12" s="1531">
        <f ca="1">CF!AH9</f>
        <v>-179260060.08910483</v>
      </c>
      <c r="AI12" s="1531">
        <f ca="1">CF!AI9</f>
        <v>-184386103.32316583</v>
      </c>
      <c r="AJ12" s="1531">
        <f ca="1">CF!AJ9</f>
        <v>-188481204.18954694</v>
      </c>
      <c r="AK12" s="1531">
        <f ca="1">CF!AK9</f>
        <v>-192983175.55717823</v>
      </c>
      <c r="AL12" s="1531">
        <f ca="1">CF!AL9</f>
        <v>-213911910.89339578</v>
      </c>
      <c r="AM12" s="1531">
        <f>CF!AM9</f>
        <v>0</v>
      </c>
      <c r="AN12" s="1531">
        <f>CF!AN9</f>
        <v>0</v>
      </c>
      <c r="AO12" s="1531">
        <f>CF!AO9</f>
        <v>0</v>
      </c>
      <c r="AP12" s="1531">
        <f>CF!AP9</f>
        <v>0</v>
      </c>
      <c r="AQ12" s="1531">
        <f>CF!AQ9</f>
        <v>0</v>
      </c>
      <c r="AR12" s="1531">
        <f>CF!AR9</f>
        <v>0</v>
      </c>
      <c r="AS12" s="1531">
        <f>CF!AS9</f>
        <v>0</v>
      </c>
      <c r="AT12" s="1531">
        <f>CF!AT9</f>
        <v>0</v>
      </c>
      <c r="AU12" s="1531">
        <f>CF!AU9</f>
        <v>0</v>
      </c>
      <c r="AV12" s="1531">
        <f>CF!AV9</f>
        <v>0</v>
      </c>
      <c r="AW12" s="1531">
        <f>CF!AW9</f>
        <v>0</v>
      </c>
      <c r="AX12" s="1531"/>
      <c r="AY12" s="1531"/>
    </row>
    <row r="13" spans="1:52">
      <c r="B13" s="2" t="s">
        <v>358</v>
      </c>
      <c r="C13" s="15" t="str">
        <f>$C$10</f>
        <v>US$</v>
      </c>
      <c r="D13" s="53">
        <f ca="1">SUM(I13:AX13)</f>
        <v>0</v>
      </c>
      <c r="I13" s="53">
        <f ca="1">CF!I10</f>
        <v>0</v>
      </c>
      <c r="J13" s="53">
        <f ca="1">CF!J10</f>
        <v>0</v>
      </c>
      <c r="K13" s="53">
        <f ca="1">CF!K10</f>
        <v>0</v>
      </c>
      <c r="L13" s="53">
        <f ca="1">CF!L10</f>
        <v>0</v>
      </c>
      <c r="M13" s="53">
        <f ca="1">CF!M10</f>
        <v>0</v>
      </c>
      <c r="N13" s="53">
        <f ca="1">CF!N10</f>
        <v>0</v>
      </c>
      <c r="O13" s="53">
        <f ca="1">CF!O10</f>
        <v>0</v>
      </c>
      <c r="P13" s="53">
        <f ca="1">CF!P10</f>
        <v>0</v>
      </c>
      <c r="Q13" s="53">
        <f ca="1">CF!Q10</f>
        <v>0</v>
      </c>
      <c r="R13" s="53">
        <f ca="1">CF!R10</f>
        <v>0</v>
      </c>
      <c r="S13" s="53">
        <f ca="1">CF!S10</f>
        <v>0</v>
      </c>
      <c r="T13" s="53">
        <f ca="1">CF!T10</f>
        <v>0</v>
      </c>
      <c r="U13" s="53">
        <f ca="1">CF!U10</f>
        <v>0</v>
      </c>
      <c r="V13" s="53">
        <f ca="1">CF!V10</f>
        <v>0</v>
      </c>
      <c r="W13" s="53">
        <f ca="1">CF!W10</f>
        <v>0</v>
      </c>
      <c r="X13" s="53">
        <f ca="1">CF!X10</f>
        <v>0</v>
      </c>
      <c r="Y13" s="53">
        <f ca="1">CF!Y10</f>
        <v>0</v>
      </c>
      <c r="Z13" s="53">
        <f ca="1">CF!Z10</f>
        <v>0</v>
      </c>
      <c r="AA13" s="53">
        <f ca="1">CF!AA10</f>
        <v>0</v>
      </c>
      <c r="AB13" s="53">
        <f ca="1">CF!AB10</f>
        <v>0</v>
      </c>
      <c r="AC13" s="53">
        <f ca="1">CF!AC10</f>
        <v>0</v>
      </c>
      <c r="AD13" s="53">
        <f ca="1">CF!AD10</f>
        <v>0</v>
      </c>
      <c r="AE13" s="53">
        <f ca="1">CF!AE10</f>
        <v>0</v>
      </c>
      <c r="AF13" s="53">
        <f ca="1">CF!AF10</f>
        <v>0</v>
      </c>
      <c r="AG13" s="53">
        <f ca="1">CF!AG10</f>
        <v>0</v>
      </c>
      <c r="AH13" s="53">
        <f ca="1">CF!AH10</f>
        <v>0</v>
      </c>
      <c r="AI13" s="53">
        <f ca="1">CF!AI10</f>
        <v>0</v>
      </c>
      <c r="AJ13" s="53">
        <f ca="1">CF!AJ10</f>
        <v>0</v>
      </c>
      <c r="AK13" s="53">
        <f ca="1">CF!AK10</f>
        <v>0</v>
      </c>
      <c r="AL13" s="53">
        <f ca="1">CF!AL10</f>
        <v>0</v>
      </c>
      <c r="AM13" s="53">
        <f>CF!AM10</f>
        <v>0</v>
      </c>
      <c r="AN13" s="53">
        <f>CF!AN10</f>
        <v>0</v>
      </c>
      <c r="AO13" s="53">
        <f>CF!AO10</f>
        <v>0</v>
      </c>
      <c r="AP13" s="53">
        <f>CF!AP10</f>
        <v>0</v>
      </c>
      <c r="AQ13" s="53">
        <f>CF!AQ10</f>
        <v>0</v>
      </c>
      <c r="AR13" s="53">
        <f>CF!AR10</f>
        <v>0</v>
      </c>
      <c r="AS13" s="53">
        <f>CF!AS10</f>
        <v>0</v>
      </c>
      <c r="AT13" s="53">
        <f>CF!AT10</f>
        <v>0</v>
      </c>
      <c r="AU13" s="53">
        <f>CF!AU10</f>
        <v>0</v>
      </c>
      <c r="AV13" s="53">
        <f>CF!AV10</f>
        <v>0</v>
      </c>
    </row>
    <row r="14" spans="1:52">
      <c r="B14" s="2" t="s">
        <v>541</v>
      </c>
      <c r="C14" s="15" t="str">
        <f>$C$10</f>
        <v>US$</v>
      </c>
      <c r="D14" s="53">
        <f ca="1">SUM(I14:AW14)</f>
        <v>-15472667845.4466</v>
      </c>
      <c r="F14" s="14"/>
      <c r="I14" s="53">
        <f ca="1">CF!I11</f>
        <v>0</v>
      </c>
      <c r="J14" s="53">
        <f ca="1">CF!J11</f>
        <v>0</v>
      </c>
      <c r="K14" s="53">
        <f ca="1">CF!K11</f>
        <v>0</v>
      </c>
      <c r="L14" s="53">
        <f ca="1">CF!L11</f>
        <v>0</v>
      </c>
      <c r="M14" s="53">
        <f ca="1">CF!M11</f>
        <v>0</v>
      </c>
      <c r="N14" s="1531">
        <f ca="1">CF!N11</f>
        <v>-158981768.50809935</v>
      </c>
      <c r="O14" s="1531">
        <f ca="1">CF!O11</f>
        <v>-177947309.37817538</v>
      </c>
      <c r="P14" s="1531">
        <f ca="1">CF!P11</f>
        <v>-195418836.97681487</v>
      </c>
      <c r="Q14" s="1531">
        <f ca="1">CF!Q11</f>
        <v>-213550909.14333284</v>
      </c>
      <c r="R14" s="1531">
        <f ca="1">CF!R11</f>
        <v>-495751475.83675665</v>
      </c>
      <c r="S14" s="1531">
        <f ca="1">CF!S11</f>
        <v>-638422060.04184175</v>
      </c>
      <c r="T14" s="1531">
        <f ca="1">CF!T11</f>
        <v>-676946619.97965622</v>
      </c>
      <c r="U14" s="1531">
        <f ca="1">CF!U11</f>
        <v>-717270687.84050417</v>
      </c>
      <c r="V14" s="1531">
        <f ca="1">CF!V11</f>
        <v>-759613457.96880531</v>
      </c>
      <c r="W14" s="1531">
        <f ca="1">CF!W11</f>
        <v>-804113770.96939933</v>
      </c>
      <c r="X14" s="1531">
        <f ca="1">CF!X11</f>
        <v>-563937354.18743896</v>
      </c>
      <c r="Y14" s="1531">
        <f ca="1">CF!Y11</f>
        <v>-580818978.17583549</v>
      </c>
      <c r="Z14" s="1531">
        <f ca="1">CF!Z11</f>
        <v>-598760681.25778317</v>
      </c>
      <c r="AA14" s="1531">
        <f ca="1">CF!AA11</f>
        <v>-617408659.35194421</v>
      </c>
      <c r="AB14" s="1531">
        <f ca="1">CF!AB11</f>
        <v>-636706010.30397677</v>
      </c>
      <c r="AC14" s="1531">
        <f ca="1">CF!AC11</f>
        <v>-656834654.06342196</v>
      </c>
      <c r="AD14" s="1531">
        <f ca="1">CF!AD11</f>
        <v>-677768107.59400094</v>
      </c>
      <c r="AE14" s="1531">
        <f ca="1">CF!AE11</f>
        <v>-699502670.2787075</v>
      </c>
      <c r="AF14" s="1531">
        <f ca="1">CF!AF11</f>
        <v>-721986784.96055043</v>
      </c>
      <c r="AG14" s="1531">
        <f ca="1">CF!AG11</f>
        <v>-745291635.48199677</v>
      </c>
      <c r="AH14" s="1531">
        <f ca="1">CF!AH11</f>
        <v>-769399458.44865692</v>
      </c>
      <c r="AI14" s="1531">
        <f ca="1">CF!AI11</f>
        <v>-794338330.94791365</v>
      </c>
      <c r="AJ14" s="1531">
        <f ca="1">CF!AJ11</f>
        <v>-820033337.69299805</v>
      </c>
      <c r="AK14" s="1531">
        <f ca="1">CF!AK11</f>
        <v>-856865027.99649727</v>
      </c>
      <c r="AL14" s="1531">
        <f ca="1">CF!AL11</f>
        <v>-894999258.06149077</v>
      </c>
      <c r="AM14" s="1531">
        <f>CF!AM11</f>
        <v>0</v>
      </c>
      <c r="AN14" s="1531">
        <f>CF!AN11</f>
        <v>0</v>
      </c>
      <c r="AO14" s="1531">
        <f>CF!AO11</f>
        <v>0</v>
      </c>
      <c r="AP14" s="1531">
        <f>CF!AP11</f>
        <v>0</v>
      </c>
      <c r="AQ14" s="1531">
        <f>CF!AQ11</f>
        <v>0</v>
      </c>
      <c r="AR14" s="1531">
        <f>CF!AR11</f>
        <v>0</v>
      </c>
      <c r="AS14" s="1531">
        <f>CF!AS11</f>
        <v>0</v>
      </c>
      <c r="AT14" s="1531">
        <f>CF!AT11</f>
        <v>0</v>
      </c>
      <c r="AU14" s="1531">
        <f>CF!AU11</f>
        <v>0</v>
      </c>
      <c r="AV14" s="1531">
        <f>CF!AV11</f>
        <v>0</v>
      </c>
      <c r="AW14" s="1531">
        <f>CF!AW11</f>
        <v>0</v>
      </c>
      <c r="AX14" s="53">
        <f>CF!AX11</f>
        <v>0</v>
      </c>
    </row>
    <row r="15" spans="1:52">
      <c r="B15" s="27" t="s">
        <v>486</v>
      </c>
      <c r="C15" s="28" t="str">
        <f>$C$10</f>
        <v>US$</v>
      </c>
      <c r="D15" s="43">
        <f ca="1">SUM(I15:AW15)</f>
        <v>-4140451092.8002276</v>
      </c>
      <c r="E15" s="27"/>
      <c r="F15" s="27"/>
      <c r="G15" s="27"/>
      <c r="H15" s="27"/>
      <c r="I15" s="43">
        <f>CF!I16</f>
        <v>-715288869.70235205</v>
      </c>
      <c r="J15" s="43">
        <f>CF!J16</f>
        <v>-2422388762.4588017</v>
      </c>
      <c r="K15" s="43">
        <f ca="1">CF!K16</f>
        <v>-1002773460.6390738</v>
      </c>
      <c r="L15" s="43">
        <f ca="1">CF!L16</f>
        <v>0</v>
      </c>
      <c r="M15" s="43">
        <f ca="1">CF!M16</f>
        <v>0</v>
      </c>
      <c r="N15" s="43">
        <f ca="1">CF!N16</f>
        <v>0</v>
      </c>
      <c r="O15" s="43">
        <f ca="1">CF!O16</f>
        <v>0</v>
      </c>
      <c r="P15" s="43">
        <f ca="1">CF!P16</f>
        <v>0</v>
      </c>
      <c r="Q15" s="43">
        <f ca="1">CF!Q16</f>
        <v>0</v>
      </c>
      <c r="R15" s="43">
        <f ca="1">CF!R16</f>
        <v>0</v>
      </c>
      <c r="S15" s="43">
        <f ca="1">CF!S16</f>
        <v>0</v>
      </c>
      <c r="T15" s="43">
        <f ca="1">CF!T16</f>
        <v>0</v>
      </c>
      <c r="U15" s="43">
        <f ca="1">CF!U16</f>
        <v>0</v>
      </c>
      <c r="V15" s="43">
        <f ca="1">CF!V16</f>
        <v>0</v>
      </c>
      <c r="W15" s="43">
        <f ca="1">CF!W16</f>
        <v>0</v>
      </c>
      <c r="X15" s="43">
        <f ca="1">CF!X16</f>
        <v>0</v>
      </c>
      <c r="Y15" s="43">
        <f ca="1">CF!Y16</f>
        <v>0</v>
      </c>
      <c r="Z15" s="43">
        <f ca="1">CF!Z16</f>
        <v>0</v>
      </c>
      <c r="AA15" s="43">
        <f ca="1">CF!AA16</f>
        <v>0</v>
      </c>
      <c r="AB15" s="43">
        <f ca="1">CF!AB16</f>
        <v>0</v>
      </c>
      <c r="AC15" s="43">
        <f ca="1">CF!AC16</f>
        <v>0</v>
      </c>
      <c r="AD15" s="43">
        <f ca="1">CF!AD16</f>
        <v>0</v>
      </c>
      <c r="AE15" s="43">
        <f ca="1">CF!AE16</f>
        <v>0</v>
      </c>
      <c r="AF15" s="43">
        <f ca="1">CF!AF16</f>
        <v>0</v>
      </c>
      <c r="AG15" s="43">
        <f ca="1">CF!AG16</f>
        <v>0</v>
      </c>
      <c r="AH15" s="43">
        <f ca="1">CF!AH16</f>
        <v>0</v>
      </c>
      <c r="AI15" s="43">
        <f ca="1">CF!AI16</f>
        <v>0</v>
      </c>
      <c r="AJ15" s="43">
        <f ca="1">CF!AJ16</f>
        <v>0</v>
      </c>
      <c r="AK15" s="43">
        <f>CF!AK16</f>
        <v>0</v>
      </c>
      <c r="AL15" s="43">
        <f>CF!AL16</f>
        <v>0</v>
      </c>
      <c r="AM15" s="43">
        <f>CF!AM16</f>
        <v>0</v>
      </c>
      <c r="AN15" s="43">
        <f>CF!AN16</f>
        <v>0</v>
      </c>
      <c r="AO15" s="43">
        <f>CF!AO16</f>
        <v>0</v>
      </c>
      <c r="AP15" s="43">
        <f>CF!AP16</f>
        <v>0</v>
      </c>
      <c r="AQ15" s="43">
        <f>CF!AQ16</f>
        <v>0</v>
      </c>
      <c r="AR15" s="43">
        <f>CF!AR16</f>
        <v>0</v>
      </c>
      <c r="AS15" s="43">
        <f>CF!AS16</f>
        <v>0</v>
      </c>
      <c r="AT15" s="43">
        <f>CF!AT16</f>
        <v>0</v>
      </c>
      <c r="AU15" s="43">
        <f>CF!AU16</f>
        <v>0</v>
      </c>
      <c r="AV15" s="43">
        <f>CF!AV16</f>
        <v>0</v>
      </c>
      <c r="AW15" s="43">
        <f>CF!AW16</f>
        <v>0</v>
      </c>
      <c r="AX15" s="43">
        <f>CF!AX16</f>
        <v>0</v>
      </c>
      <c r="AY15" s="43">
        <f>CF!AY16</f>
        <v>0</v>
      </c>
      <c r="AZ15" s="43">
        <f>CF!AZ16</f>
        <v>0</v>
      </c>
    </row>
    <row r="16" spans="1:52">
      <c r="B16" s="2" t="s">
        <v>542</v>
      </c>
      <c r="C16" s="15" t="str">
        <f>$C$10</f>
        <v>US$</v>
      </c>
      <c r="D16" s="53">
        <f ca="1">SUM(I16:AX16)</f>
        <v>31425178623.684109</v>
      </c>
      <c r="I16" s="42">
        <f ca="1">SUM(I10:I15)</f>
        <v>-715288869.70235205</v>
      </c>
      <c r="J16" s="42">
        <f t="shared" ref="J16:AX16" ca="1" si="0">SUM(J10:J15)</f>
        <v>-2555302134.1949363</v>
      </c>
      <c r="K16" s="42">
        <f ca="1">SUM(K10:K15)</f>
        <v>-369794299.88087118</v>
      </c>
      <c r="L16" s="42">
        <f ca="1">SUM(L10:L15)</f>
        <v>1098825625.1228125</v>
      </c>
      <c r="M16" s="42">
        <f t="shared" ca="1" si="0"/>
        <v>1287138816.7670498</v>
      </c>
      <c r="N16" s="42">
        <f t="shared" ca="1" si="0"/>
        <v>1235142969.2183952</v>
      </c>
      <c r="O16" s="42">
        <f t="shared" ca="1" si="0"/>
        <v>1311538698.7171669</v>
      </c>
      <c r="P16" s="42">
        <f t="shared" ca="1" si="0"/>
        <v>1378423205.9664679</v>
      </c>
      <c r="Q16" s="42">
        <f t="shared" ca="1" si="0"/>
        <v>1446283930.695797</v>
      </c>
      <c r="R16" s="42">
        <f t="shared" ca="1" si="0"/>
        <v>1256061193.4168353</v>
      </c>
      <c r="S16" s="42">
        <f t="shared" ca="1" si="0"/>
        <v>1207884203.90569</v>
      </c>
      <c r="T16" s="42">
        <f t="shared" ca="1" si="0"/>
        <v>1272352254.8749526</v>
      </c>
      <c r="U16" s="42">
        <f t="shared" ca="1" si="0"/>
        <v>1340189102.7203531</v>
      </c>
      <c r="V16" s="42">
        <f t="shared" ca="1" si="0"/>
        <v>1413538180.374898</v>
      </c>
      <c r="W16" s="42">
        <f t="shared" ca="1" si="0"/>
        <v>1488162019.2188802</v>
      </c>
      <c r="X16" s="42">
        <f t="shared" ca="1" si="0"/>
        <v>1095516892.2922254</v>
      </c>
      <c r="Y16" s="42">
        <f t="shared" ca="1" si="0"/>
        <v>1029475513.2958392</v>
      </c>
      <c r="Z16" s="42">
        <f t="shared" ca="1" si="0"/>
        <v>1064963715.097106</v>
      </c>
      <c r="AA16" s="42">
        <f t="shared" ca="1" si="0"/>
        <v>1098639069.1592007</v>
      </c>
      <c r="AB16" s="42">
        <f t="shared" ca="1" si="0"/>
        <v>1136243625.7467225</v>
      </c>
      <c r="AC16" s="42">
        <f t="shared" ca="1" si="0"/>
        <v>1173806114.2695174</v>
      </c>
      <c r="AD16" s="42">
        <f t="shared" ca="1" si="0"/>
        <v>1213404756.3520699</v>
      </c>
      <c r="AE16" s="42">
        <f t="shared" ca="1" si="0"/>
        <v>1250661968.0802062</v>
      </c>
      <c r="AF16" s="42">
        <f t="shared" ca="1" si="0"/>
        <v>1292310791.630621</v>
      </c>
      <c r="AG16" s="42">
        <f t="shared" ca="1" si="0"/>
        <v>1334032388.9405365</v>
      </c>
      <c r="AH16" s="42">
        <f t="shared" ca="1" si="0"/>
        <v>1378145502.7477803</v>
      </c>
      <c r="AI16" s="42">
        <f t="shared" ca="1" si="0"/>
        <v>1419714231.8299141</v>
      </c>
      <c r="AJ16" s="42">
        <f t="shared" ca="1" si="0"/>
        <v>1466299310.4180112</v>
      </c>
      <c r="AK16" s="42">
        <f t="shared" ca="1" si="0"/>
        <v>1502759440.8589549</v>
      </c>
      <c r="AL16" s="42">
        <f t="shared" ca="1" si="0"/>
        <v>1874050405.7442648</v>
      </c>
      <c r="AM16" s="42">
        <f t="shared" si="0"/>
        <v>0</v>
      </c>
      <c r="AN16" s="42">
        <f t="shared" si="0"/>
        <v>0</v>
      </c>
      <c r="AO16" s="42">
        <f t="shared" si="0"/>
        <v>0</v>
      </c>
      <c r="AP16" s="42">
        <f t="shared" si="0"/>
        <v>0</v>
      </c>
      <c r="AQ16" s="42">
        <f t="shared" si="0"/>
        <v>0</v>
      </c>
      <c r="AR16" s="42">
        <f t="shared" si="0"/>
        <v>0</v>
      </c>
      <c r="AS16" s="42">
        <f t="shared" si="0"/>
        <v>0</v>
      </c>
      <c r="AT16" s="42">
        <f t="shared" si="0"/>
        <v>0</v>
      </c>
      <c r="AU16" s="42">
        <f t="shared" si="0"/>
        <v>0</v>
      </c>
      <c r="AV16" s="42">
        <f t="shared" si="0"/>
        <v>0</v>
      </c>
      <c r="AW16" s="42">
        <f t="shared" si="0"/>
        <v>0</v>
      </c>
      <c r="AX16" s="42">
        <f t="shared" si="0"/>
        <v>0</v>
      </c>
    </row>
    <row r="17" spans="1:52">
      <c r="C17" s="15"/>
      <c r="D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row>
    <row r="18" spans="1:52">
      <c r="C18" s="15"/>
      <c r="D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row>
    <row r="19" spans="1:52">
      <c r="B19" s="29" t="s">
        <v>543</v>
      </c>
      <c r="C19" s="15"/>
      <c r="D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row>
    <row r="20" spans="1:52">
      <c r="B20" s="2" t="s">
        <v>544</v>
      </c>
      <c r="C20" s="15" t="str">
        <f>$C$10</f>
        <v>US$</v>
      </c>
      <c r="D20" s="53">
        <f>SUM(I20:AX20)</f>
        <v>-1242135327.8400679</v>
      </c>
      <c r="I20" s="53">
        <f>-CF!I19</f>
        <v>-715288869.70235205</v>
      </c>
      <c r="J20" s="53">
        <f>-CF!J19</f>
        <v>-526846458.1377157</v>
      </c>
      <c r="K20" s="53">
        <f>-CF!K19</f>
        <v>0</v>
      </c>
      <c r="L20" s="53">
        <f>-CF!L19</f>
        <v>0</v>
      </c>
      <c r="M20" s="53">
        <f>-CF!M19</f>
        <v>0</v>
      </c>
      <c r="N20" s="53">
        <f>-CF!N19</f>
        <v>0</v>
      </c>
      <c r="O20" s="53">
        <f>-CF!O19</f>
        <v>0</v>
      </c>
      <c r="P20" s="53">
        <f>-CF!P19</f>
        <v>0</v>
      </c>
      <c r="Q20" s="53">
        <f>-CF!Q19</f>
        <v>0</v>
      </c>
      <c r="R20" s="53">
        <f>-CF!R19</f>
        <v>0</v>
      </c>
      <c r="S20" s="53">
        <f>-CF!S19</f>
        <v>0</v>
      </c>
      <c r="T20" s="53">
        <f>-CF!T19</f>
        <v>0</v>
      </c>
      <c r="U20" s="53">
        <f>-CF!U19</f>
        <v>0</v>
      </c>
      <c r="V20" s="53">
        <f>-CF!V19</f>
        <v>0</v>
      </c>
      <c r="W20" s="53">
        <f>-CF!W19</f>
        <v>0</v>
      </c>
      <c r="X20" s="53">
        <f>-CF!X19</f>
        <v>0</v>
      </c>
      <c r="Y20" s="53">
        <f>-CF!Y19</f>
        <v>0</v>
      </c>
      <c r="Z20" s="53">
        <f>-CF!Z19</f>
        <v>0</v>
      </c>
      <c r="AA20" s="53">
        <f>-CF!AA19</f>
        <v>0</v>
      </c>
      <c r="AB20" s="53">
        <f>-CF!AB19</f>
        <v>0</v>
      </c>
      <c r="AC20" s="53">
        <f>-CF!AC19</f>
        <v>0</v>
      </c>
      <c r="AD20" s="53">
        <f>-CF!AD19</f>
        <v>0</v>
      </c>
      <c r="AE20" s="53">
        <f>-CF!AE19</f>
        <v>0</v>
      </c>
      <c r="AF20" s="53">
        <f>-CF!AF19</f>
        <v>0</v>
      </c>
      <c r="AG20" s="53">
        <f>-CF!AG19</f>
        <v>0</v>
      </c>
      <c r="AH20" s="53">
        <f>-CF!AH19</f>
        <v>0</v>
      </c>
      <c r="AI20" s="53">
        <f>-CF!AI19</f>
        <v>0</v>
      </c>
      <c r="AJ20" s="53">
        <f>-CF!AJ19</f>
        <v>0</v>
      </c>
      <c r="AK20" s="53">
        <f>-CF!AK19</f>
        <v>0</v>
      </c>
      <c r="AL20" s="53">
        <f>-CF!AL19</f>
        <v>0</v>
      </c>
      <c r="AM20" s="53">
        <f>-CF!AM19</f>
        <v>0</v>
      </c>
      <c r="AN20" s="53">
        <f>-CF!AN19</f>
        <v>0</v>
      </c>
      <c r="AO20" s="53">
        <f>-CF!AO19</f>
        <v>0</v>
      </c>
      <c r="AP20" s="53">
        <f>-CF!AP19</f>
        <v>0</v>
      </c>
      <c r="AQ20" s="53">
        <f>-CF!AQ19</f>
        <v>0</v>
      </c>
      <c r="AR20" s="53">
        <f>-CF!AR19</f>
        <v>0</v>
      </c>
      <c r="AS20" s="53">
        <f>-CF!AS19</f>
        <v>0</v>
      </c>
      <c r="AT20" s="53">
        <f>-CF!AT19</f>
        <v>0</v>
      </c>
      <c r="AU20" s="53">
        <f>-CF!AU19</f>
        <v>0</v>
      </c>
      <c r="AV20" s="53">
        <f>-CF!AV19</f>
        <v>0</v>
      </c>
    </row>
    <row r="21" spans="1:52">
      <c r="B21" s="2" t="s">
        <v>500</v>
      </c>
      <c r="C21" s="15" t="str">
        <f>$C$10</f>
        <v>US$</v>
      </c>
      <c r="D21" s="53">
        <f ca="1">SUM(I21:AX21)</f>
        <v>21210912668.453354</v>
      </c>
      <c r="I21" s="53">
        <f ca="1">-CF!I35</f>
        <v>0</v>
      </c>
      <c r="J21" s="53">
        <f ca="1">-CF!J35</f>
        <v>0</v>
      </c>
      <c r="K21" s="53">
        <f ca="1">-CF!K35</f>
        <v>0</v>
      </c>
      <c r="L21" s="53">
        <f ca="1">-CF!L35</f>
        <v>155025276.2896556</v>
      </c>
      <c r="M21" s="53">
        <f ca="1">-CF!M35</f>
        <v>227347039.43063083</v>
      </c>
      <c r="N21" s="53">
        <f ca="1">-CF!N35</f>
        <v>288124209.36050177</v>
      </c>
      <c r="O21" s="53">
        <f ca="1">-CF!O35</f>
        <v>361289591.41360027</v>
      </c>
      <c r="P21" s="53">
        <f ca="1">-CF!P35</f>
        <v>438596621.84971422</v>
      </c>
      <c r="Q21" s="53">
        <f ca="1">-CF!Q35</f>
        <v>523411100.51175404</v>
      </c>
      <c r="R21" s="53">
        <f ca="1">-CF!R35</f>
        <v>573449769.13911676</v>
      </c>
      <c r="S21" s="53">
        <f ca="1">-CF!S35</f>
        <v>683330946.14545572</v>
      </c>
      <c r="T21" s="53">
        <f ca="1">-CF!T35</f>
        <v>783133296.44681394</v>
      </c>
      <c r="U21" s="53">
        <f ca="1">-CF!U35</f>
        <v>882001923.3333801</v>
      </c>
      <c r="V21" s="53">
        <f ca="1">-CF!V35</f>
        <v>976253719.36866021</v>
      </c>
      <c r="W21" s="53">
        <f ca="1">-CF!W35</f>
        <v>1077859338.8075821</v>
      </c>
      <c r="X21" s="53">
        <f ca="1">-CF!X35</f>
        <v>1098567416.7028735</v>
      </c>
      <c r="Y21" s="53">
        <f ca="1">-CF!Y35</f>
        <v>1109680624.1883595</v>
      </c>
      <c r="Z21" s="53">
        <f ca="1">-CF!Z35</f>
        <v>1121535370.4584107</v>
      </c>
      <c r="AA21" s="53">
        <f ca="1">-CF!AA35</f>
        <v>1146362716.9640911</v>
      </c>
      <c r="AB21" s="53">
        <f ca="1">-CF!AB35</f>
        <v>1149854305.7021184</v>
      </c>
      <c r="AC21" s="53">
        <f ca="1">-CF!AC35</f>
        <v>1161885476.5317512</v>
      </c>
      <c r="AD21" s="53">
        <f ca="1">-CF!AD35</f>
        <v>1175309556.3305271</v>
      </c>
      <c r="AE21" s="53">
        <f ca="1">-CF!AE35</f>
        <v>1202981110.8956997</v>
      </c>
      <c r="AF21" s="53">
        <f ca="1">-CF!AF35</f>
        <v>1223598212.6286387</v>
      </c>
      <c r="AG21" s="53">
        <f ca="1">-CF!AG35</f>
        <v>1251506969.0331321</v>
      </c>
      <c r="AH21" s="53">
        <f ca="1">-CF!AH35</f>
        <v>1279109353.3478193</v>
      </c>
      <c r="AI21" s="53">
        <f ca="1">-CF!AI35</f>
        <v>1320698723.5730693</v>
      </c>
      <c r="AJ21" s="53">
        <f ca="1">-CF!AJ35</f>
        <v>0</v>
      </c>
      <c r="AK21" s="53">
        <f ca="1">-CF!AK35</f>
        <v>0</v>
      </c>
      <c r="AL21" s="53">
        <f ca="1">-CF!AL35</f>
        <v>0</v>
      </c>
      <c r="AM21" s="53">
        <f>-CF!AM35</f>
        <v>0</v>
      </c>
      <c r="AN21" s="53">
        <f>-CF!AN35</f>
        <v>0</v>
      </c>
      <c r="AO21" s="53">
        <f>-CF!AO35</f>
        <v>0</v>
      </c>
      <c r="AP21" s="53">
        <f>-CF!AP35</f>
        <v>0</v>
      </c>
      <c r="AQ21" s="53">
        <f>-CF!AQ35</f>
        <v>0</v>
      </c>
      <c r="AR21" s="53">
        <f>-CF!AR35</f>
        <v>0</v>
      </c>
      <c r="AS21" s="53">
        <f>-CF!AS35</f>
        <v>0</v>
      </c>
      <c r="AT21" s="53">
        <f>-CF!AT35</f>
        <v>0</v>
      </c>
      <c r="AU21" s="53">
        <f>-CF!AU35</f>
        <v>0</v>
      </c>
      <c r="AV21" s="53">
        <f>-CF!AV35</f>
        <v>0</v>
      </c>
    </row>
    <row r="22" spans="1:52">
      <c r="B22" s="27" t="s">
        <v>545</v>
      </c>
      <c r="C22" s="28" t="str">
        <f>$C$10</f>
        <v>US$</v>
      </c>
      <c r="D22" s="43">
        <f>SUM(I22:AI22)</f>
        <v>0</v>
      </c>
      <c r="E22" s="27"/>
      <c r="F22" s="27"/>
      <c r="G22" s="27"/>
      <c r="H22" s="27"/>
      <c r="I22" s="43">
        <f>-CF!I38</f>
        <v>0</v>
      </c>
      <c r="J22" s="43">
        <f>-CF!J38</f>
        <v>0</v>
      </c>
      <c r="K22" s="43">
        <f>-CF!K38</f>
        <v>0</v>
      </c>
      <c r="L22" s="43">
        <f>-CF!L38</f>
        <v>0</v>
      </c>
      <c r="M22" s="43">
        <f>-CF!M38</f>
        <v>0</v>
      </c>
      <c r="N22" s="43">
        <f>-CF!N38</f>
        <v>0</v>
      </c>
      <c r="O22" s="43">
        <f>-CF!O38</f>
        <v>0</v>
      </c>
      <c r="P22" s="43">
        <f>-CF!P38</f>
        <v>0</v>
      </c>
      <c r="Q22" s="43">
        <f>-CF!Q38</f>
        <v>0</v>
      </c>
      <c r="R22" s="43">
        <f>-CF!R38</f>
        <v>0</v>
      </c>
      <c r="S22" s="43">
        <f>-CF!S38</f>
        <v>0</v>
      </c>
      <c r="T22" s="43">
        <f>-CF!T38</f>
        <v>0</v>
      </c>
      <c r="U22" s="43">
        <f>-CF!U38</f>
        <v>0</v>
      </c>
      <c r="V22" s="43">
        <f>-CF!V38</f>
        <v>0</v>
      </c>
      <c r="W22" s="43">
        <f>-CF!W38</f>
        <v>0</v>
      </c>
      <c r="X22" s="43">
        <f>-CF!X38</f>
        <v>0</v>
      </c>
      <c r="Y22" s="43">
        <f>-CF!Y38</f>
        <v>0</v>
      </c>
      <c r="Z22" s="43">
        <f>-CF!Z38</f>
        <v>0</v>
      </c>
      <c r="AA22" s="43">
        <f>-CF!AA38</f>
        <v>0</v>
      </c>
      <c r="AB22" s="43">
        <f>-CF!AB38</f>
        <v>0</v>
      </c>
      <c r="AC22" s="43">
        <f>-CF!AC38</f>
        <v>0</v>
      </c>
      <c r="AD22" s="43">
        <f>-CF!AD38</f>
        <v>0</v>
      </c>
      <c r="AE22" s="43">
        <f>-CF!AE38</f>
        <v>0</v>
      </c>
      <c r="AF22" s="43">
        <f>-CF!AF38</f>
        <v>0</v>
      </c>
      <c r="AG22" s="43">
        <f>-CF!AG38</f>
        <v>0</v>
      </c>
      <c r="AH22" s="43">
        <f>-CF!AH38</f>
        <v>0</v>
      </c>
      <c r="AI22" s="43">
        <f>-CF!AI38</f>
        <v>0</v>
      </c>
      <c r="AJ22" s="43">
        <f>-CF!AJ38</f>
        <v>0</v>
      </c>
      <c r="AK22" s="43">
        <f>-CF!AK38</f>
        <v>0</v>
      </c>
      <c r="AL22" s="43">
        <f>-CF!AL38</f>
        <v>1242135327.8400679</v>
      </c>
      <c r="AM22" s="43">
        <f>-CF!AM38</f>
        <v>0</v>
      </c>
      <c r="AN22" s="43">
        <f>-CF!AN38</f>
        <v>0</v>
      </c>
      <c r="AO22" s="43">
        <f>-CF!AO38</f>
        <v>0</v>
      </c>
      <c r="AP22" s="43">
        <f>-CF!AP38</f>
        <v>0</v>
      </c>
      <c r="AQ22" s="43">
        <f>-CF!AQ38</f>
        <v>0</v>
      </c>
      <c r="AR22" s="43">
        <f>-CF!AR38</f>
        <v>0</v>
      </c>
      <c r="AS22" s="43">
        <f>-CF!AS38</f>
        <v>0</v>
      </c>
      <c r="AT22" s="43">
        <f>-CF!AT38</f>
        <v>0</v>
      </c>
      <c r="AU22" s="43">
        <f>-CF!AU38</f>
        <v>0</v>
      </c>
      <c r="AV22" s="43">
        <f>-CF!AV38</f>
        <v>0</v>
      </c>
      <c r="AW22" s="43">
        <f>-CF!AW38</f>
        <v>0</v>
      </c>
      <c r="AX22" s="43">
        <f>-CF!AX38</f>
        <v>0</v>
      </c>
      <c r="AY22" s="43">
        <f>-CF!AY38</f>
        <v>0</v>
      </c>
      <c r="AZ22" s="43">
        <f>-CF!AZ38</f>
        <v>0</v>
      </c>
    </row>
    <row r="23" spans="1:52">
      <c r="B23" s="2" t="s">
        <v>546</v>
      </c>
      <c r="C23" s="15" t="str">
        <f>$C$10</f>
        <v>US$</v>
      </c>
      <c r="D23" s="53">
        <f ca="1">SUM(I23:AI23)</f>
        <v>19968777340.613289</v>
      </c>
      <c r="I23" s="53">
        <f ca="1">SUM(I20:I22)</f>
        <v>-715288869.70235205</v>
      </c>
      <c r="J23" s="53">
        <f t="shared" ref="J23:AV23" ca="1" si="1">SUM(J20:J22)</f>
        <v>-526846458.1377157</v>
      </c>
      <c r="K23" s="53">
        <f t="shared" ca="1" si="1"/>
        <v>0</v>
      </c>
      <c r="L23" s="53">
        <f t="shared" ca="1" si="1"/>
        <v>155025276.2896556</v>
      </c>
      <c r="M23" s="53">
        <f t="shared" ca="1" si="1"/>
        <v>227347039.43063083</v>
      </c>
      <c r="N23" s="53">
        <f t="shared" ca="1" si="1"/>
        <v>288124209.36050177</v>
      </c>
      <c r="O23" s="53">
        <f t="shared" ca="1" si="1"/>
        <v>361289591.41360027</v>
      </c>
      <c r="P23" s="53">
        <f t="shared" ca="1" si="1"/>
        <v>438596621.84971422</v>
      </c>
      <c r="Q23" s="53">
        <f t="shared" ca="1" si="1"/>
        <v>523411100.51175404</v>
      </c>
      <c r="R23" s="53">
        <f t="shared" ca="1" si="1"/>
        <v>573449769.13911676</v>
      </c>
      <c r="S23" s="53">
        <f t="shared" ca="1" si="1"/>
        <v>683330946.14545572</v>
      </c>
      <c r="T23" s="53">
        <f t="shared" ca="1" si="1"/>
        <v>783133296.44681394</v>
      </c>
      <c r="U23" s="53">
        <f t="shared" ca="1" si="1"/>
        <v>882001923.3333801</v>
      </c>
      <c r="V23" s="53">
        <f t="shared" ca="1" si="1"/>
        <v>976253719.36866021</v>
      </c>
      <c r="W23" s="53">
        <f t="shared" ca="1" si="1"/>
        <v>1077859338.8075821</v>
      </c>
      <c r="X23" s="53">
        <f t="shared" ca="1" si="1"/>
        <v>1098567416.7028735</v>
      </c>
      <c r="Y23" s="53">
        <f t="shared" ca="1" si="1"/>
        <v>1109680624.1883595</v>
      </c>
      <c r="Z23" s="53">
        <f t="shared" ca="1" si="1"/>
        <v>1121535370.4584107</v>
      </c>
      <c r="AA23" s="53">
        <f t="shared" ca="1" si="1"/>
        <v>1146362716.9640911</v>
      </c>
      <c r="AB23" s="53">
        <f t="shared" ca="1" si="1"/>
        <v>1149854305.7021184</v>
      </c>
      <c r="AC23" s="53">
        <f t="shared" ca="1" si="1"/>
        <v>1161885476.5317512</v>
      </c>
      <c r="AD23" s="53">
        <f t="shared" ca="1" si="1"/>
        <v>1175309556.3305271</v>
      </c>
      <c r="AE23" s="53">
        <f t="shared" ca="1" si="1"/>
        <v>1202981110.8956997</v>
      </c>
      <c r="AF23" s="53">
        <f t="shared" ca="1" si="1"/>
        <v>1223598212.6286387</v>
      </c>
      <c r="AG23" s="53">
        <f t="shared" ca="1" si="1"/>
        <v>1251506969.0331321</v>
      </c>
      <c r="AH23" s="53">
        <f t="shared" ca="1" si="1"/>
        <v>1279109353.3478193</v>
      </c>
      <c r="AI23" s="53">
        <f t="shared" ca="1" si="1"/>
        <v>1320698723.5730693</v>
      </c>
      <c r="AJ23" s="53">
        <f t="shared" ca="1" si="1"/>
        <v>0</v>
      </c>
      <c r="AK23" s="53">
        <f t="shared" ca="1" si="1"/>
        <v>0</v>
      </c>
      <c r="AL23" s="53">
        <f t="shared" ca="1" si="1"/>
        <v>1242135327.8400679</v>
      </c>
      <c r="AM23" s="53">
        <f t="shared" si="1"/>
        <v>0</v>
      </c>
      <c r="AN23" s="53">
        <f t="shared" si="1"/>
        <v>0</v>
      </c>
      <c r="AO23" s="53">
        <f t="shared" si="1"/>
        <v>0</v>
      </c>
      <c r="AP23" s="53">
        <f t="shared" si="1"/>
        <v>0</v>
      </c>
      <c r="AQ23" s="53">
        <f t="shared" si="1"/>
        <v>0</v>
      </c>
      <c r="AR23" s="53">
        <f t="shared" si="1"/>
        <v>0</v>
      </c>
      <c r="AS23" s="53">
        <f t="shared" si="1"/>
        <v>0</v>
      </c>
      <c r="AT23" s="53">
        <f t="shared" si="1"/>
        <v>0</v>
      </c>
      <c r="AU23" s="53">
        <f t="shared" si="1"/>
        <v>0</v>
      </c>
      <c r="AV23" s="53">
        <f t="shared" si="1"/>
        <v>0</v>
      </c>
    </row>
    <row r="24" spans="1:52">
      <c r="C24" s="15"/>
      <c r="D24" s="53"/>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row>
    <row r="25" spans="1:52">
      <c r="C25" s="15"/>
      <c r="D25" s="53"/>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row>
    <row r="26" spans="1:52">
      <c r="B26" s="29" t="s">
        <v>547</v>
      </c>
      <c r="C26" s="15"/>
      <c r="D26" s="42"/>
      <c r="I26" s="1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row>
    <row r="27" spans="1:52">
      <c r="B27" s="2" t="s">
        <v>544</v>
      </c>
      <c r="C27" s="15" t="str">
        <f>$C$10</f>
        <v>US$</v>
      </c>
      <c r="D27" s="53">
        <f>SUM(I27:AI27)</f>
        <v>-1242135327.8400679</v>
      </c>
      <c r="I27" s="53">
        <f>-CF!I19</f>
        <v>-715288869.70235205</v>
      </c>
      <c r="J27" s="53">
        <f>-CF!J19</f>
        <v>-526846458.1377157</v>
      </c>
      <c r="K27" s="53">
        <f>-CF!K19</f>
        <v>0</v>
      </c>
      <c r="L27" s="53">
        <f>-CF!L19</f>
        <v>0</v>
      </c>
      <c r="M27" s="53">
        <f>-CF!M19</f>
        <v>0</v>
      </c>
      <c r="N27" s="53">
        <f>-CF!N19</f>
        <v>0</v>
      </c>
      <c r="O27" s="53">
        <f>-CF!O19</f>
        <v>0</v>
      </c>
      <c r="P27" s="53">
        <f>-CF!P19</f>
        <v>0</v>
      </c>
      <c r="Q27" s="53">
        <f>-CF!Q19</f>
        <v>0</v>
      </c>
      <c r="R27" s="53">
        <f>-CF!R19</f>
        <v>0</v>
      </c>
      <c r="S27" s="53">
        <f>-CF!S19</f>
        <v>0</v>
      </c>
      <c r="T27" s="53">
        <f>-CF!T19</f>
        <v>0</v>
      </c>
      <c r="U27" s="53">
        <f>-CF!U19</f>
        <v>0</v>
      </c>
      <c r="V27" s="53">
        <f>-CF!V19</f>
        <v>0</v>
      </c>
      <c r="W27" s="53">
        <f>-CF!W19</f>
        <v>0</v>
      </c>
      <c r="X27" s="53">
        <f>-CF!X19</f>
        <v>0</v>
      </c>
      <c r="Y27" s="53">
        <f>-CF!Y19</f>
        <v>0</v>
      </c>
      <c r="Z27" s="53">
        <f>-CF!Z19</f>
        <v>0</v>
      </c>
      <c r="AA27" s="53">
        <f>-CF!AA19</f>
        <v>0</v>
      </c>
      <c r="AB27" s="53">
        <f>-CF!AB19</f>
        <v>0</v>
      </c>
      <c r="AC27" s="53">
        <f>-CF!AC19</f>
        <v>0</v>
      </c>
      <c r="AD27" s="53">
        <f>-CF!AD19</f>
        <v>0</v>
      </c>
      <c r="AE27" s="53">
        <f>-CF!AE19</f>
        <v>0</v>
      </c>
      <c r="AF27" s="53">
        <f>-CF!AF19</f>
        <v>0</v>
      </c>
      <c r="AG27" s="53">
        <f>-CF!AG19</f>
        <v>0</v>
      </c>
      <c r="AH27" s="53">
        <f>-CF!AH19</f>
        <v>0</v>
      </c>
      <c r="AI27" s="53">
        <f>-CF!AI19</f>
        <v>0</v>
      </c>
      <c r="AJ27" s="53">
        <f>-CF!AJ19</f>
        <v>0</v>
      </c>
      <c r="AK27" s="53">
        <f>-CF!AK19</f>
        <v>0</v>
      </c>
      <c r="AL27" s="53">
        <f>-CF!AL19</f>
        <v>0</v>
      </c>
      <c r="AM27" s="53">
        <f>-CF!AM19</f>
        <v>0</v>
      </c>
      <c r="AN27" s="53">
        <f>-CF!AN19</f>
        <v>0</v>
      </c>
      <c r="AO27" s="53">
        <f>-CF!AO19</f>
        <v>0</v>
      </c>
      <c r="AP27" s="53">
        <f>-CF!AP19</f>
        <v>0</v>
      </c>
      <c r="AQ27" s="53">
        <f>-CF!AQ19</f>
        <v>0</v>
      </c>
      <c r="AR27" s="53">
        <f>-CF!AR19</f>
        <v>0</v>
      </c>
      <c r="AS27" s="53">
        <f>-CF!AS19</f>
        <v>0</v>
      </c>
      <c r="AT27" s="53">
        <f>-CF!AT19</f>
        <v>0</v>
      </c>
      <c r="AU27" s="53">
        <f>-CF!AU19</f>
        <v>0</v>
      </c>
      <c r="AV27" s="53">
        <f>-CF!AV19</f>
        <v>0</v>
      </c>
    </row>
    <row r="28" spans="1:52">
      <c r="A28" s="220"/>
      <c r="B28" s="27" t="s">
        <v>548</v>
      </c>
      <c r="C28" s="28" t="str">
        <f>$C$10</f>
        <v>US$</v>
      </c>
      <c r="D28" s="43">
        <f ca="1">SUM(I28:AI28)</f>
        <v>145459012847.45868</v>
      </c>
      <c r="E28" s="221"/>
      <c r="F28" s="221"/>
      <c r="G28" s="221"/>
      <c r="H28" s="221"/>
      <c r="I28" s="192">
        <f ca="1">(CF!I33+CF!I41)*(CF!I33+CF!I41&gt;0)</f>
        <v>0</v>
      </c>
      <c r="J28" s="192">
        <f ca="1">(CF!J33+CF!J41)*(CF!J33+CF!J41&gt;0)</f>
        <v>0</v>
      </c>
      <c r="K28" s="192">
        <f ca="1">(CF!K33+CF!K41)*(CF!K33+CF!K41&gt;0)</f>
        <v>632979160.75820112</v>
      </c>
      <c r="L28" s="192">
        <f ca="1">(CF!L33+CF!L41)*(CF!L33+CF!L41&gt;0)</f>
        <v>1033501841.9310374</v>
      </c>
      <c r="M28" s="192">
        <f ca="1">(CF!M33+CF!M41)*(CF!M33+CF!M41&gt;0)</f>
        <v>1515646929.537539</v>
      </c>
      <c r="N28" s="192">
        <f ca="1">(CF!N33+CF!N41)*(CF!N33+CF!N41&gt;0)</f>
        <v>1926090605.0400667</v>
      </c>
      <c r="O28" s="192">
        <f ca="1">(CF!O33+CF!O41)*(CF!O33+CF!O41&gt;0)</f>
        <v>2402016409.2161036</v>
      </c>
      <c r="P28" s="192">
        <f ca="1">(CF!P33+CF!P41)*(CF!P33+CF!P41&gt;0)</f>
        <v>2923977478.998095</v>
      </c>
      <c r="Q28" s="192">
        <f ca="1">(CF!Q33+CF!Q41)*(CF!Q33+CF!Q41&gt;0)</f>
        <v>3489407336.7450271</v>
      </c>
      <c r="R28" s="192">
        <f ca="1">(CF!R33+CF!R41)*(CF!R33+CF!R41&gt;0)</f>
        <v>3833472429.3135481</v>
      </c>
      <c r="S28" s="192">
        <f ca="1">(CF!S33+CF!S41)*(CF!S33+CF!S41&gt;0)</f>
        <v>4543092811.3495684</v>
      </c>
      <c r="T28" s="192">
        <f ca="1">(CF!T33+CF!T41)*(CF!T33+CF!T41&gt;0)</f>
        <v>5220888642.9787598</v>
      </c>
      <c r="U28" s="192">
        <f ca="1">(CF!U33+CF!U41)*(CF!U33+CF!U41&gt;0)</f>
        <v>5880012822.2225342</v>
      </c>
      <c r="V28" s="192">
        <f ca="1">(CF!V33+CF!V41)*(CF!V33+CF!V41&gt;0)</f>
        <v>6526189247.2863865</v>
      </c>
      <c r="W28" s="192">
        <f ca="1">(CF!W33+CF!W41)*(CF!W33+CF!W41&gt;0)</f>
        <v>7166095786.2434874</v>
      </c>
      <c r="X28" s="192">
        <f ca="1">(CF!X33+CF!X41)*(CF!X33+CF!X41&gt;0)</f>
        <v>7323782778.0191565</v>
      </c>
      <c r="Y28" s="192">
        <f ca="1">(CF!Y33+CF!Y41)*(CF!Y33+CF!Y41&gt;0)</f>
        <v>7397870827.9223967</v>
      </c>
      <c r="Z28" s="192">
        <f ca="1">(CF!Z33+CF!Z41)*(CF!Z33+CF!Z41&gt;0)</f>
        <v>7497387134.0233488</v>
      </c>
      <c r="AA28" s="192">
        <f ca="1">(CF!AA33+CF!AA41)*(CF!AA33+CF!AA41&gt;0)</f>
        <v>7621537189.287672</v>
      </c>
      <c r="AB28" s="192">
        <f ca="1">(CF!AB33+CF!AB41)*(CF!AB33+CF!AB41&gt;0)</f>
        <v>7760347110.9337463</v>
      </c>
      <c r="AC28" s="192">
        <f ca="1">(CF!AC33+CF!AC41)*(CF!AC33+CF!AC41&gt;0)</f>
        <v>7936340254.0214729</v>
      </c>
      <c r="AD28" s="192">
        <f ca="1">(CF!AD33+CF!AD41)*(CF!AD33+CF!AD41&gt;0)</f>
        <v>8143246276.6205521</v>
      </c>
      <c r="AE28" s="192">
        <f ca="1">(CF!AE33+CF!AE41)*(CF!AE33+CF!AE41&gt;0)</f>
        <v>8379300308.4014683</v>
      </c>
      <c r="AF28" s="192">
        <f ca="1">(CF!AF33+CF!AF41)*(CF!AF33+CF!AF41&gt;0)</f>
        <v>8633685330.6790218</v>
      </c>
      <c r="AG28" s="192">
        <f ca="1">(CF!AG33+CF!AG41)*(CF!AG33+CF!AG41&gt;0)</f>
        <v>8914551510.7060795</v>
      </c>
      <c r="AH28" s="192">
        <f ca="1">(CF!AH33+CF!AH41)*(CF!AH33+CF!AH41&gt;0)</f>
        <v>9216958511.4353294</v>
      </c>
      <c r="AI28" s="192">
        <f ca="1">(CF!AI33+CF!AI41)*(CF!AI33+CF!AI41&gt;0)</f>
        <v>9540634113.7880554</v>
      </c>
      <c r="AJ28" s="192">
        <f ca="1">(CF!AJ33+CF!AJ41)*(CF!AJ33+CF!AJ41&gt;0)</f>
        <v>9875293214.6079426</v>
      </c>
      <c r="AK28" s="192">
        <f ca="1">(CF!AK33+CF!AK41)*(CF!AK33+CF!AK41&gt;0)</f>
        <v>11605184399.40288</v>
      </c>
      <c r="AL28" s="192">
        <f ca="1">(CF!AL33+CF!AL41)*(CF!AL33+CF!AL41&gt;0)</f>
        <v>13746154046.33341</v>
      </c>
      <c r="AM28" s="192">
        <f>(CF!AM33+CF!AM41)*(CF!AM33+CF!AM41&gt;0)</f>
        <v>0</v>
      </c>
      <c r="AN28" s="192">
        <f>(CF!AN33+CF!AN41)*(CF!AN33+CF!AN41&gt;0)</f>
        <v>0</v>
      </c>
      <c r="AO28" s="192">
        <f>(CF!AO33+CF!AO41)*(CF!AO33+CF!AO41&gt;0)</f>
        <v>0</v>
      </c>
      <c r="AP28" s="192">
        <f>(CF!AP33+CF!AP41)*(CF!AP33+CF!AP41&gt;0)</f>
        <v>0</v>
      </c>
      <c r="AQ28" s="192">
        <f>(CF!AQ33+CF!AQ41)*(CF!AQ33+CF!AQ41&gt;0)</f>
        <v>0</v>
      </c>
      <c r="AR28" s="192">
        <f>(CF!AR33+CF!AR41)*(CF!AR33+CF!AR41&gt;0)</f>
        <v>0</v>
      </c>
      <c r="AS28" s="192">
        <f>(CF!AS33+CF!AS41)*(CF!AS33+CF!AS41&gt;0)</f>
        <v>0</v>
      </c>
      <c r="AT28" s="192">
        <f>(CF!AT33+CF!AT41)*(CF!AT33+CF!AT41&gt;0)</f>
        <v>0</v>
      </c>
      <c r="AU28" s="192">
        <f>(CF!AU33+CF!AU41)*(CF!AU33+CF!AU41&gt;0)</f>
        <v>0</v>
      </c>
      <c r="AV28" s="192">
        <f>(CF!AV33+CF!AV41)*(CF!AV33+CF!AV41&gt;0)</f>
        <v>0</v>
      </c>
      <c r="AW28" s="192">
        <f>(CF!AW33+CF!AW41)*(CF!AW33+CF!AW41&gt;0)</f>
        <v>0</v>
      </c>
      <c r="AX28" s="192">
        <f>(CF!AX33+CF!AX41)*(CF!AX33+CF!AX41&gt;0)</f>
        <v>0</v>
      </c>
      <c r="AY28" s="192">
        <f>(CF!AY33+CF!AY41)*(CF!AY33+CF!AY41&gt;0)</f>
        <v>0</v>
      </c>
      <c r="AZ28" s="192">
        <f>(CF!AZ33+CF!AZ41)*(CF!AZ33+CF!AZ41&gt;0)</f>
        <v>0</v>
      </c>
    </row>
    <row r="29" spans="1:52">
      <c r="B29" s="2" t="s">
        <v>546</v>
      </c>
      <c r="C29" s="15" t="str">
        <f>$C$10</f>
        <v>US$</v>
      </c>
      <c r="D29" s="53">
        <f ca="1">SUM(I29:AI29)</f>
        <v>144216877519.61859</v>
      </c>
      <c r="I29" s="42">
        <f ca="1">SUM(I27:I28)</f>
        <v>-715288869.70235205</v>
      </c>
      <c r="J29" s="42">
        <f t="shared" ref="J29:AW29" ca="1" si="2">SUM(J27:J28)</f>
        <v>-526846458.1377157</v>
      </c>
      <c r="K29" s="42">
        <f t="shared" ca="1" si="2"/>
        <v>632979160.75820112</v>
      </c>
      <c r="L29" s="42">
        <f t="shared" ca="1" si="2"/>
        <v>1033501841.9310374</v>
      </c>
      <c r="M29" s="42">
        <f t="shared" ca="1" si="2"/>
        <v>1515646929.537539</v>
      </c>
      <c r="N29" s="42">
        <f t="shared" ca="1" si="2"/>
        <v>1926090605.0400667</v>
      </c>
      <c r="O29" s="42">
        <f t="shared" ca="1" si="2"/>
        <v>2402016409.2161036</v>
      </c>
      <c r="P29" s="42">
        <f t="shared" ca="1" si="2"/>
        <v>2923977478.998095</v>
      </c>
      <c r="Q29" s="42">
        <f t="shared" ca="1" si="2"/>
        <v>3489407336.7450271</v>
      </c>
      <c r="R29" s="42">
        <f t="shared" ca="1" si="2"/>
        <v>3833472429.3135481</v>
      </c>
      <c r="S29" s="42">
        <f t="shared" ca="1" si="2"/>
        <v>4543092811.3495684</v>
      </c>
      <c r="T29" s="42">
        <f t="shared" ca="1" si="2"/>
        <v>5220888642.9787598</v>
      </c>
      <c r="U29" s="42">
        <f t="shared" ca="1" si="2"/>
        <v>5880012822.2225342</v>
      </c>
      <c r="V29" s="42">
        <f t="shared" ca="1" si="2"/>
        <v>6526189247.2863865</v>
      </c>
      <c r="W29" s="42">
        <f t="shared" ca="1" si="2"/>
        <v>7166095786.2434874</v>
      </c>
      <c r="X29" s="42">
        <f t="shared" ca="1" si="2"/>
        <v>7323782778.0191565</v>
      </c>
      <c r="Y29" s="42">
        <f t="shared" ca="1" si="2"/>
        <v>7397870827.9223967</v>
      </c>
      <c r="Z29" s="42">
        <f t="shared" ca="1" si="2"/>
        <v>7497387134.0233488</v>
      </c>
      <c r="AA29" s="42">
        <f t="shared" ca="1" si="2"/>
        <v>7621537189.287672</v>
      </c>
      <c r="AB29" s="42">
        <f t="shared" ca="1" si="2"/>
        <v>7760347110.9337463</v>
      </c>
      <c r="AC29" s="42">
        <f t="shared" ca="1" si="2"/>
        <v>7936340254.0214729</v>
      </c>
      <c r="AD29" s="42">
        <f t="shared" ca="1" si="2"/>
        <v>8143246276.6205521</v>
      </c>
      <c r="AE29" s="42">
        <f t="shared" ca="1" si="2"/>
        <v>8379300308.4014683</v>
      </c>
      <c r="AF29" s="42">
        <f t="shared" ca="1" si="2"/>
        <v>8633685330.6790218</v>
      </c>
      <c r="AG29" s="42">
        <f t="shared" ca="1" si="2"/>
        <v>8914551510.7060795</v>
      </c>
      <c r="AH29" s="42">
        <f t="shared" ca="1" si="2"/>
        <v>9216958511.4353294</v>
      </c>
      <c r="AI29" s="42">
        <f t="shared" ca="1" si="2"/>
        <v>9540634113.7880554</v>
      </c>
      <c r="AJ29" s="42">
        <f t="shared" ca="1" si="2"/>
        <v>9875293214.6079426</v>
      </c>
      <c r="AK29" s="42">
        <f t="shared" ca="1" si="2"/>
        <v>11605184399.40288</v>
      </c>
      <c r="AL29" s="42">
        <f t="shared" ca="1" si="2"/>
        <v>13746154046.33341</v>
      </c>
      <c r="AM29" s="42">
        <f t="shared" si="2"/>
        <v>0</v>
      </c>
      <c r="AN29" s="42">
        <f t="shared" si="2"/>
        <v>0</v>
      </c>
      <c r="AO29" s="42">
        <f t="shared" si="2"/>
        <v>0</v>
      </c>
      <c r="AP29" s="42">
        <f t="shared" si="2"/>
        <v>0</v>
      </c>
      <c r="AQ29" s="42">
        <f t="shared" si="2"/>
        <v>0</v>
      </c>
      <c r="AR29" s="42">
        <f t="shared" si="2"/>
        <v>0</v>
      </c>
      <c r="AS29" s="42">
        <f t="shared" si="2"/>
        <v>0</v>
      </c>
      <c r="AT29" s="42">
        <f t="shared" si="2"/>
        <v>0</v>
      </c>
      <c r="AU29" s="42">
        <f t="shared" si="2"/>
        <v>0</v>
      </c>
      <c r="AV29" s="42">
        <f t="shared" si="2"/>
        <v>0</v>
      </c>
      <c r="AW29" s="42">
        <f t="shared" si="2"/>
        <v>0</v>
      </c>
    </row>
    <row r="30" spans="1:52">
      <c r="B30" s="5"/>
      <c r="C30" s="15"/>
    </row>
    <row r="31" spans="1:52">
      <c r="B31" s="5"/>
    </row>
    <row r="32" spans="1:52">
      <c r="A32" s="6" t="s">
        <v>549</v>
      </c>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row>
    <row r="33" spans="1:49">
      <c r="B33" s="187"/>
    </row>
    <row r="34" spans="1:49">
      <c r="B34" s="29" t="s">
        <v>550</v>
      </c>
    </row>
    <row r="36" spans="1:49">
      <c r="B36" s="2" t="s">
        <v>551</v>
      </c>
      <c r="C36" s="15" t="s">
        <v>41</v>
      </c>
      <c r="D36" s="68">
        <f>'Input '!E395</f>
        <v>46023</v>
      </c>
      <c r="I36" s="223">
        <f>I2</f>
        <v>1</v>
      </c>
      <c r="J36" s="223">
        <f t="shared" ref="J36:AW36" si="3">J2</f>
        <v>2</v>
      </c>
      <c r="K36" s="223">
        <f t="shared" si="3"/>
        <v>3</v>
      </c>
      <c r="L36" s="223">
        <f t="shared" si="3"/>
        <v>4</v>
      </c>
      <c r="M36" s="223">
        <f t="shared" si="3"/>
        <v>5</v>
      </c>
      <c r="N36" s="223">
        <f t="shared" si="3"/>
        <v>6</v>
      </c>
      <c r="O36" s="223">
        <f t="shared" si="3"/>
        <v>7</v>
      </c>
      <c r="P36" s="223">
        <f t="shared" si="3"/>
        <v>8</v>
      </c>
      <c r="Q36" s="223">
        <f t="shared" si="3"/>
        <v>9</v>
      </c>
      <c r="R36" s="223">
        <f t="shared" si="3"/>
        <v>10</v>
      </c>
      <c r="S36" s="223">
        <f t="shared" si="3"/>
        <v>11</v>
      </c>
      <c r="T36" s="223">
        <f t="shared" si="3"/>
        <v>12</v>
      </c>
      <c r="U36" s="223">
        <f t="shared" si="3"/>
        <v>13</v>
      </c>
      <c r="V36" s="223">
        <f t="shared" si="3"/>
        <v>14</v>
      </c>
      <c r="W36" s="223">
        <f t="shared" si="3"/>
        <v>15</v>
      </c>
      <c r="X36" s="223">
        <f t="shared" si="3"/>
        <v>16</v>
      </c>
      <c r="Y36" s="223">
        <f t="shared" si="3"/>
        <v>17</v>
      </c>
      <c r="Z36" s="223">
        <f t="shared" si="3"/>
        <v>18</v>
      </c>
      <c r="AA36" s="223">
        <f t="shared" si="3"/>
        <v>19</v>
      </c>
      <c r="AB36" s="223">
        <f t="shared" si="3"/>
        <v>20</v>
      </c>
      <c r="AC36" s="223">
        <f t="shared" si="3"/>
        <v>21</v>
      </c>
      <c r="AD36" s="223">
        <f t="shared" si="3"/>
        <v>22</v>
      </c>
      <c r="AE36" s="223">
        <f t="shared" si="3"/>
        <v>23</v>
      </c>
      <c r="AF36" s="223">
        <f t="shared" si="3"/>
        <v>24</v>
      </c>
      <c r="AG36" s="223">
        <f t="shared" si="3"/>
        <v>25</v>
      </c>
      <c r="AH36" s="223">
        <f t="shared" si="3"/>
        <v>26</v>
      </c>
      <c r="AI36" s="223">
        <f t="shared" si="3"/>
        <v>27</v>
      </c>
      <c r="AJ36" s="223">
        <f t="shared" si="3"/>
        <v>28</v>
      </c>
      <c r="AK36" s="223">
        <f t="shared" si="3"/>
        <v>29</v>
      </c>
      <c r="AL36" s="223">
        <f t="shared" si="3"/>
        <v>30</v>
      </c>
      <c r="AM36" s="223">
        <f t="shared" si="3"/>
        <v>31</v>
      </c>
      <c r="AN36" s="223">
        <f t="shared" si="3"/>
        <v>32</v>
      </c>
      <c r="AO36" s="223">
        <f t="shared" si="3"/>
        <v>33</v>
      </c>
      <c r="AP36" s="223">
        <f t="shared" si="3"/>
        <v>34</v>
      </c>
      <c r="AQ36" s="223">
        <f t="shared" si="3"/>
        <v>35</v>
      </c>
      <c r="AR36" s="223">
        <f t="shared" si="3"/>
        <v>36</v>
      </c>
      <c r="AS36" s="223">
        <f t="shared" si="3"/>
        <v>37</v>
      </c>
      <c r="AT36" s="223">
        <f t="shared" si="3"/>
        <v>38</v>
      </c>
      <c r="AU36" s="223">
        <f t="shared" si="3"/>
        <v>39</v>
      </c>
      <c r="AV36" s="223">
        <f t="shared" si="3"/>
        <v>40</v>
      </c>
      <c r="AW36" s="223">
        <f t="shared" si="3"/>
        <v>41</v>
      </c>
    </row>
    <row r="37" spans="1:49">
      <c r="B37" s="2" t="s">
        <v>552</v>
      </c>
      <c r="C37" s="15" t="s">
        <v>19</v>
      </c>
      <c r="I37" s="223">
        <f>I4-$D$36+1</f>
        <v>365</v>
      </c>
      <c r="J37" s="223">
        <f t="shared" ref="J37:AV37" si="4">J4-$D$36+1</f>
        <v>730</v>
      </c>
      <c r="K37" s="223">
        <f t="shared" si="4"/>
        <v>1096</v>
      </c>
      <c r="L37" s="223">
        <f t="shared" si="4"/>
        <v>1461</v>
      </c>
      <c r="M37" s="223">
        <f t="shared" si="4"/>
        <v>1826</v>
      </c>
      <c r="N37" s="223">
        <f t="shared" si="4"/>
        <v>2191</v>
      </c>
      <c r="O37" s="223">
        <f t="shared" si="4"/>
        <v>2557</v>
      </c>
      <c r="P37" s="223">
        <f t="shared" si="4"/>
        <v>2922</v>
      </c>
      <c r="Q37" s="223">
        <f t="shared" si="4"/>
        <v>3287</v>
      </c>
      <c r="R37" s="223">
        <f t="shared" si="4"/>
        <v>3652</v>
      </c>
      <c r="S37" s="223">
        <f t="shared" si="4"/>
        <v>4018</v>
      </c>
      <c r="T37" s="223">
        <f t="shared" si="4"/>
        <v>4383</v>
      </c>
      <c r="U37" s="223">
        <f t="shared" si="4"/>
        <v>4748</v>
      </c>
      <c r="V37" s="223">
        <f t="shared" si="4"/>
        <v>5113</v>
      </c>
      <c r="W37" s="223">
        <f t="shared" si="4"/>
        <v>5479</v>
      </c>
      <c r="X37" s="223">
        <f t="shared" si="4"/>
        <v>5844</v>
      </c>
      <c r="Y37" s="223">
        <f t="shared" si="4"/>
        <v>6209</v>
      </c>
      <c r="Z37" s="223">
        <f t="shared" si="4"/>
        <v>6574</v>
      </c>
      <c r="AA37" s="223">
        <f t="shared" si="4"/>
        <v>6940</v>
      </c>
      <c r="AB37" s="223">
        <f t="shared" si="4"/>
        <v>7305</v>
      </c>
      <c r="AC37" s="223">
        <f t="shared" si="4"/>
        <v>7670</v>
      </c>
      <c r="AD37" s="223">
        <f t="shared" si="4"/>
        <v>8035</v>
      </c>
      <c r="AE37" s="223">
        <f t="shared" si="4"/>
        <v>8401</v>
      </c>
      <c r="AF37" s="223">
        <f t="shared" si="4"/>
        <v>8766</v>
      </c>
      <c r="AG37" s="223">
        <f t="shared" si="4"/>
        <v>9131</v>
      </c>
      <c r="AH37" s="223">
        <f t="shared" si="4"/>
        <v>9496</v>
      </c>
      <c r="AI37" s="223">
        <f t="shared" si="4"/>
        <v>9862</v>
      </c>
      <c r="AJ37" s="223">
        <f t="shared" si="4"/>
        <v>10227</v>
      </c>
      <c r="AK37" s="223">
        <f t="shared" si="4"/>
        <v>10592</v>
      </c>
      <c r="AL37" s="223">
        <f t="shared" si="4"/>
        <v>10957</v>
      </c>
      <c r="AM37" s="223">
        <f t="shared" si="4"/>
        <v>11323</v>
      </c>
      <c r="AN37" s="223">
        <f t="shared" si="4"/>
        <v>11688</v>
      </c>
      <c r="AO37" s="223">
        <f t="shared" si="4"/>
        <v>12053</v>
      </c>
      <c r="AP37" s="223">
        <f t="shared" si="4"/>
        <v>12418</v>
      </c>
      <c r="AQ37" s="223">
        <f t="shared" si="4"/>
        <v>12784</v>
      </c>
      <c r="AR37" s="223">
        <f t="shared" si="4"/>
        <v>13149</v>
      </c>
      <c r="AS37" s="223">
        <f t="shared" si="4"/>
        <v>13514</v>
      </c>
      <c r="AT37" s="223">
        <f t="shared" si="4"/>
        <v>13879</v>
      </c>
      <c r="AU37" s="223">
        <f t="shared" si="4"/>
        <v>14245</v>
      </c>
      <c r="AV37" s="223">
        <f t="shared" si="4"/>
        <v>14610</v>
      </c>
      <c r="AW37" s="223">
        <f>AW4-$D$36+1</f>
        <v>14975</v>
      </c>
    </row>
    <row r="38" spans="1:49">
      <c r="B38" s="2" t="s">
        <v>553</v>
      </c>
      <c r="C38" s="15" t="s">
        <v>557</v>
      </c>
      <c r="I38" s="226">
        <f>IF(I37&lt;0,0,(1/(1+'Input '!$E$403)^('Valuation '!I37/Days_Year)))</f>
        <v>0.91074148215096651</v>
      </c>
      <c r="J38" s="226">
        <f>IF(J37&lt;0,0,(1/(1+'Input '!$E$403)^('Valuation '!J37/Days_Year)))</f>
        <v>0.82945004731053928</v>
      </c>
      <c r="K38" s="226">
        <f>IF(K37&lt;0,0,(1/(1+'Input '!$E$403)^('Valuation '!K37/Days_Year)))</f>
        <v>0.75522108780587105</v>
      </c>
      <c r="L38" s="226">
        <f>IF(L37&lt;0,0,(1/(1+'Input '!$E$403)^('Valuation '!L37/Days_Year)))</f>
        <v>0.68781117285998417</v>
      </c>
      <c r="M38" s="226">
        <f>IF(M37&lt;0,0,(1/(1+'Input '!$E$403)^('Valuation '!M37/Days_Year)))</f>
        <v>0.62641816701049657</v>
      </c>
      <c r="N38" s="226">
        <f>IF(N37&lt;0,0,(1/(1+'Input '!$E$403)^('Valuation '!N37/Days_Year)))</f>
        <v>0.57050500986943142</v>
      </c>
      <c r="O38" s="226">
        <f>IF(O37&lt;0,0,(1/(1+'Input '!$E$403)^('Valuation '!O37/Days_Year)))</f>
        <v>0.5194495021723492</v>
      </c>
      <c r="P38" s="226">
        <f>IF(P37&lt;0,0,(1/(1+'Input '!$E$403)^('Valuation '!P37/Days_Year)))</f>
        <v>0.47308420951102709</v>
      </c>
      <c r="Q38" s="226">
        <f>IF(Q37&lt;0,0,(1/(1+'Input '!$E$403)^('Valuation '!Q37/Days_Year)))</f>
        <v>0.43085741415229117</v>
      </c>
      <c r="R38" s="226">
        <f>IF(R37&lt;0,0,(1/(1+'Input '!$E$403)^('Valuation '!R37/Days_Year)))</f>
        <v>0.39239971996079048</v>
      </c>
      <c r="S38" s="226">
        <f>IF(S37&lt;0,0,(1/(1+'Input '!$E$403)^('Valuation '!S37/Days_Year)))</f>
        <v>0.35728317133069848</v>
      </c>
      <c r="T38" s="226">
        <f>IF(T37&lt;0,0,(1/(1+'Input '!$E$403)^('Valuation '!T37/Days_Year)))</f>
        <v>0.32539260500531808</v>
      </c>
      <c r="U38" s="226">
        <f>IF(U37&lt;0,0,(1/(1+'Input '!$E$403)^('Valuation '!U37/Days_Year)))</f>
        <v>0.29634854336350736</v>
      </c>
      <c r="V38" s="226">
        <f>IF(V37&lt;0,0,(1/(1+'Input '!$E$403)^('Valuation '!V37/Days_Year)))</f>
        <v>0.2698969116161607</v>
      </c>
      <c r="W38" s="226">
        <f>IF(W37&lt;0,0,(1/(1+'Input '!$E$403)^('Valuation '!W37/Days_Year)))</f>
        <v>0.24574335711610243</v>
      </c>
      <c r="X38" s="226">
        <f>IF(X37&lt;0,0,(1/(1+'Input '!$E$403)^('Valuation '!X37/Days_Year)))</f>
        <v>0.22380866928867338</v>
      </c>
      <c r="Y38" s="226">
        <f>IF(Y37&lt;0,0,(1/(1+'Input '!$E$403)^('Valuation '!Y37/Days_Year)))</f>
        <v>0.20383183918620187</v>
      </c>
      <c r="Z38" s="226">
        <f>IF(Z37&lt;0,0,(1/(1+'Input '!$E$403)^('Valuation '!Z37/Days_Year)))</f>
        <v>0.18563811132999894</v>
      </c>
      <c r="AA38" s="226">
        <f>IF(AA37&lt;0,0,(1/(1+'Input '!$E$403)^('Valuation '!AA37/Days_Year)))</f>
        <v>0.16902502668057634</v>
      </c>
      <c r="AB38" s="226">
        <f>IF(AB37&lt;0,0,(1/(1+'Input '!$E$403)^('Valuation '!AB37/Days_Year)))</f>
        <v>0.15393810331967475</v>
      </c>
      <c r="AC38" s="226">
        <f>IF(AC37&lt;0,0,(1/(1+'Input '!$E$403)^('Valuation '!AC37/Days_Year)))</f>
        <v>0.14019781637686923</v>
      </c>
      <c r="AD38" s="226">
        <f>IF(AD37&lt;0,0,(1/(1+'Input '!$E$403)^('Valuation '!AD37/Days_Year)))</f>
        <v>0.1276839670813989</v>
      </c>
      <c r="AE38" s="226">
        <f>IF(AE37&lt;0,0,(1/(1+'Input '!$E$403)^('Valuation '!AE37/Days_Year)))</f>
        <v>0.11625730184385734</v>
      </c>
      <c r="AF38" s="226">
        <f>IF(AF37&lt;0,0,(1/(1+'Input '!$E$403)^('Valuation '!AF37/Days_Year)))</f>
        <v>0.10588034739214695</v>
      </c>
      <c r="AG38" s="226">
        <f>IF(AG37&lt;0,0,(1/(1+'Input '!$E$403)^('Valuation '!AG37/Days_Year)))</f>
        <v>9.6429624514583118E-2</v>
      </c>
      <c r="AH38" s="226">
        <f>IF(AH37&lt;0,0,(1/(1+'Input '!$E$403)^('Valuation '!AH37/Days_Year)))</f>
        <v>8.7822459153672594E-2</v>
      </c>
      <c r="AI38" s="226">
        <f>IF(AI37&lt;0,0,(1/(1+'Input '!$E$403)^('Valuation '!AI37/Days_Year)))</f>
        <v>7.9963071134760713E-2</v>
      </c>
      <c r="AJ38" s="226">
        <f>IF(AJ37&lt;0,0,(1/(1+'Input '!$E$403)^('Valuation '!AJ37/Days_Year)))</f>
        <v>7.2825685922615138E-2</v>
      </c>
      <c r="AK38" s="226">
        <f>IF(AK37&lt;0,0,(1/(1+'Input '!$E$403)^('Valuation '!AK37/Days_Year)))</f>
        <v>6.6325373135823276E-2</v>
      </c>
      <c r="AL38" s="226">
        <f>IF(AL37&lt;0,0,(1/(1+'Input '!$E$403)^('Valuation '!AL37/Days_Year)))</f>
        <v>6.040526863393561E-2</v>
      </c>
      <c r="AM38" s="226">
        <f>IF(AM37&lt;0,0,(1/(1+'Input '!$E$403)^('Valuation '!AM37/Days_Year)))</f>
        <v>5.4999493742686124E-2</v>
      </c>
      <c r="AN38" s="226">
        <f>IF(AN37&lt;0,0,(1/(1+'Input '!$E$403)^('Valuation '!AN37/Days_Year)))</f>
        <v>5.0090320448766754E-2</v>
      </c>
      <c r="AO38" s="226">
        <f>IF(AO37&lt;0,0,(1/(1+'Input '!$E$403)^('Valuation '!AO37/Days_Year)))</f>
        <v>4.5619332686926702E-2</v>
      </c>
      <c r="AP38" s="226">
        <f>IF(AP37&lt;0,0,(1/(1+'Input '!$E$403)^('Valuation '!AP37/Days_Year)))</f>
        <v>4.1547418666029665E-2</v>
      </c>
      <c r="AQ38" s="226">
        <f>IF(AQ37&lt;0,0,(1/(1+'Input '!$E$403)^('Valuation '!AQ37/Days_Year)))</f>
        <v>3.7829266297862318E-2</v>
      </c>
      <c r="AR38" s="226">
        <f>IF(AR37&lt;0,0,(1/(1+'Input '!$E$403)^('Valuation '!AR37/Days_Year)))</f>
        <v>3.4452682056798731E-2</v>
      </c>
      <c r="AS38" s="226">
        <f>IF(AS37&lt;0,0,(1/(1+'Input '!$E$403)^('Valuation '!AS37/Days_Year)))</f>
        <v>3.1377486720484883E-2</v>
      </c>
      <c r="AT38" s="226">
        <f>IF(AT37&lt;0,0,(1/(1+'Input '!$E$403)^('Valuation '!AT37/Days_Year)))</f>
        <v>2.8576778761986669E-2</v>
      </c>
      <c r="AU38" s="226">
        <f>IF(AU37&lt;0,0,(1/(1+'Input '!$E$403)^('Valuation '!AU37/Days_Year)))</f>
        <v>2.6019392020765343E-2</v>
      </c>
      <c r="AV38" s="226">
        <f>IF(AV37&lt;0,0,(1/(1+'Input '!$E$403)^('Valuation '!AV37/Days_Year)))</f>
        <v>2.369693965365886E-2</v>
      </c>
      <c r="AW38" s="226">
        <f>IF(AW37&lt;0,0,(1/(1+'Input '!$E$403)^('Valuation '!AW37/Days_Year)))</f>
        <v>2.1581785942615287E-2</v>
      </c>
    </row>
    <row r="40" spans="1:49">
      <c r="B40" s="29" t="s">
        <v>540</v>
      </c>
    </row>
    <row r="41" spans="1:49">
      <c r="B41" s="2" t="s">
        <v>521</v>
      </c>
      <c r="C41" s="15" t="str">
        <f>$C$10</f>
        <v>US$</v>
      </c>
      <c r="D41" s="53">
        <f ca="1">SUM(I41:AV41)</f>
        <v>46897846469.130707</v>
      </c>
      <c r="I41" s="53">
        <f ca="1">I42-I14</f>
        <v>-715288869.70235205</v>
      </c>
      <c r="J41" s="53">
        <f ca="1">J42-J14</f>
        <v>-2555302134.1949363</v>
      </c>
      <c r="K41" s="53">
        <f ca="1">K42-K14</f>
        <v>-369794299.88087118</v>
      </c>
      <c r="L41" s="53">
        <f ca="1">L42-L14</f>
        <v>1098825625.1228125</v>
      </c>
      <c r="M41" s="53">
        <f t="shared" ref="M41:AF41" ca="1" si="5">M42-M14</f>
        <v>1287138816.7670498</v>
      </c>
      <c r="N41" s="53">
        <f t="shared" ca="1" si="5"/>
        <v>1394124737.7264946</v>
      </c>
      <c r="O41" s="53">
        <f t="shared" ca="1" si="5"/>
        <v>1489486008.0953422</v>
      </c>
      <c r="P41" s="53">
        <f t="shared" ca="1" si="5"/>
        <v>1573842042.9432826</v>
      </c>
      <c r="Q41" s="53">
        <f t="shared" ca="1" si="5"/>
        <v>1659834839.8391299</v>
      </c>
      <c r="R41" s="53">
        <f t="shared" ca="1" si="5"/>
        <v>1751812669.253592</v>
      </c>
      <c r="S41" s="53">
        <f t="shared" ca="1" si="5"/>
        <v>1846306263.9475317</v>
      </c>
      <c r="T41" s="53">
        <f t="shared" ca="1" si="5"/>
        <v>1949298874.8546088</v>
      </c>
      <c r="U41" s="53">
        <f t="shared" ca="1" si="5"/>
        <v>2057459790.5608573</v>
      </c>
      <c r="V41" s="53">
        <f t="shared" ca="1" si="5"/>
        <v>2173151638.3437033</v>
      </c>
      <c r="W41" s="53">
        <f t="shared" ca="1" si="5"/>
        <v>2292275790.1882796</v>
      </c>
      <c r="X41" s="53">
        <f t="shared" ca="1" si="5"/>
        <v>1659454246.4796643</v>
      </c>
      <c r="Y41" s="53">
        <f t="shared" ca="1" si="5"/>
        <v>1610294491.4716747</v>
      </c>
      <c r="Z41" s="53">
        <f t="shared" ca="1" si="5"/>
        <v>1663724396.3548892</v>
      </c>
      <c r="AA41" s="53">
        <f t="shared" ca="1" si="5"/>
        <v>1716047728.5111449</v>
      </c>
      <c r="AB41" s="53">
        <f t="shared" ca="1" si="5"/>
        <v>1772949636.0506992</v>
      </c>
      <c r="AC41" s="53">
        <f t="shared" ca="1" si="5"/>
        <v>1830640768.3329394</v>
      </c>
      <c r="AD41" s="53">
        <f t="shared" ca="1" si="5"/>
        <v>1891172863.9460707</v>
      </c>
      <c r="AE41" s="53">
        <f t="shared" ca="1" si="5"/>
        <v>1950164638.3589137</v>
      </c>
      <c r="AF41" s="53">
        <f t="shared" ca="1" si="5"/>
        <v>2014297576.5911713</v>
      </c>
      <c r="AG41" s="53">
        <f ca="1">AG42-AG14</f>
        <v>2079324024.4225333</v>
      </c>
      <c r="AH41" s="53">
        <f t="shared" ref="AH41:AV41" ca="1" si="6">AH42-AH14</f>
        <v>2147544961.1964374</v>
      </c>
      <c r="AI41" s="53">
        <f t="shared" ca="1" si="6"/>
        <v>2214052562.7778277</v>
      </c>
      <c r="AJ41" s="53">
        <f ca="1">AJ42-AJ14</f>
        <v>2286332648.1110091</v>
      </c>
      <c r="AK41" s="53">
        <f t="shared" ca="1" si="6"/>
        <v>2359624468.8554521</v>
      </c>
      <c r="AL41" s="53">
        <f t="shared" ca="1" si="6"/>
        <v>2769049663.8057556</v>
      </c>
      <c r="AM41" s="53">
        <f t="shared" si="6"/>
        <v>0</v>
      </c>
      <c r="AN41" s="53">
        <f t="shared" si="6"/>
        <v>0</v>
      </c>
      <c r="AO41" s="53">
        <f t="shared" si="6"/>
        <v>0</v>
      </c>
      <c r="AP41" s="53">
        <f t="shared" si="6"/>
        <v>0</v>
      </c>
      <c r="AQ41" s="53">
        <f t="shared" si="6"/>
        <v>0</v>
      </c>
      <c r="AR41" s="53">
        <f t="shared" si="6"/>
        <v>0</v>
      </c>
      <c r="AS41" s="53">
        <f t="shared" si="6"/>
        <v>0</v>
      </c>
      <c r="AT41" s="53">
        <f t="shared" si="6"/>
        <v>0</v>
      </c>
      <c r="AU41" s="53">
        <f t="shared" si="6"/>
        <v>0</v>
      </c>
      <c r="AV41" s="53">
        <f t="shared" si="6"/>
        <v>0</v>
      </c>
      <c r="AW41" s="53">
        <f>AW42-AW14</f>
        <v>0</v>
      </c>
    </row>
    <row r="42" spans="1:49">
      <c r="B42" s="2" t="s">
        <v>526</v>
      </c>
      <c r="C42" s="15" t="str">
        <f>$C$10</f>
        <v>US$</v>
      </c>
      <c r="D42" s="53">
        <f ca="1">SUM(I42:AX42)</f>
        <v>31425178623.684109</v>
      </c>
      <c r="I42" s="53">
        <f ca="1">I16</f>
        <v>-715288869.70235205</v>
      </c>
      <c r="J42" s="53">
        <f ca="1">J16</f>
        <v>-2555302134.1949363</v>
      </c>
      <c r="K42" s="53">
        <f t="shared" ref="K42:AV42" ca="1" si="7">K16</f>
        <v>-369794299.88087118</v>
      </c>
      <c r="L42" s="53">
        <f ca="1">L16</f>
        <v>1098825625.1228125</v>
      </c>
      <c r="M42" s="53">
        <f t="shared" ca="1" si="7"/>
        <v>1287138816.7670498</v>
      </c>
      <c r="N42" s="53">
        <f ca="1">N16</f>
        <v>1235142969.2183952</v>
      </c>
      <c r="O42" s="53">
        <f t="shared" ca="1" si="7"/>
        <v>1311538698.7171669</v>
      </c>
      <c r="P42" s="53">
        <f t="shared" ca="1" si="7"/>
        <v>1378423205.9664679</v>
      </c>
      <c r="Q42" s="53">
        <f t="shared" ca="1" si="7"/>
        <v>1446283930.695797</v>
      </c>
      <c r="R42" s="53">
        <f t="shared" ca="1" si="7"/>
        <v>1256061193.4168353</v>
      </c>
      <c r="S42" s="53">
        <f t="shared" ca="1" si="7"/>
        <v>1207884203.90569</v>
      </c>
      <c r="T42" s="53">
        <f t="shared" ca="1" si="7"/>
        <v>1272352254.8749526</v>
      </c>
      <c r="U42" s="53">
        <f t="shared" ca="1" si="7"/>
        <v>1340189102.7203531</v>
      </c>
      <c r="V42" s="53">
        <f t="shared" ca="1" si="7"/>
        <v>1413538180.374898</v>
      </c>
      <c r="W42" s="53">
        <f t="shared" ca="1" si="7"/>
        <v>1488162019.2188802</v>
      </c>
      <c r="X42" s="53">
        <f t="shared" ca="1" si="7"/>
        <v>1095516892.2922254</v>
      </c>
      <c r="Y42" s="53">
        <f t="shared" ca="1" si="7"/>
        <v>1029475513.2958392</v>
      </c>
      <c r="Z42" s="53">
        <f t="shared" ca="1" si="7"/>
        <v>1064963715.097106</v>
      </c>
      <c r="AA42" s="53">
        <f t="shared" ca="1" si="7"/>
        <v>1098639069.1592007</v>
      </c>
      <c r="AB42" s="53">
        <f t="shared" ca="1" si="7"/>
        <v>1136243625.7467225</v>
      </c>
      <c r="AC42" s="53">
        <f t="shared" ca="1" si="7"/>
        <v>1173806114.2695174</v>
      </c>
      <c r="AD42" s="53">
        <f t="shared" ca="1" si="7"/>
        <v>1213404756.3520699</v>
      </c>
      <c r="AE42" s="53">
        <f t="shared" ca="1" si="7"/>
        <v>1250661968.0802062</v>
      </c>
      <c r="AF42" s="53">
        <f t="shared" ca="1" si="7"/>
        <v>1292310791.630621</v>
      </c>
      <c r="AG42" s="53">
        <f t="shared" ca="1" si="7"/>
        <v>1334032388.9405365</v>
      </c>
      <c r="AH42" s="53">
        <f t="shared" ca="1" si="7"/>
        <v>1378145502.7477803</v>
      </c>
      <c r="AI42" s="53">
        <f t="shared" ca="1" si="7"/>
        <v>1419714231.8299141</v>
      </c>
      <c r="AJ42" s="53">
        <f t="shared" ca="1" si="7"/>
        <v>1466299310.4180112</v>
      </c>
      <c r="AK42" s="53">
        <f t="shared" ca="1" si="7"/>
        <v>1502759440.8589549</v>
      </c>
      <c r="AL42" s="53">
        <f t="shared" ca="1" si="7"/>
        <v>1874050405.7442648</v>
      </c>
      <c r="AM42" s="53">
        <f t="shared" si="7"/>
        <v>0</v>
      </c>
      <c r="AN42" s="53">
        <f t="shared" si="7"/>
        <v>0</v>
      </c>
      <c r="AO42" s="53">
        <f t="shared" si="7"/>
        <v>0</v>
      </c>
      <c r="AP42" s="53">
        <f t="shared" si="7"/>
        <v>0</v>
      </c>
      <c r="AQ42" s="53">
        <f t="shared" si="7"/>
        <v>0</v>
      </c>
      <c r="AR42" s="53">
        <f t="shared" si="7"/>
        <v>0</v>
      </c>
      <c r="AS42" s="53">
        <f t="shared" si="7"/>
        <v>0</v>
      </c>
      <c r="AT42" s="53">
        <f t="shared" si="7"/>
        <v>0</v>
      </c>
      <c r="AU42" s="53">
        <f t="shared" si="7"/>
        <v>0</v>
      </c>
      <c r="AV42" s="53">
        <f t="shared" si="7"/>
        <v>0</v>
      </c>
      <c r="AW42" s="53">
        <f>AW16</f>
        <v>0</v>
      </c>
    </row>
    <row r="43" spans="1:49">
      <c r="AK43" s="42"/>
    </row>
    <row r="44" spans="1:49">
      <c r="B44" s="50" t="s">
        <v>549</v>
      </c>
      <c r="D44" s="13" t="s">
        <v>558</v>
      </c>
      <c r="E44" s="13" t="s">
        <v>559</v>
      </c>
      <c r="AK44" s="42"/>
    </row>
    <row r="45" spans="1:49">
      <c r="A45" s="220"/>
      <c r="B45" s="2" t="s">
        <v>521</v>
      </c>
      <c r="D45" s="118">
        <f ca="1">NPV(WACC,'Valuation '!I41:AW41)</f>
        <v>8856944904.9978371</v>
      </c>
      <c r="E45" s="99">
        <f ca="1">IRR(I41:AW41)</f>
        <v>0.29715136708803835</v>
      </c>
      <c r="F45" s="99"/>
      <c r="AK45" s="42"/>
    </row>
    <row r="46" spans="1:49">
      <c r="B46" s="2" t="s">
        <v>526</v>
      </c>
      <c r="D46" s="118">
        <f ca="1">NPV(WACC,I42:AW42)</f>
        <v>5960307674.4236288</v>
      </c>
      <c r="E46" s="99">
        <f ca="1">IRR(I42:AW42)</f>
        <v>0.26404188661314043</v>
      </c>
      <c r="F46" s="99"/>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row>
    <row r="47" spans="1:49">
      <c r="AK47" s="42"/>
    </row>
    <row r="48" spans="1:49">
      <c r="AK48" s="42"/>
    </row>
    <row r="49" spans="1:49">
      <c r="B49" s="29" t="s">
        <v>554</v>
      </c>
      <c r="F49" s="42"/>
      <c r="AK49" s="42"/>
    </row>
    <row r="50" spans="1:49">
      <c r="F50" s="42">
        <f>SUM(I47:AW47)</f>
        <v>0</v>
      </c>
      <c r="AK50" s="42"/>
    </row>
    <row r="51" spans="1:49">
      <c r="B51" s="2" t="s">
        <v>551</v>
      </c>
      <c r="C51" s="15" t="s">
        <v>41</v>
      </c>
      <c r="D51" s="68">
        <f>'Input '!E395</f>
        <v>46023</v>
      </c>
      <c r="AK51" s="42">
        <f>SUM(I51:AI51)</f>
        <v>0</v>
      </c>
    </row>
    <row r="52" spans="1:49">
      <c r="B52" s="2" t="s">
        <v>552</v>
      </c>
      <c r="C52" s="15" t="s">
        <v>19</v>
      </c>
      <c r="I52" s="223">
        <f>I4-$D$36+1</f>
        <v>365</v>
      </c>
      <c r="J52" s="223">
        <f t="shared" ref="J52:AW52" si="8">J4-$D$36+1</f>
        <v>730</v>
      </c>
      <c r="K52" s="223">
        <f t="shared" si="8"/>
        <v>1096</v>
      </c>
      <c r="L52" s="223">
        <f t="shared" si="8"/>
        <v>1461</v>
      </c>
      <c r="M52" s="223">
        <f t="shared" si="8"/>
        <v>1826</v>
      </c>
      <c r="N52" s="223">
        <f t="shared" si="8"/>
        <v>2191</v>
      </c>
      <c r="O52" s="223">
        <f t="shared" si="8"/>
        <v>2557</v>
      </c>
      <c r="P52" s="223">
        <f t="shared" si="8"/>
        <v>2922</v>
      </c>
      <c r="Q52" s="223">
        <f t="shared" si="8"/>
        <v>3287</v>
      </c>
      <c r="R52" s="223">
        <f t="shared" si="8"/>
        <v>3652</v>
      </c>
      <c r="S52" s="223">
        <f t="shared" si="8"/>
        <v>4018</v>
      </c>
      <c r="T52" s="223">
        <f t="shared" si="8"/>
        <v>4383</v>
      </c>
      <c r="U52" s="223">
        <f t="shared" si="8"/>
        <v>4748</v>
      </c>
      <c r="V52" s="223">
        <f t="shared" si="8"/>
        <v>5113</v>
      </c>
      <c r="W52" s="223">
        <f t="shared" si="8"/>
        <v>5479</v>
      </c>
      <c r="X52" s="223">
        <f t="shared" si="8"/>
        <v>5844</v>
      </c>
      <c r="Y52" s="223">
        <f t="shared" si="8"/>
        <v>6209</v>
      </c>
      <c r="Z52" s="223">
        <f t="shared" si="8"/>
        <v>6574</v>
      </c>
      <c r="AA52" s="223">
        <f t="shared" si="8"/>
        <v>6940</v>
      </c>
      <c r="AB52" s="223">
        <f t="shared" si="8"/>
        <v>7305</v>
      </c>
      <c r="AC52" s="223">
        <f t="shared" si="8"/>
        <v>7670</v>
      </c>
      <c r="AD52" s="223">
        <f t="shared" si="8"/>
        <v>8035</v>
      </c>
      <c r="AE52" s="223">
        <f t="shared" si="8"/>
        <v>8401</v>
      </c>
      <c r="AF52" s="223">
        <f t="shared" si="8"/>
        <v>8766</v>
      </c>
      <c r="AG52" s="223">
        <f t="shared" si="8"/>
        <v>9131</v>
      </c>
      <c r="AH52" s="223">
        <f t="shared" si="8"/>
        <v>9496</v>
      </c>
      <c r="AI52" s="223">
        <f t="shared" si="8"/>
        <v>9862</v>
      </c>
      <c r="AJ52" s="223">
        <f t="shared" si="8"/>
        <v>10227</v>
      </c>
      <c r="AK52" s="223">
        <f t="shared" si="8"/>
        <v>10592</v>
      </c>
      <c r="AL52" s="223">
        <f t="shared" si="8"/>
        <v>10957</v>
      </c>
      <c r="AM52" s="223">
        <f t="shared" si="8"/>
        <v>11323</v>
      </c>
      <c r="AN52" s="223">
        <f t="shared" si="8"/>
        <v>11688</v>
      </c>
      <c r="AO52" s="223">
        <f t="shared" si="8"/>
        <v>12053</v>
      </c>
      <c r="AP52" s="223">
        <f t="shared" si="8"/>
        <v>12418</v>
      </c>
      <c r="AQ52" s="223">
        <f t="shared" si="8"/>
        <v>12784</v>
      </c>
      <c r="AR52" s="223">
        <f t="shared" si="8"/>
        <v>13149</v>
      </c>
      <c r="AS52" s="223">
        <f t="shared" si="8"/>
        <v>13514</v>
      </c>
      <c r="AT52" s="223">
        <f t="shared" si="8"/>
        <v>13879</v>
      </c>
      <c r="AU52" s="223">
        <f t="shared" si="8"/>
        <v>14245</v>
      </c>
      <c r="AV52" s="223">
        <f t="shared" si="8"/>
        <v>14610</v>
      </c>
      <c r="AW52" s="223">
        <f t="shared" si="8"/>
        <v>14975</v>
      </c>
    </row>
    <row r="53" spans="1:49">
      <c r="B53" s="2" t="s">
        <v>553</v>
      </c>
      <c r="C53" s="15" t="s">
        <v>557</v>
      </c>
      <c r="I53" s="226">
        <f>IF(I52&lt;0,0,(1/(1+'Input '!$E$404)^('Valuation '!I52/Days_Year)))</f>
        <v>0.86030774204797589</v>
      </c>
      <c r="J53" s="226">
        <f>IF(J52&lt;0,0,(1/(1+'Input '!$E$404)^('Valuation '!J52/Days_Year)))</f>
        <v>0.7401294110276867</v>
      </c>
      <c r="K53" s="226">
        <f>IF(K52&lt;0,0,(1/(1+'Input '!$E$404)^('Valuation '!K52/Days_Year)))</f>
        <v>0.63647663154504541</v>
      </c>
      <c r="L53" s="226">
        <f>IF(L52&lt;0,0,(1/(1+'Input '!$E$404)^('Valuation '!L52/Days_Year)))</f>
        <v>0.5475657737508195</v>
      </c>
      <c r="M53" s="226">
        <f>IF(M52&lt;0,0,(1/(1+'Input '!$E$404)^('Valuation '!M52/Days_Year)))</f>
        <v>0.47107507443832036</v>
      </c>
      <c r="N53" s="226">
        <f>IF(N52&lt;0,0,(1/(1+'Input '!$E$404)^('Valuation '!N52/Days_Year)))</f>
        <v>0.40526953362511364</v>
      </c>
      <c r="O53" s="226">
        <f>IF(O52&lt;0,0,(1/(1+'Input '!$E$404)^('Valuation '!O52/Days_Year)))</f>
        <v>0.34851281922627808</v>
      </c>
      <c r="P53" s="226">
        <f>IF(P52&lt;0,0,(1/(1+'Input '!$E$404)^('Valuation '!P52/Days_Year)))</f>
        <v>0.29982827658333366</v>
      </c>
      <c r="Q53" s="226">
        <f>IF(Q52&lt;0,0,(1/(1+'Input '!$E$404)^('Valuation '!Q52/Days_Year)))</f>
        <v>0.25794458762954381</v>
      </c>
      <c r="R53" s="226">
        <f>IF(R52&lt;0,0,(1/(1+'Input '!$E$404)^('Valuation '!R52/Days_Year)))</f>
        <v>0.22191172575706908</v>
      </c>
      <c r="S53" s="226">
        <f>IF(S52&lt;0,0,(1/(1+'Input '!$E$404)^('Valuation '!S52/Days_Year)))</f>
        <v>0.19083369152171648</v>
      </c>
      <c r="T53" s="226">
        <f>IF(T52&lt;0,0,(1/(1+'Input '!$E$404)^('Valuation '!T52/Days_Year)))</f>
        <v>0.16417570225972786</v>
      </c>
      <c r="U53" s="226">
        <f>IF(U52&lt;0,0,(1/(1+'Input '!$E$404)^('Valuation '!U52/Days_Year)))</f>
        <v>0.14124162771020723</v>
      </c>
      <c r="V53" s="226">
        <f>IF(V52&lt;0,0,(1/(1+'Input '!$E$404)^('Valuation '!V52/Days_Year)))</f>
        <v>0.12151126581854922</v>
      </c>
      <c r="W53" s="226">
        <f>IF(W52&lt;0,0,(1/(1+'Input '!$E$404)^('Valuation '!W52/Days_Year)))</f>
        <v>0.10449399795581389</v>
      </c>
      <c r="X53" s="226">
        <f>IF(X52&lt;0,0,(1/(1+'Input '!$E$404)^('Valuation '!X52/Days_Year)))</f>
        <v>8.9896995438932037E-2</v>
      </c>
      <c r="Y53" s="226">
        <f>IF(Y52&lt;0,0,(1/(1+'Input '!$E$404)^('Valuation '!Y52/Days_Year)))</f>
        <v>7.733908116296484E-2</v>
      </c>
      <c r="Z53" s="226">
        <f>IF(Z52&lt;0,0,(1/(1+'Input '!$E$404)^('Valuation '!Z52/Days_Year)))</f>
        <v>6.6535410287375418E-2</v>
      </c>
      <c r="AA53" s="226">
        <f>IF(AA52&lt;0,0,(1/(1+'Input '!$E$404)^('Valuation '!AA52/Days_Year)))</f>
        <v>5.7217336842991781E-2</v>
      </c>
      <c r="AB53" s="226">
        <f>IF(AB52&lt;0,0,(1/(1+'Input '!$E$404)^('Valuation '!AB52/Days_Year)))</f>
        <v>4.9224517865392739E-2</v>
      </c>
      <c r="AC53" s="226">
        <f>IF(AC52&lt;0,0,(1/(1+'Input '!$E$404)^('Valuation '!AC52/Days_Year)))</f>
        <v>4.2348233818176269E-2</v>
      </c>
      <c r="AD53" s="226">
        <f>IF(AD52&lt;0,0,(1/(1+'Input '!$E$404)^('Valuation '!AD52/Days_Year)))</f>
        <v>3.6432513415834963E-2</v>
      </c>
      <c r="AE53" s="226">
        <f>IF(AE52&lt;0,0,(1/(1+'Input '!$E$404)^('Valuation '!AE52/Days_Year)))</f>
        <v>3.1330255320394088E-2</v>
      </c>
      <c r="AF53" s="226">
        <f>IF(AF52&lt;0,0,(1/(1+'Input '!$E$404)^('Valuation '!AF52/Days_Year)))</f>
        <v>2.6953661212474812E-2</v>
      </c>
      <c r="AG53" s="226">
        <f>IF(AG52&lt;0,0,(1/(1+'Input '!$E$404)^('Valuation '!AG52/Days_Year)))</f>
        <v>2.3188443417630319E-2</v>
      </c>
      <c r="AH53" s="226">
        <f>IF(AH52&lt;0,0,(1/(1+'Input '!$E$404)^('Valuation '!AH52/Days_Year)))</f>
        <v>1.9949197398228785E-2</v>
      </c>
      <c r="AI53" s="226">
        <f>IF(AI52&lt;0,0,(1/(1+'Input '!$E$404)^('Valuation '!AI52/Days_Year)))</f>
        <v>1.7155375496322317E-2</v>
      </c>
      <c r="AJ53" s="226">
        <f>IF(AJ52&lt;0,0,(1/(1+'Input '!$E$404)^('Valuation '!AJ52/Days_Year)))</f>
        <v>1.4758902357226213E-2</v>
      </c>
      <c r="AK53" s="226">
        <f>IF(AK52&lt;0,0,(1/(1+'Input '!$E$404)^('Valuation '!AK52/Days_Year)))</f>
        <v>1.2697197962051838E-2</v>
      </c>
      <c r="AL53" s="226">
        <f>IF(AL52&lt;0,0,(1/(1+'Input '!$E$404)^('Valuation '!AL52/Days_Year)))</f>
        <v>1.092349770906898E-2</v>
      </c>
      <c r="AM53" s="226">
        <f>IF(AM52&lt;0,0,(1/(1+'Input '!$E$404)^('Valuation '!AM52/Days_Year)))</f>
        <v>9.3936964576295731E-3</v>
      </c>
      <c r="AN53" s="226">
        <f>IF(AN52&lt;0,0,(1/(1+'Input '!$E$404)^('Valuation '!AN52/Days_Year)))</f>
        <v>8.0814697889473701E-3</v>
      </c>
      <c r="AO53" s="226">
        <f>IF(AO52&lt;0,0,(1/(1+'Input '!$E$404)^('Valuation '!AO52/Days_Year)))</f>
        <v>6.9525510265582456E-3</v>
      </c>
      <c r="AP53" s="226">
        <f>IF(AP52&lt;0,0,(1/(1+'Input '!$E$404)^('Valuation '!AP52/Days_Year)))</f>
        <v>5.9813334751316624E-3</v>
      </c>
      <c r="AQ53" s="226">
        <f>IF(AQ52&lt;0,0,(1/(1+'Input '!$E$404)^('Valuation '!AQ52/Days_Year)))</f>
        <v>5.1436666692022759E-3</v>
      </c>
      <c r="AR53" s="226">
        <f>IF(AR52&lt;0,0,(1/(1+'Input '!$E$404)^('Valuation '!AR52/Days_Year)))</f>
        <v>4.4251362580288401E-3</v>
      </c>
      <c r="AS53" s="226">
        <f>IF(AS52&lt;0,0,(1/(1+'Input '!$E$404)^('Valuation '!AS52/Days_Year)))</f>
        <v>3.8069789823994217E-3</v>
      </c>
      <c r="AT53" s="226">
        <f>IF(AT52&lt;0,0,(1/(1+'Input '!$E$404)^('Valuation '!AT52/Days_Year)))</f>
        <v>3.2751734923721484E-3</v>
      </c>
      <c r="AU53" s="226">
        <f>IF(AU52&lt;0,0,(1/(1+'Input '!$E$404)^('Valuation '!AU52/Days_Year)))</f>
        <v>2.8164958196380432E-3</v>
      </c>
      <c r="AV53" s="226">
        <f>IF(AV52&lt;0,0,(1/(1+'Input '!$E$404)^('Valuation '!AV52/Days_Year)))</f>
        <v>2.4230531590803688E-3</v>
      </c>
      <c r="AW53" s="226">
        <f>IF(AW52&lt;0,0,(1/(1+'Input '!$E$404)^('Valuation '!AW52/Days_Year)))</f>
        <v>2.0845713921506456E-3</v>
      </c>
    </row>
    <row r="54" spans="1:49">
      <c r="AK54" s="42">
        <f>SUM(I54:AI54)</f>
        <v>0</v>
      </c>
    </row>
    <row r="55" spans="1:49">
      <c r="B55" s="50" t="s">
        <v>555</v>
      </c>
      <c r="AK55" s="42">
        <f>SUM(I55:AI55)</f>
        <v>0</v>
      </c>
    </row>
    <row r="56" spans="1:49">
      <c r="B56" s="222" t="s">
        <v>521</v>
      </c>
      <c r="C56" s="15" t="str">
        <f>$C$10</f>
        <v>US$</v>
      </c>
      <c r="D56" s="53">
        <f ca="1">SUM(I56:AW56)</f>
        <v>36683580513.899956</v>
      </c>
      <c r="I56" s="53">
        <f ca="1">I57-I14</f>
        <v>-715288869.70235205</v>
      </c>
      <c r="J56" s="53">
        <f t="shared" ref="J56:AW56" ca="1" si="9">J57-J14</f>
        <v>-526846458.1377157</v>
      </c>
      <c r="K56" s="53">
        <f t="shared" ca="1" si="9"/>
        <v>0</v>
      </c>
      <c r="L56" s="53">
        <f t="shared" ca="1" si="9"/>
        <v>155025276.2896556</v>
      </c>
      <c r="M56" s="53">
        <f t="shared" ca="1" si="9"/>
        <v>227347039.43063083</v>
      </c>
      <c r="N56" s="53">
        <f ca="1">N57-N14</f>
        <v>447105977.86860108</v>
      </c>
      <c r="O56" s="53">
        <f t="shared" ca="1" si="9"/>
        <v>539236900.7917757</v>
      </c>
      <c r="P56" s="53">
        <f t="shared" ca="1" si="9"/>
        <v>634015458.82652903</v>
      </c>
      <c r="Q56" s="53">
        <f t="shared" ca="1" si="9"/>
        <v>736962009.65508687</v>
      </c>
      <c r="R56" s="53">
        <f t="shared" ca="1" si="9"/>
        <v>1069201244.9758735</v>
      </c>
      <c r="S56" s="53">
        <f t="shared" ca="1" si="9"/>
        <v>1321753006.1872973</v>
      </c>
      <c r="T56" s="53">
        <f t="shared" ca="1" si="9"/>
        <v>1460079916.4264703</v>
      </c>
      <c r="U56" s="53">
        <f t="shared" ca="1" si="9"/>
        <v>1599272611.1738844</v>
      </c>
      <c r="V56" s="53">
        <f t="shared" ca="1" si="9"/>
        <v>1735867177.3374655</v>
      </c>
      <c r="W56" s="53">
        <f t="shared" ca="1" si="9"/>
        <v>1881973109.7769814</v>
      </c>
      <c r="X56" s="53">
        <f t="shared" ca="1" si="9"/>
        <v>1662504770.8903124</v>
      </c>
      <c r="Y56" s="53">
        <f t="shared" ca="1" si="9"/>
        <v>1690499602.3641949</v>
      </c>
      <c r="Z56" s="53">
        <f t="shared" ca="1" si="9"/>
        <v>1720296051.7161939</v>
      </c>
      <c r="AA56" s="53">
        <f t="shared" ca="1" si="9"/>
        <v>1763771376.3160353</v>
      </c>
      <c r="AB56" s="53">
        <f t="shared" ca="1" si="9"/>
        <v>1786560316.0060952</v>
      </c>
      <c r="AC56" s="53">
        <f t="shared" ca="1" si="9"/>
        <v>1818720130.5951731</v>
      </c>
      <c r="AD56" s="53">
        <f t="shared" ca="1" si="9"/>
        <v>1853077663.9245281</v>
      </c>
      <c r="AE56" s="53">
        <f t="shared" ca="1" si="9"/>
        <v>1902483781.1744072</v>
      </c>
      <c r="AF56" s="53">
        <f t="shared" ca="1" si="9"/>
        <v>1945584997.5891891</v>
      </c>
      <c r="AG56" s="53">
        <f t="shared" ca="1" si="9"/>
        <v>1996798604.5151289</v>
      </c>
      <c r="AH56" s="53">
        <f t="shared" ca="1" si="9"/>
        <v>2048508811.7964764</v>
      </c>
      <c r="AI56" s="53">
        <f t="shared" ca="1" si="9"/>
        <v>2115037054.520983</v>
      </c>
      <c r="AJ56" s="53">
        <f t="shared" ca="1" si="9"/>
        <v>820033337.69299805</v>
      </c>
      <c r="AK56" s="53">
        <f t="shared" ca="1" si="9"/>
        <v>856865027.99649727</v>
      </c>
      <c r="AL56" s="53">
        <f t="shared" ca="1" si="9"/>
        <v>2137134585.9015586</v>
      </c>
      <c r="AM56" s="53">
        <f t="shared" si="9"/>
        <v>0</v>
      </c>
      <c r="AN56" s="53">
        <f t="shared" si="9"/>
        <v>0</v>
      </c>
      <c r="AO56" s="53">
        <f t="shared" si="9"/>
        <v>0</v>
      </c>
      <c r="AP56" s="53">
        <f t="shared" si="9"/>
        <v>0</v>
      </c>
      <c r="AQ56" s="53">
        <f t="shared" si="9"/>
        <v>0</v>
      </c>
      <c r="AR56" s="53">
        <f t="shared" si="9"/>
        <v>0</v>
      </c>
      <c r="AS56" s="53">
        <f t="shared" si="9"/>
        <v>0</v>
      </c>
      <c r="AT56" s="53">
        <f t="shared" si="9"/>
        <v>0</v>
      </c>
      <c r="AU56" s="53">
        <f t="shared" si="9"/>
        <v>0</v>
      </c>
      <c r="AV56" s="53">
        <f t="shared" si="9"/>
        <v>0</v>
      </c>
      <c r="AW56" s="53">
        <f t="shared" si="9"/>
        <v>0</v>
      </c>
    </row>
    <row r="57" spans="1:49">
      <c r="A57" s="220"/>
      <c r="B57" s="222" t="s">
        <v>526</v>
      </c>
      <c r="C57" s="15" t="str">
        <f>$C$10</f>
        <v>US$</v>
      </c>
      <c r="D57" s="53">
        <f ca="1">SUM(I57:AI57)</f>
        <v>19968777340.613289</v>
      </c>
      <c r="I57" s="42">
        <f ca="1">I23</f>
        <v>-715288869.70235205</v>
      </c>
      <c r="J57" s="42">
        <f t="shared" ref="J57:AW57" ca="1" si="10">J23</f>
        <v>-526846458.1377157</v>
      </c>
      <c r="K57" s="42">
        <f t="shared" ca="1" si="10"/>
        <v>0</v>
      </c>
      <c r="L57" s="42">
        <f t="shared" ca="1" si="10"/>
        <v>155025276.2896556</v>
      </c>
      <c r="M57" s="42">
        <f t="shared" ca="1" si="10"/>
        <v>227347039.43063083</v>
      </c>
      <c r="N57" s="42">
        <f t="shared" ca="1" si="10"/>
        <v>288124209.36050177</v>
      </c>
      <c r="O57" s="42">
        <f t="shared" ca="1" si="10"/>
        <v>361289591.41360027</v>
      </c>
      <c r="P57" s="42">
        <f t="shared" ca="1" si="10"/>
        <v>438596621.84971422</v>
      </c>
      <c r="Q57" s="42">
        <f t="shared" ca="1" si="10"/>
        <v>523411100.51175404</v>
      </c>
      <c r="R57" s="42">
        <f t="shared" ca="1" si="10"/>
        <v>573449769.13911676</v>
      </c>
      <c r="S57" s="42">
        <f t="shared" ca="1" si="10"/>
        <v>683330946.14545572</v>
      </c>
      <c r="T57" s="42">
        <f t="shared" ca="1" si="10"/>
        <v>783133296.44681394</v>
      </c>
      <c r="U57" s="42">
        <f t="shared" ca="1" si="10"/>
        <v>882001923.3333801</v>
      </c>
      <c r="V57" s="42">
        <f t="shared" ca="1" si="10"/>
        <v>976253719.36866021</v>
      </c>
      <c r="W57" s="42">
        <f t="shared" ca="1" si="10"/>
        <v>1077859338.8075821</v>
      </c>
      <c r="X57" s="42">
        <f t="shared" ca="1" si="10"/>
        <v>1098567416.7028735</v>
      </c>
      <c r="Y57" s="42">
        <f t="shared" ca="1" si="10"/>
        <v>1109680624.1883595</v>
      </c>
      <c r="Z57" s="42">
        <f t="shared" ca="1" si="10"/>
        <v>1121535370.4584107</v>
      </c>
      <c r="AA57" s="42">
        <f t="shared" ca="1" si="10"/>
        <v>1146362716.9640911</v>
      </c>
      <c r="AB57" s="42">
        <f t="shared" ca="1" si="10"/>
        <v>1149854305.7021184</v>
      </c>
      <c r="AC57" s="42">
        <f t="shared" ca="1" si="10"/>
        <v>1161885476.5317512</v>
      </c>
      <c r="AD57" s="42">
        <f t="shared" ca="1" si="10"/>
        <v>1175309556.3305271</v>
      </c>
      <c r="AE57" s="42">
        <f t="shared" ca="1" si="10"/>
        <v>1202981110.8956997</v>
      </c>
      <c r="AF57" s="42">
        <f t="shared" ca="1" si="10"/>
        <v>1223598212.6286387</v>
      </c>
      <c r="AG57" s="42">
        <f t="shared" ca="1" si="10"/>
        <v>1251506969.0331321</v>
      </c>
      <c r="AH57" s="42">
        <f t="shared" ca="1" si="10"/>
        <v>1279109353.3478193</v>
      </c>
      <c r="AI57" s="42">
        <f t="shared" ca="1" si="10"/>
        <v>1320698723.5730693</v>
      </c>
      <c r="AJ57" s="42">
        <f t="shared" ca="1" si="10"/>
        <v>0</v>
      </c>
      <c r="AK57" s="42">
        <f t="shared" ca="1" si="10"/>
        <v>0</v>
      </c>
      <c r="AL57" s="42">
        <f t="shared" ca="1" si="10"/>
        <v>1242135327.8400679</v>
      </c>
      <c r="AM57" s="42">
        <f t="shared" si="10"/>
        <v>0</v>
      </c>
      <c r="AN57" s="42">
        <f t="shared" si="10"/>
        <v>0</v>
      </c>
      <c r="AO57" s="42">
        <f t="shared" si="10"/>
        <v>0</v>
      </c>
      <c r="AP57" s="42">
        <f t="shared" si="10"/>
        <v>0</v>
      </c>
      <c r="AQ57" s="42">
        <f t="shared" si="10"/>
        <v>0</v>
      </c>
      <c r="AR57" s="42">
        <f t="shared" si="10"/>
        <v>0</v>
      </c>
      <c r="AS57" s="42">
        <f t="shared" si="10"/>
        <v>0</v>
      </c>
      <c r="AT57" s="42">
        <f>AT23</f>
        <v>0</v>
      </c>
      <c r="AU57" s="42">
        <f t="shared" si="10"/>
        <v>0</v>
      </c>
      <c r="AV57" s="42">
        <f t="shared" si="10"/>
        <v>0</v>
      </c>
      <c r="AW57" s="42">
        <f t="shared" si="10"/>
        <v>0</v>
      </c>
    </row>
    <row r="58" spans="1:49">
      <c r="AK58" s="42">
        <f>SUM(I58:AI58)</f>
        <v>0</v>
      </c>
    </row>
    <row r="60" spans="1:49">
      <c r="B60" s="50" t="s">
        <v>549</v>
      </c>
      <c r="D60" s="82" t="s">
        <v>558</v>
      </c>
      <c r="E60" s="82" t="s">
        <v>559</v>
      </c>
      <c r="F60" s="82" t="s">
        <v>560</v>
      </c>
    </row>
    <row r="61" spans="1:49">
      <c r="B61" s="222" t="s">
        <v>521</v>
      </c>
      <c r="D61" s="118">
        <f ca="1">NPV('Input '!$E$404,'Valuation '!I56:AW56)</f>
        <v>2312919587.7694035</v>
      </c>
      <c r="E61" s="99">
        <f ca="1">IRR(I56:AW56)</f>
        <v>0.3063659955128839</v>
      </c>
      <c r="F61" s="99">
        <f ca="1">MIRR(I56:AW56,0.1,0.18)</f>
        <v>0.20960719427444752</v>
      </c>
      <c r="I61" s="227" t="str">
        <f ca="1">IF(ISERROR(IRR($I56:I56)),"n/a",(IRR($I56:I56)))</f>
        <v>n/a</v>
      </c>
      <c r="J61" s="227" t="str">
        <f ca="1">IF(ISERROR(IRR($I56:J56)),"n/a",(IRR($I56:J56)))</f>
        <v>n/a</v>
      </c>
      <c r="K61" s="227" t="str">
        <f ca="1">IF(ISERROR(IRR($I56:K56)),"n/a",(IRR($I56:K56)))</f>
        <v>n/a</v>
      </c>
      <c r="L61" s="227">
        <f ca="1">IF(ISERROR(IRR($I56:L56)),"n/a",(IRR($I56:L56)))</f>
        <v>-0.56912950807766105</v>
      </c>
      <c r="M61" s="227">
        <f ca="1">IF(ISERROR(IRR($I56:M56)),"n/a",(IRR($I56:M56)))</f>
        <v>-0.31058266483593244</v>
      </c>
      <c r="N61" s="227">
        <f ca="1">IF(ISERROR(IRR($I56:N56)),"n/a",(IRR($I56:N56)))</f>
        <v>-9.7276029392564078E-2</v>
      </c>
      <c r="O61" s="227">
        <f ca="1">IF(ISERROR(IRR($I56:O56)),"n/a",(IRR($I56:O56)))</f>
        <v>2.1466153309590341E-2</v>
      </c>
      <c r="P61" s="227">
        <f ca="1">IF(ISERROR(IRR($I56:P56)),"n/a",(IRR($I56:P56)))</f>
        <v>9.7242808156963845E-2</v>
      </c>
      <c r="Q61" s="227">
        <f ca="1">IF(ISERROR(IRR($I56:Q56)),"n/a",(IRR($I56:Q56)))</f>
        <v>0.14879400416832245</v>
      </c>
      <c r="R61" s="227">
        <f ca="1">IF(ISERROR(IRR($I56:R56)),"n/a",(IRR($I56:R56)))</f>
        <v>0.19317962739562278</v>
      </c>
      <c r="S61" s="227">
        <f ca="1">IF(ISERROR(IRR($I56:S56)),"n/a",(IRR($I56:S56)))</f>
        <v>0.22596287039536356</v>
      </c>
      <c r="T61" s="227">
        <f ca="1">IF(ISERROR(IRR($I56:T56)),"n/a",(IRR($I56:T56)))</f>
        <v>0.24856916086241077</v>
      </c>
      <c r="U61" s="227">
        <f ca="1">IF(ISERROR(IRR($I56:U56)),"n/a",(IRR($I56:U56)))</f>
        <v>0.2646936108043012</v>
      </c>
      <c r="V61" s="227">
        <f ca="1">IF(ISERROR(IRR($I56:V56)),"n/a",(IRR($I56:V56)))</f>
        <v>0.27643831774932348</v>
      </c>
      <c r="W61" s="227">
        <f ca="1">IF(ISERROR(IRR($I56:W56)),"n/a",(IRR($I56:W56)))</f>
        <v>0.28517827656810657</v>
      </c>
      <c r="X61" s="227">
        <f ca="1">IF(ISERROR(IRR($I56:X56)),"n/a",(IRR($I56:X56)))</f>
        <v>0.29061769812172056</v>
      </c>
      <c r="Y61" s="227">
        <f ca="1">IF(ISERROR(IRR($I56:Y56)),"n/a",(IRR($I56:Y56)))</f>
        <v>0.29460441363522127</v>
      </c>
      <c r="Z61" s="227">
        <f ca="1">IF(ISERROR(IRR($I56:Z56)),"n/a",(IRR($I56:Z56)))</f>
        <v>0.29756228047218225</v>
      </c>
      <c r="AA61" s="227">
        <f ca="1">IF(ISERROR(IRR($I56:AA56)),"n/a",(IRR($I56:AA56)))</f>
        <v>0.29979301251708046</v>
      </c>
      <c r="AB61" s="227">
        <f ca="1">IF(ISERROR(IRR($I56:AB56)),"n/a",(IRR($I56:AB56)))</f>
        <v>0.30146708512813647</v>
      </c>
      <c r="AC61" s="227">
        <f ca="1">IF(ISERROR(IRR($I56:AC56)),"n/a",(IRR($I56:AC56)))</f>
        <v>0.30273726173053261</v>
      </c>
      <c r="AD61" s="227">
        <f ca="1">IF(ISERROR(IRR($I56:AD56)),"n/a",(IRR($I56:AD56)))</f>
        <v>0.30370642958910876</v>
      </c>
      <c r="AE61" s="227">
        <f ca="1">IF(ISERROR(IRR($I56:AE56)),"n/a",(IRR($I56:AE56)))</f>
        <v>0.30445440514441247</v>
      </c>
      <c r="AF61" s="227">
        <f ca="1">IF(ISERROR(IRR($I56:AF56)),"n/a",(IRR($I56:AF56)))</f>
        <v>0.30503119921240884</v>
      </c>
      <c r="AG61" s="227">
        <f ca="1">IF(ISERROR(IRR($I56:AG56)),"n/a",(IRR($I56:AG56)))</f>
        <v>0.30547872928903241</v>
      </c>
      <c r="AH61" s="227">
        <f ca="1">IF(ISERROR(IRR($I56:AH56)),"n/a",(IRR($I56:AH56)))</f>
        <v>0.30582654901880768</v>
      </c>
      <c r="AI61" s="227">
        <f ca="1">IF(ISERROR(IRR($I56:AI56)),"n/a",(IRR($I56:AI56)))</f>
        <v>0.30609907416334026</v>
      </c>
      <c r="AJ61" s="227">
        <f ca="1">IF(ISERROR(IRR($I56:AJ56)),"n/a",(IRR($I56:AJ56)))</f>
        <v>0.30617954025880367</v>
      </c>
      <c r="AK61" s="227">
        <f ca="1">IF(ISERROR(IRR($I56:AK56)),"n/a",(IRR($I56:AK56)))</f>
        <v>0.30624376134336306</v>
      </c>
      <c r="AL61" s="227">
        <f ca="1">IF(ISERROR(IRR($I56:AL56)),"n/a",(IRR($I56:AL56)))</f>
        <v>0.3063659955128839</v>
      </c>
      <c r="AM61" s="227">
        <f ca="1">IF(ISERROR(IRR($I56:AM56)),"n/a",(IRR($I56:AM56)))</f>
        <v>0.3063659955128839</v>
      </c>
      <c r="AN61" s="227">
        <f ca="1">IF(ISERROR(IRR($I56:AN56)),"n/a",(IRR($I56:AN56)))</f>
        <v>0.3063659955128839</v>
      </c>
      <c r="AO61" s="227">
        <f ca="1">IF(ISERROR(IRR($I56:AO56)),"n/a",(IRR($I56:AO56)))</f>
        <v>0.3063659955128839</v>
      </c>
      <c r="AP61" s="227">
        <f ca="1">IF(ISERROR(IRR($I56:AP56)),"n/a",(IRR($I56:AP56)))</f>
        <v>0.3063659955128839</v>
      </c>
      <c r="AQ61" s="227">
        <f ca="1">IF(ISERROR(IRR($I56:AQ56)),"n/a",(IRR($I56:AQ56)))</f>
        <v>0.3063659955128839</v>
      </c>
      <c r="AR61" s="227">
        <f ca="1">IF(ISERROR(IRR($I56:AR56)),"n/a",(IRR($I56:AR56)))</f>
        <v>0.3063659955128839</v>
      </c>
      <c r="AS61" s="227">
        <f ca="1">IF(ISERROR(IRR($I56:AS56)),"n/a",(IRR($I56:AS56)))</f>
        <v>0.3063659955128839</v>
      </c>
      <c r="AT61" s="227">
        <f ca="1">IF(ISERROR(IRR($I56:AT56)),"n/a",(IRR($I56:AT56)))</f>
        <v>0.3063659955128839</v>
      </c>
      <c r="AU61" s="227">
        <f ca="1">IF(ISERROR(IRR($I56:AU56)),"n/a",(IRR($I56:AU56)))</f>
        <v>0.3063659955128839</v>
      </c>
      <c r="AV61" s="227">
        <f ca="1">IF(ISERROR(IRR($I56:AV56)),"n/a",(IRR($I56:AV56)))</f>
        <v>0.3063659955128839</v>
      </c>
      <c r="AW61" s="227">
        <f ca="1">IF(ISERROR(IRR($I56:AW56)),"n/a",(IRR($I56:AW56)))</f>
        <v>0.3063659955128839</v>
      </c>
    </row>
    <row r="62" spans="1:49">
      <c r="B62" s="222" t="s">
        <v>526</v>
      </c>
      <c r="D62" s="118">
        <f ca="1">NPV('Input '!$E$404,'Valuation '!I57:AW57)</f>
        <v>1075436673.7856736</v>
      </c>
      <c r="E62" s="99">
        <f ca="1">IRR(I57:AW57)</f>
        <v>0.24681771688760357</v>
      </c>
      <c r="F62" s="99">
        <f ca="1">MIRR(I57:AW57,0.1,0.18)</f>
        <v>0.19576464924454773</v>
      </c>
      <c r="I62" s="227" t="str">
        <f ca="1">IF(ISERROR(IRR($I57:I57)),"n/a",(IRR($I57:I57)))</f>
        <v>n/a</v>
      </c>
      <c r="J62" s="227" t="str">
        <f ca="1">IF(ISERROR(IRR($I57:J57)),"n/a",(IRR($I57:J57)))</f>
        <v>n/a</v>
      </c>
      <c r="K62" s="227" t="str">
        <f ca="1">IF(ISERROR(IRR($I57:K57)),"n/a",(IRR($I57:K57)))</f>
        <v>n/a</v>
      </c>
      <c r="L62" s="227">
        <f ca="1">IF(ISERROR(IRR($I57:L57)),"n/a",(IRR($I57:L57)))</f>
        <v>-0.56912950807766105</v>
      </c>
      <c r="M62" s="227">
        <f ca="1">IF(ISERROR(IRR($I57:M57)),"n/a",(IRR($I57:M57)))</f>
        <v>-0.31058266483593244</v>
      </c>
      <c r="N62" s="227">
        <f ca="1">IF(ISERROR(IRR($I57:N57)),"n/a",(IRR($I57:N57)))</f>
        <v>-0.1496331926118325</v>
      </c>
      <c r="O62" s="227">
        <f ca="1">IF(ISERROR(IRR($I57:O57)),"n/a",(IRR($I57:O57)))</f>
        <v>-4.107361862826242E-2</v>
      </c>
      <c r="P62" s="227">
        <f ca="1">IF(ISERROR(IRR($I57:P57)),"n/a",(IRR($I57:P57)))</f>
        <v>3.4129365166512438E-2</v>
      </c>
      <c r="Q62" s="227">
        <f ca="1">IF(ISERROR(IRR($I57:Q57)),"n/a",(IRR($I57:Q57)))</f>
        <v>8.7916940480770922E-2</v>
      </c>
      <c r="R62" s="227">
        <f ca="1">IF(ISERROR(IRR($I57:R57)),"n/a",(IRR($I57:R57)))</f>
        <v>0.12504559178056862</v>
      </c>
      <c r="S62" s="227">
        <f ca="1">IF(ISERROR(IRR($I57:S57)),"n/a",(IRR($I57:S57)))</f>
        <v>0.15391998586580158</v>
      </c>
      <c r="T62" s="227">
        <f ca="1">IF(ISERROR(IRR($I57:T57)),"n/a",(IRR($I57:T57)))</f>
        <v>0.17595000410325423</v>
      </c>
      <c r="U62" s="227">
        <f ca="1">IF(ISERROR(IRR($I57:U57)),"n/a",(IRR($I57:U57)))</f>
        <v>0.19284769757200415</v>
      </c>
      <c r="V62" s="227">
        <f ca="1">IF(ISERROR(IRR($I57:V57)),"n/a",(IRR($I57:V57)))</f>
        <v>0.20585568191015513</v>
      </c>
      <c r="W62" s="227">
        <f ca="1">IF(ISERROR(IRR($I57:W57)),"n/a",(IRR($I57:W57)))</f>
        <v>0.21602655632623358</v>
      </c>
      <c r="X62" s="227">
        <f ca="1">IF(ISERROR(IRR($I57:X57)),"n/a",(IRR($I57:X57)))</f>
        <v>0.22351055168251954</v>
      </c>
      <c r="Y62" s="227">
        <f ca="1">IF(ISERROR(IRR($I57:Y57)),"n/a",(IRR($I57:Y57)))</f>
        <v>0.229077823665915</v>
      </c>
      <c r="Z62" s="227">
        <f ca="1">IF(ISERROR(IRR($I57:Z57)),"n/a",(IRR($I57:Z57)))</f>
        <v>0.2332859497232842</v>
      </c>
      <c r="AA62" s="227">
        <f ca="1">IF(ISERROR(IRR($I57:AA57)),"n/a",(IRR($I57:AA57)))</f>
        <v>0.23654040101998985</v>
      </c>
      <c r="AB62" s="227">
        <f ca="1">IF(ISERROR(IRR($I57:AB57)),"n/a",(IRR($I57:AB57)))</f>
        <v>0.23903375293326357</v>
      </c>
      <c r="AC62" s="227">
        <f ca="1">IF(ISERROR(IRR($I57:AC57)),"n/a",(IRR($I57:AC57)))</f>
        <v>0.24097361334075917</v>
      </c>
      <c r="AD62" s="227">
        <f ca="1">IF(ISERROR(IRR($I57:AD57)),"n/a",(IRR($I57:AD57)))</f>
        <v>0.24249412279243043</v>
      </c>
      <c r="AE62" s="227">
        <f ca="1">IF(ISERROR(IRR($I57:AE57)),"n/a",(IRR($I57:AE57)))</f>
        <v>0.24370619868305221</v>
      </c>
      <c r="AF62" s="227">
        <f ca="1">IF(ISERROR(IRR($I57:AF57)),"n/a",(IRR($I57:AF57)))</f>
        <v>0.24467036396752739</v>
      </c>
      <c r="AG62" s="227">
        <f ca="1">IF(ISERROR(IRR($I57:AG57)),"n/a",(IRR($I57:AG57)))</f>
        <v>0.24544434026743667</v>
      </c>
      <c r="AH62" s="227">
        <f ca="1">IF(ISERROR(IRR($I57:AH57)),"n/a",(IRR($I57:AH57)))</f>
        <v>0.24606702337831865</v>
      </c>
      <c r="AI62" s="227">
        <f ca="1">IF(ISERROR(IRR($I57:AI57)),"n/a",(IRR($I57:AI57)))</f>
        <v>0.24657435463409105</v>
      </c>
      <c r="AJ62" s="227">
        <f ca="1">IF(ISERROR(IRR($I57:AJ57)),"n/a",(IRR($I57:AJ57)))</f>
        <v>0.24657435463409105</v>
      </c>
      <c r="AK62" s="227">
        <f ca="1">IF(ISERROR(IRR($I57:AK57)),"n/a",(IRR($I57:AK57)))</f>
        <v>0.24657435463409105</v>
      </c>
      <c r="AL62" s="227">
        <f ca="1">IF(ISERROR(IRR($I57:AL57)),"n/a",(IRR($I57:AL57)))</f>
        <v>0.24681771688760357</v>
      </c>
      <c r="AM62" s="227">
        <f ca="1">IF(ISERROR(IRR($I57:AM57)),"n/a",(IRR($I57:AM57)))</f>
        <v>0.24681771688760357</v>
      </c>
      <c r="AN62" s="227">
        <f ca="1">IF(ISERROR(IRR($I57:AN57)),"n/a",(IRR($I57:AN57)))</f>
        <v>0.24681771688760357</v>
      </c>
      <c r="AO62" s="227">
        <f ca="1">IF(ISERROR(IRR($I57:AO57)),"n/a",(IRR($I57:AO57)))</f>
        <v>0.24681771688760357</v>
      </c>
      <c r="AP62" s="227">
        <f ca="1">IF(ISERROR(IRR($I57:AP57)),"n/a",(IRR($I57:AP57)))</f>
        <v>0.24681771688760357</v>
      </c>
      <c r="AQ62" s="227">
        <f ca="1">IF(ISERROR(IRR($I57:AQ57)),"n/a",(IRR($I57:AQ57)))</f>
        <v>0.24681771688760357</v>
      </c>
      <c r="AR62" s="227">
        <f ca="1">IF(ISERROR(IRR($I57:AR57)),"n/a",(IRR($I57:AR57)))</f>
        <v>0.24681771688760357</v>
      </c>
      <c r="AS62" s="227">
        <f ca="1">IF(ISERROR(IRR($I57:AS57)),"n/a",(IRR($I57:AS57)))</f>
        <v>0.24681771688760357</v>
      </c>
      <c r="AT62" s="227">
        <f ca="1">IF(ISERROR(IRR($I57:AT57)),"n/a",(IRR($I57:AT57)))</f>
        <v>0.24681771688760357</v>
      </c>
      <c r="AU62" s="227">
        <f ca="1">IF(ISERROR(IRR($I57:AU57)),"n/a",(IRR($I57:AU57)))</f>
        <v>0.24681771688760357</v>
      </c>
      <c r="AV62" s="227">
        <f ca="1">IF(ISERROR(IRR($I57:AV57)),"n/a",(IRR($I57:AV57)))</f>
        <v>0.24681771688760357</v>
      </c>
      <c r="AW62" s="227">
        <f ca="1">IF(ISERROR(IRR($I57:AW57)),"n/a",(IRR($I57:AW57)))</f>
        <v>0.24681771688760357</v>
      </c>
    </row>
    <row r="64" spans="1:49">
      <c r="A64" s="220"/>
    </row>
    <row r="65" spans="1:50">
      <c r="B65" s="50" t="s">
        <v>556</v>
      </c>
    </row>
    <row r="66" spans="1:50">
      <c r="B66" s="222" t="s">
        <v>521</v>
      </c>
      <c r="C66" s="15" t="str">
        <f>$C$10</f>
        <v>US$</v>
      </c>
      <c r="I66" s="42">
        <f ca="1">I67-I14</f>
        <v>-715288869.70235205</v>
      </c>
      <c r="J66" s="42">
        <f t="shared" ref="J66:AI66" ca="1" si="11">J67-J14</f>
        <v>-526846458.1377157</v>
      </c>
      <c r="K66" s="42">
        <f ca="1">K67-K14</f>
        <v>632979160.75820112</v>
      </c>
      <c r="L66" s="42">
        <f t="shared" ca="1" si="11"/>
        <v>1033501841.9310374</v>
      </c>
      <c r="M66" s="42">
        <f t="shared" ca="1" si="11"/>
        <v>1515646929.537539</v>
      </c>
      <c r="N66" s="42">
        <f t="shared" ca="1" si="11"/>
        <v>2085072373.548166</v>
      </c>
      <c r="O66" s="42">
        <f t="shared" ca="1" si="11"/>
        <v>2579963718.5942788</v>
      </c>
      <c r="P66" s="42">
        <f t="shared" ca="1" si="11"/>
        <v>3119396315.9749098</v>
      </c>
      <c r="Q66" s="42">
        <f t="shared" ca="1" si="11"/>
        <v>3702958245.88836</v>
      </c>
      <c r="R66" s="42">
        <f t="shared" ca="1" si="11"/>
        <v>4329223905.1503048</v>
      </c>
      <c r="S66" s="42">
        <f ca="1">S67-S14</f>
        <v>5181514871.3914099</v>
      </c>
      <c r="T66" s="42">
        <f ca="1">T67-T14</f>
        <v>5897835262.958416</v>
      </c>
      <c r="U66" s="42">
        <f ca="1">U67-U14</f>
        <v>6597283510.0630379</v>
      </c>
      <c r="V66" s="42">
        <f t="shared" ca="1" si="11"/>
        <v>7285802705.2551918</v>
      </c>
      <c r="W66" s="42">
        <f t="shared" ca="1" si="11"/>
        <v>7970209557.2128868</v>
      </c>
      <c r="X66" s="42">
        <f t="shared" ca="1" si="11"/>
        <v>7887720132.2065954</v>
      </c>
      <c r="Y66" s="42">
        <f t="shared" ca="1" si="11"/>
        <v>7978689806.0982323</v>
      </c>
      <c r="Z66" s="42">
        <f t="shared" ca="1" si="11"/>
        <v>8096147815.2811317</v>
      </c>
      <c r="AA66" s="42">
        <f t="shared" ca="1" si="11"/>
        <v>8238945848.639616</v>
      </c>
      <c r="AB66" s="42">
        <f t="shared" ca="1" si="11"/>
        <v>8397053121.2377234</v>
      </c>
      <c r="AC66" s="42">
        <f t="shared" ca="1" si="11"/>
        <v>8593174908.0848942</v>
      </c>
      <c r="AD66" s="42">
        <f t="shared" ca="1" si="11"/>
        <v>8821014384.2145538</v>
      </c>
      <c r="AE66" s="42">
        <f t="shared" ca="1" si="11"/>
        <v>9078802978.6801758</v>
      </c>
      <c r="AF66" s="42">
        <f t="shared" ca="1" si="11"/>
        <v>9355672115.6395721</v>
      </c>
      <c r="AG66" s="42">
        <f t="shared" ca="1" si="11"/>
        <v>9659843146.188076</v>
      </c>
      <c r="AH66" s="42">
        <f t="shared" ca="1" si="11"/>
        <v>9986357969.8839855</v>
      </c>
      <c r="AI66" s="42">
        <f t="shared" ca="1" si="11"/>
        <v>10334972444.73597</v>
      </c>
      <c r="AJ66" s="42">
        <f ca="1">AJ67-AJ14</f>
        <v>10695326552.300941</v>
      </c>
      <c r="AK66" s="42">
        <f t="shared" ref="AK66:AV66" ca="1" si="12">AK67-AK14</f>
        <v>12462049427.399378</v>
      </c>
      <c r="AL66" s="42">
        <f t="shared" ca="1" si="12"/>
        <v>14641153304.394901</v>
      </c>
      <c r="AM66" s="42">
        <f t="shared" si="12"/>
        <v>0</v>
      </c>
      <c r="AN66" s="42">
        <f t="shared" si="12"/>
        <v>0</v>
      </c>
      <c r="AO66" s="42">
        <f t="shared" si="12"/>
        <v>0</v>
      </c>
      <c r="AP66" s="42">
        <f t="shared" si="12"/>
        <v>0</v>
      </c>
      <c r="AQ66" s="42">
        <f t="shared" si="12"/>
        <v>0</v>
      </c>
      <c r="AR66" s="42">
        <f t="shared" si="12"/>
        <v>0</v>
      </c>
      <c r="AS66" s="42">
        <f t="shared" si="12"/>
        <v>0</v>
      </c>
      <c r="AT66" s="42">
        <f t="shared" si="12"/>
        <v>0</v>
      </c>
      <c r="AU66" s="42">
        <f t="shared" si="12"/>
        <v>0</v>
      </c>
      <c r="AV66" s="42">
        <f t="shared" si="12"/>
        <v>0</v>
      </c>
      <c r="AW66" s="42">
        <f>AW67-AW14</f>
        <v>0</v>
      </c>
      <c r="AX66" s="42">
        <f>AX67-AX14</f>
        <v>0</v>
      </c>
    </row>
    <row r="67" spans="1:50">
      <c r="B67" s="222" t="s">
        <v>526</v>
      </c>
      <c r="C67" s="15" t="str">
        <f>$C$10</f>
        <v>US$</v>
      </c>
      <c r="I67" s="42">
        <f ca="1">I29</f>
        <v>-715288869.70235205</v>
      </c>
      <c r="J67" s="42">
        <f t="shared" ref="J67:AV67" ca="1" si="13">J29</f>
        <v>-526846458.1377157</v>
      </c>
      <c r="K67" s="42">
        <f ca="1">K29</f>
        <v>632979160.75820112</v>
      </c>
      <c r="L67" s="42">
        <f t="shared" ca="1" si="13"/>
        <v>1033501841.9310374</v>
      </c>
      <c r="M67" s="42">
        <f t="shared" ca="1" si="13"/>
        <v>1515646929.537539</v>
      </c>
      <c r="N67" s="42">
        <f t="shared" ca="1" si="13"/>
        <v>1926090605.0400667</v>
      </c>
      <c r="O67" s="42">
        <f t="shared" ca="1" si="13"/>
        <v>2402016409.2161036</v>
      </c>
      <c r="P67" s="42">
        <f t="shared" ca="1" si="13"/>
        <v>2923977478.998095</v>
      </c>
      <c r="Q67" s="42">
        <f t="shared" ca="1" si="13"/>
        <v>3489407336.7450271</v>
      </c>
      <c r="R67" s="42">
        <f t="shared" ca="1" si="13"/>
        <v>3833472429.3135481</v>
      </c>
      <c r="S67" s="42">
        <f t="shared" ca="1" si="13"/>
        <v>4543092811.3495684</v>
      </c>
      <c r="T67" s="42">
        <f ca="1">T29</f>
        <v>5220888642.9787598</v>
      </c>
      <c r="U67" s="42">
        <f ca="1">U29</f>
        <v>5880012822.2225342</v>
      </c>
      <c r="V67" s="42">
        <f t="shared" ca="1" si="13"/>
        <v>6526189247.2863865</v>
      </c>
      <c r="W67" s="42">
        <f t="shared" ca="1" si="13"/>
        <v>7166095786.2434874</v>
      </c>
      <c r="X67" s="42">
        <f t="shared" ca="1" si="13"/>
        <v>7323782778.0191565</v>
      </c>
      <c r="Y67" s="42">
        <f t="shared" ca="1" si="13"/>
        <v>7397870827.9223967</v>
      </c>
      <c r="Z67" s="42">
        <f t="shared" ca="1" si="13"/>
        <v>7497387134.0233488</v>
      </c>
      <c r="AA67" s="42">
        <f t="shared" ca="1" si="13"/>
        <v>7621537189.287672</v>
      </c>
      <c r="AB67" s="42">
        <f t="shared" ca="1" si="13"/>
        <v>7760347110.9337463</v>
      </c>
      <c r="AC67" s="42">
        <f t="shared" ca="1" si="13"/>
        <v>7936340254.0214729</v>
      </c>
      <c r="AD67" s="42">
        <f t="shared" ca="1" si="13"/>
        <v>8143246276.6205521</v>
      </c>
      <c r="AE67" s="42">
        <f t="shared" ca="1" si="13"/>
        <v>8379300308.4014683</v>
      </c>
      <c r="AF67" s="42">
        <f t="shared" ca="1" si="13"/>
        <v>8633685330.6790218</v>
      </c>
      <c r="AG67" s="42">
        <f t="shared" ca="1" si="13"/>
        <v>8914551510.7060795</v>
      </c>
      <c r="AH67" s="42">
        <f t="shared" ca="1" si="13"/>
        <v>9216958511.4353294</v>
      </c>
      <c r="AI67" s="42">
        <f t="shared" ca="1" si="13"/>
        <v>9540634113.7880554</v>
      </c>
      <c r="AJ67" s="42">
        <f ca="1">AJ29</f>
        <v>9875293214.6079426</v>
      </c>
      <c r="AK67" s="42">
        <f t="shared" ca="1" si="13"/>
        <v>11605184399.40288</v>
      </c>
      <c r="AL67" s="42">
        <f t="shared" ca="1" si="13"/>
        <v>13746154046.33341</v>
      </c>
      <c r="AM67" s="42">
        <f t="shared" si="13"/>
        <v>0</v>
      </c>
      <c r="AN67" s="42">
        <f t="shared" si="13"/>
        <v>0</v>
      </c>
      <c r="AO67" s="42">
        <f t="shared" si="13"/>
        <v>0</v>
      </c>
      <c r="AP67" s="42">
        <f t="shared" si="13"/>
        <v>0</v>
      </c>
      <c r="AQ67" s="42">
        <f t="shared" si="13"/>
        <v>0</v>
      </c>
      <c r="AR67" s="42">
        <f t="shared" si="13"/>
        <v>0</v>
      </c>
      <c r="AS67" s="42">
        <f t="shared" si="13"/>
        <v>0</v>
      </c>
      <c r="AT67" s="42">
        <f t="shared" si="13"/>
        <v>0</v>
      </c>
      <c r="AU67" s="42">
        <f t="shared" si="13"/>
        <v>0</v>
      </c>
      <c r="AV67" s="42">
        <f t="shared" si="13"/>
        <v>0</v>
      </c>
      <c r="AW67" s="42">
        <f>AW29</f>
        <v>0</v>
      </c>
      <c r="AX67" s="42">
        <f>AX29</f>
        <v>0</v>
      </c>
    </row>
    <row r="70" spans="1:50">
      <c r="B70" s="50" t="s">
        <v>549</v>
      </c>
      <c r="D70" s="82" t="s">
        <v>558</v>
      </c>
      <c r="E70" s="82" t="s">
        <v>559</v>
      </c>
      <c r="F70" s="2" t="s">
        <v>1288</v>
      </c>
    </row>
    <row r="71" spans="1:50" ht="12" customHeight="1">
      <c r="B71" s="222" t="s">
        <v>521</v>
      </c>
      <c r="C71" s="15"/>
      <c r="D71" s="118">
        <f ca="1">NPV('Input '!$E$404,'Valuation '!I66:AW66)</f>
        <v>14948590002.5301</v>
      </c>
      <c r="E71" s="99">
        <f ca="1">IRR(I66:AW66)</f>
        <v>0.72826709707801207</v>
      </c>
      <c r="F71" s="99">
        <f ca="1">MIRR(I66:AW66,0.1,0.18)</f>
        <v>0.25814043562946343</v>
      </c>
      <c r="G71" s="49"/>
      <c r="I71" s="227" t="str">
        <f ca="1">IF(ISERROR(IRR($I66:I66)),"n/a",(IRR($I66:I66)))</f>
        <v>n/a</v>
      </c>
      <c r="J71" s="227" t="str">
        <f ca="1">IF(ISERROR(IRR($I66:J66)),"n/a",(IRR($I66:J66)))</f>
        <v>n/a</v>
      </c>
      <c r="K71" s="227">
        <f ca="1">IF(ISERROR(IRR($I66:K66)),"n/a",(IRR($I66:K66)))</f>
        <v>-0.35805022486632743</v>
      </c>
      <c r="L71" s="227">
        <f ca="1">IF(ISERROR(IRR($I66:L66)),"n/a",(IRR($I66:L66)))</f>
        <v>0.14317145403834219</v>
      </c>
      <c r="M71" s="227">
        <f ca="1">IF(ISERROR(IRR($I66:M66)),"n/a",(IRR($I66:M66)))</f>
        <v>0.40118558022915574</v>
      </c>
      <c r="N71" s="227">
        <f ca="1">IF(ISERROR(IRR($I66:N66)),"n/a",(IRR($I66:N66)))</f>
        <v>0.5412422178886358</v>
      </c>
      <c r="O71" s="227">
        <f ca="1">IF(ISERROR(IRR($I66:O66)),"n/a",(IRR($I66:O66)))</f>
        <v>0.61702817761273843</v>
      </c>
      <c r="P71" s="227">
        <f ca="1">IF(ISERROR(IRR($I66:P66)),"n/a",(IRR($I66:P66)))</f>
        <v>0.66048135613470649</v>
      </c>
      <c r="Q71" s="227">
        <f ca="1">IF(ISERROR(IRR($I66:Q66)),"n/a",(IRR($I66:Q66)))</f>
        <v>0.68632071282497531</v>
      </c>
      <c r="R71" s="227">
        <f ca="1">IF(ISERROR(IRR($I66:R66)),"n/a",(IRR($I66:R66)))</f>
        <v>0.70205886155655106</v>
      </c>
      <c r="S71" s="227">
        <f ca="1">IF(ISERROR(IRR($I66:S66)),"n/a",(IRR($I66:S66)))</f>
        <v>0.71214356675268831</v>
      </c>
      <c r="T71" s="227">
        <f ca="1">IF(ISERROR(IRR($I66:T66)),"n/a",(IRR($I66:T66)))</f>
        <v>0.7184142727042897</v>
      </c>
      <c r="U71" s="227">
        <f ca="1">IF(ISERROR(IRR($I66:U66)),"n/a",(IRR($I66:U66)))</f>
        <v>0.72230967224286613</v>
      </c>
      <c r="V71" s="227">
        <f ca="1">IF(ISERROR(IRR($I66:V66)),"n/a",(IRR($I66:V66)))</f>
        <v>0.72472789940035942</v>
      </c>
      <c r="W71" s="227">
        <f ca="1">IF(ISERROR(IRR($I66:W66)),"n/a",(IRR($I66:W66)))</f>
        <v>0.72622802916006113</v>
      </c>
      <c r="X71" s="227">
        <f ca="1">IF(ISERROR(IRR($I66:X66)),"n/a",(IRR($I66:X66)))</f>
        <v>0.7270756270787786</v>
      </c>
      <c r="Y71" s="227">
        <f ca="1">IF(ISERROR(IRR($I66:Y66)),"n/a",(IRR($I66:Y66)))</f>
        <v>0.72756758075045602</v>
      </c>
      <c r="Z71" s="227">
        <f ca="1">IF(ISERROR(IRR($I66:Z66)),"n/a",(IRR($I66:Z66)))</f>
        <v>0.72785489409096127</v>
      </c>
      <c r="AA71" s="227">
        <f ca="1">IF(ISERROR(IRR($I66:AA66)),"n/a",(IRR($I66:AA66)))</f>
        <v>0.7280235019540946</v>
      </c>
      <c r="AB71" s="227">
        <f ca="1">IF(ISERROR(IRR($I66:AB66)),"n/a",(IRR($I66:AB66)))</f>
        <v>0.72812272170076464</v>
      </c>
      <c r="AC71" s="227">
        <f ca="1">IF(ISERROR(IRR($I66:AC66)),"n/a",(IRR($I66:AC66)))</f>
        <v>0.72818139357816003</v>
      </c>
      <c r="AD71" s="227">
        <f ca="1">IF(ISERROR(IRR($I66:AD66)),"n/a",(IRR($I66:AD66)))</f>
        <v>0.72821621246245449</v>
      </c>
      <c r="AE71" s="227">
        <f ca="1">IF(ISERROR(IRR($I66:AE66)),"n/a",(IRR($I66:AE66)))</f>
        <v>0.72823693680715262</v>
      </c>
      <c r="AF71" s="227">
        <f ca="1">IF(ISERROR(IRR($I66:AF66)),"n/a",(IRR($I66:AF66)))</f>
        <v>0.72824928971247194</v>
      </c>
      <c r="AG71" s="227">
        <f ca="1">IF(ISERROR(IRR($I66:AG66)),"n/a",(IRR($I66:AG66)))</f>
        <v>0.72825666808374501</v>
      </c>
      <c r="AH71" s="227">
        <f ca="1">IF(ISERROR(IRR($I66:AH66)),"n/a",(IRR($I66:AH66)))</f>
        <v>0.72826108102564913</v>
      </c>
      <c r="AI71" s="227">
        <f ca="1">IF(ISERROR(IRR($I66:AI66)),"n/a",(IRR($I66:AI66)))</f>
        <v>0.72826372332925327</v>
      </c>
      <c r="AJ71" s="227">
        <f ca="1">IF(ISERROR(IRR($I66:AJ66)),"n/a",(IRR($I66:AJ66)))</f>
        <v>0.72826530542737089</v>
      </c>
      <c r="AK71" s="227">
        <f ca="1">IF(ISERROR(IRR($I66:AK66)),"n/a",(IRR($I66:AK66)))</f>
        <v>0.72826637203007571</v>
      </c>
      <c r="AL71" s="227">
        <f ca="1">IF(ISERROR(IRR($I66:AL66)),"n/a",(IRR($I66:AL66)))</f>
        <v>0.72826709707801207</v>
      </c>
      <c r="AM71" s="227">
        <f ca="1">IF(ISERROR(IRR($I66:AM66)),"n/a",(IRR($I66:AM66)))</f>
        <v>0.72826709707801207</v>
      </c>
      <c r="AN71" s="227">
        <f ca="1">IF(ISERROR(IRR($I66:AN66)),"n/a",(IRR($I66:AN66)))</f>
        <v>0.72826709707801207</v>
      </c>
      <c r="AO71" s="227">
        <f ca="1">IF(ISERROR(IRR($I66:AO66)),"n/a",(IRR($I66:AO66)))</f>
        <v>0.72826709707801207</v>
      </c>
      <c r="AP71" s="227">
        <f ca="1">IF(ISERROR(IRR($I66:AP66)),"n/a",(IRR($I66:AP66)))</f>
        <v>0.72826709707801207</v>
      </c>
      <c r="AQ71" s="227">
        <f ca="1">IF(ISERROR(IRR($I66:AQ66)),"n/a",(IRR($I66:AQ66)))</f>
        <v>0.72826709707801207</v>
      </c>
      <c r="AR71" s="227">
        <f ca="1">IF(ISERROR(IRR($I66:AR66)),"n/a",(IRR($I66:AR66)))</f>
        <v>0.72826709707801207</v>
      </c>
      <c r="AS71" s="227">
        <f ca="1">IF(ISERROR(IRR($I66:AS66)),"n/a",(IRR($I66:AS66)))</f>
        <v>0.72826709707801207</v>
      </c>
      <c r="AT71" s="227">
        <f ca="1">IF(ISERROR(IRR($I66:AT66)),"n/a",(IRR($I66:AT66)))</f>
        <v>0.72826709707801207</v>
      </c>
      <c r="AU71" s="227">
        <f ca="1">IF(ISERROR(IRR($I66:AU66)),"n/a",(IRR($I66:AU66)))</f>
        <v>0.72826709707801207</v>
      </c>
      <c r="AV71" s="227">
        <f ca="1">IF(ISERROR(IRR($I66:AV66)),"n/a",(IRR($I66:AV66)))</f>
        <v>0.72826709707801207</v>
      </c>
      <c r="AW71" s="227">
        <f ca="1">IF(ISERROR(IRR($I66:AW66)),"n/a",(IRR($I66:AW66)))</f>
        <v>0.72826709707801207</v>
      </c>
    </row>
    <row r="72" spans="1:50">
      <c r="B72" s="222" t="s">
        <v>526</v>
      </c>
      <c r="C72" s="15"/>
      <c r="D72" s="118">
        <f ca="1">NPV('Input '!$E$404,'Valuation '!I67:AW67)</f>
        <v>13711107088.546371</v>
      </c>
      <c r="E72" s="99">
        <f ca="1">IRR(I67:AW67)</f>
        <v>0.71470340712294478</v>
      </c>
      <c r="F72" s="99">
        <f ca="1">MIRR(I67:AW67,0.1,0.18)</f>
        <v>0.2556401170538587</v>
      </c>
      <c r="G72" s="49"/>
      <c r="I72" s="227" t="str">
        <f ca="1">IF(ISERROR(IRR($I67:I67)),"n/a",(IRR($I67:I67)))</f>
        <v>n/a</v>
      </c>
      <c r="J72" s="227" t="str">
        <f ca="1">IF(ISERROR(IRR($I67:J67)),"n/a",(IRR($I67:J67)))</f>
        <v>n/a</v>
      </c>
      <c r="K72" s="227">
        <f ca="1">IF(ISERROR(IRR($I67:K67)),"n/a",(IRR($I67:K67)))</f>
        <v>-0.35805022486632743</v>
      </c>
      <c r="L72" s="227">
        <f ca="1">IF(ISERROR(IRR($I67:L67)),"n/a",(IRR($I67:L67)))</f>
        <v>0.14317145403834219</v>
      </c>
      <c r="M72" s="227">
        <f ca="1">IF(ISERROR(IRR($I67:M67)),"n/a",(IRR($I67:M67)))</f>
        <v>0.40118558022915574</v>
      </c>
      <c r="N72" s="227">
        <f ca="1">IF(ISERROR(IRR($I67:N67)),"n/a",(IRR($I67:N67)))</f>
        <v>0.53261538515455875</v>
      </c>
      <c r="O72" s="227">
        <f ca="1">IF(ISERROR(IRR($I67:O67)),"n/a",(IRR($I67:O67)))</f>
        <v>0.6058572371472708</v>
      </c>
      <c r="P72" s="227">
        <f ca="1">IF(ISERROR(IRR($I67:P67)),"n/a",(IRR($I67:P67)))</f>
        <v>0.64860695053348438</v>
      </c>
      <c r="Q72" s="227">
        <f ca="1">IF(ISERROR(IRR($I67:Q67)),"n/a",(IRR($I67:Q67)))</f>
        <v>0.67435026144204357</v>
      </c>
      <c r="R72" s="227">
        <f ca="1">IF(ISERROR(IRR($I67:R67)),"n/a",(IRR($I67:R67)))</f>
        <v>0.68922057581087115</v>
      </c>
      <c r="S72" s="227">
        <f ca="1">IF(ISERROR(IRR($I67:S67)),"n/a",(IRR($I67:S67)))</f>
        <v>0.69876671032213356</v>
      </c>
      <c r="T72" s="227">
        <f ca="1">IF(ISERROR(IRR($I67:T67)),"n/a",(IRR($I67:T67)))</f>
        <v>0.70482098617703737</v>
      </c>
      <c r="U72" s="227">
        <f ca="1">IF(ISERROR(IRR($I67:U67)),"n/a",(IRR($I67:U67)))</f>
        <v>0.70864101034047722</v>
      </c>
      <c r="V72" s="227">
        <f ca="1">IF(ISERROR(IRR($I67:V67)),"n/a",(IRR($I67:V67)))</f>
        <v>0.71104365940670022</v>
      </c>
      <c r="W72" s="227">
        <f ca="1">IF(ISERROR(IRR($I67:W67)),"n/a",(IRR($I67:W67)))</f>
        <v>0.71255140922636362</v>
      </c>
      <c r="X72" s="227">
        <f ca="1">IF(ISERROR(IRR($I67:X67)),"n/a",(IRR($I67:X67)))</f>
        <v>0.71343779036624455</v>
      </c>
      <c r="Y72" s="227">
        <f ca="1">IF(ISERROR(IRR($I67:Y67)),"n/a",(IRR($I67:Y67)))</f>
        <v>0.71395534876155575</v>
      </c>
      <c r="Z72" s="227">
        <f ca="1">IF(ISERROR(IRR($I67:Z67)),"n/a",(IRR($I67:Z67)))</f>
        <v>0.71425952314027708</v>
      </c>
      <c r="AA72" s="227">
        <f ca="1">IF(ISERROR(IRR($I67:AA67)),"n/a",(IRR($I67:AA67)))</f>
        <v>0.71443920465142208</v>
      </c>
      <c r="AB72" s="227">
        <f ca="1">IF(ISERROR(IRR($I67:AB67)),"n/a",(IRR($I67:AB67)))</f>
        <v>0.71454565755246113</v>
      </c>
      <c r="AC72" s="227">
        <f ca="1">IF(ISERROR(IRR($I67:AC67)),"n/a",(IRR($I67:AC67)))</f>
        <v>0.71460905535737651</v>
      </c>
      <c r="AD72" s="227">
        <f ca="1">IF(ISERROR(IRR($I67:AD67)),"n/a",(IRR($I67:AD67)))</f>
        <v>0.71464695710755421</v>
      </c>
      <c r="AE72" s="227">
        <f ca="1">IF(ISERROR(IRR($I67:AE67)),"n/a",(IRR($I67:AE67)))</f>
        <v>0.71466968838085698</v>
      </c>
      <c r="AF72" s="227">
        <f ca="1">IF(ISERROR(IRR($I67:AF67)),"n/a",(IRR($I67:AF67)))</f>
        <v>0.71468334238241993</v>
      </c>
      <c r="AG72" s="227">
        <f ca="1">IF(ISERROR(IRR($I67:AG67)),"n/a",(IRR($I67:AG67)))</f>
        <v>0.71469156235715658</v>
      </c>
      <c r="AH72" s="227">
        <f ca="1">IF(ISERROR(IRR($I67:AH67)),"n/a",(IRR($I67:AH67)))</f>
        <v>0.71469651804251133</v>
      </c>
      <c r="AI72" s="227">
        <f ca="1">IF(ISERROR(IRR($I67:AI67)),"n/a",(IRR($I67:AI67)))</f>
        <v>0.71469950935998927</v>
      </c>
      <c r="AJ72" s="227">
        <f ca="1">IF(ISERROR(IRR($I67:AJ67)),"n/a",(IRR($I67:AJ67)))</f>
        <v>0.71470131495246725</v>
      </c>
      <c r="AK72" s="227">
        <f ca="1">IF(ISERROR(IRR($I67:AK67)),"n/a",(IRR($I67:AK67)))</f>
        <v>0.71470255236656266</v>
      </c>
      <c r="AL72" s="227">
        <f ca="1">IF(ISERROR(IRR($I67:AL67)),"n/a",(IRR($I67:AL67)))</f>
        <v>0.71470340712294478</v>
      </c>
      <c r="AM72" s="227">
        <f ca="1">IF(ISERROR(IRR($I67:AM67)),"n/a",(IRR($I67:AM67)))</f>
        <v>0.71470340712294478</v>
      </c>
      <c r="AN72" s="227">
        <f ca="1">IF(ISERROR(IRR($I67:AN67)),"n/a",(IRR($I67:AN67)))</f>
        <v>0.71470340712294478</v>
      </c>
      <c r="AO72" s="227">
        <f ca="1">IF(ISERROR(IRR($I67:AO67)),"n/a",(IRR($I67:AO67)))</f>
        <v>0.71470340712294478</v>
      </c>
      <c r="AP72" s="227">
        <f ca="1">IF(ISERROR(IRR($I67:AP67)),"n/a",(IRR($I67:AP67)))</f>
        <v>0.71470340712294478</v>
      </c>
      <c r="AQ72" s="227">
        <f ca="1">IF(ISERROR(IRR($I67:AQ67)),"n/a",(IRR($I67:AQ67)))</f>
        <v>0.71470340712294478</v>
      </c>
      <c r="AR72" s="227">
        <f ca="1">IF(ISERROR(IRR($I67:AR67)),"n/a",(IRR($I67:AR67)))</f>
        <v>0.71470340712294478</v>
      </c>
      <c r="AS72" s="227">
        <f ca="1">IF(ISERROR(IRR($I67:AS67)),"n/a",(IRR($I67:AS67)))</f>
        <v>0.71470340712294478</v>
      </c>
      <c r="AT72" s="227">
        <f ca="1">IF(ISERROR(IRR($I67:AT67)),"n/a",(IRR($I67:AT67)))</f>
        <v>0.71470340712294478</v>
      </c>
      <c r="AU72" s="227">
        <f ca="1">IF(ISERROR(IRR($I67:AU67)),"n/a",(IRR($I67:AU67)))</f>
        <v>0.71470340712294478</v>
      </c>
      <c r="AV72" s="227">
        <f ca="1">IF(ISERROR(IRR($I67:AV67)),"n/a",(IRR($I67:AV67)))</f>
        <v>0.71470340712294478</v>
      </c>
      <c r="AW72" s="227">
        <f ca="1">IF(ISERROR(IRR($I67:AW67)),"n/a",(IRR($I67:AW67)))</f>
        <v>0.71470340712294478</v>
      </c>
    </row>
    <row r="75" spans="1:50">
      <c r="A75" s="130" t="s">
        <v>109</v>
      </c>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row>
    <row r="76" spans="1:50">
      <c r="B76" s="2" t="s">
        <v>1270</v>
      </c>
      <c r="C76" s="2">
        <f>12/12</f>
        <v>1</v>
      </c>
    </row>
    <row r="77" spans="1:50">
      <c r="B77" s="2" t="s">
        <v>1383</v>
      </c>
    </row>
    <row r="79" spans="1:50">
      <c r="B79" s="29" t="s">
        <v>540</v>
      </c>
    </row>
    <row r="80" spans="1:50">
      <c r="B80" s="2" t="s">
        <v>1381</v>
      </c>
      <c r="C80" s="2">
        <f ca="1">MAX(I80:AQ80)</f>
        <v>5</v>
      </c>
      <c r="I80" s="2">
        <f ca="1">IF(SUM($I41:I$41)&gt;0,0,$C$76+H80)</f>
        <v>1</v>
      </c>
      <c r="J80" s="2">
        <f ca="1">IF(SUM($I41:J$41)&gt;0,0,$C$76+I80)</f>
        <v>2</v>
      </c>
      <c r="K80" s="2">
        <f ca="1">IF(SUM($I41:K$41)&gt;0,0,$C$76+J80)</f>
        <v>3</v>
      </c>
      <c r="L80" s="2">
        <f ca="1">IF(SUM($I41:L$41)&gt;0,0,$C$76+K80)</f>
        <v>4</v>
      </c>
      <c r="M80" s="2">
        <f ca="1">IF(SUM($I41:M$41)&gt;0,0,$C$76+L80)</f>
        <v>5</v>
      </c>
      <c r="N80" s="2">
        <f ca="1">IF(SUM($I41:N$41)&gt;0,0,$C$76+M80)</f>
        <v>0</v>
      </c>
      <c r="O80" s="2">
        <f ca="1">IF(SUM($I41:O$41)&gt;0,0,$C$76+N80)</f>
        <v>0</v>
      </c>
      <c r="P80" s="2">
        <f ca="1">IF(SUM($I41:P$41)&gt;0,0,$C$76+O80)</f>
        <v>0</v>
      </c>
      <c r="Q80" s="2">
        <f ca="1">IF(SUM($I41:Q$41)&gt;0,0,$C$76+P80)</f>
        <v>0</v>
      </c>
      <c r="R80" s="2">
        <f ca="1">IF(SUM($I41:R$41)&gt;0,0,$C$76+Q80)</f>
        <v>0</v>
      </c>
      <c r="S80" s="2">
        <f ca="1">IF(SUM($I41:S$41)&gt;0,0,$C$76+R80)</f>
        <v>0</v>
      </c>
      <c r="T80" s="2">
        <f ca="1">IF(SUM($I41:T$41)&gt;0,0,$C$76+S80)</f>
        <v>0</v>
      </c>
      <c r="U80" s="2">
        <f ca="1">IF(SUM($I41:U$41)&gt;0,0,$C$76+T80)</f>
        <v>0</v>
      </c>
      <c r="V80" s="2">
        <f ca="1">IF(SUM($I41:V$41)&gt;0,0,$C$76+U80)</f>
        <v>0</v>
      </c>
      <c r="W80" s="2">
        <f ca="1">IF(SUM($I41:W$41)&gt;0,0,$C$76+V80)</f>
        <v>0</v>
      </c>
      <c r="X80" s="2">
        <f ca="1">IF(SUM($I41:X$41)&gt;0,0,$C$76+W80)</f>
        <v>0</v>
      </c>
      <c r="Y80" s="2">
        <f ca="1">IF(SUM($I41:Y$41)&gt;0,0,$C$76+X80)</f>
        <v>0</v>
      </c>
      <c r="Z80" s="2">
        <f ca="1">IF(SUM($I41:Z$41)&gt;0,0,$C$76+Y80)</f>
        <v>0</v>
      </c>
      <c r="AA80" s="2">
        <f ca="1">IF(SUM($I41:AA$41)&gt;0,0,$C$76+Z80)</f>
        <v>0</v>
      </c>
      <c r="AB80" s="2">
        <f ca="1">IF(SUM($I41:AB$41)&gt;0,0,$C$76+AA80)</f>
        <v>0</v>
      </c>
      <c r="AC80" s="2">
        <f ca="1">IF(SUM($I41:AC$41)&gt;0,0,$C$76+AB80)</f>
        <v>0</v>
      </c>
      <c r="AD80" s="2">
        <f ca="1">IF(SUM($I41:AD$41)&gt;0,0,$C$76+AC80)</f>
        <v>0</v>
      </c>
      <c r="AE80" s="2">
        <f ca="1">IF(SUM($I41:AE$41)&gt;0,0,$C$76+AD80)</f>
        <v>0</v>
      </c>
      <c r="AF80" s="2">
        <f ca="1">IF(SUM($I41:AF$41)&gt;0,0,$C$76+AE80)</f>
        <v>0</v>
      </c>
      <c r="AG80" s="2">
        <f ca="1">IF(SUM($I41:AG$41)&gt;0,0,$C$76+AF80)</f>
        <v>0</v>
      </c>
      <c r="AH80" s="2">
        <f ca="1">IF(SUM($I41:AH$41)&gt;0,0,$C$76+AG80)</f>
        <v>0</v>
      </c>
      <c r="AI80" s="2">
        <f ca="1">IF(SUM($I41:AI$41)&gt;0,0,$C$76+AH80)</f>
        <v>0</v>
      </c>
      <c r="AJ80" s="2">
        <f ca="1">IF(SUM($I41:AJ$41)&gt;0,0,$C$76+AI80)</f>
        <v>0</v>
      </c>
      <c r="AK80" s="2">
        <f ca="1">IF(SUM($I41:AK$41)&gt;0,0,$C$76+AJ80)</f>
        <v>0</v>
      </c>
      <c r="AL80" s="2">
        <f ca="1">IF(SUM($I41:AL$41)&gt;0,0,$C$76+AK80)</f>
        <v>0</v>
      </c>
      <c r="AM80" s="2">
        <f ca="1">IF(SUM($I41:AM$41)&gt;0,0,$C$76+AL80)</f>
        <v>0</v>
      </c>
      <c r="AN80" s="2">
        <f ca="1">IF(SUM($I41:AN$41)&gt;0,0,$C$76+AM80)</f>
        <v>0</v>
      </c>
      <c r="AO80" s="2">
        <f ca="1">IF(SUM($I41:AO$41)&gt;0,0,$C$76+AN80)</f>
        <v>0</v>
      </c>
      <c r="AP80" s="2">
        <f ca="1">IF(SUM($I41:AP$41)&gt;0,0,$C$76+AO80)</f>
        <v>0</v>
      </c>
      <c r="AQ80" s="2">
        <f ca="1">IF(SUM($I41:AQ$41)&gt;0,0,$C$76+AP80)</f>
        <v>0</v>
      </c>
      <c r="AR80" s="2">
        <f ca="1">IF(SUM($I41:AR$41)&gt;0,0,$C$76+AQ80)</f>
        <v>0</v>
      </c>
      <c r="AS80" s="2">
        <f ca="1">IF(SUM($I41:AS$41)&gt;0,0,$C$76+AR80)</f>
        <v>0</v>
      </c>
      <c r="AT80" s="2">
        <f ca="1">IF(SUM($I41:AT$41)&gt;0,0,$C$76+AS80)</f>
        <v>0</v>
      </c>
      <c r="AU80" s="2">
        <f ca="1">IF(SUM($I41:AU$41)&gt;0,0,$C$76+AT80)</f>
        <v>0</v>
      </c>
      <c r="AV80" s="2">
        <f ca="1">IF(SUM($I41:AV$41)&gt;0,0,$C$76+AU80)</f>
        <v>0</v>
      </c>
      <c r="AW80" s="2">
        <f ca="1">IF(SUM($I41:AW$41)&gt;0,0,$C$76+AV80)</f>
        <v>0</v>
      </c>
      <c r="AX80" s="2">
        <f ca="1">IF(SUM($I41:AX$41)&gt;0,0,$C$76+AW80)</f>
        <v>0</v>
      </c>
    </row>
    <row r="81" spans="2:50">
      <c r="B81" s="2" t="s">
        <v>1382</v>
      </c>
      <c r="C81" s="2">
        <f ca="1">MAX(I81:AX81)</f>
        <v>6</v>
      </c>
      <c r="I81" s="2">
        <f ca="1">IF(SUM($I$42:I42)&gt;0,0,$C$76+H81)</f>
        <v>1</v>
      </c>
      <c r="J81" s="2">
        <f ca="1">IF(SUM($I$42:J42)&gt;0,0,$C$76+I81)</f>
        <v>2</v>
      </c>
      <c r="K81" s="2">
        <f ca="1">IF(SUM($I$42:K42)&gt;0,0,$C$76+J81)</f>
        <v>3</v>
      </c>
      <c r="L81" s="2">
        <f ca="1">IF(SUM($I$42:L42)&gt;0,0,$C$76+K81)</f>
        <v>4</v>
      </c>
      <c r="M81" s="2">
        <f ca="1">IF(SUM($I$42:M42)&gt;0,0,$C$76+L81)</f>
        <v>5</v>
      </c>
      <c r="N81" s="2">
        <f ca="1">IF(SUM($I$42:N42)&gt;0,0,$C$76+M81)</f>
        <v>6</v>
      </c>
      <c r="O81" s="2">
        <f ca="1">IF(SUM($I$42:O42)&gt;0,0,$C$76+N81)</f>
        <v>0</v>
      </c>
      <c r="P81" s="2">
        <f ca="1">IF(SUM($I$42:P42)&gt;0,0,$C$76+O81)</f>
        <v>0</v>
      </c>
      <c r="Q81" s="2">
        <f ca="1">IF(SUM($I$42:Q42)&gt;0,0,$C$76+P81)</f>
        <v>0</v>
      </c>
      <c r="R81" s="2">
        <f ca="1">IF(SUM($I$42:R42)&gt;0,0,$C$76+Q81)</f>
        <v>0</v>
      </c>
      <c r="S81" s="2">
        <f ca="1">IF(SUM($I$42:S42)&gt;0,0,$C$76+R81)</f>
        <v>0</v>
      </c>
      <c r="T81" s="2">
        <f ca="1">IF(SUM($I$42:T42)&gt;0,0,$C$76+S81)</f>
        <v>0</v>
      </c>
      <c r="U81" s="2">
        <f ca="1">IF(SUM($I$42:U42)&gt;0,0,$C$76+T81)</f>
        <v>0</v>
      </c>
      <c r="V81" s="2">
        <f ca="1">IF(SUM($I$42:V42)&gt;0,0,$C$76+U81)</f>
        <v>0</v>
      </c>
      <c r="W81" s="2">
        <f ca="1">IF(SUM($I$42:W42)&gt;0,0,$C$76+V81)</f>
        <v>0</v>
      </c>
      <c r="X81" s="2">
        <f ca="1">IF(SUM($I$42:X42)&gt;0,0,$C$76+W81)</f>
        <v>0</v>
      </c>
      <c r="Y81" s="2">
        <f ca="1">IF(SUM($I$42:Y42)&gt;0,0,$C$76+X81)</f>
        <v>0</v>
      </c>
      <c r="Z81" s="2">
        <f ca="1">IF(SUM($I$42:Z42)&gt;0,0,$C$76+Y81)</f>
        <v>0</v>
      </c>
      <c r="AA81" s="2">
        <f ca="1">IF(SUM($I$42:AA42)&gt;0,0,$C$76+Z81)</f>
        <v>0</v>
      </c>
      <c r="AB81" s="2">
        <f ca="1">IF(SUM($I$42:AB42)&gt;0,0,$C$76+AA81)</f>
        <v>0</v>
      </c>
      <c r="AC81" s="2">
        <f ca="1">IF(SUM($I$42:AC42)&gt;0,0,$C$76+AB81)</f>
        <v>0</v>
      </c>
      <c r="AD81" s="2">
        <f ca="1">IF(SUM($I$42:AD42)&gt;0,0,$C$76+AC81)</f>
        <v>0</v>
      </c>
      <c r="AE81" s="2">
        <f ca="1">IF(SUM($I$42:AE42)&gt;0,0,$C$76+AD81)</f>
        <v>0</v>
      </c>
      <c r="AF81" s="2">
        <f ca="1">IF(SUM($I$42:AF42)&gt;0,0,$C$76+AE81)</f>
        <v>0</v>
      </c>
      <c r="AG81" s="2">
        <f ca="1">IF(SUM($I$42:AG42)&gt;0,0,$C$76+AF81)</f>
        <v>0</v>
      </c>
      <c r="AH81" s="2">
        <f ca="1">IF(SUM($I$42:AH42)&gt;0,0,$C$76+AG81)</f>
        <v>0</v>
      </c>
      <c r="AI81" s="2">
        <f ca="1">IF(SUM($I$42:AI42)&gt;0,0,$C$76+AH81)</f>
        <v>0</v>
      </c>
      <c r="AJ81" s="2">
        <f ca="1">IF(SUM($I$42:AJ42)&gt;0,0,$C$76+AI81)</f>
        <v>0</v>
      </c>
      <c r="AK81" s="2">
        <f ca="1">IF(SUM($I$42:AK42)&gt;0,0,$C$76+AJ81)</f>
        <v>0</v>
      </c>
      <c r="AL81" s="2">
        <f ca="1">IF(SUM($I$42:AL42)&gt;0,0,$C$76+AK81)</f>
        <v>0</v>
      </c>
      <c r="AM81" s="2">
        <f ca="1">IF(SUM($I$42:AM42)&gt;0,0,$C$76+AL81)</f>
        <v>0</v>
      </c>
      <c r="AN81" s="2">
        <f ca="1">IF(SUM($I$42:AN42)&gt;0,0,$C$76+AM81)</f>
        <v>0</v>
      </c>
      <c r="AO81" s="2">
        <f ca="1">IF(SUM($I$42:AO42)&gt;0,0,$C$76+AN81)</f>
        <v>0</v>
      </c>
      <c r="AP81" s="2">
        <f ca="1">IF(SUM($I$42:AP42)&gt;0,0,$C$76+AO81)</f>
        <v>0</v>
      </c>
      <c r="AQ81" s="2">
        <f ca="1">IF(SUM($I$42:AQ42)&gt;0,0,$C$76+AP81)</f>
        <v>0</v>
      </c>
      <c r="AR81" s="2">
        <f ca="1">IF(SUM($I$42:AR42)&gt;0,0,$C$76+AQ81)</f>
        <v>0</v>
      </c>
      <c r="AS81" s="2">
        <f ca="1">IF(SUM($I$42:AS42)&gt;0,0,$C$76+AR81)</f>
        <v>0</v>
      </c>
      <c r="AT81" s="2">
        <f ca="1">IF(SUM($I$42:AT42)&gt;0,0,$C$76+AS81)</f>
        <v>0</v>
      </c>
      <c r="AU81" s="2">
        <f ca="1">IF(SUM($I$42:AU42)&gt;0,0,$C$76+AT81)</f>
        <v>0</v>
      </c>
      <c r="AV81" s="2">
        <f ca="1">IF(SUM($I$42:AV42)&gt;0,0,$C$76+AU81)</f>
        <v>0</v>
      </c>
      <c r="AW81" s="2">
        <f ca="1">IF(SUM($I$42:AW42)&gt;0,0,$C$76+AV81)</f>
        <v>0</v>
      </c>
      <c r="AX81" s="2">
        <f ca="1">IF(SUM($I$42:AX42)&gt;0,0,$C$76+AW81)</f>
        <v>0</v>
      </c>
    </row>
    <row r="84" spans="2:50">
      <c r="B84" s="29" t="s">
        <v>555</v>
      </c>
    </row>
    <row r="85" spans="2:50">
      <c r="B85" s="2" t="s">
        <v>1381</v>
      </c>
    </row>
    <row r="86" spans="2:50">
      <c r="B86" s="2" t="s">
        <v>1382</v>
      </c>
      <c r="C86" s="2">
        <f t="shared" ref="C86:C91" ca="1" si="14">MAX(I86:AX86)</f>
        <v>6</v>
      </c>
      <c r="I86" s="2">
        <f ca="1">IF(SUM($I$56:I56)&gt;0,0,$C$76+H86)</f>
        <v>1</v>
      </c>
      <c r="J86" s="2">
        <f ca="1">IF(SUM($I$56:J56)&gt;0,0,$C$76+I86)</f>
        <v>2</v>
      </c>
      <c r="K86" s="2">
        <f ca="1">IF(SUM($I$56:K56)&gt;0,0,$C$76+J86)</f>
        <v>3</v>
      </c>
      <c r="L86" s="2">
        <f ca="1">IF(SUM($I$56:L56)&gt;0,0,$C$76+K86)</f>
        <v>4</v>
      </c>
      <c r="M86" s="2">
        <f ca="1">IF(SUM($I$56:M56)&gt;0,0,$C$76+L86)</f>
        <v>5</v>
      </c>
      <c r="N86" s="2">
        <f ca="1">IF(SUM($I$56:N56)&gt;0,0,$C$76+M86)</f>
        <v>6</v>
      </c>
      <c r="O86" s="2">
        <f ca="1">IF(SUM($I$56:O56)&gt;0,0,$C$76+N86)</f>
        <v>0</v>
      </c>
      <c r="P86" s="2">
        <f ca="1">IF(SUM($I$56:P56)&gt;0,0,$C$76+O86)</f>
        <v>0</v>
      </c>
      <c r="Q86" s="2">
        <f ca="1">IF(SUM($I$56:Q56)&gt;0,0,$C$76+P86)</f>
        <v>0</v>
      </c>
      <c r="R86" s="2">
        <f ca="1">IF(SUM($I$56:R56)&gt;0,0,$C$76+Q86)</f>
        <v>0</v>
      </c>
      <c r="S86" s="2">
        <f ca="1">IF(SUM($I$56:S56)&gt;0,0,$C$76+R86)</f>
        <v>0</v>
      </c>
      <c r="T86" s="2">
        <f ca="1">IF(SUM($I$56:T56)&gt;0,0,$C$76+S86)</f>
        <v>0</v>
      </c>
      <c r="U86" s="2">
        <f ca="1">IF(SUM($I$56:U56)&gt;0,0,$C$76+T86)</f>
        <v>0</v>
      </c>
      <c r="V86" s="2">
        <f ca="1">IF(SUM($I$56:V56)&gt;0,0,$C$76+U86)</f>
        <v>0</v>
      </c>
      <c r="W86" s="2">
        <f ca="1">IF(SUM($I$56:W56)&gt;0,0,$C$76+V86)</f>
        <v>0</v>
      </c>
      <c r="X86" s="2">
        <f ca="1">IF(SUM($I$56:X56)&gt;0,0,$C$76+W86)</f>
        <v>0</v>
      </c>
      <c r="Y86" s="2">
        <f ca="1">IF(SUM($I$56:Y56)&gt;0,0,$C$76+X86)</f>
        <v>0</v>
      </c>
      <c r="Z86" s="2">
        <f ca="1">IF(SUM($I$56:Z56)&gt;0,0,$C$76+Y86)</f>
        <v>0</v>
      </c>
      <c r="AA86" s="2">
        <f ca="1">IF(SUM($I$56:AA56)&gt;0,0,$C$76+Z86)</f>
        <v>0</v>
      </c>
      <c r="AB86" s="2">
        <f ca="1">IF(SUM($I$56:AB56)&gt;0,0,$C$76+AA86)</f>
        <v>0</v>
      </c>
      <c r="AC86" s="2">
        <f ca="1">IF(SUM($I$56:AC56)&gt;0,0,$C$76+AB86)</f>
        <v>0</v>
      </c>
      <c r="AD86" s="2">
        <f ca="1">IF(SUM($I$56:AD56)&gt;0,0,$C$76+AC86)</f>
        <v>0</v>
      </c>
      <c r="AE86" s="2">
        <f ca="1">IF(SUM($I$56:AE56)&gt;0,0,$C$76+AD86)</f>
        <v>0</v>
      </c>
      <c r="AF86" s="2">
        <f ca="1">IF(SUM($I$56:AF56)&gt;0,0,$C$76+AE86)</f>
        <v>0</v>
      </c>
      <c r="AG86" s="2">
        <f ca="1">IF(SUM($I$56:AG56)&gt;0,0,$C$76+AF86)</f>
        <v>0</v>
      </c>
      <c r="AH86" s="2">
        <f ca="1">IF(SUM($I$56:AH56)&gt;0,0,$C$76+AG86)</f>
        <v>0</v>
      </c>
      <c r="AI86" s="2">
        <f ca="1">IF(SUM($I$56:AI56)&gt;0,0,$C$76+AH86)</f>
        <v>0</v>
      </c>
      <c r="AJ86" s="2">
        <f ca="1">IF(SUM($I$56:AJ56)&gt;0,0,$C$76+AI86)</f>
        <v>0</v>
      </c>
      <c r="AK86" s="2">
        <f ca="1">IF(SUM($I$56:AK56)&gt;0,0,$C$76+AJ86)</f>
        <v>0</v>
      </c>
      <c r="AL86" s="2">
        <f ca="1">IF(SUM($I$56:AL56)&gt;0,0,$C$76+AK86)</f>
        <v>0</v>
      </c>
      <c r="AM86" s="2">
        <f ca="1">IF(SUM($I$56:AM56)&gt;0,0,$C$76+AL86)</f>
        <v>0</v>
      </c>
      <c r="AN86" s="2">
        <f ca="1">IF(SUM($I$56:AN56)&gt;0,0,$C$76+AM86)</f>
        <v>0</v>
      </c>
      <c r="AO86" s="2">
        <f ca="1">IF(SUM($I$56:AO56)&gt;0,0,$C$76+AN86)</f>
        <v>0</v>
      </c>
      <c r="AP86" s="2">
        <f ca="1">IF(SUM($I$56:AP56)&gt;0,0,$C$76+AO86)</f>
        <v>0</v>
      </c>
      <c r="AQ86" s="2">
        <f ca="1">IF(SUM($I$56:AQ56)&gt;0,0,$C$76+AP86)</f>
        <v>0</v>
      </c>
      <c r="AR86" s="2">
        <f ca="1">IF(SUM($I$56:AR56)&gt;0,0,$C$76+AQ86)</f>
        <v>0</v>
      </c>
      <c r="AS86" s="2">
        <f ca="1">IF(SUM($I$56:AS56)&gt;0,0,$C$76+AR86)</f>
        <v>0</v>
      </c>
      <c r="AT86" s="2">
        <f ca="1">IF(SUM($I$56:AT56)&gt;0,0,$C$76+AS86)</f>
        <v>0</v>
      </c>
      <c r="AU86" s="2">
        <f ca="1">IF(SUM($I$56:AU56)&gt;0,0,$C$76+AT86)</f>
        <v>0</v>
      </c>
      <c r="AV86" s="2">
        <f ca="1">IF(SUM($I$56:AV56)&gt;0,0,$C$76+AU86)</f>
        <v>0</v>
      </c>
      <c r="AW86" s="2">
        <f ca="1">IF(SUM($I$56:AW56)&gt;0,0,$C$76+AV86)</f>
        <v>0</v>
      </c>
      <c r="AX86" s="2">
        <f ca="1">IF(SUM($I$56:AX56)&gt;0,0,$C$76+AW86)</f>
        <v>0</v>
      </c>
    </row>
    <row r="87" spans="2:50">
      <c r="C87" s="2">
        <f ca="1">MAX(I87:AX87)</f>
        <v>7</v>
      </c>
      <c r="I87" s="2">
        <f ca="1">IF(SUM($I$57:I57)&gt;0,0,$C$76+H87)</f>
        <v>1</v>
      </c>
      <c r="J87" s="2">
        <f ca="1">IF(SUM($I$57:J57)&gt;0,0,$C$76+I87)</f>
        <v>2</v>
      </c>
      <c r="K87" s="2">
        <f ca="1">IF(SUM($I$57:K57)&gt;0,0,$C$76+J87)</f>
        <v>3</v>
      </c>
      <c r="L87" s="2">
        <f ca="1">IF(SUM($I$57:L57)&gt;0,0,$C$76+K87)</f>
        <v>4</v>
      </c>
      <c r="M87" s="2">
        <f ca="1">IF(SUM($I$57:M57)&gt;0,0,$C$76+L87)</f>
        <v>5</v>
      </c>
      <c r="N87" s="2">
        <f ca="1">IF(SUM($I$57:N57)&gt;0,0,$C$76+M87)</f>
        <v>6</v>
      </c>
      <c r="O87" s="2">
        <f ca="1">IF(SUM($I$57:O57)&gt;0,0,$C$76+N87)</f>
        <v>7</v>
      </c>
      <c r="P87" s="2">
        <f ca="1">IF(SUM($I$57:P57)&gt;0,0,$C$76+O87)</f>
        <v>0</v>
      </c>
      <c r="Q87" s="2">
        <f ca="1">IF(SUM($I$57:Q57)&gt;0,0,$C$76+P87)</f>
        <v>0</v>
      </c>
      <c r="R87" s="2">
        <f ca="1">IF(SUM($I$57:R57)&gt;0,0,$C$76+Q87)</f>
        <v>0</v>
      </c>
      <c r="S87" s="2">
        <f ca="1">IF(SUM($I$57:S57)&gt;0,0,$C$76+R87)</f>
        <v>0</v>
      </c>
      <c r="T87" s="2">
        <f ca="1">IF(SUM($I$57:T57)&gt;0,0,$C$76+S87)</f>
        <v>0</v>
      </c>
      <c r="U87" s="2">
        <f ca="1">IF(SUM($I$57:U57)&gt;0,0,$C$76+T87)</f>
        <v>0</v>
      </c>
      <c r="V87" s="2">
        <f ca="1">IF(SUM($I$57:V57)&gt;0,0,$C$76+U87)</f>
        <v>0</v>
      </c>
      <c r="W87" s="2">
        <f ca="1">IF(SUM($I$57:W57)&gt;0,0,$C$76+V87)</f>
        <v>0</v>
      </c>
      <c r="X87" s="2">
        <f ca="1">IF(SUM($I$57:X57)&gt;0,0,$C$76+W87)</f>
        <v>0</v>
      </c>
      <c r="Y87" s="2">
        <f ca="1">IF(SUM($I$57:Y57)&gt;0,0,$C$76+X87)</f>
        <v>0</v>
      </c>
      <c r="Z87" s="2">
        <f ca="1">IF(SUM($I$57:Z57)&gt;0,0,$C$76+Y87)</f>
        <v>0</v>
      </c>
      <c r="AA87" s="2">
        <f ca="1">IF(SUM($I$57:AA57)&gt;0,0,$C$76+Z87)</f>
        <v>0</v>
      </c>
      <c r="AB87" s="2">
        <f ca="1">IF(SUM($I$57:AB57)&gt;0,0,$C$76+AA87)</f>
        <v>0</v>
      </c>
      <c r="AC87" s="2">
        <f ca="1">IF(SUM($I$57:AC57)&gt;0,0,$C$76+AB87)</f>
        <v>0</v>
      </c>
      <c r="AD87" s="2">
        <f ca="1">IF(SUM($I$57:AD57)&gt;0,0,$C$76+AC87)</f>
        <v>0</v>
      </c>
      <c r="AE87" s="2">
        <f ca="1">IF(SUM($I$57:AE57)&gt;0,0,$C$76+AD87)</f>
        <v>0</v>
      </c>
      <c r="AF87" s="2">
        <f ca="1">IF(SUM($I$57:AF57)&gt;0,0,$C$76+AE87)</f>
        <v>0</v>
      </c>
      <c r="AG87" s="2">
        <f ca="1">IF(SUM($I$57:AG57)&gt;0,0,$C$76+AF87)</f>
        <v>0</v>
      </c>
      <c r="AH87" s="2">
        <f ca="1">IF(SUM($I$57:AH57)&gt;0,0,$C$76+AG87)</f>
        <v>0</v>
      </c>
      <c r="AI87" s="2">
        <f ca="1">IF(SUM($I$57:AI57)&gt;0,0,$C$76+AH87)</f>
        <v>0</v>
      </c>
      <c r="AJ87" s="2">
        <f ca="1">IF(SUM($I$57:AJ57)&gt;0,0,$C$76+AI87)</f>
        <v>0</v>
      </c>
      <c r="AK87" s="2">
        <f ca="1">IF(SUM($I$57:AK57)&gt;0,0,$C$76+AJ87)</f>
        <v>0</v>
      </c>
      <c r="AL87" s="2">
        <f ca="1">IF(SUM($I$57:AL57)&gt;0,0,$C$76+AK87)</f>
        <v>0</v>
      </c>
      <c r="AM87" s="2">
        <f ca="1">IF(SUM($I$57:AM57)&gt;0,0,$C$76+AL87)</f>
        <v>0</v>
      </c>
      <c r="AN87" s="2">
        <f ca="1">IF(SUM($I$57:AN57)&gt;0,0,$C$76+AM87)</f>
        <v>0</v>
      </c>
      <c r="AO87" s="2">
        <f ca="1">IF(SUM($I$57:AO57)&gt;0,0,$C$76+AN87)</f>
        <v>0</v>
      </c>
      <c r="AP87" s="2">
        <f ca="1">IF(SUM($I$57:AP57)&gt;0,0,$C$76+AO87)</f>
        <v>0</v>
      </c>
      <c r="AQ87" s="2">
        <f ca="1">IF(SUM($I$57:AQ57)&gt;0,0,$C$76+AP87)</f>
        <v>0</v>
      </c>
      <c r="AR87" s="2">
        <f ca="1">IF(SUM($I$57:AR57)&gt;0,0,$C$76+AQ87)</f>
        <v>0</v>
      </c>
      <c r="AS87" s="2">
        <f ca="1">IF(SUM($I$57:AS57)&gt;0,0,$C$76+AR87)</f>
        <v>0</v>
      </c>
      <c r="AT87" s="2">
        <f ca="1">IF(SUM($I$57:AT57)&gt;0,0,$C$76+AS87)</f>
        <v>0</v>
      </c>
      <c r="AU87" s="2">
        <f ca="1">IF(SUM($I$57:AU57)&gt;0,0,$C$76+AT87)</f>
        <v>0</v>
      </c>
      <c r="AV87" s="2">
        <f ca="1">IF(SUM($I$57:AV57)&gt;0,0,$C$76+AU87)</f>
        <v>0</v>
      </c>
      <c r="AW87" s="2">
        <f ca="1">IF(SUM($I$57:AW57)&gt;0,0,$C$76+AV87)</f>
        <v>0</v>
      </c>
      <c r="AX87" s="2">
        <f ca="1">IF(SUM($I$57:AX57)&gt;0,0,$C$76+AW87)</f>
        <v>0</v>
      </c>
    </row>
    <row r="89" spans="2:50">
      <c r="B89" s="50" t="s">
        <v>556</v>
      </c>
    </row>
    <row r="90" spans="2:50">
      <c r="B90" s="2" t="s">
        <v>1381</v>
      </c>
      <c r="C90" s="2">
        <f t="shared" ca="1" si="14"/>
        <v>3</v>
      </c>
      <c r="I90" s="2">
        <f ca="1">IF(SUM($I$66:I66)&gt;0,0,$C$76+H90)</f>
        <v>1</v>
      </c>
      <c r="J90" s="2">
        <f ca="1">IF(SUM($I$66:J66)&gt;0,0,$C$76+I90)</f>
        <v>2</v>
      </c>
      <c r="K90" s="2">
        <f ca="1">IF(SUM($I$66:K66)&gt;0,0,$C$76+J90)</f>
        <v>3</v>
      </c>
      <c r="L90" s="2">
        <f ca="1">IF(SUM($I$66:L66)&gt;0,0,$C$76+K90)</f>
        <v>0</v>
      </c>
      <c r="M90" s="2">
        <f ca="1">IF(SUM($I$66:M66)&gt;0,0,$C$76+L90)</f>
        <v>0</v>
      </c>
      <c r="N90" s="2">
        <f ca="1">IF(SUM($I$66:N66)&gt;0,0,$C$76+M90)</f>
        <v>0</v>
      </c>
      <c r="O90" s="2">
        <f ca="1">IF(SUM($I$66:O66)&gt;0,0,$C$76+N90)</f>
        <v>0</v>
      </c>
      <c r="P90" s="2">
        <f ca="1">IF(SUM($I$66:P66)&gt;0,0,$C$76+O90)</f>
        <v>0</v>
      </c>
      <c r="Q90" s="2">
        <f ca="1">IF(SUM($I$66:Q66)&gt;0,0,$C$76+P90)</f>
        <v>0</v>
      </c>
      <c r="R90" s="2">
        <f ca="1">IF(SUM($I$66:R66)&gt;0,0,$C$76+Q90)</f>
        <v>0</v>
      </c>
      <c r="S90" s="2">
        <f ca="1">IF(SUM($I$66:S66)&gt;0,0,$C$76+R90)</f>
        <v>0</v>
      </c>
      <c r="T90" s="2">
        <f ca="1">IF(SUM($I$66:T66)&gt;0,0,$C$76+S90)</f>
        <v>0</v>
      </c>
      <c r="U90" s="2">
        <f ca="1">IF(SUM($I$66:U66)&gt;0,0,$C$76+T90)</f>
        <v>0</v>
      </c>
      <c r="V90" s="2">
        <f ca="1">IF(SUM($I$66:V66)&gt;0,0,$C$76+U90)</f>
        <v>0</v>
      </c>
      <c r="W90" s="2">
        <f ca="1">IF(SUM($I$66:W66)&gt;0,0,$C$76+V90)</f>
        <v>0</v>
      </c>
      <c r="X90" s="2">
        <f ca="1">IF(SUM($I$66:X66)&gt;0,0,$C$76+W90)</f>
        <v>0</v>
      </c>
      <c r="Y90" s="2">
        <f ca="1">IF(SUM($I$66:Y66)&gt;0,0,$C$76+X90)</f>
        <v>0</v>
      </c>
      <c r="Z90" s="2">
        <f ca="1">IF(SUM($I$66:Z66)&gt;0,0,$C$76+Y90)</f>
        <v>0</v>
      </c>
      <c r="AA90" s="2">
        <f ca="1">IF(SUM($I$66:AA66)&gt;0,0,$C$76+Z90)</f>
        <v>0</v>
      </c>
      <c r="AB90" s="2">
        <f ca="1">IF(SUM($I$66:AB66)&gt;0,0,$C$76+AA90)</f>
        <v>0</v>
      </c>
      <c r="AC90" s="2">
        <f ca="1">IF(SUM($I$66:AC66)&gt;0,0,$C$76+AB90)</f>
        <v>0</v>
      </c>
      <c r="AD90" s="2">
        <f ca="1">IF(SUM($I$66:AD66)&gt;0,0,$C$76+AC90)</f>
        <v>0</v>
      </c>
      <c r="AE90" s="2">
        <f ca="1">IF(SUM($I$66:AE66)&gt;0,0,$C$76+AD90)</f>
        <v>0</v>
      </c>
      <c r="AF90" s="2">
        <f ca="1">IF(SUM($I$66:AF66)&gt;0,0,$C$76+AE90)</f>
        <v>0</v>
      </c>
      <c r="AG90" s="2">
        <f ca="1">IF(SUM($I$66:AG66)&gt;0,0,$C$76+AF90)</f>
        <v>0</v>
      </c>
      <c r="AH90" s="2">
        <f ca="1">IF(SUM($I$66:AH66)&gt;0,0,$C$76+AG90)</f>
        <v>0</v>
      </c>
      <c r="AI90" s="2">
        <f ca="1">IF(SUM($I$66:AI66)&gt;0,0,$C$76+AH90)</f>
        <v>0</v>
      </c>
      <c r="AJ90" s="2">
        <f ca="1">IF(SUM($I$66:AJ66)&gt;0,0,$C$76+AI90)</f>
        <v>0</v>
      </c>
      <c r="AK90" s="2">
        <f ca="1">IF(SUM($I$66:AK66)&gt;0,0,$C$76+AJ90)</f>
        <v>0</v>
      </c>
      <c r="AL90" s="2">
        <f ca="1">IF(SUM($I$66:AL66)&gt;0,0,$C$76+AK90)</f>
        <v>0</v>
      </c>
      <c r="AM90" s="2">
        <f ca="1">IF(SUM($I$66:AM66)&gt;0,0,$C$76+AL90)</f>
        <v>0</v>
      </c>
      <c r="AN90" s="2">
        <f ca="1">IF(SUM($I$66:AN66)&gt;0,0,$C$76+AM90)</f>
        <v>0</v>
      </c>
      <c r="AO90" s="2">
        <f ca="1">IF(SUM($I$66:AO66)&gt;0,0,$C$76+AN90)</f>
        <v>0</v>
      </c>
      <c r="AP90" s="2">
        <f ca="1">IF(SUM($I$66:AP66)&gt;0,0,$C$76+AO90)</f>
        <v>0</v>
      </c>
      <c r="AQ90" s="2">
        <f ca="1">IF(SUM($I$66:AQ66)&gt;0,0,$C$76+AP90)</f>
        <v>0</v>
      </c>
      <c r="AR90" s="2">
        <f ca="1">IF(SUM($I$66:AR66)&gt;0,0,$C$76+AQ90)</f>
        <v>0</v>
      </c>
      <c r="AS90" s="2">
        <f ca="1">IF(SUM($I$66:AS66)&gt;0,0,$C$76+AR90)</f>
        <v>0</v>
      </c>
      <c r="AT90" s="2">
        <f ca="1">IF(SUM($I$66:AT66)&gt;0,0,$C$76+AS90)</f>
        <v>0</v>
      </c>
      <c r="AU90" s="2">
        <f ca="1">IF(SUM($I$66:AU66)&gt;0,0,$C$76+AT90)</f>
        <v>0</v>
      </c>
      <c r="AV90" s="2">
        <f ca="1">IF(SUM($I$66:AV66)&gt;0,0,$C$76+AU90)</f>
        <v>0</v>
      </c>
      <c r="AW90" s="2">
        <f ca="1">IF(SUM($I$66:AW66)&gt;0,0,$C$76+AV90)</f>
        <v>0</v>
      </c>
      <c r="AX90" s="2">
        <f ca="1">IF(SUM($I$66:AX66)&gt;0,0,$C$76+AW90)</f>
        <v>0</v>
      </c>
    </row>
    <row r="91" spans="2:50">
      <c r="B91" s="2" t="s">
        <v>1382</v>
      </c>
      <c r="C91" s="2">
        <f t="shared" ca="1" si="14"/>
        <v>3</v>
      </c>
      <c r="I91" s="2">
        <f ca="1">IF(SUM($I$67:I67)&gt;0,0,$C$76+H91)</f>
        <v>1</v>
      </c>
      <c r="J91" s="2">
        <f ca="1">IF(SUM($I$67:J67)&gt;0,0,$C$76+I91)</f>
        <v>2</v>
      </c>
      <c r="K91" s="2">
        <f ca="1">IF(SUM($I$67:K67)&gt;0,0,$C$76+J91)</f>
        <v>3</v>
      </c>
      <c r="L91" s="2">
        <f ca="1">IF(SUM($I$67:L67)&gt;0,0,$C$76+K91)</f>
        <v>0</v>
      </c>
      <c r="M91" s="2">
        <f ca="1">IF(SUM($I$67:M67)&gt;0,0,$C$76+L91)</f>
        <v>0</v>
      </c>
      <c r="N91" s="2">
        <f ca="1">IF(SUM($I$67:N67)&gt;0,0,$C$76+M91)</f>
        <v>0</v>
      </c>
      <c r="O91" s="2">
        <f ca="1">IF(SUM($I$67:O67)&gt;0,0,$C$76+N91)</f>
        <v>0</v>
      </c>
      <c r="P91" s="2">
        <f ca="1">IF(SUM($I$67:P67)&gt;0,0,$C$76+O91)</f>
        <v>0</v>
      </c>
      <c r="Q91" s="2">
        <f ca="1">IF(SUM($I$67:Q67)&gt;0,0,$C$76+P91)</f>
        <v>0</v>
      </c>
      <c r="R91" s="2">
        <f ca="1">IF(SUM($I$67:R67)&gt;0,0,$C$76+Q91)</f>
        <v>0</v>
      </c>
      <c r="S91" s="2">
        <f ca="1">IF(SUM($I$67:S67)&gt;0,0,$C$76+R91)</f>
        <v>0</v>
      </c>
      <c r="T91" s="2">
        <f ca="1">IF(SUM($I$67:T67)&gt;0,0,$C$76+S91)</f>
        <v>0</v>
      </c>
      <c r="U91" s="2">
        <f ca="1">IF(SUM($I$67:U67)&gt;0,0,$C$76+T91)</f>
        <v>0</v>
      </c>
      <c r="V91" s="2">
        <f ca="1">IF(SUM($I$67:V67)&gt;0,0,$C$76+U91)</f>
        <v>0</v>
      </c>
      <c r="W91" s="2">
        <f ca="1">IF(SUM($I$67:W67)&gt;0,0,$C$76+V91)</f>
        <v>0</v>
      </c>
      <c r="X91" s="2">
        <f ca="1">IF(SUM($I$67:X67)&gt;0,0,$C$76+W91)</f>
        <v>0</v>
      </c>
      <c r="Y91" s="2">
        <f ca="1">IF(SUM($I$67:Y67)&gt;0,0,$C$76+X91)</f>
        <v>0</v>
      </c>
      <c r="Z91" s="2">
        <f ca="1">IF(SUM($I$67:Z67)&gt;0,0,$C$76+Y91)</f>
        <v>0</v>
      </c>
      <c r="AA91" s="2">
        <f ca="1">IF(SUM($I$67:AA67)&gt;0,0,$C$76+Z91)</f>
        <v>0</v>
      </c>
      <c r="AB91" s="2">
        <f ca="1">IF(SUM($I$67:AB67)&gt;0,0,$C$76+AA91)</f>
        <v>0</v>
      </c>
      <c r="AC91" s="2">
        <f ca="1">IF(SUM($I$67:AC67)&gt;0,0,$C$76+AB91)</f>
        <v>0</v>
      </c>
      <c r="AD91" s="2">
        <f ca="1">IF(SUM($I$67:AD67)&gt;0,0,$C$76+AC91)</f>
        <v>0</v>
      </c>
      <c r="AE91" s="2">
        <f ca="1">IF(SUM($I$67:AE67)&gt;0,0,$C$76+AD91)</f>
        <v>0</v>
      </c>
      <c r="AF91" s="2">
        <f ca="1">IF(SUM($I$67:AF67)&gt;0,0,$C$76+AE91)</f>
        <v>0</v>
      </c>
      <c r="AG91" s="2">
        <f ca="1">IF(SUM($I$67:AG67)&gt;0,0,$C$76+AF91)</f>
        <v>0</v>
      </c>
      <c r="AH91" s="2">
        <f ca="1">IF(SUM($I$67:AH67)&gt;0,0,$C$76+AG91)</f>
        <v>0</v>
      </c>
      <c r="AI91" s="2">
        <f ca="1">IF(SUM($I$67:AI67)&gt;0,0,$C$76+AH91)</f>
        <v>0</v>
      </c>
      <c r="AJ91" s="2">
        <f ca="1">IF(SUM($I$67:AJ67)&gt;0,0,$C$76+AI91)</f>
        <v>0</v>
      </c>
      <c r="AK91" s="2">
        <f ca="1">IF(SUM($I$67:AK67)&gt;0,0,$C$76+AJ91)</f>
        <v>0</v>
      </c>
      <c r="AL91" s="2">
        <f ca="1">IF(SUM($I$67:AL67)&gt;0,0,$C$76+AK91)</f>
        <v>0</v>
      </c>
      <c r="AM91" s="2">
        <f ca="1">IF(SUM($I$67:AM67)&gt;0,0,$C$76+AL91)</f>
        <v>0</v>
      </c>
      <c r="AN91" s="2">
        <f ca="1">IF(SUM($I$67:AN67)&gt;0,0,$C$76+AM91)</f>
        <v>0</v>
      </c>
      <c r="AO91" s="2">
        <f ca="1">IF(SUM($I$67:AO67)&gt;0,0,$C$76+AN91)</f>
        <v>0</v>
      </c>
      <c r="AP91" s="2">
        <f ca="1">IF(SUM($I$67:AP67)&gt;0,0,$C$76+AO91)</f>
        <v>0</v>
      </c>
      <c r="AQ91" s="2">
        <f ca="1">IF(SUM($I$67:AQ67)&gt;0,0,$C$76+AP91)</f>
        <v>0</v>
      </c>
      <c r="AR91" s="2">
        <f ca="1">IF(SUM($I$67:AR67)&gt;0,0,$C$76+AQ91)</f>
        <v>0</v>
      </c>
      <c r="AS91" s="2">
        <f ca="1">IF(SUM($I$67:AS67)&gt;0,0,$C$76+AR91)</f>
        <v>0</v>
      </c>
      <c r="AT91" s="2">
        <f ca="1">IF(SUM($I$67:AT67)&gt;0,0,$C$76+AS91)</f>
        <v>0</v>
      </c>
      <c r="AU91" s="2">
        <f ca="1">IF(SUM($I$67:AU67)&gt;0,0,$C$76+AT91)</f>
        <v>0</v>
      </c>
      <c r="AV91" s="2">
        <f ca="1">IF(SUM($I$67:AV67)&gt;0,0,$C$76+AU91)</f>
        <v>0</v>
      </c>
      <c r="AW91" s="2">
        <f ca="1">IF(SUM($I$67:AW67)&gt;0,0,$C$76+AV91)</f>
        <v>0</v>
      </c>
      <c r="AX91" s="2">
        <f ca="1">IF(SUM($I$67:AX67)&gt;0,0,$C$76+AW91)</f>
        <v>0</v>
      </c>
    </row>
    <row r="102" spans="5:51">
      <c r="E102" s="188">
        <f ca="1">SUM(I101:AY102)</f>
        <v>8847557323.8136673</v>
      </c>
      <c r="I102" s="41">
        <f ca="1">I41*I38</f>
        <v>-651443245.35880971</v>
      </c>
      <c r="J102" s="188">
        <f t="shared" ref="J102:AY102" ca="1" si="15">J41*J38</f>
        <v>-2119495476.1007118</v>
      </c>
      <c r="K102" s="188">
        <f t="shared" ca="1" si="15"/>
        <v>-279276453.42044204</v>
      </c>
      <c r="L102" s="188">
        <f t="shared" ca="1" si="15"/>
        <v>755784541.98432696</v>
      </c>
      <c r="M102" s="188">
        <f t="shared" ca="1" si="15"/>
        <v>806287138.28727472</v>
      </c>
      <c r="N102" s="188">
        <f t="shared" ca="1" si="15"/>
        <v>795355147.25587225</v>
      </c>
      <c r="O102" s="188">
        <f t="shared" ca="1" si="15"/>
        <v>773712765.39780521</v>
      </c>
      <c r="P102" s="188">
        <f t="shared" ca="1" si="15"/>
        <v>744559818.78104281</v>
      </c>
      <c r="Q102" s="188">
        <f t="shared" ca="1" si="15"/>
        <v>715152147.01296985</v>
      </c>
      <c r="R102" s="188">
        <f t="shared" ca="1" si="15"/>
        <v>687410800.83887434</v>
      </c>
      <c r="S102" s="188">
        <f t="shared" ca="1" si="15"/>
        <v>659654157.2309078</v>
      </c>
      <c r="T102" s="188">
        <f t="shared" ca="1" si="15"/>
        <v>634287438.82287669</v>
      </c>
      <c r="U102" s="188">
        <f t="shared" ca="1" si="15"/>
        <v>609725211.96169698</v>
      </c>
      <c r="V102" s="188">
        <f t="shared" ca="1" si="15"/>
        <v>586526915.66256535</v>
      </c>
      <c r="W102" s="188">
        <f t="shared" ca="1" si="15"/>
        <v>563311548.11683428</v>
      </c>
      <c r="X102" s="188">
        <f t="shared" ca="1" si="15"/>
        <v>371400246.65005177</v>
      </c>
      <c r="Y102" s="188">
        <f t="shared" ca="1" si="15"/>
        <v>328229287.82808113</v>
      </c>
      <c r="Z102" s="188">
        <f t="shared" ca="1" si="15"/>
        <v>308850654.71296418</v>
      </c>
      <c r="AA102" s="188">
        <f t="shared" ca="1" si="15"/>
        <v>290055013.0967387</v>
      </c>
      <c r="AB102" s="188">
        <f t="shared" ca="1" si="15"/>
        <v>272924504.25495231</v>
      </c>
      <c r="AC102" s="188">
        <f t="shared" ca="1" si="15"/>
        <v>256651838.29075223</v>
      </c>
      <c r="AD102" s="188">
        <f t="shared" ca="1" si="15"/>
        <v>241472453.70532495</v>
      </c>
      <c r="AE102" s="188">
        <f t="shared" ca="1" si="15"/>
        <v>226720879.0069091</v>
      </c>
      <c r="AF102" s="188">
        <f t="shared" ca="1" si="15"/>
        <v>213274527.16063294</v>
      </c>
      <c r="AG102" s="188">
        <f t="shared" ca="1" si="15"/>
        <v>200508434.91921675</v>
      </c>
      <c r="AH102" s="188">
        <f t="shared" ca="1" si="15"/>
        <v>188602679.63534951</v>
      </c>
      <c r="AI102" s="188">
        <f t="shared" ca="1" si="15"/>
        <v>177042442.57350269</v>
      </c>
      <c r="AJ102" s="188">
        <f t="shared" ca="1" si="15"/>
        <v>166503743.34595332</v>
      </c>
      <c r="AK102" s="188">
        <f t="shared" ca="1" si="15"/>
        <v>156502973.35725668</v>
      </c>
      <c r="AL102" s="188">
        <f t="shared" ca="1" si="15"/>
        <v>167265188.80289575</v>
      </c>
      <c r="AM102" s="188">
        <f t="shared" si="15"/>
        <v>0</v>
      </c>
      <c r="AN102" s="188">
        <f t="shared" si="15"/>
        <v>0</v>
      </c>
      <c r="AO102" s="188">
        <f t="shared" si="15"/>
        <v>0</v>
      </c>
      <c r="AP102" s="188">
        <f t="shared" si="15"/>
        <v>0</v>
      </c>
      <c r="AQ102" s="188">
        <f t="shared" si="15"/>
        <v>0</v>
      </c>
      <c r="AR102" s="188">
        <f t="shared" si="15"/>
        <v>0</v>
      </c>
      <c r="AS102" s="188">
        <f t="shared" si="15"/>
        <v>0</v>
      </c>
      <c r="AT102" s="188">
        <f t="shared" si="15"/>
        <v>0</v>
      </c>
      <c r="AU102" s="188">
        <f t="shared" si="15"/>
        <v>0</v>
      </c>
      <c r="AV102" s="188">
        <f t="shared" si="15"/>
        <v>0</v>
      </c>
      <c r="AW102" s="188">
        <f t="shared" si="15"/>
        <v>0</v>
      </c>
      <c r="AX102" s="188">
        <f t="shared" si="15"/>
        <v>0</v>
      </c>
      <c r="AY102" s="188">
        <f t="shared" si="15"/>
        <v>0</v>
      </c>
    </row>
    <row r="103" spans="5:51">
      <c r="E103" s="188">
        <f ca="1">SUM(I103:AY103)</f>
        <v>5953783495.6123991</v>
      </c>
      <c r="I103" s="41">
        <f ca="1">I42*I38</f>
        <v>-651443245.35880971</v>
      </c>
      <c r="J103" s="41">
        <f t="shared" ref="J103:AY103" ca="1" si="16">J42*J38</f>
        <v>-2119495476.1007118</v>
      </c>
      <c r="K103" s="41">
        <f t="shared" ca="1" si="16"/>
        <v>-279276453.42044204</v>
      </c>
      <c r="L103" s="41">
        <f t="shared" ca="1" si="16"/>
        <v>755784541.98432696</v>
      </c>
      <c r="M103" s="41">
        <f t="shared" ca="1" si="16"/>
        <v>806287138.28727472</v>
      </c>
      <c r="N103" s="41">
        <f t="shared" ca="1" si="16"/>
        <v>704655251.8440994</v>
      </c>
      <c r="O103" s="41">
        <f t="shared" ca="1" si="16"/>
        <v>681278124.12840307</v>
      </c>
      <c r="P103" s="41">
        <f t="shared" ca="1" si="16"/>
        <v>652110252.76630211</v>
      </c>
      <c r="Q103" s="41">
        <f t="shared" ca="1" si="16"/>
        <v>623142154.50960255</v>
      </c>
      <c r="R103" s="41">
        <f t="shared" ca="1" si="16"/>
        <v>492878060.55038249</v>
      </c>
      <c r="S103" s="41">
        <f t="shared" ca="1" si="16"/>
        <v>431556698.97168094</v>
      </c>
      <c r="T103" s="41">
        <f t="shared" ca="1" si="16"/>
        <v>414014014.69815123</v>
      </c>
      <c r="U103" s="41">
        <f t="shared" ca="1" si="16"/>
        <v>397163088.42282259</v>
      </c>
      <c r="V103" s="41">
        <f t="shared" ca="1" si="16"/>
        <v>381509589.33471245</v>
      </c>
      <c r="W103" s="41">
        <f t="shared" ca="1" si="16"/>
        <v>365705930.53552538</v>
      </c>
      <c r="X103" s="41">
        <f t="shared" ca="1" si="16"/>
        <v>245186177.84718582</v>
      </c>
      <c r="Y103" s="41">
        <f t="shared" ca="1" si="16"/>
        <v>209839887.27225012</v>
      </c>
      <c r="Z103" s="41">
        <f t="shared" ca="1" si="16"/>
        <v>197697852.70560583</v>
      </c>
      <c r="AA103" s="41">
        <f t="shared" ca="1" si="16"/>
        <v>185697497.97695744</v>
      </c>
      <c r="AB103" s="41">
        <f t="shared" ca="1" si="16"/>
        <v>174911188.65652081</v>
      </c>
      <c r="AC103" s="41">
        <f t="shared" ca="1" si="16"/>
        <v>164565054.0704042</v>
      </c>
      <c r="AD103" s="41">
        <f t="shared" ca="1" si="16"/>
        <v>154932332.96647054</v>
      </c>
      <c r="AE103" s="41">
        <f t="shared" ca="1" si="16"/>
        <v>145398585.92773321</v>
      </c>
      <c r="AF103" s="41">
        <f t="shared" ca="1" si="16"/>
        <v>136830315.55647057</v>
      </c>
      <c r="AG103" s="41">
        <f t="shared" ca="1" si="16"/>
        <v>128640242.35582824</v>
      </c>
      <c r="AH103" s="41">
        <f t="shared" ca="1" si="16"/>
        <v>121032127.12288451</v>
      </c>
      <c r="AI103" s="41">
        <f t="shared" ca="1" si="16"/>
        <v>113524710.11084758</v>
      </c>
      <c r="AJ103" s="41">
        <f t="shared" ca="1" si="16"/>
        <v>106784253.04904924</v>
      </c>
      <c r="AK103" s="41">
        <f t="shared" ca="1" si="16"/>
        <v>99671080.648351341</v>
      </c>
      <c r="AL103" s="41">
        <f t="shared" ca="1" si="16"/>
        <v>113202518.19251834</v>
      </c>
      <c r="AM103" s="41">
        <f t="shared" si="16"/>
        <v>0</v>
      </c>
      <c r="AN103" s="41">
        <f t="shared" si="16"/>
        <v>0</v>
      </c>
      <c r="AO103" s="41">
        <f t="shared" si="16"/>
        <v>0</v>
      </c>
      <c r="AP103" s="41">
        <f t="shared" si="16"/>
        <v>0</v>
      </c>
      <c r="AQ103" s="41">
        <f t="shared" si="16"/>
        <v>0</v>
      </c>
      <c r="AR103" s="41">
        <f t="shared" si="16"/>
        <v>0</v>
      </c>
      <c r="AS103" s="41">
        <f t="shared" si="16"/>
        <v>0</v>
      </c>
      <c r="AT103" s="41">
        <f t="shared" si="16"/>
        <v>0</v>
      </c>
      <c r="AU103" s="41">
        <f t="shared" si="16"/>
        <v>0</v>
      </c>
      <c r="AV103" s="41">
        <f t="shared" si="16"/>
        <v>0</v>
      </c>
      <c r="AW103" s="41">
        <f t="shared" si="16"/>
        <v>0</v>
      </c>
      <c r="AX103" s="41">
        <f t="shared" si="16"/>
        <v>0</v>
      </c>
      <c r="AY103" s="41">
        <f t="shared" si="16"/>
        <v>0</v>
      </c>
    </row>
  </sheetData>
  <sheetProtection formatCells="0" formatColumns="0" formatRows="0" insertColumns="0" insertRows="0" insertHyperlinks="0" deleteColumns="0" deleteRows="0" sort="0" autoFilter="0" pivotTable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4" baseType="variant">
      <vt:variant>
        <vt:lpstr>Worksheets</vt:lpstr>
      </vt:variant>
      <vt:variant>
        <vt:i4>67</vt:i4>
      </vt:variant>
      <vt:variant>
        <vt:lpstr>Named Ranges</vt:lpstr>
      </vt:variant>
      <vt:variant>
        <vt:i4>77</vt:i4>
      </vt:variant>
    </vt:vector>
  </HeadingPairs>
  <TitlesOfParts>
    <vt:vector size="144" baseType="lpstr">
      <vt:lpstr>Mx Monthly</vt:lpstr>
      <vt:lpstr>Country Lookup</vt:lpstr>
      <vt:lpstr>nigeria-inflation-rate-cpi</vt:lpstr>
      <vt:lpstr>CONTENTS</vt:lpstr>
      <vt:lpstr>Sheet4</vt:lpstr>
      <vt:lpstr>Assumption </vt:lpstr>
      <vt:lpstr>Kano Ammonia </vt:lpstr>
      <vt:lpstr>Abuja Ammonia </vt:lpstr>
      <vt:lpstr>Ammonia Cost</vt:lpstr>
      <vt:lpstr>Land </vt:lpstr>
      <vt:lpstr>YIELD (2)</vt:lpstr>
      <vt:lpstr>Input </vt:lpstr>
      <vt:lpstr>CofCapital</vt:lpstr>
      <vt:lpstr>Project Cost Monthly</vt:lpstr>
      <vt:lpstr>Sens WIP</vt:lpstr>
      <vt:lpstr>New Graph</vt:lpstr>
      <vt:lpstr>Graph Data </vt:lpstr>
      <vt:lpstr>comparatives</vt:lpstr>
      <vt:lpstr>Summary</vt:lpstr>
      <vt:lpstr>IS</vt:lpstr>
      <vt:lpstr>BS</vt:lpstr>
      <vt:lpstr>CF</vt:lpstr>
      <vt:lpstr>Valuation</vt:lpstr>
      <vt:lpstr>Capex Phasing Urea</vt:lpstr>
      <vt:lpstr>Capex Phasing Methanol</vt:lpstr>
      <vt:lpstr>Power </vt:lpstr>
      <vt:lpstr>Support infra Nasarawa State </vt:lpstr>
      <vt:lpstr>Rev &amp; Receivables</vt:lpstr>
      <vt:lpstr>Raw Material </vt:lpstr>
      <vt:lpstr>Scenario 2</vt:lpstr>
      <vt:lpstr>Scenario </vt:lpstr>
      <vt:lpstr>Product Costing Sheet</vt:lpstr>
      <vt:lpstr>staff Cost </vt:lpstr>
      <vt:lpstr>YIELD</vt:lpstr>
      <vt:lpstr>Sheet3</vt:lpstr>
      <vt:lpstr>Sheet8</vt:lpstr>
      <vt:lpstr>Power Plant </vt:lpstr>
      <vt:lpstr>Sheet5</vt:lpstr>
      <vt:lpstr>SUMMARY SHEET </vt:lpstr>
      <vt:lpstr>Ratios (2)</vt:lpstr>
      <vt:lpstr>Fixed Assets</vt:lpstr>
      <vt:lpstr>Methanol Margin Sheet </vt:lpstr>
      <vt:lpstr>Debt Schedule</vt:lpstr>
      <vt:lpstr>Sheet6</vt:lpstr>
      <vt:lpstr>Sheet7</vt:lpstr>
      <vt:lpstr>Returns</vt:lpstr>
      <vt:lpstr>Revenue Analysis 1 Pager </vt:lpstr>
      <vt:lpstr>Sheet1</vt:lpstr>
      <vt:lpstr>support infra Gombe </vt:lpstr>
      <vt:lpstr>O&amp;M Costs</vt:lpstr>
      <vt:lpstr>Capex </vt:lpstr>
      <vt:lpstr>Notes</vt:lpstr>
      <vt:lpstr>Ratios</vt:lpstr>
      <vt:lpstr>Dividend</vt:lpstr>
      <vt:lpstr>Sheet2</vt:lpstr>
      <vt:lpstr>Methanol Data </vt:lpstr>
      <vt:lpstr>Urea Data  </vt:lpstr>
      <vt:lpstr>Taxation</vt:lpstr>
      <vt:lpstr>Reserve Accounts</vt:lpstr>
      <vt:lpstr>Drop down list</vt:lpstr>
      <vt:lpstr>Overview</vt:lpstr>
      <vt:lpstr>Data 2</vt:lpstr>
      <vt:lpstr>Casting </vt:lpstr>
      <vt:lpstr>Data</vt:lpstr>
      <vt:lpstr>Checks</vt:lpstr>
      <vt:lpstr>Timing &amp; Flags</vt:lpstr>
      <vt:lpstr>Valuation </vt:lpstr>
      <vt:lpstr>Ammonia_flag</vt:lpstr>
      <vt:lpstr>Ammonia_location</vt:lpstr>
      <vt:lpstr>Annual_crudeprice_increase</vt:lpstr>
      <vt:lpstr>Avail_Commissioning</vt:lpstr>
      <vt:lpstr>Avail_TAM_year</vt:lpstr>
      <vt:lpstr>Cap_Phase1</vt:lpstr>
      <vt:lpstr>Cap_Phase2</vt:lpstr>
      <vt:lpstr>Cap_total</vt:lpstr>
      <vt:lpstr>Capex_Phasing_sensitivity</vt:lpstr>
      <vt:lpstr>Const_duration</vt:lpstr>
      <vt:lpstr>Const_end</vt:lpstr>
      <vt:lpstr>Const_start</vt:lpstr>
      <vt:lpstr>Contingency_Rate</vt:lpstr>
      <vt:lpstr>Corporate_tax</vt:lpstr>
      <vt:lpstr>Cost_Natural_Gas</vt:lpstr>
      <vt:lpstr>Cost_of_Equity</vt:lpstr>
      <vt:lpstr>Cost_of_Water</vt:lpstr>
      <vt:lpstr>Current_Price_Methanol</vt:lpstr>
      <vt:lpstr>Currrent_Gas_Price_Urea</vt:lpstr>
      <vt:lpstr>Days_Year</vt:lpstr>
      <vt:lpstr>DaysInYr</vt:lpstr>
      <vt:lpstr>DC_Watt</vt:lpstr>
      <vt:lpstr>Decommission_cost</vt:lpstr>
      <vt:lpstr>Dividend</vt:lpstr>
      <vt:lpstr>Education_tax</vt:lpstr>
      <vt:lpstr>Exch_Rate</vt:lpstr>
      <vt:lpstr>Exchange_Rate</vt:lpstr>
      <vt:lpstr>Fx_Rate</vt:lpstr>
      <vt:lpstr>Gas_Transportation_Price</vt:lpstr>
      <vt:lpstr>Growth_Rate</vt:lpstr>
      <vt:lpstr>Hours_day</vt:lpstr>
      <vt:lpstr>Hours_month</vt:lpstr>
      <vt:lpstr>Hours_year</vt:lpstr>
      <vt:lpstr>Indexation</vt:lpstr>
      <vt:lpstr>Insurance_Rate_</vt:lpstr>
      <vt:lpstr>KW_W</vt:lpstr>
      <vt:lpstr>Methanol_Price</vt:lpstr>
      <vt:lpstr>MnthsInQtr</vt:lpstr>
      <vt:lpstr>Model_year</vt:lpstr>
      <vt:lpstr>ModelStart</vt:lpstr>
      <vt:lpstr>Months_year</vt:lpstr>
      <vt:lpstr>Naira</vt:lpstr>
      <vt:lpstr>Nat_Gas_Consumption_Methanol</vt:lpstr>
      <vt:lpstr>Nat_Gas_Consumption_Urea</vt:lpstr>
      <vt:lpstr>Nig_Inf</vt:lpstr>
      <vt:lpstr>One</vt:lpstr>
      <vt:lpstr>Ops_duration</vt:lpstr>
      <vt:lpstr>Ops_end</vt:lpstr>
      <vt:lpstr>Ops_end_Train_1</vt:lpstr>
      <vt:lpstr>Ops_start</vt:lpstr>
      <vt:lpstr>Other_Products</vt:lpstr>
      <vt:lpstr>Perct_Export_Sales</vt:lpstr>
      <vt:lpstr>Perct_Local_Sales</vt:lpstr>
      <vt:lpstr>Periodicity</vt:lpstr>
      <vt:lpstr>Plant_availability</vt:lpstr>
      <vt:lpstr>Plant_Option</vt:lpstr>
      <vt:lpstr>Power_Switch</vt:lpstr>
      <vt:lpstr>CONTENTS!Print_Area</vt:lpstr>
      <vt:lpstr>Mx Monthly!Print_Titles</vt:lpstr>
      <vt:lpstr>Proj_comm_date</vt:lpstr>
      <vt:lpstr>QtrsinaYr</vt:lpstr>
      <vt:lpstr>Sens_GasPrice</vt:lpstr>
      <vt:lpstr>Sens_IntRate</vt:lpstr>
      <vt:lpstr>Sens_Maintenance</vt:lpstr>
      <vt:lpstr>Sens_Opcost</vt:lpstr>
      <vt:lpstr>Sens_productprice</vt:lpstr>
      <vt:lpstr>Sens_projectcost</vt:lpstr>
      <vt:lpstr>Tax</vt:lpstr>
      <vt:lpstr>Assumption !Tolerance</vt:lpstr>
      <vt:lpstr>Tolerance_Rate</vt:lpstr>
      <vt:lpstr>Train_1_Ops_Start</vt:lpstr>
      <vt:lpstr>Urea_Price</vt:lpstr>
      <vt:lpstr>US_Inf</vt:lpstr>
      <vt:lpstr>USD</vt:lpstr>
      <vt:lpstr>VAT</vt:lpstr>
      <vt:lpstr>WACC</vt:lpstr>
      <vt:lpstr>Years_in_model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2017-09-15T18:03:41Z</dcterms:created>
  <dcterms:modified xsi:type="dcterms:W3CDTF">2025-07-20T18:39:48Z</dcterms:modified>
</cp:coreProperties>
</file>